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omments/comment5.xml" ContentType="application/vnd.openxmlformats-officedocument.spreadsheetml.comment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cueil" sheetId="1" state="visible" r:id="rId1"/>
    <sheet name="Tableau de bord" sheetId="2" state="visible" r:id="rId2"/>
    <sheet name="Équipements" sheetId="3" state="visible" r:id="rId3"/>
    <sheet name="Ordres de travail" sheetId="4" state="visible" r:id="rId4"/>
    <sheet name="Plan préventif" sheetId="5" state="visible" r:id="rId5"/>
    <sheet name="Contrôles réglementaires" sheetId="6" state="visible" r:id="rId6"/>
    <sheet name="Stock pièces" sheetId="7" state="visible" r:id="rId7"/>
    <sheet name="Mouvements stock" sheetId="8" state="visible" r:id="rId8"/>
    <sheet name="Techniciens" sheetId="9" state="visible" r:id="rId9"/>
    <sheet name="Fournisseurs" sheetId="10" state="visible" r:id="rId10"/>
    <sheet name="Budget" sheetId="11" state="visible" r:id="rId11"/>
    <sheet name="Relevés compteurs" sheetId="12" state="visible" r:id="rId12"/>
    <sheet name="Paramètres" sheetId="13" state="visible" r:id="rId13"/>
  </sheets>
  <definedNames>
    <definedName name="_xlnm._FilterDatabase" localSheetId="2" hidden="1">'Équipements'!$A$4:$AB$304</definedName>
    <definedName name="_xlnm.Print_Titles" localSheetId="2">'Équipements'!$4:$4</definedName>
    <definedName name="_xlnm._FilterDatabase" localSheetId="3" hidden="1">'Ordres de travail'!$A$4:$AG$3004</definedName>
    <definedName name="_xlnm.Print_Titles" localSheetId="3">'Ordres de travail'!$4:$4</definedName>
    <definedName name="_xlnm._FilterDatabase" localSheetId="4" hidden="1">'Plan préventif'!$A$4:$U$404</definedName>
    <definedName name="_xlnm.Print_Titles" localSheetId="4">'Plan préventif'!$4:$4</definedName>
    <definedName name="_xlnm._FilterDatabase" localSheetId="5" hidden="1">'Contrôles réglementaires'!$A$4:$O$154</definedName>
    <definedName name="_xlnm.Print_Titles" localSheetId="5">'Contrôles réglementaires'!$4:$4</definedName>
    <definedName name="_xlnm._FilterDatabase" localSheetId="6" hidden="1">'Stock pièces'!$A$4:$V$404</definedName>
    <definedName name="_xlnm.Print_Titles" localSheetId="6">'Stock pièces'!$4:$4</definedName>
    <definedName name="_xlnm._FilterDatabase" localSheetId="7" hidden="1">'Mouvements stock'!$A$4:$M$3004</definedName>
    <definedName name="_xlnm.Print_Titles" localSheetId="7">'Mouvements stock'!$4:$4</definedName>
    <definedName name="_xlnm._FilterDatabase" localSheetId="8" hidden="1">'Techniciens'!$A$4:$R$44</definedName>
    <definedName name="_xlnm.Print_Titles" localSheetId="8">'Techniciens'!$4:$4</definedName>
    <definedName name="_xlnm._FilterDatabase" localSheetId="9" hidden="1">'Fournisseurs'!$A$4:$P$84</definedName>
    <definedName name="_xlnm.Print_Titles" localSheetId="9">'Fournisseurs'!$4:$4</definedName>
    <definedName name="_xlnm._FilterDatabase" localSheetId="10" hidden="1">'Budget'!$A$4:$N$64</definedName>
    <definedName name="_xlnm.Print_Titles" localSheetId="10">'Budget'!$4:$4</definedName>
    <definedName name="_xlnm._FilterDatabase" localSheetId="11" hidden="1">'Relevés compteurs'!$A$4:$F$1504</definedName>
    <definedName name="_xlnm.Print_Titles" localSheetId="11">'Relevés compteurs'!$4:$4</definedName>
  </definedNames>
  <calcPr calcId="124519" fullCalcOnLoad="1"/>
</workbook>
</file>

<file path=xl/styles.xml><?xml version="1.0" encoding="utf-8"?>
<styleSheet xmlns="http://schemas.openxmlformats.org/spreadsheetml/2006/main">
  <numFmts count="12">
    <numFmt numFmtId="164" formatCode="yyyy-mm-dd h:mm:ss"/>
    <numFmt numFmtId="165" formatCode="dd/mm/yyyy"/>
    <numFmt numFmtId="166" formatCode="#,##0 &quot;€&quot;;-#,##0 &quot;€&quot;;&quot;-&quot;"/>
    <numFmt numFmtId="167" formatCode="#,##0;-#,##0;&quot;-&quot;"/>
    <numFmt numFmtId="168" formatCode="0.0;-0.0;&quot;-&quot;"/>
    <numFmt numFmtId="169" formatCode="0.0%;-0.0%;&quot;-&quot;"/>
    <numFmt numFmtId="170" formatCode="0.000000"/>
    <numFmt numFmtId="171" formatCode="dd/mm/yyyy hh:mm"/>
    <numFmt numFmtId="172" formatCode="0;[Red]-0;0"/>
    <numFmt numFmtId="173" formatCode="#,##0.00 &quot;€&quot;;-#,##0.00 &quot;€&quot;;&quot;-&quot;"/>
    <numFmt numFmtId="174" formatCode="mmm yyyy"/>
    <numFmt numFmtId="175" formatCode="#,##0 &quot;€&quot;;[Red]-#,##0 &quot;€&quot;;&quot;-&quot;"/>
  </numFmts>
  <fonts count="26">
    <font>
      <name val="Calibri"/>
      <family val="2"/>
      <color theme="1"/>
      <sz val="11"/>
      <scheme val="minor"/>
    </font>
    <font>
      <name val="Arial"/>
      <b val="1"/>
      <color rgb="001F3864"/>
      <sz val="16"/>
    </font>
    <font>
      <name val="Arial"/>
      <i val="1"/>
      <color rgb="00595959"/>
      <sz val="9"/>
    </font>
    <font>
      <name val="Arial"/>
      <color rgb="00808080"/>
      <sz val="8"/>
    </font>
    <font>
      <name val="Arial"/>
      <b val="1"/>
      <color rgb="00FFFFFF"/>
      <sz val="9"/>
    </font>
    <font>
      <name val="Arial"/>
      <color rgb="000000FF"/>
      <sz val="9"/>
    </font>
    <font>
      <name val="Arial"/>
      <color rgb="00000000"/>
      <sz val="9"/>
    </font>
    <font>
      <name val="Arial"/>
      <b val="1"/>
      <color rgb="00000000"/>
      <sz val="10"/>
    </font>
    <font>
      <name val="Arial"/>
      <b val="1"/>
      <color rgb="001F3864"/>
      <sz val="11"/>
    </font>
    <font>
      <name val="Arial"/>
      <color rgb="00008000"/>
      <sz val="9"/>
    </font>
    <font>
      <name val="Arial"/>
      <b val="1"/>
      <color rgb="00FFFFFF"/>
      <sz val="20"/>
    </font>
    <font>
      <name val="Arial"/>
      <b val="1"/>
      <color rgb="000000FF"/>
      <sz val="12"/>
    </font>
    <font>
      <name val="Arial"/>
      <b val="1"/>
      <color rgb="00FFFFFF"/>
      <sz val="10"/>
    </font>
    <font>
      <name val="Arial"/>
      <b val="1"/>
      <color rgb="00404040"/>
      <sz val="9"/>
    </font>
    <font>
      <name val="Arial"/>
      <b val="1"/>
      <color rgb="002F5597"/>
      <sz val="20"/>
    </font>
    <font>
      <name val="Arial"/>
      <i val="1"/>
      <color rgb="00808080"/>
      <sz val="8"/>
    </font>
    <font>
      <name val="Arial"/>
      <b val="1"/>
      <color rgb="00548235"/>
      <sz val="20"/>
    </font>
    <font>
      <name val="Arial"/>
      <b val="1"/>
      <color rgb="00BF8F00"/>
      <sz val="20"/>
    </font>
    <font>
      <name val="Arial"/>
      <b val="1"/>
      <color rgb="00C00000"/>
      <sz val="20"/>
    </font>
    <font>
      <name val="Arial"/>
      <b val="1"/>
      <sz val="9"/>
    </font>
    <font>
      <name val="Arial"/>
      <sz val="9"/>
    </font>
    <font>
      <name val="Arial"/>
      <b val="1"/>
      <color rgb="002F5597"/>
      <sz val="11"/>
    </font>
    <font>
      <name val="Arial"/>
      <b val="1"/>
      <color rgb="001F3864"/>
      <sz val="12"/>
    </font>
    <font>
      <name val="Arial"/>
      <b val="1"/>
      <color rgb="000563C1"/>
      <sz val="10"/>
      <u val="single"/>
    </font>
    <font>
      <name val="Arial"/>
      <b val="1"/>
      <color rgb="00C00000"/>
      <sz val="10"/>
    </font>
    <font>
      <name val="Arial"/>
      <i val="1"/>
      <sz val="9"/>
    </font>
  </fonts>
  <fills count="13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F5597"/>
      </patternFill>
    </fill>
    <fill>
      <patternFill patternType="solid">
        <fgColor rgb="00F2F2F2"/>
      </patternFill>
    </fill>
    <fill>
      <patternFill patternType="solid">
        <fgColor rgb="00DDEBF7"/>
      </patternFill>
    </fill>
    <fill>
      <patternFill patternType="solid">
        <fgColor rgb="00FFFF00"/>
      </patternFill>
    </fill>
    <fill>
      <patternFill patternType="solid">
        <fgColor rgb="00548235"/>
      </patternFill>
    </fill>
    <fill>
      <patternFill patternType="solid">
        <fgColor rgb="00E2EFDA"/>
      </patternFill>
    </fill>
    <fill>
      <patternFill patternType="solid">
        <fgColor rgb="00BF8F00"/>
      </patternFill>
    </fill>
    <fill>
      <patternFill patternType="solid">
        <fgColor rgb="00FFF2CC"/>
      </patternFill>
    </fill>
    <fill>
      <patternFill patternType="solid">
        <fgColor rgb="00C00000"/>
      </patternFill>
    </fill>
    <fill>
      <patternFill patternType="solid">
        <fgColor rgb="00FCE4D6"/>
      </patternFill>
    </fill>
  </fills>
  <borders count="7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bottom style="medium">
        <color rgb="001F3864"/>
      </bottom>
    </border>
    <border>
      <left/>
      <right/>
      <top style="thin">
        <color rgb="00D9D9D9"/>
      </top>
      <bottom/>
      <diagonal/>
    </border>
    <border>
      <left/>
      <right style="thin">
        <color rgb="00D9D9D9"/>
      </right>
      <top style="thin">
        <color rgb="00D9D9D9"/>
      </top>
      <bottom/>
      <diagonal/>
    </border>
    <border>
      <left/>
      <right style="thin">
        <color rgb="00D9D9D9"/>
      </right>
      <top style="thin">
        <color rgb="00D9D9D9"/>
      </top>
      <bottom style="thin">
        <color rgb="00D9D9D9"/>
      </bottom>
      <diagonal/>
    </border>
    <border>
      <left/>
      <right/>
      <top style="thin">
        <color rgb="00D9D9D9"/>
      </top>
      <bottom style="thin">
        <color rgb="00D9D9D9"/>
      </bottom>
      <diagonal/>
    </border>
  </borders>
  <cellStyleXfs count="1">
    <xf numFmtId="0" fontId="0" fillId="0" borderId="0"/>
  </cellStyleXfs>
  <cellXfs count="96">
    <xf numFmtId="0" fontId="0" fillId="0" borderId="0" pivotButton="0" quotePrefix="0" xfId="0"/>
    <xf numFmtId="0" fontId="10" fillId="2" borderId="0" applyAlignment="1" pivotButton="0" quotePrefix="0" xfId="0">
      <alignment vertical="center" indent="1"/>
    </xf>
    <xf numFmtId="0" fontId="21" fillId="0" borderId="0" pivotButton="0" quotePrefix="0" xfId="0"/>
    <xf numFmtId="0" fontId="2" fillId="0" borderId="0" pivotButton="0" quotePrefix="0" xfId="0"/>
    <xf numFmtId="0" fontId="22" fillId="0" borderId="0" pivotButton="0" quotePrefix="0" xfId="0"/>
    <xf numFmtId="0" fontId="23" fillId="0" borderId="1" pivotButton="0" quotePrefix="0" xfId="0"/>
    <xf numFmtId="0" fontId="20" fillId="0" borderId="1" applyAlignment="1" pivotButton="0" quotePrefix="0" xfId="0">
      <alignment vertical="top" wrapText="1"/>
    </xf>
    <xf numFmtId="0" fontId="5" fillId="0" borderId="1" pivotButton="0" quotePrefix="0" xfId="0"/>
    <xf numFmtId="0" fontId="20" fillId="0" borderId="1" pivotButton="0" quotePrefix="0" xfId="0"/>
    <xf numFmtId="0" fontId="6" fillId="4" borderId="1" pivotButton="0" quotePrefix="0" xfId="0"/>
    <xf numFmtId="0" fontId="9" fillId="0" borderId="1" pivotButton="0" quotePrefix="0" xfId="0"/>
    <xf numFmtId="0" fontId="5" fillId="6" borderId="1" pivotButton="0" quotePrefix="0" xfId="0"/>
    <xf numFmtId="0" fontId="4" fillId="3" borderId="1" pivotButton="0" quotePrefix="0" xfId="0"/>
    <xf numFmtId="0" fontId="19" fillId="0" borderId="1" applyAlignment="1" pivotButton="0" quotePrefix="0" xfId="0">
      <alignment vertical="top" wrapText="1"/>
    </xf>
    <xf numFmtId="0" fontId="19" fillId="0" borderId="1" pivotButton="0" quotePrefix="0" xfId="0"/>
    <xf numFmtId="0" fontId="24" fillId="0" borderId="0" pivotButton="0" quotePrefix="0" xfId="0"/>
    <xf numFmtId="0" fontId="25" fillId="0" borderId="0" pivotButton="0" quotePrefix="0" xfId="0"/>
    <xf numFmtId="0" fontId="10" fillId="2" borderId="0" applyAlignment="1" pivotButton="0" quotePrefix="0" xfId="0">
      <alignment horizontal="left" vertical="center" indent="1"/>
    </xf>
    <xf numFmtId="0" fontId="7" fillId="0" borderId="0" pivotButton="0" quotePrefix="0" xfId="0"/>
    <xf numFmtId="0" fontId="11" fillId="6" borderId="1" applyAlignment="1" pivotButton="0" quotePrefix="0" xfId="0">
      <alignment horizontal="center"/>
    </xf>
    <xf numFmtId="0" fontId="6" fillId="0" borderId="0" applyAlignment="1" pivotButton="0" quotePrefix="0" xfId="0">
      <alignment horizontal="right"/>
    </xf>
    <xf numFmtId="165" fontId="7" fillId="0" borderId="0" pivotButton="0" quotePrefix="0" xfId="0"/>
    <xf numFmtId="0" fontId="12" fillId="3" borderId="0" applyAlignment="1" pivotButton="0" quotePrefix="0" xfId="0">
      <alignment vertical="center" indent="1"/>
    </xf>
    <xf numFmtId="0" fontId="13" fillId="5" borderId="0" applyAlignment="1" pivotButton="0" quotePrefix="0" xfId="0">
      <alignment horizontal="center" vertical="center"/>
    </xf>
    <xf numFmtId="0" fontId="0" fillId="5" borderId="0" pivotButton="0" quotePrefix="0" xfId="0"/>
    <xf numFmtId="167" fontId="14" fillId="5" borderId="0" applyAlignment="1" pivotButton="0" quotePrefix="0" xfId="0">
      <alignment horizontal="center" vertical="center"/>
    </xf>
    <xf numFmtId="168" fontId="14" fillId="5" borderId="0" applyAlignment="1" pivotButton="0" quotePrefix="0" xfId="0">
      <alignment horizontal="center" vertical="center"/>
    </xf>
    <xf numFmtId="0" fontId="15" fillId="5" borderId="0" applyAlignment="1" pivotButton="0" quotePrefix="0" xfId="0">
      <alignment horizontal="center" vertical="center"/>
    </xf>
    <xf numFmtId="0" fontId="12" fillId="7" borderId="0" applyAlignment="1" pivotButton="0" quotePrefix="0" xfId="0">
      <alignment vertical="center" indent="1"/>
    </xf>
    <xf numFmtId="0" fontId="13" fillId="8" borderId="0" applyAlignment="1" pivotButton="0" quotePrefix="0" xfId="0">
      <alignment horizontal="center" vertical="center"/>
    </xf>
    <xf numFmtId="0" fontId="0" fillId="8" borderId="0" pivotButton="0" quotePrefix="0" xfId="0"/>
    <xf numFmtId="167" fontId="16" fillId="8" borderId="0" applyAlignment="1" pivotButton="0" quotePrefix="0" xfId="0">
      <alignment horizontal="center" vertical="center"/>
    </xf>
    <xf numFmtId="168" fontId="16" fillId="8" borderId="0" applyAlignment="1" pivotButton="0" quotePrefix="0" xfId="0">
      <alignment horizontal="center" vertical="center"/>
    </xf>
    <xf numFmtId="169" fontId="16" fillId="8" borderId="0" applyAlignment="1" pivotButton="0" quotePrefix="0" xfId="0">
      <alignment horizontal="center" vertical="center"/>
    </xf>
    <xf numFmtId="0" fontId="15" fillId="8" borderId="0" applyAlignment="1" pivotButton="0" quotePrefix="0" xfId="0">
      <alignment horizontal="center" vertical="center"/>
    </xf>
    <xf numFmtId="0" fontId="12" fillId="9" borderId="0" applyAlignment="1" pivotButton="0" quotePrefix="0" xfId="0">
      <alignment vertical="center" indent="1"/>
    </xf>
    <xf numFmtId="0" fontId="13" fillId="10" borderId="0" applyAlignment="1" pivotButton="0" quotePrefix="0" xfId="0">
      <alignment horizontal="center" vertical="center"/>
    </xf>
    <xf numFmtId="0" fontId="0" fillId="10" borderId="0" pivotButton="0" quotePrefix="0" xfId="0"/>
    <xf numFmtId="166" fontId="17" fillId="10" borderId="0" applyAlignment="1" pivotButton="0" quotePrefix="0" xfId="0">
      <alignment horizontal="center" vertical="center"/>
    </xf>
    <xf numFmtId="169" fontId="17" fillId="10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2" fillId="11" borderId="0" applyAlignment="1" pivotButton="0" quotePrefix="0" xfId="0">
      <alignment vertical="center" indent="1"/>
    </xf>
    <xf numFmtId="0" fontId="13" fillId="12" borderId="0" applyAlignment="1" pivotButton="0" quotePrefix="0" xfId="0">
      <alignment horizontal="center" vertical="center"/>
    </xf>
    <xf numFmtId="0" fontId="0" fillId="12" borderId="0" pivotButton="0" quotePrefix="0" xfId="0"/>
    <xf numFmtId="167" fontId="18" fillId="12" borderId="0" applyAlignment="1" pivotButton="0" quotePrefix="0" xfId="0">
      <alignment horizontal="center" vertical="center"/>
    </xf>
    <xf numFmtId="0" fontId="15" fillId="12" borderId="0" applyAlignment="1" pivotButton="0" quotePrefix="0" xfId="0">
      <alignment horizontal="center" vertical="center"/>
    </xf>
    <xf numFmtId="0" fontId="8" fillId="0" borderId="2" pivotButton="0" quotePrefix="0" xfId="0"/>
    <xf numFmtId="0" fontId="0" fillId="0" borderId="2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5" pivotButton="0" quotePrefix="0" xfId="0"/>
    <xf numFmtId="165" fontId="20" fillId="0" borderId="1" pivotButton="0" quotePrefix="0" xfId="0"/>
    <xf numFmtId="167" fontId="20" fillId="0" borderId="1" pivotButton="0" quotePrefix="0" xfId="0"/>
    <xf numFmtId="166" fontId="20" fillId="0" borderId="1" pivotButton="0" quotePrefix="0" xfId="0"/>
    <xf numFmtId="169" fontId="20" fillId="0" borderId="1" pivotButton="0" quotePrefix="0" xfId="0"/>
    <xf numFmtId="0" fontId="19" fillId="5" borderId="1" pivotButton="0" quotePrefix="0" xfId="0"/>
    <xf numFmtId="167" fontId="19" fillId="5" borderId="1" pivotButton="0" quotePrefix="0" xfId="0"/>
    <xf numFmtId="166" fontId="19" fillId="5" borderId="1" pivotButton="0" quotePrefix="0" xfId="0"/>
    <xf numFmtId="169" fontId="19" fillId="5" borderId="1" pivotButton="0" quotePrefix="0" xfId="0"/>
    <xf numFmtId="0" fontId="15" fillId="0" borderId="0" pivotButton="0" quotePrefix="0" xfId="0"/>
    <xf numFmtId="0" fontId="0" fillId="0" borderId="6" pivotButton="0" quotePrefix="0" xfId="0"/>
    <xf numFmtId="1" fontId="19" fillId="0" borderId="1" applyAlignment="1" pivotButton="0" quotePrefix="0" xfId="0">
      <alignment horizontal="center"/>
    </xf>
    <xf numFmtId="168" fontId="20" fillId="0" borderId="1" pivotButton="0" quotePrefix="0" xfId="0"/>
    <xf numFmtId="0" fontId="1" fillId="0" borderId="0" pivotButton="0" quotePrefix="0" xfId="0"/>
    <xf numFmtId="0" fontId="3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165" fontId="5" fillId="0" borderId="1" pivotButton="0" quotePrefix="0" xfId="0"/>
    <xf numFmtId="166" fontId="5" fillId="0" borderId="1" pivotButton="0" quotePrefix="0" xfId="0"/>
    <xf numFmtId="167" fontId="5" fillId="0" borderId="1" pivotButton="0" quotePrefix="0" xfId="0"/>
    <xf numFmtId="167" fontId="6" fillId="4" borderId="1" pivotButton="0" quotePrefix="0" xfId="0"/>
    <xf numFmtId="168" fontId="6" fillId="4" borderId="1" pivotButton="0" quotePrefix="0" xfId="0"/>
    <xf numFmtId="166" fontId="6" fillId="4" borderId="1" pivotButton="0" quotePrefix="0" xfId="0"/>
    <xf numFmtId="169" fontId="6" fillId="4" borderId="1" pivotButton="0" quotePrefix="0" xfId="0"/>
    <xf numFmtId="170" fontId="6" fillId="4" borderId="1" pivotButton="0" quotePrefix="0" xfId="0"/>
    <xf numFmtId="0" fontId="7" fillId="0" borderId="0" applyAlignment="1" pivotButton="0" quotePrefix="0" xfId="0">
      <alignment horizontal="right"/>
    </xf>
    <xf numFmtId="0" fontId="8" fillId="5" borderId="0" pivotButton="0" quotePrefix="0" xfId="0"/>
    <xf numFmtId="171" fontId="5" fillId="0" borderId="1" pivotButton="0" quotePrefix="0" xfId="0"/>
    <xf numFmtId="168" fontId="5" fillId="0" borderId="1" pivotButton="0" quotePrefix="0" xfId="0"/>
    <xf numFmtId="1" fontId="6" fillId="4" borderId="1" pivotButton="0" quotePrefix="0" xfId="0"/>
    <xf numFmtId="165" fontId="6" fillId="4" borderId="1" pivotButton="0" quotePrefix="0" xfId="0"/>
    <xf numFmtId="172" fontId="6" fillId="4" borderId="1" pivotButton="0" quotePrefix="0" xfId="0"/>
    <xf numFmtId="173" fontId="5" fillId="0" borderId="1" pivotButton="0" quotePrefix="0" xfId="0"/>
    <xf numFmtId="173" fontId="6" fillId="4" borderId="1" pivotButton="0" quotePrefix="0" xfId="0"/>
    <xf numFmtId="1" fontId="5" fillId="0" borderId="1" pivotButton="0" quotePrefix="0" xfId="0"/>
    <xf numFmtId="174" fontId="5" fillId="0" borderId="1" pivotButton="0" quotePrefix="0" xfId="0"/>
    <xf numFmtId="175" fontId="6" fillId="4" borderId="1" pivotButton="0" quotePrefix="0" xfId="0"/>
    <xf numFmtId="0" fontId="4" fillId="2" borderId="0" applyAlignment="1" pivotButton="0" quotePrefix="0" xfId="0">
      <alignment horizontal="center" vertical="center" wrapText="1"/>
    </xf>
    <xf numFmtId="0" fontId="6" fillId="0" borderId="1" pivotButton="0" quotePrefix="0" xfId="0"/>
    <xf numFmtId="1" fontId="9" fillId="0" borderId="1" applyAlignment="1" pivotButton="0" quotePrefix="0" xfId="0">
      <alignment horizontal="left"/>
    </xf>
    <xf numFmtId="165" fontId="6" fillId="4" borderId="1" applyAlignment="1" pivotButton="0" quotePrefix="0" xfId="0">
      <alignment horizontal="left"/>
    </xf>
    <xf numFmtId="169" fontId="6" fillId="4" borderId="1" applyAlignment="1" pivotButton="0" quotePrefix="0" xfId="0">
      <alignment horizontal="left"/>
    </xf>
    <xf numFmtId="166" fontId="5" fillId="6" borderId="1" applyAlignment="1" pivotButton="0" quotePrefix="0" xfId="0">
      <alignment horizontal="left"/>
    </xf>
    <xf numFmtId="167" fontId="5" fillId="6" borderId="1" applyAlignment="1" pivotButton="0" quotePrefix="0" xfId="0">
      <alignment horizontal="left"/>
    </xf>
    <xf numFmtId="1" fontId="5" fillId="0" borderId="1" applyAlignment="1" pivotButton="0" quotePrefix="0" xfId="0">
      <alignment horizontal="left"/>
    </xf>
    <xf numFmtId="169" fontId="5" fillId="6" borderId="1" applyAlignment="1" pivotButton="0" quotePrefix="0" xfId="0">
      <alignment horizontal="left"/>
    </xf>
    <xf numFmtId="0" fontId="5" fillId="0" borderId="1" applyAlignment="1" pivotButton="0" quotePrefix="0" xfId="0">
      <alignment horizontal="left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dxfs count="9">
    <dxf>
      <font>
        <b val="1"/>
        <color rgb="009C0006"/>
      </font>
      <fill>
        <patternFill patternType="solid">
          <fgColor rgb="00FFC7CE"/>
        </patternFill>
      </fill>
    </dxf>
    <dxf>
      <fill>
        <patternFill patternType="solid">
          <fgColor rgb="00FFC7CE"/>
        </patternFill>
      </fill>
    </dxf>
    <dxf>
      <fill>
        <patternFill patternType="solid">
          <fgColor rgb="00C6EFCE"/>
        </patternFill>
      </fill>
    </dxf>
    <dxf>
      <font>
        <color rgb="00FFFFFF"/>
      </font>
    </dxf>
    <dxf>
      <font>
        <b val="1"/>
        <color rgb="009C5700"/>
      </font>
      <fill>
        <patternFill patternType="solid">
          <fgColor rgb="00FFE0B2"/>
        </patternFill>
      </fill>
    </dxf>
    <dxf>
      <font>
        <b val="1"/>
        <color rgb="00006100"/>
      </font>
      <fill>
        <patternFill patternType="solid">
          <fgColor rgb="00C6EFCE"/>
        </patternFill>
      </fill>
    </dxf>
    <dxf>
      <font>
        <b val="1"/>
        <color rgb="001F3864"/>
      </font>
      <fill>
        <patternFill patternType="solid">
          <fgColor rgb="00DDEBF7"/>
        </patternFill>
      </fill>
    </dxf>
    <dxf>
      <font>
        <b val="1"/>
        <color rgb="00595959"/>
      </font>
      <fill>
        <patternFill patternType="solid">
          <fgColor rgb="00E7E6E6"/>
        </patternFill>
      </fill>
    </dxf>
    <dxf>
      <font>
        <b val="1"/>
        <color rgb="009C5700"/>
      </font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Nombre d'OT par mois et par type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'Tableau de bord'!D28</f>
            </strRef>
          </tx>
          <spPr>
            <a:ln>
              <a:prstDash val="solid"/>
            </a:ln>
          </spPr>
          <cat>
            <numRef>
              <f>'Tableau de bord'!$B$29:$B$40</f>
            </numRef>
          </cat>
          <val>
            <numRef>
              <f>'Tableau de bord'!$D$29:$D$40</f>
            </numRef>
          </val>
        </ser>
        <ser>
          <idx val="1"/>
          <order val="1"/>
          <tx>
            <strRef>
              <f>'Tableau de bord'!E28</f>
            </strRef>
          </tx>
          <spPr>
            <a:ln>
              <a:prstDash val="solid"/>
            </a:ln>
          </spPr>
          <cat>
            <numRef>
              <f>'Tableau de bord'!$B$29:$B$40</f>
            </numRef>
          </cat>
          <val>
            <numRef>
              <f>'Tableau de bord'!$E$29:$E$40</f>
            </numRef>
          </val>
        </ser>
        <ser>
          <idx val="2"/>
          <order val="2"/>
          <tx>
            <strRef>
              <f>'Tableau de bord'!F28</f>
            </strRef>
          </tx>
          <spPr>
            <a:ln>
              <a:prstDash val="solid"/>
            </a:ln>
          </spPr>
          <cat>
            <numRef>
              <f>'Tableau de bord'!$B$29:$B$40</f>
            </numRef>
          </cat>
          <val>
            <numRef>
              <f>'Tableau de bord'!$F$29:$F$40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Coût cumulé réel vs budget (€)</a:t>
            </a:r>
          </a:p>
        </rich>
      </tx>
    </title>
    <plotArea>
      <lineChart>
        <grouping val="standard"/>
        <ser>
          <idx val="0"/>
          <order val="0"/>
          <tx>
            <strRef>
              <f>'Tableau de bord'!J28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'Tableau de bord'!$B$29:$B$40</f>
            </numRef>
          </cat>
          <val>
            <numRef>
              <f>'Tableau de bord'!$J$29:$J$40</f>
            </numRef>
          </val>
        </ser>
        <ser>
          <idx val="1"/>
          <order val="1"/>
          <tx>
            <strRef>
              <f>'Tableau de bord'!K28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'Tableau de bord'!$B$29:$B$40</f>
            </numRef>
          </cat>
          <val>
            <numRef>
              <f>'Tableau de bord'!$K$29:$K$40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Répartition des coûts par type</a:t>
            </a:r>
          </a:p>
        </rich>
      </tx>
    </title>
    <plotArea>
      <pieChart>
        <varyColors val="1"/>
        <ser>
          <idx val="0"/>
          <order val="0"/>
          <tx>
            <strRef>
              <f>'Tableau de bord'!Q28</f>
            </strRef>
          </tx>
          <spPr>
            <a:ln>
              <a:prstDash val="solid"/>
            </a:ln>
          </spPr>
          <cat>
            <numRef>
              <f>'Tableau de bord'!$M$29:$M$33</f>
            </numRef>
          </cat>
          <val>
            <numRef>
              <f>'Tableau de bord'!$Q$29:$Q$33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Heures d'arrêt sur panne par atelier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'Tableau de bord'!P37</f>
            </strRef>
          </tx>
          <spPr>
            <a:ln>
              <a:prstDash val="solid"/>
            </a:ln>
          </spPr>
          <cat>
            <numRef>
              <f>'Tableau de bord'!$M$38:$M$45</f>
            </numRef>
          </cat>
          <val>
            <numRef>
              <f>'Tableau de bord'!$P$38:$P$45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Top 10 équipements - heures d'arrêt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'Tableau de bord'!G49</f>
            </strRef>
          </tx>
          <spPr>
            <a:ln>
              <a:prstDash val="solid"/>
            </a:ln>
          </spPr>
          <cat>
            <numRef>
              <f>'Tableau de bord'!$C$50:$C$59</f>
            </numRef>
          </cat>
          <val>
            <numRef>
              <f>'Tableau de bord'!$G$50:$G$59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Pannes par cause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bord'!O49</f>
            </strRef>
          </tx>
          <spPr>
            <a:ln>
              <a:prstDash val="solid"/>
            </a:ln>
          </spPr>
          <cat>
            <numRef>
              <f>'Tableau de bord'!$M$50:$M$62</f>
            </numRef>
          </cat>
          <val>
            <numRef>
              <f>'Tableau de bord'!$O$50:$O$62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GMAO</author>
  </authors>
  <commentList>
    <comment ref="D4" authorId="0" shapeId="0">
      <text>
        <t>Choisissez l'année à analyser : tous les indicateurs 'période' se recalculent.</t>
      </text>
    </comment>
    <comment ref="H18" authorId="0" shapeId="0">
      <text>
        <t>Rouge si le budget consommé dépasse le prorata de l'année écoulée.</t>
      </text>
    </comment>
  </commentList>
</comments>
</file>

<file path=xl/comments/comment2.xml><?xml version="1.0" encoding="utf-8"?>
<comments xmlns="http://schemas.openxmlformats.org/spreadsheetml/2006/main">
  <authors>
    <author>GMAO</author>
  </authors>
  <commentList>
    <comment ref="K4" authorId="0" shapeId="0">
      <text>
        <t>A = goulot / sans redondance, B = important, C = secondaire. Voir Paramètres.</t>
      </text>
    </comment>
    <comment ref="O4" authorId="0" shapeId="0">
      <text>
        <t>Heures d'ouverture annuelles prévues (ex. 2x8 ≈ 3 600 h, 24/7 = 8 760 h). Hypothèse de saisie.</t>
      </text>
    </comment>
    <comment ref="T4" authorId="0" shapeId="0">
      <text>
        <t>MTBF = (heures d'ouverture × prorata de la période - heures d'arrêt sur panne) / nombre de pannes.</t>
      </text>
    </comment>
    <comment ref="U4" authorId="0" shapeId="0">
      <text>
        <t>MTTR = heures d'arrêt sur panne / nombre de pannes (inclut le délai de prise en charge et l'attente pièces).</t>
      </text>
    </comment>
    <comment ref="V4" authorId="0" shapeId="0">
      <text>
        <t>Disponibilité = 1 - heures d'arrêt maintenance (tous types) / heures d'ouverture de la période.</t>
      </text>
    </comment>
  </commentList>
</comments>
</file>

<file path=xl/comments/comment3.xml><?xml version="1.0" encoding="utf-8"?>
<comments xmlns="http://schemas.openxmlformats.org/spreadsheetml/2006/main">
  <authors>
    <author>GMAO</author>
  </authors>
  <commentList>
    <comment ref="I4" authorId="0" shapeId="0">
      <text>
        <t>Code gamme (GP-xxx) pour un préventif, ID contrôle (CR-xxx) pour un réglementaire. Indispensable pour mettre à jour automatiquement les échéances.</t>
      </text>
    </comment>
    <comment ref="S4" authorId="0" shapeId="0">
      <text>
        <t>Durée pendant laquelle l'équipement n'a pas pu produire (de la panne au redémarrage). 0 si intervention hors production.</t>
      </text>
    </comment>
    <comment ref="T4" authorId="0" shapeId="0">
      <text>
        <t>Temps passé. Pour un OT Demandé / Planifié, saisir l'estimation : elle alimente la charge en attente mais n'est pas valorisée en coût.</t>
      </text>
    </comment>
    <comment ref="W4" authorId="0" shapeId="0">
      <text>
        <t>Calculé automatiquement : valeur des sorties de stock imputées à cet OT (onglet Mouvements stock) moins les retours.</t>
      </text>
    </comment>
    <comment ref="AB4" authorId="0" shapeId="0">
      <text>
        <t>Arrêt production (h) × coût horaire d'arrêt (Paramètres) × facteur de criticité.</t>
      </text>
    </comment>
    <comment ref="AC4" authorId="0" shapeId="0">
      <text>
        <t>Seuls les OT 'Clôturé' mettent à jour les dates de dernière réalisation du plan préventif et des contrôles.</t>
      </text>
    </comment>
  </commentList>
</comments>
</file>

<file path=xl/comments/comment4.xml><?xml version="1.0" encoding="utf-8"?>
<comments xmlns="http://schemas.openxmlformats.org/spreadsheetml/2006/main">
  <authors>
    <author>GMAO</author>
  </authors>
  <commentList>
    <comment ref="L4" authorId="0" shapeId="0">
      <text>
        <t>Date de dernière réalisation connue avant la mise en service de la GMAO (point de départ du calcul).</t>
      </text>
    </comment>
  </commentList>
</comments>
</file>

<file path=xl/comments/comment5.xml><?xml version="1.0" encoding="utf-8"?>
<comments xmlns="http://schemas.openxmlformats.org/spreadsheetml/2006/main">
  <authors>
    <author>GMAO</author>
  </authors>
  <commentList>
    <comment ref="J4" authorId="0" shapeId="0">
      <text>
        <t>Stock compté à l'inventaire de démarrage (01/01/2025).</t>
      </text>
    </comment>
    <comment ref="P4" authorId="0" shapeId="0">
      <text>
        <t>Quantité commandée non encore réceptionnée. À remettre à zéro lors de la saisie de l'entrée en stock.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66</row>
      <rowOff>0</rowOff>
    </from>
    <ext cx="6300000" cy="2951999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66</row>
      <rowOff>0</rowOff>
    </from>
    <ext cx="6300000" cy="2951999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83</row>
      <rowOff>0</rowOff>
    </from>
    <ext cx="6300000" cy="2951999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10</col>
      <colOff>0</colOff>
      <row>83</row>
      <rowOff>0</rowOff>
    </from>
    <ext cx="6300000" cy="2951999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100</row>
      <rowOff>0</rowOff>
    </from>
    <ext cx="6300000" cy="2951999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10</col>
      <colOff>0</colOff>
      <row>100</row>
      <rowOff>0</rowOff>
    </from>
    <ext cx="6300000" cy="2951999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ableau de bord'!A1" TargetMode="External" Id="rId1" /><Relationship Type="http://schemas.openxmlformats.org/officeDocument/2006/relationships/hyperlink" Target="#'&#201;quipements'!A1" TargetMode="External" Id="rId2" /><Relationship Type="http://schemas.openxmlformats.org/officeDocument/2006/relationships/hyperlink" Target="#'Ordres de travail'!A1" TargetMode="External" Id="rId3" /><Relationship Type="http://schemas.openxmlformats.org/officeDocument/2006/relationships/hyperlink" Target="#'Plan pr&#233;ventif'!A1" TargetMode="External" Id="rId4" /><Relationship Type="http://schemas.openxmlformats.org/officeDocument/2006/relationships/hyperlink" Target="#'Contr&#244;les r&#233;glementaires'!A1" TargetMode="External" Id="rId5" /><Relationship Type="http://schemas.openxmlformats.org/officeDocument/2006/relationships/hyperlink" Target="#'Stock pi&#232;ces'!A1" TargetMode="External" Id="rId6" /><Relationship Type="http://schemas.openxmlformats.org/officeDocument/2006/relationships/hyperlink" Target="#'Mouvements stock'!A1" TargetMode="External" Id="rId7" /><Relationship Type="http://schemas.openxmlformats.org/officeDocument/2006/relationships/hyperlink" Target="#'Techniciens'!A1" TargetMode="External" Id="rId8" /><Relationship Type="http://schemas.openxmlformats.org/officeDocument/2006/relationships/hyperlink" Target="#'Fournisseurs'!A1" TargetMode="External" Id="rId9" /><Relationship Type="http://schemas.openxmlformats.org/officeDocument/2006/relationships/hyperlink" Target="#'Budget'!A1" TargetMode="External" Id="rId10" /><Relationship Type="http://schemas.openxmlformats.org/officeDocument/2006/relationships/hyperlink" Target="#'Relev&#233;s compteurs'!A1" TargetMode="External" Id="rId11" /><Relationship Type="http://schemas.openxmlformats.org/officeDocument/2006/relationships/hyperlink" Target="#'Param&#232;tres'!A1" TargetMode="External" Id="rId12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 /><Relationship Type="http://schemas.openxmlformats.org/officeDocument/2006/relationships/vmlDrawing" Target="/xl/drawings/commentsDrawing3.vml" Id="anysvml" 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4.xml" Id="comments" /><Relationship Type="http://schemas.openxmlformats.org/officeDocument/2006/relationships/vmlDrawing" Target="/xl/drawings/commentsDrawing4.vml" Id="anysvml" /></Relationships>
</file>

<file path=xl/worksheets/_rels/sheet7.xml.rels><Relationships xmlns="http://schemas.openxmlformats.org/package/2006/relationships"><Relationship Type="http://schemas.openxmlformats.org/officeDocument/2006/relationships/comments" Target="/xl/comments/comment5.xml" Id="comments" /><Relationship Type="http://schemas.openxmlformats.org/officeDocument/2006/relationships/vmlDrawing" Target="/xl/drawings/commentsDrawing5.vml" Id="anysvml" /></Relationships>
</file>

<file path=xl/worksheets/sheet1.xml><?xml version="1.0" encoding="utf-8"?>
<worksheet xmlns="http://schemas.openxmlformats.org/spreadsheetml/2006/main">
  <sheetPr>
    <tabColor rgb="001F3864"/>
    <outlinePr summaryBelow="1" summaryRight="1"/>
    <pageSetUpPr/>
  </sheetPr>
  <dimension ref="B2:C4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95" customWidth="1" min="3" max="3"/>
  </cols>
  <sheetData>
    <row r="2" ht="40" customHeight="1">
      <c r="B2" s="1" t="inlineStr">
        <is>
          <t>GMAO - Gestion de la Maintenance Assistée par Ordinateur</t>
        </is>
      </c>
    </row>
    <row r="3">
      <c r="B3" s="2">
        <f>'Paramètres'!$AA$18</f>
        <v/>
      </c>
    </row>
    <row r="4">
      <c r="B4" s="3" t="inlineStr">
        <is>
          <t>Classeur prêt à l'emploi pour PME industrielle. Toutes les données (entreprise, personnes, fournisseurs, numéros de série, coûts) sont FICTIVES et servent d'exemple : remplacez-les par les vôtres.</t>
        </is>
      </c>
    </row>
    <row r="6">
      <c r="B6" s="4" t="inlineStr">
        <is>
          <t>Onglets</t>
        </is>
      </c>
    </row>
    <row r="7" ht="26" customHeight="1">
      <c r="B7" s="5" t="inlineStr">
        <is>
          <t>Tableau de bord</t>
        </is>
      </c>
      <c r="C7" s="6" t="inlineStr">
        <is>
          <t>Indicateurs clés (MTBF, MTTR, disponibilité, taux de préventif, coûts, budget), alertes temps réel, top 10, causes, graphiques. Choisir l'année en D4.</t>
        </is>
      </c>
    </row>
    <row r="8" ht="26" customHeight="1">
      <c r="B8" s="5" t="inlineStr">
        <is>
          <t>Équipements</t>
        </is>
      </c>
      <c r="C8" s="6" t="inlineStr">
        <is>
          <t>Parc machines : identification, criticité A/B/C, garantie, heures d'ouverture + indicateurs de fiabilité calculés par équipement.</t>
        </is>
      </c>
    </row>
    <row r="9" ht="26" customHeight="1">
      <c r="B9" s="5" t="inlineStr">
        <is>
          <t>Ordres de travail</t>
        </is>
      </c>
      <c r="C9" s="6" t="inlineStr">
        <is>
          <t>Cœur de la GMAO : toutes les demandes et interventions. Coûts MO / pièces / sous-traitance et coût d'indisponibilité calculés.</t>
        </is>
      </c>
    </row>
    <row r="10" ht="26" customHeight="1">
      <c r="B10" s="5" t="inlineStr">
        <is>
          <t>Plan préventif</t>
        </is>
      </c>
      <c r="C10" s="6" t="inlineStr">
        <is>
          <t>Gammes de maintenance préventive avec fréquence, échéance calculée, statut (OK / À PLANIFIER / EN RETARD) et charge annuelle.</t>
        </is>
      </c>
    </row>
    <row r="11" ht="26" customHeight="1">
      <c r="B11" s="5" t="inlineStr">
        <is>
          <t>Contrôles réglementaires</t>
        </is>
      </c>
      <c r="C11" s="6" t="inlineStr">
        <is>
          <t>Échéancier des contrôles réglementaires (VGP levage, presses, électricité, ESP, incendie, portes, rayonnages, ventilation...).</t>
        </is>
      </c>
    </row>
    <row r="12" ht="26" customHeight="1">
      <c r="B12" s="5" t="inlineStr">
        <is>
          <t>Stock pièces</t>
        </is>
      </c>
      <c r="C12" s="6" t="inlineStr">
        <is>
          <t>Magasin : stock calculé, mini/maxi, valeur, statut de réapprovisionnement et quantité à commander.</t>
        </is>
      </c>
    </row>
    <row r="13" ht="26" customHeight="1">
      <c r="B13" s="5" t="inlineStr">
        <is>
          <t>Mouvements stock</t>
        </is>
      </c>
      <c r="C13" s="6" t="inlineStr">
        <is>
          <t>Entrées / sorties / retours de pièces. Une sortie liée à un N° d'OT est automatiquement imputée au coût de l'OT.</t>
        </is>
      </c>
    </row>
    <row r="14" ht="26" customHeight="1">
      <c r="B14" s="5" t="inlineStr">
        <is>
          <t>Techniciens</t>
        </is>
      </c>
      <c r="C14" s="6" t="inlineStr">
        <is>
          <t>Équipe maintenance : taux horaires, habilitations électriques, CACES, SST, heures réalisées et charge.</t>
        </is>
      </c>
    </row>
    <row r="15" ht="26" customHeight="1">
      <c r="B15" s="5" t="inlineStr">
        <is>
          <t>Fournisseurs</t>
        </is>
      </c>
      <c r="C15" s="6" t="inlineStr">
        <is>
          <t>Fournisseurs, sous-traitants et organismes de contrôle : contrats, délais, évaluation, dépenses de la période.</t>
        </is>
      </c>
    </row>
    <row r="16" ht="26" customHeight="1">
      <c r="B16" s="5" t="inlineStr">
        <is>
          <t>Budget</t>
        </is>
      </c>
      <c r="C16" s="6" t="inlineStr">
        <is>
          <t>Budget mensuel par poste (saisie) vs réel calculé automatiquement, écarts et cumuls.</t>
        </is>
      </c>
    </row>
    <row r="17" ht="26" customHeight="1">
      <c r="B17" s="5" t="inlineStr">
        <is>
          <t>Relevés compteurs</t>
        </is>
      </c>
      <c r="C17" s="6" t="inlineStr">
        <is>
          <t>Relevés de compteurs horaires pour la maintenance conditionnelle.</t>
        </is>
      </c>
    </row>
    <row r="18" ht="26" customHeight="1">
      <c r="B18" s="5" t="inlineStr">
        <is>
          <t>Paramètres</t>
        </is>
      </c>
      <c r="C18" s="6" t="inlineStr">
        <is>
          <t>Listes déroulantes et paramètres de calcul (coût d'arrêt, seuils d'alerte, objectifs).</t>
        </is>
      </c>
    </row>
    <row r="20">
      <c r="B20" s="4" t="inlineStr">
        <is>
          <t>Légende</t>
        </is>
      </c>
    </row>
    <row r="21">
      <c r="B21" s="7" t="inlineStr">
        <is>
          <t>Texte bleu</t>
        </is>
      </c>
      <c r="C21" s="8" t="inlineStr">
        <is>
          <t>Cellule de saisie (donnée à renseigner / modifier).</t>
        </is>
      </c>
    </row>
    <row r="22">
      <c r="B22" s="9" t="inlineStr">
        <is>
          <t>Fond gris</t>
        </is>
      </c>
      <c r="C22" s="8" t="inlineStr">
        <is>
          <t>Formule de calcul automatique : ne pas écraser. Les formules sont pré-étendues sur plusieurs milliers de lignes.</t>
        </is>
      </c>
    </row>
    <row r="23">
      <c r="B23" s="10" t="inlineStr">
        <is>
          <t>Texte vert</t>
        </is>
      </c>
      <c r="C23" s="8" t="inlineStr">
        <is>
          <t>Lien vers une autre feuille.</t>
        </is>
      </c>
    </row>
    <row r="24">
      <c r="B24" s="11" t="inlineStr">
        <is>
          <t>Fond jaune</t>
        </is>
      </c>
      <c r="C24" s="8" t="inlineStr">
        <is>
          <t>Paramètre clé / hypothèse à ajuster (année d'analyse, coût d'arrêt, objectifs...).</t>
        </is>
      </c>
    </row>
    <row r="25">
      <c r="B25" s="12" t="inlineStr">
        <is>
          <t>En-tête bleu clair</t>
        </is>
      </c>
      <c r="C25" s="8" t="inlineStr">
        <is>
          <t>Colonne calculée (en-tête bleu moyen) ; en-tête bleu foncé = colonne de saisie.</t>
        </is>
      </c>
    </row>
    <row r="27">
      <c r="B27" s="4" t="inlineStr">
        <is>
          <t>Utilisation au quotidien</t>
        </is>
      </c>
    </row>
    <row r="28" ht="30" customHeight="1">
      <c r="B28" s="13" t="inlineStr">
        <is>
          <t>1. Nouvelle demande / panne</t>
        </is>
      </c>
      <c r="C28" s="6" t="inlineStr">
        <is>
          <t>Onglet Ordres de travail : ajouter une ligne sous la dernière. N° = 'Prochain N° OT' affiché en haut. Saisir date, équipement, type, priorité, description, statut 'Demandé'.</t>
        </is>
      </c>
    </row>
    <row r="29" ht="30" customHeight="1">
      <c r="B29" s="13" t="inlineStr">
        <is>
          <t>2. Intervention</t>
        </is>
      </c>
      <c r="C29" s="6" t="inlineStr">
        <is>
          <t>Renseigner intervenant, début / fin, heures d'arrêt de production, temps MO, cause, travaux réalisés. Passer le statut à 'Clôturé'.</t>
        </is>
      </c>
    </row>
    <row r="30" ht="30" customHeight="1">
      <c r="B30" s="13" t="inlineStr">
        <is>
          <t>3. Pièces consommées</t>
        </is>
      </c>
      <c r="C30" s="6" t="inlineStr">
        <is>
          <t>Onglet Mouvements stock : une ligne 'Sortie' avec la référence, la quantité et le N° d'OT. Le coût s'impute automatiquement à l'OT et le stock se met à jour.</t>
        </is>
      </c>
    </row>
    <row r="31" ht="30" customHeight="1">
      <c r="B31" s="13" t="inlineStr">
        <is>
          <t>4. Préventif</t>
        </is>
      </c>
      <c r="C31" s="6" t="inlineStr">
        <is>
          <t>Chaque semaine, filtrer le Plan préventif sur 'EN RETARD' / 'À PLANIFIER' et créer les OT avec le code gamme (GP-xxx) dans 'Réf. gamme / contrôle'. À la clôture, l'échéance suivante se recalcule.</t>
        </is>
      </c>
    </row>
    <row r="32" ht="30" customHeight="1">
      <c r="B32" s="13" t="inlineStr">
        <is>
          <t>5. Réglementaire</t>
        </is>
      </c>
      <c r="C32" s="6" t="inlineStr">
        <is>
          <t>Même principe avec l'ID contrôle (CR-xxx). Renseigner le coût de l'organisme en sous-traitance et le nombre d'observations du rapport.</t>
        </is>
      </c>
    </row>
    <row r="33" ht="30" customHeight="1">
      <c r="B33" s="13" t="inlineStr">
        <is>
          <t>6. Magasin</t>
        </is>
      </c>
      <c r="C33" s="6" t="inlineStr">
        <is>
          <t>Filtrer Stock pièces sur 'À COMMANDER' : la colonne 'Qté à commander' donne la quantité pour revenir au stock maxi. Saisir la quantité en commande, puis l'entrée à réception.</t>
        </is>
      </c>
    </row>
    <row r="34" ht="30" customHeight="1">
      <c r="B34" s="13" t="inlineStr">
        <is>
          <t>7. Pilotage</t>
        </is>
      </c>
      <c r="C34" s="6" t="inlineStr">
        <is>
          <t>Tableau de bord mensuel : choisir l'année, analyser disponibilité, top 10 et causes pour orienter les actions d'amélioration (OT 'Amélioratif').</t>
        </is>
      </c>
    </row>
    <row r="35" ht="30" customHeight="1">
      <c r="B35" s="13" t="inlineStr">
        <is>
          <t>Démarrer avec vos données</t>
        </is>
      </c>
      <c r="C35" s="6" t="inlineStr">
        <is>
          <t>Effacer uniquement les cellules en texte bleu des onglets de données (Ctrl + clic sur les colonnes bleues &gt; Suppr). Les colonnes grises se recalculent seules. Conserver les lignes d'en-tête.</t>
        </is>
      </c>
    </row>
    <row r="37">
      <c r="B37" s="4" t="inlineStr">
        <is>
          <t>Définitions des indicateurs</t>
        </is>
      </c>
    </row>
    <row r="38" ht="26" customHeight="1">
      <c r="B38" s="14" t="inlineStr">
        <is>
          <t>MTBF</t>
        </is>
      </c>
      <c r="C38" s="6" t="inlineStr">
        <is>
          <t>Mean Time Between Failures = (heures d'ouverture de la période - heures d'arrêt sur panne) / nombre de pannes. Plus il est élevé, plus l'équipement est fiable.</t>
        </is>
      </c>
    </row>
    <row r="39" ht="26" customHeight="1">
      <c r="B39" s="14" t="inlineStr">
        <is>
          <t>MTTR</t>
        </is>
      </c>
      <c r="C39" s="6" t="inlineStr">
        <is>
          <t>Mean Time To Repair = heures d'arrêt sur panne / nombre de pannes (inclut prise en charge et attente pièces).</t>
        </is>
      </c>
    </row>
    <row r="40" ht="26" customHeight="1">
      <c r="B40" s="14" t="inlineStr">
        <is>
          <t>Disponibilité</t>
        </is>
      </c>
      <c r="C40" s="6" t="inlineStr">
        <is>
          <t>1 - heures d'arrêt maintenance / heures d'ouverture de la période (au prorata de l'année écoulée).</t>
        </is>
      </c>
    </row>
    <row r="41" ht="26" customHeight="1">
      <c r="B41" s="14" t="inlineStr">
        <is>
          <t>Taux de préventif</t>
        </is>
      </c>
      <c r="C41" s="6" t="inlineStr">
        <is>
          <t>Heures MO préventives (systématique + conditionnel) / heures MO totales. Repère : viser &gt; 60 %.</t>
        </is>
      </c>
    </row>
    <row r="42" ht="26" customHeight="1">
      <c r="B42" s="14" t="inlineStr">
        <is>
          <t>Coût d'indisponibilité</t>
        </is>
      </c>
      <c r="C42" s="6" t="inlineStr">
        <is>
          <t>Heures d'arrêt × coût horaire d'arrêt (Paramètres) × facteur de criticité (A = 100 %, B = 50 %, C = 20 %).</t>
        </is>
      </c>
    </row>
    <row r="43" ht="26" customHeight="1">
      <c r="B43" s="14" t="inlineStr">
        <is>
          <t>Criticité</t>
        </is>
      </c>
      <c r="C43" s="6" t="inlineStr">
        <is>
          <t>A = goulot sans redondance, B = important, C = secondaire. Sert à prioriser les OT et le préventif.</t>
        </is>
      </c>
    </row>
    <row r="44" ht="26" customHeight="1">
      <c r="B44" s="14" t="inlineStr">
        <is>
          <t>Période d'analyse</t>
        </is>
      </c>
      <c r="C44" s="6" t="inlineStr">
        <is>
          <t>Les indicateurs 'période' filtrent les OT sur la date de demande comprise dans l'année choisie dans le Tableau de bord.</t>
        </is>
      </c>
    </row>
    <row r="46">
      <c r="B46" s="15" t="inlineStr">
        <is>
          <t>Avertissement</t>
        </is>
      </c>
      <c r="C46" s="16" t="inlineStr">
        <is>
          <t>Les références réglementaires et périodicités sont indicatives : à valider avec votre organisme de contrôle, votre assureur et la réglementation en vigueur.</t>
        </is>
      </c>
    </row>
  </sheetData>
  <mergeCells count="2">
    <mergeCell ref="B4:C4"/>
    <mergeCell ref="B2:C2"/>
  </mergeCells>
  <hyperlinks>
    <hyperlink xmlns:r="http://schemas.openxmlformats.org/officeDocument/2006/relationships" ref="B7" r:id="rId1"/>
    <hyperlink xmlns:r="http://schemas.openxmlformats.org/officeDocument/2006/relationships" ref="B8" r:id="rId2"/>
    <hyperlink xmlns:r="http://schemas.openxmlformats.org/officeDocument/2006/relationships" ref="B9" r:id="rId3"/>
    <hyperlink xmlns:r="http://schemas.openxmlformats.org/officeDocument/2006/relationships" ref="B10" r:id="rId4"/>
    <hyperlink xmlns:r="http://schemas.openxmlformats.org/officeDocument/2006/relationships" ref="B11" r:id="rId5"/>
    <hyperlink xmlns:r="http://schemas.openxmlformats.org/officeDocument/2006/relationships" ref="B12" r:id="rId6"/>
    <hyperlink xmlns:r="http://schemas.openxmlformats.org/officeDocument/2006/relationships" ref="B13" r:id="rId7"/>
    <hyperlink xmlns:r="http://schemas.openxmlformats.org/officeDocument/2006/relationships" ref="B14" r:id="rId8"/>
    <hyperlink xmlns:r="http://schemas.openxmlformats.org/officeDocument/2006/relationships" ref="B15" r:id="rId9"/>
    <hyperlink xmlns:r="http://schemas.openxmlformats.org/officeDocument/2006/relationships" ref="B16" r:id="rId10"/>
    <hyperlink xmlns:r="http://schemas.openxmlformats.org/officeDocument/2006/relationships" ref="B17" r:id="rId11"/>
    <hyperlink xmlns:r="http://schemas.openxmlformats.org/officeDocument/2006/relationships" ref="B18" r:id="rId1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C00000"/>
    <outlinePr summaryBelow="1" summaryRight="1"/>
    <pageSetUpPr/>
  </sheetPr>
  <dimension ref="B2:S65"/>
  <sheetViews>
    <sheetView showGridLines="0" zoomScale="85" workbookViewId="0">
      <selection activeCell="A1" sqref="A1"/>
    </sheetView>
  </sheetViews>
  <sheetFormatPr baseColWidth="8" defaultRowHeight="15"/>
  <cols>
    <col width="2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  <col width="11.5" customWidth="1" min="14" max="14"/>
    <col width="11.5" customWidth="1" min="15" max="15"/>
    <col width="11.5" customWidth="1" min="16" max="16"/>
    <col width="11.5" customWidth="1" min="17" max="17"/>
    <col width="11.5" customWidth="1" min="18" max="18"/>
    <col width="11.5" customWidth="1" min="19" max="19"/>
    <col width="11.5" customWidth="1" min="20" max="20"/>
    <col width="11.5" customWidth="1" min="21" max="21"/>
  </cols>
  <sheetData>
    <row r="2" ht="34" customHeight="1">
      <c r="B2" s="17" t="inlineStr">
        <is>
          <t>TABLEAU DE BORD MAINTENANCE</t>
        </is>
      </c>
    </row>
    <row r="3">
      <c r="B3" s="3">
        <f>'Paramètres'!$AA$18&amp;"  •  "&amp;'Paramètres'!$AA$19</f>
        <v/>
      </c>
    </row>
    <row r="4">
      <c r="B4" s="18" t="inlineStr">
        <is>
          <t>Année d'analyse :</t>
        </is>
      </c>
      <c r="D4" s="19" t="n">
        <v>2026</v>
      </c>
      <c r="F4" s="20" t="inlineStr">
        <is>
          <t>Période du</t>
        </is>
      </c>
      <c r="G4" s="21">
        <f>'Paramètres'!$AA$6</f>
        <v/>
      </c>
      <c r="H4" s="20" t="inlineStr">
        <is>
          <t>au</t>
        </is>
      </c>
      <c r="I4" s="21">
        <f>MIN('Paramètres'!$AA$7,TODAY())</f>
        <v/>
      </c>
      <c r="K4" s="20" t="inlineStr">
        <is>
          <t>Mise à jour :</t>
        </is>
      </c>
      <c r="L4" s="21">
        <f>TODAY()</f>
        <v/>
      </c>
    </row>
    <row r="6" ht="18" customHeight="1">
      <c r="B6" s="22" t="inlineStr">
        <is>
          <t>ACTIVITÉ</t>
        </is>
      </c>
    </row>
    <row r="7" ht="18" customHeight="1">
      <c r="B7" s="23" t="inlineStr">
        <is>
          <t>OT créés</t>
        </is>
      </c>
      <c r="C7" s="24" t="n"/>
      <c r="E7" s="23" t="inlineStr">
        <is>
          <t>OT correctifs</t>
        </is>
      </c>
      <c r="F7" s="24" t="n"/>
      <c r="H7" s="23" t="inlineStr">
        <is>
          <t>OT préventifs</t>
        </is>
      </c>
      <c r="I7" s="24" t="n"/>
      <c r="K7" s="23" t="inlineStr">
        <is>
          <t>OT ouverts</t>
        </is>
      </c>
      <c r="L7" s="24" t="n"/>
      <c r="N7" s="23" t="inlineStr">
        <is>
          <t>Urgences P1 ouvertes</t>
        </is>
      </c>
      <c r="O7" s="24" t="n"/>
      <c r="Q7" s="23" t="inlineStr">
        <is>
          <t>Charge en attente (h)</t>
        </is>
      </c>
      <c r="R7" s="24" t="n"/>
    </row>
    <row r="8" ht="34" customHeight="1">
      <c r="B8" s="25">
        <f>COUNTIFS('Ordres de travail'!$B$5:$B$3004,"&gt;="&amp;'Paramètres'!$AA$6,'Ordres de travail'!$B$5:$B$3004,"&lt;"&amp;('Paramètres'!$AA$7+1))</f>
        <v/>
      </c>
      <c r="C8" s="24" t="n"/>
      <c r="E8" s="25">
        <f>COUNTIFS('Ordres de travail'!$H$5:$H$3004,"Correctif",'Ordres de travail'!$AC$5:$AC$3004,"&lt;&gt;Annulé",'Ordres de travail'!$B$5:$B$3004,"&gt;="&amp;'Paramètres'!$AA$6,'Ordres de travail'!$B$5:$B$3004,"&lt;"&amp;('Paramètres'!$AA$7+1))</f>
        <v/>
      </c>
      <c r="F8" s="24" t="n"/>
      <c r="H8" s="25">
        <f>SUM(COUNTIFS('Ordres de travail'!$H$5:$H$3004,{"Préventif systématique","Préventif conditionnel"},'Ordres de travail'!$AC$5:$AC$3004,"&lt;&gt;Annulé",'Ordres de travail'!$B$5:$B$3004,"&gt;="&amp;'Paramètres'!$AA$6,'Ordres de travail'!$B$5:$B$3004,"&lt;"&amp;('Paramètres'!$AA$7+1)))</f>
        <v/>
      </c>
      <c r="I8" s="24" t="n"/>
      <c r="K8" s="25">
        <f>SUM(COUNTIFS('Ordres de travail'!$AC$5:$AC$3004,{"Demandé","Planifié","En cours","En attente pièces"}))</f>
        <v/>
      </c>
      <c r="L8" s="24" t="n"/>
      <c r="N8" s="25">
        <f>SUM(COUNTIFS('Ordres de travail'!$AC$5:$AC$3004,{"Demandé","Planifié","En cours","En attente pièces"},'Ordres de travail'!$K$5:$K$3004,"P1 - Urgent"))</f>
        <v/>
      </c>
      <c r="O8" s="24" t="n"/>
      <c r="Q8" s="26">
        <f>SUM(SUMIFS('Ordres de travail'!$T$5:$T$3004,'Ordres de travail'!$AC$5:$AC$3004,{"Demandé","Planifié","En cours","En attente pièces"}))</f>
        <v/>
      </c>
      <c r="R8" s="24" t="n"/>
    </row>
    <row r="9" ht="15" customHeight="1">
      <c r="B9" s="27" t="inlineStr">
        <is>
          <t>sur la période</t>
        </is>
      </c>
      <c r="C9" s="24" t="n"/>
      <c r="E9" s="27" t="inlineStr">
        <is>
          <t>pannes (hors annulés)</t>
        </is>
      </c>
      <c r="F9" s="24" t="n"/>
      <c r="H9" s="27" t="inlineStr">
        <is>
          <t>systématiques + conditionnels</t>
        </is>
      </c>
      <c r="I9" s="24" t="n"/>
      <c r="K9" s="27" t="inlineStr">
        <is>
          <t>à ce jour (tous types)</t>
        </is>
      </c>
      <c r="L9" s="24" t="n"/>
      <c r="N9" s="27" t="inlineStr">
        <is>
          <t>à traiter en priorité</t>
        </is>
      </c>
      <c r="O9" s="24" t="n"/>
      <c r="Q9" s="27" t="inlineStr">
        <is>
          <t>heures MO estimées OT ouverts</t>
        </is>
      </c>
      <c r="R9" s="24" t="n"/>
    </row>
    <row r="11" ht="18" customHeight="1">
      <c r="B11" s="28" t="inlineStr">
        <is>
          <t>PERFORMANCE</t>
        </is>
      </c>
    </row>
    <row r="12" ht="18" customHeight="1">
      <c r="B12" s="29" t="inlineStr">
        <is>
          <t>MTBF parc (h)</t>
        </is>
      </c>
      <c r="C12" s="30" t="n"/>
      <c r="E12" s="29" t="inlineStr">
        <is>
          <t>MTTR (h)</t>
        </is>
      </c>
      <c r="F12" s="30" t="n"/>
      <c r="H12" s="29" t="inlineStr">
        <is>
          <t>Disponibilité parc</t>
        </is>
      </c>
      <c r="I12" s="30" t="n"/>
      <c r="K12" s="29" t="inlineStr">
        <is>
          <t>Taux de préventif</t>
        </is>
      </c>
      <c r="L12" s="30" t="n"/>
      <c r="N12" s="29" t="inlineStr">
        <is>
          <t>Réalisation préventif</t>
        </is>
      </c>
      <c r="O12" s="30" t="n"/>
      <c r="Q12" s="29" t="inlineStr">
        <is>
          <t>Heures d'arrêt production</t>
        </is>
      </c>
      <c r="R12" s="30" t="n"/>
    </row>
    <row r="13" ht="34" customHeight="1">
      <c r="B13" s="31">
        <f>IFERROR((SUMIFS('Équipements'!$O$5:$O$304,'Équipements'!$L$5:$L$304,"&lt;&gt;Réformé")*'Paramètres'!$AA$8-SUMIFS('Ordres de travail'!$S$5:$S$3004,'Ordres de travail'!$H$5:$H$3004,"Correctif",'Ordres de travail'!$AC$5:$AC$3004,"&lt;&gt;Annulé",'Ordres de travail'!$B$5:$B$3004,"&gt;="&amp;'Paramètres'!$AA$6,'Ordres de travail'!$B$5:$B$3004,"&lt;"&amp;('Paramètres'!$AA$7+1)))/COUNTIFS('Ordres de travail'!$H$5:$H$3004,"Correctif",'Ordres de travail'!$AC$5:$AC$3004,"&lt;&gt;Annulé",'Ordres de travail'!$B$5:$B$3004,"&gt;="&amp;'Paramètres'!$AA$6,'Ordres de travail'!$B$5:$B$3004,"&lt;"&amp;('Paramètres'!$AA$7+1)),"-")</f>
        <v/>
      </c>
      <c r="C13" s="30" t="n"/>
      <c r="E13" s="32">
        <f>IFERROR(SUMIFS('Ordres de travail'!$S$5:$S$3004,'Ordres de travail'!$H$5:$H$3004,"Correctif",'Ordres de travail'!$AC$5:$AC$3004,"&lt;&gt;Annulé",'Ordres de travail'!$B$5:$B$3004,"&gt;="&amp;'Paramètres'!$AA$6,'Ordres de travail'!$B$5:$B$3004,"&lt;"&amp;('Paramètres'!$AA$7+1))/COUNTIFS('Ordres de travail'!$H$5:$H$3004,"Correctif",'Ordres de travail'!$AC$5:$AC$3004,"&lt;&gt;Annulé",'Ordres de travail'!$B$5:$B$3004,"&gt;="&amp;'Paramètres'!$AA$6,'Ordres de travail'!$B$5:$B$3004,"&lt;"&amp;('Paramètres'!$AA$7+1)),"-")</f>
        <v/>
      </c>
      <c r="F13" s="30" t="n"/>
      <c r="H13" s="33">
        <f>IFERROR(1-SUMIFS('Ordres de travail'!$S$5:$S$3004,'Ordres de travail'!$AC$5:$AC$3004,"&lt;&gt;Annulé",'Ordres de travail'!$B$5:$B$3004,"&gt;="&amp;'Paramètres'!$AA$6,'Ordres de travail'!$B$5:$B$3004,"&lt;"&amp;('Paramètres'!$AA$7+1))/(SUMIFS('Équipements'!$O$5:$O$304,'Équipements'!$L$5:$L$304,"&lt;&gt;Réformé")*'Paramètres'!$AA$8),"-")</f>
        <v/>
      </c>
      <c r="I13" s="30" t="n"/>
      <c r="K13" s="33">
        <f>IFERROR(SUM(SUMIFS('Ordres de travail'!$T$5:$T$3004,'Ordres de travail'!$H$5:$H$3004,{"Préventif systématique","Préventif conditionnel"},'Ordres de travail'!$AC$5:$AC$3004,"&lt;&gt;Annulé",'Ordres de travail'!$B$5:$B$3004,"&gt;="&amp;'Paramètres'!$AA$6,'Ordres de travail'!$B$5:$B$3004,"&lt;"&amp;('Paramètres'!$AA$7+1)))/SUMIFS('Ordres de travail'!$T$5:$T$3004,'Ordres de travail'!$AC$5:$AC$3004,"&lt;&gt;Annulé",'Ordres de travail'!$B$5:$B$3004,"&gt;="&amp;'Paramètres'!$AA$6,'Ordres de travail'!$B$5:$B$3004,"&lt;"&amp;('Paramètres'!$AA$7+1)),"-")</f>
        <v/>
      </c>
      <c r="L13" s="30" t="n"/>
      <c r="N13" s="33">
        <f>IFERROR(SUM(COUNTIFS('Ordres de travail'!$H$5:$H$3004,{"Préventif systématique","Préventif conditionnel"},'Ordres de travail'!$AC$5:$AC$3004,"Clôturé",'Ordres de travail'!$B$5:$B$3004,"&gt;="&amp;'Paramètres'!$AA$6,'Ordres de travail'!$B$5:$B$3004,"&lt;"&amp;('Paramètres'!$AA$7+1)))/SUM(COUNTIFS('Ordres de travail'!$H$5:$H$3004,{"Préventif systématique","Préventif conditionnel"},'Ordres de travail'!$AC$5:$AC$3004,"&lt;&gt;Annulé",'Ordres de travail'!$B$5:$B$3004,"&gt;="&amp;'Paramètres'!$AA$6,'Ordres de travail'!$B$5:$B$3004,"&lt;"&amp;('Paramètres'!$AA$7+1))),"-")</f>
        <v/>
      </c>
      <c r="O13" s="30" t="n"/>
      <c r="Q13" s="31">
        <f>SUMIFS('Ordres de travail'!$S$5:$S$3004,'Ordres de travail'!$AC$5:$AC$3004,"&lt;&gt;Annulé",'Ordres de travail'!$B$5:$B$3004,"&gt;="&amp;'Paramètres'!$AA$6,'Ordres de travail'!$B$5:$B$3004,"&lt;"&amp;('Paramètres'!$AA$7+1))</f>
        <v/>
      </c>
      <c r="R13" s="30" t="n"/>
    </row>
    <row r="14" ht="15" customHeight="1">
      <c r="B14" s="34" t="inlineStr">
        <is>
          <t>temps moyen entre pannes</t>
        </is>
      </c>
      <c r="C14" s="30" t="n"/>
      <c r="E14" s="34" t="inlineStr">
        <is>
          <t>durée moyenne d'arrêt / panne</t>
        </is>
      </c>
      <c r="F14" s="30" t="n"/>
      <c r="H14" s="34" t="inlineStr">
        <is>
          <t>objectif : voir Paramètres</t>
        </is>
      </c>
      <c r="I14" s="30" t="n"/>
      <c r="K14" s="34" t="inlineStr">
        <is>
          <t>heures MO préventif / total</t>
        </is>
      </c>
      <c r="L14" s="30" t="n"/>
      <c r="N14" s="34" t="inlineStr">
        <is>
          <t>OT préventifs clôturés / émis</t>
        </is>
      </c>
      <c r="O14" s="30" t="n"/>
      <c r="Q14" s="34" t="inlineStr">
        <is>
          <t>tous types d'intervention</t>
        </is>
      </c>
      <c r="R14" s="30" t="n"/>
    </row>
    <row r="16" ht="18" customHeight="1">
      <c r="B16" s="35" t="inlineStr">
        <is>
          <t>COÛTS</t>
        </is>
      </c>
    </row>
    <row r="17" ht="18" customHeight="1">
      <c r="B17" s="36" t="inlineStr">
        <is>
          <t>Coût maintenance (€)</t>
        </is>
      </c>
      <c r="C17" s="37" t="n"/>
      <c r="E17" s="36" t="inlineStr">
        <is>
          <t>Budget annuel (€)</t>
        </is>
      </c>
      <c r="F17" s="37" t="n"/>
      <c r="H17" s="36" t="inlineStr">
        <is>
          <t>Budget consommé</t>
        </is>
      </c>
      <c r="I17" s="37" t="n"/>
      <c r="K17" s="36" t="inlineStr">
        <is>
          <t>Coût d'indisponibilité (€)</t>
        </is>
      </c>
      <c r="L17" s="37" t="n"/>
      <c r="N17" s="36" t="inlineStr">
        <is>
          <t>Valeur du stock (€)</t>
        </is>
      </c>
      <c r="O17" s="37" t="n"/>
      <c r="Q17" s="36" t="inlineStr">
        <is>
          <t>Coût maint. / valeur parc</t>
        </is>
      </c>
      <c r="R17" s="37" t="n"/>
    </row>
    <row r="18" ht="34" customHeight="1">
      <c r="B18" s="38">
        <f>SUMIFS('Ordres de travail'!$AA$5:$AA$3004,'Ordres de travail'!$B$5:$B$3004,"&gt;="&amp;'Paramètres'!$AA$6,'Ordres de travail'!$B$5:$B$3004,"&lt;"&amp;('Paramètres'!$AA$7+1))</f>
        <v/>
      </c>
      <c r="C18" s="37" t="n"/>
      <c r="E18" s="38">
        <f>SUMIFS('Budget'!$F$5:$F$64,'Budget'!$A$5:$A$64,'Paramètres'!$AA$5)</f>
        <v/>
      </c>
      <c r="F18" s="37" t="n"/>
      <c r="H18" s="39">
        <f>IFERROR(SUMIFS('Ordres de travail'!$AA$5:$AA$3004,'Ordres de travail'!$B$5:$B$3004,"&gt;="&amp;'Paramètres'!$AA$6,'Ordres de travail'!$B$5:$B$3004,"&lt;"&amp;('Paramètres'!$AA$7+1))/SUMIFS('Budget'!$F$5:$F$64,'Budget'!$A$5:$A$64,'Paramètres'!$AA$5),"-")</f>
        <v/>
      </c>
      <c r="I18" s="37" t="n"/>
      <c r="K18" s="38">
        <f>SUMIFS('Ordres de travail'!$AB$5:$AB$3004,'Ordres de travail'!$B$5:$B$3004,"&gt;="&amp;'Paramètres'!$AA$6,'Ordres de travail'!$B$5:$B$3004,"&lt;"&amp;('Paramètres'!$AA$7+1))</f>
        <v/>
      </c>
      <c r="L18" s="37" t="n"/>
      <c r="N18" s="38">
        <f>SUM('Stock pièces'!$R$5:$R$404)</f>
        <v/>
      </c>
      <c r="O18" s="37" t="n"/>
      <c r="Q18" s="39">
        <f>IFERROR(SUMIFS('Ordres de travail'!$AA$5:$AA$3004,'Ordres de travail'!$B$5:$B$3004,"&gt;="&amp;'Paramètres'!$AA$6,'Ordres de travail'!$B$5:$B$3004,"&lt;"&amp;('Paramètres'!$AA$7+1))/'Paramètres'!$AA$8/SUM('Équipements'!$J$5:$J$304),"-")</f>
        <v/>
      </c>
      <c r="R18" s="37" t="n"/>
    </row>
    <row r="19" ht="15" customHeight="1">
      <c r="B19" s="40" t="inlineStr">
        <is>
          <t>MO + pièces + achats + ST</t>
        </is>
      </c>
      <c r="C19" s="37" t="n"/>
      <c r="E19" s="40" t="inlineStr">
        <is>
          <t>onglet Budget</t>
        </is>
      </c>
      <c r="F19" s="37" t="n"/>
      <c r="H19" s="40" t="inlineStr">
        <is>
          <t>réel / budget annuel</t>
        </is>
      </c>
      <c r="I19" s="37" t="n"/>
      <c r="K19" s="40" t="inlineStr">
        <is>
          <t>estimation pertes production</t>
        </is>
      </c>
      <c r="L19" s="37" t="n"/>
      <c r="N19" s="40" t="inlineStr">
        <is>
          <t>magasin pièces, à ce jour</t>
        </is>
      </c>
      <c r="O19" s="37" t="n"/>
      <c r="Q19" s="40" t="inlineStr">
        <is>
          <t>annualisé (repère : 3 à 6 %)</t>
        </is>
      </c>
      <c r="R19" s="37" t="n"/>
    </row>
    <row r="21" ht="18" customHeight="1">
      <c r="B21" s="41" t="inlineStr">
        <is>
          <t>ALERTES (TEMPS RÉEL)</t>
        </is>
      </c>
    </row>
    <row r="22" ht="18" customHeight="1">
      <c r="B22" s="42" t="inlineStr">
        <is>
          <t>Préventifs en retard</t>
        </is>
      </c>
      <c r="C22" s="43" t="n"/>
      <c r="E22" s="42" t="inlineStr">
        <is>
          <t>Préventifs à planifier</t>
        </is>
      </c>
      <c r="F22" s="43" t="n"/>
      <c r="H22" s="42" t="inlineStr">
        <is>
          <t>Contrôles régl. en retard</t>
        </is>
      </c>
      <c r="I22" s="43" t="n"/>
      <c r="K22" s="42" t="inlineStr">
        <is>
          <t>Contrôles à planifier</t>
        </is>
      </c>
      <c r="L22" s="43" t="n"/>
      <c r="N22" s="42" t="inlineStr">
        <is>
          <t>Pièces à commander</t>
        </is>
      </c>
      <c r="O22" s="43" t="n"/>
      <c r="Q22" s="42" t="inlineStr">
        <is>
          <t>Habilitations à renouveler</t>
        </is>
      </c>
      <c r="R22" s="43" t="n"/>
    </row>
    <row r="23" ht="34" customHeight="1">
      <c r="B23" s="44">
        <f>COUNTIF('Plan préventif'!$R$5:$R$404,"EN RETARD")</f>
        <v/>
      </c>
      <c r="C23" s="43" t="n"/>
      <c r="E23" s="44">
        <f>COUNTIF('Plan préventif'!$R$5:$R$404,"À PLANIFIER")</f>
        <v/>
      </c>
      <c r="F23" s="43" t="n"/>
      <c r="H23" s="44">
        <f>COUNTIF('Contrôles réglementaires'!$L$5:$L$154,"EN RETARD")</f>
        <v/>
      </c>
      <c r="I23" s="43" t="n"/>
      <c r="K23" s="44">
        <f>COUNTIF('Contrôles réglementaires'!$L$5:$L$154,"À PLANIFIER")</f>
        <v/>
      </c>
      <c r="L23" s="43" t="n"/>
      <c r="N23" s="44">
        <f>COUNTIF('Stock pièces'!$S$5:$S$404,"À COMMANDER")+COUNTIF('Stock pièces'!$S$5:$S$404,"RUPTURE")</f>
        <v/>
      </c>
      <c r="O23" s="43" t="n"/>
      <c r="Q23" s="44">
        <f>COUNTIF('Techniciens'!$N$5:$N$44,"EXPIRÉE")+COUNTIF('Techniciens'!$N$5:$N$44,"À RENOUVELER")</f>
        <v/>
      </c>
      <c r="R23" s="43" t="n"/>
    </row>
    <row r="24" ht="15" customHeight="1">
      <c r="B24" s="45" t="inlineStr">
        <is>
          <t>gammes échues</t>
        </is>
      </c>
      <c r="C24" s="43" t="n"/>
      <c r="E24" s="45" t="inlineStr">
        <is>
          <t>échéance proche</t>
        </is>
      </c>
      <c r="F24" s="43" t="n"/>
      <c r="H24" s="45" t="inlineStr">
        <is>
          <t>non-conformité légale</t>
        </is>
      </c>
      <c r="I24" s="43" t="n"/>
      <c r="K24" s="45" t="inlineStr">
        <is>
          <t>échéance &lt; seuil</t>
        </is>
      </c>
      <c r="L24" s="43" t="n"/>
      <c r="N24" s="45" t="inlineStr">
        <is>
          <t>sous stock mini</t>
        </is>
      </c>
      <c r="O24" s="43" t="n"/>
      <c r="Q24" s="45" t="inlineStr">
        <is>
          <t>expirées ou proches</t>
        </is>
      </c>
      <c r="R24" s="43" t="n"/>
    </row>
    <row r="27">
      <c r="B27" s="46" t="inlineStr">
        <is>
          <t>Évolution mensuelle</t>
        </is>
      </c>
      <c r="C27" s="47" t="n"/>
      <c r="D27" s="47" t="n"/>
      <c r="E27" s="47" t="n"/>
      <c r="F27" s="47" t="n"/>
      <c r="G27" s="47" t="n"/>
      <c r="H27" s="47" t="n"/>
      <c r="I27" s="47" t="n"/>
      <c r="J27" s="47" t="n"/>
      <c r="K27" s="47" t="n"/>
      <c r="M27" s="46" t="inlineStr">
        <is>
          <t>Répartition par type d'intervention</t>
        </is>
      </c>
      <c r="N27" s="47" t="n"/>
      <c r="O27" s="47" t="n"/>
      <c r="P27" s="47" t="n"/>
      <c r="Q27" s="47" t="n"/>
      <c r="R27" s="47" t="n"/>
      <c r="S27" s="47" t="n"/>
    </row>
    <row r="28" ht="30" customHeight="1">
      <c r="B28" s="48" t="inlineStr">
        <is>
          <t>Mois</t>
        </is>
      </c>
      <c r="C28" s="48" t="inlineStr">
        <is>
          <t>Début mois</t>
        </is>
      </c>
      <c r="D28" s="48" t="inlineStr">
        <is>
          <t>Correctifs</t>
        </is>
      </c>
      <c r="E28" s="48" t="inlineStr">
        <is>
          <t>Préventifs</t>
        </is>
      </c>
      <c r="F28" s="48" t="inlineStr">
        <is>
          <t>Réglem. + amélio.</t>
        </is>
      </c>
      <c r="G28" s="48" t="inlineStr">
        <is>
          <t>Heures d'arrêt</t>
        </is>
      </c>
      <c r="H28" s="48" t="inlineStr">
        <is>
          <t>Coût réel (€)</t>
        </is>
      </c>
      <c r="I28" s="48" t="inlineStr">
        <is>
          <t>Budget (€)</t>
        </is>
      </c>
      <c r="J28" s="48" t="inlineStr">
        <is>
          <t>Cumul réel (€)</t>
        </is>
      </c>
      <c r="K28" s="48" t="inlineStr">
        <is>
          <t>Cumul budget (€)</t>
        </is>
      </c>
      <c r="M28" s="48" t="inlineStr">
        <is>
          <t>Type</t>
        </is>
      </c>
      <c r="N28" s="49" t="n"/>
      <c r="O28" s="48" t="inlineStr">
        <is>
          <t>Nb OT</t>
        </is>
      </c>
      <c r="P28" s="48" t="inlineStr">
        <is>
          <t>Heures MO</t>
        </is>
      </c>
      <c r="Q28" s="48" t="inlineStr">
        <is>
          <t>Coût (€)</t>
        </is>
      </c>
      <c r="R28" s="48" t="inlineStr">
        <is>
          <t>% coût</t>
        </is>
      </c>
      <c r="S28" s="48" t="inlineStr">
        <is>
          <t>Arrêt (h)</t>
        </is>
      </c>
    </row>
    <row r="29">
      <c r="B29" s="14" t="inlineStr">
        <is>
          <t>Janvier</t>
        </is>
      </c>
      <c r="C29" s="50">
        <f>DATE('Paramètres'!$AA$5,1,1)</f>
        <v/>
      </c>
      <c r="D29" s="51">
        <f>COUNTIFS('Ordres de travail'!$H$5:$H$3004,"Correctif",'Ordres de travail'!$AC$5:$AC$3004,"&lt;&gt;Annulé",'Ordres de travail'!$B$5:$B$3004,"&gt;="&amp;$C29,'Ordres de travail'!$B$5:$B$3004,"&lt;"&amp;EDATE($C29,1))</f>
        <v/>
      </c>
      <c r="E29" s="51">
        <f>SUM(COUNTIFS('Ordres de travail'!$H$5:$H$3004,{"Préventif systématique","Préventif conditionnel"},'Ordres de travail'!$AC$5:$AC$3004,"&lt;&gt;Annulé",'Ordres de travail'!$B$5:$B$3004,"&gt;="&amp;$C29,'Ordres de travail'!$B$5:$B$3004,"&lt;"&amp;EDATE($C29,1)))</f>
        <v/>
      </c>
      <c r="F29" s="51">
        <f>COUNTIFS('Ordres de travail'!$H$5:$H$3004,"Réglementaire",'Ordres de travail'!$AC$5:$AC$3004,"&lt;&gt;Annulé",'Ordres de travail'!$B$5:$B$3004,"&gt;="&amp;$C29,'Ordres de travail'!$B$5:$B$3004,"&lt;"&amp;EDATE($C29,1))+COUNTIFS('Ordres de travail'!$H$5:$H$3004,"Amélioratif",'Ordres de travail'!$AC$5:$AC$3004,"&lt;&gt;Annulé",'Ordres de travail'!$B$5:$B$3004,"&gt;="&amp;$C29,'Ordres de travail'!$B$5:$B$3004,"&lt;"&amp;EDATE($C29,1))</f>
        <v/>
      </c>
      <c r="G29" s="51">
        <f>SUMIFS('Ordres de travail'!$S$5:$S$3004,'Ordres de travail'!$AC$5:$AC$3004,"&lt;&gt;Annulé",'Ordres de travail'!$B$5:$B$3004,"&gt;="&amp;$C29,'Ordres de travail'!$B$5:$B$3004,"&lt;"&amp;EDATE($C29,1))</f>
        <v/>
      </c>
      <c r="H29" s="52">
        <f>SUMIFS('Ordres de travail'!$AA$5:$AA$3004,'Ordres de travail'!$B$5:$B$3004,"&gt;="&amp;$C29,'Ordres de travail'!$B$5:$B$3004,"&lt;"&amp;EDATE($C29,1))</f>
        <v/>
      </c>
      <c r="I29" s="52">
        <f>SUMIFS('Budget'!$F$5:$F$64,'Budget'!$B$5:$B$64,$C29)</f>
        <v/>
      </c>
      <c r="J29" s="52">
        <f>IF($C29&gt;TODAY(),NA(),SUM($H$29:H29))</f>
        <v/>
      </c>
      <c r="K29" s="52">
        <f>SUM($I$29:I29)</f>
        <v/>
      </c>
      <c r="M29" s="14" t="inlineStr">
        <is>
          <t>Correctif</t>
        </is>
      </c>
      <c r="O29" s="51">
        <f>COUNTIFS('Ordres de travail'!$H$5:$H$3004,$M29,'Ordres de travail'!$AC$5:$AC$3004,"&lt;&gt;Annulé",'Ordres de travail'!$B$5:$B$3004,"&gt;="&amp;'Paramètres'!$AA$6,'Ordres de travail'!$B$5:$B$3004,"&lt;"&amp;('Paramètres'!$AA$7+1))</f>
        <v/>
      </c>
      <c r="P29" s="51">
        <f>SUMIFS('Ordres de travail'!$T$5:$T$3004,'Ordres de travail'!$H$5:$H$3004,$M29,'Ordres de travail'!$AC$5:$AC$3004,"&lt;&gt;Annulé",'Ordres de travail'!$B$5:$B$3004,"&gt;="&amp;'Paramètres'!$AA$6,'Ordres de travail'!$B$5:$B$3004,"&lt;"&amp;('Paramètres'!$AA$7+1))</f>
        <v/>
      </c>
      <c r="Q29" s="52">
        <f>SUMIFS('Ordres de travail'!$AA$5:$AA$3004,'Ordres de travail'!$H$5:$H$3004,$M29,'Ordres de travail'!$B$5:$B$3004,"&gt;="&amp;'Paramètres'!$AA$6,'Ordres de travail'!$B$5:$B$3004,"&lt;"&amp;('Paramètres'!$AA$7+1))</f>
        <v/>
      </c>
      <c r="R29" s="53">
        <f>IFERROR(Q29/SUM($Q$29:$Q$33),0)</f>
        <v/>
      </c>
      <c r="S29" s="51">
        <f>SUMIFS('Ordres de travail'!$S$5:$S$3004,'Ordres de travail'!$H$5:$H$3004,$M29,'Ordres de travail'!$AC$5:$AC$3004,"&lt;&gt;Annulé",'Ordres de travail'!$B$5:$B$3004,"&gt;="&amp;'Paramètres'!$AA$6,'Ordres de travail'!$B$5:$B$3004,"&lt;"&amp;('Paramètres'!$AA$7+1))</f>
        <v/>
      </c>
    </row>
    <row r="30">
      <c r="B30" s="14" t="inlineStr">
        <is>
          <t>Février</t>
        </is>
      </c>
      <c r="C30" s="50">
        <f>DATE('Paramètres'!$AA$5,2,1)</f>
        <v/>
      </c>
      <c r="D30" s="51">
        <f>COUNTIFS('Ordres de travail'!$H$5:$H$3004,"Correctif",'Ordres de travail'!$AC$5:$AC$3004,"&lt;&gt;Annulé",'Ordres de travail'!$B$5:$B$3004,"&gt;="&amp;$C30,'Ordres de travail'!$B$5:$B$3004,"&lt;"&amp;EDATE($C30,1))</f>
        <v/>
      </c>
      <c r="E30" s="51">
        <f>SUM(COUNTIFS('Ordres de travail'!$H$5:$H$3004,{"Préventif systématique","Préventif conditionnel"},'Ordres de travail'!$AC$5:$AC$3004,"&lt;&gt;Annulé",'Ordres de travail'!$B$5:$B$3004,"&gt;="&amp;$C30,'Ordres de travail'!$B$5:$B$3004,"&lt;"&amp;EDATE($C30,1)))</f>
        <v/>
      </c>
      <c r="F30" s="51">
        <f>COUNTIFS('Ordres de travail'!$H$5:$H$3004,"Réglementaire",'Ordres de travail'!$AC$5:$AC$3004,"&lt;&gt;Annulé",'Ordres de travail'!$B$5:$B$3004,"&gt;="&amp;$C30,'Ordres de travail'!$B$5:$B$3004,"&lt;"&amp;EDATE($C30,1))+COUNTIFS('Ordres de travail'!$H$5:$H$3004,"Amélioratif",'Ordres de travail'!$AC$5:$AC$3004,"&lt;&gt;Annulé",'Ordres de travail'!$B$5:$B$3004,"&gt;="&amp;$C30,'Ordres de travail'!$B$5:$B$3004,"&lt;"&amp;EDATE($C30,1))</f>
        <v/>
      </c>
      <c r="G30" s="51">
        <f>SUMIFS('Ordres de travail'!$S$5:$S$3004,'Ordres de travail'!$AC$5:$AC$3004,"&lt;&gt;Annulé",'Ordres de travail'!$B$5:$B$3004,"&gt;="&amp;$C30,'Ordres de travail'!$B$5:$B$3004,"&lt;"&amp;EDATE($C30,1))</f>
        <v/>
      </c>
      <c r="H30" s="52">
        <f>SUMIFS('Ordres de travail'!$AA$5:$AA$3004,'Ordres de travail'!$B$5:$B$3004,"&gt;="&amp;$C30,'Ordres de travail'!$B$5:$B$3004,"&lt;"&amp;EDATE($C30,1))</f>
        <v/>
      </c>
      <c r="I30" s="52">
        <f>SUMIFS('Budget'!$F$5:$F$64,'Budget'!$B$5:$B$64,$C30)</f>
        <v/>
      </c>
      <c r="J30" s="52">
        <f>IF($C30&gt;TODAY(),NA(),SUM($H$29:H30))</f>
        <v/>
      </c>
      <c r="K30" s="52">
        <f>SUM($I$29:I30)</f>
        <v/>
      </c>
      <c r="M30" s="14" t="inlineStr">
        <is>
          <t>Préventif systématique</t>
        </is>
      </c>
      <c r="O30" s="51">
        <f>COUNTIFS('Ordres de travail'!$H$5:$H$3004,$M30,'Ordres de travail'!$AC$5:$AC$3004,"&lt;&gt;Annulé",'Ordres de travail'!$B$5:$B$3004,"&gt;="&amp;'Paramètres'!$AA$6,'Ordres de travail'!$B$5:$B$3004,"&lt;"&amp;('Paramètres'!$AA$7+1))</f>
        <v/>
      </c>
      <c r="P30" s="51">
        <f>SUMIFS('Ordres de travail'!$T$5:$T$3004,'Ordres de travail'!$H$5:$H$3004,$M30,'Ordres de travail'!$AC$5:$AC$3004,"&lt;&gt;Annulé",'Ordres de travail'!$B$5:$B$3004,"&gt;="&amp;'Paramètres'!$AA$6,'Ordres de travail'!$B$5:$B$3004,"&lt;"&amp;('Paramètres'!$AA$7+1))</f>
        <v/>
      </c>
      <c r="Q30" s="52">
        <f>SUMIFS('Ordres de travail'!$AA$5:$AA$3004,'Ordres de travail'!$H$5:$H$3004,$M30,'Ordres de travail'!$B$5:$B$3004,"&gt;="&amp;'Paramètres'!$AA$6,'Ordres de travail'!$B$5:$B$3004,"&lt;"&amp;('Paramètres'!$AA$7+1))</f>
        <v/>
      </c>
      <c r="R30" s="53">
        <f>IFERROR(Q30/SUM($Q$29:$Q$33),0)</f>
        <v/>
      </c>
      <c r="S30" s="51">
        <f>SUMIFS('Ordres de travail'!$S$5:$S$3004,'Ordres de travail'!$H$5:$H$3004,$M30,'Ordres de travail'!$AC$5:$AC$3004,"&lt;&gt;Annulé",'Ordres de travail'!$B$5:$B$3004,"&gt;="&amp;'Paramètres'!$AA$6,'Ordres de travail'!$B$5:$B$3004,"&lt;"&amp;('Paramètres'!$AA$7+1))</f>
        <v/>
      </c>
    </row>
    <row r="31">
      <c r="B31" s="14" t="inlineStr">
        <is>
          <t>Mars</t>
        </is>
      </c>
      <c r="C31" s="50">
        <f>DATE('Paramètres'!$AA$5,3,1)</f>
        <v/>
      </c>
      <c r="D31" s="51">
        <f>COUNTIFS('Ordres de travail'!$H$5:$H$3004,"Correctif",'Ordres de travail'!$AC$5:$AC$3004,"&lt;&gt;Annulé",'Ordres de travail'!$B$5:$B$3004,"&gt;="&amp;$C31,'Ordres de travail'!$B$5:$B$3004,"&lt;"&amp;EDATE($C31,1))</f>
        <v/>
      </c>
      <c r="E31" s="51">
        <f>SUM(COUNTIFS('Ordres de travail'!$H$5:$H$3004,{"Préventif systématique","Préventif conditionnel"},'Ordres de travail'!$AC$5:$AC$3004,"&lt;&gt;Annulé",'Ordres de travail'!$B$5:$B$3004,"&gt;="&amp;$C31,'Ordres de travail'!$B$5:$B$3004,"&lt;"&amp;EDATE($C31,1)))</f>
        <v/>
      </c>
      <c r="F31" s="51">
        <f>COUNTIFS('Ordres de travail'!$H$5:$H$3004,"Réglementaire",'Ordres de travail'!$AC$5:$AC$3004,"&lt;&gt;Annulé",'Ordres de travail'!$B$5:$B$3004,"&gt;="&amp;$C31,'Ordres de travail'!$B$5:$B$3004,"&lt;"&amp;EDATE($C31,1))+COUNTIFS('Ordres de travail'!$H$5:$H$3004,"Amélioratif",'Ordres de travail'!$AC$5:$AC$3004,"&lt;&gt;Annulé",'Ordres de travail'!$B$5:$B$3004,"&gt;="&amp;$C31,'Ordres de travail'!$B$5:$B$3004,"&lt;"&amp;EDATE($C31,1))</f>
        <v/>
      </c>
      <c r="G31" s="51">
        <f>SUMIFS('Ordres de travail'!$S$5:$S$3004,'Ordres de travail'!$AC$5:$AC$3004,"&lt;&gt;Annulé",'Ordres de travail'!$B$5:$B$3004,"&gt;="&amp;$C31,'Ordres de travail'!$B$5:$B$3004,"&lt;"&amp;EDATE($C31,1))</f>
        <v/>
      </c>
      <c r="H31" s="52">
        <f>SUMIFS('Ordres de travail'!$AA$5:$AA$3004,'Ordres de travail'!$B$5:$B$3004,"&gt;="&amp;$C31,'Ordres de travail'!$B$5:$B$3004,"&lt;"&amp;EDATE($C31,1))</f>
        <v/>
      </c>
      <c r="I31" s="52">
        <f>SUMIFS('Budget'!$F$5:$F$64,'Budget'!$B$5:$B$64,$C31)</f>
        <v/>
      </c>
      <c r="J31" s="52">
        <f>IF($C31&gt;TODAY(),NA(),SUM($H$29:H31))</f>
        <v/>
      </c>
      <c r="K31" s="52">
        <f>SUM($I$29:I31)</f>
        <v/>
      </c>
      <c r="M31" s="14" t="inlineStr">
        <is>
          <t>Préventif conditionnel</t>
        </is>
      </c>
      <c r="O31" s="51">
        <f>COUNTIFS('Ordres de travail'!$H$5:$H$3004,$M31,'Ordres de travail'!$AC$5:$AC$3004,"&lt;&gt;Annulé",'Ordres de travail'!$B$5:$B$3004,"&gt;="&amp;'Paramètres'!$AA$6,'Ordres de travail'!$B$5:$B$3004,"&lt;"&amp;('Paramètres'!$AA$7+1))</f>
        <v/>
      </c>
      <c r="P31" s="51">
        <f>SUMIFS('Ordres de travail'!$T$5:$T$3004,'Ordres de travail'!$H$5:$H$3004,$M31,'Ordres de travail'!$AC$5:$AC$3004,"&lt;&gt;Annulé",'Ordres de travail'!$B$5:$B$3004,"&gt;="&amp;'Paramètres'!$AA$6,'Ordres de travail'!$B$5:$B$3004,"&lt;"&amp;('Paramètres'!$AA$7+1))</f>
        <v/>
      </c>
      <c r="Q31" s="52">
        <f>SUMIFS('Ordres de travail'!$AA$5:$AA$3004,'Ordres de travail'!$H$5:$H$3004,$M31,'Ordres de travail'!$B$5:$B$3004,"&gt;="&amp;'Paramètres'!$AA$6,'Ordres de travail'!$B$5:$B$3004,"&lt;"&amp;('Paramètres'!$AA$7+1))</f>
        <v/>
      </c>
      <c r="R31" s="53">
        <f>IFERROR(Q31/SUM($Q$29:$Q$33),0)</f>
        <v/>
      </c>
      <c r="S31" s="51">
        <f>SUMIFS('Ordres de travail'!$S$5:$S$3004,'Ordres de travail'!$H$5:$H$3004,$M31,'Ordres de travail'!$AC$5:$AC$3004,"&lt;&gt;Annulé",'Ordres de travail'!$B$5:$B$3004,"&gt;="&amp;'Paramètres'!$AA$6,'Ordres de travail'!$B$5:$B$3004,"&lt;"&amp;('Paramètres'!$AA$7+1))</f>
        <v/>
      </c>
    </row>
    <row r="32">
      <c r="B32" s="14" t="inlineStr">
        <is>
          <t>Avril</t>
        </is>
      </c>
      <c r="C32" s="50">
        <f>DATE('Paramètres'!$AA$5,4,1)</f>
        <v/>
      </c>
      <c r="D32" s="51">
        <f>COUNTIFS('Ordres de travail'!$H$5:$H$3004,"Correctif",'Ordres de travail'!$AC$5:$AC$3004,"&lt;&gt;Annulé",'Ordres de travail'!$B$5:$B$3004,"&gt;="&amp;$C32,'Ordres de travail'!$B$5:$B$3004,"&lt;"&amp;EDATE($C32,1))</f>
        <v/>
      </c>
      <c r="E32" s="51">
        <f>SUM(COUNTIFS('Ordres de travail'!$H$5:$H$3004,{"Préventif systématique","Préventif conditionnel"},'Ordres de travail'!$AC$5:$AC$3004,"&lt;&gt;Annulé",'Ordres de travail'!$B$5:$B$3004,"&gt;="&amp;$C32,'Ordres de travail'!$B$5:$B$3004,"&lt;"&amp;EDATE($C32,1)))</f>
        <v/>
      </c>
      <c r="F32" s="51">
        <f>COUNTIFS('Ordres de travail'!$H$5:$H$3004,"Réglementaire",'Ordres de travail'!$AC$5:$AC$3004,"&lt;&gt;Annulé",'Ordres de travail'!$B$5:$B$3004,"&gt;="&amp;$C32,'Ordres de travail'!$B$5:$B$3004,"&lt;"&amp;EDATE($C32,1))+COUNTIFS('Ordres de travail'!$H$5:$H$3004,"Amélioratif",'Ordres de travail'!$AC$5:$AC$3004,"&lt;&gt;Annulé",'Ordres de travail'!$B$5:$B$3004,"&gt;="&amp;$C32,'Ordres de travail'!$B$5:$B$3004,"&lt;"&amp;EDATE($C32,1))</f>
        <v/>
      </c>
      <c r="G32" s="51">
        <f>SUMIFS('Ordres de travail'!$S$5:$S$3004,'Ordres de travail'!$AC$5:$AC$3004,"&lt;&gt;Annulé",'Ordres de travail'!$B$5:$B$3004,"&gt;="&amp;$C32,'Ordres de travail'!$B$5:$B$3004,"&lt;"&amp;EDATE($C32,1))</f>
        <v/>
      </c>
      <c r="H32" s="52">
        <f>SUMIFS('Ordres de travail'!$AA$5:$AA$3004,'Ordres de travail'!$B$5:$B$3004,"&gt;="&amp;$C32,'Ordres de travail'!$B$5:$B$3004,"&lt;"&amp;EDATE($C32,1))</f>
        <v/>
      </c>
      <c r="I32" s="52">
        <f>SUMIFS('Budget'!$F$5:$F$64,'Budget'!$B$5:$B$64,$C32)</f>
        <v/>
      </c>
      <c r="J32" s="52">
        <f>IF($C32&gt;TODAY(),NA(),SUM($H$29:H32))</f>
        <v/>
      </c>
      <c r="K32" s="52">
        <f>SUM($I$29:I32)</f>
        <v/>
      </c>
      <c r="M32" s="14" t="inlineStr">
        <is>
          <t>Réglementaire</t>
        </is>
      </c>
      <c r="O32" s="51">
        <f>COUNTIFS('Ordres de travail'!$H$5:$H$3004,$M32,'Ordres de travail'!$AC$5:$AC$3004,"&lt;&gt;Annulé",'Ordres de travail'!$B$5:$B$3004,"&gt;="&amp;'Paramètres'!$AA$6,'Ordres de travail'!$B$5:$B$3004,"&lt;"&amp;('Paramètres'!$AA$7+1))</f>
        <v/>
      </c>
      <c r="P32" s="51">
        <f>SUMIFS('Ordres de travail'!$T$5:$T$3004,'Ordres de travail'!$H$5:$H$3004,$M32,'Ordres de travail'!$AC$5:$AC$3004,"&lt;&gt;Annulé",'Ordres de travail'!$B$5:$B$3004,"&gt;="&amp;'Paramètres'!$AA$6,'Ordres de travail'!$B$5:$B$3004,"&lt;"&amp;('Paramètres'!$AA$7+1))</f>
        <v/>
      </c>
      <c r="Q32" s="52">
        <f>SUMIFS('Ordres de travail'!$AA$5:$AA$3004,'Ordres de travail'!$H$5:$H$3004,$M32,'Ordres de travail'!$B$5:$B$3004,"&gt;="&amp;'Paramètres'!$AA$6,'Ordres de travail'!$B$5:$B$3004,"&lt;"&amp;('Paramètres'!$AA$7+1))</f>
        <v/>
      </c>
      <c r="R32" s="53">
        <f>IFERROR(Q32/SUM($Q$29:$Q$33),0)</f>
        <v/>
      </c>
      <c r="S32" s="51">
        <f>SUMIFS('Ordres de travail'!$S$5:$S$3004,'Ordres de travail'!$H$5:$H$3004,$M32,'Ordres de travail'!$AC$5:$AC$3004,"&lt;&gt;Annulé",'Ordres de travail'!$B$5:$B$3004,"&gt;="&amp;'Paramètres'!$AA$6,'Ordres de travail'!$B$5:$B$3004,"&lt;"&amp;('Paramètres'!$AA$7+1))</f>
        <v/>
      </c>
    </row>
    <row r="33">
      <c r="B33" s="14" t="inlineStr">
        <is>
          <t>Mai</t>
        </is>
      </c>
      <c r="C33" s="50">
        <f>DATE('Paramètres'!$AA$5,5,1)</f>
        <v/>
      </c>
      <c r="D33" s="51">
        <f>COUNTIFS('Ordres de travail'!$H$5:$H$3004,"Correctif",'Ordres de travail'!$AC$5:$AC$3004,"&lt;&gt;Annulé",'Ordres de travail'!$B$5:$B$3004,"&gt;="&amp;$C33,'Ordres de travail'!$B$5:$B$3004,"&lt;"&amp;EDATE($C33,1))</f>
        <v/>
      </c>
      <c r="E33" s="51">
        <f>SUM(COUNTIFS('Ordres de travail'!$H$5:$H$3004,{"Préventif systématique","Préventif conditionnel"},'Ordres de travail'!$AC$5:$AC$3004,"&lt;&gt;Annulé",'Ordres de travail'!$B$5:$B$3004,"&gt;="&amp;$C33,'Ordres de travail'!$B$5:$B$3004,"&lt;"&amp;EDATE($C33,1)))</f>
        <v/>
      </c>
      <c r="F33" s="51">
        <f>COUNTIFS('Ordres de travail'!$H$5:$H$3004,"Réglementaire",'Ordres de travail'!$AC$5:$AC$3004,"&lt;&gt;Annulé",'Ordres de travail'!$B$5:$B$3004,"&gt;="&amp;$C33,'Ordres de travail'!$B$5:$B$3004,"&lt;"&amp;EDATE($C33,1))+COUNTIFS('Ordres de travail'!$H$5:$H$3004,"Amélioratif",'Ordres de travail'!$AC$5:$AC$3004,"&lt;&gt;Annulé",'Ordres de travail'!$B$5:$B$3004,"&gt;="&amp;$C33,'Ordres de travail'!$B$5:$B$3004,"&lt;"&amp;EDATE($C33,1))</f>
        <v/>
      </c>
      <c r="G33" s="51">
        <f>SUMIFS('Ordres de travail'!$S$5:$S$3004,'Ordres de travail'!$AC$5:$AC$3004,"&lt;&gt;Annulé",'Ordres de travail'!$B$5:$B$3004,"&gt;="&amp;$C33,'Ordres de travail'!$B$5:$B$3004,"&lt;"&amp;EDATE($C33,1))</f>
        <v/>
      </c>
      <c r="H33" s="52">
        <f>SUMIFS('Ordres de travail'!$AA$5:$AA$3004,'Ordres de travail'!$B$5:$B$3004,"&gt;="&amp;$C33,'Ordres de travail'!$B$5:$B$3004,"&lt;"&amp;EDATE($C33,1))</f>
        <v/>
      </c>
      <c r="I33" s="52">
        <f>SUMIFS('Budget'!$F$5:$F$64,'Budget'!$B$5:$B$64,$C33)</f>
        <v/>
      </c>
      <c r="J33" s="52">
        <f>IF($C33&gt;TODAY(),NA(),SUM($H$29:H33))</f>
        <v/>
      </c>
      <c r="K33" s="52">
        <f>SUM($I$29:I33)</f>
        <v/>
      </c>
      <c r="M33" s="14" t="inlineStr">
        <is>
          <t>Amélioratif</t>
        </is>
      </c>
      <c r="O33" s="51">
        <f>COUNTIFS('Ordres de travail'!$H$5:$H$3004,$M33,'Ordres de travail'!$AC$5:$AC$3004,"&lt;&gt;Annulé",'Ordres de travail'!$B$5:$B$3004,"&gt;="&amp;'Paramètres'!$AA$6,'Ordres de travail'!$B$5:$B$3004,"&lt;"&amp;('Paramètres'!$AA$7+1))</f>
        <v/>
      </c>
      <c r="P33" s="51">
        <f>SUMIFS('Ordres de travail'!$T$5:$T$3004,'Ordres de travail'!$H$5:$H$3004,$M33,'Ordres de travail'!$AC$5:$AC$3004,"&lt;&gt;Annulé",'Ordres de travail'!$B$5:$B$3004,"&gt;="&amp;'Paramètres'!$AA$6,'Ordres de travail'!$B$5:$B$3004,"&lt;"&amp;('Paramètres'!$AA$7+1))</f>
        <v/>
      </c>
      <c r="Q33" s="52">
        <f>SUMIFS('Ordres de travail'!$AA$5:$AA$3004,'Ordres de travail'!$H$5:$H$3004,$M33,'Ordres de travail'!$B$5:$B$3004,"&gt;="&amp;'Paramètres'!$AA$6,'Ordres de travail'!$B$5:$B$3004,"&lt;"&amp;('Paramètres'!$AA$7+1))</f>
        <v/>
      </c>
      <c r="R33" s="53">
        <f>IFERROR(Q33/SUM($Q$29:$Q$33),0)</f>
        <v/>
      </c>
      <c r="S33" s="51">
        <f>SUMIFS('Ordres de travail'!$S$5:$S$3004,'Ordres de travail'!$H$5:$H$3004,$M33,'Ordres de travail'!$AC$5:$AC$3004,"&lt;&gt;Annulé",'Ordres de travail'!$B$5:$B$3004,"&gt;="&amp;'Paramètres'!$AA$6,'Ordres de travail'!$B$5:$B$3004,"&lt;"&amp;('Paramètres'!$AA$7+1))</f>
        <v/>
      </c>
    </row>
    <row r="34">
      <c r="B34" s="14" t="inlineStr">
        <is>
          <t>Juin</t>
        </is>
      </c>
      <c r="C34" s="50">
        <f>DATE('Paramètres'!$AA$5,6,1)</f>
        <v/>
      </c>
      <c r="D34" s="51">
        <f>COUNTIFS('Ordres de travail'!$H$5:$H$3004,"Correctif",'Ordres de travail'!$AC$5:$AC$3004,"&lt;&gt;Annulé",'Ordres de travail'!$B$5:$B$3004,"&gt;="&amp;$C34,'Ordres de travail'!$B$5:$B$3004,"&lt;"&amp;EDATE($C34,1))</f>
        <v/>
      </c>
      <c r="E34" s="51">
        <f>SUM(COUNTIFS('Ordres de travail'!$H$5:$H$3004,{"Préventif systématique","Préventif conditionnel"},'Ordres de travail'!$AC$5:$AC$3004,"&lt;&gt;Annulé",'Ordres de travail'!$B$5:$B$3004,"&gt;="&amp;$C34,'Ordres de travail'!$B$5:$B$3004,"&lt;"&amp;EDATE($C34,1)))</f>
        <v/>
      </c>
      <c r="F34" s="51">
        <f>COUNTIFS('Ordres de travail'!$H$5:$H$3004,"Réglementaire",'Ordres de travail'!$AC$5:$AC$3004,"&lt;&gt;Annulé",'Ordres de travail'!$B$5:$B$3004,"&gt;="&amp;$C34,'Ordres de travail'!$B$5:$B$3004,"&lt;"&amp;EDATE($C34,1))+COUNTIFS('Ordres de travail'!$H$5:$H$3004,"Amélioratif",'Ordres de travail'!$AC$5:$AC$3004,"&lt;&gt;Annulé",'Ordres de travail'!$B$5:$B$3004,"&gt;="&amp;$C34,'Ordres de travail'!$B$5:$B$3004,"&lt;"&amp;EDATE($C34,1))</f>
        <v/>
      </c>
      <c r="G34" s="51">
        <f>SUMIFS('Ordres de travail'!$S$5:$S$3004,'Ordres de travail'!$AC$5:$AC$3004,"&lt;&gt;Annulé",'Ordres de travail'!$B$5:$B$3004,"&gt;="&amp;$C34,'Ordres de travail'!$B$5:$B$3004,"&lt;"&amp;EDATE($C34,1))</f>
        <v/>
      </c>
      <c r="H34" s="52">
        <f>SUMIFS('Ordres de travail'!$AA$5:$AA$3004,'Ordres de travail'!$B$5:$B$3004,"&gt;="&amp;$C34,'Ordres de travail'!$B$5:$B$3004,"&lt;"&amp;EDATE($C34,1))</f>
        <v/>
      </c>
      <c r="I34" s="52">
        <f>SUMIFS('Budget'!$F$5:$F$64,'Budget'!$B$5:$B$64,$C34)</f>
        <v/>
      </c>
      <c r="J34" s="52">
        <f>IF($C34&gt;TODAY(),NA(),SUM($H$29:H34))</f>
        <v/>
      </c>
      <c r="K34" s="52">
        <f>SUM($I$29:I34)</f>
        <v/>
      </c>
      <c r="M34" s="54" t="inlineStr">
        <is>
          <t>TOTAL</t>
        </is>
      </c>
      <c r="N34" s="24" t="n"/>
      <c r="O34" s="55">
        <f>SUM(O29:O33)</f>
        <v/>
      </c>
      <c r="P34" s="55">
        <f>SUM(P29:P33)</f>
        <v/>
      </c>
      <c r="Q34" s="56">
        <f>SUM(Q29:Q33)</f>
        <v/>
      </c>
      <c r="R34" s="57">
        <f>SUM(R29:R33)</f>
        <v/>
      </c>
      <c r="S34" s="55">
        <f>SUM(S29:S33)</f>
        <v/>
      </c>
    </row>
    <row r="35">
      <c r="B35" s="14" t="inlineStr">
        <is>
          <t>Juillet</t>
        </is>
      </c>
      <c r="C35" s="50">
        <f>DATE('Paramètres'!$AA$5,7,1)</f>
        <v/>
      </c>
      <c r="D35" s="51">
        <f>COUNTIFS('Ordres de travail'!$H$5:$H$3004,"Correctif",'Ordres de travail'!$AC$5:$AC$3004,"&lt;&gt;Annulé",'Ordres de travail'!$B$5:$B$3004,"&gt;="&amp;$C35,'Ordres de travail'!$B$5:$B$3004,"&lt;"&amp;EDATE($C35,1))</f>
        <v/>
      </c>
      <c r="E35" s="51">
        <f>SUM(COUNTIFS('Ordres de travail'!$H$5:$H$3004,{"Préventif systématique","Préventif conditionnel"},'Ordres de travail'!$AC$5:$AC$3004,"&lt;&gt;Annulé",'Ordres de travail'!$B$5:$B$3004,"&gt;="&amp;$C35,'Ordres de travail'!$B$5:$B$3004,"&lt;"&amp;EDATE($C35,1)))</f>
        <v/>
      </c>
      <c r="F35" s="51">
        <f>COUNTIFS('Ordres de travail'!$H$5:$H$3004,"Réglementaire",'Ordres de travail'!$AC$5:$AC$3004,"&lt;&gt;Annulé",'Ordres de travail'!$B$5:$B$3004,"&gt;="&amp;$C35,'Ordres de travail'!$B$5:$B$3004,"&lt;"&amp;EDATE($C35,1))+COUNTIFS('Ordres de travail'!$H$5:$H$3004,"Amélioratif",'Ordres de travail'!$AC$5:$AC$3004,"&lt;&gt;Annulé",'Ordres de travail'!$B$5:$B$3004,"&gt;="&amp;$C35,'Ordres de travail'!$B$5:$B$3004,"&lt;"&amp;EDATE($C35,1))</f>
        <v/>
      </c>
      <c r="G35" s="51">
        <f>SUMIFS('Ordres de travail'!$S$5:$S$3004,'Ordres de travail'!$AC$5:$AC$3004,"&lt;&gt;Annulé",'Ordres de travail'!$B$5:$B$3004,"&gt;="&amp;$C35,'Ordres de travail'!$B$5:$B$3004,"&lt;"&amp;EDATE($C35,1))</f>
        <v/>
      </c>
      <c r="H35" s="52">
        <f>SUMIFS('Ordres de travail'!$AA$5:$AA$3004,'Ordres de travail'!$B$5:$B$3004,"&gt;="&amp;$C35,'Ordres de travail'!$B$5:$B$3004,"&lt;"&amp;EDATE($C35,1))</f>
        <v/>
      </c>
      <c r="I35" s="52">
        <f>SUMIFS('Budget'!$F$5:$F$64,'Budget'!$B$5:$B$64,$C35)</f>
        <v/>
      </c>
      <c r="J35" s="52">
        <f>IF($C35&gt;TODAY(),NA(),SUM($H$29:H35))</f>
        <v/>
      </c>
      <c r="K35" s="52">
        <f>SUM($I$29:I35)</f>
        <v/>
      </c>
    </row>
    <row r="36">
      <c r="B36" s="14" t="inlineStr">
        <is>
          <t>Août</t>
        </is>
      </c>
      <c r="C36" s="50">
        <f>DATE('Paramètres'!$AA$5,8,1)</f>
        <v/>
      </c>
      <c r="D36" s="51">
        <f>COUNTIFS('Ordres de travail'!$H$5:$H$3004,"Correctif",'Ordres de travail'!$AC$5:$AC$3004,"&lt;&gt;Annulé",'Ordres de travail'!$B$5:$B$3004,"&gt;="&amp;$C36,'Ordres de travail'!$B$5:$B$3004,"&lt;"&amp;EDATE($C36,1))</f>
        <v/>
      </c>
      <c r="E36" s="51">
        <f>SUM(COUNTIFS('Ordres de travail'!$H$5:$H$3004,{"Préventif systématique","Préventif conditionnel"},'Ordres de travail'!$AC$5:$AC$3004,"&lt;&gt;Annulé",'Ordres de travail'!$B$5:$B$3004,"&gt;="&amp;$C36,'Ordres de travail'!$B$5:$B$3004,"&lt;"&amp;EDATE($C36,1)))</f>
        <v/>
      </c>
      <c r="F36" s="51">
        <f>COUNTIFS('Ordres de travail'!$H$5:$H$3004,"Réglementaire",'Ordres de travail'!$AC$5:$AC$3004,"&lt;&gt;Annulé",'Ordres de travail'!$B$5:$B$3004,"&gt;="&amp;$C36,'Ordres de travail'!$B$5:$B$3004,"&lt;"&amp;EDATE($C36,1))+COUNTIFS('Ordres de travail'!$H$5:$H$3004,"Amélioratif",'Ordres de travail'!$AC$5:$AC$3004,"&lt;&gt;Annulé",'Ordres de travail'!$B$5:$B$3004,"&gt;="&amp;$C36,'Ordres de travail'!$B$5:$B$3004,"&lt;"&amp;EDATE($C36,1))</f>
        <v/>
      </c>
      <c r="G36" s="51">
        <f>SUMIFS('Ordres de travail'!$S$5:$S$3004,'Ordres de travail'!$AC$5:$AC$3004,"&lt;&gt;Annulé",'Ordres de travail'!$B$5:$B$3004,"&gt;="&amp;$C36,'Ordres de travail'!$B$5:$B$3004,"&lt;"&amp;EDATE($C36,1))</f>
        <v/>
      </c>
      <c r="H36" s="52">
        <f>SUMIFS('Ordres de travail'!$AA$5:$AA$3004,'Ordres de travail'!$B$5:$B$3004,"&gt;="&amp;$C36,'Ordres de travail'!$B$5:$B$3004,"&lt;"&amp;EDATE($C36,1))</f>
        <v/>
      </c>
      <c r="I36" s="52">
        <f>SUMIFS('Budget'!$F$5:$F$64,'Budget'!$B$5:$B$64,$C36)</f>
        <v/>
      </c>
      <c r="J36" s="52">
        <f>IF($C36&gt;TODAY(),NA(),SUM($H$29:H36))</f>
        <v/>
      </c>
      <c r="K36" s="52">
        <f>SUM($I$29:I36)</f>
        <v/>
      </c>
      <c r="M36" s="46" t="inlineStr">
        <is>
          <t>Indicateurs par atelier</t>
        </is>
      </c>
      <c r="N36" s="47" t="n"/>
      <c r="O36" s="47" t="n"/>
      <c r="P36" s="47" t="n"/>
      <c r="Q36" s="47" t="n"/>
      <c r="R36" s="47" t="n"/>
      <c r="S36" s="47" t="n"/>
    </row>
    <row r="37" ht="30" customHeight="1">
      <c r="B37" s="14" t="inlineStr">
        <is>
          <t>Septembre</t>
        </is>
      </c>
      <c r="C37" s="50">
        <f>DATE('Paramètres'!$AA$5,9,1)</f>
        <v/>
      </c>
      <c r="D37" s="51">
        <f>COUNTIFS('Ordres de travail'!$H$5:$H$3004,"Correctif",'Ordres de travail'!$AC$5:$AC$3004,"&lt;&gt;Annulé",'Ordres de travail'!$B$5:$B$3004,"&gt;="&amp;$C37,'Ordres de travail'!$B$5:$B$3004,"&lt;"&amp;EDATE($C37,1))</f>
        <v/>
      </c>
      <c r="E37" s="51">
        <f>SUM(COUNTIFS('Ordres de travail'!$H$5:$H$3004,{"Préventif systématique","Préventif conditionnel"},'Ordres de travail'!$AC$5:$AC$3004,"&lt;&gt;Annulé",'Ordres de travail'!$B$5:$B$3004,"&gt;="&amp;$C37,'Ordres de travail'!$B$5:$B$3004,"&lt;"&amp;EDATE($C37,1)))</f>
        <v/>
      </c>
      <c r="F37" s="51">
        <f>COUNTIFS('Ordres de travail'!$H$5:$H$3004,"Réglementaire",'Ordres de travail'!$AC$5:$AC$3004,"&lt;&gt;Annulé",'Ordres de travail'!$B$5:$B$3004,"&gt;="&amp;$C37,'Ordres de travail'!$B$5:$B$3004,"&lt;"&amp;EDATE($C37,1))+COUNTIFS('Ordres de travail'!$H$5:$H$3004,"Amélioratif",'Ordres de travail'!$AC$5:$AC$3004,"&lt;&gt;Annulé",'Ordres de travail'!$B$5:$B$3004,"&gt;="&amp;$C37,'Ordres de travail'!$B$5:$B$3004,"&lt;"&amp;EDATE($C37,1))</f>
        <v/>
      </c>
      <c r="G37" s="51">
        <f>SUMIFS('Ordres de travail'!$S$5:$S$3004,'Ordres de travail'!$AC$5:$AC$3004,"&lt;&gt;Annulé",'Ordres de travail'!$B$5:$B$3004,"&gt;="&amp;$C37,'Ordres de travail'!$B$5:$B$3004,"&lt;"&amp;EDATE($C37,1))</f>
        <v/>
      </c>
      <c r="H37" s="52">
        <f>SUMIFS('Ordres de travail'!$AA$5:$AA$3004,'Ordres de travail'!$B$5:$B$3004,"&gt;="&amp;$C37,'Ordres de travail'!$B$5:$B$3004,"&lt;"&amp;EDATE($C37,1))</f>
        <v/>
      </c>
      <c r="I37" s="52">
        <f>SUMIFS('Budget'!$F$5:$F$64,'Budget'!$B$5:$B$64,$C37)</f>
        <v/>
      </c>
      <c r="J37" s="52">
        <f>IF($C37&gt;TODAY(),NA(),SUM($H$29:H37))</f>
        <v/>
      </c>
      <c r="K37" s="52">
        <f>SUM($I$29:I37)</f>
        <v/>
      </c>
      <c r="M37" s="48" t="inlineStr">
        <is>
          <t>Atelier</t>
        </is>
      </c>
      <c r="N37" s="49" t="n"/>
      <c r="O37" s="48" t="inlineStr">
        <is>
          <t>Nb pannes</t>
        </is>
      </c>
      <c r="P37" s="48" t="inlineStr">
        <is>
          <t>Arrêt pannes (h)</t>
        </is>
      </c>
      <c r="Q37" s="48" t="inlineStr">
        <is>
          <t>Coût (€)</t>
        </is>
      </c>
      <c r="R37" s="48" t="inlineStr">
        <is>
          <t>Disponibilité</t>
        </is>
      </c>
      <c r="S37" s="48" t="inlineStr">
        <is>
          <t>Nb équip.</t>
        </is>
      </c>
    </row>
    <row r="38">
      <c r="B38" s="14" t="inlineStr">
        <is>
          <t>Octobre</t>
        </is>
      </c>
      <c r="C38" s="50">
        <f>DATE('Paramètres'!$AA$5,10,1)</f>
        <v/>
      </c>
      <c r="D38" s="51">
        <f>COUNTIFS('Ordres de travail'!$H$5:$H$3004,"Correctif",'Ordres de travail'!$AC$5:$AC$3004,"&lt;&gt;Annulé",'Ordres de travail'!$B$5:$B$3004,"&gt;="&amp;$C38,'Ordres de travail'!$B$5:$B$3004,"&lt;"&amp;EDATE($C38,1))</f>
        <v/>
      </c>
      <c r="E38" s="51">
        <f>SUM(COUNTIFS('Ordres de travail'!$H$5:$H$3004,{"Préventif systématique","Préventif conditionnel"},'Ordres de travail'!$AC$5:$AC$3004,"&lt;&gt;Annulé",'Ordres de travail'!$B$5:$B$3004,"&gt;="&amp;$C38,'Ordres de travail'!$B$5:$B$3004,"&lt;"&amp;EDATE($C38,1)))</f>
        <v/>
      </c>
      <c r="F38" s="51">
        <f>COUNTIFS('Ordres de travail'!$H$5:$H$3004,"Réglementaire",'Ordres de travail'!$AC$5:$AC$3004,"&lt;&gt;Annulé",'Ordres de travail'!$B$5:$B$3004,"&gt;="&amp;$C38,'Ordres de travail'!$B$5:$B$3004,"&lt;"&amp;EDATE($C38,1))+COUNTIFS('Ordres de travail'!$H$5:$H$3004,"Amélioratif",'Ordres de travail'!$AC$5:$AC$3004,"&lt;&gt;Annulé",'Ordres de travail'!$B$5:$B$3004,"&gt;="&amp;$C38,'Ordres de travail'!$B$5:$B$3004,"&lt;"&amp;EDATE($C38,1))</f>
        <v/>
      </c>
      <c r="G38" s="51">
        <f>SUMIFS('Ordres de travail'!$S$5:$S$3004,'Ordres de travail'!$AC$5:$AC$3004,"&lt;&gt;Annulé",'Ordres de travail'!$B$5:$B$3004,"&gt;="&amp;$C38,'Ordres de travail'!$B$5:$B$3004,"&lt;"&amp;EDATE($C38,1))</f>
        <v/>
      </c>
      <c r="H38" s="52">
        <f>SUMIFS('Ordres de travail'!$AA$5:$AA$3004,'Ordres de travail'!$B$5:$B$3004,"&gt;="&amp;$C38,'Ordres de travail'!$B$5:$B$3004,"&lt;"&amp;EDATE($C38,1))</f>
        <v/>
      </c>
      <c r="I38" s="52">
        <f>SUMIFS('Budget'!$F$5:$F$64,'Budget'!$B$5:$B$64,$C38)</f>
        <v/>
      </c>
      <c r="J38" s="52">
        <f>IF($C38&gt;TODAY(),NA(),SUM($H$29:H38))</f>
        <v/>
      </c>
      <c r="K38" s="52">
        <f>SUM($I$29:I38)</f>
        <v/>
      </c>
      <c r="M38" s="14" t="inlineStr">
        <is>
          <t>Usinage</t>
        </is>
      </c>
      <c r="O38" s="51">
        <f>COUNTIFS('Ordres de travail'!$F$5:$F$3004,$M38,'Ordres de travail'!$H$5:$H$3004,"Correctif",'Ordres de travail'!$AC$5:$AC$3004,"&lt;&gt;Annulé",'Ordres de travail'!$B$5:$B$3004,"&gt;="&amp;'Paramètres'!$AA$6,'Ordres de travail'!$B$5:$B$3004,"&lt;"&amp;('Paramètres'!$AA$7+1))</f>
        <v/>
      </c>
      <c r="P38" s="51">
        <f>SUMIFS('Ordres de travail'!$S$5:$S$3004,'Ordres de travail'!$F$5:$F$3004,$M38,'Ordres de travail'!$H$5:$H$3004,"Correctif",'Ordres de travail'!$AC$5:$AC$3004,"&lt;&gt;Annulé",'Ordres de travail'!$B$5:$B$3004,"&gt;="&amp;'Paramètres'!$AA$6,'Ordres de travail'!$B$5:$B$3004,"&lt;"&amp;('Paramètres'!$AA$7+1))</f>
        <v/>
      </c>
      <c r="Q38" s="52">
        <f>SUMIFS('Ordres de travail'!$AA$5:$AA$3004,'Ordres de travail'!$F$5:$F$3004,$M38,'Ordres de travail'!$B$5:$B$3004,"&gt;="&amp;'Paramètres'!$AA$6,'Ordres de travail'!$B$5:$B$3004,"&lt;"&amp;('Paramètres'!$AA$7+1))</f>
        <v/>
      </c>
      <c r="R38" s="53">
        <f>IFERROR(1-SUMIFS('Ordres de travail'!$S$5:$S$3004,'Ordres de travail'!$F$5:$F$3004,$M38,'Ordres de travail'!$AC$5:$AC$3004,"&lt;&gt;Annulé",'Ordres de travail'!$B$5:$B$3004,"&gt;="&amp;'Paramètres'!$AA$6,'Ordres de travail'!$B$5:$B$3004,"&lt;"&amp;('Paramètres'!$AA$7+1))/(SUMIFS('Équipements'!$O$5:$O$304,'Équipements'!$D$5:$D$304,$M38,'Équipements'!$L$5:$L$304,"&lt;&gt;Réformé")*'Paramètres'!$AA$8),"-")</f>
        <v/>
      </c>
      <c r="S38" s="51">
        <f>COUNTIFS('Équipements'!$D$5:$D$304,$M38,'Équipements'!$L$5:$L$304,"&lt;&gt;Réformé")</f>
        <v/>
      </c>
    </row>
    <row r="39">
      <c r="B39" s="14" t="inlineStr">
        <is>
          <t>Novembre</t>
        </is>
      </c>
      <c r="C39" s="50">
        <f>DATE('Paramètres'!$AA$5,11,1)</f>
        <v/>
      </c>
      <c r="D39" s="51">
        <f>COUNTIFS('Ordres de travail'!$H$5:$H$3004,"Correctif",'Ordres de travail'!$AC$5:$AC$3004,"&lt;&gt;Annulé",'Ordres de travail'!$B$5:$B$3004,"&gt;="&amp;$C39,'Ordres de travail'!$B$5:$B$3004,"&lt;"&amp;EDATE($C39,1))</f>
        <v/>
      </c>
      <c r="E39" s="51">
        <f>SUM(COUNTIFS('Ordres de travail'!$H$5:$H$3004,{"Préventif systématique","Préventif conditionnel"},'Ordres de travail'!$AC$5:$AC$3004,"&lt;&gt;Annulé",'Ordres de travail'!$B$5:$B$3004,"&gt;="&amp;$C39,'Ordres de travail'!$B$5:$B$3004,"&lt;"&amp;EDATE($C39,1)))</f>
        <v/>
      </c>
      <c r="F39" s="51">
        <f>COUNTIFS('Ordres de travail'!$H$5:$H$3004,"Réglementaire",'Ordres de travail'!$AC$5:$AC$3004,"&lt;&gt;Annulé",'Ordres de travail'!$B$5:$B$3004,"&gt;="&amp;$C39,'Ordres de travail'!$B$5:$B$3004,"&lt;"&amp;EDATE($C39,1))+COUNTIFS('Ordres de travail'!$H$5:$H$3004,"Amélioratif",'Ordres de travail'!$AC$5:$AC$3004,"&lt;&gt;Annulé",'Ordres de travail'!$B$5:$B$3004,"&gt;="&amp;$C39,'Ordres de travail'!$B$5:$B$3004,"&lt;"&amp;EDATE($C39,1))</f>
        <v/>
      </c>
      <c r="G39" s="51">
        <f>SUMIFS('Ordres de travail'!$S$5:$S$3004,'Ordres de travail'!$AC$5:$AC$3004,"&lt;&gt;Annulé",'Ordres de travail'!$B$5:$B$3004,"&gt;="&amp;$C39,'Ordres de travail'!$B$5:$B$3004,"&lt;"&amp;EDATE($C39,1))</f>
        <v/>
      </c>
      <c r="H39" s="52">
        <f>SUMIFS('Ordres de travail'!$AA$5:$AA$3004,'Ordres de travail'!$B$5:$B$3004,"&gt;="&amp;$C39,'Ordres de travail'!$B$5:$B$3004,"&lt;"&amp;EDATE($C39,1))</f>
        <v/>
      </c>
      <c r="I39" s="52">
        <f>SUMIFS('Budget'!$F$5:$F$64,'Budget'!$B$5:$B$64,$C39)</f>
        <v/>
      </c>
      <c r="J39" s="52">
        <f>IF($C39&gt;TODAY(),NA(),SUM($H$29:H39))</f>
        <v/>
      </c>
      <c r="K39" s="52">
        <f>SUM($I$29:I39)</f>
        <v/>
      </c>
      <c r="M39" s="14" t="inlineStr">
        <is>
          <t>Tôlerie</t>
        </is>
      </c>
      <c r="O39" s="51">
        <f>COUNTIFS('Ordres de travail'!$F$5:$F$3004,$M39,'Ordres de travail'!$H$5:$H$3004,"Correctif",'Ordres de travail'!$AC$5:$AC$3004,"&lt;&gt;Annulé",'Ordres de travail'!$B$5:$B$3004,"&gt;="&amp;'Paramètres'!$AA$6,'Ordres de travail'!$B$5:$B$3004,"&lt;"&amp;('Paramètres'!$AA$7+1))</f>
        <v/>
      </c>
      <c r="P39" s="51">
        <f>SUMIFS('Ordres de travail'!$S$5:$S$3004,'Ordres de travail'!$F$5:$F$3004,$M39,'Ordres de travail'!$H$5:$H$3004,"Correctif",'Ordres de travail'!$AC$5:$AC$3004,"&lt;&gt;Annulé",'Ordres de travail'!$B$5:$B$3004,"&gt;="&amp;'Paramètres'!$AA$6,'Ordres de travail'!$B$5:$B$3004,"&lt;"&amp;('Paramètres'!$AA$7+1))</f>
        <v/>
      </c>
      <c r="Q39" s="52">
        <f>SUMIFS('Ordres de travail'!$AA$5:$AA$3004,'Ordres de travail'!$F$5:$F$3004,$M39,'Ordres de travail'!$B$5:$B$3004,"&gt;="&amp;'Paramètres'!$AA$6,'Ordres de travail'!$B$5:$B$3004,"&lt;"&amp;('Paramètres'!$AA$7+1))</f>
        <v/>
      </c>
      <c r="R39" s="53">
        <f>IFERROR(1-SUMIFS('Ordres de travail'!$S$5:$S$3004,'Ordres de travail'!$F$5:$F$3004,$M39,'Ordres de travail'!$AC$5:$AC$3004,"&lt;&gt;Annulé",'Ordres de travail'!$B$5:$B$3004,"&gt;="&amp;'Paramètres'!$AA$6,'Ordres de travail'!$B$5:$B$3004,"&lt;"&amp;('Paramètres'!$AA$7+1))/(SUMIFS('Équipements'!$O$5:$O$304,'Équipements'!$D$5:$D$304,$M39,'Équipements'!$L$5:$L$304,"&lt;&gt;Réformé")*'Paramètres'!$AA$8),"-")</f>
        <v/>
      </c>
      <c r="S39" s="51">
        <f>COUNTIFS('Équipements'!$D$5:$D$304,$M39,'Équipements'!$L$5:$L$304,"&lt;&gt;Réformé")</f>
        <v/>
      </c>
    </row>
    <row r="40">
      <c r="B40" s="14" t="inlineStr">
        <is>
          <t>Décembre</t>
        </is>
      </c>
      <c r="C40" s="50">
        <f>DATE('Paramètres'!$AA$5,12,1)</f>
        <v/>
      </c>
      <c r="D40" s="51">
        <f>COUNTIFS('Ordres de travail'!$H$5:$H$3004,"Correctif",'Ordres de travail'!$AC$5:$AC$3004,"&lt;&gt;Annulé",'Ordres de travail'!$B$5:$B$3004,"&gt;="&amp;$C40,'Ordres de travail'!$B$5:$B$3004,"&lt;"&amp;EDATE($C40,1))</f>
        <v/>
      </c>
      <c r="E40" s="51">
        <f>SUM(COUNTIFS('Ordres de travail'!$H$5:$H$3004,{"Préventif systématique","Préventif conditionnel"},'Ordres de travail'!$AC$5:$AC$3004,"&lt;&gt;Annulé",'Ordres de travail'!$B$5:$B$3004,"&gt;="&amp;$C40,'Ordres de travail'!$B$5:$B$3004,"&lt;"&amp;EDATE($C40,1)))</f>
        <v/>
      </c>
      <c r="F40" s="51">
        <f>COUNTIFS('Ordres de travail'!$H$5:$H$3004,"Réglementaire",'Ordres de travail'!$AC$5:$AC$3004,"&lt;&gt;Annulé",'Ordres de travail'!$B$5:$B$3004,"&gt;="&amp;$C40,'Ordres de travail'!$B$5:$B$3004,"&lt;"&amp;EDATE($C40,1))+COUNTIFS('Ordres de travail'!$H$5:$H$3004,"Amélioratif",'Ordres de travail'!$AC$5:$AC$3004,"&lt;&gt;Annulé",'Ordres de travail'!$B$5:$B$3004,"&gt;="&amp;$C40,'Ordres de travail'!$B$5:$B$3004,"&lt;"&amp;EDATE($C40,1))</f>
        <v/>
      </c>
      <c r="G40" s="51">
        <f>SUMIFS('Ordres de travail'!$S$5:$S$3004,'Ordres de travail'!$AC$5:$AC$3004,"&lt;&gt;Annulé",'Ordres de travail'!$B$5:$B$3004,"&gt;="&amp;$C40,'Ordres de travail'!$B$5:$B$3004,"&lt;"&amp;EDATE($C40,1))</f>
        <v/>
      </c>
      <c r="H40" s="52">
        <f>SUMIFS('Ordres de travail'!$AA$5:$AA$3004,'Ordres de travail'!$B$5:$B$3004,"&gt;="&amp;$C40,'Ordres de travail'!$B$5:$B$3004,"&lt;"&amp;EDATE($C40,1))</f>
        <v/>
      </c>
      <c r="I40" s="52">
        <f>SUMIFS('Budget'!$F$5:$F$64,'Budget'!$B$5:$B$64,$C40)</f>
        <v/>
      </c>
      <c r="J40" s="52">
        <f>IF($C40&gt;TODAY(),NA(),SUM($H$29:H40))</f>
        <v/>
      </c>
      <c r="K40" s="52">
        <f>SUM($I$29:I40)</f>
        <v/>
      </c>
      <c r="M40" s="14" t="inlineStr">
        <is>
          <t>Soudure</t>
        </is>
      </c>
      <c r="O40" s="51">
        <f>COUNTIFS('Ordres de travail'!$F$5:$F$3004,$M40,'Ordres de travail'!$H$5:$H$3004,"Correctif",'Ordres de travail'!$AC$5:$AC$3004,"&lt;&gt;Annulé",'Ordres de travail'!$B$5:$B$3004,"&gt;="&amp;'Paramètres'!$AA$6,'Ordres de travail'!$B$5:$B$3004,"&lt;"&amp;('Paramètres'!$AA$7+1))</f>
        <v/>
      </c>
      <c r="P40" s="51">
        <f>SUMIFS('Ordres de travail'!$S$5:$S$3004,'Ordres de travail'!$F$5:$F$3004,$M40,'Ordres de travail'!$H$5:$H$3004,"Correctif",'Ordres de travail'!$AC$5:$AC$3004,"&lt;&gt;Annulé",'Ordres de travail'!$B$5:$B$3004,"&gt;="&amp;'Paramètres'!$AA$6,'Ordres de travail'!$B$5:$B$3004,"&lt;"&amp;('Paramètres'!$AA$7+1))</f>
        <v/>
      </c>
      <c r="Q40" s="52">
        <f>SUMIFS('Ordres de travail'!$AA$5:$AA$3004,'Ordres de travail'!$F$5:$F$3004,$M40,'Ordres de travail'!$B$5:$B$3004,"&gt;="&amp;'Paramètres'!$AA$6,'Ordres de travail'!$B$5:$B$3004,"&lt;"&amp;('Paramètres'!$AA$7+1))</f>
        <v/>
      </c>
      <c r="R40" s="53">
        <f>IFERROR(1-SUMIFS('Ordres de travail'!$S$5:$S$3004,'Ordres de travail'!$F$5:$F$3004,$M40,'Ordres de travail'!$AC$5:$AC$3004,"&lt;&gt;Annulé",'Ordres de travail'!$B$5:$B$3004,"&gt;="&amp;'Paramètres'!$AA$6,'Ordres de travail'!$B$5:$B$3004,"&lt;"&amp;('Paramètres'!$AA$7+1))/(SUMIFS('Équipements'!$O$5:$O$304,'Équipements'!$D$5:$D$304,$M40,'Équipements'!$L$5:$L$304,"&lt;&gt;Réformé")*'Paramètres'!$AA$8),"-")</f>
        <v/>
      </c>
      <c r="S40" s="51">
        <f>COUNTIFS('Équipements'!$D$5:$D$304,$M40,'Équipements'!$L$5:$L$304,"&lt;&gt;Réformé")</f>
        <v/>
      </c>
    </row>
    <row r="41">
      <c r="B41" s="54" t="inlineStr">
        <is>
          <t>TOTAL</t>
        </is>
      </c>
      <c r="C41" s="24" t="n"/>
      <c r="D41" s="55">
        <f>SUM(D29:D40)</f>
        <v/>
      </c>
      <c r="E41" s="55">
        <f>SUM(E29:E40)</f>
        <v/>
      </c>
      <c r="F41" s="55">
        <f>SUM(F29:F40)</f>
        <v/>
      </c>
      <c r="G41" s="55">
        <f>SUM(G29:G40)</f>
        <v/>
      </c>
      <c r="H41" s="56">
        <f>SUM(H29:H40)</f>
        <v/>
      </c>
      <c r="I41" s="56">
        <f>SUM(I29:I40)</f>
        <v/>
      </c>
      <c r="J41" s="24" t="n"/>
      <c r="K41" s="24" t="n"/>
      <c r="M41" s="14" t="inlineStr">
        <is>
          <t>Peinture</t>
        </is>
      </c>
      <c r="O41" s="51">
        <f>COUNTIFS('Ordres de travail'!$F$5:$F$3004,$M41,'Ordres de travail'!$H$5:$H$3004,"Correctif",'Ordres de travail'!$AC$5:$AC$3004,"&lt;&gt;Annulé",'Ordres de travail'!$B$5:$B$3004,"&gt;="&amp;'Paramètres'!$AA$6,'Ordres de travail'!$B$5:$B$3004,"&lt;"&amp;('Paramètres'!$AA$7+1))</f>
        <v/>
      </c>
      <c r="P41" s="51">
        <f>SUMIFS('Ordres de travail'!$S$5:$S$3004,'Ordres de travail'!$F$5:$F$3004,$M41,'Ordres de travail'!$H$5:$H$3004,"Correctif",'Ordres de travail'!$AC$5:$AC$3004,"&lt;&gt;Annulé",'Ordres de travail'!$B$5:$B$3004,"&gt;="&amp;'Paramètres'!$AA$6,'Ordres de travail'!$B$5:$B$3004,"&lt;"&amp;('Paramètres'!$AA$7+1))</f>
        <v/>
      </c>
      <c r="Q41" s="52">
        <f>SUMIFS('Ordres de travail'!$AA$5:$AA$3004,'Ordres de travail'!$F$5:$F$3004,$M41,'Ordres de travail'!$B$5:$B$3004,"&gt;="&amp;'Paramètres'!$AA$6,'Ordres de travail'!$B$5:$B$3004,"&lt;"&amp;('Paramètres'!$AA$7+1))</f>
        <v/>
      </c>
      <c r="R41" s="53">
        <f>IFERROR(1-SUMIFS('Ordres de travail'!$S$5:$S$3004,'Ordres de travail'!$F$5:$F$3004,$M41,'Ordres de travail'!$AC$5:$AC$3004,"&lt;&gt;Annulé",'Ordres de travail'!$B$5:$B$3004,"&gt;="&amp;'Paramètres'!$AA$6,'Ordres de travail'!$B$5:$B$3004,"&lt;"&amp;('Paramètres'!$AA$7+1))/(SUMIFS('Équipements'!$O$5:$O$304,'Équipements'!$D$5:$D$304,$M41,'Équipements'!$L$5:$L$304,"&lt;&gt;Réformé")*'Paramètres'!$AA$8),"-")</f>
        <v/>
      </c>
      <c r="S41" s="51">
        <f>COUNTIFS('Équipements'!$D$5:$D$304,$M41,'Équipements'!$L$5:$L$304,"&lt;&gt;Réformé")</f>
        <v/>
      </c>
    </row>
    <row r="42">
      <c r="B42" s="58" t="inlineStr">
        <is>
          <t>Le cumul réel n'est pas tracé pour les mois futurs (#N/A volontaire, masqué).</t>
        </is>
      </c>
      <c r="M42" s="14" t="inlineStr">
        <is>
          <t>Assemblage</t>
        </is>
      </c>
      <c r="O42" s="51">
        <f>COUNTIFS('Ordres de travail'!$F$5:$F$3004,$M42,'Ordres de travail'!$H$5:$H$3004,"Correctif",'Ordres de travail'!$AC$5:$AC$3004,"&lt;&gt;Annulé",'Ordres de travail'!$B$5:$B$3004,"&gt;="&amp;'Paramètres'!$AA$6,'Ordres de travail'!$B$5:$B$3004,"&lt;"&amp;('Paramètres'!$AA$7+1))</f>
        <v/>
      </c>
      <c r="P42" s="51">
        <f>SUMIFS('Ordres de travail'!$S$5:$S$3004,'Ordres de travail'!$F$5:$F$3004,$M42,'Ordres de travail'!$H$5:$H$3004,"Correctif",'Ordres de travail'!$AC$5:$AC$3004,"&lt;&gt;Annulé",'Ordres de travail'!$B$5:$B$3004,"&gt;="&amp;'Paramètres'!$AA$6,'Ordres de travail'!$B$5:$B$3004,"&lt;"&amp;('Paramètres'!$AA$7+1))</f>
        <v/>
      </c>
      <c r="Q42" s="52">
        <f>SUMIFS('Ordres de travail'!$AA$5:$AA$3004,'Ordres de travail'!$F$5:$F$3004,$M42,'Ordres de travail'!$B$5:$B$3004,"&gt;="&amp;'Paramètres'!$AA$6,'Ordres de travail'!$B$5:$B$3004,"&lt;"&amp;('Paramètres'!$AA$7+1))</f>
        <v/>
      </c>
      <c r="R42" s="53">
        <f>IFERROR(1-SUMIFS('Ordres de travail'!$S$5:$S$3004,'Ordres de travail'!$F$5:$F$3004,$M42,'Ordres de travail'!$AC$5:$AC$3004,"&lt;&gt;Annulé",'Ordres de travail'!$B$5:$B$3004,"&gt;="&amp;'Paramètres'!$AA$6,'Ordres de travail'!$B$5:$B$3004,"&lt;"&amp;('Paramètres'!$AA$7+1))/(SUMIFS('Équipements'!$O$5:$O$304,'Équipements'!$D$5:$D$304,$M42,'Équipements'!$L$5:$L$304,"&lt;&gt;Réformé")*'Paramètres'!$AA$8),"-")</f>
        <v/>
      </c>
      <c r="S42" s="51">
        <f>COUNTIFS('Équipements'!$D$5:$D$304,$M42,'Équipements'!$L$5:$L$304,"&lt;&gt;Réformé")</f>
        <v/>
      </c>
    </row>
    <row r="43">
      <c r="M43" s="14" t="inlineStr">
        <is>
          <t>Utilités</t>
        </is>
      </c>
      <c r="O43" s="51">
        <f>COUNTIFS('Ordres de travail'!$F$5:$F$3004,$M43,'Ordres de travail'!$H$5:$H$3004,"Correctif",'Ordres de travail'!$AC$5:$AC$3004,"&lt;&gt;Annulé",'Ordres de travail'!$B$5:$B$3004,"&gt;="&amp;'Paramètres'!$AA$6,'Ordres de travail'!$B$5:$B$3004,"&lt;"&amp;('Paramètres'!$AA$7+1))</f>
        <v/>
      </c>
      <c r="P43" s="51">
        <f>SUMIFS('Ordres de travail'!$S$5:$S$3004,'Ordres de travail'!$F$5:$F$3004,$M43,'Ordres de travail'!$H$5:$H$3004,"Correctif",'Ordres de travail'!$AC$5:$AC$3004,"&lt;&gt;Annulé",'Ordres de travail'!$B$5:$B$3004,"&gt;="&amp;'Paramètres'!$AA$6,'Ordres de travail'!$B$5:$B$3004,"&lt;"&amp;('Paramètres'!$AA$7+1))</f>
        <v/>
      </c>
      <c r="Q43" s="52">
        <f>SUMIFS('Ordres de travail'!$AA$5:$AA$3004,'Ordres de travail'!$F$5:$F$3004,$M43,'Ordres de travail'!$B$5:$B$3004,"&gt;="&amp;'Paramètres'!$AA$6,'Ordres de travail'!$B$5:$B$3004,"&lt;"&amp;('Paramètres'!$AA$7+1))</f>
        <v/>
      </c>
      <c r="R43" s="53">
        <f>IFERROR(1-SUMIFS('Ordres de travail'!$S$5:$S$3004,'Ordres de travail'!$F$5:$F$3004,$M43,'Ordres de travail'!$AC$5:$AC$3004,"&lt;&gt;Annulé",'Ordres de travail'!$B$5:$B$3004,"&gt;="&amp;'Paramètres'!$AA$6,'Ordres de travail'!$B$5:$B$3004,"&lt;"&amp;('Paramètres'!$AA$7+1))/(SUMIFS('Équipements'!$O$5:$O$304,'Équipements'!$D$5:$D$304,$M43,'Équipements'!$L$5:$L$304,"&lt;&gt;Réformé")*'Paramètres'!$AA$8),"-")</f>
        <v/>
      </c>
      <c r="S43" s="51">
        <f>COUNTIFS('Équipements'!$D$5:$D$304,$M43,'Équipements'!$L$5:$L$304,"&lt;&gt;Réformé")</f>
        <v/>
      </c>
    </row>
    <row r="44">
      <c r="M44" s="14" t="inlineStr">
        <is>
          <t>Logistique</t>
        </is>
      </c>
      <c r="O44" s="51">
        <f>COUNTIFS('Ordres de travail'!$F$5:$F$3004,$M44,'Ordres de travail'!$H$5:$H$3004,"Correctif",'Ordres de travail'!$AC$5:$AC$3004,"&lt;&gt;Annulé",'Ordres de travail'!$B$5:$B$3004,"&gt;="&amp;'Paramètres'!$AA$6,'Ordres de travail'!$B$5:$B$3004,"&lt;"&amp;('Paramètres'!$AA$7+1))</f>
        <v/>
      </c>
      <c r="P44" s="51">
        <f>SUMIFS('Ordres de travail'!$S$5:$S$3004,'Ordres de travail'!$F$5:$F$3004,$M44,'Ordres de travail'!$H$5:$H$3004,"Correctif",'Ordres de travail'!$AC$5:$AC$3004,"&lt;&gt;Annulé",'Ordres de travail'!$B$5:$B$3004,"&gt;="&amp;'Paramètres'!$AA$6,'Ordres de travail'!$B$5:$B$3004,"&lt;"&amp;('Paramètres'!$AA$7+1))</f>
        <v/>
      </c>
      <c r="Q44" s="52">
        <f>SUMIFS('Ordres de travail'!$AA$5:$AA$3004,'Ordres de travail'!$F$5:$F$3004,$M44,'Ordres de travail'!$B$5:$B$3004,"&gt;="&amp;'Paramètres'!$AA$6,'Ordres de travail'!$B$5:$B$3004,"&lt;"&amp;('Paramètres'!$AA$7+1))</f>
        <v/>
      </c>
      <c r="R44" s="53">
        <f>IFERROR(1-SUMIFS('Ordres de travail'!$S$5:$S$3004,'Ordres de travail'!$F$5:$F$3004,$M44,'Ordres de travail'!$AC$5:$AC$3004,"&lt;&gt;Annulé",'Ordres de travail'!$B$5:$B$3004,"&gt;="&amp;'Paramètres'!$AA$6,'Ordres de travail'!$B$5:$B$3004,"&lt;"&amp;('Paramètres'!$AA$7+1))/(SUMIFS('Équipements'!$O$5:$O$304,'Équipements'!$D$5:$D$304,$M44,'Équipements'!$L$5:$L$304,"&lt;&gt;Réformé")*'Paramètres'!$AA$8),"-")</f>
        <v/>
      </c>
      <c r="S44" s="51">
        <f>COUNTIFS('Équipements'!$D$5:$D$304,$M44,'Équipements'!$L$5:$L$304,"&lt;&gt;Réformé")</f>
        <v/>
      </c>
    </row>
    <row r="45">
      <c r="M45" s="14" t="inlineStr">
        <is>
          <t>Bâtiment</t>
        </is>
      </c>
      <c r="O45" s="51">
        <f>COUNTIFS('Ordres de travail'!$F$5:$F$3004,$M45,'Ordres de travail'!$H$5:$H$3004,"Correctif",'Ordres de travail'!$AC$5:$AC$3004,"&lt;&gt;Annulé",'Ordres de travail'!$B$5:$B$3004,"&gt;="&amp;'Paramètres'!$AA$6,'Ordres de travail'!$B$5:$B$3004,"&lt;"&amp;('Paramètres'!$AA$7+1))</f>
        <v/>
      </c>
      <c r="P45" s="51">
        <f>SUMIFS('Ordres de travail'!$S$5:$S$3004,'Ordres de travail'!$F$5:$F$3004,$M45,'Ordres de travail'!$H$5:$H$3004,"Correctif",'Ordres de travail'!$AC$5:$AC$3004,"&lt;&gt;Annulé",'Ordres de travail'!$B$5:$B$3004,"&gt;="&amp;'Paramètres'!$AA$6,'Ordres de travail'!$B$5:$B$3004,"&lt;"&amp;('Paramètres'!$AA$7+1))</f>
        <v/>
      </c>
      <c r="Q45" s="52">
        <f>SUMIFS('Ordres de travail'!$AA$5:$AA$3004,'Ordres de travail'!$F$5:$F$3004,$M45,'Ordres de travail'!$B$5:$B$3004,"&gt;="&amp;'Paramètres'!$AA$6,'Ordres de travail'!$B$5:$B$3004,"&lt;"&amp;('Paramètres'!$AA$7+1))</f>
        <v/>
      </c>
      <c r="R45" s="53">
        <f>IFERROR(1-SUMIFS('Ordres de travail'!$S$5:$S$3004,'Ordres de travail'!$F$5:$F$3004,$M45,'Ordres de travail'!$AC$5:$AC$3004,"&lt;&gt;Annulé",'Ordres de travail'!$B$5:$B$3004,"&gt;="&amp;'Paramètres'!$AA$6,'Ordres de travail'!$B$5:$B$3004,"&lt;"&amp;('Paramètres'!$AA$7+1))/(SUMIFS('Équipements'!$O$5:$O$304,'Équipements'!$D$5:$D$304,$M45,'Équipements'!$L$5:$L$304,"&lt;&gt;Réformé")*'Paramètres'!$AA$8),"-")</f>
        <v/>
      </c>
      <c r="S45" s="51">
        <f>COUNTIFS('Équipements'!$D$5:$D$304,$M45,'Équipements'!$L$5:$L$304,"&lt;&gt;Réformé")</f>
        <v/>
      </c>
    </row>
    <row r="48">
      <c r="B48" s="46" t="inlineStr">
        <is>
          <t>Top 10 des équipements par heures d'arrêt (période)</t>
        </is>
      </c>
      <c r="C48" s="47" t="n"/>
      <c r="D48" s="47" t="n"/>
      <c r="E48" s="47" t="n"/>
      <c r="F48" s="47" t="n"/>
      <c r="G48" s="47" t="n"/>
      <c r="H48" s="47" t="n"/>
      <c r="I48" s="47" t="n"/>
      <c r="J48" s="47" t="n"/>
      <c r="K48" s="47" t="n"/>
      <c r="M48" s="46" t="inlineStr">
        <is>
          <t>Causes des pannes (correctifs)</t>
        </is>
      </c>
      <c r="N48" s="47" t="n"/>
      <c r="O48" s="47" t="n"/>
      <c r="P48" s="47" t="n"/>
      <c r="Q48" s="47" t="n"/>
      <c r="R48" s="47" t="n"/>
      <c r="S48" s="47" t="n"/>
    </row>
    <row r="49" ht="30" customHeight="1">
      <c r="B49" s="48" t="inlineStr">
        <is>
          <t>Rang</t>
        </is>
      </c>
      <c r="C49" s="48" t="inlineStr">
        <is>
          <t>Code</t>
        </is>
      </c>
      <c r="D49" s="48" t="inlineStr">
        <is>
          <t>Désignation</t>
        </is>
      </c>
      <c r="E49" s="59" t="n"/>
      <c r="F49" s="49" t="n"/>
      <c r="G49" s="48" t="inlineStr">
        <is>
          <t>Arrêt total (h)</t>
        </is>
      </c>
      <c r="H49" s="48" t="inlineStr">
        <is>
          <t>Nb pannes</t>
        </is>
      </c>
      <c r="I49" s="48" t="inlineStr">
        <is>
          <t>Coût (€)</t>
        </is>
      </c>
      <c r="J49" s="48" t="inlineStr">
        <is>
          <t>MTBF (h)</t>
        </is>
      </c>
      <c r="K49" s="48" t="inlineStr">
        <is>
          <t>Disponibilité</t>
        </is>
      </c>
      <c r="M49" s="48" t="inlineStr">
        <is>
          <t>Cause</t>
        </is>
      </c>
      <c r="N49" s="49" t="n"/>
      <c r="O49" s="48" t="inlineStr">
        <is>
          <t>Nb pannes</t>
        </is>
      </c>
      <c r="P49" s="48" t="inlineStr">
        <is>
          <t>Arrêt (h)</t>
        </is>
      </c>
      <c r="Q49" s="48" t="inlineStr">
        <is>
          <t>Coût (€)</t>
        </is>
      </c>
      <c r="R49" s="48" t="inlineStr">
        <is>
          <t>% pannes</t>
        </is>
      </c>
      <c r="S49" s="48" t="inlineStr"/>
    </row>
    <row r="50">
      <c r="B50" s="60" t="n">
        <v>1</v>
      </c>
      <c r="C50" s="8">
        <f>IFERROR(INDEX('Équipements'!$A$5:$A$304,MATCH(LARGE('Équipements'!$AB$5:$AB$304,1),'Équipements'!$AB$5:$AB$304,0)),"")</f>
        <v/>
      </c>
      <c r="D50" s="8">
        <f>IFERROR(INDEX('Équipements'!$B$5:$B$304,MATCH(LARGE('Équipements'!$AB$5:$AB$304,1),'Équipements'!$AB$5:$AB$304,0)),"")</f>
        <v/>
      </c>
      <c r="G50" s="61">
        <f>IFERROR(INDEX('Équipements'!$R$5:$R$304,MATCH(LARGE('Équipements'!$AB$5:$AB$304,1),'Équipements'!$AB$5:$AB$304,0)),"")</f>
        <v/>
      </c>
      <c r="H50" s="51">
        <f>IFERROR(INDEX('Équipements'!$P$5:$P$304,MATCH(LARGE('Équipements'!$AB$5:$AB$304,1),'Équipements'!$AB$5:$AB$304,0)),"")</f>
        <v/>
      </c>
      <c r="I50" s="52">
        <f>IFERROR(INDEX('Équipements'!$S$5:$S$304,MATCH(LARGE('Équipements'!$AB$5:$AB$304,1),'Équipements'!$AB$5:$AB$304,0)),"")</f>
        <v/>
      </c>
      <c r="J50" s="51">
        <f>IFERROR(INDEX('Équipements'!$T$5:$T$304,MATCH(LARGE('Équipements'!$AB$5:$AB$304,1),'Équipements'!$AB$5:$AB$304,0)),"")</f>
        <v/>
      </c>
      <c r="K50" s="53">
        <f>IFERROR(INDEX('Équipements'!$V$5:$V$304,MATCH(LARGE('Équipements'!$AB$5:$AB$304,1),'Équipements'!$AB$5:$AB$304,0)),"")</f>
        <v/>
      </c>
      <c r="M50" s="14" t="inlineStr">
        <is>
          <t>Usure</t>
        </is>
      </c>
      <c r="O50" s="51">
        <f>COUNTIFS('Ordres de travail'!$M$5:$M$3004,$M50,'Ordres de travail'!$H$5:$H$3004,"Correctif",'Ordres de travail'!$AC$5:$AC$3004,"&lt;&gt;Annulé",'Ordres de travail'!$B$5:$B$3004,"&gt;="&amp;'Paramètres'!$AA$6,'Ordres de travail'!$B$5:$B$3004,"&lt;"&amp;('Paramètres'!$AA$7+1))</f>
        <v/>
      </c>
      <c r="P50" s="51">
        <f>SUMIFS('Ordres de travail'!$S$5:$S$3004,'Ordres de travail'!$M$5:$M$3004,$M50,'Ordres de travail'!$H$5:$H$3004,"Correctif",'Ordres de travail'!$AC$5:$AC$3004,"&lt;&gt;Annulé",'Ordres de travail'!$B$5:$B$3004,"&gt;="&amp;'Paramètres'!$AA$6,'Ordres de travail'!$B$5:$B$3004,"&lt;"&amp;('Paramètres'!$AA$7+1))</f>
        <v/>
      </c>
      <c r="Q50" s="52">
        <f>SUMIFS('Ordres de travail'!$AA$5:$AA$3004,'Ordres de travail'!$M$5:$M$3004,$M50,'Ordres de travail'!$H$5:$H$3004,"Correctif",'Ordres de travail'!$B$5:$B$3004,"&gt;="&amp;'Paramètres'!$AA$6,'Ordres de travail'!$B$5:$B$3004,"&lt;"&amp;('Paramètres'!$AA$7+1))</f>
        <v/>
      </c>
      <c r="R50" s="53">
        <f>IFERROR(O50/SUM($O$50:$O$62),0)</f>
        <v/>
      </c>
    </row>
    <row r="51">
      <c r="B51" s="60" t="n">
        <v>2</v>
      </c>
      <c r="C51" s="8">
        <f>IFERROR(INDEX('Équipements'!$A$5:$A$304,MATCH(LARGE('Équipements'!$AB$5:$AB$304,2),'Équipements'!$AB$5:$AB$304,0)),"")</f>
        <v/>
      </c>
      <c r="D51" s="8">
        <f>IFERROR(INDEX('Équipements'!$B$5:$B$304,MATCH(LARGE('Équipements'!$AB$5:$AB$304,2),'Équipements'!$AB$5:$AB$304,0)),"")</f>
        <v/>
      </c>
      <c r="G51" s="61">
        <f>IFERROR(INDEX('Équipements'!$R$5:$R$304,MATCH(LARGE('Équipements'!$AB$5:$AB$304,2),'Équipements'!$AB$5:$AB$304,0)),"")</f>
        <v/>
      </c>
      <c r="H51" s="51">
        <f>IFERROR(INDEX('Équipements'!$P$5:$P$304,MATCH(LARGE('Équipements'!$AB$5:$AB$304,2),'Équipements'!$AB$5:$AB$304,0)),"")</f>
        <v/>
      </c>
      <c r="I51" s="52">
        <f>IFERROR(INDEX('Équipements'!$S$5:$S$304,MATCH(LARGE('Équipements'!$AB$5:$AB$304,2),'Équipements'!$AB$5:$AB$304,0)),"")</f>
        <v/>
      </c>
      <c r="J51" s="51">
        <f>IFERROR(INDEX('Équipements'!$T$5:$T$304,MATCH(LARGE('Équipements'!$AB$5:$AB$304,2),'Équipements'!$AB$5:$AB$304,0)),"")</f>
        <v/>
      </c>
      <c r="K51" s="53">
        <f>IFERROR(INDEX('Équipements'!$V$5:$V$304,MATCH(LARGE('Équipements'!$AB$5:$AB$304,2),'Équipements'!$AB$5:$AB$304,0)),"")</f>
        <v/>
      </c>
      <c r="M51" s="14" t="inlineStr">
        <is>
          <t>Défaut lubrification</t>
        </is>
      </c>
      <c r="O51" s="51">
        <f>COUNTIFS('Ordres de travail'!$M$5:$M$3004,$M51,'Ordres de travail'!$H$5:$H$3004,"Correctif",'Ordres de travail'!$AC$5:$AC$3004,"&lt;&gt;Annulé",'Ordres de travail'!$B$5:$B$3004,"&gt;="&amp;'Paramètres'!$AA$6,'Ordres de travail'!$B$5:$B$3004,"&lt;"&amp;('Paramètres'!$AA$7+1))</f>
        <v/>
      </c>
      <c r="P51" s="51">
        <f>SUMIFS('Ordres de travail'!$S$5:$S$3004,'Ordres de travail'!$M$5:$M$3004,$M51,'Ordres de travail'!$H$5:$H$3004,"Correctif",'Ordres de travail'!$AC$5:$AC$3004,"&lt;&gt;Annulé",'Ordres de travail'!$B$5:$B$3004,"&gt;="&amp;'Paramètres'!$AA$6,'Ordres de travail'!$B$5:$B$3004,"&lt;"&amp;('Paramètres'!$AA$7+1))</f>
        <v/>
      </c>
      <c r="Q51" s="52">
        <f>SUMIFS('Ordres de travail'!$AA$5:$AA$3004,'Ordres de travail'!$M$5:$M$3004,$M51,'Ordres de travail'!$H$5:$H$3004,"Correctif",'Ordres de travail'!$B$5:$B$3004,"&gt;="&amp;'Paramètres'!$AA$6,'Ordres de travail'!$B$5:$B$3004,"&lt;"&amp;('Paramètres'!$AA$7+1))</f>
        <v/>
      </c>
      <c r="R51" s="53">
        <f>IFERROR(O51/SUM($O$50:$O$62),0)</f>
        <v/>
      </c>
    </row>
    <row r="52">
      <c r="B52" s="60" t="n">
        <v>3</v>
      </c>
      <c r="C52" s="8">
        <f>IFERROR(INDEX('Équipements'!$A$5:$A$304,MATCH(LARGE('Équipements'!$AB$5:$AB$304,3),'Équipements'!$AB$5:$AB$304,0)),"")</f>
        <v/>
      </c>
      <c r="D52" s="8">
        <f>IFERROR(INDEX('Équipements'!$B$5:$B$304,MATCH(LARGE('Équipements'!$AB$5:$AB$304,3),'Équipements'!$AB$5:$AB$304,0)),"")</f>
        <v/>
      </c>
      <c r="G52" s="61">
        <f>IFERROR(INDEX('Équipements'!$R$5:$R$304,MATCH(LARGE('Équipements'!$AB$5:$AB$304,3),'Équipements'!$AB$5:$AB$304,0)),"")</f>
        <v/>
      </c>
      <c r="H52" s="51">
        <f>IFERROR(INDEX('Équipements'!$P$5:$P$304,MATCH(LARGE('Équipements'!$AB$5:$AB$304,3),'Équipements'!$AB$5:$AB$304,0)),"")</f>
        <v/>
      </c>
      <c r="I52" s="52">
        <f>IFERROR(INDEX('Équipements'!$S$5:$S$304,MATCH(LARGE('Équipements'!$AB$5:$AB$304,3),'Équipements'!$AB$5:$AB$304,0)),"")</f>
        <v/>
      </c>
      <c r="J52" s="51">
        <f>IFERROR(INDEX('Équipements'!$T$5:$T$304,MATCH(LARGE('Équipements'!$AB$5:$AB$304,3),'Équipements'!$AB$5:$AB$304,0)),"")</f>
        <v/>
      </c>
      <c r="K52" s="53">
        <f>IFERROR(INDEX('Équipements'!$V$5:$V$304,MATCH(LARGE('Équipements'!$AB$5:$AB$304,3),'Équipements'!$AB$5:$AB$304,0)),"")</f>
        <v/>
      </c>
      <c r="M52" s="14" t="inlineStr">
        <is>
          <t>Encrassement</t>
        </is>
      </c>
      <c r="O52" s="51">
        <f>COUNTIFS('Ordres de travail'!$M$5:$M$3004,$M52,'Ordres de travail'!$H$5:$H$3004,"Correctif",'Ordres de travail'!$AC$5:$AC$3004,"&lt;&gt;Annulé",'Ordres de travail'!$B$5:$B$3004,"&gt;="&amp;'Paramètres'!$AA$6,'Ordres de travail'!$B$5:$B$3004,"&lt;"&amp;('Paramètres'!$AA$7+1))</f>
        <v/>
      </c>
      <c r="P52" s="51">
        <f>SUMIFS('Ordres de travail'!$S$5:$S$3004,'Ordres de travail'!$M$5:$M$3004,$M52,'Ordres de travail'!$H$5:$H$3004,"Correctif",'Ordres de travail'!$AC$5:$AC$3004,"&lt;&gt;Annulé",'Ordres de travail'!$B$5:$B$3004,"&gt;="&amp;'Paramètres'!$AA$6,'Ordres de travail'!$B$5:$B$3004,"&lt;"&amp;('Paramètres'!$AA$7+1))</f>
        <v/>
      </c>
      <c r="Q52" s="52">
        <f>SUMIFS('Ordres de travail'!$AA$5:$AA$3004,'Ordres de travail'!$M$5:$M$3004,$M52,'Ordres de travail'!$H$5:$H$3004,"Correctif",'Ordres de travail'!$B$5:$B$3004,"&gt;="&amp;'Paramètres'!$AA$6,'Ordres de travail'!$B$5:$B$3004,"&lt;"&amp;('Paramètres'!$AA$7+1))</f>
        <v/>
      </c>
      <c r="R52" s="53">
        <f>IFERROR(O52/SUM($O$50:$O$62),0)</f>
        <v/>
      </c>
    </row>
    <row r="53">
      <c r="B53" s="60" t="n">
        <v>4</v>
      </c>
      <c r="C53" s="8">
        <f>IFERROR(INDEX('Équipements'!$A$5:$A$304,MATCH(LARGE('Équipements'!$AB$5:$AB$304,4),'Équipements'!$AB$5:$AB$304,0)),"")</f>
        <v/>
      </c>
      <c r="D53" s="8">
        <f>IFERROR(INDEX('Équipements'!$B$5:$B$304,MATCH(LARGE('Équipements'!$AB$5:$AB$304,4),'Équipements'!$AB$5:$AB$304,0)),"")</f>
        <v/>
      </c>
      <c r="G53" s="61">
        <f>IFERROR(INDEX('Équipements'!$R$5:$R$304,MATCH(LARGE('Équipements'!$AB$5:$AB$304,4),'Équipements'!$AB$5:$AB$304,0)),"")</f>
        <v/>
      </c>
      <c r="H53" s="51">
        <f>IFERROR(INDEX('Équipements'!$P$5:$P$304,MATCH(LARGE('Équipements'!$AB$5:$AB$304,4),'Équipements'!$AB$5:$AB$304,0)),"")</f>
        <v/>
      </c>
      <c r="I53" s="52">
        <f>IFERROR(INDEX('Équipements'!$S$5:$S$304,MATCH(LARGE('Équipements'!$AB$5:$AB$304,4),'Équipements'!$AB$5:$AB$304,0)),"")</f>
        <v/>
      </c>
      <c r="J53" s="51">
        <f>IFERROR(INDEX('Équipements'!$T$5:$T$304,MATCH(LARGE('Équipements'!$AB$5:$AB$304,4),'Équipements'!$AB$5:$AB$304,0)),"")</f>
        <v/>
      </c>
      <c r="K53" s="53">
        <f>IFERROR(INDEX('Équipements'!$V$5:$V$304,MATCH(LARGE('Équipements'!$AB$5:$AB$304,4),'Équipements'!$AB$5:$AB$304,0)),"")</f>
        <v/>
      </c>
      <c r="M53" s="14" t="inlineStr">
        <is>
          <t>Fuite</t>
        </is>
      </c>
      <c r="O53" s="51">
        <f>COUNTIFS('Ordres de travail'!$M$5:$M$3004,$M53,'Ordres de travail'!$H$5:$H$3004,"Correctif",'Ordres de travail'!$AC$5:$AC$3004,"&lt;&gt;Annulé",'Ordres de travail'!$B$5:$B$3004,"&gt;="&amp;'Paramètres'!$AA$6,'Ordres de travail'!$B$5:$B$3004,"&lt;"&amp;('Paramètres'!$AA$7+1))</f>
        <v/>
      </c>
      <c r="P53" s="51">
        <f>SUMIFS('Ordres de travail'!$S$5:$S$3004,'Ordres de travail'!$M$5:$M$3004,$M53,'Ordres de travail'!$H$5:$H$3004,"Correctif",'Ordres de travail'!$AC$5:$AC$3004,"&lt;&gt;Annulé",'Ordres de travail'!$B$5:$B$3004,"&gt;="&amp;'Paramètres'!$AA$6,'Ordres de travail'!$B$5:$B$3004,"&lt;"&amp;('Paramètres'!$AA$7+1))</f>
        <v/>
      </c>
      <c r="Q53" s="52">
        <f>SUMIFS('Ordres de travail'!$AA$5:$AA$3004,'Ordres de travail'!$M$5:$M$3004,$M53,'Ordres de travail'!$H$5:$H$3004,"Correctif",'Ordres de travail'!$B$5:$B$3004,"&gt;="&amp;'Paramètres'!$AA$6,'Ordres de travail'!$B$5:$B$3004,"&lt;"&amp;('Paramètres'!$AA$7+1))</f>
        <v/>
      </c>
      <c r="R53" s="53">
        <f>IFERROR(O53/SUM($O$50:$O$62),0)</f>
        <v/>
      </c>
    </row>
    <row r="54">
      <c r="B54" s="60" t="n">
        <v>5</v>
      </c>
      <c r="C54" s="8">
        <f>IFERROR(INDEX('Équipements'!$A$5:$A$304,MATCH(LARGE('Équipements'!$AB$5:$AB$304,5),'Équipements'!$AB$5:$AB$304,0)),"")</f>
        <v/>
      </c>
      <c r="D54" s="8">
        <f>IFERROR(INDEX('Équipements'!$B$5:$B$304,MATCH(LARGE('Équipements'!$AB$5:$AB$304,5),'Équipements'!$AB$5:$AB$304,0)),"")</f>
        <v/>
      </c>
      <c r="G54" s="61">
        <f>IFERROR(INDEX('Équipements'!$R$5:$R$304,MATCH(LARGE('Équipements'!$AB$5:$AB$304,5),'Équipements'!$AB$5:$AB$304,0)),"")</f>
        <v/>
      </c>
      <c r="H54" s="51">
        <f>IFERROR(INDEX('Équipements'!$P$5:$P$304,MATCH(LARGE('Équipements'!$AB$5:$AB$304,5),'Équipements'!$AB$5:$AB$304,0)),"")</f>
        <v/>
      </c>
      <c r="I54" s="52">
        <f>IFERROR(INDEX('Équipements'!$S$5:$S$304,MATCH(LARGE('Équipements'!$AB$5:$AB$304,5),'Équipements'!$AB$5:$AB$304,0)),"")</f>
        <v/>
      </c>
      <c r="J54" s="51">
        <f>IFERROR(INDEX('Équipements'!$T$5:$T$304,MATCH(LARGE('Équipements'!$AB$5:$AB$304,5),'Équipements'!$AB$5:$AB$304,0)),"")</f>
        <v/>
      </c>
      <c r="K54" s="53">
        <f>IFERROR(INDEX('Équipements'!$V$5:$V$304,MATCH(LARGE('Équipements'!$AB$5:$AB$304,5),'Équipements'!$AB$5:$AB$304,0)),"")</f>
        <v/>
      </c>
      <c r="M54" s="14" t="inlineStr">
        <is>
          <t>Casse mécanique</t>
        </is>
      </c>
      <c r="O54" s="51">
        <f>COUNTIFS('Ordres de travail'!$M$5:$M$3004,$M54,'Ordres de travail'!$H$5:$H$3004,"Correctif",'Ordres de travail'!$AC$5:$AC$3004,"&lt;&gt;Annulé",'Ordres de travail'!$B$5:$B$3004,"&gt;="&amp;'Paramètres'!$AA$6,'Ordres de travail'!$B$5:$B$3004,"&lt;"&amp;('Paramètres'!$AA$7+1))</f>
        <v/>
      </c>
      <c r="P54" s="51">
        <f>SUMIFS('Ordres de travail'!$S$5:$S$3004,'Ordres de travail'!$M$5:$M$3004,$M54,'Ordres de travail'!$H$5:$H$3004,"Correctif",'Ordres de travail'!$AC$5:$AC$3004,"&lt;&gt;Annulé",'Ordres de travail'!$B$5:$B$3004,"&gt;="&amp;'Paramètres'!$AA$6,'Ordres de travail'!$B$5:$B$3004,"&lt;"&amp;('Paramètres'!$AA$7+1))</f>
        <v/>
      </c>
      <c r="Q54" s="52">
        <f>SUMIFS('Ordres de travail'!$AA$5:$AA$3004,'Ordres de travail'!$M$5:$M$3004,$M54,'Ordres de travail'!$H$5:$H$3004,"Correctif",'Ordres de travail'!$B$5:$B$3004,"&gt;="&amp;'Paramètres'!$AA$6,'Ordres de travail'!$B$5:$B$3004,"&lt;"&amp;('Paramètres'!$AA$7+1))</f>
        <v/>
      </c>
      <c r="R54" s="53">
        <f>IFERROR(O54/SUM($O$50:$O$62),0)</f>
        <v/>
      </c>
    </row>
    <row r="55">
      <c r="B55" s="60" t="n">
        <v>6</v>
      </c>
      <c r="C55" s="8">
        <f>IFERROR(INDEX('Équipements'!$A$5:$A$304,MATCH(LARGE('Équipements'!$AB$5:$AB$304,6),'Équipements'!$AB$5:$AB$304,0)),"")</f>
        <v/>
      </c>
      <c r="D55" s="8">
        <f>IFERROR(INDEX('Équipements'!$B$5:$B$304,MATCH(LARGE('Équipements'!$AB$5:$AB$304,6),'Équipements'!$AB$5:$AB$304,0)),"")</f>
        <v/>
      </c>
      <c r="G55" s="61">
        <f>IFERROR(INDEX('Équipements'!$R$5:$R$304,MATCH(LARGE('Équipements'!$AB$5:$AB$304,6),'Équipements'!$AB$5:$AB$304,0)),"")</f>
        <v/>
      </c>
      <c r="H55" s="51">
        <f>IFERROR(INDEX('Équipements'!$P$5:$P$304,MATCH(LARGE('Équipements'!$AB$5:$AB$304,6),'Équipements'!$AB$5:$AB$304,0)),"")</f>
        <v/>
      </c>
      <c r="I55" s="52">
        <f>IFERROR(INDEX('Équipements'!$S$5:$S$304,MATCH(LARGE('Équipements'!$AB$5:$AB$304,6),'Équipements'!$AB$5:$AB$304,0)),"")</f>
        <v/>
      </c>
      <c r="J55" s="51">
        <f>IFERROR(INDEX('Équipements'!$T$5:$T$304,MATCH(LARGE('Équipements'!$AB$5:$AB$304,6),'Équipements'!$AB$5:$AB$304,0)),"")</f>
        <v/>
      </c>
      <c r="K55" s="53">
        <f>IFERROR(INDEX('Équipements'!$V$5:$V$304,MATCH(LARGE('Équipements'!$AB$5:$AB$304,6),'Équipements'!$AB$5:$AB$304,0)),"")</f>
        <v/>
      </c>
      <c r="M55" s="14" t="inlineStr">
        <is>
          <t>Défaut électrique</t>
        </is>
      </c>
      <c r="O55" s="51">
        <f>COUNTIFS('Ordres de travail'!$M$5:$M$3004,$M55,'Ordres de travail'!$H$5:$H$3004,"Correctif",'Ordres de travail'!$AC$5:$AC$3004,"&lt;&gt;Annulé",'Ordres de travail'!$B$5:$B$3004,"&gt;="&amp;'Paramètres'!$AA$6,'Ordres de travail'!$B$5:$B$3004,"&lt;"&amp;('Paramètres'!$AA$7+1))</f>
        <v/>
      </c>
      <c r="P55" s="51">
        <f>SUMIFS('Ordres de travail'!$S$5:$S$3004,'Ordres de travail'!$M$5:$M$3004,$M55,'Ordres de travail'!$H$5:$H$3004,"Correctif",'Ordres de travail'!$AC$5:$AC$3004,"&lt;&gt;Annulé",'Ordres de travail'!$B$5:$B$3004,"&gt;="&amp;'Paramètres'!$AA$6,'Ordres de travail'!$B$5:$B$3004,"&lt;"&amp;('Paramètres'!$AA$7+1))</f>
        <v/>
      </c>
      <c r="Q55" s="52">
        <f>SUMIFS('Ordres de travail'!$AA$5:$AA$3004,'Ordres de travail'!$M$5:$M$3004,$M55,'Ordres de travail'!$H$5:$H$3004,"Correctif",'Ordres de travail'!$B$5:$B$3004,"&gt;="&amp;'Paramètres'!$AA$6,'Ordres de travail'!$B$5:$B$3004,"&lt;"&amp;('Paramètres'!$AA$7+1))</f>
        <v/>
      </c>
      <c r="R55" s="53">
        <f>IFERROR(O55/SUM($O$50:$O$62),0)</f>
        <v/>
      </c>
    </row>
    <row r="56">
      <c r="B56" s="60" t="n">
        <v>7</v>
      </c>
      <c r="C56" s="8">
        <f>IFERROR(INDEX('Équipements'!$A$5:$A$304,MATCH(LARGE('Équipements'!$AB$5:$AB$304,7),'Équipements'!$AB$5:$AB$304,0)),"")</f>
        <v/>
      </c>
      <c r="D56" s="8">
        <f>IFERROR(INDEX('Équipements'!$B$5:$B$304,MATCH(LARGE('Équipements'!$AB$5:$AB$304,7),'Équipements'!$AB$5:$AB$304,0)),"")</f>
        <v/>
      </c>
      <c r="G56" s="61">
        <f>IFERROR(INDEX('Équipements'!$R$5:$R$304,MATCH(LARGE('Équipements'!$AB$5:$AB$304,7),'Équipements'!$AB$5:$AB$304,0)),"")</f>
        <v/>
      </c>
      <c r="H56" s="51">
        <f>IFERROR(INDEX('Équipements'!$P$5:$P$304,MATCH(LARGE('Équipements'!$AB$5:$AB$304,7),'Équipements'!$AB$5:$AB$304,0)),"")</f>
        <v/>
      </c>
      <c r="I56" s="52">
        <f>IFERROR(INDEX('Équipements'!$S$5:$S$304,MATCH(LARGE('Équipements'!$AB$5:$AB$304,7),'Équipements'!$AB$5:$AB$304,0)),"")</f>
        <v/>
      </c>
      <c r="J56" s="51">
        <f>IFERROR(INDEX('Équipements'!$T$5:$T$304,MATCH(LARGE('Équipements'!$AB$5:$AB$304,7),'Équipements'!$AB$5:$AB$304,0)),"")</f>
        <v/>
      </c>
      <c r="K56" s="53">
        <f>IFERROR(INDEX('Équipements'!$V$5:$V$304,MATCH(LARGE('Équipements'!$AB$5:$AB$304,7),'Équipements'!$AB$5:$AB$304,0)),"")</f>
        <v/>
      </c>
      <c r="M56" s="14" t="inlineStr">
        <is>
          <t>Défaut capteur</t>
        </is>
      </c>
      <c r="O56" s="51">
        <f>COUNTIFS('Ordres de travail'!$M$5:$M$3004,$M56,'Ordres de travail'!$H$5:$H$3004,"Correctif",'Ordres de travail'!$AC$5:$AC$3004,"&lt;&gt;Annulé",'Ordres de travail'!$B$5:$B$3004,"&gt;="&amp;'Paramètres'!$AA$6,'Ordres de travail'!$B$5:$B$3004,"&lt;"&amp;('Paramètres'!$AA$7+1))</f>
        <v/>
      </c>
      <c r="P56" s="51">
        <f>SUMIFS('Ordres de travail'!$S$5:$S$3004,'Ordres de travail'!$M$5:$M$3004,$M56,'Ordres de travail'!$H$5:$H$3004,"Correctif",'Ordres de travail'!$AC$5:$AC$3004,"&lt;&gt;Annulé",'Ordres de travail'!$B$5:$B$3004,"&gt;="&amp;'Paramètres'!$AA$6,'Ordres de travail'!$B$5:$B$3004,"&lt;"&amp;('Paramètres'!$AA$7+1))</f>
        <v/>
      </c>
      <c r="Q56" s="52">
        <f>SUMIFS('Ordres de travail'!$AA$5:$AA$3004,'Ordres de travail'!$M$5:$M$3004,$M56,'Ordres de travail'!$H$5:$H$3004,"Correctif",'Ordres de travail'!$B$5:$B$3004,"&gt;="&amp;'Paramètres'!$AA$6,'Ordres de travail'!$B$5:$B$3004,"&lt;"&amp;('Paramètres'!$AA$7+1))</f>
        <v/>
      </c>
      <c r="R56" s="53">
        <f>IFERROR(O56/SUM($O$50:$O$62),0)</f>
        <v/>
      </c>
    </row>
    <row r="57">
      <c r="B57" s="60" t="n">
        <v>8</v>
      </c>
      <c r="C57" s="8">
        <f>IFERROR(INDEX('Équipements'!$A$5:$A$304,MATCH(LARGE('Équipements'!$AB$5:$AB$304,8),'Équipements'!$AB$5:$AB$304,0)),"")</f>
        <v/>
      </c>
      <c r="D57" s="8">
        <f>IFERROR(INDEX('Équipements'!$B$5:$B$304,MATCH(LARGE('Équipements'!$AB$5:$AB$304,8),'Équipements'!$AB$5:$AB$304,0)),"")</f>
        <v/>
      </c>
      <c r="G57" s="61">
        <f>IFERROR(INDEX('Équipements'!$R$5:$R$304,MATCH(LARGE('Équipements'!$AB$5:$AB$304,8),'Équipements'!$AB$5:$AB$304,0)),"")</f>
        <v/>
      </c>
      <c r="H57" s="51">
        <f>IFERROR(INDEX('Équipements'!$P$5:$P$304,MATCH(LARGE('Équipements'!$AB$5:$AB$304,8),'Équipements'!$AB$5:$AB$304,0)),"")</f>
        <v/>
      </c>
      <c r="I57" s="52">
        <f>IFERROR(INDEX('Équipements'!$S$5:$S$304,MATCH(LARGE('Équipements'!$AB$5:$AB$304,8),'Équipements'!$AB$5:$AB$304,0)),"")</f>
        <v/>
      </c>
      <c r="J57" s="51">
        <f>IFERROR(INDEX('Équipements'!$T$5:$T$304,MATCH(LARGE('Équipements'!$AB$5:$AB$304,8),'Équipements'!$AB$5:$AB$304,0)),"")</f>
        <v/>
      </c>
      <c r="K57" s="53">
        <f>IFERROR(INDEX('Équipements'!$V$5:$V$304,MATCH(LARGE('Équipements'!$AB$5:$AB$304,8),'Équipements'!$AB$5:$AB$304,0)),"")</f>
        <v/>
      </c>
      <c r="M57" s="14" t="inlineStr">
        <is>
          <t>Défaut logiciel/automate</t>
        </is>
      </c>
      <c r="O57" s="51">
        <f>COUNTIFS('Ordres de travail'!$M$5:$M$3004,$M57,'Ordres de travail'!$H$5:$H$3004,"Correctif",'Ordres de travail'!$AC$5:$AC$3004,"&lt;&gt;Annulé",'Ordres de travail'!$B$5:$B$3004,"&gt;="&amp;'Paramètres'!$AA$6,'Ordres de travail'!$B$5:$B$3004,"&lt;"&amp;('Paramètres'!$AA$7+1))</f>
        <v/>
      </c>
      <c r="P57" s="51">
        <f>SUMIFS('Ordres de travail'!$S$5:$S$3004,'Ordres de travail'!$M$5:$M$3004,$M57,'Ordres de travail'!$H$5:$H$3004,"Correctif",'Ordres de travail'!$AC$5:$AC$3004,"&lt;&gt;Annulé",'Ordres de travail'!$B$5:$B$3004,"&gt;="&amp;'Paramètres'!$AA$6,'Ordres de travail'!$B$5:$B$3004,"&lt;"&amp;('Paramètres'!$AA$7+1))</f>
        <v/>
      </c>
      <c r="Q57" s="52">
        <f>SUMIFS('Ordres de travail'!$AA$5:$AA$3004,'Ordres de travail'!$M$5:$M$3004,$M57,'Ordres de travail'!$H$5:$H$3004,"Correctif",'Ordres de travail'!$B$5:$B$3004,"&gt;="&amp;'Paramètres'!$AA$6,'Ordres de travail'!$B$5:$B$3004,"&lt;"&amp;('Paramètres'!$AA$7+1))</f>
        <v/>
      </c>
      <c r="R57" s="53">
        <f>IFERROR(O57/SUM($O$50:$O$62),0)</f>
        <v/>
      </c>
    </row>
    <row r="58">
      <c r="B58" s="60" t="n">
        <v>9</v>
      </c>
      <c r="C58" s="8">
        <f>IFERROR(INDEX('Équipements'!$A$5:$A$304,MATCH(LARGE('Équipements'!$AB$5:$AB$304,9),'Équipements'!$AB$5:$AB$304,0)),"")</f>
        <v/>
      </c>
      <c r="D58" s="8">
        <f>IFERROR(INDEX('Équipements'!$B$5:$B$304,MATCH(LARGE('Équipements'!$AB$5:$AB$304,9),'Équipements'!$AB$5:$AB$304,0)),"")</f>
        <v/>
      </c>
      <c r="G58" s="61">
        <f>IFERROR(INDEX('Équipements'!$R$5:$R$304,MATCH(LARGE('Équipements'!$AB$5:$AB$304,9),'Équipements'!$AB$5:$AB$304,0)),"")</f>
        <v/>
      </c>
      <c r="H58" s="51">
        <f>IFERROR(INDEX('Équipements'!$P$5:$P$304,MATCH(LARGE('Équipements'!$AB$5:$AB$304,9),'Équipements'!$AB$5:$AB$304,0)),"")</f>
        <v/>
      </c>
      <c r="I58" s="52">
        <f>IFERROR(INDEX('Équipements'!$S$5:$S$304,MATCH(LARGE('Équipements'!$AB$5:$AB$304,9),'Équipements'!$AB$5:$AB$304,0)),"")</f>
        <v/>
      </c>
      <c r="J58" s="51">
        <f>IFERROR(INDEX('Équipements'!$T$5:$T$304,MATCH(LARGE('Équipements'!$AB$5:$AB$304,9),'Équipements'!$AB$5:$AB$304,0)),"")</f>
        <v/>
      </c>
      <c r="K58" s="53">
        <f>IFERROR(INDEX('Équipements'!$V$5:$V$304,MATCH(LARGE('Équipements'!$AB$5:$AB$304,9),'Équipements'!$AB$5:$AB$304,0)),"")</f>
        <v/>
      </c>
      <c r="M58" s="14" t="inlineStr">
        <is>
          <t>Défaut pneumatique</t>
        </is>
      </c>
      <c r="O58" s="51">
        <f>COUNTIFS('Ordres de travail'!$M$5:$M$3004,$M58,'Ordres de travail'!$H$5:$H$3004,"Correctif",'Ordres de travail'!$AC$5:$AC$3004,"&lt;&gt;Annulé",'Ordres de travail'!$B$5:$B$3004,"&gt;="&amp;'Paramètres'!$AA$6,'Ordres de travail'!$B$5:$B$3004,"&lt;"&amp;('Paramètres'!$AA$7+1))</f>
        <v/>
      </c>
      <c r="P58" s="51">
        <f>SUMIFS('Ordres de travail'!$S$5:$S$3004,'Ordres de travail'!$M$5:$M$3004,$M58,'Ordres de travail'!$H$5:$H$3004,"Correctif",'Ordres de travail'!$AC$5:$AC$3004,"&lt;&gt;Annulé",'Ordres de travail'!$B$5:$B$3004,"&gt;="&amp;'Paramètres'!$AA$6,'Ordres de travail'!$B$5:$B$3004,"&lt;"&amp;('Paramètres'!$AA$7+1))</f>
        <v/>
      </c>
      <c r="Q58" s="52">
        <f>SUMIFS('Ordres de travail'!$AA$5:$AA$3004,'Ordres de travail'!$M$5:$M$3004,$M58,'Ordres de travail'!$H$5:$H$3004,"Correctif",'Ordres de travail'!$B$5:$B$3004,"&gt;="&amp;'Paramètres'!$AA$6,'Ordres de travail'!$B$5:$B$3004,"&lt;"&amp;('Paramètres'!$AA$7+1))</f>
        <v/>
      </c>
      <c r="R58" s="53">
        <f>IFERROR(O58/SUM($O$50:$O$62),0)</f>
        <v/>
      </c>
    </row>
    <row r="59">
      <c r="B59" s="60" t="n">
        <v>10</v>
      </c>
      <c r="C59" s="8">
        <f>IFERROR(INDEX('Équipements'!$A$5:$A$304,MATCH(LARGE('Équipements'!$AB$5:$AB$304,10),'Équipements'!$AB$5:$AB$304,0)),"")</f>
        <v/>
      </c>
      <c r="D59" s="8">
        <f>IFERROR(INDEX('Équipements'!$B$5:$B$304,MATCH(LARGE('Équipements'!$AB$5:$AB$304,10),'Équipements'!$AB$5:$AB$304,0)),"")</f>
        <v/>
      </c>
      <c r="G59" s="61">
        <f>IFERROR(INDEX('Équipements'!$R$5:$R$304,MATCH(LARGE('Équipements'!$AB$5:$AB$304,10),'Équipements'!$AB$5:$AB$304,0)),"")</f>
        <v/>
      </c>
      <c r="H59" s="51">
        <f>IFERROR(INDEX('Équipements'!$P$5:$P$304,MATCH(LARGE('Équipements'!$AB$5:$AB$304,10),'Équipements'!$AB$5:$AB$304,0)),"")</f>
        <v/>
      </c>
      <c r="I59" s="52">
        <f>IFERROR(INDEX('Équipements'!$S$5:$S$304,MATCH(LARGE('Équipements'!$AB$5:$AB$304,10),'Équipements'!$AB$5:$AB$304,0)),"")</f>
        <v/>
      </c>
      <c r="J59" s="51">
        <f>IFERROR(INDEX('Équipements'!$T$5:$T$304,MATCH(LARGE('Équipements'!$AB$5:$AB$304,10),'Équipements'!$AB$5:$AB$304,0)),"")</f>
        <v/>
      </c>
      <c r="K59" s="53">
        <f>IFERROR(INDEX('Équipements'!$V$5:$V$304,MATCH(LARGE('Équipements'!$AB$5:$AB$304,10),'Équipements'!$AB$5:$AB$304,0)),"")</f>
        <v/>
      </c>
      <c r="M59" s="14" t="inlineStr">
        <is>
          <t>Défaut hydraulique</t>
        </is>
      </c>
      <c r="O59" s="51">
        <f>COUNTIFS('Ordres de travail'!$M$5:$M$3004,$M59,'Ordres de travail'!$H$5:$H$3004,"Correctif",'Ordres de travail'!$AC$5:$AC$3004,"&lt;&gt;Annulé",'Ordres de travail'!$B$5:$B$3004,"&gt;="&amp;'Paramètres'!$AA$6,'Ordres de travail'!$B$5:$B$3004,"&lt;"&amp;('Paramètres'!$AA$7+1))</f>
        <v/>
      </c>
      <c r="P59" s="51">
        <f>SUMIFS('Ordres de travail'!$S$5:$S$3004,'Ordres de travail'!$M$5:$M$3004,$M59,'Ordres de travail'!$H$5:$H$3004,"Correctif",'Ordres de travail'!$AC$5:$AC$3004,"&lt;&gt;Annulé",'Ordres de travail'!$B$5:$B$3004,"&gt;="&amp;'Paramètres'!$AA$6,'Ordres de travail'!$B$5:$B$3004,"&lt;"&amp;('Paramètres'!$AA$7+1))</f>
        <v/>
      </c>
      <c r="Q59" s="52">
        <f>SUMIFS('Ordres de travail'!$AA$5:$AA$3004,'Ordres de travail'!$M$5:$M$3004,$M59,'Ordres de travail'!$H$5:$H$3004,"Correctif",'Ordres de travail'!$B$5:$B$3004,"&gt;="&amp;'Paramètres'!$AA$6,'Ordres de travail'!$B$5:$B$3004,"&lt;"&amp;('Paramètres'!$AA$7+1))</f>
        <v/>
      </c>
      <c r="R59" s="53">
        <f>IFERROR(O59/SUM($O$50:$O$62),0)</f>
        <v/>
      </c>
    </row>
    <row r="60">
      <c r="M60" s="14" t="inlineStr">
        <is>
          <t>Erreur opérateur</t>
        </is>
      </c>
      <c r="O60" s="51">
        <f>COUNTIFS('Ordres de travail'!$M$5:$M$3004,$M60,'Ordres de travail'!$H$5:$H$3004,"Correctif",'Ordres de travail'!$AC$5:$AC$3004,"&lt;&gt;Annulé",'Ordres de travail'!$B$5:$B$3004,"&gt;="&amp;'Paramètres'!$AA$6,'Ordres de travail'!$B$5:$B$3004,"&lt;"&amp;('Paramètres'!$AA$7+1))</f>
        <v/>
      </c>
      <c r="P60" s="51">
        <f>SUMIFS('Ordres de travail'!$S$5:$S$3004,'Ordres de travail'!$M$5:$M$3004,$M60,'Ordres de travail'!$H$5:$H$3004,"Correctif",'Ordres de travail'!$AC$5:$AC$3004,"&lt;&gt;Annulé",'Ordres de travail'!$B$5:$B$3004,"&gt;="&amp;'Paramètres'!$AA$6,'Ordres de travail'!$B$5:$B$3004,"&lt;"&amp;('Paramètres'!$AA$7+1))</f>
        <v/>
      </c>
      <c r="Q60" s="52">
        <f>SUMIFS('Ordres de travail'!$AA$5:$AA$3004,'Ordres de travail'!$M$5:$M$3004,$M60,'Ordres de travail'!$H$5:$H$3004,"Correctif",'Ordres de travail'!$B$5:$B$3004,"&gt;="&amp;'Paramètres'!$AA$6,'Ordres de travail'!$B$5:$B$3004,"&lt;"&amp;('Paramètres'!$AA$7+1))</f>
        <v/>
      </c>
      <c r="R60" s="53">
        <f>IFERROR(O60/SUM($O$50:$O$62),0)</f>
        <v/>
      </c>
    </row>
    <row r="61">
      <c r="M61" s="14" t="inlineStr">
        <is>
          <t>Choc / accident</t>
        </is>
      </c>
      <c r="O61" s="51">
        <f>COUNTIFS('Ordres de travail'!$M$5:$M$3004,$M61,'Ordres de travail'!$H$5:$H$3004,"Correctif",'Ordres de travail'!$AC$5:$AC$3004,"&lt;&gt;Annulé",'Ordres de travail'!$B$5:$B$3004,"&gt;="&amp;'Paramètres'!$AA$6,'Ordres de travail'!$B$5:$B$3004,"&lt;"&amp;('Paramètres'!$AA$7+1))</f>
        <v/>
      </c>
      <c r="P61" s="51">
        <f>SUMIFS('Ordres de travail'!$S$5:$S$3004,'Ordres de travail'!$M$5:$M$3004,$M61,'Ordres de travail'!$H$5:$H$3004,"Correctif",'Ordres de travail'!$AC$5:$AC$3004,"&lt;&gt;Annulé",'Ordres de travail'!$B$5:$B$3004,"&gt;="&amp;'Paramètres'!$AA$6,'Ordres de travail'!$B$5:$B$3004,"&lt;"&amp;('Paramètres'!$AA$7+1))</f>
        <v/>
      </c>
      <c r="Q61" s="52">
        <f>SUMIFS('Ordres de travail'!$AA$5:$AA$3004,'Ordres de travail'!$M$5:$M$3004,$M61,'Ordres de travail'!$H$5:$H$3004,"Correctif",'Ordres de travail'!$B$5:$B$3004,"&gt;="&amp;'Paramètres'!$AA$6,'Ordres de travail'!$B$5:$B$3004,"&lt;"&amp;('Paramètres'!$AA$7+1))</f>
        <v/>
      </c>
      <c r="R61" s="53">
        <f>IFERROR(O61/SUM($O$50:$O$62),0)</f>
        <v/>
      </c>
    </row>
    <row r="62">
      <c r="M62" s="14" t="inlineStr">
        <is>
          <t>Cause inconnue</t>
        </is>
      </c>
      <c r="O62" s="51">
        <f>COUNTIFS('Ordres de travail'!$M$5:$M$3004,$M62,'Ordres de travail'!$H$5:$H$3004,"Correctif",'Ordres de travail'!$AC$5:$AC$3004,"&lt;&gt;Annulé",'Ordres de travail'!$B$5:$B$3004,"&gt;="&amp;'Paramètres'!$AA$6,'Ordres de travail'!$B$5:$B$3004,"&lt;"&amp;('Paramètres'!$AA$7+1))</f>
        <v/>
      </c>
      <c r="P62" s="51">
        <f>SUMIFS('Ordres de travail'!$S$5:$S$3004,'Ordres de travail'!$M$5:$M$3004,$M62,'Ordres de travail'!$H$5:$H$3004,"Correctif",'Ordres de travail'!$AC$5:$AC$3004,"&lt;&gt;Annulé",'Ordres de travail'!$B$5:$B$3004,"&gt;="&amp;'Paramètres'!$AA$6,'Ordres de travail'!$B$5:$B$3004,"&lt;"&amp;('Paramètres'!$AA$7+1))</f>
        <v/>
      </c>
      <c r="Q62" s="52">
        <f>SUMIFS('Ordres de travail'!$AA$5:$AA$3004,'Ordres de travail'!$M$5:$M$3004,$M62,'Ordres de travail'!$H$5:$H$3004,"Correctif",'Ordres de travail'!$B$5:$B$3004,"&gt;="&amp;'Paramètres'!$AA$6,'Ordres de travail'!$B$5:$B$3004,"&lt;"&amp;('Paramètres'!$AA$7+1))</f>
        <v/>
      </c>
      <c r="R62" s="53">
        <f>IFERROR(O62/SUM($O$50:$O$62),0)</f>
        <v/>
      </c>
    </row>
    <row r="65">
      <c r="B65" s="46" t="inlineStr">
        <is>
          <t>Graphiques</t>
        </is>
      </c>
      <c r="C65" s="47" t="n"/>
      <c r="D65" s="47" t="n"/>
      <c r="E65" s="47" t="n"/>
      <c r="F65" s="47" t="n"/>
      <c r="G65" s="47" t="n"/>
      <c r="H65" s="47" t="n"/>
      <c r="I65" s="47" t="n"/>
      <c r="J65" s="47" t="n"/>
      <c r="K65" s="47" t="n"/>
      <c r="L65" s="47" t="n"/>
      <c r="M65" s="47" t="n"/>
      <c r="N65" s="47" t="n"/>
      <c r="O65" s="47" t="n"/>
      <c r="P65" s="47" t="n"/>
      <c r="Q65" s="47" t="n"/>
      <c r="R65" s="47" t="n"/>
      <c r="S65" s="47" t="n"/>
    </row>
  </sheetData>
  <mergeCells count="124">
    <mergeCell ref="M36:S36"/>
    <mergeCell ref="Q13:R13"/>
    <mergeCell ref="B21:S21"/>
    <mergeCell ref="Q7:R7"/>
    <mergeCell ref="M43:N43"/>
    <mergeCell ref="M59:N59"/>
    <mergeCell ref="K24:L24"/>
    <mergeCell ref="B22:C22"/>
    <mergeCell ref="E23:F23"/>
    <mergeCell ref="D52:F52"/>
    <mergeCell ref="D53:F53"/>
    <mergeCell ref="N22:O22"/>
    <mergeCell ref="H9:I9"/>
    <mergeCell ref="E8:F8"/>
    <mergeCell ref="B12:C12"/>
    <mergeCell ref="M60:N60"/>
    <mergeCell ref="N12:O12"/>
    <mergeCell ref="M54:N54"/>
    <mergeCell ref="B14:C14"/>
    <mergeCell ref="N14:O14"/>
    <mergeCell ref="B13:C13"/>
    <mergeCell ref="M33:N33"/>
    <mergeCell ref="Q9:R9"/>
    <mergeCell ref="M45:N45"/>
    <mergeCell ref="H13:I13"/>
    <mergeCell ref="B24:C24"/>
    <mergeCell ref="Q17:R17"/>
    <mergeCell ref="M62:N62"/>
    <mergeCell ref="N24:O24"/>
    <mergeCell ref="E22:F22"/>
    <mergeCell ref="H23:I23"/>
    <mergeCell ref="M50:N50"/>
    <mergeCell ref="K13:L13"/>
    <mergeCell ref="D57:F57"/>
    <mergeCell ref="E12:F12"/>
    <mergeCell ref="M27:S27"/>
    <mergeCell ref="B11:S11"/>
    <mergeCell ref="N7:O7"/>
    <mergeCell ref="Q12:R12"/>
    <mergeCell ref="M44:N44"/>
    <mergeCell ref="E14:F14"/>
    <mergeCell ref="B18:C18"/>
    <mergeCell ref="M51:N51"/>
    <mergeCell ref="Q23:R23"/>
    <mergeCell ref="D55:F55"/>
    <mergeCell ref="H17:I17"/>
    <mergeCell ref="B6:S6"/>
    <mergeCell ref="M48:S48"/>
    <mergeCell ref="D54:F54"/>
    <mergeCell ref="H19:I19"/>
    <mergeCell ref="M41:N41"/>
    <mergeCell ref="B48:K48"/>
    <mergeCell ref="N13:O13"/>
    <mergeCell ref="K17:L17"/>
    <mergeCell ref="H12:I12"/>
    <mergeCell ref="B16:S16"/>
    <mergeCell ref="K19:L19"/>
    <mergeCell ref="H14:I14"/>
    <mergeCell ref="M53:N53"/>
    <mergeCell ref="E18:F18"/>
    <mergeCell ref="B7:C7"/>
    <mergeCell ref="M34:N34"/>
    <mergeCell ref="B2:S2"/>
    <mergeCell ref="M55:N55"/>
    <mergeCell ref="K9:L9"/>
    <mergeCell ref="M52:N52"/>
    <mergeCell ref="M49:N49"/>
    <mergeCell ref="M39:N39"/>
    <mergeCell ref="Q14:R14"/>
    <mergeCell ref="D58:F58"/>
    <mergeCell ref="N18:O18"/>
    <mergeCell ref="E13:F13"/>
    <mergeCell ref="B17:C17"/>
    <mergeCell ref="M31:N31"/>
    <mergeCell ref="N8:O8"/>
    <mergeCell ref="M40:N40"/>
    <mergeCell ref="N17:O17"/>
    <mergeCell ref="D51:F51"/>
    <mergeCell ref="K8:L8"/>
    <mergeCell ref="B19:C19"/>
    <mergeCell ref="M37:N37"/>
    <mergeCell ref="D50:F50"/>
    <mergeCell ref="N19:O19"/>
    <mergeCell ref="D59:F59"/>
    <mergeCell ref="H22:I22"/>
    <mergeCell ref="B9:C9"/>
    <mergeCell ref="K23:L23"/>
    <mergeCell ref="N9:O9"/>
    <mergeCell ref="K7:L7"/>
    <mergeCell ref="M29:N29"/>
    <mergeCell ref="E7:F7"/>
    <mergeCell ref="M38:N38"/>
    <mergeCell ref="K18:L18"/>
    <mergeCell ref="M58:N58"/>
    <mergeCell ref="E24:F24"/>
    <mergeCell ref="Q24:R24"/>
    <mergeCell ref="Q18:R18"/>
    <mergeCell ref="E17:F17"/>
    <mergeCell ref="Q8:R8"/>
    <mergeCell ref="E19:F19"/>
    <mergeCell ref="B23:C23"/>
    <mergeCell ref="D56:F56"/>
    <mergeCell ref="Q19:R19"/>
    <mergeCell ref="K22:L22"/>
    <mergeCell ref="E9:F9"/>
    <mergeCell ref="B8:C8"/>
    <mergeCell ref="N23:O23"/>
    <mergeCell ref="B65:S65"/>
    <mergeCell ref="M30:N30"/>
    <mergeCell ref="K12:L12"/>
    <mergeCell ref="H7:I7"/>
    <mergeCell ref="B27:K27"/>
    <mergeCell ref="M28:N28"/>
    <mergeCell ref="M42:N42"/>
    <mergeCell ref="Q22:R22"/>
    <mergeCell ref="K14:L14"/>
    <mergeCell ref="M61:N61"/>
    <mergeCell ref="M57:N57"/>
    <mergeCell ref="H24:I24"/>
    <mergeCell ref="M32:N32"/>
    <mergeCell ref="H18:I18"/>
    <mergeCell ref="H8:I8"/>
    <mergeCell ref="D49:F49"/>
    <mergeCell ref="M56:N56"/>
  </mergeCells>
  <conditionalFormatting sqref="B23">
    <cfRule type="cellIs" priority="1" operator="greaterThan" dxfId="0">
      <formula>0</formula>
    </cfRule>
  </conditionalFormatting>
  <conditionalFormatting sqref="H23">
    <cfRule type="cellIs" priority="2" operator="greaterThan" dxfId="0">
      <formula>0</formula>
    </cfRule>
  </conditionalFormatting>
  <conditionalFormatting sqref="N23">
    <cfRule type="cellIs" priority="3" operator="greaterThan" dxfId="0">
      <formula>0</formula>
    </cfRule>
  </conditionalFormatting>
  <conditionalFormatting sqref="Q23">
    <cfRule type="cellIs" priority="4" operator="greaterThan" dxfId="0">
      <formula>0</formula>
    </cfRule>
  </conditionalFormatting>
  <conditionalFormatting sqref="N8">
    <cfRule type="cellIs" priority="5" operator="greaterThan" dxfId="0">
      <formula>0</formula>
    </cfRule>
  </conditionalFormatting>
  <conditionalFormatting sqref="H13">
    <cfRule type="expression" priority="6" dxfId="1">
      <formula>AND(ISNUMBER(H13),H13&lt;'Paramètres'!$AA$16)</formula>
    </cfRule>
  </conditionalFormatting>
  <conditionalFormatting sqref="K13">
    <cfRule type="expression" priority="7" dxfId="2">
      <formula>AND(ISNUMBER(K13),K13&gt;='Paramètres'!$AA$17)</formula>
    </cfRule>
  </conditionalFormatting>
  <conditionalFormatting sqref="H18">
    <cfRule type="expression" priority="8" dxfId="1">
      <formula>AND(ISNUMBER(H18),H18&gt;'Paramètres'!$AA$8)</formula>
    </cfRule>
  </conditionalFormatting>
  <conditionalFormatting sqref="J29:J40">
    <cfRule type="expression" priority="9" dxfId="3">
      <formula>ISNA(J29)</formula>
    </cfRule>
  </conditionalFormatting>
  <conditionalFormatting sqref="R38:R45">
    <cfRule type="expression" priority="10" dxfId="1">
      <formula>AND(ISNUMBER(R38),R38&lt;'Paramètres'!$AA$16)</formula>
    </cfRule>
  </conditionalFormatting>
  <conditionalFormatting sqref="O50:O62">
    <cfRule type="dataBar" priority="11">
      <dataBar>
        <cfvo type="num" val="0"/>
        <cfvo type="max"/>
        <color rgb="00C00000"/>
      </dataBar>
    </cfRule>
  </conditionalFormatting>
  <dataValidations count="1">
    <dataValidation sqref="D4" showDropDown="0" showInputMessage="0" showErrorMessage="0" allowBlank="0" type="list">
      <formula1>"2025,2026,2027,2028,2029,2030"</formula1>
    </dataValidation>
  </dataValidations>
  <pageMargins left="0.75" right="0.75" top="1" bottom="1" header="0.5" footer="0.5"/>
  <drawing xmlns:r="http://schemas.openxmlformats.org/officeDocument/2006/relationships" r:id="rId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2F5597"/>
    <outlinePr summaryBelow="1" summaryRight="1"/>
    <pageSetUpPr fitToPage="1"/>
  </sheetPr>
  <dimension ref="A1:AB304"/>
  <sheetViews>
    <sheetView zoomScale="9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34" customWidth="1" min="2" max="2"/>
    <col width="13" customWidth="1" min="3" max="3"/>
    <col width="12" customWidth="1" min="4" max="4"/>
    <col width="16" customWidth="1" min="5" max="5"/>
    <col width="16" customWidth="1" min="6" max="6"/>
    <col width="18" customWidth="1" min="7" max="7"/>
    <col width="14" customWidth="1" min="8" max="8"/>
    <col width="12" customWidth="1" min="9" max="9"/>
    <col width="12" customWidth="1" min="10" max="10"/>
    <col width="9" customWidth="1" min="11" max="11"/>
    <col width="11" customWidth="1" min="12" max="12"/>
    <col width="12" customWidth="1" min="13" max="13"/>
    <col width="26" customWidth="1" min="14" max="14"/>
    <col width="11" customWidth="1" min="15" max="15"/>
    <col width="10" customWidth="1" min="16" max="16"/>
    <col width="10" customWidth="1" min="17" max="17"/>
    <col width="10" customWidth="1" min="18" max="18"/>
    <col width="13" customWidth="1" min="19" max="19"/>
    <col width="10" customWidth="1" min="20" max="20"/>
    <col width="9" customWidth="1" min="21" max="21"/>
    <col width="10" customWidth="1" min="22" max="22"/>
    <col width="11" customWidth="1" min="23" max="23"/>
    <col width="8" customWidth="1" min="24" max="24"/>
    <col width="13" customWidth="1" min="25" max="25"/>
    <col width="8" customWidth="1" min="26" max="26"/>
    <col width="13" customWidth="1" min="27" max="27"/>
    <col hidden="1" width="9" customWidth="1" min="28" max="28"/>
  </cols>
  <sheetData>
    <row r="1">
      <c r="A1" s="62" t="inlineStr">
        <is>
          <t>Parc équipements</t>
        </is>
      </c>
    </row>
    <row r="2">
      <c r="A2" s="3" t="inlineStr">
        <is>
          <t>Inventaire des équipements, criticité et indicateurs de fiabilité calculés sur l'année d'analyse (MTBF, MTTR, disponibilité).</t>
        </is>
      </c>
    </row>
    <row r="3">
      <c r="A3" s="63" t="inlineStr">
        <is>
          <t>Saisie : texte bleu   |   Calcul automatique : fond gris (ne pas modifier)   |   Les listes déroulantes proviennent de l'onglet Paramètres.</t>
        </is>
      </c>
    </row>
    <row r="4" ht="42" customHeight="1">
      <c r="A4" s="48" t="inlineStr">
        <is>
          <t>Code équipement</t>
        </is>
      </c>
      <c r="B4" s="48" t="inlineStr">
        <is>
          <t>Désignation</t>
        </is>
      </c>
      <c r="C4" s="48" t="inlineStr">
        <is>
          <t>Famille technique</t>
        </is>
      </c>
      <c r="D4" s="48" t="inlineStr">
        <is>
          <t>Atelier</t>
        </is>
      </c>
      <c r="E4" s="48" t="inlineStr">
        <is>
          <t>Zone / ligne</t>
        </is>
      </c>
      <c r="F4" s="48" t="inlineStr">
        <is>
          <t>Fabricant</t>
        </is>
      </c>
      <c r="G4" s="48" t="inlineStr">
        <is>
          <t>Modèle</t>
        </is>
      </c>
      <c r="H4" s="48" t="inlineStr">
        <is>
          <t>N° de série</t>
        </is>
      </c>
      <c r="I4" s="48" t="inlineStr">
        <is>
          <t>Mise en service</t>
        </is>
      </c>
      <c r="J4" s="48" t="inlineStr">
        <is>
          <t>Valeur d'achat (€)</t>
        </is>
      </c>
      <c r="K4" s="48" t="inlineStr">
        <is>
          <t>Criticité</t>
        </is>
      </c>
      <c r="L4" s="48" t="inlineStr">
        <is>
          <t>État</t>
        </is>
      </c>
      <c r="M4" s="48" t="inlineStr">
        <is>
          <t>Fin de garantie</t>
        </is>
      </c>
      <c r="N4" s="48" t="inlineStr">
        <is>
          <t>Prestataire maintenance</t>
        </is>
      </c>
      <c r="O4" s="48" t="inlineStr">
        <is>
          <t>Heures d'ouverture / an</t>
        </is>
      </c>
      <c r="P4" s="64" t="inlineStr">
        <is>
          <t>Nb pannes (période)</t>
        </is>
      </c>
      <c r="Q4" s="64" t="inlineStr">
        <is>
          <t>Heures arrêt pannes</t>
        </is>
      </c>
      <c r="R4" s="64" t="inlineStr">
        <is>
          <t>Heures arrêt total</t>
        </is>
      </c>
      <c r="S4" s="64" t="inlineStr">
        <is>
          <t>Coût maintenance période (€)</t>
        </is>
      </c>
      <c r="T4" s="64" t="inlineStr">
        <is>
          <t>MTBF (h)</t>
        </is>
      </c>
      <c r="U4" s="64" t="inlineStr">
        <is>
          <t>MTTR (h)</t>
        </is>
      </c>
      <c r="V4" s="64" t="inlineStr">
        <is>
          <t>Disponibilité</t>
        </is>
      </c>
      <c r="W4" s="64" t="inlineStr">
        <is>
          <t>Compteur horaire (h)</t>
        </is>
      </c>
      <c r="X4" s="64" t="inlineStr">
        <is>
          <t>Âge (ans)</t>
        </is>
      </c>
      <c r="Y4" s="64" t="inlineStr">
        <is>
          <t>Coût cumulé historique (€)</t>
        </is>
      </c>
      <c r="Z4" s="64" t="inlineStr">
        <is>
          <t>OT ouverts</t>
        </is>
      </c>
      <c r="AA4" s="64" t="inlineStr">
        <is>
          <t>Alerte garantie</t>
        </is>
      </c>
      <c r="AB4" s="64" t="inlineStr">
        <is>
          <t>Clé tri (technique)</t>
        </is>
      </c>
    </row>
    <row r="5">
      <c r="A5" s="7" t="inlineStr">
        <is>
          <t>EQ-USI-001</t>
        </is>
      </c>
      <c r="B5" s="7" t="inlineStr">
        <is>
          <t>Centre d'usinage 5 axes</t>
        </is>
      </c>
      <c r="C5" s="7" t="inlineStr">
        <is>
          <t>CNC</t>
        </is>
      </c>
      <c r="D5" s="7" t="inlineStr">
        <is>
          <t>Usinage</t>
        </is>
      </c>
      <c r="E5" s="7" t="inlineStr">
        <is>
          <t>Cellule 5 axes</t>
        </is>
      </c>
      <c r="F5" s="7" t="inlineStr">
        <is>
          <t>DMG MORI</t>
        </is>
      </c>
      <c r="G5" s="7" t="inlineStr">
        <is>
          <t>DMU 65 monoBLOCK</t>
        </is>
      </c>
      <c r="H5" s="7" t="inlineStr">
        <is>
          <t>DMG-1924810</t>
        </is>
      </c>
      <c r="I5" s="65" t="n">
        <v>43535</v>
      </c>
      <c r="J5" s="66" t="n">
        <v>485000</v>
      </c>
      <c r="K5" s="7" t="inlineStr">
        <is>
          <t>A</t>
        </is>
      </c>
      <c r="L5" s="7" t="inlineStr">
        <is>
          <t>En service</t>
        </is>
      </c>
      <c r="M5" s="65" t="n">
        <v>44266</v>
      </c>
      <c r="N5" s="7" t="inlineStr">
        <is>
          <t>SAV Machines-Outils Atlantique</t>
        </is>
      </c>
      <c r="O5" s="67" t="n">
        <v>3800</v>
      </c>
      <c r="P5" s="68">
        <f>IF($A5="","",COUNTIFS('Ordres de travail'!$D$5:$D$3004,$A5,'Ordres de travail'!$H$5:$H$3004,"Correctif",'Ordres de travail'!$AC$5:$AC$3004,"&lt;&gt;Annulé",'Ordres de travail'!$B$5:$B$3004,"&gt;="&amp;'Paramètres'!$AA$6,'Ordres de travail'!$B$5:$B$3004,"&lt;"&amp;('Paramètres'!$AA$7+1)))</f>
        <v/>
      </c>
      <c r="Q5" s="69">
        <f>IF($A5="","",SUMIFS('Ordres de travail'!$S$5:$S$3004,'Ordres de travail'!$D$5:$D$3004,$A5,'Ordres de travail'!$H$5:$H$3004,"Correctif",'Ordres de travail'!$AC$5:$AC$3004,"&lt;&gt;Annulé",'Ordres de travail'!$B$5:$B$3004,"&gt;="&amp;'Paramètres'!$AA$6,'Ordres de travail'!$B$5:$B$3004,"&lt;"&amp;('Paramètres'!$AA$7+1)))</f>
        <v/>
      </c>
      <c r="R5" s="69">
        <f>IF($A5="","",SUMIFS('Ordres de travail'!$S$5:$S$3004,'Ordres de travail'!$D$5:$D$3004,$A5,'Ordres de travail'!$AC$5:$AC$3004,"&lt;&gt;Annulé",'Ordres de travail'!$B$5:$B$3004,"&gt;="&amp;'Paramètres'!$AA$6,'Ordres de travail'!$B$5:$B$3004,"&lt;"&amp;('Paramètres'!$AA$7+1)))</f>
        <v/>
      </c>
      <c r="S5" s="70">
        <f>IF($A5="","",SUMIFS('Ordres de travail'!$AA$5:$AA$3004,'Ordres de travail'!$D$5:$D$3004,$A5,'Ordres de travail'!$B$5:$B$3004,"&gt;="&amp;'Paramètres'!$AA$6,'Ordres de travail'!$B$5:$B$3004,"&lt;"&amp;('Paramètres'!$AA$7+1)))</f>
        <v/>
      </c>
      <c r="T5" s="68">
        <f>IF($A5="","",IF(P5=0,"-",(O5*'Paramètres'!$AA$8-Q5)/P5))</f>
        <v/>
      </c>
      <c r="U5" s="69">
        <f>IF($A5="","",IF(P5=0,"-",Q5/P5))</f>
        <v/>
      </c>
      <c r="V5" s="71">
        <f>IF($A5="","",IF(N(O5)*'Paramètres'!$AA$8=0,"-",MAX(0,1-R5/(O5*'Paramètres'!$AA$8))))</f>
        <v/>
      </c>
      <c r="W5" s="68">
        <f>IF($A5="","",_xlfn.MAXIFS('Relevés compteurs'!$D$5:$D$1504,'Relevés compteurs'!$B$5:$B$1504,$A5))</f>
        <v/>
      </c>
      <c r="X5" s="69">
        <f>IF(OR($A5="",I5=""),"",(TODAY()-I5)/365.25)</f>
        <v/>
      </c>
      <c r="Y5" s="70">
        <f>IF($A5="","",SUMIFS('Ordres de travail'!$AA$5:$AA$3004,'Ordres de travail'!$D$5:$D$3004,$A5))</f>
        <v/>
      </c>
      <c r="Z5" s="68">
        <f>IF($A5="","",SUM(COUNTIFS('Ordres de travail'!$D$5:$D$3004,$A5,'Ordres de travail'!$AC$5:$AC$3004,{"Demandé","Planifié","En cours","En attente pièces"})))</f>
        <v/>
      </c>
      <c r="AA5" s="9">
        <f>IF(OR($A5="",M5=""),"",IF(M5&lt;TODAY(),"Expirée",IF(M5-TODAY()&lt;='Paramètres'!$AA$15,"Expire bientôt","Sous garantie")))</f>
        <v/>
      </c>
      <c r="AB5" s="72">
        <f>IF($A5="",-1,N(R5)+ROW()/1000000)</f>
        <v/>
      </c>
    </row>
    <row r="6">
      <c r="A6" s="7" t="inlineStr">
        <is>
          <t>EQ-USI-002</t>
        </is>
      </c>
      <c r="B6" s="7" t="inlineStr">
        <is>
          <t>Centre d'usinage vertical</t>
        </is>
      </c>
      <c r="C6" s="7" t="inlineStr">
        <is>
          <t>CNC</t>
        </is>
      </c>
      <c r="D6" s="7" t="inlineStr">
        <is>
          <t>Usinage</t>
        </is>
      </c>
      <c r="E6" s="7" t="inlineStr">
        <is>
          <t>Îlot fraisage</t>
        </is>
      </c>
      <c r="F6" s="7" t="inlineStr">
        <is>
          <t>Haas</t>
        </is>
      </c>
      <c r="G6" s="7" t="inlineStr">
        <is>
          <t>VF-4SS</t>
        </is>
      </c>
      <c r="H6" s="7" t="inlineStr">
        <is>
          <t>HAA-1646862</t>
        </is>
      </c>
      <c r="I6" s="65" t="n">
        <v>42541</v>
      </c>
      <c r="J6" s="66" t="n">
        <v>128000</v>
      </c>
      <c r="K6" s="7" t="inlineStr">
        <is>
          <t>A</t>
        </is>
      </c>
      <c r="L6" s="7" t="inlineStr">
        <is>
          <t>En service</t>
        </is>
      </c>
      <c r="M6" s="65" t="n">
        <v>43271</v>
      </c>
      <c r="N6" s="7" t="inlineStr">
        <is>
          <t>SAV Machines-Outils Atlantique</t>
        </is>
      </c>
      <c r="O6" s="67" t="n">
        <v>3800</v>
      </c>
      <c r="P6" s="68">
        <f>IF($A6="","",COUNTIFS('Ordres de travail'!$D$5:$D$3004,$A6,'Ordres de travail'!$H$5:$H$3004,"Correctif",'Ordres de travail'!$AC$5:$AC$3004,"&lt;&gt;Annulé",'Ordres de travail'!$B$5:$B$3004,"&gt;="&amp;'Paramètres'!$AA$6,'Ordres de travail'!$B$5:$B$3004,"&lt;"&amp;('Paramètres'!$AA$7+1)))</f>
        <v/>
      </c>
      <c r="Q6" s="69">
        <f>IF($A6="","",SUMIFS('Ordres de travail'!$S$5:$S$3004,'Ordres de travail'!$D$5:$D$3004,$A6,'Ordres de travail'!$H$5:$H$3004,"Correctif",'Ordres de travail'!$AC$5:$AC$3004,"&lt;&gt;Annulé",'Ordres de travail'!$B$5:$B$3004,"&gt;="&amp;'Paramètres'!$AA$6,'Ordres de travail'!$B$5:$B$3004,"&lt;"&amp;('Paramètres'!$AA$7+1)))</f>
        <v/>
      </c>
      <c r="R6" s="69">
        <f>IF($A6="","",SUMIFS('Ordres de travail'!$S$5:$S$3004,'Ordres de travail'!$D$5:$D$3004,$A6,'Ordres de travail'!$AC$5:$AC$3004,"&lt;&gt;Annulé",'Ordres de travail'!$B$5:$B$3004,"&gt;="&amp;'Paramètres'!$AA$6,'Ordres de travail'!$B$5:$B$3004,"&lt;"&amp;('Paramètres'!$AA$7+1)))</f>
        <v/>
      </c>
      <c r="S6" s="70">
        <f>IF($A6="","",SUMIFS('Ordres de travail'!$AA$5:$AA$3004,'Ordres de travail'!$D$5:$D$3004,$A6,'Ordres de travail'!$B$5:$B$3004,"&gt;="&amp;'Paramètres'!$AA$6,'Ordres de travail'!$B$5:$B$3004,"&lt;"&amp;('Paramètres'!$AA$7+1)))</f>
        <v/>
      </c>
      <c r="T6" s="68">
        <f>IF($A6="","",IF(P6=0,"-",(O6*'Paramètres'!$AA$8-Q6)/P6))</f>
        <v/>
      </c>
      <c r="U6" s="69">
        <f>IF($A6="","",IF(P6=0,"-",Q6/P6))</f>
        <v/>
      </c>
      <c r="V6" s="71">
        <f>IF($A6="","",IF(N(O6)*'Paramètres'!$AA$8=0,"-",MAX(0,1-R6/(O6*'Paramètres'!$AA$8))))</f>
        <v/>
      </c>
      <c r="W6" s="68">
        <f>IF($A6="","",_xlfn.MAXIFS('Relevés compteurs'!$D$5:$D$1504,'Relevés compteurs'!$B$5:$B$1504,$A6))</f>
        <v/>
      </c>
      <c r="X6" s="69">
        <f>IF(OR($A6="",I6=""),"",(TODAY()-I6)/365.25)</f>
        <v/>
      </c>
      <c r="Y6" s="70">
        <f>IF($A6="","",SUMIFS('Ordres de travail'!$AA$5:$AA$3004,'Ordres de travail'!$D$5:$D$3004,$A6))</f>
        <v/>
      </c>
      <c r="Z6" s="68">
        <f>IF($A6="","",SUM(COUNTIFS('Ordres de travail'!$D$5:$D$3004,$A6,'Ordres de travail'!$AC$5:$AC$3004,{"Demandé","Planifié","En cours","En attente pièces"})))</f>
        <v/>
      </c>
      <c r="AA6" s="9">
        <f>IF(OR($A6="",M6=""),"",IF(M6&lt;TODAY(),"Expirée",IF(M6-TODAY()&lt;='Paramètres'!$AA$15,"Expire bientôt","Sous garantie")))</f>
        <v/>
      </c>
      <c r="AB6" s="72">
        <f>IF($A6="",-1,N(R6)+ROW()/1000000)</f>
        <v/>
      </c>
    </row>
    <row r="7">
      <c r="A7" s="7" t="inlineStr">
        <is>
          <t>EQ-USI-003</t>
        </is>
      </c>
      <c r="B7" s="7" t="inlineStr">
        <is>
          <t>Centre d'usinage vertical</t>
        </is>
      </c>
      <c r="C7" s="7" t="inlineStr">
        <is>
          <t>CNC</t>
        </is>
      </c>
      <c r="D7" s="7" t="inlineStr">
        <is>
          <t>Usinage</t>
        </is>
      </c>
      <c r="E7" s="7" t="inlineStr">
        <is>
          <t>Îlot fraisage</t>
        </is>
      </c>
      <c r="F7" s="7" t="inlineStr">
        <is>
          <t>Haas</t>
        </is>
      </c>
      <c r="G7" s="7" t="inlineStr">
        <is>
          <t>VF-2</t>
        </is>
      </c>
      <c r="H7" s="7" t="inlineStr">
        <is>
          <t>HAA-1215419</t>
        </is>
      </c>
      <c r="I7" s="65" t="n">
        <v>40946</v>
      </c>
      <c r="J7" s="66" t="n">
        <v>85000</v>
      </c>
      <c r="K7" s="7" t="inlineStr">
        <is>
          <t>B</t>
        </is>
      </c>
      <c r="L7" s="7" t="inlineStr">
        <is>
          <t>En service</t>
        </is>
      </c>
      <c r="M7" s="65" t="n">
        <v>41677</v>
      </c>
      <c r="N7" s="7" t="inlineStr">
        <is>
          <t>SAV Machines-Outils Atlantique</t>
        </is>
      </c>
      <c r="O7" s="67" t="n">
        <v>3500</v>
      </c>
      <c r="P7" s="68">
        <f>IF($A7="","",COUNTIFS('Ordres de travail'!$D$5:$D$3004,$A7,'Ordres de travail'!$H$5:$H$3004,"Correctif",'Ordres de travail'!$AC$5:$AC$3004,"&lt;&gt;Annulé",'Ordres de travail'!$B$5:$B$3004,"&gt;="&amp;'Paramètres'!$AA$6,'Ordres de travail'!$B$5:$B$3004,"&lt;"&amp;('Paramètres'!$AA$7+1)))</f>
        <v/>
      </c>
      <c r="Q7" s="69">
        <f>IF($A7="","",SUMIFS('Ordres de travail'!$S$5:$S$3004,'Ordres de travail'!$D$5:$D$3004,$A7,'Ordres de travail'!$H$5:$H$3004,"Correctif",'Ordres de travail'!$AC$5:$AC$3004,"&lt;&gt;Annulé",'Ordres de travail'!$B$5:$B$3004,"&gt;="&amp;'Paramètres'!$AA$6,'Ordres de travail'!$B$5:$B$3004,"&lt;"&amp;('Paramètres'!$AA$7+1)))</f>
        <v/>
      </c>
      <c r="R7" s="69">
        <f>IF($A7="","",SUMIFS('Ordres de travail'!$S$5:$S$3004,'Ordres de travail'!$D$5:$D$3004,$A7,'Ordres de travail'!$AC$5:$AC$3004,"&lt;&gt;Annulé",'Ordres de travail'!$B$5:$B$3004,"&gt;="&amp;'Paramètres'!$AA$6,'Ordres de travail'!$B$5:$B$3004,"&lt;"&amp;('Paramètres'!$AA$7+1)))</f>
        <v/>
      </c>
      <c r="S7" s="70">
        <f>IF($A7="","",SUMIFS('Ordres de travail'!$AA$5:$AA$3004,'Ordres de travail'!$D$5:$D$3004,$A7,'Ordres de travail'!$B$5:$B$3004,"&gt;="&amp;'Paramètres'!$AA$6,'Ordres de travail'!$B$5:$B$3004,"&lt;"&amp;('Paramètres'!$AA$7+1)))</f>
        <v/>
      </c>
      <c r="T7" s="68">
        <f>IF($A7="","",IF(P7=0,"-",(O7*'Paramètres'!$AA$8-Q7)/P7))</f>
        <v/>
      </c>
      <c r="U7" s="69">
        <f>IF($A7="","",IF(P7=0,"-",Q7/P7))</f>
        <v/>
      </c>
      <c r="V7" s="71">
        <f>IF($A7="","",IF(N(O7)*'Paramètres'!$AA$8=0,"-",MAX(0,1-R7/(O7*'Paramètres'!$AA$8))))</f>
        <v/>
      </c>
      <c r="W7" s="68">
        <f>IF($A7="","",_xlfn.MAXIFS('Relevés compteurs'!$D$5:$D$1504,'Relevés compteurs'!$B$5:$B$1504,$A7))</f>
        <v/>
      </c>
      <c r="X7" s="69">
        <f>IF(OR($A7="",I7=""),"",(TODAY()-I7)/365.25)</f>
        <v/>
      </c>
      <c r="Y7" s="70">
        <f>IF($A7="","",SUMIFS('Ordres de travail'!$AA$5:$AA$3004,'Ordres de travail'!$D$5:$D$3004,$A7))</f>
        <v/>
      </c>
      <c r="Z7" s="68">
        <f>IF($A7="","",SUM(COUNTIFS('Ordres de travail'!$D$5:$D$3004,$A7,'Ordres de travail'!$AC$5:$AC$3004,{"Demandé","Planifié","En cours","En attente pièces"})))</f>
        <v/>
      </c>
      <c r="AA7" s="9">
        <f>IF(OR($A7="",M7=""),"",IF(M7&lt;TODAY(),"Expirée",IF(M7-TODAY()&lt;='Paramètres'!$AA$15,"Expire bientôt","Sous garantie")))</f>
        <v/>
      </c>
      <c r="AB7" s="72">
        <f>IF($A7="",-1,N(R7)+ROW()/1000000)</f>
        <v/>
      </c>
    </row>
    <row r="8">
      <c r="A8" s="7" t="inlineStr">
        <is>
          <t>EQ-USI-004</t>
        </is>
      </c>
      <c r="B8" s="7" t="inlineStr">
        <is>
          <t>Tour CN 2 axes</t>
        </is>
      </c>
      <c r="C8" s="7" t="inlineStr">
        <is>
          <t>CNC</t>
        </is>
      </c>
      <c r="D8" s="7" t="inlineStr">
        <is>
          <t>Usinage</t>
        </is>
      </c>
      <c r="E8" s="7" t="inlineStr">
        <is>
          <t>Îlot tournage</t>
        </is>
      </c>
      <c r="F8" s="7" t="inlineStr">
        <is>
          <t>Mazak</t>
        </is>
      </c>
      <c r="G8" s="7" t="inlineStr">
        <is>
          <t>QT-250</t>
        </is>
      </c>
      <c r="H8" s="7" t="inlineStr">
        <is>
          <t>MAZ-1462859</t>
        </is>
      </c>
      <c r="I8" s="65" t="n">
        <v>41897</v>
      </c>
      <c r="J8" s="66" t="n">
        <v>145000</v>
      </c>
      <c r="K8" s="7" t="inlineStr">
        <is>
          <t>A</t>
        </is>
      </c>
      <c r="L8" s="7" t="inlineStr">
        <is>
          <t>En service</t>
        </is>
      </c>
      <c r="M8" s="65" t="n">
        <v>42628</v>
      </c>
      <c r="N8" s="7" t="inlineStr">
        <is>
          <t>SAV Machines-Outils Atlantique</t>
        </is>
      </c>
      <c r="O8" s="67" t="n">
        <v>3800</v>
      </c>
      <c r="P8" s="68">
        <f>IF($A8="","",COUNTIFS('Ordres de travail'!$D$5:$D$3004,$A8,'Ordres de travail'!$H$5:$H$3004,"Correctif",'Ordres de travail'!$AC$5:$AC$3004,"&lt;&gt;Annulé",'Ordres de travail'!$B$5:$B$3004,"&gt;="&amp;'Paramètres'!$AA$6,'Ordres de travail'!$B$5:$B$3004,"&lt;"&amp;('Paramètres'!$AA$7+1)))</f>
        <v/>
      </c>
      <c r="Q8" s="69">
        <f>IF($A8="","",SUMIFS('Ordres de travail'!$S$5:$S$3004,'Ordres de travail'!$D$5:$D$3004,$A8,'Ordres de travail'!$H$5:$H$3004,"Correctif",'Ordres de travail'!$AC$5:$AC$3004,"&lt;&gt;Annulé",'Ordres de travail'!$B$5:$B$3004,"&gt;="&amp;'Paramètres'!$AA$6,'Ordres de travail'!$B$5:$B$3004,"&lt;"&amp;('Paramètres'!$AA$7+1)))</f>
        <v/>
      </c>
      <c r="R8" s="69">
        <f>IF($A8="","",SUMIFS('Ordres de travail'!$S$5:$S$3004,'Ordres de travail'!$D$5:$D$3004,$A8,'Ordres de travail'!$AC$5:$AC$3004,"&lt;&gt;Annulé",'Ordres de travail'!$B$5:$B$3004,"&gt;="&amp;'Paramètres'!$AA$6,'Ordres de travail'!$B$5:$B$3004,"&lt;"&amp;('Paramètres'!$AA$7+1)))</f>
        <v/>
      </c>
      <c r="S8" s="70">
        <f>IF($A8="","",SUMIFS('Ordres de travail'!$AA$5:$AA$3004,'Ordres de travail'!$D$5:$D$3004,$A8,'Ordres de travail'!$B$5:$B$3004,"&gt;="&amp;'Paramètres'!$AA$6,'Ordres de travail'!$B$5:$B$3004,"&lt;"&amp;('Paramètres'!$AA$7+1)))</f>
        <v/>
      </c>
      <c r="T8" s="68">
        <f>IF($A8="","",IF(P8=0,"-",(O8*'Paramètres'!$AA$8-Q8)/P8))</f>
        <v/>
      </c>
      <c r="U8" s="69">
        <f>IF($A8="","",IF(P8=0,"-",Q8/P8))</f>
        <v/>
      </c>
      <c r="V8" s="71">
        <f>IF($A8="","",IF(N(O8)*'Paramètres'!$AA$8=0,"-",MAX(0,1-R8/(O8*'Paramètres'!$AA$8))))</f>
        <v/>
      </c>
      <c r="W8" s="68">
        <f>IF($A8="","",_xlfn.MAXIFS('Relevés compteurs'!$D$5:$D$1504,'Relevés compteurs'!$B$5:$B$1504,$A8))</f>
        <v/>
      </c>
      <c r="X8" s="69">
        <f>IF(OR($A8="",I8=""),"",(TODAY()-I8)/365.25)</f>
        <v/>
      </c>
      <c r="Y8" s="70">
        <f>IF($A8="","",SUMIFS('Ordres de travail'!$AA$5:$AA$3004,'Ordres de travail'!$D$5:$D$3004,$A8))</f>
        <v/>
      </c>
      <c r="Z8" s="68">
        <f>IF($A8="","",SUM(COUNTIFS('Ordres de travail'!$D$5:$D$3004,$A8,'Ordres de travail'!$AC$5:$AC$3004,{"Demandé","Planifié","En cours","En attente pièces"})))</f>
        <v/>
      </c>
      <c r="AA8" s="9">
        <f>IF(OR($A8="",M8=""),"",IF(M8&lt;TODAY(),"Expirée",IF(M8-TODAY()&lt;='Paramètres'!$AA$15,"Expire bientôt","Sous garantie")))</f>
        <v/>
      </c>
      <c r="AB8" s="72">
        <f>IF($A8="",-1,N(R8)+ROW()/1000000)</f>
        <v/>
      </c>
    </row>
    <row r="9">
      <c r="A9" s="7" t="inlineStr">
        <is>
          <t>EQ-USI-005</t>
        </is>
      </c>
      <c r="B9" s="7" t="inlineStr">
        <is>
          <t>Tour CN bi-broche</t>
        </is>
      </c>
      <c r="C9" s="7" t="inlineStr">
        <is>
          <t>CNC</t>
        </is>
      </c>
      <c r="D9" s="7" t="inlineStr">
        <is>
          <t>Usinage</t>
        </is>
      </c>
      <c r="E9" s="7" t="inlineStr">
        <is>
          <t>Îlot tournage</t>
        </is>
      </c>
      <c r="F9" s="7" t="inlineStr">
        <is>
          <t>Okuma</t>
        </is>
      </c>
      <c r="G9" s="7" t="inlineStr">
        <is>
          <t>LB3000 EX II</t>
        </is>
      </c>
      <c r="H9" s="7" t="inlineStr">
        <is>
          <t>OKU-2076074</t>
        </is>
      </c>
      <c r="I9" s="65" t="n">
        <v>43857</v>
      </c>
      <c r="J9" s="66" t="n">
        <v>240000</v>
      </c>
      <c r="K9" s="7" t="inlineStr">
        <is>
          <t>A</t>
        </is>
      </c>
      <c r="L9" s="7" t="inlineStr">
        <is>
          <t>En service</t>
        </is>
      </c>
      <c r="M9" s="65" t="n">
        <v>44588</v>
      </c>
      <c r="N9" s="7" t="inlineStr">
        <is>
          <t>SAV Machines-Outils Atlantique</t>
        </is>
      </c>
      <c r="O9" s="67" t="n">
        <v>3800</v>
      </c>
      <c r="P9" s="68">
        <f>IF($A9="","",COUNTIFS('Ordres de travail'!$D$5:$D$3004,$A9,'Ordres de travail'!$H$5:$H$3004,"Correctif",'Ordres de travail'!$AC$5:$AC$3004,"&lt;&gt;Annulé",'Ordres de travail'!$B$5:$B$3004,"&gt;="&amp;'Paramètres'!$AA$6,'Ordres de travail'!$B$5:$B$3004,"&lt;"&amp;('Paramètres'!$AA$7+1)))</f>
        <v/>
      </c>
      <c r="Q9" s="69">
        <f>IF($A9="","",SUMIFS('Ordres de travail'!$S$5:$S$3004,'Ordres de travail'!$D$5:$D$3004,$A9,'Ordres de travail'!$H$5:$H$3004,"Correctif",'Ordres de travail'!$AC$5:$AC$3004,"&lt;&gt;Annulé",'Ordres de travail'!$B$5:$B$3004,"&gt;="&amp;'Paramètres'!$AA$6,'Ordres de travail'!$B$5:$B$3004,"&lt;"&amp;('Paramètres'!$AA$7+1)))</f>
        <v/>
      </c>
      <c r="R9" s="69">
        <f>IF($A9="","",SUMIFS('Ordres de travail'!$S$5:$S$3004,'Ordres de travail'!$D$5:$D$3004,$A9,'Ordres de travail'!$AC$5:$AC$3004,"&lt;&gt;Annulé",'Ordres de travail'!$B$5:$B$3004,"&gt;="&amp;'Paramètres'!$AA$6,'Ordres de travail'!$B$5:$B$3004,"&lt;"&amp;('Paramètres'!$AA$7+1)))</f>
        <v/>
      </c>
      <c r="S9" s="70">
        <f>IF($A9="","",SUMIFS('Ordres de travail'!$AA$5:$AA$3004,'Ordres de travail'!$D$5:$D$3004,$A9,'Ordres de travail'!$B$5:$B$3004,"&gt;="&amp;'Paramètres'!$AA$6,'Ordres de travail'!$B$5:$B$3004,"&lt;"&amp;('Paramètres'!$AA$7+1)))</f>
        <v/>
      </c>
      <c r="T9" s="68">
        <f>IF($A9="","",IF(P9=0,"-",(O9*'Paramètres'!$AA$8-Q9)/P9))</f>
        <v/>
      </c>
      <c r="U9" s="69">
        <f>IF($A9="","",IF(P9=0,"-",Q9/P9))</f>
        <v/>
      </c>
      <c r="V9" s="71">
        <f>IF($A9="","",IF(N(O9)*'Paramètres'!$AA$8=0,"-",MAX(0,1-R9/(O9*'Paramètres'!$AA$8))))</f>
        <v/>
      </c>
      <c r="W9" s="68">
        <f>IF($A9="","",_xlfn.MAXIFS('Relevés compteurs'!$D$5:$D$1504,'Relevés compteurs'!$B$5:$B$1504,$A9))</f>
        <v/>
      </c>
      <c r="X9" s="69">
        <f>IF(OR($A9="",I9=""),"",(TODAY()-I9)/365.25)</f>
        <v/>
      </c>
      <c r="Y9" s="70">
        <f>IF($A9="","",SUMIFS('Ordres de travail'!$AA$5:$AA$3004,'Ordres de travail'!$D$5:$D$3004,$A9))</f>
        <v/>
      </c>
      <c r="Z9" s="68">
        <f>IF($A9="","",SUM(COUNTIFS('Ordres de travail'!$D$5:$D$3004,$A9,'Ordres de travail'!$AC$5:$AC$3004,{"Demandé","Planifié","En cours","En attente pièces"})))</f>
        <v/>
      </c>
      <c r="AA9" s="9">
        <f>IF(OR($A9="",M9=""),"",IF(M9&lt;TODAY(),"Expirée",IF(M9-TODAY()&lt;='Paramètres'!$AA$15,"Expire bientôt","Sous garantie")))</f>
        <v/>
      </c>
      <c r="AB9" s="72">
        <f>IF($A9="",-1,N(R9)+ROW()/1000000)</f>
        <v/>
      </c>
    </row>
    <row r="10">
      <c r="A10" s="7" t="inlineStr">
        <is>
          <t>EQ-USI-006</t>
        </is>
      </c>
      <c r="B10" s="7" t="inlineStr">
        <is>
          <t>Tour CN</t>
        </is>
      </c>
      <c r="C10" s="7" t="inlineStr">
        <is>
          <t>CNC</t>
        </is>
      </c>
      <c r="D10" s="7" t="inlineStr">
        <is>
          <t>Usinage</t>
        </is>
      </c>
      <c r="E10" s="7" t="inlineStr">
        <is>
          <t>Îlot tournage</t>
        </is>
      </c>
      <c r="F10" s="7" t="inlineStr">
        <is>
          <t>DMG MORI</t>
        </is>
      </c>
      <c r="G10" s="7" t="inlineStr">
        <is>
          <t>CTX 450</t>
        </is>
      </c>
      <c r="H10" s="7" t="inlineStr">
        <is>
          <t>DMG-0859728</t>
        </is>
      </c>
      <c r="I10" s="65" t="n">
        <v>39541</v>
      </c>
      <c r="J10" s="66" t="n">
        <v>110000</v>
      </c>
      <c r="K10" s="7" t="inlineStr">
        <is>
          <t>B</t>
        </is>
      </c>
      <c r="L10" s="7" t="inlineStr">
        <is>
          <t>En service</t>
        </is>
      </c>
      <c r="M10" s="65" t="n">
        <v>40271</v>
      </c>
      <c r="N10" s="7" t="inlineStr">
        <is>
          <t>SAV Machines-Outils Atlantique</t>
        </is>
      </c>
      <c r="O10" s="67" t="n">
        <v>3500</v>
      </c>
      <c r="P10" s="68">
        <f>IF($A10="","",COUNTIFS('Ordres de travail'!$D$5:$D$3004,$A10,'Ordres de travail'!$H$5:$H$3004,"Correctif",'Ordres de travail'!$AC$5:$AC$3004,"&lt;&gt;Annulé",'Ordres de travail'!$B$5:$B$3004,"&gt;="&amp;'Paramètres'!$AA$6,'Ordres de travail'!$B$5:$B$3004,"&lt;"&amp;('Paramètres'!$AA$7+1)))</f>
        <v/>
      </c>
      <c r="Q10" s="69">
        <f>IF($A10="","",SUMIFS('Ordres de travail'!$S$5:$S$3004,'Ordres de travail'!$D$5:$D$3004,$A10,'Ordres de travail'!$H$5:$H$3004,"Correctif",'Ordres de travail'!$AC$5:$AC$3004,"&lt;&gt;Annulé",'Ordres de travail'!$B$5:$B$3004,"&gt;="&amp;'Paramètres'!$AA$6,'Ordres de travail'!$B$5:$B$3004,"&lt;"&amp;('Paramètres'!$AA$7+1)))</f>
        <v/>
      </c>
      <c r="R10" s="69">
        <f>IF($A10="","",SUMIFS('Ordres de travail'!$S$5:$S$3004,'Ordres de travail'!$D$5:$D$3004,$A10,'Ordres de travail'!$AC$5:$AC$3004,"&lt;&gt;Annulé",'Ordres de travail'!$B$5:$B$3004,"&gt;="&amp;'Paramètres'!$AA$6,'Ordres de travail'!$B$5:$B$3004,"&lt;"&amp;('Paramètres'!$AA$7+1)))</f>
        <v/>
      </c>
      <c r="S10" s="70">
        <f>IF($A10="","",SUMIFS('Ordres de travail'!$AA$5:$AA$3004,'Ordres de travail'!$D$5:$D$3004,$A10,'Ordres de travail'!$B$5:$B$3004,"&gt;="&amp;'Paramètres'!$AA$6,'Ordres de travail'!$B$5:$B$3004,"&lt;"&amp;('Paramètres'!$AA$7+1)))</f>
        <v/>
      </c>
      <c r="T10" s="68">
        <f>IF($A10="","",IF(P10=0,"-",(O10*'Paramètres'!$AA$8-Q10)/P10))</f>
        <v/>
      </c>
      <c r="U10" s="69">
        <f>IF($A10="","",IF(P10=0,"-",Q10/P10))</f>
        <v/>
      </c>
      <c r="V10" s="71">
        <f>IF($A10="","",IF(N(O10)*'Paramètres'!$AA$8=0,"-",MAX(0,1-R10/(O10*'Paramètres'!$AA$8))))</f>
        <v/>
      </c>
      <c r="W10" s="68">
        <f>IF($A10="","",_xlfn.MAXIFS('Relevés compteurs'!$D$5:$D$1504,'Relevés compteurs'!$B$5:$B$1504,$A10))</f>
        <v/>
      </c>
      <c r="X10" s="69">
        <f>IF(OR($A10="",I10=""),"",(TODAY()-I10)/365.25)</f>
        <v/>
      </c>
      <c r="Y10" s="70">
        <f>IF($A10="","",SUMIFS('Ordres de travail'!$AA$5:$AA$3004,'Ordres de travail'!$D$5:$D$3004,$A10))</f>
        <v/>
      </c>
      <c r="Z10" s="68">
        <f>IF($A10="","",SUM(COUNTIFS('Ordres de travail'!$D$5:$D$3004,$A10,'Ordres de travail'!$AC$5:$AC$3004,{"Demandé","Planifié","En cours","En attente pièces"})))</f>
        <v/>
      </c>
      <c r="AA10" s="9">
        <f>IF(OR($A10="",M10=""),"",IF(M10&lt;TODAY(),"Expirée",IF(M10-TODAY()&lt;='Paramètres'!$AA$15,"Expire bientôt","Sous garantie")))</f>
        <v/>
      </c>
      <c r="AB10" s="72">
        <f>IF($A10="",-1,N(R10)+ROW()/1000000)</f>
        <v/>
      </c>
    </row>
    <row r="11">
      <c r="A11" s="7" t="inlineStr">
        <is>
          <t>EQ-USI-007</t>
        </is>
      </c>
      <c r="B11" s="7" t="inlineStr">
        <is>
          <t>Rectifieuse plane</t>
        </is>
      </c>
      <c r="C11" s="7" t="inlineStr">
        <is>
          <t>CNC</t>
        </is>
      </c>
      <c r="D11" s="7" t="inlineStr">
        <is>
          <t>Usinage</t>
        </is>
      </c>
      <c r="E11" s="7" t="inlineStr">
        <is>
          <t>Finition</t>
        </is>
      </c>
      <c r="F11" s="7" t="inlineStr">
        <is>
          <t>Jung</t>
        </is>
      </c>
      <c r="G11" s="7" t="inlineStr">
        <is>
          <t>J600</t>
        </is>
      </c>
      <c r="H11" s="7" t="inlineStr">
        <is>
          <t>JUN-0365230</t>
        </is>
      </c>
      <c r="I11" s="65" t="n">
        <v>37895</v>
      </c>
      <c r="J11" s="66" t="n">
        <v>65000</v>
      </c>
      <c r="K11" s="7" t="inlineStr">
        <is>
          <t>C</t>
        </is>
      </c>
      <c r="L11" s="7" t="inlineStr">
        <is>
          <t>En service</t>
        </is>
      </c>
      <c r="M11" s="65" t="n">
        <v>38626</v>
      </c>
      <c r="N11" s="7" t="inlineStr">
        <is>
          <t>SAV Machines-Outils Atlantique</t>
        </is>
      </c>
      <c r="O11" s="67" t="n">
        <v>1500</v>
      </c>
      <c r="P11" s="68">
        <f>IF($A11="","",COUNTIFS('Ordres de travail'!$D$5:$D$3004,$A11,'Ordres de travail'!$H$5:$H$3004,"Correctif",'Ordres de travail'!$AC$5:$AC$3004,"&lt;&gt;Annulé",'Ordres de travail'!$B$5:$B$3004,"&gt;="&amp;'Paramètres'!$AA$6,'Ordres de travail'!$B$5:$B$3004,"&lt;"&amp;('Paramètres'!$AA$7+1)))</f>
        <v/>
      </c>
      <c r="Q11" s="69">
        <f>IF($A11="","",SUMIFS('Ordres de travail'!$S$5:$S$3004,'Ordres de travail'!$D$5:$D$3004,$A11,'Ordres de travail'!$H$5:$H$3004,"Correctif",'Ordres de travail'!$AC$5:$AC$3004,"&lt;&gt;Annulé",'Ordres de travail'!$B$5:$B$3004,"&gt;="&amp;'Paramètres'!$AA$6,'Ordres de travail'!$B$5:$B$3004,"&lt;"&amp;('Paramètres'!$AA$7+1)))</f>
        <v/>
      </c>
      <c r="R11" s="69">
        <f>IF($A11="","",SUMIFS('Ordres de travail'!$S$5:$S$3004,'Ordres de travail'!$D$5:$D$3004,$A11,'Ordres de travail'!$AC$5:$AC$3004,"&lt;&gt;Annulé",'Ordres de travail'!$B$5:$B$3004,"&gt;="&amp;'Paramètres'!$AA$6,'Ordres de travail'!$B$5:$B$3004,"&lt;"&amp;('Paramètres'!$AA$7+1)))</f>
        <v/>
      </c>
      <c r="S11" s="70">
        <f>IF($A11="","",SUMIFS('Ordres de travail'!$AA$5:$AA$3004,'Ordres de travail'!$D$5:$D$3004,$A11,'Ordres de travail'!$B$5:$B$3004,"&gt;="&amp;'Paramètres'!$AA$6,'Ordres de travail'!$B$5:$B$3004,"&lt;"&amp;('Paramètres'!$AA$7+1)))</f>
        <v/>
      </c>
      <c r="T11" s="68">
        <f>IF($A11="","",IF(P11=0,"-",(O11*'Paramètres'!$AA$8-Q11)/P11))</f>
        <v/>
      </c>
      <c r="U11" s="69">
        <f>IF($A11="","",IF(P11=0,"-",Q11/P11))</f>
        <v/>
      </c>
      <c r="V11" s="71">
        <f>IF($A11="","",IF(N(O11)*'Paramètres'!$AA$8=0,"-",MAX(0,1-R11/(O11*'Paramètres'!$AA$8))))</f>
        <v/>
      </c>
      <c r="W11" s="68">
        <f>IF($A11="","",_xlfn.MAXIFS('Relevés compteurs'!$D$5:$D$1504,'Relevés compteurs'!$B$5:$B$1504,$A11))</f>
        <v/>
      </c>
      <c r="X11" s="69">
        <f>IF(OR($A11="",I11=""),"",(TODAY()-I11)/365.25)</f>
        <v/>
      </c>
      <c r="Y11" s="70">
        <f>IF($A11="","",SUMIFS('Ordres de travail'!$AA$5:$AA$3004,'Ordres de travail'!$D$5:$D$3004,$A11))</f>
        <v/>
      </c>
      <c r="Z11" s="68">
        <f>IF($A11="","",SUM(COUNTIFS('Ordres de travail'!$D$5:$D$3004,$A11,'Ordres de travail'!$AC$5:$AC$3004,{"Demandé","Planifié","En cours","En attente pièces"})))</f>
        <v/>
      </c>
      <c r="AA11" s="9">
        <f>IF(OR($A11="",M11=""),"",IF(M11&lt;TODAY(),"Expirée",IF(M11-TODAY()&lt;='Paramètres'!$AA$15,"Expire bientôt","Sous garantie")))</f>
        <v/>
      </c>
      <c r="AB11" s="72">
        <f>IF($A11="",-1,N(R11)+ROW()/1000000)</f>
        <v/>
      </c>
    </row>
    <row r="12">
      <c r="A12" s="7" t="inlineStr">
        <is>
          <t>EQ-USI-008</t>
        </is>
      </c>
      <c r="B12" s="7" t="inlineStr">
        <is>
          <t>Fraiseuse conventionnelle</t>
        </is>
      </c>
      <c r="C12" s="7" t="inlineStr">
        <is>
          <t>CONV</t>
        </is>
      </c>
      <c r="D12" s="7" t="inlineStr">
        <is>
          <t>Usinage</t>
        </is>
      </c>
      <c r="E12" s="7" t="inlineStr">
        <is>
          <t>Outillage</t>
        </is>
      </c>
      <c r="F12" s="7" t="inlineStr">
        <is>
          <t>Huron</t>
        </is>
      </c>
      <c r="G12" s="7" t="inlineStr">
        <is>
          <t>MU6</t>
        </is>
      </c>
      <c r="H12" s="7" t="inlineStr">
        <is>
          <t>HUR-9853521</t>
        </is>
      </c>
      <c r="I12" s="65" t="n">
        <v>35927</v>
      </c>
      <c r="J12" s="66" t="n">
        <v>25000</v>
      </c>
      <c r="K12" s="7" t="inlineStr">
        <is>
          <t>C</t>
        </is>
      </c>
      <c r="L12" s="7" t="inlineStr">
        <is>
          <t>En service</t>
        </is>
      </c>
      <c r="M12" s="65" t="n">
        <v>36658</v>
      </c>
      <c r="N12" s="7" t="inlineStr">
        <is>
          <t>SAV Machines-Outils Atlantique</t>
        </is>
      </c>
      <c r="O12" s="67" t="n">
        <v>800</v>
      </c>
      <c r="P12" s="68">
        <f>IF($A12="","",COUNTIFS('Ordres de travail'!$D$5:$D$3004,$A12,'Ordres de travail'!$H$5:$H$3004,"Correctif",'Ordres de travail'!$AC$5:$AC$3004,"&lt;&gt;Annulé",'Ordres de travail'!$B$5:$B$3004,"&gt;="&amp;'Paramètres'!$AA$6,'Ordres de travail'!$B$5:$B$3004,"&lt;"&amp;('Paramètres'!$AA$7+1)))</f>
        <v/>
      </c>
      <c r="Q12" s="69">
        <f>IF($A12="","",SUMIFS('Ordres de travail'!$S$5:$S$3004,'Ordres de travail'!$D$5:$D$3004,$A12,'Ordres de travail'!$H$5:$H$3004,"Correctif",'Ordres de travail'!$AC$5:$AC$3004,"&lt;&gt;Annulé",'Ordres de travail'!$B$5:$B$3004,"&gt;="&amp;'Paramètres'!$AA$6,'Ordres de travail'!$B$5:$B$3004,"&lt;"&amp;('Paramètres'!$AA$7+1)))</f>
        <v/>
      </c>
      <c r="R12" s="69">
        <f>IF($A12="","",SUMIFS('Ordres de travail'!$S$5:$S$3004,'Ordres de travail'!$D$5:$D$3004,$A12,'Ordres de travail'!$AC$5:$AC$3004,"&lt;&gt;Annulé",'Ordres de travail'!$B$5:$B$3004,"&gt;="&amp;'Paramètres'!$AA$6,'Ordres de travail'!$B$5:$B$3004,"&lt;"&amp;('Paramètres'!$AA$7+1)))</f>
        <v/>
      </c>
      <c r="S12" s="70">
        <f>IF($A12="","",SUMIFS('Ordres de travail'!$AA$5:$AA$3004,'Ordres de travail'!$D$5:$D$3004,$A12,'Ordres de travail'!$B$5:$B$3004,"&gt;="&amp;'Paramètres'!$AA$6,'Ordres de travail'!$B$5:$B$3004,"&lt;"&amp;('Paramètres'!$AA$7+1)))</f>
        <v/>
      </c>
      <c r="T12" s="68">
        <f>IF($A12="","",IF(P12=0,"-",(O12*'Paramètres'!$AA$8-Q12)/P12))</f>
        <v/>
      </c>
      <c r="U12" s="69">
        <f>IF($A12="","",IF(P12=0,"-",Q12/P12))</f>
        <v/>
      </c>
      <c r="V12" s="71">
        <f>IF($A12="","",IF(N(O12)*'Paramètres'!$AA$8=0,"-",MAX(0,1-R12/(O12*'Paramètres'!$AA$8))))</f>
        <v/>
      </c>
      <c r="W12" s="68">
        <f>IF($A12="","",_xlfn.MAXIFS('Relevés compteurs'!$D$5:$D$1504,'Relevés compteurs'!$B$5:$B$1504,$A12))</f>
        <v/>
      </c>
      <c r="X12" s="69">
        <f>IF(OR($A12="",I12=""),"",(TODAY()-I12)/365.25)</f>
        <v/>
      </c>
      <c r="Y12" s="70">
        <f>IF($A12="","",SUMIFS('Ordres de travail'!$AA$5:$AA$3004,'Ordres de travail'!$D$5:$D$3004,$A12))</f>
        <v/>
      </c>
      <c r="Z12" s="68">
        <f>IF($A12="","",SUM(COUNTIFS('Ordres de travail'!$D$5:$D$3004,$A12,'Ordres de travail'!$AC$5:$AC$3004,{"Demandé","Planifié","En cours","En attente pièces"})))</f>
        <v/>
      </c>
      <c r="AA12" s="9">
        <f>IF(OR($A12="",M12=""),"",IF(M12&lt;TODAY(),"Expirée",IF(M12-TODAY()&lt;='Paramètres'!$AA$15,"Expire bientôt","Sous garantie")))</f>
        <v/>
      </c>
      <c r="AB12" s="72">
        <f>IF($A12="",-1,N(R12)+ROW()/1000000)</f>
        <v/>
      </c>
    </row>
    <row r="13">
      <c r="A13" s="7" t="inlineStr">
        <is>
          <t>EQ-USI-009</t>
        </is>
      </c>
      <c r="B13" s="7" t="inlineStr">
        <is>
          <t>Scie à ruban automatique</t>
        </is>
      </c>
      <c r="C13" s="7" t="inlineStr">
        <is>
          <t>SCIE</t>
        </is>
      </c>
      <c r="D13" s="7" t="inlineStr">
        <is>
          <t>Usinage</t>
        </is>
      </c>
      <c r="E13" s="7" t="inlineStr">
        <is>
          <t>Débit</t>
        </is>
      </c>
      <c r="F13" s="7" t="inlineStr">
        <is>
          <t>Kasto</t>
        </is>
      </c>
      <c r="G13" s="7" t="inlineStr">
        <is>
          <t>SBA 260</t>
        </is>
      </c>
      <c r="H13" s="7" t="inlineStr">
        <is>
          <t>KAS-1127507</t>
        </is>
      </c>
      <c r="I13" s="65" t="n">
        <v>40868</v>
      </c>
      <c r="J13" s="66" t="n">
        <v>32000</v>
      </c>
      <c r="K13" s="7" t="inlineStr">
        <is>
          <t>B</t>
        </is>
      </c>
      <c r="L13" s="7" t="inlineStr">
        <is>
          <t>En service</t>
        </is>
      </c>
      <c r="M13" s="65" t="n">
        <v>41599</v>
      </c>
      <c r="N13" s="7" t="inlineStr">
        <is>
          <t>SAV Machines-Outils Atlantique</t>
        </is>
      </c>
      <c r="O13" s="67" t="n">
        <v>3000</v>
      </c>
      <c r="P13" s="68">
        <f>IF($A13="","",COUNTIFS('Ordres de travail'!$D$5:$D$3004,$A13,'Ordres de travail'!$H$5:$H$3004,"Correctif",'Ordres de travail'!$AC$5:$AC$3004,"&lt;&gt;Annulé",'Ordres de travail'!$B$5:$B$3004,"&gt;="&amp;'Paramètres'!$AA$6,'Ordres de travail'!$B$5:$B$3004,"&lt;"&amp;('Paramètres'!$AA$7+1)))</f>
        <v/>
      </c>
      <c r="Q13" s="69">
        <f>IF($A13="","",SUMIFS('Ordres de travail'!$S$5:$S$3004,'Ordres de travail'!$D$5:$D$3004,$A13,'Ordres de travail'!$H$5:$H$3004,"Correctif",'Ordres de travail'!$AC$5:$AC$3004,"&lt;&gt;Annulé",'Ordres de travail'!$B$5:$B$3004,"&gt;="&amp;'Paramètres'!$AA$6,'Ordres de travail'!$B$5:$B$3004,"&lt;"&amp;('Paramètres'!$AA$7+1)))</f>
        <v/>
      </c>
      <c r="R13" s="69">
        <f>IF($A13="","",SUMIFS('Ordres de travail'!$S$5:$S$3004,'Ordres de travail'!$D$5:$D$3004,$A13,'Ordres de travail'!$AC$5:$AC$3004,"&lt;&gt;Annulé",'Ordres de travail'!$B$5:$B$3004,"&gt;="&amp;'Paramètres'!$AA$6,'Ordres de travail'!$B$5:$B$3004,"&lt;"&amp;('Paramètres'!$AA$7+1)))</f>
        <v/>
      </c>
      <c r="S13" s="70">
        <f>IF($A13="","",SUMIFS('Ordres de travail'!$AA$5:$AA$3004,'Ordres de travail'!$D$5:$D$3004,$A13,'Ordres de travail'!$B$5:$B$3004,"&gt;="&amp;'Paramètres'!$AA$6,'Ordres de travail'!$B$5:$B$3004,"&lt;"&amp;('Paramètres'!$AA$7+1)))</f>
        <v/>
      </c>
      <c r="T13" s="68">
        <f>IF($A13="","",IF(P13=0,"-",(O13*'Paramètres'!$AA$8-Q13)/P13))</f>
        <v/>
      </c>
      <c r="U13" s="69">
        <f>IF($A13="","",IF(P13=0,"-",Q13/P13))</f>
        <v/>
      </c>
      <c r="V13" s="71">
        <f>IF($A13="","",IF(N(O13)*'Paramètres'!$AA$8=0,"-",MAX(0,1-R13/(O13*'Paramètres'!$AA$8))))</f>
        <v/>
      </c>
      <c r="W13" s="68">
        <f>IF($A13="","",_xlfn.MAXIFS('Relevés compteurs'!$D$5:$D$1504,'Relevés compteurs'!$B$5:$B$1504,$A13))</f>
        <v/>
      </c>
      <c r="X13" s="69">
        <f>IF(OR($A13="",I13=""),"",(TODAY()-I13)/365.25)</f>
        <v/>
      </c>
      <c r="Y13" s="70">
        <f>IF($A13="","",SUMIFS('Ordres de travail'!$AA$5:$AA$3004,'Ordres de travail'!$D$5:$D$3004,$A13))</f>
        <v/>
      </c>
      <c r="Z13" s="68">
        <f>IF($A13="","",SUM(COUNTIFS('Ordres de travail'!$D$5:$D$3004,$A13,'Ordres de travail'!$AC$5:$AC$3004,{"Demandé","Planifié","En cours","En attente pièces"})))</f>
        <v/>
      </c>
      <c r="AA13" s="9">
        <f>IF(OR($A13="",M13=""),"",IF(M13&lt;TODAY(),"Expirée",IF(M13-TODAY()&lt;='Paramètres'!$AA$15,"Expire bientôt","Sous garantie")))</f>
        <v/>
      </c>
      <c r="AB13" s="72">
        <f>IF($A13="",-1,N(R13)+ROW()/1000000)</f>
        <v/>
      </c>
    </row>
    <row r="14">
      <c r="A14" s="7" t="inlineStr">
        <is>
          <t>EQ-USI-010</t>
        </is>
      </c>
      <c r="B14" s="7" t="inlineStr">
        <is>
          <t>Machine à mesurer tridimensionnelle</t>
        </is>
      </c>
      <c r="C14" s="7" t="inlineStr">
        <is>
          <t>MESURE</t>
        </is>
      </c>
      <c r="D14" s="7" t="inlineStr">
        <is>
          <t>Usinage</t>
        </is>
      </c>
      <c r="E14" s="7" t="inlineStr">
        <is>
          <t>Salle de métrologie</t>
        </is>
      </c>
      <c r="F14" s="7" t="inlineStr">
        <is>
          <t>Zeiss</t>
        </is>
      </c>
      <c r="G14" s="7" t="inlineStr">
        <is>
          <t>Contura</t>
        </is>
      </c>
      <c r="H14" s="7" t="inlineStr">
        <is>
          <t>ZEI-1836063</t>
        </is>
      </c>
      <c r="I14" s="65" t="n">
        <v>43283</v>
      </c>
      <c r="J14" s="66" t="n">
        <v>95000</v>
      </c>
      <c r="K14" s="7" t="inlineStr">
        <is>
          <t>B</t>
        </is>
      </c>
      <c r="L14" s="7" t="inlineStr">
        <is>
          <t>En service</t>
        </is>
      </c>
      <c r="M14" s="65" t="n">
        <v>44014</v>
      </c>
      <c r="N14" s="7" t="inlineStr">
        <is>
          <t>Métrologie Contrôle Services</t>
        </is>
      </c>
      <c r="O14" s="67" t="n">
        <v>2500</v>
      </c>
      <c r="P14" s="68">
        <f>IF($A14="","",COUNTIFS('Ordres de travail'!$D$5:$D$3004,$A14,'Ordres de travail'!$H$5:$H$3004,"Correctif",'Ordres de travail'!$AC$5:$AC$3004,"&lt;&gt;Annulé",'Ordres de travail'!$B$5:$B$3004,"&gt;="&amp;'Paramètres'!$AA$6,'Ordres de travail'!$B$5:$B$3004,"&lt;"&amp;('Paramètres'!$AA$7+1)))</f>
        <v/>
      </c>
      <c r="Q14" s="69">
        <f>IF($A14="","",SUMIFS('Ordres de travail'!$S$5:$S$3004,'Ordres de travail'!$D$5:$D$3004,$A14,'Ordres de travail'!$H$5:$H$3004,"Correctif",'Ordres de travail'!$AC$5:$AC$3004,"&lt;&gt;Annulé",'Ordres de travail'!$B$5:$B$3004,"&gt;="&amp;'Paramètres'!$AA$6,'Ordres de travail'!$B$5:$B$3004,"&lt;"&amp;('Paramètres'!$AA$7+1)))</f>
        <v/>
      </c>
      <c r="R14" s="69">
        <f>IF($A14="","",SUMIFS('Ordres de travail'!$S$5:$S$3004,'Ordres de travail'!$D$5:$D$3004,$A14,'Ordres de travail'!$AC$5:$AC$3004,"&lt;&gt;Annulé",'Ordres de travail'!$B$5:$B$3004,"&gt;="&amp;'Paramètres'!$AA$6,'Ordres de travail'!$B$5:$B$3004,"&lt;"&amp;('Paramètres'!$AA$7+1)))</f>
        <v/>
      </c>
      <c r="S14" s="70">
        <f>IF($A14="","",SUMIFS('Ordres de travail'!$AA$5:$AA$3004,'Ordres de travail'!$D$5:$D$3004,$A14,'Ordres de travail'!$B$5:$B$3004,"&gt;="&amp;'Paramètres'!$AA$6,'Ordres de travail'!$B$5:$B$3004,"&lt;"&amp;('Paramètres'!$AA$7+1)))</f>
        <v/>
      </c>
      <c r="T14" s="68">
        <f>IF($A14="","",IF(P14=0,"-",(O14*'Paramètres'!$AA$8-Q14)/P14))</f>
        <v/>
      </c>
      <c r="U14" s="69">
        <f>IF($A14="","",IF(P14=0,"-",Q14/P14))</f>
        <v/>
      </c>
      <c r="V14" s="71">
        <f>IF($A14="","",IF(N(O14)*'Paramètres'!$AA$8=0,"-",MAX(0,1-R14/(O14*'Paramètres'!$AA$8))))</f>
        <v/>
      </c>
      <c r="W14" s="68">
        <f>IF($A14="","",_xlfn.MAXIFS('Relevés compteurs'!$D$5:$D$1504,'Relevés compteurs'!$B$5:$B$1504,$A14))</f>
        <v/>
      </c>
      <c r="X14" s="69">
        <f>IF(OR($A14="",I14=""),"",(TODAY()-I14)/365.25)</f>
        <v/>
      </c>
      <c r="Y14" s="70">
        <f>IF($A14="","",SUMIFS('Ordres de travail'!$AA$5:$AA$3004,'Ordres de travail'!$D$5:$D$3004,$A14))</f>
        <v/>
      </c>
      <c r="Z14" s="68">
        <f>IF($A14="","",SUM(COUNTIFS('Ordres de travail'!$D$5:$D$3004,$A14,'Ordres de travail'!$AC$5:$AC$3004,{"Demandé","Planifié","En cours","En attente pièces"})))</f>
        <v/>
      </c>
      <c r="AA14" s="9">
        <f>IF(OR($A14="",M14=""),"",IF(M14&lt;TODAY(),"Expirée",IF(M14-TODAY()&lt;='Paramètres'!$AA$15,"Expire bientôt","Sous garantie")))</f>
        <v/>
      </c>
      <c r="AB14" s="72">
        <f>IF($A14="",-1,N(R14)+ROW()/1000000)</f>
        <v/>
      </c>
    </row>
    <row r="15">
      <c r="A15" s="7" t="inlineStr">
        <is>
          <t>EQ-USI-011</t>
        </is>
      </c>
      <c r="B15" s="7" t="inlineStr">
        <is>
          <t>Perceuse taraudeuse à colonne</t>
        </is>
      </c>
      <c r="C15" s="7" t="inlineStr">
        <is>
          <t>CONV</t>
        </is>
      </c>
      <c r="D15" s="7" t="inlineStr">
        <is>
          <t>Usinage</t>
        </is>
      </c>
      <c r="E15" s="7" t="inlineStr">
        <is>
          <t>Outillage</t>
        </is>
      </c>
      <c r="F15" s="7" t="inlineStr">
        <is>
          <t>Alzmetall</t>
        </is>
      </c>
      <c r="G15" s="7" t="inlineStr">
        <is>
          <t>AX 4</t>
        </is>
      </c>
      <c r="H15" s="7" t="inlineStr">
        <is>
          <t>ALZ-0629863</t>
        </is>
      </c>
      <c r="I15" s="65" t="n">
        <v>38806</v>
      </c>
      <c r="J15" s="66" t="n">
        <v>12000</v>
      </c>
      <c r="K15" s="7" t="inlineStr">
        <is>
          <t>C</t>
        </is>
      </c>
      <c r="L15" s="7" t="inlineStr">
        <is>
          <t>En service</t>
        </is>
      </c>
      <c r="M15" s="65" t="n">
        <v>39537</v>
      </c>
      <c r="N15" s="7" t="inlineStr">
        <is>
          <t>SAV Machines-Outils Atlantique</t>
        </is>
      </c>
      <c r="O15" s="67" t="n">
        <v>1200</v>
      </c>
      <c r="P15" s="68">
        <f>IF($A15="","",COUNTIFS('Ordres de travail'!$D$5:$D$3004,$A15,'Ordres de travail'!$H$5:$H$3004,"Correctif",'Ordres de travail'!$AC$5:$AC$3004,"&lt;&gt;Annulé",'Ordres de travail'!$B$5:$B$3004,"&gt;="&amp;'Paramètres'!$AA$6,'Ordres de travail'!$B$5:$B$3004,"&lt;"&amp;('Paramètres'!$AA$7+1)))</f>
        <v/>
      </c>
      <c r="Q15" s="69">
        <f>IF($A15="","",SUMIFS('Ordres de travail'!$S$5:$S$3004,'Ordres de travail'!$D$5:$D$3004,$A15,'Ordres de travail'!$H$5:$H$3004,"Correctif",'Ordres de travail'!$AC$5:$AC$3004,"&lt;&gt;Annulé",'Ordres de travail'!$B$5:$B$3004,"&gt;="&amp;'Paramètres'!$AA$6,'Ordres de travail'!$B$5:$B$3004,"&lt;"&amp;('Paramètres'!$AA$7+1)))</f>
        <v/>
      </c>
      <c r="R15" s="69">
        <f>IF($A15="","",SUMIFS('Ordres de travail'!$S$5:$S$3004,'Ordres de travail'!$D$5:$D$3004,$A15,'Ordres de travail'!$AC$5:$AC$3004,"&lt;&gt;Annulé",'Ordres de travail'!$B$5:$B$3004,"&gt;="&amp;'Paramètres'!$AA$6,'Ordres de travail'!$B$5:$B$3004,"&lt;"&amp;('Paramètres'!$AA$7+1)))</f>
        <v/>
      </c>
      <c r="S15" s="70">
        <f>IF($A15="","",SUMIFS('Ordres de travail'!$AA$5:$AA$3004,'Ordres de travail'!$D$5:$D$3004,$A15,'Ordres de travail'!$B$5:$B$3004,"&gt;="&amp;'Paramètres'!$AA$6,'Ordres de travail'!$B$5:$B$3004,"&lt;"&amp;('Paramètres'!$AA$7+1)))</f>
        <v/>
      </c>
      <c r="T15" s="68">
        <f>IF($A15="","",IF(P15=0,"-",(O15*'Paramètres'!$AA$8-Q15)/P15))</f>
        <v/>
      </c>
      <c r="U15" s="69">
        <f>IF($A15="","",IF(P15=0,"-",Q15/P15))</f>
        <v/>
      </c>
      <c r="V15" s="71">
        <f>IF($A15="","",IF(N(O15)*'Paramètres'!$AA$8=0,"-",MAX(0,1-R15/(O15*'Paramètres'!$AA$8))))</f>
        <v/>
      </c>
      <c r="W15" s="68">
        <f>IF($A15="","",_xlfn.MAXIFS('Relevés compteurs'!$D$5:$D$1504,'Relevés compteurs'!$B$5:$B$1504,$A15))</f>
        <v/>
      </c>
      <c r="X15" s="69">
        <f>IF(OR($A15="",I15=""),"",(TODAY()-I15)/365.25)</f>
        <v/>
      </c>
      <c r="Y15" s="70">
        <f>IF($A15="","",SUMIFS('Ordres de travail'!$AA$5:$AA$3004,'Ordres de travail'!$D$5:$D$3004,$A15))</f>
        <v/>
      </c>
      <c r="Z15" s="68">
        <f>IF($A15="","",SUM(COUNTIFS('Ordres de travail'!$D$5:$D$3004,$A15,'Ordres de travail'!$AC$5:$AC$3004,{"Demandé","Planifié","En cours","En attente pièces"})))</f>
        <v/>
      </c>
      <c r="AA15" s="9">
        <f>IF(OR($A15="",M15=""),"",IF(M15&lt;TODAY(),"Expirée",IF(M15-TODAY()&lt;='Paramètres'!$AA$15,"Expire bientôt","Sous garantie")))</f>
        <v/>
      </c>
      <c r="AB15" s="72">
        <f>IF($A15="",-1,N(R15)+ROW()/1000000)</f>
        <v/>
      </c>
    </row>
    <row r="16">
      <c r="A16" s="7" t="inlineStr">
        <is>
          <t>EQ-USI-012</t>
        </is>
      </c>
      <c r="B16" s="7" t="inlineStr">
        <is>
          <t>Robot collaboratif de chargement</t>
        </is>
      </c>
      <c r="C16" s="7" t="inlineStr">
        <is>
          <t>ROBOT</t>
        </is>
      </c>
      <c r="D16" s="7" t="inlineStr">
        <is>
          <t>Usinage</t>
        </is>
      </c>
      <c r="E16" s="7" t="inlineStr">
        <is>
          <t>Cellule 5 axes</t>
        </is>
      </c>
      <c r="F16" s="7" t="inlineStr">
        <is>
          <t>Universal Robots</t>
        </is>
      </c>
      <c r="G16" s="7" t="inlineStr">
        <is>
          <t>UR10e</t>
        </is>
      </c>
      <c r="H16" s="7" t="inlineStr">
        <is>
          <t>UNI-2549254</t>
        </is>
      </c>
      <c r="I16" s="65" t="n">
        <v>45824</v>
      </c>
      <c r="J16" s="66" t="n">
        <v>65000</v>
      </c>
      <c r="K16" s="7" t="inlineStr">
        <is>
          <t>B</t>
        </is>
      </c>
      <c r="L16" s="7" t="inlineStr">
        <is>
          <t>En service</t>
        </is>
      </c>
      <c r="M16" s="65" t="n">
        <v>46554</v>
      </c>
      <c r="N16" s="7" t="inlineStr">
        <is>
          <t>AutomaSys Ingénierie</t>
        </is>
      </c>
      <c r="O16" s="67" t="n">
        <v>3800</v>
      </c>
      <c r="P16" s="68">
        <f>IF($A16="","",COUNTIFS('Ordres de travail'!$D$5:$D$3004,$A16,'Ordres de travail'!$H$5:$H$3004,"Correctif",'Ordres de travail'!$AC$5:$AC$3004,"&lt;&gt;Annulé",'Ordres de travail'!$B$5:$B$3004,"&gt;="&amp;'Paramètres'!$AA$6,'Ordres de travail'!$B$5:$B$3004,"&lt;"&amp;('Paramètres'!$AA$7+1)))</f>
        <v/>
      </c>
      <c r="Q16" s="69">
        <f>IF($A16="","",SUMIFS('Ordres de travail'!$S$5:$S$3004,'Ordres de travail'!$D$5:$D$3004,$A16,'Ordres de travail'!$H$5:$H$3004,"Correctif",'Ordres de travail'!$AC$5:$AC$3004,"&lt;&gt;Annulé",'Ordres de travail'!$B$5:$B$3004,"&gt;="&amp;'Paramètres'!$AA$6,'Ordres de travail'!$B$5:$B$3004,"&lt;"&amp;('Paramètres'!$AA$7+1)))</f>
        <v/>
      </c>
      <c r="R16" s="69">
        <f>IF($A16="","",SUMIFS('Ordres de travail'!$S$5:$S$3004,'Ordres de travail'!$D$5:$D$3004,$A16,'Ordres de travail'!$AC$5:$AC$3004,"&lt;&gt;Annulé",'Ordres de travail'!$B$5:$B$3004,"&gt;="&amp;'Paramètres'!$AA$6,'Ordres de travail'!$B$5:$B$3004,"&lt;"&amp;('Paramètres'!$AA$7+1)))</f>
        <v/>
      </c>
      <c r="S16" s="70">
        <f>IF($A16="","",SUMIFS('Ordres de travail'!$AA$5:$AA$3004,'Ordres de travail'!$D$5:$D$3004,$A16,'Ordres de travail'!$B$5:$B$3004,"&gt;="&amp;'Paramètres'!$AA$6,'Ordres de travail'!$B$5:$B$3004,"&lt;"&amp;('Paramètres'!$AA$7+1)))</f>
        <v/>
      </c>
      <c r="T16" s="68">
        <f>IF($A16="","",IF(P16=0,"-",(O16*'Paramètres'!$AA$8-Q16)/P16))</f>
        <v/>
      </c>
      <c r="U16" s="69">
        <f>IF($A16="","",IF(P16=0,"-",Q16/P16))</f>
        <v/>
      </c>
      <c r="V16" s="71">
        <f>IF($A16="","",IF(N(O16)*'Paramètres'!$AA$8=0,"-",MAX(0,1-R16/(O16*'Paramètres'!$AA$8))))</f>
        <v/>
      </c>
      <c r="W16" s="68">
        <f>IF($A16="","",_xlfn.MAXIFS('Relevés compteurs'!$D$5:$D$1504,'Relevés compteurs'!$B$5:$B$1504,$A16))</f>
        <v/>
      </c>
      <c r="X16" s="69">
        <f>IF(OR($A16="",I16=""),"",(TODAY()-I16)/365.25)</f>
        <v/>
      </c>
      <c r="Y16" s="70">
        <f>IF($A16="","",SUMIFS('Ordres de travail'!$AA$5:$AA$3004,'Ordres de travail'!$D$5:$D$3004,$A16))</f>
        <v/>
      </c>
      <c r="Z16" s="68">
        <f>IF($A16="","",SUM(COUNTIFS('Ordres de travail'!$D$5:$D$3004,$A16,'Ordres de travail'!$AC$5:$AC$3004,{"Demandé","Planifié","En cours","En attente pièces"})))</f>
        <v/>
      </c>
      <c r="AA16" s="9">
        <f>IF(OR($A16="",M16=""),"",IF(M16&lt;TODAY(),"Expirée",IF(M16-TODAY()&lt;='Paramètres'!$AA$15,"Expire bientôt","Sous garantie")))</f>
        <v/>
      </c>
      <c r="AB16" s="72">
        <f>IF($A16="",-1,N(R16)+ROW()/1000000)</f>
        <v/>
      </c>
    </row>
    <row r="17">
      <c r="A17" s="7" t="inlineStr">
        <is>
          <t>EQ-TOL-001</t>
        </is>
      </c>
      <c r="B17" s="7" t="inlineStr">
        <is>
          <t>Découpe laser fibre 6 kW</t>
        </is>
      </c>
      <c r="C17" s="7" t="inlineStr">
        <is>
          <t>LASER</t>
        </is>
      </c>
      <c r="D17" s="7" t="inlineStr">
        <is>
          <t>Tôlerie</t>
        </is>
      </c>
      <c r="E17" s="7" t="inlineStr">
        <is>
          <t>Découpe</t>
        </is>
      </c>
      <c r="F17" s="7" t="inlineStr">
        <is>
          <t>Trumpf</t>
        </is>
      </c>
      <c r="G17" s="7" t="inlineStr">
        <is>
          <t>TruLaser 3030 fiber</t>
        </is>
      </c>
      <c r="H17" s="7" t="inlineStr">
        <is>
          <t>TRU-2149122</t>
        </is>
      </c>
      <c r="I17" s="65" t="n">
        <v>44242</v>
      </c>
      <c r="J17" s="66" t="n">
        <v>620000</v>
      </c>
      <c r="K17" s="7" t="inlineStr">
        <is>
          <t>A</t>
        </is>
      </c>
      <c r="L17" s="7" t="inlineStr">
        <is>
          <t>En service</t>
        </is>
      </c>
      <c r="M17" s="65" t="n">
        <v>46371</v>
      </c>
      <c r="N17" s="7" t="inlineStr">
        <is>
          <t>LaserCare Services</t>
        </is>
      </c>
      <c r="O17" s="67" t="n">
        <v>4200</v>
      </c>
      <c r="P17" s="68">
        <f>IF($A17="","",COUNTIFS('Ordres de travail'!$D$5:$D$3004,$A17,'Ordres de travail'!$H$5:$H$3004,"Correctif",'Ordres de travail'!$AC$5:$AC$3004,"&lt;&gt;Annulé",'Ordres de travail'!$B$5:$B$3004,"&gt;="&amp;'Paramètres'!$AA$6,'Ordres de travail'!$B$5:$B$3004,"&lt;"&amp;('Paramètres'!$AA$7+1)))</f>
        <v/>
      </c>
      <c r="Q17" s="69">
        <f>IF($A17="","",SUMIFS('Ordres de travail'!$S$5:$S$3004,'Ordres de travail'!$D$5:$D$3004,$A17,'Ordres de travail'!$H$5:$H$3004,"Correctif",'Ordres de travail'!$AC$5:$AC$3004,"&lt;&gt;Annulé",'Ordres de travail'!$B$5:$B$3004,"&gt;="&amp;'Paramètres'!$AA$6,'Ordres de travail'!$B$5:$B$3004,"&lt;"&amp;('Paramètres'!$AA$7+1)))</f>
        <v/>
      </c>
      <c r="R17" s="69">
        <f>IF($A17="","",SUMIFS('Ordres de travail'!$S$5:$S$3004,'Ordres de travail'!$D$5:$D$3004,$A17,'Ordres de travail'!$AC$5:$AC$3004,"&lt;&gt;Annulé",'Ordres de travail'!$B$5:$B$3004,"&gt;="&amp;'Paramètres'!$AA$6,'Ordres de travail'!$B$5:$B$3004,"&lt;"&amp;('Paramètres'!$AA$7+1)))</f>
        <v/>
      </c>
      <c r="S17" s="70">
        <f>IF($A17="","",SUMIFS('Ordres de travail'!$AA$5:$AA$3004,'Ordres de travail'!$D$5:$D$3004,$A17,'Ordres de travail'!$B$5:$B$3004,"&gt;="&amp;'Paramètres'!$AA$6,'Ordres de travail'!$B$5:$B$3004,"&lt;"&amp;('Paramètres'!$AA$7+1)))</f>
        <v/>
      </c>
      <c r="T17" s="68">
        <f>IF($A17="","",IF(P17=0,"-",(O17*'Paramètres'!$AA$8-Q17)/P17))</f>
        <v/>
      </c>
      <c r="U17" s="69">
        <f>IF($A17="","",IF(P17=0,"-",Q17/P17))</f>
        <v/>
      </c>
      <c r="V17" s="71">
        <f>IF($A17="","",IF(N(O17)*'Paramètres'!$AA$8=0,"-",MAX(0,1-R17/(O17*'Paramètres'!$AA$8))))</f>
        <v/>
      </c>
      <c r="W17" s="68">
        <f>IF($A17="","",_xlfn.MAXIFS('Relevés compteurs'!$D$5:$D$1504,'Relevés compteurs'!$B$5:$B$1504,$A17))</f>
        <v/>
      </c>
      <c r="X17" s="69">
        <f>IF(OR($A17="",I17=""),"",(TODAY()-I17)/365.25)</f>
        <v/>
      </c>
      <c r="Y17" s="70">
        <f>IF($A17="","",SUMIFS('Ordres de travail'!$AA$5:$AA$3004,'Ordres de travail'!$D$5:$D$3004,$A17))</f>
        <v/>
      </c>
      <c r="Z17" s="68">
        <f>IF($A17="","",SUM(COUNTIFS('Ordres de travail'!$D$5:$D$3004,$A17,'Ordres de travail'!$AC$5:$AC$3004,{"Demandé","Planifié","En cours","En attente pièces"})))</f>
        <v/>
      </c>
      <c r="AA17" s="9">
        <f>IF(OR($A17="",M17=""),"",IF(M17&lt;TODAY(),"Expirée",IF(M17-TODAY()&lt;='Paramètres'!$AA$15,"Expire bientôt","Sous garantie")))</f>
        <v/>
      </c>
      <c r="AB17" s="72">
        <f>IF($A17="",-1,N(R17)+ROW()/1000000)</f>
        <v/>
      </c>
    </row>
    <row r="18">
      <c r="A18" s="7" t="inlineStr">
        <is>
          <t>EQ-TOL-002</t>
        </is>
      </c>
      <c r="B18" s="7" t="inlineStr">
        <is>
          <t>Presse plieuse 100 t</t>
        </is>
      </c>
      <c r="C18" s="7" t="inlineStr">
        <is>
          <t>PRESSE</t>
        </is>
      </c>
      <c r="D18" s="7" t="inlineStr">
        <is>
          <t>Tôlerie</t>
        </is>
      </c>
      <c r="E18" s="7" t="inlineStr">
        <is>
          <t>Pliage</t>
        </is>
      </c>
      <c r="F18" s="7" t="inlineStr">
        <is>
          <t>Amada</t>
        </is>
      </c>
      <c r="G18" s="7" t="inlineStr">
        <is>
          <t>HFE 100-3</t>
        </is>
      </c>
      <c r="H18" s="7" t="inlineStr">
        <is>
          <t>AMA-1038412</t>
        </is>
      </c>
      <c r="I18" s="65" t="n">
        <v>40308</v>
      </c>
      <c r="J18" s="66" t="n">
        <v>135000</v>
      </c>
      <c r="K18" s="7" t="inlineStr">
        <is>
          <t>A</t>
        </is>
      </c>
      <c r="L18" s="7" t="inlineStr">
        <is>
          <t>En service</t>
        </is>
      </c>
      <c r="M18" s="65" t="n">
        <v>41039</v>
      </c>
      <c r="N18" s="7" t="inlineStr">
        <is>
          <t>HydroFluid Services</t>
        </is>
      </c>
      <c r="O18" s="67" t="n">
        <v>3600</v>
      </c>
      <c r="P18" s="68">
        <f>IF($A18="","",COUNTIFS('Ordres de travail'!$D$5:$D$3004,$A18,'Ordres de travail'!$H$5:$H$3004,"Correctif",'Ordres de travail'!$AC$5:$AC$3004,"&lt;&gt;Annulé",'Ordres de travail'!$B$5:$B$3004,"&gt;="&amp;'Paramètres'!$AA$6,'Ordres de travail'!$B$5:$B$3004,"&lt;"&amp;('Paramètres'!$AA$7+1)))</f>
        <v/>
      </c>
      <c r="Q18" s="69">
        <f>IF($A18="","",SUMIFS('Ordres de travail'!$S$5:$S$3004,'Ordres de travail'!$D$5:$D$3004,$A18,'Ordres de travail'!$H$5:$H$3004,"Correctif",'Ordres de travail'!$AC$5:$AC$3004,"&lt;&gt;Annulé",'Ordres de travail'!$B$5:$B$3004,"&gt;="&amp;'Paramètres'!$AA$6,'Ordres de travail'!$B$5:$B$3004,"&lt;"&amp;('Paramètres'!$AA$7+1)))</f>
        <v/>
      </c>
      <c r="R18" s="69">
        <f>IF($A18="","",SUMIFS('Ordres de travail'!$S$5:$S$3004,'Ordres de travail'!$D$5:$D$3004,$A18,'Ordres de travail'!$AC$5:$AC$3004,"&lt;&gt;Annulé",'Ordres de travail'!$B$5:$B$3004,"&gt;="&amp;'Paramètres'!$AA$6,'Ordres de travail'!$B$5:$B$3004,"&lt;"&amp;('Paramètres'!$AA$7+1)))</f>
        <v/>
      </c>
      <c r="S18" s="70">
        <f>IF($A18="","",SUMIFS('Ordres de travail'!$AA$5:$AA$3004,'Ordres de travail'!$D$5:$D$3004,$A18,'Ordres de travail'!$B$5:$B$3004,"&gt;="&amp;'Paramètres'!$AA$6,'Ordres de travail'!$B$5:$B$3004,"&lt;"&amp;('Paramètres'!$AA$7+1)))</f>
        <v/>
      </c>
      <c r="T18" s="68">
        <f>IF($A18="","",IF(P18=0,"-",(O18*'Paramètres'!$AA$8-Q18)/P18))</f>
        <v/>
      </c>
      <c r="U18" s="69">
        <f>IF($A18="","",IF(P18=0,"-",Q18/P18))</f>
        <v/>
      </c>
      <c r="V18" s="71">
        <f>IF($A18="","",IF(N(O18)*'Paramètres'!$AA$8=0,"-",MAX(0,1-R18/(O18*'Paramètres'!$AA$8))))</f>
        <v/>
      </c>
      <c r="W18" s="68">
        <f>IF($A18="","",_xlfn.MAXIFS('Relevés compteurs'!$D$5:$D$1504,'Relevés compteurs'!$B$5:$B$1504,$A18))</f>
        <v/>
      </c>
      <c r="X18" s="69">
        <f>IF(OR($A18="",I18=""),"",(TODAY()-I18)/365.25)</f>
        <v/>
      </c>
      <c r="Y18" s="70">
        <f>IF($A18="","",SUMIFS('Ordres de travail'!$AA$5:$AA$3004,'Ordres de travail'!$D$5:$D$3004,$A18))</f>
        <v/>
      </c>
      <c r="Z18" s="68">
        <f>IF($A18="","",SUM(COUNTIFS('Ordres de travail'!$D$5:$D$3004,$A18,'Ordres de travail'!$AC$5:$AC$3004,{"Demandé","Planifié","En cours","En attente pièces"})))</f>
        <v/>
      </c>
      <c r="AA18" s="9">
        <f>IF(OR($A18="",M18=""),"",IF(M18&lt;TODAY(),"Expirée",IF(M18-TODAY()&lt;='Paramètres'!$AA$15,"Expire bientôt","Sous garantie")))</f>
        <v/>
      </c>
      <c r="AB18" s="72">
        <f>IF($A18="",-1,N(R18)+ROW()/1000000)</f>
        <v/>
      </c>
    </row>
    <row r="19">
      <c r="A19" s="7" t="inlineStr">
        <is>
          <t>EQ-TOL-003</t>
        </is>
      </c>
      <c r="B19" s="7" t="inlineStr">
        <is>
          <t>Presse plieuse 130 t</t>
        </is>
      </c>
      <c r="C19" s="7" t="inlineStr">
        <is>
          <t>PRESSE</t>
        </is>
      </c>
      <c r="D19" s="7" t="inlineStr">
        <is>
          <t>Tôlerie</t>
        </is>
      </c>
      <c r="E19" s="7" t="inlineStr">
        <is>
          <t>Pliage</t>
        </is>
      </c>
      <c r="F19" s="7" t="inlineStr">
        <is>
          <t>Trumpf</t>
        </is>
      </c>
      <c r="G19" s="7" t="inlineStr">
        <is>
          <t>TruBend 5130</t>
        </is>
      </c>
      <c r="H19" s="7" t="inlineStr">
        <is>
          <t>TRU-1824138</t>
        </is>
      </c>
      <c r="I19" s="65" t="n">
        <v>43367</v>
      </c>
      <c r="J19" s="66" t="n">
        <v>210000</v>
      </c>
      <c r="K19" s="7" t="inlineStr">
        <is>
          <t>A</t>
        </is>
      </c>
      <c r="L19" s="7" t="inlineStr">
        <is>
          <t>En service</t>
        </is>
      </c>
      <c r="M19" s="65" t="n">
        <v>44098</v>
      </c>
      <c r="N19" s="7" t="inlineStr">
        <is>
          <t>HydroFluid Services</t>
        </is>
      </c>
      <c r="O19" s="67" t="n">
        <v>3600</v>
      </c>
      <c r="P19" s="68">
        <f>IF($A19="","",COUNTIFS('Ordres de travail'!$D$5:$D$3004,$A19,'Ordres de travail'!$H$5:$H$3004,"Correctif",'Ordres de travail'!$AC$5:$AC$3004,"&lt;&gt;Annulé",'Ordres de travail'!$B$5:$B$3004,"&gt;="&amp;'Paramètres'!$AA$6,'Ordres de travail'!$B$5:$B$3004,"&lt;"&amp;('Paramètres'!$AA$7+1)))</f>
        <v/>
      </c>
      <c r="Q19" s="69">
        <f>IF($A19="","",SUMIFS('Ordres de travail'!$S$5:$S$3004,'Ordres de travail'!$D$5:$D$3004,$A19,'Ordres de travail'!$H$5:$H$3004,"Correctif",'Ordres de travail'!$AC$5:$AC$3004,"&lt;&gt;Annulé",'Ordres de travail'!$B$5:$B$3004,"&gt;="&amp;'Paramètres'!$AA$6,'Ordres de travail'!$B$5:$B$3004,"&lt;"&amp;('Paramètres'!$AA$7+1)))</f>
        <v/>
      </c>
      <c r="R19" s="69">
        <f>IF($A19="","",SUMIFS('Ordres de travail'!$S$5:$S$3004,'Ordres de travail'!$D$5:$D$3004,$A19,'Ordres de travail'!$AC$5:$AC$3004,"&lt;&gt;Annulé",'Ordres de travail'!$B$5:$B$3004,"&gt;="&amp;'Paramètres'!$AA$6,'Ordres de travail'!$B$5:$B$3004,"&lt;"&amp;('Paramètres'!$AA$7+1)))</f>
        <v/>
      </c>
      <c r="S19" s="70">
        <f>IF($A19="","",SUMIFS('Ordres de travail'!$AA$5:$AA$3004,'Ordres de travail'!$D$5:$D$3004,$A19,'Ordres de travail'!$B$5:$B$3004,"&gt;="&amp;'Paramètres'!$AA$6,'Ordres de travail'!$B$5:$B$3004,"&lt;"&amp;('Paramètres'!$AA$7+1)))</f>
        <v/>
      </c>
      <c r="T19" s="68">
        <f>IF($A19="","",IF(P19=0,"-",(O19*'Paramètres'!$AA$8-Q19)/P19))</f>
        <v/>
      </c>
      <c r="U19" s="69">
        <f>IF($A19="","",IF(P19=0,"-",Q19/P19))</f>
        <v/>
      </c>
      <c r="V19" s="71">
        <f>IF($A19="","",IF(N(O19)*'Paramètres'!$AA$8=0,"-",MAX(0,1-R19/(O19*'Paramètres'!$AA$8))))</f>
        <v/>
      </c>
      <c r="W19" s="68">
        <f>IF($A19="","",_xlfn.MAXIFS('Relevés compteurs'!$D$5:$D$1504,'Relevés compteurs'!$B$5:$B$1504,$A19))</f>
        <v/>
      </c>
      <c r="X19" s="69">
        <f>IF(OR($A19="",I19=""),"",(TODAY()-I19)/365.25)</f>
        <v/>
      </c>
      <c r="Y19" s="70">
        <f>IF($A19="","",SUMIFS('Ordres de travail'!$AA$5:$AA$3004,'Ordres de travail'!$D$5:$D$3004,$A19))</f>
        <v/>
      </c>
      <c r="Z19" s="68">
        <f>IF($A19="","",SUM(COUNTIFS('Ordres de travail'!$D$5:$D$3004,$A19,'Ordres de travail'!$AC$5:$AC$3004,{"Demandé","Planifié","En cours","En attente pièces"})))</f>
        <v/>
      </c>
      <c r="AA19" s="9">
        <f>IF(OR($A19="",M19=""),"",IF(M19&lt;TODAY(),"Expirée",IF(M19-TODAY()&lt;='Paramètres'!$AA$15,"Expire bientôt","Sous garantie")))</f>
        <v/>
      </c>
      <c r="AB19" s="72">
        <f>IF($A19="",-1,N(R19)+ROW()/1000000)</f>
        <v/>
      </c>
    </row>
    <row r="20">
      <c r="A20" s="7" t="inlineStr">
        <is>
          <t>EQ-TOL-004</t>
        </is>
      </c>
      <c r="B20" s="7" t="inlineStr">
        <is>
          <t>Poinçonneuse CN</t>
        </is>
      </c>
      <c r="C20" s="7" t="inlineStr">
        <is>
          <t>PRESSE</t>
        </is>
      </c>
      <c r="D20" s="7" t="inlineStr">
        <is>
          <t>Tôlerie</t>
        </is>
      </c>
      <c r="E20" s="7" t="inlineStr">
        <is>
          <t>Découpe</t>
        </is>
      </c>
      <c r="F20" s="7" t="inlineStr">
        <is>
          <t>Trumpf</t>
        </is>
      </c>
      <c r="G20" s="7" t="inlineStr">
        <is>
          <t>TruPunch 1000</t>
        </is>
      </c>
      <c r="H20" s="7" t="inlineStr">
        <is>
          <t>TRU-1572280</t>
        </is>
      </c>
      <c r="I20" s="65" t="n">
        <v>42023</v>
      </c>
      <c r="J20" s="66" t="n">
        <v>260000</v>
      </c>
      <c r="K20" s="7" t="inlineStr">
        <is>
          <t>B</t>
        </is>
      </c>
      <c r="L20" s="7" t="inlineStr">
        <is>
          <t>En service</t>
        </is>
      </c>
      <c r="M20" s="65" t="n">
        <v>42754</v>
      </c>
      <c r="N20" s="7" t="inlineStr">
        <is>
          <t>HydroFluid Services</t>
        </is>
      </c>
      <c r="O20" s="67" t="n">
        <v>3200</v>
      </c>
      <c r="P20" s="68">
        <f>IF($A20="","",COUNTIFS('Ordres de travail'!$D$5:$D$3004,$A20,'Ordres de travail'!$H$5:$H$3004,"Correctif",'Ordres de travail'!$AC$5:$AC$3004,"&lt;&gt;Annulé",'Ordres de travail'!$B$5:$B$3004,"&gt;="&amp;'Paramètres'!$AA$6,'Ordres de travail'!$B$5:$B$3004,"&lt;"&amp;('Paramètres'!$AA$7+1)))</f>
        <v/>
      </c>
      <c r="Q20" s="69">
        <f>IF($A20="","",SUMIFS('Ordres de travail'!$S$5:$S$3004,'Ordres de travail'!$D$5:$D$3004,$A20,'Ordres de travail'!$H$5:$H$3004,"Correctif",'Ordres de travail'!$AC$5:$AC$3004,"&lt;&gt;Annulé",'Ordres de travail'!$B$5:$B$3004,"&gt;="&amp;'Paramètres'!$AA$6,'Ordres de travail'!$B$5:$B$3004,"&lt;"&amp;('Paramètres'!$AA$7+1)))</f>
        <v/>
      </c>
      <c r="R20" s="69">
        <f>IF($A20="","",SUMIFS('Ordres de travail'!$S$5:$S$3004,'Ordres de travail'!$D$5:$D$3004,$A20,'Ordres de travail'!$AC$5:$AC$3004,"&lt;&gt;Annulé",'Ordres de travail'!$B$5:$B$3004,"&gt;="&amp;'Paramètres'!$AA$6,'Ordres de travail'!$B$5:$B$3004,"&lt;"&amp;('Paramètres'!$AA$7+1)))</f>
        <v/>
      </c>
      <c r="S20" s="70">
        <f>IF($A20="","",SUMIFS('Ordres de travail'!$AA$5:$AA$3004,'Ordres de travail'!$D$5:$D$3004,$A20,'Ordres de travail'!$B$5:$B$3004,"&gt;="&amp;'Paramètres'!$AA$6,'Ordres de travail'!$B$5:$B$3004,"&lt;"&amp;('Paramètres'!$AA$7+1)))</f>
        <v/>
      </c>
      <c r="T20" s="68">
        <f>IF($A20="","",IF(P20=0,"-",(O20*'Paramètres'!$AA$8-Q20)/P20))</f>
        <v/>
      </c>
      <c r="U20" s="69">
        <f>IF($A20="","",IF(P20=0,"-",Q20/P20))</f>
        <v/>
      </c>
      <c r="V20" s="71">
        <f>IF($A20="","",IF(N(O20)*'Paramètres'!$AA$8=0,"-",MAX(0,1-R20/(O20*'Paramètres'!$AA$8))))</f>
        <v/>
      </c>
      <c r="W20" s="68">
        <f>IF($A20="","",_xlfn.MAXIFS('Relevés compteurs'!$D$5:$D$1504,'Relevés compteurs'!$B$5:$B$1504,$A20))</f>
        <v/>
      </c>
      <c r="X20" s="69">
        <f>IF(OR($A20="",I20=""),"",(TODAY()-I20)/365.25)</f>
        <v/>
      </c>
      <c r="Y20" s="70">
        <f>IF($A20="","",SUMIFS('Ordres de travail'!$AA$5:$AA$3004,'Ordres de travail'!$D$5:$D$3004,$A20))</f>
        <v/>
      </c>
      <c r="Z20" s="68">
        <f>IF($A20="","",SUM(COUNTIFS('Ordres de travail'!$D$5:$D$3004,$A20,'Ordres de travail'!$AC$5:$AC$3004,{"Demandé","Planifié","En cours","En attente pièces"})))</f>
        <v/>
      </c>
      <c r="AA20" s="9">
        <f>IF(OR($A20="",M20=""),"",IF(M20&lt;TODAY(),"Expirée",IF(M20-TODAY()&lt;='Paramètres'!$AA$15,"Expire bientôt","Sous garantie")))</f>
        <v/>
      </c>
      <c r="AB20" s="72">
        <f>IF($A20="",-1,N(R20)+ROW()/1000000)</f>
        <v/>
      </c>
    </row>
    <row r="21">
      <c r="A21" s="7" t="inlineStr">
        <is>
          <t>EQ-TOL-005</t>
        </is>
      </c>
      <c r="B21" s="7" t="inlineStr">
        <is>
          <t>Cisaille guillotine hydraulique</t>
        </is>
      </c>
      <c r="C21" s="7" t="inlineStr">
        <is>
          <t>PRESSE</t>
        </is>
      </c>
      <c r="D21" s="7" t="inlineStr">
        <is>
          <t>Tôlerie</t>
        </is>
      </c>
      <c r="E21" s="7" t="inlineStr">
        <is>
          <t>Débit</t>
        </is>
      </c>
      <c r="F21" s="7" t="inlineStr">
        <is>
          <t>LVD</t>
        </is>
      </c>
      <c r="G21" s="7" t="inlineStr">
        <is>
          <t>MVS 31/6</t>
        </is>
      </c>
      <c r="H21" s="7" t="inlineStr">
        <is>
          <t>LVD-0581618</t>
        </is>
      </c>
      <c r="I21" s="65" t="n">
        <v>38509</v>
      </c>
      <c r="J21" s="66" t="n">
        <v>48000</v>
      </c>
      <c r="K21" s="7" t="inlineStr">
        <is>
          <t>B</t>
        </is>
      </c>
      <c r="L21" s="7" t="inlineStr">
        <is>
          <t>En service</t>
        </is>
      </c>
      <c r="M21" s="65" t="n">
        <v>39239</v>
      </c>
      <c r="N21" s="7" t="inlineStr">
        <is>
          <t>HydroFluid Services</t>
        </is>
      </c>
      <c r="O21" s="67" t="n">
        <v>2000</v>
      </c>
      <c r="P21" s="68">
        <f>IF($A21="","",COUNTIFS('Ordres de travail'!$D$5:$D$3004,$A21,'Ordres de travail'!$H$5:$H$3004,"Correctif",'Ordres de travail'!$AC$5:$AC$3004,"&lt;&gt;Annulé",'Ordres de travail'!$B$5:$B$3004,"&gt;="&amp;'Paramètres'!$AA$6,'Ordres de travail'!$B$5:$B$3004,"&lt;"&amp;('Paramètres'!$AA$7+1)))</f>
        <v/>
      </c>
      <c r="Q21" s="69">
        <f>IF($A21="","",SUMIFS('Ordres de travail'!$S$5:$S$3004,'Ordres de travail'!$D$5:$D$3004,$A21,'Ordres de travail'!$H$5:$H$3004,"Correctif",'Ordres de travail'!$AC$5:$AC$3004,"&lt;&gt;Annulé",'Ordres de travail'!$B$5:$B$3004,"&gt;="&amp;'Paramètres'!$AA$6,'Ordres de travail'!$B$5:$B$3004,"&lt;"&amp;('Paramètres'!$AA$7+1)))</f>
        <v/>
      </c>
      <c r="R21" s="69">
        <f>IF($A21="","",SUMIFS('Ordres de travail'!$S$5:$S$3004,'Ordres de travail'!$D$5:$D$3004,$A21,'Ordres de travail'!$AC$5:$AC$3004,"&lt;&gt;Annulé",'Ordres de travail'!$B$5:$B$3004,"&gt;="&amp;'Paramètres'!$AA$6,'Ordres de travail'!$B$5:$B$3004,"&lt;"&amp;('Paramètres'!$AA$7+1)))</f>
        <v/>
      </c>
      <c r="S21" s="70">
        <f>IF($A21="","",SUMIFS('Ordres de travail'!$AA$5:$AA$3004,'Ordres de travail'!$D$5:$D$3004,$A21,'Ordres de travail'!$B$5:$B$3004,"&gt;="&amp;'Paramètres'!$AA$6,'Ordres de travail'!$B$5:$B$3004,"&lt;"&amp;('Paramètres'!$AA$7+1)))</f>
        <v/>
      </c>
      <c r="T21" s="68">
        <f>IF($A21="","",IF(P21=0,"-",(O21*'Paramètres'!$AA$8-Q21)/P21))</f>
        <v/>
      </c>
      <c r="U21" s="69">
        <f>IF($A21="","",IF(P21=0,"-",Q21/P21))</f>
        <v/>
      </c>
      <c r="V21" s="71">
        <f>IF($A21="","",IF(N(O21)*'Paramètres'!$AA$8=0,"-",MAX(0,1-R21/(O21*'Paramètres'!$AA$8))))</f>
        <v/>
      </c>
      <c r="W21" s="68">
        <f>IF($A21="","",_xlfn.MAXIFS('Relevés compteurs'!$D$5:$D$1504,'Relevés compteurs'!$B$5:$B$1504,$A21))</f>
        <v/>
      </c>
      <c r="X21" s="69">
        <f>IF(OR($A21="",I21=""),"",(TODAY()-I21)/365.25)</f>
        <v/>
      </c>
      <c r="Y21" s="70">
        <f>IF($A21="","",SUMIFS('Ordres de travail'!$AA$5:$AA$3004,'Ordres de travail'!$D$5:$D$3004,$A21))</f>
        <v/>
      </c>
      <c r="Z21" s="68">
        <f>IF($A21="","",SUM(COUNTIFS('Ordres de travail'!$D$5:$D$3004,$A21,'Ordres de travail'!$AC$5:$AC$3004,{"Demandé","Planifié","En cours","En attente pièces"})))</f>
        <v/>
      </c>
      <c r="AA21" s="9">
        <f>IF(OR($A21="",M21=""),"",IF(M21&lt;TODAY(),"Expirée",IF(M21-TODAY()&lt;='Paramètres'!$AA$15,"Expire bientôt","Sous garantie")))</f>
        <v/>
      </c>
      <c r="AB21" s="72">
        <f>IF($A21="",-1,N(R21)+ROW()/1000000)</f>
        <v/>
      </c>
    </row>
    <row r="22">
      <c r="A22" s="7" t="inlineStr">
        <is>
          <t>EQ-TOL-006</t>
        </is>
      </c>
      <c r="B22" s="7" t="inlineStr">
        <is>
          <t>Rouleuse 3 rouleaux</t>
        </is>
      </c>
      <c r="C22" s="7" t="inlineStr">
        <is>
          <t>PRESSE</t>
        </is>
      </c>
      <c r="D22" s="7" t="inlineStr">
        <is>
          <t>Tôlerie</t>
        </is>
      </c>
      <c r="E22" s="7" t="inlineStr">
        <is>
          <t>Formage</t>
        </is>
      </c>
      <c r="F22" s="7" t="inlineStr">
        <is>
          <t>Davi</t>
        </is>
      </c>
      <c r="G22" s="7" t="inlineStr">
        <is>
          <t>MCB 2030</t>
        </is>
      </c>
      <c r="H22" s="7" t="inlineStr">
        <is>
          <t>DAV-0921123</t>
        </is>
      </c>
      <c r="I22" s="65" t="n">
        <v>40098</v>
      </c>
      <c r="J22" s="66" t="n">
        <v>55000</v>
      </c>
      <c r="K22" s="7" t="inlineStr">
        <is>
          <t>C</t>
        </is>
      </c>
      <c r="L22" s="7" t="inlineStr">
        <is>
          <t>En service</t>
        </is>
      </c>
      <c r="M22" s="65" t="n">
        <v>40828</v>
      </c>
      <c r="N22" s="7" t="inlineStr">
        <is>
          <t>HydroFluid Services</t>
        </is>
      </c>
      <c r="O22" s="67" t="n">
        <v>1200</v>
      </c>
      <c r="P22" s="68">
        <f>IF($A22="","",COUNTIFS('Ordres de travail'!$D$5:$D$3004,$A22,'Ordres de travail'!$H$5:$H$3004,"Correctif",'Ordres de travail'!$AC$5:$AC$3004,"&lt;&gt;Annulé",'Ordres de travail'!$B$5:$B$3004,"&gt;="&amp;'Paramètres'!$AA$6,'Ordres de travail'!$B$5:$B$3004,"&lt;"&amp;('Paramètres'!$AA$7+1)))</f>
        <v/>
      </c>
      <c r="Q22" s="69">
        <f>IF($A22="","",SUMIFS('Ordres de travail'!$S$5:$S$3004,'Ordres de travail'!$D$5:$D$3004,$A22,'Ordres de travail'!$H$5:$H$3004,"Correctif",'Ordres de travail'!$AC$5:$AC$3004,"&lt;&gt;Annulé",'Ordres de travail'!$B$5:$B$3004,"&gt;="&amp;'Paramètres'!$AA$6,'Ordres de travail'!$B$5:$B$3004,"&lt;"&amp;('Paramètres'!$AA$7+1)))</f>
        <v/>
      </c>
      <c r="R22" s="69">
        <f>IF($A22="","",SUMIFS('Ordres de travail'!$S$5:$S$3004,'Ordres de travail'!$D$5:$D$3004,$A22,'Ordres de travail'!$AC$5:$AC$3004,"&lt;&gt;Annulé",'Ordres de travail'!$B$5:$B$3004,"&gt;="&amp;'Paramètres'!$AA$6,'Ordres de travail'!$B$5:$B$3004,"&lt;"&amp;('Paramètres'!$AA$7+1)))</f>
        <v/>
      </c>
      <c r="S22" s="70">
        <f>IF($A22="","",SUMIFS('Ordres de travail'!$AA$5:$AA$3004,'Ordres de travail'!$D$5:$D$3004,$A22,'Ordres de travail'!$B$5:$B$3004,"&gt;="&amp;'Paramètres'!$AA$6,'Ordres de travail'!$B$5:$B$3004,"&lt;"&amp;('Paramètres'!$AA$7+1)))</f>
        <v/>
      </c>
      <c r="T22" s="68">
        <f>IF($A22="","",IF(P22=0,"-",(O22*'Paramètres'!$AA$8-Q22)/P22))</f>
        <v/>
      </c>
      <c r="U22" s="69">
        <f>IF($A22="","",IF(P22=0,"-",Q22/P22))</f>
        <v/>
      </c>
      <c r="V22" s="71">
        <f>IF($A22="","",IF(N(O22)*'Paramètres'!$AA$8=0,"-",MAX(0,1-R22/(O22*'Paramètres'!$AA$8))))</f>
        <v/>
      </c>
      <c r="W22" s="68">
        <f>IF($A22="","",_xlfn.MAXIFS('Relevés compteurs'!$D$5:$D$1504,'Relevés compteurs'!$B$5:$B$1504,$A22))</f>
        <v/>
      </c>
      <c r="X22" s="69">
        <f>IF(OR($A22="",I22=""),"",(TODAY()-I22)/365.25)</f>
        <v/>
      </c>
      <c r="Y22" s="70">
        <f>IF($A22="","",SUMIFS('Ordres de travail'!$AA$5:$AA$3004,'Ordres de travail'!$D$5:$D$3004,$A22))</f>
        <v/>
      </c>
      <c r="Z22" s="68">
        <f>IF($A22="","",SUM(COUNTIFS('Ordres de travail'!$D$5:$D$3004,$A22,'Ordres de travail'!$AC$5:$AC$3004,{"Demandé","Planifié","En cours","En attente pièces"})))</f>
        <v/>
      </c>
      <c r="AA22" s="9">
        <f>IF(OR($A22="",M22=""),"",IF(M22&lt;TODAY(),"Expirée",IF(M22-TODAY()&lt;='Paramètres'!$AA$15,"Expire bientôt","Sous garantie")))</f>
        <v/>
      </c>
      <c r="AB22" s="72">
        <f>IF($A22="",-1,N(R22)+ROW()/1000000)</f>
        <v/>
      </c>
    </row>
    <row r="23">
      <c r="A23" s="7" t="inlineStr">
        <is>
          <t>EQ-TOL-007</t>
        </is>
      </c>
      <c r="B23" s="7" t="inlineStr">
        <is>
          <t>Ébavureuse / ponceuse à bande</t>
        </is>
      </c>
      <c r="C23" s="7" t="inlineStr">
        <is>
          <t>CONVOYEUR</t>
        </is>
      </c>
      <c r="D23" s="7" t="inlineStr">
        <is>
          <t>Tôlerie</t>
        </is>
      </c>
      <c r="E23" s="7" t="inlineStr">
        <is>
          <t>Finition</t>
        </is>
      </c>
      <c r="F23" s="7" t="inlineStr">
        <is>
          <t>Lissmac</t>
        </is>
      </c>
      <c r="G23" s="7" t="inlineStr">
        <is>
          <t>SBM-M 1000</t>
        </is>
      </c>
      <c r="H23" s="7" t="inlineStr">
        <is>
          <t>LIS-1979461</t>
        </is>
      </c>
      <c r="I23" s="65" t="n">
        <v>43563</v>
      </c>
      <c r="J23" s="66" t="n">
        <v>72000</v>
      </c>
      <c r="K23" s="7" t="inlineStr">
        <is>
          <t>B</t>
        </is>
      </c>
      <c r="L23" s="7" t="inlineStr">
        <is>
          <t>En service</t>
        </is>
      </c>
      <c r="M23" s="65" t="n">
        <v>44294</v>
      </c>
      <c r="N23" s="7" t="inlineStr">
        <is>
          <t>SAV Machines-Outils Atlantique</t>
        </is>
      </c>
      <c r="O23" s="67" t="n">
        <v>3000</v>
      </c>
      <c r="P23" s="68">
        <f>IF($A23="","",COUNTIFS('Ordres de travail'!$D$5:$D$3004,$A23,'Ordres de travail'!$H$5:$H$3004,"Correctif",'Ordres de travail'!$AC$5:$AC$3004,"&lt;&gt;Annulé",'Ordres de travail'!$B$5:$B$3004,"&gt;="&amp;'Paramètres'!$AA$6,'Ordres de travail'!$B$5:$B$3004,"&lt;"&amp;('Paramètres'!$AA$7+1)))</f>
        <v/>
      </c>
      <c r="Q23" s="69">
        <f>IF($A23="","",SUMIFS('Ordres de travail'!$S$5:$S$3004,'Ordres de travail'!$D$5:$D$3004,$A23,'Ordres de travail'!$H$5:$H$3004,"Correctif",'Ordres de travail'!$AC$5:$AC$3004,"&lt;&gt;Annulé",'Ordres de travail'!$B$5:$B$3004,"&gt;="&amp;'Paramètres'!$AA$6,'Ordres de travail'!$B$5:$B$3004,"&lt;"&amp;('Paramètres'!$AA$7+1)))</f>
        <v/>
      </c>
      <c r="R23" s="69">
        <f>IF($A23="","",SUMIFS('Ordres de travail'!$S$5:$S$3004,'Ordres de travail'!$D$5:$D$3004,$A23,'Ordres de travail'!$AC$5:$AC$3004,"&lt;&gt;Annulé",'Ordres de travail'!$B$5:$B$3004,"&gt;="&amp;'Paramètres'!$AA$6,'Ordres de travail'!$B$5:$B$3004,"&lt;"&amp;('Paramètres'!$AA$7+1)))</f>
        <v/>
      </c>
      <c r="S23" s="70">
        <f>IF($A23="","",SUMIFS('Ordres de travail'!$AA$5:$AA$3004,'Ordres de travail'!$D$5:$D$3004,$A23,'Ordres de travail'!$B$5:$B$3004,"&gt;="&amp;'Paramètres'!$AA$6,'Ordres de travail'!$B$5:$B$3004,"&lt;"&amp;('Paramètres'!$AA$7+1)))</f>
        <v/>
      </c>
      <c r="T23" s="68">
        <f>IF($A23="","",IF(P23=0,"-",(O23*'Paramètres'!$AA$8-Q23)/P23))</f>
        <v/>
      </c>
      <c r="U23" s="69">
        <f>IF($A23="","",IF(P23=0,"-",Q23/P23))</f>
        <v/>
      </c>
      <c r="V23" s="71">
        <f>IF($A23="","",IF(N(O23)*'Paramètres'!$AA$8=0,"-",MAX(0,1-R23/(O23*'Paramètres'!$AA$8))))</f>
        <v/>
      </c>
      <c r="W23" s="68">
        <f>IF($A23="","",_xlfn.MAXIFS('Relevés compteurs'!$D$5:$D$1504,'Relevés compteurs'!$B$5:$B$1504,$A23))</f>
        <v/>
      </c>
      <c r="X23" s="69">
        <f>IF(OR($A23="",I23=""),"",(TODAY()-I23)/365.25)</f>
        <v/>
      </c>
      <c r="Y23" s="70">
        <f>IF($A23="","",SUMIFS('Ordres de travail'!$AA$5:$AA$3004,'Ordres de travail'!$D$5:$D$3004,$A23))</f>
        <v/>
      </c>
      <c r="Z23" s="68">
        <f>IF($A23="","",SUM(COUNTIFS('Ordres de travail'!$D$5:$D$3004,$A23,'Ordres de travail'!$AC$5:$AC$3004,{"Demandé","Planifié","En cours","En attente pièces"})))</f>
        <v/>
      </c>
      <c r="AA23" s="9">
        <f>IF(OR($A23="",M23=""),"",IF(M23&lt;TODAY(),"Expirée",IF(M23-TODAY()&lt;='Paramètres'!$AA$15,"Expire bientôt","Sous garantie")))</f>
        <v/>
      </c>
      <c r="AB23" s="72">
        <f>IF($A23="",-1,N(R23)+ROW()/1000000)</f>
        <v/>
      </c>
    </row>
    <row r="24">
      <c r="A24" s="7" t="inlineStr">
        <is>
          <t>EQ-SOU-001</t>
        </is>
      </c>
      <c r="B24" s="7" t="inlineStr">
        <is>
          <t>Cellule robotisée de soudage</t>
        </is>
      </c>
      <c r="C24" s="7" t="inlineStr">
        <is>
          <t>ROBOT</t>
        </is>
      </c>
      <c r="D24" s="7" t="inlineStr">
        <is>
          <t>Soudure</t>
        </is>
      </c>
      <c r="E24" s="7" t="inlineStr">
        <is>
          <t>Cellule robot</t>
        </is>
      </c>
      <c r="F24" s="7" t="inlineStr">
        <is>
          <t>Fanuc</t>
        </is>
      </c>
      <c r="G24" s="7" t="inlineStr">
        <is>
          <t>ARC Mate 100iD</t>
        </is>
      </c>
      <c r="H24" s="7" t="inlineStr">
        <is>
          <t>FAN-2058723</t>
        </is>
      </c>
      <c r="I24" s="65" t="n">
        <v>44109</v>
      </c>
      <c r="J24" s="66" t="n">
        <v>185000</v>
      </c>
      <c r="K24" s="7" t="inlineStr">
        <is>
          <t>A</t>
        </is>
      </c>
      <c r="L24" s="7" t="inlineStr">
        <is>
          <t>En service</t>
        </is>
      </c>
      <c r="M24" s="65" t="n">
        <v>44839</v>
      </c>
      <c r="N24" s="7" t="inlineStr">
        <is>
          <t>Robotique Services Ouest</t>
        </is>
      </c>
      <c r="O24" s="67" t="n">
        <v>3800</v>
      </c>
      <c r="P24" s="68">
        <f>IF($A24="","",COUNTIFS('Ordres de travail'!$D$5:$D$3004,$A24,'Ordres de travail'!$H$5:$H$3004,"Correctif",'Ordres de travail'!$AC$5:$AC$3004,"&lt;&gt;Annulé",'Ordres de travail'!$B$5:$B$3004,"&gt;="&amp;'Paramètres'!$AA$6,'Ordres de travail'!$B$5:$B$3004,"&lt;"&amp;('Paramètres'!$AA$7+1)))</f>
        <v/>
      </c>
      <c r="Q24" s="69">
        <f>IF($A24="","",SUMIFS('Ordres de travail'!$S$5:$S$3004,'Ordres de travail'!$D$5:$D$3004,$A24,'Ordres de travail'!$H$5:$H$3004,"Correctif",'Ordres de travail'!$AC$5:$AC$3004,"&lt;&gt;Annulé",'Ordres de travail'!$B$5:$B$3004,"&gt;="&amp;'Paramètres'!$AA$6,'Ordres de travail'!$B$5:$B$3004,"&lt;"&amp;('Paramètres'!$AA$7+1)))</f>
        <v/>
      </c>
      <c r="R24" s="69">
        <f>IF($A24="","",SUMIFS('Ordres de travail'!$S$5:$S$3004,'Ordres de travail'!$D$5:$D$3004,$A24,'Ordres de travail'!$AC$5:$AC$3004,"&lt;&gt;Annulé",'Ordres de travail'!$B$5:$B$3004,"&gt;="&amp;'Paramètres'!$AA$6,'Ordres de travail'!$B$5:$B$3004,"&lt;"&amp;('Paramètres'!$AA$7+1)))</f>
        <v/>
      </c>
      <c r="S24" s="70">
        <f>IF($A24="","",SUMIFS('Ordres de travail'!$AA$5:$AA$3004,'Ordres de travail'!$D$5:$D$3004,$A24,'Ordres de travail'!$B$5:$B$3004,"&gt;="&amp;'Paramètres'!$AA$6,'Ordres de travail'!$B$5:$B$3004,"&lt;"&amp;('Paramètres'!$AA$7+1)))</f>
        <v/>
      </c>
      <c r="T24" s="68">
        <f>IF($A24="","",IF(P24=0,"-",(O24*'Paramètres'!$AA$8-Q24)/P24))</f>
        <v/>
      </c>
      <c r="U24" s="69">
        <f>IF($A24="","",IF(P24=0,"-",Q24/P24))</f>
        <v/>
      </c>
      <c r="V24" s="71">
        <f>IF($A24="","",IF(N(O24)*'Paramètres'!$AA$8=0,"-",MAX(0,1-R24/(O24*'Paramètres'!$AA$8))))</f>
        <v/>
      </c>
      <c r="W24" s="68">
        <f>IF($A24="","",_xlfn.MAXIFS('Relevés compteurs'!$D$5:$D$1504,'Relevés compteurs'!$B$5:$B$1504,$A24))</f>
        <v/>
      </c>
      <c r="X24" s="69">
        <f>IF(OR($A24="",I24=""),"",(TODAY()-I24)/365.25)</f>
        <v/>
      </c>
      <c r="Y24" s="70">
        <f>IF($A24="","",SUMIFS('Ordres de travail'!$AA$5:$AA$3004,'Ordres de travail'!$D$5:$D$3004,$A24))</f>
        <v/>
      </c>
      <c r="Z24" s="68">
        <f>IF($A24="","",SUM(COUNTIFS('Ordres de travail'!$D$5:$D$3004,$A24,'Ordres de travail'!$AC$5:$AC$3004,{"Demandé","Planifié","En cours","En attente pièces"})))</f>
        <v/>
      </c>
      <c r="AA24" s="9">
        <f>IF(OR($A24="",M24=""),"",IF(M24&lt;TODAY(),"Expirée",IF(M24-TODAY()&lt;='Paramètres'!$AA$15,"Expire bientôt","Sous garantie")))</f>
        <v/>
      </c>
      <c r="AB24" s="72">
        <f>IF($A24="",-1,N(R24)+ROW()/1000000)</f>
        <v/>
      </c>
    </row>
    <row r="25">
      <c r="A25" s="7" t="inlineStr">
        <is>
          <t>EQ-SOU-002</t>
        </is>
      </c>
      <c r="B25" s="7" t="inlineStr">
        <is>
          <t>Poste de soudage MIG/MAG n°1</t>
        </is>
      </c>
      <c r="C25" s="7" t="inlineStr">
        <is>
          <t>SOUDURE</t>
        </is>
      </c>
      <c r="D25" s="7" t="inlineStr">
        <is>
          <t>Soudure</t>
        </is>
      </c>
      <c r="E25" s="7" t="inlineStr">
        <is>
          <t>Postes manuels</t>
        </is>
      </c>
      <c r="F25" s="7" t="inlineStr">
        <is>
          <t>Lincoln Electric</t>
        </is>
      </c>
      <c r="G25" s="7" t="inlineStr">
        <is>
          <t>Powertec i420C</t>
        </is>
      </c>
      <c r="H25" s="7" t="inlineStr">
        <is>
          <t>LIN-1784183</t>
        </is>
      </c>
      <c r="I25" s="65" t="n">
        <v>42807</v>
      </c>
      <c r="J25" s="66" t="n">
        <v>6500</v>
      </c>
      <c r="K25" s="7" t="inlineStr">
        <is>
          <t>C</t>
        </is>
      </c>
      <c r="L25" s="7" t="inlineStr">
        <is>
          <t>En service</t>
        </is>
      </c>
      <c r="M25" s="65" t="n">
        <v>43537</v>
      </c>
      <c r="N25" s="7" t="inlineStr">
        <is>
          <t>Fournitures Industrielles Générales</t>
        </is>
      </c>
      <c r="O25" s="67" t="n">
        <v>3000</v>
      </c>
      <c r="P25" s="68">
        <f>IF($A25="","",COUNTIFS('Ordres de travail'!$D$5:$D$3004,$A25,'Ordres de travail'!$H$5:$H$3004,"Correctif",'Ordres de travail'!$AC$5:$AC$3004,"&lt;&gt;Annulé",'Ordres de travail'!$B$5:$B$3004,"&gt;="&amp;'Paramètres'!$AA$6,'Ordres de travail'!$B$5:$B$3004,"&lt;"&amp;('Paramètres'!$AA$7+1)))</f>
        <v/>
      </c>
      <c r="Q25" s="69">
        <f>IF($A25="","",SUMIFS('Ordres de travail'!$S$5:$S$3004,'Ordres de travail'!$D$5:$D$3004,$A25,'Ordres de travail'!$H$5:$H$3004,"Correctif",'Ordres de travail'!$AC$5:$AC$3004,"&lt;&gt;Annulé",'Ordres de travail'!$B$5:$B$3004,"&gt;="&amp;'Paramètres'!$AA$6,'Ordres de travail'!$B$5:$B$3004,"&lt;"&amp;('Paramètres'!$AA$7+1)))</f>
        <v/>
      </c>
      <c r="R25" s="69">
        <f>IF($A25="","",SUMIFS('Ordres de travail'!$S$5:$S$3004,'Ordres de travail'!$D$5:$D$3004,$A25,'Ordres de travail'!$AC$5:$AC$3004,"&lt;&gt;Annulé",'Ordres de travail'!$B$5:$B$3004,"&gt;="&amp;'Paramètres'!$AA$6,'Ordres de travail'!$B$5:$B$3004,"&lt;"&amp;('Paramètres'!$AA$7+1)))</f>
        <v/>
      </c>
      <c r="S25" s="70">
        <f>IF($A25="","",SUMIFS('Ordres de travail'!$AA$5:$AA$3004,'Ordres de travail'!$D$5:$D$3004,$A25,'Ordres de travail'!$B$5:$B$3004,"&gt;="&amp;'Paramètres'!$AA$6,'Ordres de travail'!$B$5:$B$3004,"&lt;"&amp;('Paramètres'!$AA$7+1)))</f>
        <v/>
      </c>
      <c r="T25" s="68">
        <f>IF($A25="","",IF(P25=0,"-",(O25*'Paramètres'!$AA$8-Q25)/P25))</f>
        <v/>
      </c>
      <c r="U25" s="69">
        <f>IF($A25="","",IF(P25=0,"-",Q25/P25))</f>
        <v/>
      </c>
      <c r="V25" s="71">
        <f>IF($A25="","",IF(N(O25)*'Paramètres'!$AA$8=0,"-",MAX(0,1-R25/(O25*'Paramètres'!$AA$8))))</f>
        <v/>
      </c>
      <c r="W25" s="68">
        <f>IF($A25="","",_xlfn.MAXIFS('Relevés compteurs'!$D$5:$D$1504,'Relevés compteurs'!$B$5:$B$1504,$A25))</f>
        <v/>
      </c>
      <c r="X25" s="69">
        <f>IF(OR($A25="",I25=""),"",(TODAY()-I25)/365.25)</f>
        <v/>
      </c>
      <c r="Y25" s="70">
        <f>IF($A25="","",SUMIFS('Ordres de travail'!$AA$5:$AA$3004,'Ordres de travail'!$D$5:$D$3004,$A25))</f>
        <v/>
      </c>
      <c r="Z25" s="68">
        <f>IF($A25="","",SUM(COUNTIFS('Ordres de travail'!$D$5:$D$3004,$A25,'Ordres de travail'!$AC$5:$AC$3004,{"Demandé","Planifié","En cours","En attente pièces"})))</f>
        <v/>
      </c>
      <c r="AA25" s="9">
        <f>IF(OR($A25="",M25=""),"",IF(M25&lt;TODAY(),"Expirée",IF(M25-TODAY()&lt;='Paramètres'!$AA$15,"Expire bientôt","Sous garantie")))</f>
        <v/>
      </c>
      <c r="AB25" s="72">
        <f>IF($A25="",-1,N(R25)+ROW()/1000000)</f>
        <v/>
      </c>
    </row>
    <row r="26">
      <c r="A26" s="7" t="inlineStr">
        <is>
          <t>EQ-SOU-003</t>
        </is>
      </c>
      <c r="B26" s="7" t="inlineStr">
        <is>
          <t>Poste de soudage MIG/MAG n°2</t>
        </is>
      </c>
      <c r="C26" s="7" t="inlineStr">
        <is>
          <t>SOUDURE</t>
        </is>
      </c>
      <c r="D26" s="7" t="inlineStr">
        <is>
          <t>Soudure</t>
        </is>
      </c>
      <c r="E26" s="7" t="inlineStr">
        <is>
          <t>Postes manuels</t>
        </is>
      </c>
      <c r="F26" s="7" t="inlineStr">
        <is>
          <t>Lincoln Electric</t>
        </is>
      </c>
      <c r="G26" s="7" t="inlineStr">
        <is>
          <t>Powertec i420C</t>
        </is>
      </c>
      <c r="H26" s="7" t="inlineStr">
        <is>
          <t>LIN-1747038</t>
        </is>
      </c>
      <c r="I26" s="65" t="n">
        <v>42807</v>
      </c>
      <c r="J26" s="66" t="n">
        <v>6500</v>
      </c>
      <c r="K26" s="7" t="inlineStr">
        <is>
          <t>C</t>
        </is>
      </c>
      <c r="L26" s="7" t="inlineStr">
        <is>
          <t>En service</t>
        </is>
      </c>
      <c r="M26" s="65" t="n">
        <v>43537</v>
      </c>
      <c r="N26" s="7" t="inlineStr">
        <is>
          <t>Fournitures Industrielles Générales</t>
        </is>
      </c>
      <c r="O26" s="67" t="n">
        <v>3000</v>
      </c>
      <c r="P26" s="68">
        <f>IF($A26="","",COUNTIFS('Ordres de travail'!$D$5:$D$3004,$A26,'Ordres de travail'!$H$5:$H$3004,"Correctif",'Ordres de travail'!$AC$5:$AC$3004,"&lt;&gt;Annulé",'Ordres de travail'!$B$5:$B$3004,"&gt;="&amp;'Paramètres'!$AA$6,'Ordres de travail'!$B$5:$B$3004,"&lt;"&amp;('Paramètres'!$AA$7+1)))</f>
        <v/>
      </c>
      <c r="Q26" s="69">
        <f>IF($A26="","",SUMIFS('Ordres de travail'!$S$5:$S$3004,'Ordres de travail'!$D$5:$D$3004,$A26,'Ordres de travail'!$H$5:$H$3004,"Correctif",'Ordres de travail'!$AC$5:$AC$3004,"&lt;&gt;Annulé",'Ordres de travail'!$B$5:$B$3004,"&gt;="&amp;'Paramètres'!$AA$6,'Ordres de travail'!$B$5:$B$3004,"&lt;"&amp;('Paramètres'!$AA$7+1)))</f>
        <v/>
      </c>
      <c r="R26" s="69">
        <f>IF($A26="","",SUMIFS('Ordres de travail'!$S$5:$S$3004,'Ordres de travail'!$D$5:$D$3004,$A26,'Ordres de travail'!$AC$5:$AC$3004,"&lt;&gt;Annulé",'Ordres de travail'!$B$5:$B$3004,"&gt;="&amp;'Paramètres'!$AA$6,'Ordres de travail'!$B$5:$B$3004,"&lt;"&amp;('Paramètres'!$AA$7+1)))</f>
        <v/>
      </c>
      <c r="S26" s="70">
        <f>IF($A26="","",SUMIFS('Ordres de travail'!$AA$5:$AA$3004,'Ordres de travail'!$D$5:$D$3004,$A26,'Ordres de travail'!$B$5:$B$3004,"&gt;="&amp;'Paramètres'!$AA$6,'Ordres de travail'!$B$5:$B$3004,"&lt;"&amp;('Paramètres'!$AA$7+1)))</f>
        <v/>
      </c>
      <c r="T26" s="68">
        <f>IF($A26="","",IF(P26=0,"-",(O26*'Paramètres'!$AA$8-Q26)/P26))</f>
        <v/>
      </c>
      <c r="U26" s="69">
        <f>IF($A26="","",IF(P26=0,"-",Q26/P26))</f>
        <v/>
      </c>
      <c r="V26" s="71">
        <f>IF($A26="","",IF(N(O26)*'Paramètres'!$AA$8=0,"-",MAX(0,1-R26/(O26*'Paramètres'!$AA$8))))</f>
        <v/>
      </c>
      <c r="W26" s="68">
        <f>IF($A26="","",_xlfn.MAXIFS('Relevés compteurs'!$D$5:$D$1504,'Relevés compteurs'!$B$5:$B$1504,$A26))</f>
        <v/>
      </c>
      <c r="X26" s="69">
        <f>IF(OR($A26="",I26=""),"",(TODAY()-I26)/365.25)</f>
        <v/>
      </c>
      <c r="Y26" s="70">
        <f>IF($A26="","",SUMIFS('Ordres de travail'!$AA$5:$AA$3004,'Ordres de travail'!$D$5:$D$3004,$A26))</f>
        <v/>
      </c>
      <c r="Z26" s="68">
        <f>IF($A26="","",SUM(COUNTIFS('Ordres de travail'!$D$5:$D$3004,$A26,'Ordres de travail'!$AC$5:$AC$3004,{"Demandé","Planifié","En cours","En attente pièces"})))</f>
        <v/>
      </c>
      <c r="AA26" s="9">
        <f>IF(OR($A26="",M26=""),"",IF(M26&lt;TODAY(),"Expirée",IF(M26-TODAY()&lt;='Paramètres'!$AA$15,"Expire bientôt","Sous garantie")))</f>
        <v/>
      </c>
      <c r="AB26" s="72">
        <f>IF($A26="",-1,N(R26)+ROW()/1000000)</f>
        <v/>
      </c>
    </row>
    <row r="27">
      <c r="A27" s="7" t="inlineStr">
        <is>
          <t>EQ-SOU-004</t>
        </is>
      </c>
      <c r="B27" s="7" t="inlineStr">
        <is>
          <t>Poste de soudage TIG</t>
        </is>
      </c>
      <c r="C27" s="7" t="inlineStr">
        <is>
          <t>SOUDURE</t>
        </is>
      </c>
      <c r="D27" s="7" t="inlineStr">
        <is>
          <t>Soudure</t>
        </is>
      </c>
      <c r="E27" s="7" t="inlineStr">
        <is>
          <t>Postes manuels</t>
        </is>
      </c>
      <c r="F27" s="7" t="inlineStr">
        <is>
          <t>Fronius</t>
        </is>
      </c>
      <c r="G27" s="7" t="inlineStr">
        <is>
          <t>MagicWave 230i</t>
        </is>
      </c>
      <c r="H27" s="7" t="inlineStr">
        <is>
          <t>FRO-1952352</t>
        </is>
      </c>
      <c r="I27" s="65" t="n">
        <v>43486</v>
      </c>
      <c r="J27" s="66" t="n">
        <v>7800</v>
      </c>
      <c r="K27" s="7" t="inlineStr">
        <is>
          <t>C</t>
        </is>
      </c>
      <c r="L27" s="7" t="inlineStr">
        <is>
          <t>En service</t>
        </is>
      </c>
      <c r="M27" s="65" t="n">
        <v>44217</v>
      </c>
      <c r="N27" s="7" t="inlineStr">
        <is>
          <t>Fournitures Industrielles Générales</t>
        </is>
      </c>
      <c r="O27" s="67" t="n">
        <v>2000</v>
      </c>
      <c r="P27" s="68">
        <f>IF($A27="","",COUNTIFS('Ordres de travail'!$D$5:$D$3004,$A27,'Ordres de travail'!$H$5:$H$3004,"Correctif",'Ordres de travail'!$AC$5:$AC$3004,"&lt;&gt;Annulé",'Ordres de travail'!$B$5:$B$3004,"&gt;="&amp;'Paramètres'!$AA$6,'Ordres de travail'!$B$5:$B$3004,"&lt;"&amp;('Paramètres'!$AA$7+1)))</f>
        <v/>
      </c>
      <c r="Q27" s="69">
        <f>IF($A27="","",SUMIFS('Ordres de travail'!$S$5:$S$3004,'Ordres de travail'!$D$5:$D$3004,$A27,'Ordres de travail'!$H$5:$H$3004,"Correctif",'Ordres de travail'!$AC$5:$AC$3004,"&lt;&gt;Annulé",'Ordres de travail'!$B$5:$B$3004,"&gt;="&amp;'Paramètres'!$AA$6,'Ordres de travail'!$B$5:$B$3004,"&lt;"&amp;('Paramètres'!$AA$7+1)))</f>
        <v/>
      </c>
      <c r="R27" s="69">
        <f>IF($A27="","",SUMIFS('Ordres de travail'!$S$5:$S$3004,'Ordres de travail'!$D$5:$D$3004,$A27,'Ordres de travail'!$AC$5:$AC$3004,"&lt;&gt;Annulé",'Ordres de travail'!$B$5:$B$3004,"&gt;="&amp;'Paramètres'!$AA$6,'Ordres de travail'!$B$5:$B$3004,"&lt;"&amp;('Paramètres'!$AA$7+1)))</f>
        <v/>
      </c>
      <c r="S27" s="70">
        <f>IF($A27="","",SUMIFS('Ordres de travail'!$AA$5:$AA$3004,'Ordres de travail'!$D$5:$D$3004,$A27,'Ordres de travail'!$B$5:$B$3004,"&gt;="&amp;'Paramètres'!$AA$6,'Ordres de travail'!$B$5:$B$3004,"&lt;"&amp;('Paramètres'!$AA$7+1)))</f>
        <v/>
      </c>
      <c r="T27" s="68">
        <f>IF($A27="","",IF(P27=0,"-",(O27*'Paramètres'!$AA$8-Q27)/P27))</f>
        <v/>
      </c>
      <c r="U27" s="69">
        <f>IF($A27="","",IF(P27=0,"-",Q27/P27))</f>
        <v/>
      </c>
      <c r="V27" s="71">
        <f>IF($A27="","",IF(N(O27)*'Paramètres'!$AA$8=0,"-",MAX(0,1-R27/(O27*'Paramètres'!$AA$8))))</f>
        <v/>
      </c>
      <c r="W27" s="68">
        <f>IF($A27="","",_xlfn.MAXIFS('Relevés compteurs'!$D$5:$D$1504,'Relevés compteurs'!$B$5:$B$1504,$A27))</f>
        <v/>
      </c>
      <c r="X27" s="69">
        <f>IF(OR($A27="",I27=""),"",(TODAY()-I27)/365.25)</f>
        <v/>
      </c>
      <c r="Y27" s="70">
        <f>IF($A27="","",SUMIFS('Ordres de travail'!$AA$5:$AA$3004,'Ordres de travail'!$D$5:$D$3004,$A27))</f>
        <v/>
      </c>
      <c r="Z27" s="68">
        <f>IF($A27="","",SUM(COUNTIFS('Ordres de travail'!$D$5:$D$3004,$A27,'Ordres de travail'!$AC$5:$AC$3004,{"Demandé","Planifié","En cours","En attente pièces"})))</f>
        <v/>
      </c>
      <c r="AA27" s="9">
        <f>IF(OR($A27="",M27=""),"",IF(M27&lt;TODAY(),"Expirée",IF(M27-TODAY()&lt;='Paramètres'!$AA$15,"Expire bientôt","Sous garantie")))</f>
        <v/>
      </c>
      <c r="AB27" s="72">
        <f>IF($A27="",-1,N(R27)+ROW()/1000000)</f>
        <v/>
      </c>
    </row>
    <row r="28">
      <c r="A28" s="7" t="inlineStr">
        <is>
          <t>EQ-SOU-005</t>
        </is>
      </c>
      <c r="B28" s="7" t="inlineStr">
        <is>
          <t>Aspiration centralisée des fumées</t>
        </is>
      </c>
      <c r="C28" s="7" t="inlineStr">
        <is>
          <t>CVC</t>
        </is>
      </c>
      <c r="D28" s="7" t="inlineStr">
        <is>
          <t>Soudure</t>
        </is>
      </c>
      <c r="E28" s="7" t="inlineStr">
        <is>
          <t>Réseau aspiration</t>
        </is>
      </c>
      <c r="F28" s="7" t="inlineStr">
        <is>
          <t>Kemper</t>
        </is>
      </c>
      <c r="G28" s="7" t="inlineStr">
        <is>
          <t>System 8000</t>
        </is>
      </c>
      <c r="H28" s="7" t="inlineStr">
        <is>
          <t>KEM-1610700</t>
        </is>
      </c>
      <c r="I28" s="65" t="n">
        <v>42611</v>
      </c>
      <c r="J28" s="66" t="n">
        <v>38000</v>
      </c>
      <c r="K28" s="7" t="inlineStr">
        <is>
          <t>B</t>
        </is>
      </c>
      <c r="L28" s="7" t="inlineStr">
        <is>
          <t>En service</t>
        </is>
      </c>
      <c r="M28" s="65" t="n">
        <v>43341</v>
      </c>
      <c r="N28" s="7" t="inlineStr">
        <is>
          <t>Thermique &amp; Clim Services</t>
        </is>
      </c>
      <c r="O28" s="67" t="n">
        <v>3800</v>
      </c>
      <c r="P28" s="68">
        <f>IF($A28="","",COUNTIFS('Ordres de travail'!$D$5:$D$3004,$A28,'Ordres de travail'!$H$5:$H$3004,"Correctif",'Ordres de travail'!$AC$5:$AC$3004,"&lt;&gt;Annulé",'Ordres de travail'!$B$5:$B$3004,"&gt;="&amp;'Paramètres'!$AA$6,'Ordres de travail'!$B$5:$B$3004,"&lt;"&amp;('Paramètres'!$AA$7+1)))</f>
        <v/>
      </c>
      <c r="Q28" s="69">
        <f>IF($A28="","",SUMIFS('Ordres de travail'!$S$5:$S$3004,'Ordres de travail'!$D$5:$D$3004,$A28,'Ordres de travail'!$H$5:$H$3004,"Correctif",'Ordres de travail'!$AC$5:$AC$3004,"&lt;&gt;Annulé",'Ordres de travail'!$B$5:$B$3004,"&gt;="&amp;'Paramètres'!$AA$6,'Ordres de travail'!$B$5:$B$3004,"&lt;"&amp;('Paramètres'!$AA$7+1)))</f>
        <v/>
      </c>
      <c r="R28" s="69">
        <f>IF($A28="","",SUMIFS('Ordres de travail'!$S$5:$S$3004,'Ordres de travail'!$D$5:$D$3004,$A28,'Ordres de travail'!$AC$5:$AC$3004,"&lt;&gt;Annulé",'Ordres de travail'!$B$5:$B$3004,"&gt;="&amp;'Paramètres'!$AA$6,'Ordres de travail'!$B$5:$B$3004,"&lt;"&amp;('Paramètres'!$AA$7+1)))</f>
        <v/>
      </c>
      <c r="S28" s="70">
        <f>IF($A28="","",SUMIFS('Ordres de travail'!$AA$5:$AA$3004,'Ordres de travail'!$D$5:$D$3004,$A28,'Ordres de travail'!$B$5:$B$3004,"&gt;="&amp;'Paramètres'!$AA$6,'Ordres de travail'!$B$5:$B$3004,"&lt;"&amp;('Paramètres'!$AA$7+1)))</f>
        <v/>
      </c>
      <c r="T28" s="68">
        <f>IF($A28="","",IF(P28=0,"-",(O28*'Paramètres'!$AA$8-Q28)/P28))</f>
        <v/>
      </c>
      <c r="U28" s="69">
        <f>IF($A28="","",IF(P28=0,"-",Q28/P28))</f>
        <v/>
      </c>
      <c r="V28" s="71">
        <f>IF($A28="","",IF(N(O28)*'Paramètres'!$AA$8=0,"-",MAX(0,1-R28/(O28*'Paramètres'!$AA$8))))</f>
        <v/>
      </c>
      <c r="W28" s="68">
        <f>IF($A28="","",_xlfn.MAXIFS('Relevés compteurs'!$D$5:$D$1504,'Relevés compteurs'!$B$5:$B$1504,$A28))</f>
        <v/>
      </c>
      <c r="X28" s="69">
        <f>IF(OR($A28="",I28=""),"",(TODAY()-I28)/365.25)</f>
        <v/>
      </c>
      <c r="Y28" s="70">
        <f>IF($A28="","",SUMIFS('Ordres de travail'!$AA$5:$AA$3004,'Ordres de travail'!$D$5:$D$3004,$A28))</f>
        <v/>
      </c>
      <c r="Z28" s="68">
        <f>IF($A28="","",SUM(COUNTIFS('Ordres de travail'!$D$5:$D$3004,$A28,'Ordres de travail'!$AC$5:$AC$3004,{"Demandé","Planifié","En cours","En attente pièces"})))</f>
        <v/>
      </c>
      <c r="AA28" s="9">
        <f>IF(OR($A28="",M28=""),"",IF(M28&lt;TODAY(),"Expirée",IF(M28-TODAY()&lt;='Paramètres'!$AA$15,"Expire bientôt","Sous garantie")))</f>
        <v/>
      </c>
      <c r="AB28" s="72">
        <f>IF($A28="",-1,N(R28)+ROW()/1000000)</f>
        <v/>
      </c>
    </row>
    <row r="29">
      <c r="A29" s="7" t="inlineStr">
        <is>
          <t>EQ-PEI-001</t>
        </is>
      </c>
      <c r="B29" s="7" t="inlineStr">
        <is>
          <t>Tunnel de prétraitement (dégraissage)</t>
        </is>
      </c>
      <c r="C29" s="7" t="inlineStr">
        <is>
          <t>PEINTURE</t>
        </is>
      </c>
      <c r="D29" s="7" t="inlineStr">
        <is>
          <t>Peinture</t>
        </is>
      </c>
      <c r="E29" s="7" t="inlineStr">
        <is>
          <t>Ligne poudre</t>
        </is>
      </c>
      <c r="F29" s="7" t="inlineStr">
        <is>
          <t>Surface Process</t>
        </is>
      </c>
      <c r="G29" s="7" t="inlineStr">
        <is>
          <t>TP-5 zones</t>
        </is>
      </c>
      <c r="H29" s="7" t="inlineStr">
        <is>
          <t>SUR-1315260</t>
        </is>
      </c>
      <c r="I29" s="65" t="n">
        <v>41519</v>
      </c>
      <c r="J29" s="66" t="n">
        <v>280000</v>
      </c>
      <c r="K29" s="7" t="inlineStr">
        <is>
          <t>A</t>
        </is>
      </c>
      <c r="L29" s="7" t="inlineStr">
        <is>
          <t>En service</t>
        </is>
      </c>
      <c r="M29" s="65" t="n">
        <v>42249</v>
      </c>
      <c r="N29" s="7" t="inlineStr">
        <is>
          <t>Surface Process Assistance</t>
        </is>
      </c>
      <c r="O29" s="67" t="n">
        <v>3600</v>
      </c>
      <c r="P29" s="68">
        <f>IF($A29="","",COUNTIFS('Ordres de travail'!$D$5:$D$3004,$A29,'Ordres de travail'!$H$5:$H$3004,"Correctif",'Ordres de travail'!$AC$5:$AC$3004,"&lt;&gt;Annulé",'Ordres de travail'!$B$5:$B$3004,"&gt;="&amp;'Paramètres'!$AA$6,'Ordres de travail'!$B$5:$B$3004,"&lt;"&amp;('Paramètres'!$AA$7+1)))</f>
        <v/>
      </c>
      <c r="Q29" s="69">
        <f>IF($A29="","",SUMIFS('Ordres de travail'!$S$5:$S$3004,'Ordres de travail'!$D$5:$D$3004,$A29,'Ordres de travail'!$H$5:$H$3004,"Correctif",'Ordres de travail'!$AC$5:$AC$3004,"&lt;&gt;Annulé",'Ordres de travail'!$B$5:$B$3004,"&gt;="&amp;'Paramètres'!$AA$6,'Ordres de travail'!$B$5:$B$3004,"&lt;"&amp;('Paramètres'!$AA$7+1)))</f>
        <v/>
      </c>
      <c r="R29" s="69">
        <f>IF($A29="","",SUMIFS('Ordres de travail'!$S$5:$S$3004,'Ordres de travail'!$D$5:$D$3004,$A29,'Ordres de travail'!$AC$5:$AC$3004,"&lt;&gt;Annulé",'Ordres de travail'!$B$5:$B$3004,"&gt;="&amp;'Paramètres'!$AA$6,'Ordres de travail'!$B$5:$B$3004,"&lt;"&amp;('Paramètres'!$AA$7+1)))</f>
        <v/>
      </c>
      <c r="S29" s="70">
        <f>IF($A29="","",SUMIFS('Ordres de travail'!$AA$5:$AA$3004,'Ordres de travail'!$D$5:$D$3004,$A29,'Ordres de travail'!$B$5:$B$3004,"&gt;="&amp;'Paramètres'!$AA$6,'Ordres de travail'!$B$5:$B$3004,"&lt;"&amp;('Paramètres'!$AA$7+1)))</f>
        <v/>
      </c>
      <c r="T29" s="68">
        <f>IF($A29="","",IF(P29=0,"-",(O29*'Paramètres'!$AA$8-Q29)/P29))</f>
        <v/>
      </c>
      <c r="U29" s="69">
        <f>IF($A29="","",IF(P29=0,"-",Q29/P29))</f>
        <v/>
      </c>
      <c r="V29" s="71">
        <f>IF($A29="","",IF(N(O29)*'Paramètres'!$AA$8=0,"-",MAX(0,1-R29/(O29*'Paramètres'!$AA$8))))</f>
        <v/>
      </c>
      <c r="W29" s="68">
        <f>IF($A29="","",_xlfn.MAXIFS('Relevés compteurs'!$D$5:$D$1504,'Relevés compteurs'!$B$5:$B$1504,$A29))</f>
        <v/>
      </c>
      <c r="X29" s="69">
        <f>IF(OR($A29="",I29=""),"",(TODAY()-I29)/365.25)</f>
        <v/>
      </c>
      <c r="Y29" s="70">
        <f>IF($A29="","",SUMIFS('Ordres de travail'!$AA$5:$AA$3004,'Ordres de travail'!$D$5:$D$3004,$A29))</f>
        <v/>
      </c>
      <c r="Z29" s="68">
        <f>IF($A29="","",SUM(COUNTIFS('Ordres de travail'!$D$5:$D$3004,$A29,'Ordres de travail'!$AC$5:$AC$3004,{"Demandé","Planifié","En cours","En attente pièces"})))</f>
        <v/>
      </c>
      <c r="AA29" s="9">
        <f>IF(OR($A29="",M29=""),"",IF(M29&lt;TODAY(),"Expirée",IF(M29-TODAY()&lt;='Paramètres'!$AA$15,"Expire bientôt","Sous garantie")))</f>
        <v/>
      </c>
      <c r="AB29" s="72">
        <f>IF($A29="",-1,N(R29)+ROW()/1000000)</f>
        <v/>
      </c>
    </row>
    <row r="30">
      <c r="A30" s="7" t="inlineStr">
        <is>
          <t>EQ-PEI-002</t>
        </is>
      </c>
      <c r="B30" s="7" t="inlineStr">
        <is>
          <t>Cabine de poudrage automatique</t>
        </is>
      </c>
      <c r="C30" s="7" t="inlineStr">
        <is>
          <t>PEINTURE</t>
        </is>
      </c>
      <c r="D30" s="7" t="inlineStr">
        <is>
          <t>Peinture</t>
        </is>
      </c>
      <c r="E30" s="7" t="inlineStr">
        <is>
          <t>Ligne poudre</t>
        </is>
      </c>
      <c r="F30" s="7" t="inlineStr">
        <is>
          <t>Gema</t>
        </is>
      </c>
      <c r="G30" s="7" t="inlineStr">
        <is>
          <t>MagicCompact BA04</t>
        </is>
      </c>
      <c r="H30" s="7" t="inlineStr">
        <is>
          <t>GEM-1329709</t>
        </is>
      </c>
      <c r="I30" s="65" t="n">
        <v>41519</v>
      </c>
      <c r="J30" s="66" t="n">
        <v>195000</v>
      </c>
      <c r="K30" s="7" t="inlineStr">
        <is>
          <t>A</t>
        </is>
      </c>
      <c r="L30" s="7" t="inlineStr">
        <is>
          <t>En service</t>
        </is>
      </c>
      <c r="M30" s="65" t="n">
        <v>42249</v>
      </c>
      <c r="N30" s="7" t="inlineStr">
        <is>
          <t>Surface Process Assistance</t>
        </is>
      </c>
      <c r="O30" s="67" t="n">
        <v>3600</v>
      </c>
      <c r="P30" s="68">
        <f>IF($A30="","",COUNTIFS('Ordres de travail'!$D$5:$D$3004,$A30,'Ordres de travail'!$H$5:$H$3004,"Correctif",'Ordres de travail'!$AC$5:$AC$3004,"&lt;&gt;Annulé",'Ordres de travail'!$B$5:$B$3004,"&gt;="&amp;'Paramètres'!$AA$6,'Ordres de travail'!$B$5:$B$3004,"&lt;"&amp;('Paramètres'!$AA$7+1)))</f>
        <v/>
      </c>
      <c r="Q30" s="69">
        <f>IF($A30="","",SUMIFS('Ordres de travail'!$S$5:$S$3004,'Ordres de travail'!$D$5:$D$3004,$A30,'Ordres de travail'!$H$5:$H$3004,"Correctif",'Ordres de travail'!$AC$5:$AC$3004,"&lt;&gt;Annulé",'Ordres de travail'!$B$5:$B$3004,"&gt;="&amp;'Paramètres'!$AA$6,'Ordres de travail'!$B$5:$B$3004,"&lt;"&amp;('Paramètres'!$AA$7+1)))</f>
        <v/>
      </c>
      <c r="R30" s="69">
        <f>IF($A30="","",SUMIFS('Ordres de travail'!$S$5:$S$3004,'Ordres de travail'!$D$5:$D$3004,$A30,'Ordres de travail'!$AC$5:$AC$3004,"&lt;&gt;Annulé",'Ordres de travail'!$B$5:$B$3004,"&gt;="&amp;'Paramètres'!$AA$6,'Ordres de travail'!$B$5:$B$3004,"&lt;"&amp;('Paramètres'!$AA$7+1)))</f>
        <v/>
      </c>
      <c r="S30" s="70">
        <f>IF($A30="","",SUMIFS('Ordres de travail'!$AA$5:$AA$3004,'Ordres de travail'!$D$5:$D$3004,$A30,'Ordres de travail'!$B$5:$B$3004,"&gt;="&amp;'Paramètres'!$AA$6,'Ordres de travail'!$B$5:$B$3004,"&lt;"&amp;('Paramètres'!$AA$7+1)))</f>
        <v/>
      </c>
      <c r="T30" s="68">
        <f>IF($A30="","",IF(P30=0,"-",(O30*'Paramètres'!$AA$8-Q30)/P30))</f>
        <v/>
      </c>
      <c r="U30" s="69">
        <f>IF($A30="","",IF(P30=0,"-",Q30/P30))</f>
        <v/>
      </c>
      <c r="V30" s="71">
        <f>IF($A30="","",IF(N(O30)*'Paramètres'!$AA$8=0,"-",MAX(0,1-R30/(O30*'Paramètres'!$AA$8))))</f>
        <v/>
      </c>
      <c r="W30" s="68">
        <f>IF($A30="","",_xlfn.MAXIFS('Relevés compteurs'!$D$5:$D$1504,'Relevés compteurs'!$B$5:$B$1504,$A30))</f>
        <v/>
      </c>
      <c r="X30" s="69">
        <f>IF(OR($A30="",I30=""),"",(TODAY()-I30)/365.25)</f>
        <v/>
      </c>
      <c r="Y30" s="70">
        <f>IF($A30="","",SUMIFS('Ordres de travail'!$AA$5:$AA$3004,'Ordres de travail'!$D$5:$D$3004,$A30))</f>
        <v/>
      </c>
      <c r="Z30" s="68">
        <f>IF($A30="","",SUM(COUNTIFS('Ordres de travail'!$D$5:$D$3004,$A30,'Ordres de travail'!$AC$5:$AC$3004,{"Demandé","Planifié","En cours","En attente pièces"})))</f>
        <v/>
      </c>
      <c r="AA30" s="9">
        <f>IF(OR($A30="",M30=""),"",IF(M30&lt;TODAY(),"Expirée",IF(M30-TODAY()&lt;='Paramètres'!$AA$15,"Expire bientôt","Sous garantie")))</f>
        <v/>
      </c>
      <c r="AB30" s="72">
        <f>IF($A30="",-1,N(R30)+ROW()/1000000)</f>
        <v/>
      </c>
    </row>
    <row r="31">
      <c r="A31" s="7" t="inlineStr">
        <is>
          <t>EQ-PEI-003</t>
        </is>
      </c>
      <c r="B31" s="7" t="inlineStr">
        <is>
          <t>Four de polymérisation gaz</t>
        </is>
      </c>
      <c r="C31" s="7" t="inlineStr">
        <is>
          <t>PEINTURE</t>
        </is>
      </c>
      <c r="D31" s="7" t="inlineStr">
        <is>
          <t>Peinture</t>
        </is>
      </c>
      <c r="E31" s="7" t="inlineStr">
        <is>
          <t>Ligne poudre</t>
        </is>
      </c>
      <c r="F31" s="7" t="inlineStr">
        <is>
          <t>Surface Process</t>
        </is>
      </c>
      <c r="G31" s="7" t="inlineStr">
        <is>
          <t>FP-220</t>
        </is>
      </c>
      <c r="H31" s="7" t="inlineStr">
        <is>
          <t>SUR-1383390</t>
        </is>
      </c>
      <c r="I31" s="65" t="n">
        <v>41519</v>
      </c>
      <c r="J31" s="66" t="n">
        <v>160000</v>
      </c>
      <c r="K31" s="7" t="inlineStr">
        <is>
          <t>A</t>
        </is>
      </c>
      <c r="L31" s="7" t="inlineStr">
        <is>
          <t>En service</t>
        </is>
      </c>
      <c r="M31" s="65" t="n">
        <v>42249</v>
      </c>
      <c r="N31" s="7" t="inlineStr">
        <is>
          <t>Surface Process Assistance</t>
        </is>
      </c>
      <c r="O31" s="67" t="n">
        <v>3600</v>
      </c>
      <c r="P31" s="68">
        <f>IF($A31="","",COUNTIFS('Ordres de travail'!$D$5:$D$3004,$A31,'Ordres de travail'!$H$5:$H$3004,"Correctif",'Ordres de travail'!$AC$5:$AC$3004,"&lt;&gt;Annulé",'Ordres de travail'!$B$5:$B$3004,"&gt;="&amp;'Paramètres'!$AA$6,'Ordres de travail'!$B$5:$B$3004,"&lt;"&amp;('Paramètres'!$AA$7+1)))</f>
        <v/>
      </c>
      <c r="Q31" s="69">
        <f>IF($A31="","",SUMIFS('Ordres de travail'!$S$5:$S$3004,'Ordres de travail'!$D$5:$D$3004,$A31,'Ordres de travail'!$H$5:$H$3004,"Correctif",'Ordres de travail'!$AC$5:$AC$3004,"&lt;&gt;Annulé",'Ordres de travail'!$B$5:$B$3004,"&gt;="&amp;'Paramètres'!$AA$6,'Ordres de travail'!$B$5:$B$3004,"&lt;"&amp;('Paramètres'!$AA$7+1)))</f>
        <v/>
      </c>
      <c r="R31" s="69">
        <f>IF($A31="","",SUMIFS('Ordres de travail'!$S$5:$S$3004,'Ordres de travail'!$D$5:$D$3004,$A31,'Ordres de travail'!$AC$5:$AC$3004,"&lt;&gt;Annulé",'Ordres de travail'!$B$5:$B$3004,"&gt;="&amp;'Paramètres'!$AA$6,'Ordres de travail'!$B$5:$B$3004,"&lt;"&amp;('Paramètres'!$AA$7+1)))</f>
        <v/>
      </c>
      <c r="S31" s="70">
        <f>IF($A31="","",SUMIFS('Ordres de travail'!$AA$5:$AA$3004,'Ordres de travail'!$D$5:$D$3004,$A31,'Ordres de travail'!$B$5:$B$3004,"&gt;="&amp;'Paramètres'!$AA$6,'Ordres de travail'!$B$5:$B$3004,"&lt;"&amp;('Paramètres'!$AA$7+1)))</f>
        <v/>
      </c>
      <c r="T31" s="68">
        <f>IF($A31="","",IF(P31=0,"-",(O31*'Paramètres'!$AA$8-Q31)/P31))</f>
        <v/>
      </c>
      <c r="U31" s="69">
        <f>IF($A31="","",IF(P31=0,"-",Q31/P31))</f>
        <v/>
      </c>
      <c r="V31" s="71">
        <f>IF($A31="","",IF(N(O31)*'Paramètres'!$AA$8=0,"-",MAX(0,1-R31/(O31*'Paramètres'!$AA$8))))</f>
        <v/>
      </c>
      <c r="W31" s="68">
        <f>IF($A31="","",_xlfn.MAXIFS('Relevés compteurs'!$D$5:$D$1504,'Relevés compteurs'!$B$5:$B$1504,$A31))</f>
        <v/>
      </c>
      <c r="X31" s="69">
        <f>IF(OR($A31="",I31=""),"",(TODAY()-I31)/365.25)</f>
        <v/>
      </c>
      <c r="Y31" s="70">
        <f>IF($A31="","",SUMIFS('Ordres de travail'!$AA$5:$AA$3004,'Ordres de travail'!$D$5:$D$3004,$A31))</f>
        <v/>
      </c>
      <c r="Z31" s="68">
        <f>IF($A31="","",SUM(COUNTIFS('Ordres de travail'!$D$5:$D$3004,$A31,'Ordres de travail'!$AC$5:$AC$3004,{"Demandé","Planifié","En cours","En attente pièces"})))</f>
        <v/>
      </c>
      <c r="AA31" s="9">
        <f>IF(OR($A31="",M31=""),"",IF(M31&lt;TODAY(),"Expirée",IF(M31-TODAY()&lt;='Paramètres'!$AA$15,"Expire bientôt","Sous garantie")))</f>
        <v/>
      </c>
      <c r="AB31" s="72">
        <f>IF($A31="",-1,N(R31)+ROW()/1000000)</f>
        <v/>
      </c>
    </row>
    <row r="32">
      <c r="A32" s="7" t="inlineStr">
        <is>
          <t>EQ-PEI-004</t>
        </is>
      </c>
      <c r="B32" s="7" t="inlineStr">
        <is>
          <t>Convoyeur aérien bi-rail</t>
        </is>
      </c>
      <c r="C32" s="7" t="inlineStr">
        <is>
          <t>CONVOYEUR</t>
        </is>
      </c>
      <c r="D32" s="7" t="inlineStr">
        <is>
          <t>Peinture</t>
        </is>
      </c>
      <c r="E32" s="7" t="inlineStr">
        <is>
          <t>Ligne poudre</t>
        </is>
      </c>
      <c r="F32" s="7" t="inlineStr">
        <is>
          <t>Surface Process</t>
        </is>
      </c>
      <c r="G32" s="7" t="inlineStr">
        <is>
          <t>CAB-350</t>
        </is>
      </c>
      <c r="H32" s="7" t="inlineStr">
        <is>
          <t>SUR-1374472</t>
        </is>
      </c>
      <c r="I32" s="65" t="n">
        <v>41519</v>
      </c>
      <c r="J32" s="66" t="n">
        <v>120000</v>
      </c>
      <c r="K32" s="7" t="inlineStr">
        <is>
          <t>A</t>
        </is>
      </c>
      <c r="L32" s="7" t="inlineStr">
        <is>
          <t>En service</t>
        </is>
      </c>
      <c r="M32" s="65" t="n">
        <v>42249</v>
      </c>
      <c r="N32" s="7" t="inlineStr">
        <is>
          <t>Surface Process Assistance</t>
        </is>
      </c>
      <c r="O32" s="67" t="n">
        <v>3600</v>
      </c>
      <c r="P32" s="68">
        <f>IF($A32="","",COUNTIFS('Ordres de travail'!$D$5:$D$3004,$A32,'Ordres de travail'!$H$5:$H$3004,"Correctif",'Ordres de travail'!$AC$5:$AC$3004,"&lt;&gt;Annulé",'Ordres de travail'!$B$5:$B$3004,"&gt;="&amp;'Paramètres'!$AA$6,'Ordres de travail'!$B$5:$B$3004,"&lt;"&amp;('Paramètres'!$AA$7+1)))</f>
        <v/>
      </c>
      <c r="Q32" s="69">
        <f>IF($A32="","",SUMIFS('Ordres de travail'!$S$5:$S$3004,'Ordres de travail'!$D$5:$D$3004,$A32,'Ordres de travail'!$H$5:$H$3004,"Correctif",'Ordres de travail'!$AC$5:$AC$3004,"&lt;&gt;Annulé",'Ordres de travail'!$B$5:$B$3004,"&gt;="&amp;'Paramètres'!$AA$6,'Ordres de travail'!$B$5:$B$3004,"&lt;"&amp;('Paramètres'!$AA$7+1)))</f>
        <v/>
      </c>
      <c r="R32" s="69">
        <f>IF($A32="","",SUMIFS('Ordres de travail'!$S$5:$S$3004,'Ordres de travail'!$D$5:$D$3004,$A32,'Ordres de travail'!$AC$5:$AC$3004,"&lt;&gt;Annulé",'Ordres de travail'!$B$5:$B$3004,"&gt;="&amp;'Paramètres'!$AA$6,'Ordres de travail'!$B$5:$B$3004,"&lt;"&amp;('Paramètres'!$AA$7+1)))</f>
        <v/>
      </c>
      <c r="S32" s="70">
        <f>IF($A32="","",SUMIFS('Ordres de travail'!$AA$5:$AA$3004,'Ordres de travail'!$D$5:$D$3004,$A32,'Ordres de travail'!$B$5:$B$3004,"&gt;="&amp;'Paramètres'!$AA$6,'Ordres de travail'!$B$5:$B$3004,"&lt;"&amp;('Paramètres'!$AA$7+1)))</f>
        <v/>
      </c>
      <c r="T32" s="68">
        <f>IF($A32="","",IF(P32=0,"-",(O32*'Paramètres'!$AA$8-Q32)/P32))</f>
        <v/>
      </c>
      <c r="U32" s="69">
        <f>IF($A32="","",IF(P32=0,"-",Q32/P32))</f>
        <v/>
      </c>
      <c r="V32" s="71">
        <f>IF($A32="","",IF(N(O32)*'Paramètres'!$AA$8=0,"-",MAX(0,1-R32/(O32*'Paramètres'!$AA$8))))</f>
        <v/>
      </c>
      <c r="W32" s="68">
        <f>IF($A32="","",_xlfn.MAXIFS('Relevés compteurs'!$D$5:$D$1504,'Relevés compteurs'!$B$5:$B$1504,$A32))</f>
        <v/>
      </c>
      <c r="X32" s="69">
        <f>IF(OR($A32="",I32=""),"",(TODAY()-I32)/365.25)</f>
        <v/>
      </c>
      <c r="Y32" s="70">
        <f>IF($A32="","",SUMIFS('Ordres de travail'!$AA$5:$AA$3004,'Ordres de travail'!$D$5:$D$3004,$A32))</f>
        <v/>
      </c>
      <c r="Z32" s="68">
        <f>IF($A32="","",SUM(COUNTIFS('Ordres de travail'!$D$5:$D$3004,$A32,'Ordres de travail'!$AC$5:$AC$3004,{"Demandé","Planifié","En cours","En attente pièces"})))</f>
        <v/>
      </c>
      <c r="AA32" s="9">
        <f>IF(OR($A32="",M32=""),"",IF(M32&lt;TODAY(),"Expirée",IF(M32-TODAY()&lt;='Paramètres'!$AA$15,"Expire bientôt","Sous garantie")))</f>
        <v/>
      </c>
      <c r="AB32" s="72">
        <f>IF($A32="",-1,N(R32)+ROW()/1000000)</f>
        <v/>
      </c>
    </row>
    <row r="33">
      <c r="A33" s="7" t="inlineStr">
        <is>
          <t>EQ-PEI-005</t>
        </is>
      </c>
      <c r="B33" s="7" t="inlineStr">
        <is>
          <t>Cabine de retouche peinture liquide</t>
        </is>
      </c>
      <c r="C33" s="7" t="inlineStr">
        <is>
          <t>PEINTURE</t>
        </is>
      </c>
      <c r="D33" s="7" t="inlineStr">
        <is>
          <t>Peinture</t>
        </is>
      </c>
      <c r="E33" s="7" t="inlineStr">
        <is>
          <t>Retouche</t>
        </is>
      </c>
      <c r="F33" s="7" t="inlineStr">
        <is>
          <t>Surface Process</t>
        </is>
      </c>
      <c r="G33" s="7" t="inlineStr">
        <is>
          <t>CR-40</t>
        </is>
      </c>
      <c r="H33" s="7" t="inlineStr">
        <is>
          <t>SUR-0852437</t>
        </is>
      </c>
      <c r="I33" s="65" t="n">
        <v>39496</v>
      </c>
      <c r="J33" s="66" t="n">
        <v>35000</v>
      </c>
      <c r="K33" s="7" t="inlineStr">
        <is>
          <t>C</t>
        </is>
      </c>
      <c r="L33" s="7" t="inlineStr">
        <is>
          <t>En service</t>
        </is>
      </c>
      <c r="M33" s="65" t="n">
        <v>40227</v>
      </c>
      <c r="N33" s="7" t="inlineStr">
        <is>
          <t>Surface Process Assistance</t>
        </is>
      </c>
      <c r="O33" s="67" t="n">
        <v>1500</v>
      </c>
      <c r="P33" s="68">
        <f>IF($A33="","",COUNTIFS('Ordres de travail'!$D$5:$D$3004,$A33,'Ordres de travail'!$H$5:$H$3004,"Correctif",'Ordres de travail'!$AC$5:$AC$3004,"&lt;&gt;Annulé",'Ordres de travail'!$B$5:$B$3004,"&gt;="&amp;'Paramètres'!$AA$6,'Ordres de travail'!$B$5:$B$3004,"&lt;"&amp;('Paramètres'!$AA$7+1)))</f>
        <v/>
      </c>
      <c r="Q33" s="69">
        <f>IF($A33="","",SUMIFS('Ordres de travail'!$S$5:$S$3004,'Ordres de travail'!$D$5:$D$3004,$A33,'Ordres de travail'!$H$5:$H$3004,"Correctif",'Ordres de travail'!$AC$5:$AC$3004,"&lt;&gt;Annulé",'Ordres de travail'!$B$5:$B$3004,"&gt;="&amp;'Paramètres'!$AA$6,'Ordres de travail'!$B$5:$B$3004,"&lt;"&amp;('Paramètres'!$AA$7+1)))</f>
        <v/>
      </c>
      <c r="R33" s="69">
        <f>IF($A33="","",SUMIFS('Ordres de travail'!$S$5:$S$3004,'Ordres de travail'!$D$5:$D$3004,$A33,'Ordres de travail'!$AC$5:$AC$3004,"&lt;&gt;Annulé",'Ordres de travail'!$B$5:$B$3004,"&gt;="&amp;'Paramètres'!$AA$6,'Ordres de travail'!$B$5:$B$3004,"&lt;"&amp;('Paramètres'!$AA$7+1)))</f>
        <v/>
      </c>
      <c r="S33" s="70">
        <f>IF($A33="","",SUMIFS('Ordres de travail'!$AA$5:$AA$3004,'Ordres de travail'!$D$5:$D$3004,$A33,'Ordres de travail'!$B$5:$B$3004,"&gt;="&amp;'Paramètres'!$AA$6,'Ordres de travail'!$B$5:$B$3004,"&lt;"&amp;('Paramètres'!$AA$7+1)))</f>
        <v/>
      </c>
      <c r="T33" s="68">
        <f>IF($A33="","",IF(P33=0,"-",(O33*'Paramètres'!$AA$8-Q33)/P33))</f>
        <v/>
      </c>
      <c r="U33" s="69">
        <f>IF($A33="","",IF(P33=0,"-",Q33/P33))</f>
        <v/>
      </c>
      <c r="V33" s="71">
        <f>IF($A33="","",IF(N(O33)*'Paramètres'!$AA$8=0,"-",MAX(0,1-R33/(O33*'Paramètres'!$AA$8))))</f>
        <v/>
      </c>
      <c r="W33" s="68">
        <f>IF($A33="","",_xlfn.MAXIFS('Relevés compteurs'!$D$5:$D$1504,'Relevés compteurs'!$B$5:$B$1504,$A33))</f>
        <v/>
      </c>
      <c r="X33" s="69">
        <f>IF(OR($A33="",I33=""),"",(TODAY()-I33)/365.25)</f>
        <v/>
      </c>
      <c r="Y33" s="70">
        <f>IF($A33="","",SUMIFS('Ordres de travail'!$AA$5:$AA$3004,'Ordres de travail'!$D$5:$D$3004,$A33))</f>
        <v/>
      </c>
      <c r="Z33" s="68">
        <f>IF($A33="","",SUM(COUNTIFS('Ordres de travail'!$D$5:$D$3004,$A33,'Ordres de travail'!$AC$5:$AC$3004,{"Demandé","Planifié","En cours","En attente pièces"})))</f>
        <v/>
      </c>
      <c r="AA33" s="9">
        <f>IF(OR($A33="",M33=""),"",IF(M33&lt;TODAY(),"Expirée",IF(M33-TODAY()&lt;='Paramètres'!$AA$15,"Expire bientôt","Sous garantie")))</f>
        <v/>
      </c>
      <c r="AB33" s="72">
        <f>IF($A33="",-1,N(R33)+ROW()/1000000)</f>
        <v/>
      </c>
    </row>
    <row r="34">
      <c r="A34" s="7" t="inlineStr">
        <is>
          <t>EQ-ASS-001</t>
        </is>
      </c>
      <c r="B34" s="7" t="inlineStr">
        <is>
          <t>Ligne d'assemblage motorisée</t>
        </is>
      </c>
      <c r="C34" s="7" t="inlineStr">
        <is>
          <t>CONVOYEUR</t>
        </is>
      </c>
      <c r="D34" s="7" t="inlineStr">
        <is>
          <t>Assemblage</t>
        </is>
      </c>
      <c r="E34" s="7" t="inlineStr">
        <is>
          <t>Ligne 1</t>
        </is>
      </c>
      <c r="F34" s="7" t="inlineStr">
        <is>
          <t>Bosch Rexroth</t>
        </is>
      </c>
      <c r="G34" s="7" t="inlineStr">
        <is>
          <t>TS 2plus</t>
        </is>
      </c>
      <c r="H34" s="7" t="inlineStr">
        <is>
          <t>BOS-1738735</t>
        </is>
      </c>
      <c r="I34" s="65" t="n">
        <v>42870</v>
      </c>
      <c r="J34" s="66" t="n">
        <v>145000</v>
      </c>
      <c r="K34" s="7" t="inlineStr">
        <is>
          <t>A</t>
        </is>
      </c>
      <c r="L34" s="7" t="inlineStr">
        <is>
          <t>En service</t>
        </is>
      </c>
      <c r="M34" s="65" t="n">
        <v>43600</v>
      </c>
      <c r="N34" s="7" t="inlineStr">
        <is>
          <t>AutomaSys Ingénierie</t>
        </is>
      </c>
      <c r="O34" s="67" t="n">
        <v>3600</v>
      </c>
      <c r="P34" s="68">
        <f>IF($A34="","",COUNTIFS('Ordres de travail'!$D$5:$D$3004,$A34,'Ordres de travail'!$H$5:$H$3004,"Correctif",'Ordres de travail'!$AC$5:$AC$3004,"&lt;&gt;Annulé",'Ordres de travail'!$B$5:$B$3004,"&gt;="&amp;'Paramètres'!$AA$6,'Ordres de travail'!$B$5:$B$3004,"&lt;"&amp;('Paramètres'!$AA$7+1)))</f>
        <v/>
      </c>
      <c r="Q34" s="69">
        <f>IF($A34="","",SUMIFS('Ordres de travail'!$S$5:$S$3004,'Ordres de travail'!$D$5:$D$3004,$A34,'Ordres de travail'!$H$5:$H$3004,"Correctif",'Ordres de travail'!$AC$5:$AC$3004,"&lt;&gt;Annulé",'Ordres de travail'!$B$5:$B$3004,"&gt;="&amp;'Paramètres'!$AA$6,'Ordres de travail'!$B$5:$B$3004,"&lt;"&amp;('Paramètres'!$AA$7+1)))</f>
        <v/>
      </c>
      <c r="R34" s="69">
        <f>IF($A34="","",SUMIFS('Ordres de travail'!$S$5:$S$3004,'Ordres de travail'!$D$5:$D$3004,$A34,'Ordres de travail'!$AC$5:$AC$3004,"&lt;&gt;Annulé",'Ordres de travail'!$B$5:$B$3004,"&gt;="&amp;'Paramètres'!$AA$6,'Ordres de travail'!$B$5:$B$3004,"&lt;"&amp;('Paramètres'!$AA$7+1)))</f>
        <v/>
      </c>
      <c r="S34" s="70">
        <f>IF($A34="","",SUMIFS('Ordres de travail'!$AA$5:$AA$3004,'Ordres de travail'!$D$5:$D$3004,$A34,'Ordres de travail'!$B$5:$B$3004,"&gt;="&amp;'Paramètres'!$AA$6,'Ordres de travail'!$B$5:$B$3004,"&lt;"&amp;('Paramètres'!$AA$7+1)))</f>
        <v/>
      </c>
      <c r="T34" s="68">
        <f>IF($A34="","",IF(P34=0,"-",(O34*'Paramètres'!$AA$8-Q34)/P34))</f>
        <v/>
      </c>
      <c r="U34" s="69">
        <f>IF($A34="","",IF(P34=0,"-",Q34/P34))</f>
        <v/>
      </c>
      <c r="V34" s="71">
        <f>IF($A34="","",IF(N(O34)*'Paramètres'!$AA$8=0,"-",MAX(0,1-R34/(O34*'Paramètres'!$AA$8))))</f>
        <v/>
      </c>
      <c r="W34" s="68">
        <f>IF($A34="","",_xlfn.MAXIFS('Relevés compteurs'!$D$5:$D$1504,'Relevés compteurs'!$B$5:$B$1504,$A34))</f>
        <v/>
      </c>
      <c r="X34" s="69">
        <f>IF(OR($A34="",I34=""),"",(TODAY()-I34)/365.25)</f>
        <v/>
      </c>
      <c r="Y34" s="70">
        <f>IF($A34="","",SUMIFS('Ordres de travail'!$AA$5:$AA$3004,'Ordres de travail'!$D$5:$D$3004,$A34))</f>
        <v/>
      </c>
      <c r="Z34" s="68">
        <f>IF($A34="","",SUM(COUNTIFS('Ordres de travail'!$D$5:$D$3004,$A34,'Ordres de travail'!$AC$5:$AC$3004,{"Demandé","Planifié","En cours","En attente pièces"})))</f>
        <v/>
      </c>
      <c r="AA34" s="9">
        <f>IF(OR($A34="",M34=""),"",IF(M34&lt;TODAY(),"Expirée",IF(M34-TODAY()&lt;='Paramètres'!$AA$15,"Expire bientôt","Sous garantie")))</f>
        <v/>
      </c>
      <c r="AB34" s="72">
        <f>IF($A34="",-1,N(R34)+ROW()/1000000)</f>
        <v/>
      </c>
    </row>
    <row r="35">
      <c r="A35" s="7" t="inlineStr">
        <is>
          <t>EQ-ASS-002</t>
        </is>
      </c>
      <c r="B35" s="7" t="inlineStr">
        <is>
          <t>Presse hydraulique 50 t</t>
        </is>
      </c>
      <c r="C35" s="7" t="inlineStr">
        <is>
          <t>PRESSE</t>
        </is>
      </c>
      <c r="D35" s="7" t="inlineStr">
        <is>
          <t>Assemblage</t>
        </is>
      </c>
      <c r="E35" s="7" t="inlineStr">
        <is>
          <t>Ligne 1</t>
        </is>
      </c>
      <c r="F35" s="7" t="inlineStr">
        <is>
          <t>Presses Ouest</t>
        </is>
      </c>
      <c r="G35" s="7" t="inlineStr">
        <is>
          <t>PH50</t>
        </is>
      </c>
      <c r="H35" s="7" t="inlineStr">
        <is>
          <t>PRE-0478027</t>
        </is>
      </c>
      <c r="I35" s="65" t="n">
        <v>38299</v>
      </c>
      <c r="J35" s="66" t="n">
        <v>42000</v>
      </c>
      <c r="K35" s="7" t="inlineStr">
        <is>
          <t>B</t>
        </is>
      </c>
      <c r="L35" s="7" t="inlineStr">
        <is>
          <t>En service</t>
        </is>
      </c>
      <c r="M35" s="65" t="n">
        <v>39029</v>
      </c>
      <c r="N35" s="7" t="inlineStr">
        <is>
          <t>HydroFluid Services</t>
        </is>
      </c>
      <c r="O35" s="67" t="n">
        <v>2500</v>
      </c>
      <c r="P35" s="68">
        <f>IF($A35="","",COUNTIFS('Ordres de travail'!$D$5:$D$3004,$A35,'Ordres de travail'!$H$5:$H$3004,"Correctif",'Ordres de travail'!$AC$5:$AC$3004,"&lt;&gt;Annulé",'Ordres de travail'!$B$5:$B$3004,"&gt;="&amp;'Paramètres'!$AA$6,'Ordres de travail'!$B$5:$B$3004,"&lt;"&amp;('Paramètres'!$AA$7+1)))</f>
        <v/>
      </c>
      <c r="Q35" s="69">
        <f>IF($A35="","",SUMIFS('Ordres de travail'!$S$5:$S$3004,'Ordres de travail'!$D$5:$D$3004,$A35,'Ordres de travail'!$H$5:$H$3004,"Correctif",'Ordres de travail'!$AC$5:$AC$3004,"&lt;&gt;Annulé",'Ordres de travail'!$B$5:$B$3004,"&gt;="&amp;'Paramètres'!$AA$6,'Ordres de travail'!$B$5:$B$3004,"&lt;"&amp;('Paramètres'!$AA$7+1)))</f>
        <v/>
      </c>
      <c r="R35" s="69">
        <f>IF($A35="","",SUMIFS('Ordres de travail'!$S$5:$S$3004,'Ordres de travail'!$D$5:$D$3004,$A35,'Ordres de travail'!$AC$5:$AC$3004,"&lt;&gt;Annulé",'Ordres de travail'!$B$5:$B$3004,"&gt;="&amp;'Paramètres'!$AA$6,'Ordres de travail'!$B$5:$B$3004,"&lt;"&amp;('Paramètres'!$AA$7+1)))</f>
        <v/>
      </c>
      <c r="S35" s="70">
        <f>IF($A35="","",SUMIFS('Ordres de travail'!$AA$5:$AA$3004,'Ordres de travail'!$D$5:$D$3004,$A35,'Ordres de travail'!$B$5:$B$3004,"&gt;="&amp;'Paramètres'!$AA$6,'Ordres de travail'!$B$5:$B$3004,"&lt;"&amp;('Paramètres'!$AA$7+1)))</f>
        <v/>
      </c>
      <c r="T35" s="68">
        <f>IF($A35="","",IF(P35=0,"-",(O35*'Paramètres'!$AA$8-Q35)/P35))</f>
        <v/>
      </c>
      <c r="U35" s="69">
        <f>IF($A35="","",IF(P35=0,"-",Q35/P35))</f>
        <v/>
      </c>
      <c r="V35" s="71">
        <f>IF($A35="","",IF(N(O35)*'Paramètres'!$AA$8=0,"-",MAX(0,1-R35/(O35*'Paramètres'!$AA$8))))</f>
        <v/>
      </c>
      <c r="W35" s="68">
        <f>IF($A35="","",_xlfn.MAXIFS('Relevés compteurs'!$D$5:$D$1504,'Relevés compteurs'!$B$5:$B$1504,$A35))</f>
        <v/>
      </c>
      <c r="X35" s="69">
        <f>IF(OR($A35="",I35=""),"",(TODAY()-I35)/365.25)</f>
        <v/>
      </c>
      <c r="Y35" s="70">
        <f>IF($A35="","",SUMIFS('Ordres de travail'!$AA$5:$AA$3004,'Ordres de travail'!$D$5:$D$3004,$A35))</f>
        <v/>
      </c>
      <c r="Z35" s="68">
        <f>IF($A35="","",SUM(COUNTIFS('Ordres de travail'!$D$5:$D$3004,$A35,'Ordres de travail'!$AC$5:$AC$3004,{"Demandé","Planifié","En cours","En attente pièces"})))</f>
        <v/>
      </c>
      <c r="AA35" s="9">
        <f>IF(OR($A35="",M35=""),"",IF(M35&lt;TODAY(),"Expirée",IF(M35-TODAY()&lt;='Paramètres'!$AA$15,"Expire bientôt","Sous garantie")))</f>
        <v/>
      </c>
      <c r="AB35" s="72">
        <f>IF($A35="",-1,N(R35)+ROW()/1000000)</f>
        <v/>
      </c>
    </row>
    <row r="36">
      <c r="A36" s="7" t="inlineStr">
        <is>
          <t>EQ-ASS-003</t>
        </is>
      </c>
      <c r="B36" s="7" t="inlineStr">
        <is>
          <t>Visseuse automatique multibroches</t>
        </is>
      </c>
      <c r="C36" s="7" t="inlineStr">
        <is>
          <t>AUTO</t>
        </is>
      </c>
      <c r="D36" s="7" t="inlineStr">
        <is>
          <t>Assemblage</t>
        </is>
      </c>
      <c r="E36" s="7" t="inlineStr">
        <is>
          <t>Ligne 1</t>
        </is>
      </c>
      <c r="F36" s="7" t="inlineStr">
        <is>
          <t>Atlas Copco</t>
        </is>
      </c>
      <c r="G36" s="7" t="inlineStr">
        <is>
          <t>QST</t>
        </is>
      </c>
      <c r="H36" s="7" t="inlineStr">
        <is>
          <t>ATL-2196375</t>
        </is>
      </c>
      <c r="I36" s="65" t="n">
        <v>44452</v>
      </c>
      <c r="J36" s="66" t="n">
        <v>58000</v>
      </c>
      <c r="K36" s="7" t="inlineStr">
        <is>
          <t>B</t>
        </is>
      </c>
      <c r="L36" s="7" t="inlineStr">
        <is>
          <t>En service</t>
        </is>
      </c>
      <c r="M36" s="65" t="n">
        <v>45182</v>
      </c>
      <c r="N36" s="7" t="inlineStr">
        <is>
          <t>AutomaSys Ingénierie</t>
        </is>
      </c>
      <c r="O36" s="67" t="n">
        <v>3600</v>
      </c>
      <c r="P36" s="68">
        <f>IF($A36="","",COUNTIFS('Ordres de travail'!$D$5:$D$3004,$A36,'Ordres de travail'!$H$5:$H$3004,"Correctif",'Ordres de travail'!$AC$5:$AC$3004,"&lt;&gt;Annulé",'Ordres de travail'!$B$5:$B$3004,"&gt;="&amp;'Paramètres'!$AA$6,'Ordres de travail'!$B$5:$B$3004,"&lt;"&amp;('Paramètres'!$AA$7+1)))</f>
        <v/>
      </c>
      <c r="Q36" s="69">
        <f>IF($A36="","",SUMIFS('Ordres de travail'!$S$5:$S$3004,'Ordres de travail'!$D$5:$D$3004,$A36,'Ordres de travail'!$H$5:$H$3004,"Correctif",'Ordres de travail'!$AC$5:$AC$3004,"&lt;&gt;Annulé",'Ordres de travail'!$B$5:$B$3004,"&gt;="&amp;'Paramètres'!$AA$6,'Ordres de travail'!$B$5:$B$3004,"&lt;"&amp;('Paramètres'!$AA$7+1)))</f>
        <v/>
      </c>
      <c r="R36" s="69">
        <f>IF($A36="","",SUMIFS('Ordres de travail'!$S$5:$S$3004,'Ordres de travail'!$D$5:$D$3004,$A36,'Ordres de travail'!$AC$5:$AC$3004,"&lt;&gt;Annulé",'Ordres de travail'!$B$5:$B$3004,"&gt;="&amp;'Paramètres'!$AA$6,'Ordres de travail'!$B$5:$B$3004,"&lt;"&amp;('Paramètres'!$AA$7+1)))</f>
        <v/>
      </c>
      <c r="S36" s="70">
        <f>IF($A36="","",SUMIFS('Ordres de travail'!$AA$5:$AA$3004,'Ordres de travail'!$D$5:$D$3004,$A36,'Ordres de travail'!$B$5:$B$3004,"&gt;="&amp;'Paramètres'!$AA$6,'Ordres de travail'!$B$5:$B$3004,"&lt;"&amp;('Paramètres'!$AA$7+1)))</f>
        <v/>
      </c>
      <c r="T36" s="68">
        <f>IF($A36="","",IF(P36=0,"-",(O36*'Paramètres'!$AA$8-Q36)/P36))</f>
        <v/>
      </c>
      <c r="U36" s="69">
        <f>IF($A36="","",IF(P36=0,"-",Q36/P36))</f>
        <v/>
      </c>
      <c r="V36" s="71">
        <f>IF($A36="","",IF(N(O36)*'Paramètres'!$AA$8=0,"-",MAX(0,1-R36/(O36*'Paramètres'!$AA$8))))</f>
        <v/>
      </c>
      <c r="W36" s="68">
        <f>IF($A36="","",_xlfn.MAXIFS('Relevés compteurs'!$D$5:$D$1504,'Relevés compteurs'!$B$5:$B$1504,$A36))</f>
        <v/>
      </c>
      <c r="X36" s="69">
        <f>IF(OR($A36="",I36=""),"",(TODAY()-I36)/365.25)</f>
        <v/>
      </c>
      <c r="Y36" s="70">
        <f>IF($A36="","",SUMIFS('Ordres de travail'!$AA$5:$AA$3004,'Ordres de travail'!$D$5:$D$3004,$A36))</f>
        <v/>
      </c>
      <c r="Z36" s="68">
        <f>IF($A36="","",SUM(COUNTIFS('Ordres de travail'!$D$5:$D$3004,$A36,'Ordres de travail'!$AC$5:$AC$3004,{"Demandé","Planifié","En cours","En attente pièces"})))</f>
        <v/>
      </c>
      <c r="AA36" s="9">
        <f>IF(OR($A36="",M36=""),"",IF(M36&lt;TODAY(),"Expirée",IF(M36-TODAY()&lt;='Paramètres'!$AA$15,"Expire bientôt","Sous garantie")))</f>
        <v/>
      </c>
      <c r="AB36" s="72">
        <f>IF($A36="",-1,N(R36)+ROW()/1000000)</f>
        <v/>
      </c>
    </row>
    <row r="37">
      <c r="A37" s="7" t="inlineStr">
        <is>
          <t>EQ-ASS-004</t>
        </is>
      </c>
      <c r="B37" s="7" t="inlineStr">
        <is>
          <t>Banc de test d'étanchéité</t>
        </is>
      </c>
      <c r="C37" s="7" t="inlineStr">
        <is>
          <t>MESURE</t>
        </is>
      </c>
      <c r="D37" s="7" t="inlineStr">
        <is>
          <t>Assemblage</t>
        </is>
      </c>
      <c r="E37" s="7" t="inlineStr">
        <is>
          <t>Contrôle final</t>
        </is>
      </c>
      <c r="F37" s="7" t="inlineStr">
        <is>
          <t>ATEQ</t>
        </is>
      </c>
      <c r="G37" s="7" t="inlineStr">
        <is>
          <t>F620</t>
        </is>
      </c>
      <c r="H37" s="7" t="inlineStr">
        <is>
          <t>ATE-1919519</t>
        </is>
      </c>
      <c r="I37" s="65" t="n">
        <v>43521</v>
      </c>
      <c r="J37" s="66" t="n">
        <v>24000</v>
      </c>
      <c r="K37" s="7" t="inlineStr">
        <is>
          <t>B</t>
        </is>
      </c>
      <c r="L37" s="7" t="inlineStr">
        <is>
          <t>En service</t>
        </is>
      </c>
      <c r="M37" s="65" t="n">
        <v>44252</v>
      </c>
      <c r="N37" s="7" t="inlineStr">
        <is>
          <t>Métrologie Contrôle Services</t>
        </is>
      </c>
      <c r="O37" s="67" t="n">
        <v>3600</v>
      </c>
      <c r="P37" s="68">
        <f>IF($A37="","",COUNTIFS('Ordres de travail'!$D$5:$D$3004,$A37,'Ordres de travail'!$H$5:$H$3004,"Correctif",'Ordres de travail'!$AC$5:$AC$3004,"&lt;&gt;Annulé",'Ordres de travail'!$B$5:$B$3004,"&gt;="&amp;'Paramètres'!$AA$6,'Ordres de travail'!$B$5:$B$3004,"&lt;"&amp;('Paramètres'!$AA$7+1)))</f>
        <v/>
      </c>
      <c r="Q37" s="69">
        <f>IF($A37="","",SUMIFS('Ordres de travail'!$S$5:$S$3004,'Ordres de travail'!$D$5:$D$3004,$A37,'Ordres de travail'!$H$5:$H$3004,"Correctif",'Ordres de travail'!$AC$5:$AC$3004,"&lt;&gt;Annulé",'Ordres de travail'!$B$5:$B$3004,"&gt;="&amp;'Paramètres'!$AA$6,'Ordres de travail'!$B$5:$B$3004,"&lt;"&amp;('Paramètres'!$AA$7+1)))</f>
        <v/>
      </c>
      <c r="R37" s="69">
        <f>IF($A37="","",SUMIFS('Ordres de travail'!$S$5:$S$3004,'Ordres de travail'!$D$5:$D$3004,$A37,'Ordres de travail'!$AC$5:$AC$3004,"&lt;&gt;Annulé",'Ordres de travail'!$B$5:$B$3004,"&gt;="&amp;'Paramètres'!$AA$6,'Ordres de travail'!$B$5:$B$3004,"&lt;"&amp;('Paramètres'!$AA$7+1)))</f>
        <v/>
      </c>
      <c r="S37" s="70">
        <f>IF($A37="","",SUMIFS('Ordres de travail'!$AA$5:$AA$3004,'Ordres de travail'!$D$5:$D$3004,$A37,'Ordres de travail'!$B$5:$B$3004,"&gt;="&amp;'Paramètres'!$AA$6,'Ordres de travail'!$B$5:$B$3004,"&lt;"&amp;('Paramètres'!$AA$7+1)))</f>
        <v/>
      </c>
      <c r="T37" s="68">
        <f>IF($A37="","",IF(P37=0,"-",(O37*'Paramètres'!$AA$8-Q37)/P37))</f>
        <v/>
      </c>
      <c r="U37" s="69">
        <f>IF($A37="","",IF(P37=0,"-",Q37/P37))</f>
        <v/>
      </c>
      <c r="V37" s="71">
        <f>IF($A37="","",IF(N(O37)*'Paramètres'!$AA$8=0,"-",MAX(0,1-R37/(O37*'Paramètres'!$AA$8))))</f>
        <v/>
      </c>
      <c r="W37" s="68">
        <f>IF($A37="","",_xlfn.MAXIFS('Relevés compteurs'!$D$5:$D$1504,'Relevés compteurs'!$B$5:$B$1504,$A37))</f>
        <v/>
      </c>
      <c r="X37" s="69">
        <f>IF(OR($A37="",I37=""),"",(TODAY()-I37)/365.25)</f>
        <v/>
      </c>
      <c r="Y37" s="70">
        <f>IF($A37="","",SUMIFS('Ordres de travail'!$AA$5:$AA$3004,'Ordres de travail'!$D$5:$D$3004,$A37))</f>
        <v/>
      </c>
      <c r="Z37" s="68">
        <f>IF($A37="","",SUM(COUNTIFS('Ordres de travail'!$D$5:$D$3004,$A37,'Ordres de travail'!$AC$5:$AC$3004,{"Demandé","Planifié","En cours","En attente pièces"})))</f>
        <v/>
      </c>
      <c r="AA37" s="9">
        <f>IF(OR($A37="",M37=""),"",IF(M37&lt;TODAY(),"Expirée",IF(M37-TODAY()&lt;='Paramètres'!$AA$15,"Expire bientôt","Sous garantie")))</f>
        <v/>
      </c>
      <c r="AB37" s="72">
        <f>IF($A37="",-1,N(R37)+ROW()/1000000)</f>
        <v/>
      </c>
    </row>
    <row r="38">
      <c r="A38" s="7" t="inlineStr">
        <is>
          <t>EQ-ASS-005</t>
        </is>
      </c>
      <c r="B38" s="7" t="inlineStr">
        <is>
          <t>Station de marquage laser</t>
        </is>
      </c>
      <c r="C38" s="7" t="inlineStr">
        <is>
          <t>AUTO</t>
        </is>
      </c>
      <c r="D38" s="7" t="inlineStr">
        <is>
          <t>Assemblage</t>
        </is>
      </c>
      <c r="E38" s="7" t="inlineStr">
        <is>
          <t>Contrôle final</t>
        </is>
      </c>
      <c r="F38" s="7" t="inlineStr">
        <is>
          <t>Gravotech</t>
        </is>
      </c>
      <c r="G38" s="7" t="inlineStr">
        <is>
          <t>LW2</t>
        </is>
      </c>
      <c r="H38" s="7" t="inlineStr">
        <is>
          <t>GRA-2049848</t>
        </is>
      </c>
      <c r="I38" s="65" t="n">
        <v>44011</v>
      </c>
      <c r="J38" s="66" t="n">
        <v>28000</v>
      </c>
      <c r="K38" s="7" t="inlineStr">
        <is>
          <t>C</t>
        </is>
      </c>
      <c r="L38" s="7" t="inlineStr">
        <is>
          <t>En service</t>
        </is>
      </c>
      <c r="M38" s="65" t="n">
        <v>44741</v>
      </c>
      <c r="N38" s="7" t="inlineStr">
        <is>
          <t>AutomaSys Ingénierie</t>
        </is>
      </c>
      <c r="O38" s="67" t="n">
        <v>3000</v>
      </c>
      <c r="P38" s="68">
        <f>IF($A38="","",COUNTIFS('Ordres de travail'!$D$5:$D$3004,$A38,'Ordres de travail'!$H$5:$H$3004,"Correctif",'Ordres de travail'!$AC$5:$AC$3004,"&lt;&gt;Annulé",'Ordres de travail'!$B$5:$B$3004,"&gt;="&amp;'Paramètres'!$AA$6,'Ordres de travail'!$B$5:$B$3004,"&lt;"&amp;('Paramètres'!$AA$7+1)))</f>
        <v/>
      </c>
      <c r="Q38" s="69">
        <f>IF($A38="","",SUMIFS('Ordres de travail'!$S$5:$S$3004,'Ordres de travail'!$D$5:$D$3004,$A38,'Ordres de travail'!$H$5:$H$3004,"Correctif",'Ordres de travail'!$AC$5:$AC$3004,"&lt;&gt;Annulé",'Ordres de travail'!$B$5:$B$3004,"&gt;="&amp;'Paramètres'!$AA$6,'Ordres de travail'!$B$5:$B$3004,"&lt;"&amp;('Paramètres'!$AA$7+1)))</f>
        <v/>
      </c>
      <c r="R38" s="69">
        <f>IF($A38="","",SUMIFS('Ordres de travail'!$S$5:$S$3004,'Ordres de travail'!$D$5:$D$3004,$A38,'Ordres de travail'!$AC$5:$AC$3004,"&lt;&gt;Annulé",'Ordres de travail'!$B$5:$B$3004,"&gt;="&amp;'Paramètres'!$AA$6,'Ordres de travail'!$B$5:$B$3004,"&lt;"&amp;('Paramètres'!$AA$7+1)))</f>
        <v/>
      </c>
      <c r="S38" s="70">
        <f>IF($A38="","",SUMIFS('Ordres de travail'!$AA$5:$AA$3004,'Ordres de travail'!$D$5:$D$3004,$A38,'Ordres de travail'!$B$5:$B$3004,"&gt;="&amp;'Paramètres'!$AA$6,'Ordres de travail'!$B$5:$B$3004,"&lt;"&amp;('Paramètres'!$AA$7+1)))</f>
        <v/>
      </c>
      <c r="T38" s="68">
        <f>IF($A38="","",IF(P38=0,"-",(O38*'Paramètres'!$AA$8-Q38)/P38))</f>
        <v/>
      </c>
      <c r="U38" s="69">
        <f>IF($A38="","",IF(P38=0,"-",Q38/P38))</f>
        <v/>
      </c>
      <c r="V38" s="71">
        <f>IF($A38="","",IF(N(O38)*'Paramètres'!$AA$8=0,"-",MAX(0,1-R38/(O38*'Paramètres'!$AA$8))))</f>
        <v/>
      </c>
      <c r="W38" s="68">
        <f>IF($A38="","",_xlfn.MAXIFS('Relevés compteurs'!$D$5:$D$1504,'Relevés compteurs'!$B$5:$B$1504,$A38))</f>
        <v/>
      </c>
      <c r="X38" s="69">
        <f>IF(OR($A38="",I38=""),"",(TODAY()-I38)/365.25)</f>
        <v/>
      </c>
      <c r="Y38" s="70">
        <f>IF($A38="","",SUMIFS('Ordres de travail'!$AA$5:$AA$3004,'Ordres de travail'!$D$5:$D$3004,$A38))</f>
        <v/>
      </c>
      <c r="Z38" s="68">
        <f>IF($A38="","",SUM(COUNTIFS('Ordres de travail'!$D$5:$D$3004,$A38,'Ordres de travail'!$AC$5:$AC$3004,{"Demandé","Planifié","En cours","En attente pièces"})))</f>
        <v/>
      </c>
      <c r="AA38" s="9">
        <f>IF(OR($A38="",M38=""),"",IF(M38&lt;TODAY(),"Expirée",IF(M38-TODAY()&lt;='Paramètres'!$AA$15,"Expire bientôt","Sous garantie")))</f>
        <v/>
      </c>
      <c r="AB38" s="72">
        <f>IF($A38="",-1,N(R38)+ROW()/1000000)</f>
        <v/>
      </c>
    </row>
    <row r="39">
      <c r="A39" s="7" t="inlineStr">
        <is>
          <t>EQ-ASS-006</t>
        </is>
      </c>
      <c r="B39" s="7" t="inlineStr">
        <is>
          <t>Banderoleuse automatique</t>
        </is>
      </c>
      <c r="C39" s="7" t="inlineStr">
        <is>
          <t>CONVOYEUR</t>
        </is>
      </c>
      <c r="D39" s="7" t="inlineStr">
        <is>
          <t>Assemblage</t>
        </is>
      </c>
      <c r="E39" s="7" t="inlineStr">
        <is>
          <t>Expédition</t>
        </is>
      </c>
      <c r="F39" s="7" t="inlineStr">
        <is>
          <t>Robopac</t>
        </is>
      </c>
      <c r="G39" s="7" t="inlineStr">
        <is>
          <t>Rotoplat 708</t>
        </is>
      </c>
      <c r="H39" s="7" t="inlineStr">
        <is>
          <t>ROB-1586342</t>
        </is>
      </c>
      <c r="I39" s="65" t="n">
        <v>42107</v>
      </c>
      <c r="J39" s="66" t="n">
        <v>18000</v>
      </c>
      <c r="K39" s="7" t="inlineStr">
        <is>
          <t>C</t>
        </is>
      </c>
      <c r="L39" s="7" t="inlineStr">
        <is>
          <t>En service</t>
        </is>
      </c>
      <c r="M39" s="65" t="n">
        <v>42838</v>
      </c>
      <c r="N39" s="7" t="inlineStr">
        <is>
          <t>Fournitures Industrielles Générales</t>
        </is>
      </c>
      <c r="O39" s="67" t="n">
        <v>2000</v>
      </c>
      <c r="P39" s="68">
        <f>IF($A39="","",COUNTIFS('Ordres de travail'!$D$5:$D$3004,$A39,'Ordres de travail'!$H$5:$H$3004,"Correctif",'Ordres de travail'!$AC$5:$AC$3004,"&lt;&gt;Annulé",'Ordres de travail'!$B$5:$B$3004,"&gt;="&amp;'Paramètres'!$AA$6,'Ordres de travail'!$B$5:$B$3004,"&lt;"&amp;('Paramètres'!$AA$7+1)))</f>
        <v/>
      </c>
      <c r="Q39" s="69">
        <f>IF($A39="","",SUMIFS('Ordres de travail'!$S$5:$S$3004,'Ordres de travail'!$D$5:$D$3004,$A39,'Ordres de travail'!$H$5:$H$3004,"Correctif",'Ordres de travail'!$AC$5:$AC$3004,"&lt;&gt;Annulé",'Ordres de travail'!$B$5:$B$3004,"&gt;="&amp;'Paramètres'!$AA$6,'Ordres de travail'!$B$5:$B$3004,"&lt;"&amp;('Paramètres'!$AA$7+1)))</f>
        <v/>
      </c>
      <c r="R39" s="69">
        <f>IF($A39="","",SUMIFS('Ordres de travail'!$S$5:$S$3004,'Ordres de travail'!$D$5:$D$3004,$A39,'Ordres de travail'!$AC$5:$AC$3004,"&lt;&gt;Annulé",'Ordres de travail'!$B$5:$B$3004,"&gt;="&amp;'Paramètres'!$AA$6,'Ordres de travail'!$B$5:$B$3004,"&lt;"&amp;('Paramètres'!$AA$7+1)))</f>
        <v/>
      </c>
      <c r="S39" s="70">
        <f>IF($A39="","",SUMIFS('Ordres de travail'!$AA$5:$AA$3004,'Ordres de travail'!$D$5:$D$3004,$A39,'Ordres de travail'!$B$5:$B$3004,"&gt;="&amp;'Paramètres'!$AA$6,'Ordres de travail'!$B$5:$B$3004,"&lt;"&amp;('Paramètres'!$AA$7+1)))</f>
        <v/>
      </c>
      <c r="T39" s="68">
        <f>IF($A39="","",IF(P39=0,"-",(O39*'Paramètres'!$AA$8-Q39)/P39))</f>
        <v/>
      </c>
      <c r="U39" s="69">
        <f>IF($A39="","",IF(P39=0,"-",Q39/P39))</f>
        <v/>
      </c>
      <c r="V39" s="71">
        <f>IF($A39="","",IF(N(O39)*'Paramètres'!$AA$8=0,"-",MAX(0,1-R39/(O39*'Paramètres'!$AA$8))))</f>
        <v/>
      </c>
      <c r="W39" s="68">
        <f>IF($A39="","",_xlfn.MAXIFS('Relevés compteurs'!$D$5:$D$1504,'Relevés compteurs'!$B$5:$B$1504,$A39))</f>
        <v/>
      </c>
      <c r="X39" s="69">
        <f>IF(OR($A39="",I39=""),"",(TODAY()-I39)/365.25)</f>
        <v/>
      </c>
      <c r="Y39" s="70">
        <f>IF($A39="","",SUMIFS('Ordres de travail'!$AA$5:$AA$3004,'Ordres de travail'!$D$5:$D$3004,$A39))</f>
        <v/>
      </c>
      <c r="Z39" s="68">
        <f>IF($A39="","",SUM(COUNTIFS('Ordres de travail'!$D$5:$D$3004,$A39,'Ordres de travail'!$AC$5:$AC$3004,{"Demandé","Planifié","En cours","En attente pièces"})))</f>
        <v/>
      </c>
      <c r="AA39" s="9">
        <f>IF(OR($A39="",M39=""),"",IF(M39&lt;TODAY(),"Expirée",IF(M39-TODAY()&lt;='Paramètres'!$AA$15,"Expire bientôt","Sous garantie")))</f>
        <v/>
      </c>
      <c r="AB39" s="72">
        <f>IF($A39="",-1,N(R39)+ROW()/1000000)</f>
        <v/>
      </c>
    </row>
    <row r="40">
      <c r="A40" s="7" t="inlineStr">
        <is>
          <t>EQ-UTI-001</t>
        </is>
      </c>
      <c r="B40" s="7" t="inlineStr">
        <is>
          <t>Compresseur à vis 37 kW (principal)</t>
        </is>
      </c>
      <c r="C40" s="7" t="inlineStr">
        <is>
          <t>COMPRESSEUR</t>
        </is>
      </c>
      <c r="D40" s="7" t="inlineStr">
        <is>
          <t>Utilités</t>
        </is>
      </c>
      <c r="E40" s="7" t="inlineStr">
        <is>
          <t>Local compresseurs</t>
        </is>
      </c>
      <c r="F40" s="7" t="inlineStr">
        <is>
          <t>Atlas Copco</t>
        </is>
      </c>
      <c r="G40" s="7" t="inlineStr">
        <is>
          <t>GA37 VSD+</t>
        </is>
      </c>
      <c r="H40" s="7" t="inlineStr">
        <is>
          <t>ATL-1886099</t>
        </is>
      </c>
      <c r="I40" s="65" t="n">
        <v>43115</v>
      </c>
      <c r="J40" s="66" t="n">
        <v>32000</v>
      </c>
      <c r="K40" s="7" t="inlineStr">
        <is>
          <t>A</t>
        </is>
      </c>
      <c r="L40" s="7" t="inlineStr">
        <is>
          <t>En service</t>
        </is>
      </c>
      <c r="M40" s="65" t="n">
        <v>43845</v>
      </c>
      <c r="N40" s="7" t="inlineStr">
        <is>
          <t>AirComp Maintenance</t>
        </is>
      </c>
      <c r="O40" s="67" t="n">
        <v>6000</v>
      </c>
      <c r="P40" s="68">
        <f>IF($A40="","",COUNTIFS('Ordres de travail'!$D$5:$D$3004,$A40,'Ordres de travail'!$H$5:$H$3004,"Correctif",'Ordres de travail'!$AC$5:$AC$3004,"&lt;&gt;Annulé",'Ordres de travail'!$B$5:$B$3004,"&gt;="&amp;'Paramètres'!$AA$6,'Ordres de travail'!$B$5:$B$3004,"&lt;"&amp;('Paramètres'!$AA$7+1)))</f>
        <v/>
      </c>
      <c r="Q40" s="69">
        <f>IF($A40="","",SUMIFS('Ordres de travail'!$S$5:$S$3004,'Ordres de travail'!$D$5:$D$3004,$A40,'Ordres de travail'!$H$5:$H$3004,"Correctif",'Ordres de travail'!$AC$5:$AC$3004,"&lt;&gt;Annulé",'Ordres de travail'!$B$5:$B$3004,"&gt;="&amp;'Paramètres'!$AA$6,'Ordres de travail'!$B$5:$B$3004,"&lt;"&amp;('Paramètres'!$AA$7+1)))</f>
        <v/>
      </c>
      <c r="R40" s="69">
        <f>IF($A40="","",SUMIFS('Ordres de travail'!$S$5:$S$3004,'Ordres de travail'!$D$5:$D$3004,$A40,'Ordres de travail'!$AC$5:$AC$3004,"&lt;&gt;Annulé",'Ordres de travail'!$B$5:$B$3004,"&gt;="&amp;'Paramètres'!$AA$6,'Ordres de travail'!$B$5:$B$3004,"&lt;"&amp;('Paramètres'!$AA$7+1)))</f>
        <v/>
      </c>
      <c r="S40" s="70">
        <f>IF($A40="","",SUMIFS('Ordres de travail'!$AA$5:$AA$3004,'Ordres de travail'!$D$5:$D$3004,$A40,'Ordres de travail'!$B$5:$B$3004,"&gt;="&amp;'Paramètres'!$AA$6,'Ordres de travail'!$B$5:$B$3004,"&lt;"&amp;('Paramètres'!$AA$7+1)))</f>
        <v/>
      </c>
      <c r="T40" s="68">
        <f>IF($A40="","",IF(P40=0,"-",(O40*'Paramètres'!$AA$8-Q40)/P40))</f>
        <v/>
      </c>
      <c r="U40" s="69">
        <f>IF($A40="","",IF(P40=0,"-",Q40/P40))</f>
        <v/>
      </c>
      <c r="V40" s="71">
        <f>IF($A40="","",IF(N(O40)*'Paramètres'!$AA$8=0,"-",MAX(0,1-R40/(O40*'Paramètres'!$AA$8))))</f>
        <v/>
      </c>
      <c r="W40" s="68">
        <f>IF($A40="","",_xlfn.MAXIFS('Relevés compteurs'!$D$5:$D$1504,'Relevés compteurs'!$B$5:$B$1504,$A40))</f>
        <v/>
      </c>
      <c r="X40" s="69">
        <f>IF(OR($A40="",I40=""),"",(TODAY()-I40)/365.25)</f>
        <v/>
      </c>
      <c r="Y40" s="70">
        <f>IF($A40="","",SUMIFS('Ordres de travail'!$AA$5:$AA$3004,'Ordres de travail'!$D$5:$D$3004,$A40))</f>
        <v/>
      </c>
      <c r="Z40" s="68">
        <f>IF($A40="","",SUM(COUNTIFS('Ordres de travail'!$D$5:$D$3004,$A40,'Ordres de travail'!$AC$5:$AC$3004,{"Demandé","Planifié","En cours","En attente pièces"})))</f>
        <v/>
      </c>
      <c r="AA40" s="9">
        <f>IF(OR($A40="",M40=""),"",IF(M40&lt;TODAY(),"Expirée",IF(M40-TODAY()&lt;='Paramètres'!$AA$15,"Expire bientôt","Sous garantie")))</f>
        <v/>
      </c>
      <c r="AB40" s="72">
        <f>IF($A40="",-1,N(R40)+ROW()/1000000)</f>
        <v/>
      </c>
    </row>
    <row r="41">
      <c r="A41" s="7" t="inlineStr">
        <is>
          <t>EQ-UTI-002</t>
        </is>
      </c>
      <c r="B41" s="7" t="inlineStr">
        <is>
          <t>Compresseur à vis 37 kW (secours)</t>
        </is>
      </c>
      <c r="C41" s="7" t="inlineStr">
        <is>
          <t>COMPRESSEUR</t>
        </is>
      </c>
      <c r="D41" s="7" t="inlineStr">
        <is>
          <t>Utilités</t>
        </is>
      </c>
      <c r="E41" s="7" t="inlineStr">
        <is>
          <t>Local compresseurs</t>
        </is>
      </c>
      <c r="F41" s="7" t="inlineStr">
        <is>
          <t>Atlas Copco</t>
        </is>
      </c>
      <c r="G41" s="7" t="inlineStr">
        <is>
          <t>GA37</t>
        </is>
      </c>
      <c r="H41" s="7" t="inlineStr">
        <is>
          <t>ATL-1092667</t>
        </is>
      </c>
      <c r="I41" s="65" t="n">
        <v>40238</v>
      </c>
      <c r="J41" s="66" t="n">
        <v>26000</v>
      </c>
      <c r="K41" s="7" t="inlineStr">
        <is>
          <t>B</t>
        </is>
      </c>
      <c r="L41" s="7" t="inlineStr">
        <is>
          <t>En réserve</t>
        </is>
      </c>
      <c r="M41" s="65" t="n">
        <v>40969</v>
      </c>
      <c r="N41" s="7" t="inlineStr">
        <is>
          <t>AirComp Maintenance</t>
        </is>
      </c>
      <c r="O41" s="67" t="n">
        <v>2500</v>
      </c>
      <c r="P41" s="68">
        <f>IF($A41="","",COUNTIFS('Ordres de travail'!$D$5:$D$3004,$A41,'Ordres de travail'!$H$5:$H$3004,"Correctif",'Ordres de travail'!$AC$5:$AC$3004,"&lt;&gt;Annulé",'Ordres de travail'!$B$5:$B$3004,"&gt;="&amp;'Paramètres'!$AA$6,'Ordres de travail'!$B$5:$B$3004,"&lt;"&amp;('Paramètres'!$AA$7+1)))</f>
        <v/>
      </c>
      <c r="Q41" s="69">
        <f>IF($A41="","",SUMIFS('Ordres de travail'!$S$5:$S$3004,'Ordres de travail'!$D$5:$D$3004,$A41,'Ordres de travail'!$H$5:$H$3004,"Correctif",'Ordres de travail'!$AC$5:$AC$3004,"&lt;&gt;Annulé",'Ordres de travail'!$B$5:$B$3004,"&gt;="&amp;'Paramètres'!$AA$6,'Ordres de travail'!$B$5:$B$3004,"&lt;"&amp;('Paramètres'!$AA$7+1)))</f>
        <v/>
      </c>
      <c r="R41" s="69">
        <f>IF($A41="","",SUMIFS('Ordres de travail'!$S$5:$S$3004,'Ordres de travail'!$D$5:$D$3004,$A41,'Ordres de travail'!$AC$5:$AC$3004,"&lt;&gt;Annulé",'Ordres de travail'!$B$5:$B$3004,"&gt;="&amp;'Paramètres'!$AA$6,'Ordres de travail'!$B$5:$B$3004,"&lt;"&amp;('Paramètres'!$AA$7+1)))</f>
        <v/>
      </c>
      <c r="S41" s="70">
        <f>IF($A41="","",SUMIFS('Ordres de travail'!$AA$5:$AA$3004,'Ordres de travail'!$D$5:$D$3004,$A41,'Ordres de travail'!$B$5:$B$3004,"&gt;="&amp;'Paramètres'!$AA$6,'Ordres de travail'!$B$5:$B$3004,"&lt;"&amp;('Paramètres'!$AA$7+1)))</f>
        <v/>
      </c>
      <c r="T41" s="68">
        <f>IF($A41="","",IF(P41=0,"-",(O41*'Paramètres'!$AA$8-Q41)/P41))</f>
        <v/>
      </c>
      <c r="U41" s="69">
        <f>IF($A41="","",IF(P41=0,"-",Q41/P41))</f>
        <v/>
      </c>
      <c r="V41" s="71">
        <f>IF($A41="","",IF(N(O41)*'Paramètres'!$AA$8=0,"-",MAX(0,1-R41/(O41*'Paramètres'!$AA$8))))</f>
        <v/>
      </c>
      <c r="W41" s="68">
        <f>IF($A41="","",_xlfn.MAXIFS('Relevés compteurs'!$D$5:$D$1504,'Relevés compteurs'!$B$5:$B$1504,$A41))</f>
        <v/>
      </c>
      <c r="X41" s="69">
        <f>IF(OR($A41="",I41=""),"",(TODAY()-I41)/365.25)</f>
        <v/>
      </c>
      <c r="Y41" s="70">
        <f>IF($A41="","",SUMIFS('Ordres de travail'!$AA$5:$AA$3004,'Ordres de travail'!$D$5:$D$3004,$A41))</f>
        <v/>
      </c>
      <c r="Z41" s="68">
        <f>IF($A41="","",SUM(COUNTIFS('Ordres de travail'!$D$5:$D$3004,$A41,'Ordres de travail'!$AC$5:$AC$3004,{"Demandé","Planifié","En cours","En attente pièces"})))</f>
        <v/>
      </c>
      <c r="AA41" s="9">
        <f>IF(OR($A41="",M41=""),"",IF(M41&lt;TODAY(),"Expirée",IF(M41-TODAY()&lt;='Paramètres'!$AA$15,"Expire bientôt","Sous garantie")))</f>
        <v/>
      </c>
      <c r="AB41" s="72">
        <f>IF($A41="",-1,N(R41)+ROW()/1000000)</f>
        <v/>
      </c>
    </row>
    <row r="42">
      <c r="A42" s="7" t="inlineStr">
        <is>
          <t>EQ-UTI-003</t>
        </is>
      </c>
      <c r="B42" s="7" t="inlineStr">
        <is>
          <t>Sécheur d'air frigorifique</t>
        </is>
      </c>
      <c r="C42" s="7" t="inlineStr">
        <is>
          <t>COMPRESSEUR</t>
        </is>
      </c>
      <c r="D42" s="7" t="inlineStr">
        <is>
          <t>Utilités</t>
        </is>
      </c>
      <c r="E42" s="7" t="inlineStr">
        <is>
          <t>Local compresseurs</t>
        </is>
      </c>
      <c r="F42" s="7" t="inlineStr">
        <is>
          <t>Atlas Copco</t>
        </is>
      </c>
      <c r="G42" s="7" t="inlineStr">
        <is>
          <t>FD 120</t>
        </is>
      </c>
      <c r="H42" s="7" t="inlineStr">
        <is>
          <t>ATL-1814378</t>
        </is>
      </c>
      <c r="I42" s="65" t="n">
        <v>43115</v>
      </c>
      <c r="J42" s="66" t="n">
        <v>9000</v>
      </c>
      <c r="K42" s="7" t="inlineStr">
        <is>
          <t>B</t>
        </is>
      </c>
      <c r="L42" s="7" t="inlineStr">
        <is>
          <t>En service</t>
        </is>
      </c>
      <c r="M42" s="65" t="n">
        <v>43845</v>
      </c>
      <c r="N42" s="7" t="inlineStr">
        <is>
          <t>AirComp Maintenance</t>
        </is>
      </c>
      <c r="O42" s="67" t="n">
        <v>6000</v>
      </c>
      <c r="P42" s="68">
        <f>IF($A42="","",COUNTIFS('Ordres de travail'!$D$5:$D$3004,$A42,'Ordres de travail'!$H$5:$H$3004,"Correctif",'Ordres de travail'!$AC$5:$AC$3004,"&lt;&gt;Annulé",'Ordres de travail'!$B$5:$B$3004,"&gt;="&amp;'Paramètres'!$AA$6,'Ordres de travail'!$B$5:$B$3004,"&lt;"&amp;('Paramètres'!$AA$7+1)))</f>
        <v/>
      </c>
      <c r="Q42" s="69">
        <f>IF($A42="","",SUMIFS('Ordres de travail'!$S$5:$S$3004,'Ordres de travail'!$D$5:$D$3004,$A42,'Ordres de travail'!$H$5:$H$3004,"Correctif",'Ordres de travail'!$AC$5:$AC$3004,"&lt;&gt;Annulé",'Ordres de travail'!$B$5:$B$3004,"&gt;="&amp;'Paramètres'!$AA$6,'Ordres de travail'!$B$5:$B$3004,"&lt;"&amp;('Paramètres'!$AA$7+1)))</f>
        <v/>
      </c>
      <c r="R42" s="69">
        <f>IF($A42="","",SUMIFS('Ordres de travail'!$S$5:$S$3004,'Ordres de travail'!$D$5:$D$3004,$A42,'Ordres de travail'!$AC$5:$AC$3004,"&lt;&gt;Annulé",'Ordres de travail'!$B$5:$B$3004,"&gt;="&amp;'Paramètres'!$AA$6,'Ordres de travail'!$B$5:$B$3004,"&lt;"&amp;('Paramètres'!$AA$7+1)))</f>
        <v/>
      </c>
      <c r="S42" s="70">
        <f>IF($A42="","",SUMIFS('Ordres de travail'!$AA$5:$AA$3004,'Ordres de travail'!$D$5:$D$3004,$A42,'Ordres de travail'!$B$5:$B$3004,"&gt;="&amp;'Paramètres'!$AA$6,'Ordres de travail'!$B$5:$B$3004,"&lt;"&amp;('Paramètres'!$AA$7+1)))</f>
        <v/>
      </c>
      <c r="T42" s="68">
        <f>IF($A42="","",IF(P42=0,"-",(O42*'Paramètres'!$AA$8-Q42)/P42))</f>
        <v/>
      </c>
      <c r="U42" s="69">
        <f>IF($A42="","",IF(P42=0,"-",Q42/P42))</f>
        <v/>
      </c>
      <c r="V42" s="71">
        <f>IF($A42="","",IF(N(O42)*'Paramètres'!$AA$8=0,"-",MAX(0,1-R42/(O42*'Paramètres'!$AA$8))))</f>
        <v/>
      </c>
      <c r="W42" s="68">
        <f>IF($A42="","",_xlfn.MAXIFS('Relevés compteurs'!$D$5:$D$1504,'Relevés compteurs'!$B$5:$B$1504,$A42))</f>
        <v/>
      </c>
      <c r="X42" s="69">
        <f>IF(OR($A42="",I42=""),"",(TODAY()-I42)/365.25)</f>
        <v/>
      </c>
      <c r="Y42" s="70">
        <f>IF($A42="","",SUMIFS('Ordres de travail'!$AA$5:$AA$3004,'Ordres de travail'!$D$5:$D$3004,$A42))</f>
        <v/>
      </c>
      <c r="Z42" s="68">
        <f>IF($A42="","",SUM(COUNTIFS('Ordres de travail'!$D$5:$D$3004,$A42,'Ordres de travail'!$AC$5:$AC$3004,{"Demandé","Planifié","En cours","En attente pièces"})))</f>
        <v/>
      </c>
      <c r="AA42" s="9">
        <f>IF(OR($A42="",M42=""),"",IF(M42&lt;TODAY(),"Expirée",IF(M42-TODAY()&lt;='Paramètres'!$AA$15,"Expire bientôt","Sous garantie")))</f>
        <v/>
      </c>
      <c r="AB42" s="72">
        <f>IF($A42="",-1,N(R42)+ROW()/1000000)</f>
        <v/>
      </c>
    </row>
    <row r="43">
      <c r="A43" s="7" t="inlineStr">
        <is>
          <t>EQ-UTI-004</t>
        </is>
      </c>
      <c r="B43" s="7" t="inlineStr">
        <is>
          <t>Réservoir d'air comprimé 3000 L</t>
        </is>
      </c>
      <c r="C43" s="7" t="inlineStr">
        <is>
          <t>STATIQUE</t>
        </is>
      </c>
      <c r="D43" s="7" t="inlineStr">
        <is>
          <t>Utilités</t>
        </is>
      </c>
      <c r="E43" s="7" t="inlineStr">
        <is>
          <t>Local compresseurs</t>
        </is>
      </c>
      <c r="F43" s="7" t="inlineStr">
        <is>
          <t>Réservoirs Industriels</t>
        </is>
      </c>
      <c r="G43" s="7" t="inlineStr">
        <is>
          <t>RV3000</t>
        </is>
      </c>
      <c r="H43" s="7" t="inlineStr">
        <is>
          <t>RÉS-1015451</t>
        </is>
      </c>
      <c r="I43" s="65" t="n">
        <v>40238</v>
      </c>
      <c r="J43" s="66" t="n">
        <v>6000</v>
      </c>
      <c r="K43" s="7" t="inlineStr">
        <is>
          <t>B</t>
        </is>
      </c>
      <c r="L43" s="7" t="inlineStr">
        <is>
          <t>En service</t>
        </is>
      </c>
      <c r="M43" s="65" t="n">
        <v>40969</v>
      </c>
      <c r="N43" s="7" t="inlineStr">
        <is>
          <t>AirComp Maintenance</t>
        </is>
      </c>
      <c r="O43" s="67" t="n">
        <v>6000</v>
      </c>
      <c r="P43" s="68">
        <f>IF($A43="","",COUNTIFS('Ordres de travail'!$D$5:$D$3004,$A43,'Ordres de travail'!$H$5:$H$3004,"Correctif",'Ordres de travail'!$AC$5:$AC$3004,"&lt;&gt;Annulé",'Ordres de travail'!$B$5:$B$3004,"&gt;="&amp;'Paramètres'!$AA$6,'Ordres de travail'!$B$5:$B$3004,"&lt;"&amp;('Paramètres'!$AA$7+1)))</f>
        <v/>
      </c>
      <c r="Q43" s="69">
        <f>IF($A43="","",SUMIFS('Ordres de travail'!$S$5:$S$3004,'Ordres de travail'!$D$5:$D$3004,$A43,'Ordres de travail'!$H$5:$H$3004,"Correctif",'Ordres de travail'!$AC$5:$AC$3004,"&lt;&gt;Annulé",'Ordres de travail'!$B$5:$B$3004,"&gt;="&amp;'Paramètres'!$AA$6,'Ordres de travail'!$B$5:$B$3004,"&lt;"&amp;('Paramètres'!$AA$7+1)))</f>
        <v/>
      </c>
      <c r="R43" s="69">
        <f>IF($A43="","",SUMIFS('Ordres de travail'!$S$5:$S$3004,'Ordres de travail'!$D$5:$D$3004,$A43,'Ordres de travail'!$AC$5:$AC$3004,"&lt;&gt;Annulé",'Ordres de travail'!$B$5:$B$3004,"&gt;="&amp;'Paramètres'!$AA$6,'Ordres de travail'!$B$5:$B$3004,"&lt;"&amp;('Paramètres'!$AA$7+1)))</f>
        <v/>
      </c>
      <c r="S43" s="70">
        <f>IF($A43="","",SUMIFS('Ordres de travail'!$AA$5:$AA$3004,'Ordres de travail'!$D$5:$D$3004,$A43,'Ordres de travail'!$B$5:$B$3004,"&gt;="&amp;'Paramètres'!$AA$6,'Ordres de travail'!$B$5:$B$3004,"&lt;"&amp;('Paramètres'!$AA$7+1)))</f>
        <v/>
      </c>
      <c r="T43" s="68">
        <f>IF($A43="","",IF(P43=0,"-",(O43*'Paramètres'!$AA$8-Q43)/P43))</f>
        <v/>
      </c>
      <c r="U43" s="69">
        <f>IF($A43="","",IF(P43=0,"-",Q43/P43))</f>
        <v/>
      </c>
      <c r="V43" s="71">
        <f>IF($A43="","",IF(N(O43)*'Paramètres'!$AA$8=0,"-",MAX(0,1-R43/(O43*'Paramètres'!$AA$8))))</f>
        <v/>
      </c>
      <c r="W43" s="68">
        <f>IF($A43="","",_xlfn.MAXIFS('Relevés compteurs'!$D$5:$D$1504,'Relevés compteurs'!$B$5:$B$1504,$A43))</f>
        <v/>
      </c>
      <c r="X43" s="69">
        <f>IF(OR($A43="",I43=""),"",(TODAY()-I43)/365.25)</f>
        <v/>
      </c>
      <c r="Y43" s="70">
        <f>IF($A43="","",SUMIFS('Ordres de travail'!$AA$5:$AA$3004,'Ordres de travail'!$D$5:$D$3004,$A43))</f>
        <v/>
      </c>
      <c r="Z43" s="68">
        <f>IF($A43="","",SUM(COUNTIFS('Ordres de travail'!$D$5:$D$3004,$A43,'Ordres de travail'!$AC$5:$AC$3004,{"Demandé","Planifié","En cours","En attente pièces"})))</f>
        <v/>
      </c>
      <c r="AA43" s="9">
        <f>IF(OR($A43="",M43=""),"",IF(M43&lt;TODAY(),"Expirée",IF(M43-TODAY()&lt;='Paramètres'!$AA$15,"Expire bientôt","Sous garantie")))</f>
        <v/>
      </c>
      <c r="AB43" s="72">
        <f>IF($A43="",-1,N(R43)+ROW()/1000000)</f>
        <v/>
      </c>
    </row>
    <row r="44">
      <c r="A44" s="7" t="inlineStr">
        <is>
          <t>EQ-UTI-005</t>
        </is>
      </c>
      <c r="B44" s="7" t="inlineStr">
        <is>
          <t>Groupe d'eau glacée process</t>
        </is>
      </c>
      <c r="C44" s="7" t="inlineStr">
        <is>
          <t>CVC</t>
        </is>
      </c>
      <c r="D44" s="7" t="inlineStr">
        <is>
          <t>Utilités</t>
        </is>
      </c>
      <c r="E44" s="7" t="inlineStr">
        <is>
          <t>Extérieur nord</t>
        </is>
      </c>
      <c r="F44" s="7" t="inlineStr">
        <is>
          <t>Carrier</t>
        </is>
      </c>
      <c r="G44" s="7" t="inlineStr">
        <is>
          <t>30RB 060</t>
        </is>
      </c>
      <c r="H44" s="7" t="inlineStr">
        <is>
          <t>CAR-1493897</t>
        </is>
      </c>
      <c r="I44" s="65" t="n">
        <v>41778</v>
      </c>
      <c r="J44" s="66" t="n">
        <v>48000</v>
      </c>
      <c r="K44" s="7" t="inlineStr">
        <is>
          <t>B</t>
        </is>
      </c>
      <c r="L44" s="7" t="inlineStr">
        <is>
          <t>En service</t>
        </is>
      </c>
      <c r="M44" s="65" t="n">
        <v>42509</v>
      </c>
      <c r="N44" s="7" t="inlineStr">
        <is>
          <t>Thermique &amp; Clim Services</t>
        </is>
      </c>
      <c r="O44" s="67" t="n">
        <v>4000</v>
      </c>
      <c r="P44" s="68">
        <f>IF($A44="","",COUNTIFS('Ordres de travail'!$D$5:$D$3004,$A44,'Ordres de travail'!$H$5:$H$3004,"Correctif",'Ordres de travail'!$AC$5:$AC$3004,"&lt;&gt;Annulé",'Ordres de travail'!$B$5:$B$3004,"&gt;="&amp;'Paramètres'!$AA$6,'Ordres de travail'!$B$5:$B$3004,"&lt;"&amp;('Paramètres'!$AA$7+1)))</f>
        <v/>
      </c>
      <c r="Q44" s="69">
        <f>IF($A44="","",SUMIFS('Ordres de travail'!$S$5:$S$3004,'Ordres de travail'!$D$5:$D$3004,$A44,'Ordres de travail'!$H$5:$H$3004,"Correctif",'Ordres de travail'!$AC$5:$AC$3004,"&lt;&gt;Annulé",'Ordres de travail'!$B$5:$B$3004,"&gt;="&amp;'Paramètres'!$AA$6,'Ordres de travail'!$B$5:$B$3004,"&lt;"&amp;('Paramètres'!$AA$7+1)))</f>
        <v/>
      </c>
      <c r="R44" s="69">
        <f>IF($A44="","",SUMIFS('Ordres de travail'!$S$5:$S$3004,'Ordres de travail'!$D$5:$D$3004,$A44,'Ordres de travail'!$AC$5:$AC$3004,"&lt;&gt;Annulé",'Ordres de travail'!$B$5:$B$3004,"&gt;="&amp;'Paramètres'!$AA$6,'Ordres de travail'!$B$5:$B$3004,"&lt;"&amp;('Paramètres'!$AA$7+1)))</f>
        <v/>
      </c>
      <c r="S44" s="70">
        <f>IF($A44="","",SUMIFS('Ordres de travail'!$AA$5:$AA$3004,'Ordres de travail'!$D$5:$D$3004,$A44,'Ordres de travail'!$B$5:$B$3004,"&gt;="&amp;'Paramètres'!$AA$6,'Ordres de travail'!$B$5:$B$3004,"&lt;"&amp;('Paramètres'!$AA$7+1)))</f>
        <v/>
      </c>
      <c r="T44" s="68">
        <f>IF($A44="","",IF(P44=0,"-",(O44*'Paramètres'!$AA$8-Q44)/P44))</f>
        <v/>
      </c>
      <c r="U44" s="69">
        <f>IF($A44="","",IF(P44=0,"-",Q44/P44))</f>
        <v/>
      </c>
      <c r="V44" s="71">
        <f>IF($A44="","",IF(N(O44)*'Paramètres'!$AA$8=0,"-",MAX(0,1-R44/(O44*'Paramètres'!$AA$8))))</f>
        <v/>
      </c>
      <c r="W44" s="68">
        <f>IF($A44="","",_xlfn.MAXIFS('Relevés compteurs'!$D$5:$D$1504,'Relevés compteurs'!$B$5:$B$1504,$A44))</f>
        <v/>
      </c>
      <c r="X44" s="69">
        <f>IF(OR($A44="",I44=""),"",(TODAY()-I44)/365.25)</f>
        <v/>
      </c>
      <c r="Y44" s="70">
        <f>IF($A44="","",SUMIFS('Ordres de travail'!$AA$5:$AA$3004,'Ordres de travail'!$D$5:$D$3004,$A44))</f>
        <v/>
      </c>
      <c r="Z44" s="68">
        <f>IF($A44="","",SUM(COUNTIFS('Ordres de travail'!$D$5:$D$3004,$A44,'Ordres de travail'!$AC$5:$AC$3004,{"Demandé","Planifié","En cours","En attente pièces"})))</f>
        <v/>
      </c>
      <c r="AA44" s="9">
        <f>IF(OR($A44="",M44=""),"",IF(M44&lt;TODAY(),"Expirée",IF(M44-TODAY()&lt;='Paramètres'!$AA$15,"Expire bientôt","Sous garantie")))</f>
        <v/>
      </c>
      <c r="AB44" s="72">
        <f>IF($A44="",-1,N(R44)+ROW()/1000000)</f>
        <v/>
      </c>
    </row>
    <row r="45">
      <c r="A45" s="7" t="inlineStr">
        <is>
          <t>EQ-UTI-006</t>
        </is>
      </c>
      <c r="B45" s="7" t="inlineStr">
        <is>
          <t>Chaudière gaz à condensation</t>
        </is>
      </c>
      <c r="C45" s="7" t="inlineStr">
        <is>
          <t>CVC</t>
        </is>
      </c>
      <c r="D45" s="7" t="inlineStr">
        <is>
          <t>Utilités</t>
        </is>
      </c>
      <c r="E45" s="7" t="inlineStr">
        <is>
          <t>Chaufferie</t>
        </is>
      </c>
      <c r="F45" s="7" t="inlineStr">
        <is>
          <t>Viessmann</t>
        </is>
      </c>
      <c r="G45" s="7" t="inlineStr">
        <is>
          <t>Vitocrossal 200</t>
        </is>
      </c>
      <c r="H45" s="7" t="inlineStr">
        <is>
          <t>VIE-1258687</t>
        </is>
      </c>
      <c r="I45" s="65" t="n">
        <v>41183</v>
      </c>
      <c r="J45" s="66" t="n">
        <v>35000</v>
      </c>
      <c r="K45" s="7" t="inlineStr">
        <is>
          <t>C</t>
        </is>
      </c>
      <c r="L45" s="7" t="inlineStr">
        <is>
          <t>En service</t>
        </is>
      </c>
      <c r="M45" s="65" t="n">
        <v>41913</v>
      </c>
      <c r="N45" s="7" t="inlineStr">
        <is>
          <t>Thermique &amp; Clim Services</t>
        </is>
      </c>
      <c r="O45" s="67" t="n">
        <v>2500</v>
      </c>
      <c r="P45" s="68">
        <f>IF($A45="","",COUNTIFS('Ordres de travail'!$D$5:$D$3004,$A45,'Ordres de travail'!$H$5:$H$3004,"Correctif",'Ordres de travail'!$AC$5:$AC$3004,"&lt;&gt;Annulé",'Ordres de travail'!$B$5:$B$3004,"&gt;="&amp;'Paramètres'!$AA$6,'Ordres de travail'!$B$5:$B$3004,"&lt;"&amp;('Paramètres'!$AA$7+1)))</f>
        <v/>
      </c>
      <c r="Q45" s="69">
        <f>IF($A45="","",SUMIFS('Ordres de travail'!$S$5:$S$3004,'Ordres de travail'!$D$5:$D$3004,$A45,'Ordres de travail'!$H$5:$H$3004,"Correctif",'Ordres de travail'!$AC$5:$AC$3004,"&lt;&gt;Annulé",'Ordres de travail'!$B$5:$B$3004,"&gt;="&amp;'Paramètres'!$AA$6,'Ordres de travail'!$B$5:$B$3004,"&lt;"&amp;('Paramètres'!$AA$7+1)))</f>
        <v/>
      </c>
      <c r="R45" s="69">
        <f>IF($A45="","",SUMIFS('Ordres de travail'!$S$5:$S$3004,'Ordres de travail'!$D$5:$D$3004,$A45,'Ordres de travail'!$AC$5:$AC$3004,"&lt;&gt;Annulé",'Ordres de travail'!$B$5:$B$3004,"&gt;="&amp;'Paramètres'!$AA$6,'Ordres de travail'!$B$5:$B$3004,"&lt;"&amp;('Paramètres'!$AA$7+1)))</f>
        <v/>
      </c>
      <c r="S45" s="70">
        <f>IF($A45="","",SUMIFS('Ordres de travail'!$AA$5:$AA$3004,'Ordres de travail'!$D$5:$D$3004,$A45,'Ordres de travail'!$B$5:$B$3004,"&gt;="&amp;'Paramètres'!$AA$6,'Ordres de travail'!$B$5:$B$3004,"&lt;"&amp;('Paramètres'!$AA$7+1)))</f>
        <v/>
      </c>
      <c r="T45" s="68">
        <f>IF($A45="","",IF(P45=0,"-",(O45*'Paramètres'!$AA$8-Q45)/P45))</f>
        <v/>
      </c>
      <c r="U45" s="69">
        <f>IF($A45="","",IF(P45=0,"-",Q45/P45))</f>
        <v/>
      </c>
      <c r="V45" s="71">
        <f>IF($A45="","",IF(N(O45)*'Paramètres'!$AA$8=0,"-",MAX(0,1-R45/(O45*'Paramètres'!$AA$8))))</f>
        <v/>
      </c>
      <c r="W45" s="68">
        <f>IF($A45="","",_xlfn.MAXIFS('Relevés compteurs'!$D$5:$D$1504,'Relevés compteurs'!$B$5:$B$1504,$A45))</f>
        <v/>
      </c>
      <c r="X45" s="69">
        <f>IF(OR($A45="",I45=""),"",(TODAY()-I45)/365.25)</f>
        <v/>
      </c>
      <c r="Y45" s="70">
        <f>IF($A45="","",SUMIFS('Ordres de travail'!$AA$5:$AA$3004,'Ordres de travail'!$D$5:$D$3004,$A45))</f>
        <v/>
      </c>
      <c r="Z45" s="68">
        <f>IF($A45="","",SUM(COUNTIFS('Ordres de travail'!$D$5:$D$3004,$A45,'Ordres de travail'!$AC$5:$AC$3004,{"Demandé","Planifié","En cours","En attente pièces"})))</f>
        <v/>
      </c>
      <c r="AA45" s="9">
        <f>IF(OR($A45="",M45=""),"",IF(M45&lt;TODAY(),"Expirée",IF(M45-TODAY()&lt;='Paramètres'!$AA$15,"Expire bientôt","Sous garantie")))</f>
        <v/>
      </c>
      <c r="AB45" s="72">
        <f>IF($A45="",-1,N(R45)+ROW()/1000000)</f>
        <v/>
      </c>
    </row>
    <row r="46">
      <c r="A46" s="7" t="inlineStr">
        <is>
          <t>EQ-UTI-007</t>
        </is>
      </c>
      <c r="B46" s="7" t="inlineStr">
        <is>
          <t>Transformateur HTA/BT 1000 kVA</t>
        </is>
      </c>
      <c r="C46" s="7" t="inlineStr">
        <is>
          <t>ELEC</t>
        </is>
      </c>
      <c r="D46" s="7" t="inlineStr">
        <is>
          <t>Utilités</t>
        </is>
      </c>
      <c r="E46" s="7" t="inlineStr">
        <is>
          <t>Poste de livraison</t>
        </is>
      </c>
      <c r="F46" s="7" t="inlineStr">
        <is>
          <t>Schneider Electric</t>
        </is>
      </c>
      <c r="G46" s="7" t="inlineStr">
        <is>
          <t>Trihal</t>
        </is>
      </c>
      <c r="H46" s="7" t="inlineStr">
        <is>
          <t>SCH-0593430</t>
        </is>
      </c>
      <c r="I46" s="65" t="n">
        <v>38362</v>
      </c>
      <c r="J46" s="66" t="n">
        <v>45000</v>
      </c>
      <c r="K46" s="7" t="inlineStr">
        <is>
          <t>A</t>
        </is>
      </c>
      <c r="L46" s="7" t="inlineStr">
        <is>
          <t>En service</t>
        </is>
      </c>
      <c r="M46" s="65" t="n">
        <v>39092</v>
      </c>
      <c r="N46" s="7" t="inlineStr">
        <is>
          <t>ÉlecDistrib Pro</t>
        </is>
      </c>
      <c r="O46" s="67" t="n">
        <v>8760</v>
      </c>
      <c r="P46" s="68">
        <f>IF($A46="","",COUNTIFS('Ordres de travail'!$D$5:$D$3004,$A46,'Ordres de travail'!$H$5:$H$3004,"Correctif",'Ordres de travail'!$AC$5:$AC$3004,"&lt;&gt;Annulé",'Ordres de travail'!$B$5:$B$3004,"&gt;="&amp;'Paramètres'!$AA$6,'Ordres de travail'!$B$5:$B$3004,"&lt;"&amp;('Paramètres'!$AA$7+1)))</f>
        <v/>
      </c>
      <c r="Q46" s="69">
        <f>IF($A46="","",SUMIFS('Ordres de travail'!$S$5:$S$3004,'Ordres de travail'!$D$5:$D$3004,$A46,'Ordres de travail'!$H$5:$H$3004,"Correctif",'Ordres de travail'!$AC$5:$AC$3004,"&lt;&gt;Annulé",'Ordres de travail'!$B$5:$B$3004,"&gt;="&amp;'Paramètres'!$AA$6,'Ordres de travail'!$B$5:$B$3004,"&lt;"&amp;('Paramètres'!$AA$7+1)))</f>
        <v/>
      </c>
      <c r="R46" s="69">
        <f>IF($A46="","",SUMIFS('Ordres de travail'!$S$5:$S$3004,'Ordres de travail'!$D$5:$D$3004,$A46,'Ordres de travail'!$AC$5:$AC$3004,"&lt;&gt;Annulé",'Ordres de travail'!$B$5:$B$3004,"&gt;="&amp;'Paramètres'!$AA$6,'Ordres de travail'!$B$5:$B$3004,"&lt;"&amp;('Paramètres'!$AA$7+1)))</f>
        <v/>
      </c>
      <c r="S46" s="70">
        <f>IF($A46="","",SUMIFS('Ordres de travail'!$AA$5:$AA$3004,'Ordres de travail'!$D$5:$D$3004,$A46,'Ordres de travail'!$B$5:$B$3004,"&gt;="&amp;'Paramètres'!$AA$6,'Ordres de travail'!$B$5:$B$3004,"&lt;"&amp;('Paramètres'!$AA$7+1)))</f>
        <v/>
      </c>
      <c r="T46" s="68">
        <f>IF($A46="","",IF(P46=0,"-",(O46*'Paramètres'!$AA$8-Q46)/P46))</f>
        <v/>
      </c>
      <c r="U46" s="69">
        <f>IF($A46="","",IF(P46=0,"-",Q46/P46))</f>
        <v/>
      </c>
      <c r="V46" s="71">
        <f>IF($A46="","",IF(N(O46)*'Paramètres'!$AA$8=0,"-",MAX(0,1-R46/(O46*'Paramètres'!$AA$8))))</f>
        <v/>
      </c>
      <c r="W46" s="68">
        <f>IF($A46="","",_xlfn.MAXIFS('Relevés compteurs'!$D$5:$D$1504,'Relevés compteurs'!$B$5:$B$1504,$A46))</f>
        <v/>
      </c>
      <c r="X46" s="69">
        <f>IF(OR($A46="",I46=""),"",(TODAY()-I46)/365.25)</f>
        <v/>
      </c>
      <c r="Y46" s="70">
        <f>IF($A46="","",SUMIFS('Ordres de travail'!$AA$5:$AA$3004,'Ordres de travail'!$D$5:$D$3004,$A46))</f>
        <v/>
      </c>
      <c r="Z46" s="68">
        <f>IF($A46="","",SUM(COUNTIFS('Ordres de travail'!$D$5:$D$3004,$A46,'Ordres de travail'!$AC$5:$AC$3004,{"Demandé","Planifié","En cours","En attente pièces"})))</f>
        <v/>
      </c>
      <c r="AA46" s="9">
        <f>IF(OR($A46="",M46=""),"",IF(M46&lt;TODAY(),"Expirée",IF(M46-TODAY()&lt;='Paramètres'!$AA$15,"Expire bientôt","Sous garantie")))</f>
        <v/>
      </c>
      <c r="AB46" s="72">
        <f>IF($A46="",-1,N(R46)+ROW()/1000000)</f>
        <v/>
      </c>
    </row>
    <row r="47">
      <c r="A47" s="7" t="inlineStr">
        <is>
          <t>EQ-UTI-008</t>
        </is>
      </c>
      <c r="B47" s="7" t="inlineStr">
        <is>
          <t>TGBT principal</t>
        </is>
      </c>
      <c r="C47" s="7" t="inlineStr">
        <is>
          <t>ELEC</t>
        </is>
      </c>
      <c r="D47" s="7" t="inlineStr">
        <is>
          <t>Utilités</t>
        </is>
      </c>
      <c r="E47" s="7" t="inlineStr">
        <is>
          <t>Local électrique</t>
        </is>
      </c>
      <c r="F47" s="7" t="inlineStr">
        <is>
          <t>Schneider Electric</t>
        </is>
      </c>
      <c r="G47" s="7" t="inlineStr">
        <is>
          <t>Prisma P</t>
        </is>
      </c>
      <c r="H47" s="7" t="inlineStr">
        <is>
          <t>SCH-0541091</t>
        </is>
      </c>
      <c r="I47" s="65" t="n">
        <v>38362</v>
      </c>
      <c r="J47" s="66" t="n">
        <v>60000</v>
      </c>
      <c r="K47" s="7" t="inlineStr">
        <is>
          <t>A</t>
        </is>
      </c>
      <c r="L47" s="7" t="inlineStr">
        <is>
          <t>En service</t>
        </is>
      </c>
      <c r="M47" s="65" t="n">
        <v>39092</v>
      </c>
      <c r="N47" s="7" t="inlineStr">
        <is>
          <t>ÉlecDistrib Pro</t>
        </is>
      </c>
      <c r="O47" s="67" t="n">
        <v>8760</v>
      </c>
      <c r="P47" s="68">
        <f>IF($A47="","",COUNTIFS('Ordres de travail'!$D$5:$D$3004,$A47,'Ordres de travail'!$H$5:$H$3004,"Correctif",'Ordres de travail'!$AC$5:$AC$3004,"&lt;&gt;Annulé",'Ordres de travail'!$B$5:$B$3004,"&gt;="&amp;'Paramètres'!$AA$6,'Ordres de travail'!$B$5:$B$3004,"&lt;"&amp;('Paramètres'!$AA$7+1)))</f>
        <v/>
      </c>
      <c r="Q47" s="69">
        <f>IF($A47="","",SUMIFS('Ordres de travail'!$S$5:$S$3004,'Ordres de travail'!$D$5:$D$3004,$A47,'Ordres de travail'!$H$5:$H$3004,"Correctif",'Ordres de travail'!$AC$5:$AC$3004,"&lt;&gt;Annulé",'Ordres de travail'!$B$5:$B$3004,"&gt;="&amp;'Paramètres'!$AA$6,'Ordres de travail'!$B$5:$B$3004,"&lt;"&amp;('Paramètres'!$AA$7+1)))</f>
        <v/>
      </c>
      <c r="R47" s="69">
        <f>IF($A47="","",SUMIFS('Ordres de travail'!$S$5:$S$3004,'Ordres de travail'!$D$5:$D$3004,$A47,'Ordres de travail'!$AC$5:$AC$3004,"&lt;&gt;Annulé",'Ordres de travail'!$B$5:$B$3004,"&gt;="&amp;'Paramètres'!$AA$6,'Ordres de travail'!$B$5:$B$3004,"&lt;"&amp;('Paramètres'!$AA$7+1)))</f>
        <v/>
      </c>
      <c r="S47" s="70">
        <f>IF($A47="","",SUMIFS('Ordres de travail'!$AA$5:$AA$3004,'Ordres de travail'!$D$5:$D$3004,$A47,'Ordres de travail'!$B$5:$B$3004,"&gt;="&amp;'Paramètres'!$AA$6,'Ordres de travail'!$B$5:$B$3004,"&lt;"&amp;('Paramètres'!$AA$7+1)))</f>
        <v/>
      </c>
      <c r="T47" s="68">
        <f>IF($A47="","",IF(P47=0,"-",(O47*'Paramètres'!$AA$8-Q47)/P47))</f>
        <v/>
      </c>
      <c r="U47" s="69">
        <f>IF($A47="","",IF(P47=0,"-",Q47/P47))</f>
        <v/>
      </c>
      <c r="V47" s="71">
        <f>IF($A47="","",IF(N(O47)*'Paramètres'!$AA$8=0,"-",MAX(0,1-R47/(O47*'Paramètres'!$AA$8))))</f>
        <v/>
      </c>
      <c r="W47" s="68">
        <f>IF($A47="","",_xlfn.MAXIFS('Relevés compteurs'!$D$5:$D$1504,'Relevés compteurs'!$B$5:$B$1504,$A47))</f>
        <v/>
      </c>
      <c r="X47" s="69">
        <f>IF(OR($A47="",I47=""),"",(TODAY()-I47)/365.25)</f>
        <v/>
      </c>
      <c r="Y47" s="70">
        <f>IF($A47="","",SUMIFS('Ordres de travail'!$AA$5:$AA$3004,'Ordres de travail'!$D$5:$D$3004,$A47))</f>
        <v/>
      </c>
      <c r="Z47" s="68">
        <f>IF($A47="","",SUM(COUNTIFS('Ordres de travail'!$D$5:$D$3004,$A47,'Ordres de travail'!$AC$5:$AC$3004,{"Demandé","Planifié","En cours","En attente pièces"})))</f>
        <v/>
      </c>
      <c r="AA47" s="9">
        <f>IF(OR($A47="",M47=""),"",IF(M47&lt;TODAY(),"Expirée",IF(M47-TODAY()&lt;='Paramètres'!$AA$15,"Expire bientôt","Sous garantie")))</f>
        <v/>
      </c>
      <c r="AB47" s="72">
        <f>IF($A47="",-1,N(R47)+ROW()/1000000)</f>
        <v/>
      </c>
    </row>
    <row r="48">
      <c r="A48" s="7" t="inlineStr">
        <is>
          <t>EQ-UTI-009</t>
        </is>
      </c>
      <c r="B48" s="7" t="inlineStr">
        <is>
          <t>Station de traitement des effluents</t>
        </is>
      </c>
      <c r="C48" s="7" t="inlineStr">
        <is>
          <t>EAU</t>
        </is>
      </c>
      <c r="D48" s="7" t="inlineStr">
        <is>
          <t>Utilités</t>
        </is>
      </c>
      <c r="E48" s="7" t="inlineStr">
        <is>
          <t>Local effluents</t>
        </is>
      </c>
      <c r="F48" s="7" t="inlineStr">
        <is>
          <t>Surface Process</t>
        </is>
      </c>
      <c r="G48" s="7" t="inlineStr">
        <is>
          <t>STE-12</t>
        </is>
      </c>
      <c r="H48" s="7" t="inlineStr">
        <is>
          <t>SUR-1312118</t>
        </is>
      </c>
      <c r="I48" s="65" t="n">
        <v>41519</v>
      </c>
      <c r="J48" s="66" t="n">
        <v>75000</v>
      </c>
      <c r="K48" s="7" t="inlineStr">
        <is>
          <t>B</t>
        </is>
      </c>
      <c r="L48" s="7" t="inlineStr">
        <is>
          <t>En service</t>
        </is>
      </c>
      <c r="M48" s="65" t="n">
        <v>42249</v>
      </c>
      <c r="N48" s="7" t="inlineStr">
        <is>
          <t>Surface Process Assistance</t>
        </is>
      </c>
      <c r="O48" s="67" t="n">
        <v>3600</v>
      </c>
      <c r="P48" s="68">
        <f>IF($A48="","",COUNTIFS('Ordres de travail'!$D$5:$D$3004,$A48,'Ordres de travail'!$H$5:$H$3004,"Correctif",'Ordres de travail'!$AC$5:$AC$3004,"&lt;&gt;Annulé",'Ordres de travail'!$B$5:$B$3004,"&gt;="&amp;'Paramètres'!$AA$6,'Ordres de travail'!$B$5:$B$3004,"&lt;"&amp;('Paramètres'!$AA$7+1)))</f>
        <v/>
      </c>
      <c r="Q48" s="69">
        <f>IF($A48="","",SUMIFS('Ordres de travail'!$S$5:$S$3004,'Ordres de travail'!$D$5:$D$3004,$A48,'Ordres de travail'!$H$5:$H$3004,"Correctif",'Ordres de travail'!$AC$5:$AC$3004,"&lt;&gt;Annulé",'Ordres de travail'!$B$5:$B$3004,"&gt;="&amp;'Paramètres'!$AA$6,'Ordres de travail'!$B$5:$B$3004,"&lt;"&amp;('Paramètres'!$AA$7+1)))</f>
        <v/>
      </c>
      <c r="R48" s="69">
        <f>IF($A48="","",SUMIFS('Ordres de travail'!$S$5:$S$3004,'Ordres de travail'!$D$5:$D$3004,$A48,'Ordres de travail'!$AC$5:$AC$3004,"&lt;&gt;Annulé",'Ordres de travail'!$B$5:$B$3004,"&gt;="&amp;'Paramètres'!$AA$6,'Ordres de travail'!$B$5:$B$3004,"&lt;"&amp;('Paramètres'!$AA$7+1)))</f>
        <v/>
      </c>
      <c r="S48" s="70">
        <f>IF($A48="","",SUMIFS('Ordres de travail'!$AA$5:$AA$3004,'Ordres de travail'!$D$5:$D$3004,$A48,'Ordres de travail'!$B$5:$B$3004,"&gt;="&amp;'Paramètres'!$AA$6,'Ordres de travail'!$B$5:$B$3004,"&lt;"&amp;('Paramètres'!$AA$7+1)))</f>
        <v/>
      </c>
      <c r="T48" s="68">
        <f>IF($A48="","",IF(P48=0,"-",(O48*'Paramètres'!$AA$8-Q48)/P48))</f>
        <v/>
      </c>
      <c r="U48" s="69">
        <f>IF($A48="","",IF(P48=0,"-",Q48/P48))</f>
        <v/>
      </c>
      <c r="V48" s="71">
        <f>IF($A48="","",IF(N(O48)*'Paramètres'!$AA$8=0,"-",MAX(0,1-R48/(O48*'Paramètres'!$AA$8))))</f>
        <v/>
      </c>
      <c r="W48" s="68">
        <f>IF($A48="","",_xlfn.MAXIFS('Relevés compteurs'!$D$5:$D$1504,'Relevés compteurs'!$B$5:$B$1504,$A48))</f>
        <v/>
      </c>
      <c r="X48" s="69">
        <f>IF(OR($A48="",I48=""),"",(TODAY()-I48)/365.25)</f>
        <v/>
      </c>
      <c r="Y48" s="70">
        <f>IF($A48="","",SUMIFS('Ordres de travail'!$AA$5:$AA$3004,'Ordres de travail'!$D$5:$D$3004,$A48))</f>
        <v/>
      </c>
      <c r="Z48" s="68">
        <f>IF($A48="","",SUM(COUNTIFS('Ordres de travail'!$D$5:$D$3004,$A48,'Ordres de travail'!$AC$5:$AC$3004,{"Demandé","Planifié","En cours","En attente pièces"})))</f>
        <v/>
      </c>
      <c r="AA48" s="9">
        <f>IF(OR($A48="",M48=""),"",IF(M48&lt;TODAY(),"Expirée",IF(M48-TODAY()&lt;='Paramètres'!$AA$15,"Expire bientôt","Sous garantie")))</f>
        <v/>
      </c>
      <c r="AB48" s="72">
        <f>IF($A48="",-1,N(R48)+ROW()/1000000)</f>
        <v/>
      </c>
    </row>
    <row r="49">
      <c r="A49" s="7" t="inlineStr">
        <is>
          <t>EQ-UTI-010</t>
        </is>
      </c>
      <c r="B49" s="7" t="inlineStr">
        <is>
          <t>Groupe électrogène 250 kVA</t>
        </is>
      </c>
      <c r="C49" s="7" t="inlineStr">
        <is>
          <t>ELEC</t>
        </is>
      </c>
      <c r="D49" s="7" t="inlineStr">
        <is>
          <t>Utilités</t>
        </is>
      </c>
      <c r="E49" s="7" t="inlineStr">
        <is>
          <t>Extérieur sud</t>
        </is>
      </c>
      <c r="F49" s="7" t="inlineStr">
        <is>
          <t>SDMO</t>
        </is>
      </c>
      <c r="G49" s="7" t="inlineStr">
        <is>
          <t>J250K</t>
        </is>
      </c>
      <c r="H49" s="7" t="inlineStr">
        <is>
          <t>SDM-1146877</t>
        </is>
      </c>
      <c r="I49" s="65" t="n">
        <v>40700</v>
      </c>
      <c r="J49" s="66" t="n">
        <v>40000</v>
      </c>
      <c r="K49" s="7" t="inlineStr">
        <is>
          <t>B</t>
        </is>
      </c>
      <c r="L49" s="7" t="inlineStr">
        <is>
          <t>En service</t>
        </is>
      </c>
      <c r="M49" s="65" t="n">
        <v>41431</v>
      </c>
      <c r="N49" s="7" t="inlineStr">
        <is>
          <t>ÉlecDistrib Pro</t>
        </is>
      </c>
      <c r="O49" s="67" t="n">
        <v>200</v>
      </c>
      <c r="P49" s="68">
        <f>IF($A49="","",COUNTIFS('Ordres de travail'!$D$5:$D$3004,$A49,'Ordres de travail'!$H$5:$H$3004,"Correctif",'Ordres de travail'!$AC$5:$AC$3004,"&lt;&gt;Annulé",'Ordres de travail'!$B$5:$B$3004,"&gt;="&amp;'Paramètres'!$AA$6,'Ordres de travail'!$B$5:$B$3004,"&lt;"&amp;('Paramètres'!$AA$7+1)))</f>
        <v/>
      </c>
      <c r="Q49" s="69">
        <f>IF($A49="","",SUMIFS('Ordres de travail'!$S$5:$S$3004,'Ordres de travail'!$D$5:$D$3004,$A49,'Ordres de travail'!$H$5:$H$3004,"Correctif",'Ordres de travail'!$AC$5:$AC$3004,"&lt;&gt;Annulé",'Ordres de travail'!$B$5:$B$3004,"&gt;="&amp;'Paramètres'!$AA$6,'Ordres de travail'!$B$5:$B$3004,"&lt;"&amp;('Paramètres'!$AA$7+1)))</f>
        <v/>
      </c>
      <c r="R49" s="69">
        <f>IF($A49="","",SUMIFS('Ordres de travail'!$S$5:$S$3004,'Ordres de travail'!$D$5:$D$3004,$A49,'Ordres de travail'!$AC$5:$AC$3004,"&lt;&gt;Annulé",'Ordres de travail'!$B$5:$B$3004,"&gt;="&amp;'Paramètres'!$AA$6,'Ordres de travail'!$B$5:$B$3004,"&lt;"&amp;('Paramètres'!$AA$7+1)))</f>
        <v/>
      </c>
      <c r="S49" s="70">
        <f>IF($A49="","",SUMIFS('Ordres de travail'!$AA$5:$AA$3004,'Ordres de travail'!$D$5:$D$3004,$A49,'Ordres de travail'!$B$5:$B$3004,"&gt;="&amp;'Paramètres'!$AA$6,'Ordres de travail'!$B$5:$B$3004,"&lt;"&amp;('Paramètres'!$AA$7+1)))</f>
        <v/>
      </c>
      <c r="T49" s="68">
        <f>IF($A49="","",IF(P49=0,"-",(O49*'Paramètres'!$AA$8-Q49)/P49))</f>
        <v/>
      </c>
      <c r="U49" s="69">
        <f>IF($A49="","",IF(P49=0,"-",Q49/P49))</f>
        <v/>
      </c>
      <c r="V49" s="71">
        <f>IF($A49="","",IF(N(O49)*'Paramètres'!$AA$8=0,"-",MAX(0,1-R49/(O49*'Paramètres'!$AA$8))))</f>
        <v/>
      </c>
      <c r="W49" s="68">
        <f>IF($A49="","",_xlfn.MAXIFS('Relevés compteurs'!$D$5:$D$1504,'Relevés compteurs'!$B$5:$B$1504,$A49))</f>
        <v/>
      </c>
      <c r="X49" s="69">
        <f>IF(OR($A49="",I49=""),"",(TODAY()-I49)/365.25)</f>
        <v/>
      </c>
      <c r="Y49" s="70">
        <f>IF($A49="","",SUMIFS('Ordres de travail'!$AA$5:$AA$3004,'Ordres de travail'!$D$5:$D$3004,$A49))</f>
        <v/>
      </c>
      <c r="Z49" s="68">
        <f>IF($A49="","",SUM(COUNTIFS('Ordres de travail'!$D$5:$D$3004,$A49,'Ordres de travail'!$AC$5:$AC$3004,{"Demandé","Planifié","En cours","En attente pièces"})))</f>
        <v/>
      </c>
      <c r="AA49" s="9">
        <f>IF(OR($A49="",M49=""),"",IF(M49&lt;TODAY(),"Expirée",IF(M49-TODAY()&lt;='Paramètres'!$AA$15,"Expire bientôt","Sous garantie")))</f>
        <v/>
      </c>
      <c r="AB49" s="72">
        <f>IF($A49="",-1,N(R49)+ROW()/1000000)</f>
        <v/>
      </c>
    </row>
    <row r="50">
      <c r="A50" s="7" t="inlineStr">
        <is>
          <t>EQ-LOG-001</t>
        </is>
      </c>
      <c r="B50" s="7" t="inlineStr">
        <is>
          <t>Chariot élévateur électrique 2,5 t n°1</t>
        </is>
      </c>
      <c r="C50" s="7" t="inlineStr">
        <is>
          <t>CHARIOT</t>
        </is>
      </c>
      <c r="D50" s="7" t="inlineStr">
        <is>
          <t>Logistique</t>
        </is>
      </c>
      <c r="E50" s="7" t="inlineStr">
        <is>
          <t>Magasin</t>
        </is>
      </c>
      <c r="F50" s="7" t="inlineStr">
        <is>
          <t>Linde</t>
        </is>
      </c>
      <c r="G50" s="7" t="inlineStr">
        <is>
          <t>E25</t>
        </is>
      </c>
      <c r="H50" s="7" t="inlineStr">
        <is>
          <t>LIN-1932778</t>
        </is>
      </c>
      <c r="I50" s="65" t="n">
        <v>43500</v>
      </c>
      <c r="J50" s="66" t="n">
        <v>38000</v>
      </c>
      <c r="K50" s="7" t="inlineStr">
        <is>
          <t>B</t>
        </is>
      </c>
      <c r="L50" s="7" t="inlineStr">
        <is>
          <t>En service</t>
        </is>
      </c>
      <c r="M50" s="65" t="n">
        <v>44231</v>
      </c>
      <c r="N50" s="7" t="inlineStr">
        <is>
          <t>Manutention Services 44</t>
        </is>
      </c>
      <c r="O50" s="67" t="n">
        <v>3000</v>
      </c>
      <c r="P50" s="68">
        <f>IF($A50="","",COUNTIFS('Ordres de travail'!$D$5:$D$3004,$A50,'Ordres de travail'!$H$5:$H$3004,"Correctif",'Ordres de travail'!$AC$5:$AC$3004,"&lt;&gt;Annulé",'Ordres de travail'!$B$5:$B$3004,"&gt;="&amp;'Paramètres'!$AA$6,'Ordres de travail'!$B$5:$B$3004,"&lt;"&amp;('Paramètres'!$AA$7+1)))</f>
        <v/>
      </c>
      <c r="Q50" s="69">
        <f>IF($A50="","",SUMIFS('Ordres de travail'!$S$5:$S$3004,'Ordres de travail'!$D$5:$D$3004,$A50,'Ordres de travail'!$H$5:$H$3004,"Correctif",'Ordres de travail'!$AC$5:$AC$3004,"&lt;&gt;Annulé",'Ordres de travail'!$B$5:$B$3004,"&gt;="&amp;'Paramètres'!$AA$6,'Ordres de travail'!$B$5:$B$3004,"&lt;"&amp;('Paramètres'!$AA$7+1)))</f>
        <v/>
      </c>
      <c r="R50" s="69">
        <f>IF($A50="","",SUMIFS('Ordres de travail'!$S$5:$S$3004,'Ordres de travail'!$D$5:$D$3004,$A50,'Ordres de travail'!$AC$5:$AC$3004,"&lt;&gt;Annulé",'Ordres de travail'!$B$5:$B$3004,"&gt;="&amp;'Paramètres'!$AA$6,'Ordres de travail'!$B$5:$B$3004,"&lt;"&amp;('Paramètres'!$AA$7+1)))</f>
        <v/>
      </c>
      <c r="S50" s="70">
        <f>IF($A50="","",SUMIFS('Ordres de travail'!$AA$5:$AA$3004,'Ordres de travail'!$D$5:$D$3004,$A50,'Ordres de travail'!$B$5:$B$3004,"&gt;="&amp;'Paramètres'!$AA$6,'Ordres de travail'!$B$5:$B$3004,"&lt;"&amp;('Paramètres'!$AA$7+1)))</f>
        <v/>
      </c>
      <c r="T50" s="68">
        <f>IF($A50="","",IF(P50=0,"-",(O50*'Paramètres'!$AA$8-Q50)/P50))</f>
        <v/>
      </c>
      <c r="U50" s="69">
        <f>IF($A50="","",IF(P50=0,"-",Q50/P50))</f>
        <v/>
      </c>
      <c r="V50" s="71">
        <f>IF($A50="","",IF(N(O50)*'Paramètres'!$AA$8=0,"-",MAX(0,1-R50/(O50*'Paramètres'!$AA$8))))</f>
        <v/>
      </c>
      <c r="W50" s="68">
        <f>IF($A50="","",_xlfn.MAXIFS('Relevés compteurs'!$D$5:$D$1504,'Relevés compteurs'!$B$5:$B$1504,$A50))</f>
        <v/>
      </c>
      <c r="X50" s="69">
        <f>IF(OR($A50="",I50=""),"",(TODAY()-I50)/365.25)</f>
        <v/>
      </c>
      <c r="Y50" s="70">
        <f>IF($A50="","",SUMIFS('Ordres de travail'!$AA$5:$AA$3004,'Ordres de travail'!$D$5:$D$3004,$A50))</f>
        <v/>
      </c>
      <c r="Z50" s="68">
        <f>IF($A50="","",SUM(COUNTIFS('Ordres de travail'!$D$5:$D$3004,$A50,'Ordres de travail'!$AC$5:$AC$3004,{"Demandé","Planifié","En cours","En attente pièces"})))</f>
        <v/>
      </c>
      <c r="AA50" s="9">
        <f>IF(OR($A50="",M50=""),"",IF(M50&lt;TODAY(),"Expirée",IF(M50-TODAY()&lt;='Paramètres'!$AA$15,"Expire bientôt","Sous garantie")))</f>
        <v/>
      </c>
      <c r="AB50" s="72">
        <f>IF($A50="",-1,N(R50)+ROW()/1000000)</f>
        <v/>
      </c>
    </row>
    <row r="51">
      <c r="A51" s="7" t="inlineStr">
        <is>
          <t>EQ-LOG-002</t>
        </is>
      </c>
      <c r="B51" s="7" t="inlineStr">
        <is>
          <t>Chariot élévateur électrique 2,5 t n°2</t>
        </is>
      </c>
      <c r="C51" s="7" t="inlineStr">
        <is>
          <t>CHARIOT</t>
        </is>
      </c>
      <c r="D51" s="7" t="inlineStr">
        <is>
          <t>Logistique</t>
        </is>
      </c>
      <c r="E51" s="7" t="inlineStr">
        <is>
          <t>Expédition</t>
        </is>
      </c>
      <c r="F51" s="7" t="inlineStr">
        <is>
          <t>Linde</t>
        </is>
      </c>
      <c r="G51" s="7" t="inlineStr">
        <is>
          <t>E25</t>
        </is>
      </c>
      <c r="H51" s="7" t="inlineStr">
        <is>
          <t>LIN-1611023</t>
        </is>
      </c>
      <c r="I51" s="65" t="n">
        <v>42415</v>
      </c>
      <c r="J51" s="66" t="n">
        <v>34000</v>
      </c>
      <c r="K51" s="7" t="inlineStr">
        <is>
          <t>B</t>
        </is>
      </c>
      <c r="L51" s="7" t="inlineStr">
        <is>
          <t>En service</t>
        </is>
      </c>
      <c r="M51" s="65" t="n">
        <v>43146</v>
      </c>
      <c r="N51" s="7" t="inlineStr">
        <is>
          <t>Manutention Services 44</t>
        </is>
      </c>
      <c r="O51" s="67" t="n">
        <v>3000</v>
      </c>
      <c r="P51" s="68">
        <f>IF($A51="","",COUNTIFS('Ordres de travail'!$D$5:$D$3004,$A51,'Ordres de travail'!$H$5:$H$3004,"Correctif",'Ordres de travail'!$AC$5:$AC$3004,"&lt;&gt;Annulé",'Ordres de travail'!$B$5:$B$3004,"&gt;="&amp;'Paramètres'!$AA$6,'Ordres de travail'!$B$5:$B$3004,"&lt;"&amp;('Paramètres'!$AA$7+1)))</f>
        <v/>
      </c>
      <c r="Q51" s="69">
        <f>IF($A51="","",SUMIFS('Ordres de travail'!$S$5:$S$3004,'Ordres de travail'!$D$5:$D$3004,$A51,'Ordres de travail'!$H$5:$H$3004,"Correctif",'Ordres de travail'!$AC$5:$AC$3004,"&lt;&gt;Annulé",'Ordres de travail'!$B$5:$B$3004,"&gt;="&amp;'Paramètres'!$AA$6,'Ordres de travail'!$B$5:$B$3004,"&lt;"&amp;('Paramètres'!$AA$7+1)))</f>
        <v/>
      </c>
      <c r="R51" s="69">
        <f>IF($A51="","",SUMIFS('Ordres de travail'!$S$5:$S$3004,'Ordres de travail'!$D$5:$D$3004,$A51,'Ordres de travail'!$AC$5:$AC$3004,"&lt;&gt;Annulé",'Ordres de travail'!$B$5:$B$3004,"&gt;="&amp;'Paramètres'!$AA$6,'Ordres de travail'!$B$5:$B$3004,"&lt;"&amp;('Paramètres'!$AA$7+1)))</f>
        <v/>
      </c>
      <c r="S51" s="70">
        <f>IF($A51="","",SUMIFS('Ordres de travail'!$AA$5:$AA$3004,'Ordres de travail'!$D$5:$D$3004,$A51,'Ordres de travail'!$B$5:$B$3004,"&gt;="&amp;'Paramètres'!$AA$6,'Ordres de travail'!$B$5:$B$3004,"&lt;"&amp;('Paramètres'!$AA$7+1)))</f>
        <v/>
      </c>
      <c r="T51" s="68">
        <f>IF($A51="","",IF(P51=0,"-",(O51*'Paramètres'!$AA$8-Q51)/P51))</f>
        <v/>
      </c>
      <c r="U51" s="69">
        <f>IF($A51="","",IF(P51=0,"-",Q51/P51))</f>
        <v/>
      </c>
      <c r="V51" s="71">
        <f>IF($A51="","",IF(N(O51)*'Paramètres'!$AA$8=0,"-",MAX(0,1-R51/(O51*'Paramètres'!$AA$8))))</f>
        <v/>
      </c>
      <c r="W51" s="68">
        <f>IF($A51="","",_xlfn.MAXIFS('Relevés compteurs'!$D$5:$D$1504,'Relevés compteurs'!$B$5:$B$1504,$A51))</f>
        <v/>
      </c>
      <c r="X51" s="69">
        <f>IF(OR($A51="",I51=""),"",(TODAY()-I51)/365.25)</f>
        <v/>
      </c>
      <c r="Y51" s="70">
        <f>IF($A51="","",SUMIFS('Ordres de travail'!$AA$5:$AA$3004,'Ordres de travail'!$D$5:$D$3004,$A51))</f>
        <v/>
      </c>
      <c r="Z51" s="68">
        <f>IF($A51="","",SUM(COUNTIFS('Ordres de travail'!$D$5:$D$3004,$A51,'Ordres de travail'!$AC$5:$AC$3004,{"Demandé","Planifié","En cours","En attente pièces"})))</f>
        <v/>
      </c>
      <c r="AA51" s="9">
        <f>IF(OR($A51="",M51=""),"",IF(M51&lt;TODAY(),"Expirée",IF(M51-TODAY()&lt;='Paramètres'!$AA$15,"Expire bientôt","Sous garantie")))</f>
        <v/>
      </c>
      <c r="AB51" s="72">
        <f>IF($A51="",-1,N(R51)+ROW()/1000000)</f>
        <v/>
      </c>
    </row>
    <row r="52">
      <c r="A52" s="7" t="inlineStr">
        <is>
          <t>EQ-LOG-003</t>
        </is>
      </c>
      <c r="B52" s="7" t="inlineStr">
        <is>
          <t>Chariot élévateur thermique 3 t</t>
        </is>
      </c>
      <c r="C52" s="7" t="inlineStr">
        <is>
          <t>CHARIOT</t>
        </is>
      </c>
      <c r="D52" s="7" t="inlineStr">
        <is>
          <t>Logistique</t>
        </is>
      </c>
      <c r="E52" s="7" t="inlineStr">
        <is>
          <t>Cour extérieure</t>
        </is>
      </c>
      <c r="F52" s="7" t="inlineStr">
        <is>
          <t>Toyota</t>
        </is>
      </c>
      <c r="G52" s="7" t="inlineStr">
        <is>
          <t>02-8FDF30</t>
        </is>
      </c>
      <c r="H52" s="7" t="inlineStr">
        <is>
          <t>TOY-1213383</t>
        </is>
      </c>
      <c r="I52" s="65" t="n">
        <v>41099</v>
      </c>
      <c r="J52" s="66" t="n">
        <v>30000</v>
      </c>
      <c r="K52" s="7" t="inlineStr">
        <is>
          <t>C</t>
        </is>
      </c>
      <c r="L52" s="7" t="inlineStr">
        <is>
          <t>En service</t>
        </is>
      </c>
      <c r="M52" s="65" t="n">
        <v>41829</v>
      </c>
      <c r="N52" s="7" t="inlineStr">
        <is>
          <t>Manutention Services 44</t>
        </is>
      </c>
      <c r="O52" s="67" t="n">
        <v>2000</v>
      </c>
      <c r="P52" s="68">
        <f>IF($A52="","",COUNTIFS('Ordres de travail'!$D$5:$D$3004,$A52,'Ordres de travail'!$H$5:$H$3004,"Correctif",'Ordres de travail'!$AC$5:$AC$3004,"&lt;&gt;Annulé",'Ordres de travail'!$B$5:$B$3004,"&gt;="&amp;'Paramètres'!$AA$6,'Ordres de travail'!$B$5:$B$3004,"&lt;"&amp;('Paramètres'!$AA$7+1)))</f>
        <v/>
      </c>
      <c r="Q52" s="69">
        <f>IF($A52="","",SUMIFS('Ordres de travail'!$S$5:$S$3004,'Ordres de travail'!$D$5:$D$3004,$A52,'Ordres de travail'!$H$5:$H$3004,"Correctif",'Ordres de travail'!$AC$5:$AC$3004,"&lt;&gt;Annulé",'Ordres de travail'!$B$5:$B$3004,"&gt;="&amp;'Paramètres'!$AA$6,'Ordres de travail'!$B$5:$B$3004,"&lt;"&amp;('Paramètres'!$AA$7+1)))</f>
        <v/>
      </c>
      <c r="R52" s="69">
        <f>IF($A52="","",SUMIFS('Ordres de travail'!$S$5:$S$3004,'Ordres de travail'!$D$5:$D$3004,$A52,'Ordres de travail'!$AC$5:$AC$3004,"&lt;&gt;Annulé",'Ordres de travail'!$B$5:$B$3004,"&gt;="&amp;'Paramètres'!$AA$6,'Ordres de travail'!$B$5:$B$3004,"&lt;"&amp;('Paramètres'!$AA$7+1)))</f>
        <v/>
      </c>
      <c r="S52" s="70">
        <f>IF($A52="","",SUMIFS('Ordres de travail'!$AA$5:$AA$3004,'Ordres de travail'!$D$5:$D$3004,$A52,'Ordres de travail'!$B$5:$B$3004,"&gt;="&amp;'Paramètres'!$AA$6,'Ordres de travail'!$B$5:$B$3004,"&lt;"&amp;('Paramètres'!$AA$7+1)))</f>
        <v/>
      </c>
      <c r="T52" s="68">
        <f>IF($A52="","",IF(P52=0,"-",(O52*'Paramètres'!$AA$8-Q52)/P52))</f>
        <v/>
      </c>
      <c r="U52" s="69">
        <f>IF($A52="","",IF(P52=0,"-",Q52/P52))</f>
        <v/>
      </c>
      <c r="V52" s="71">
        <f>IF($A52="","",IF(N(O52)*'Paramètres'!$AA$8=0,"-",MAX(0,1-R52/(O52*'Paramètres'!$AA$8))))</f>
        <v/>
      </c>
      <c r="W52" s="68">
        <f>IF($A52="","",_xlfn.MAXIFS('Relevés compteurs'!$D$5:$D$1504,'Relevés compteurs'!$B$5:$B$1504,$A52))</f>
        <v/>
      </c>
      <c r="X52" s="69">
        <f>IF(OR($A52="",I52=""),"",(TODAY()-I52)/365.25)</f>
        <v/>
      </c>
      <c r="Y52" s="70">
        <f>IF($A52="","",SUMIFS('Ordres de travail'!$AA$5:$AA$3004,'Ordres de travail'!$D$5:$D$3004,$A52))</f>
        <v/>
      </c>
      <c r="Z52" s="68">
        <f>IF($A52="","",SUM(COUNTIFS('Ordres de travail'!$D$5:$D$3004,$A52,'Ordres de travail'!$AC$5:$AC$3004,{"Demandé","Planifié","En cours","En attente pièces"})))</f>
        <v/>
      </c>
      <c r="AA52" s="9">
        <f>IF(OR($A52="",M52=""),"",IF(M52&lt;TODAY(),"Expirée",IF(M52-TODAY()&lt;='Paramètres'!$AA$15,"Expire bientôt","Sous garantie")))</f>
        <v/>
      </c>
      <c r="AB52" s="72">
        <f>IF($A52="",-1,N(R52)+ROW()/1000000)</f>
        <v/>
      </c>
    </row>
    <row r="53">
      <c r="A53" s="7" t="inlineStr">
        <is>
          <t>EQ-LOG-004</t>
        </is>
      </c>
      <c r="B53" s="7" t="inlineStr">
        <is>
          <t>Transpalette électrique</t>
        </is>
      </c>
      <c r="C53" s="7" t="inlineStr">
        <is>
          <t>CHARIOT</t>
        </is>
      </c>
      <c r="D53" s="7" t="inlineStr">
        <is>
          <t>Logistique</t>
        </is>
      </c>
      <c r="E53" s="7" t="inlineStr">
        <is>
          <t>Magasin</t>
        </is>
      </c>
      <c r="F53" s="7" t="inlineStr">
        <is>
          <t>Jungheinrich</t>
        </is>
      </c>
      <c r="G53" s="7" t="inlineStr">
        <is>
          <t>EJE 116</t>
        </is>
      </c>
      <c r="H53" s="7" t="inlineStr">
        <is>
          <t>JUN-2052854</t>
        </is>
      </c>
      <c r="I53" s="65" t="n">
        <v>43906</v>
      </c>
      <c r="J53" s="66" t="n">
        <v>6500</v>
      </c>
      <c r="K53" s="7" t="inlineStr">
        <is>
          <t>C</t>
        </is>
      </c>
      <c r="L53" s="7" t="inlineStr">
        <is>
          <t>En service</t>
        </is>
      </c>
      <c r="M53" s="65" t="n">
        <v>44636</v>
      </c>
      <c r="N53" s="7" t="inlineStr">
        <is>
          <t>Manutention Services 44</t>
        </is>
      </c>
      <c r="O53" s="67" t="n">
        <v>2000</v>
      </c>
      <c r="P53" s="68">
        <f>IF($A53="","",COUNTIFS('Ordres de travail'!$D$5:$D$3004,$A53,'Ordres de travail'!$H$5:$H$3004,"Correctif",'Ordres de travail'!$AC$5:$AC$3004,"&lt;&gt;Annulé",'Ordres de travail'!$B$5:$B$3004,"&gt;="&amp;'Paramètres'!$AA$6,'Ordres de travail'!$B$5:$B$3004,"&lt;"&amp;('Paramètres'!$AA$7+1)))</f>
        <v/>
      </c>
      <c r="Q53" s="69">
        <f>IF($A53="","",SUMIFS('Ordres de travail'!$S$5:$S$3004,'Ordres de travail'!$D$5:$D$3004,$A53,'Ordres de travail'!$H$5:$H$3004,"Correctif",'Ordres de travail'!$AC$5:$AC$3004,"&lt;&gt;Annulé",'Ordres de travail'!$B$5:$B$3004,"&gt;="&amp;'Paramètres'!$AA$6,'Ordres de travail'!$B$5:$B$3004,"&lt;"&amp;('Paramètres'!$AA$7+1)))</f>
        <v/>
      </c>
      <c r="R53" s="69">
        <f>IF($A53="","",SUMIFS('Ordres de travail'!$S$5:$S$3004,'Ordres de travail'!$D$5:$D$3004,$A53,'Ordres de travail'!$AC$5:$AC$3004,"&lt;&gt;Annulé",'Ordres de travail'!$B$5:$B$3004,"&gt;="&amp;'Paramètres'!$AA$6,'Ordres de travail'!$B$5:$B$3004,"&lt;"&amp;('Paramètres'!$AA$7+1)))</f>
        <v/>
      </c>
      <c r="S53" s="70">
        <f>IF($A53="","",SUMIFS('Ordres de travail'!$AA$5:$AA$3004,'Ordres de travail'!$D$5:$D$3004,$A53,'Ordres de travail'!$B$5:$B$3004,"&gt;="&amp;'Paramètres'!$AA$6,'Ordres de travail'!$B$5:$B$3004,"&lt;"&amp;('Paramètres'!$AA$7+1)))</f>
        <v/>
      </c>
      <c r="T53" s="68">
        <f>IF($A53="","",IF(P53=0,"-",(O53*'Paramètres'!$AA$8-Q53)/P53))</f>
        <v/>
      </c>
      <c r="U53" s="69">
        <f>IF($A53="","",IF(P53=0,"-",Q53/P53))</f>
        <v/>
      </c>
      <c r="V53" s="71">
        <f>IF($A53="","",IF(N(O53)*'Paramètres'!$AA$8=0,"-",MAX(0,1-R53/(O53*'Paramètres'!$AA$8))))</f>
        <v/>
      </c>
      <c r="W53" s="68">
        <f>IF($A53="","",_xlfn.MAXIFS('Relevés compteurs'!$D$5:$D$1504,'Relevés compteurs'!$B$5:$B$1504,$A53))</f>
        <v/>
      </c>
      <c r="X53" s="69">
        <f>IF(OR($A53="",I53=""),"",(TODAY()-I53)/365.25)</f>
        <v/>
      </c>
      <c r="Y53" s="70">
        <f>IF($A53="","",SUMIFS('Ordres de travail'!$AA$5:$AA$3004,'Ordres de travail'!$D$5:$D$3004,$A53))</f>
        <v/>
      </c>
      <c r="Z53" s="68">
        <f>IF($A53="","",SUM(COUNTIFS('Ordres de travail'!$D$5:$D$3004,$A53,'Ordres de travail'!$AC$5:$AC$3004,{"Demandé","Planifié","En cours","En attente pièces"})))</f>
        <v/>
      </c>
      <c r="AA53" s="9">
        <f>IF(OR($A53="",M53=""),"",IF(M53&lt;TODAY(),"Expirée",IF(M53-TODAY()&lt;='Paramètres'!$AA$15,"Expire bientôt","Sous garantie")))</f>
        <v/>
      </c>
      <c r="AB53" s="72">
        <f>IF($A53="",-1,N(R53)+ROW()/1000000)</f>
        <v/>
      </c>
    </row>
    <row r="54">
      <c r="A54" s="7" t="inlineStr">
        <is>
          <t>EQ-LOG-005</t>
        </is>
      </c>
      <c r="B54" s="7" t="inlineStr">
        <is>
          <t>Nacelle élévatrice à ciseaux</t>
        </is>
      </c>
      <c r="C54" s="7" t="inlineStr">
        <is>
          <t>CHARIOT</t>
        </is>
      </c>
      <c r="D54" s="7" t="inlineStr">
        <is>
          <t>Logistique</t>
        </is>
      </c>
      <c r="E54" s="7" t="inlineStr">
        <is>
          <t>Maintenance</t>
        </is>
      </c>
      <c r="F54" s="7" t="inlineStr">
        <is>
          <t>Haulotte</t>
        </is>
      </c>
      <c r="G54" s="7" t="inlineStr">
        <is>
          <t>Compact 10</t>
        </is>
      </c>
      <c r="H54" s="7" t="inlineStr">
        <is>
          <t>HAU-1758089</t>
        </is>
      </c>
      <c r="I54" s="65" t="n">
        <v>43010</v>
      </c>
      <c r="J54" s="66" t="n">
        <v>22000</v>
      </c>
      <c r="K54" s="7" t="inlineStr">
        <is>
          <t>C</t>
        </is>
      </c>
      <c r="L54" s="7" t="inlineStr">
        <is>
          <t>En service</t>
        </is>
      </c>
      <c r="M54" s="65" t="n">
        <v>43740</v>
      </c>
      <c r="N54" s="7" t="inlineStr">
        <is>
          <t>Manutention Services 44</t>
        </is>
      </c>
      <c r="O54" s="67" t="n">
        <v>400</v>
      </c>
      <c r="P54" s="68">
        <f>IF($A54="","",COUNTIFS('Ordres de travail'!$D$5:$D$3004,$A54,'Ordres de travail'!$H$5:$H$3004,"Correctif",'Ordres de travail'!$AC$5:$AC$3004,"&lt;&gt;Annulé",'Ordres de travail'!$B$5:$B$3004,"&gt;="&amp;'Paramètres'!$AA$6,'Ordres de travail'!$B$5:$B$3004,"&lt;"&amp;('Paramètres'!$AA$7+1)))</f>
        <v/>
      </c>
      <c r="Q54" s="69">
        <f>IF($A54="","",SUMIFS('Ordres de travail'!$S$5:$S$3004,'Ordres de travail'!$D$5:$D$3004,$A54,'Ordres de travail'!$H$5:$H$3004,"Correctif",'Ordres de travail'!$AC$5:$AC$3004,"&lt;&gt;Annulé",'Ordres de travail'!$B$5:$B$3004,"&gt;="&amp;'Paramètres'!$AA$6,'Ordres de travail'!$B$5:$B$3004,"&lt;"&amp;('Paramètres'!$AA$7+1)))</f>
        <v/>
      </c>
      <c r="R54" s="69">
        <f>IF($A54="","",SUMIFS('Ordres de travail'!$S$5:$S$3004,'Ordres de travail'!$D$5:$D$3004,$A54,'Ordres de travail'!$AC$5:$AC$3004,"&lt;&gt;Annulé",'Ordres de travail'!$B$5:$B$3004,"&gt;="&amp;'Paramètres'!$AA$6,'Ordres de travail'!$B$5:$B$3004,"&lt;"&amp;('Paramètres'!$AA$7+1)))</f>
        <v/>
      </c>
      <c r="S54" s="70">
        <f>IF($A54="","",SUMIFS('Ordres de travail'!$AA$5:$AA$3004,'Ordres de travail'!$D$5:$D$3004,$A54,'Ordres de travail'!$B$5:$B$3004,"&gt;="&amp;'Paramètres'!$AA$6,'Ordres de travail'!$B$5:$B$3004,"&lt;"&amp;('Paramètres'!$AA$7+1)))</f>
        <v/>
      </c>
      <c r="T54" s="68">
        <f>IF($A54="","",IF(P54=0,"-",(O54*'Paramètres'!$AA$8-Q54)/P54))</f>
        <v/>
      </c>
      <c r="U54" s="69">
        <f>IF($A54="","",IF(P54=0,"-",Q54/P54))</f>
        <v/>
      </c>
      <c r="V54" s="71">
        <f>IF($A54="","",IF(N(O54)*'Paramètres'!$AA$8=0,"-",MAX(0,1-R54/(O54*'Paramètres'!$AA$8))))</f>
        <v/>
      </c>
      <c r="W54" s="68">
        <f>IF($A54="","",_xlfn.MAXIFS('Relevés compteurs'!$D$5:$D$1504,'Relevés compteurs'!$B$5:$B$1504,$A54))</f>
        <v/>
      </c>
      <c r="X54" s="69">
        <f>IF(OR($A54="",I54=""),"",(TODAY()-I54)/365.25)</f>
        <v/>
      </c>
      <c r="Y54" s="70">
        <f>IF($A54="","",SUMIFS('Ordres de travail'!$AA$5:$AA$3004,'Ordres de travail'!$D$5:$D$3004,$A54))</f>
        <v/>
      </c>
      <c r="Z54" s="68">
        <f>IF($A54="","",SUM(COUNTIFS('Ordres de travail'!$D$5:$D$3004,$A54,'Ordres de travail'!$AC$5:$AC$3004,{"Demandé","Planifié","En cours","En attente pièces"})))</f>
        <v/>
      </c>
      <c r="AA54" s="9">
        <f>IF(OR($A54="",M54=""),"",IF(M54&lt;TODAY(),"Expirée",IF(M54-TODAY()&lt;='Paramètres'!$AA$15,"Expire bientôt","Sous garantie")))</f>
        <v/>
      </c>
      <c r="AB54" s="72">
        <f>IF($A54="",-1,N(R54)+ROW()/1000000)</f>
        <v/>
      </c>
    </row>
    <row r="55">
      <c r="A55" s="7" t="inlineStr">
        <is>
          <t>EQ-LOG-006</t>
        </is>
      </c>
      <c r="B55" s="7" t="inlineStr">
        <is>
          <t>Pont roulant 5 t - Usinage</t>
        </is>
      </c>
      <c r="C55" s="7" t="inlineStr">
        <is>
          <t>LEVAGE</t>
        </is>
      </c>
      <c r="D55" s="7" t="inlineStr">
        <is>
          <t>Logistique</t>
        </is>
      </c>
      <c r="E55" s="7" t="inlineStr">
        <is>
          <t>Halle usinage</t>
        </is>
      </c>
      <c r="F55" s="7" t="inlineStr">
        <is>
          <t>Demag</t>
        </is>
      </c>
      <c r="G55" s="7" t="inlineStr">
        <is>
          <t>EKKE 5t</t>
        </is>
      </c>
      <c r="H55" s="7" t="inlineStr">
        <is>
          <t>DEM-0667624</t>
        </is>
      </c>
      <c r="I55" s="65" t="n">
        <v>38768</v>
      </c>
      <c r="J55" s="66" t="n">
        <v>55000</v>
      </c>
      <c r="K55" s="7" t="inlineStr">
        <is>
          <t>A</t>
        </is>
      </c>
      <c r="L55" s="7" t="inlineStr">
        <is>
          <t>En service</t>
        </is>
      </c>
      <c r="M55" s="65" t="n">
        <v>39498</v>
      </c>
      <c r="N55" s="7" t="inlineStr">
        <is>
          <t>Levage Expertise Ouest</t>
        </is>
      </c>
      <c r="O55" s="67" t="n">
        <v>3600</v>
      </c>
      <c r="P55" s="68">
        <f>IF($A55="","",COUNTIFS('Ordres de travail'!$D$5:$D$3004,$A55,'Ordres de travail'!$H$5:$H$3004,"Correctif",'Ordres de travail'!$AC$5:$AC$3004,"&lt;&gt;Annulé",'Ordres de travail'!$B$5:$B$3004,"&gt;="&amp;'Paramètres'!$AA$6,'Ordres de travail'!$B$5:$B$3004,"&lt;"&amp;('Paramètres'!$AA$7+1)))</f>
        <v/>
      </c>
      <c r="Q55" s="69">
        <f>IF($A55="","",SUMIFS('Ordres de travail'!$S$5:$S$3004,'Ordres de travail'!$D$5:$D$3004,$A55,'Ordres de travail'!$H$5:$H$3004,"Correctif",'Ordres de travail'!$AC$5:$AC$3004,"&lt;&gt;Annulé",'Ordres de travail'!$B$5:$B$3004,"&gt;="&amp;'Paramètres'!$AA$6,'Ordres de travail'!$B$5:$B$3004,"&lt;"&amp;('Paramètres'!$AA$7+1)))</f>
        <v/>
      </c>
      <c r="R55" s="69">
        <f>IF($A55="","",SUMIFS('Ordres de travail'!$S$5:$S$3004,'Ordres de travail'!$D$5:$D$3004,$A55,'Ordres de travail'!$AC$5:$AC$3004,"&lt;&gt;Annulé",'Ordres de travail'!$B$5:$B$3004,"&gt;="&amp;'Paramètres'!$AA$6,'Ordres de travail'!$B$5:$B$3004,"&lt;"&amp;('Paramètres'!$AA$7+1)))</f>
        <v/>
      </c>
      <c r="S55" s="70">
        <f>IF($A55="","",SUMIFS('Ordres de travail'!$AA$5:$AA$3004,'Ordres de travail'!$D$5:$D$3004,$A55,'Ordres de travail'!$B$5:$B$3004,"&gt;="&amp;'Paramètres'!$AA$6,'Ordres de travail'!$B$5:$B$3004,"&lt;"&amp;('Paramètres'!$AA$7+1)))</f>
        <v/>
      </c>
      <c r="T55" s="68">
        <f>IF($A55="","",IF(P55=0,"-",(O55*'Paramètres'!$AA$8-Q55)/P55))</f>
        <v/>
      </c>
      <c r="U55" s="69">
        <f>IF($A55="","",IF(P55=0,"-",Q55/P55))</f>
        <v/>
      </c>
      <c r="V55" s="71">
        <f>IF($A55="","",IF(N(O55)*'Paramètres'!$AA$8=0,"-",MAX(0,1-R55/(O55*'Paramètres'!$AA$8))))</f>
        <v/>
      </c>
      <c r="W55" s="68">
        <f>IF($A55="","",_xlfn.MAXIFS('Relevés compteurs'!$D$5:$D$1504,'Relevés compteurs'!$B$5:$B$1504,$A55))</f>
        <v/>
      </c>
      <c r="X55" s="69">
        <f>IF(OR($A55="",I55=""),"",(TODAY()-I55)/365.25)</f>
        <v/>
      </c>
      <c r="Y55" s="70">
        <f>IF($A55="","",SUMIFS('Ordres de travail'!$AA$5:$AA$3004,'Ordres de travail'!$D$5:$D$3004,$A55))</f>
        <v/>
      </c>
      <c r="Z55" s="68">
        <f>IF($A55="","",SUM(COUNTIFS('Ordres de travail'!$D$5:$D$3004,$A55,'Ordres de travail'!$AC$5:$AC$3004,{"Demandé","Planifié","En cours","En attente pièces"})))</f>
        <v/>
      </c>
      <c r="AA55" s="9">
        <f>IF(OR($A55="",M55=""),"",IF(M55&lt;TODAY(),"Expirée",IF(M55-TODAY()&lt;='Paramètres'!$AA$15,"Expire bientôt","Sous garantie")))</f>
        <v/>
      </c>
      <c r="AB55" s="72">
        <f>IF($A55="",-1,N(R55)+ROW()/1000000)</f>
        <v/>
      </c>
    </row>
    <row r="56">
      <c r="A56" s="7" t="inlineStr">
        <is>
          <t>EQ-LOG-007</t>
        </is>
      </c>
      <c r="B56" s="7" t="inlineStr">
        <is>
          <t>Pont roulant 10 t - Tôlerie</t>
        </is>
      </c>
      <c r="C56" s="7" t="inlineStr">
        <is>
          <t>LEVAGE</t>
        </is>
      </c>
      <c r="D56" s="7" t="inlineStr">
        <is>
          <t>Logistique</t>
        </is>
      </c>
      <c r="E56" s="7" t="inlineStr">
        <is>
          <t>Halle tôlerie</t>
        </is>
      </c>
      <c r="F56" s="7" t="inlineStr">
        <is>
          <t>Demag</t>
        </is>
      </c>
      <c r="G56" s="7" t="inlineStr">
        <is>
          <t>ZKKE 10t</t>
        </is>
      </c>
      <c r="H56" s="7" t="inlineStr">
        <is>
          <t>DEM-0640280</t>
        </is>
      </c>
      <c r="I56" s="65" t="n">
        <v>38768</v>
      </c>
      <c r="J56" s="66" t="n">
        <v>78000</v>
      </c>
      <c r="K56" s="7" t="inlineStr">
        <is>
          <t>A</t>
        </is>
      </c>
      <c r="L56" s="7" t="inlineStr">
        <is>
          <t>En service</t>
        </is>
      </c>
      <c r="M56" s="65" t="n">
        <v>39498</v>
      </c>
      <c r="N56" s="7" t="inlineStr">
        <is>
          <t>Levage Expertise Ouest</t>
        </is>
      </c>
      <c r="O56" s="67" t="n">
        <v>3600</v>
      </c>
      <c r="P56" s="68">
        <f>IF($A56="","",COUNTIFS('Ordres de travail'!$D$5:$D$3004,$A56,'Ordres de travail'!$H$5:$H$3004,"Correctif",'Ordres de travail'!$AC$5:$AC$3004,"&lt;&gt;Annulé",'Ordres de travail'!$B$5:$B$3004,"&gt;="&amp;'Paramètres'!$AA$6,'Ordres de travail'!$B$5:$B$3004,"&lt;"&amp;('Paramètres'!$AA$7+1)))</f>
        <v/>
      </c>
      <c r="Q56" s="69">
        <f>IF($A56="","",SUMIFS('Ordres de travail'!$S$5:$S$3004,'Ordres de travail'!$D$5:$D$3004,$A56,'Ordres de travail'!$H$5:$H$3004,"Correctif",'Ordres de travail'!$AC$5:$AC$3004,"&lt;&gt;Annulé",'Ordres de travail'!$B$5:$B$3004,"&gt;="&amp;'Paramètres'!$AA$6,'Ordres de travail'!$B$5:$B$3004,"&lt;"&amp;('Paramètres'!$AA$7+1)))</f>
        <v/>
      </c>
      <c r="R56" s="69">
        <f>IF($A56="","",SUMIFS('Ordres de travail'!$S$5:$S$3004,'Ordres de travail'!$D$5:$D$3004,$A56,'Ordres de travail'!$AC$5:$AC$3004,"&lt;&gt;Annulé",'Ordres de travail'!$B$5:$B$3004,"&gt;="&amp;'Paramètres'!$AA$6,'Ordres de travail'!$B$5:$B$3004,"&lt;"&amp;('Paramètres'!$AA$7+1)))</f>
        <v/>
      </c>
      <c r="S56" s="70">
        <f>IF($A56="","",SUMIFS('Ordres de travail'!$AA$5:$AA$3004,'Ordres de travail'!$D$5:$D$3004,$A56,'Ordres de travail'!$B$5:$B$3004,"&gt;="&amp;'Paramètres'!$AA$6,'Ordres de travail'!$B$5:$B$3004,"&lt;"&amp;('Paramètres'!$AA$7+1)))</f>
        <v/>
      </c>
      <c r="T56" s="68">
        <f>IF($A56="","",IF(P56=0,"-",(O56*'Paramètres'!$AA$8-Q56)/P56))</f>
        <v/>
      </c>
      <c r="U56" s="69">
        <f>IF($A56="","",IF(P56=0,"-",Q56/P56))</f>
        <v/>
      </c>
      <c r="V56" s="71">
        <f>IF($A56="","",IF(N(O56)*'Paramètres'!$AA$8=0,"-",MAX(0,1-R56/(O56*'Paramètres'!$AA$8))))</f>
        <v/>
      </c>
      <c r="W56" s="68">
        <f>IF($A56="","",_xlfn.MAXIFS('Relevés compteurs'!$D$5:$D$1504,'Relevés compteurs'!$B$5:$B$1504,$A56))</f>
        <v/>
      </c>
      <c r="X56" s="69">
        <f>IF(OR($A56="",I56=""),"",(TODAY()-I56)/365.25)</f>
        <v/>
      </c>
      <c r="Y56" s="70">
        <f>IF($A56="","",SUMIFS('Ordres de travail'!$AA$5:$AA$3004,'Ordres de travail'!$D$5:$D$3004,$A56))</f>
        <v/>
      </c>
      <c r="Z56" s="68">
        <f>IF($A56="","",SUM(COUNTIFS('Ordres de travail'!$D$5:$D$3004,$A56,'Ordres de travail'!$AC$5:$AC$3004,{"Demandé","Planifié","En cours","En attente pièces"})))</f>
        <v/>
      </c>
      <c r="AA56" s="9">
        <f>IF(OR($A56="",M56=""),"",IF(M56&lt;TODAY(),"Expirée",IF(M56-TODAY()&lt;='Paramètres'!$AA$15,"Expire bientôt","Sous garantie")))</f>
        <v/>
      </c>
      <c r="AB56" s="72">
        <f>IF($A56="",-1,N(R56)+ROW()/1000000)</f>
        <v/>
      </c>
    </row>
    <row r="57">
      <c r="A57" s="7" t="inlineStr">
        <is>
          <t>EQ-LOG-008</t>
        </is>
      </c>
      <c r="B57" s="7" t="inlineStr">
        <is>
          <t>Potence pivotante 1 t - Soudure</t>
        </is>
      </c>
      <c r="C57" s="7" t="inlineStr">
        <is>
          <t>LEVAGE</t>
        </is>
      </c>
      <c r="D57" s="7" t="inlineStr">
        <is>
          <t>Logistique</t>
        </is>
      </c>
      <c r="E57" s="7" t="inlineStr">
        <is>
          <t>Halle soudure</t>
        </is>
      </c>
      <c r="F57" s="7" t="inlineStr">
        <is>
          <t>Abus</t>
        </is>
      </c>
      <c r="G57" s="7" t="inlineStr">
        <is>
          <t>LS 1t</t>
        </is>
      </c>
      <c r="H57" s="7" t="inlineStr">
        <is>
          <t>ABU-1411056</t>
        </is>
      </c>
      <c r="I57" s="65" t="n">
        <v>41764</v>
      </c>
      <c r="J57" s="66" t="n">
        <v>7500</v>
      </c>
      <c r="K57" s="7" t="inlineStr">
        <is>
          <t>C</t>
        </is>
      </c>
      <c r="L57" s="7" t="inlineStr">
        <is>
          <t>En service</t>
        </is>
      </c>
      <c r="M57" s="65" t="n">
        <v>42495</v>
      </c>
      <c r="N57" s="7" t="inlineStr">
        <is>
          <t>Levage Expertise Ouest</t>
        </is>
      </c>
      <c r="O57" s="67" t="n">
        <v>2000</v>
      </c>
      <c r="P57" s="68">
        <f>IF($A57="","",COUNTIFS('Ordres de travail'!$D$5:$D$3004,$A57,'Ordres de travail'!$H$5:$H$3004,"Correctif",'Ordres de travail'!$AC$5:$AC$3004,"&lt;&gt;Annulé",'Ordres de travail'!$B$5:$B$3004,"&gt;="&amp;'Paramètres'!$AA$6,'Ordres de travail'!$B$5:$B$3004,"&lt;"&amp;('Paramètres'!$AA$7+1)))</f>
        <v/>
      </c>
      <c r="Q57" s="69">
        <f>IF($A57="","",SUMIFS('Ordres de travail'!$S$5:$S$3004,'Ordres de travail'!$D$5:$D$3004,$A57,'Ordres de travail'!$H$5:$H$3004,"Correctif",'Ordres de travail'!$AC$5:$AC$3004,"&lt;&gt;Annulé",'Ordres de travail'!$B$5:$B$3004,"&gt;="&amp;'Paramètres'!$AA$6,'Ordres de travail'!$B$5:$B$3004,"&lt;"&amp;('Paramètres'!$AA$7+1)))</f>
        <v/>
      </c>
      <c r="R57" s="69">
        <f>IF($A57="","",SUMIFS('Ordres de travail'!$S$5:$S$3004,'Ordres de travail'!$D$5:$D$3004,$A57,'Ordres de travail'!$AC$5:$AC$3004,"&lt;&gt;Annulé",'Ordres de travail'!$B$5:$B$3004,"&gt;="&amp;'Paramètres'!$AA$6,'Ordres de travail'!$B$5:$B$3004,"&lt;"&amp;('Paramètres'!$AA$7+1)))</f>
        <v/>
      </c>
      <c r="S57" s="70">
        <f>IF($A57="","",SUMIFS('Ordres de travail'!$AA$5:$AA$3004,'Ordres de travail'!$D$5:$D$3004,$A57,'Ordres de travail'!$B$5:$B$3004,"&gt;="&amp;'Paramètres'!$AA$6,'Ordres de travail'!$B$5:$B$3004,"&lt;"&amp;('Paramètres'!$AA$7+1)))</f>
        <v/>
      </c>
      <c r="T57" s="68">
        <f>IF($A57="","",IF(P57=0,"-",(O57*'Paramètres'!$AA$8-Q57)/P57))</f>
        <v/>
      </c>
      <c r="U57" s="69">
        <f>IF($A57="","",IF(P57=0,"-",Q57/P57))</f>
        <v/>
      </c>
      <c r="V57" s="71">
        <f>IF($A57="","",IF(N(O57)*'Paramètres'!$AA$8=0,"-",MAX(0,1-R57/(O57*'Paramètres'!$AA$8))))</f>
        <v/>
      </c>
      <c r="W57" s="68">
        <f>IF($A57="","",_xlfn.MAXIFS('Relevés compteurs'!$D$5:$D$1504,'Relevés compteurs'!$B$5:$B$1504,$A57))</f>
        <v/>
      </c>
      <c r="X57" s="69">
        <f>IF(OR($A57="",I57=""),"",(TODAY()-I57)/365.25)</f>
        <v/>
      </c>
      <c r="Y57" s="70">
        <f>IF($A57="","",SUMIFS('Ordres de travail'!$AA$5:$AA$3004,'Ordres de travail'!$D$5:$D$3004,$A57))</f>
        <v/>
      </c>
      <c r="Z57" s="68">
        <f>IF($A57="","",SUM(COUNTIFS('Ordres de travail'!$D$5:$D$3004,$A57,'Ordres de travail'!$AC$5:$AC$3004,{"Demandé","Planifié","En cours","En attente pièces"})))</f>
        <v/>
      </c>
      <c r="AA57" s="9">
        <f>IF(OR($A57="",M57=""),"",IF(M57&lt;TODAY(),"Expirée",IF(M57-TODAY()&lt;='Paramètres'!$AA$15,"Expire bientôt","Sous garantie")))</f>
        <v/>
      </c>
      <c r="AB57" s="72">
        <f>IF($A57="",-1,N(R57)+ROW()/1000000)</f>
        <v/>
      </c>
    </row>
    <row r="58">
      <c r="A58" s="7" t="inlineStr">
        <is>
          <t>EQ-LOG-009</t>
        </is>
      </c>
      <c r="B58" s="7" t="inlineStr">
        <is>
          <t>Rayonnages palettiers magasin</t>
        </is>
      </c>
      <c r="C58" s="7" t="inlineStr">
        <is>
          <t>STATIQUE</t>
        </is>
      </c>
      <c r="D58" s="7" t="inlineStr">
        <is>
          <t>Logistique</t>
        </is>
      </c>
      <c r="E58" s="7" t="inlineStr">
        <is>
          <t>Magasin</t>
        </is>
      </c>
      <c r="F58" s="7" t="inlineStr">
        <is>
          <t>Mecalux</t>
        </is>
      </c>
      <c r="G58" s="7" t="inlineStr">
        <is>
          <t>Palettier 6 m</t>
        </is>
      </c>
      <c r="H58" s="7" t="inlineStr">
        <is>
          <t>MEC-1030076</t>
        </is>
      </c>
      <c r="I58" s="65" t="n">
        <v>40422</v>
      </c>
      <c r="J58" s="66" t="n">
        <v>40000</v>
      </c>
      <c r="K58" s="7" t="inlineStr">
        <is>
          <t>C</t>
        </is>
      </c>
      <c r="L58" s="7" t="inlineStr">
        <is>
          <t>En service</t>
        </is>
      </c>
      <c r="M58" s="65" t="n">
        <v>41153</v>
      </c>
      <c r="N58" s="7" t="inlineStr">
        <is>
          <t>Fournitures Industrielles Générales</t>
        </is>
      </c>
      <c r="O58" s="67" t="n">
        <v>3000</v>
      </c>
      <c r="P58" s="68">
        <f>IF($A58="","",COUNTIFS('Ordres de travail'!$D$5:$D$3004,$A58,'Ordres de travail'!$H$5:$H$3004,"Correctif",'Ordres de travail'!$AC$5:$AC$3004,"&lt;&gt;Annulé",'Ordres de travail'!$B$5:$B$3004,"&gt;="&amp;'Paramètres'!$AA$6,'Ordres de travail'!$B$5:$B$3004,"&lt;"&amp;('Paramètres'!$AA$7+1)))</f>
        <v/>
      </c>
      <c r="Q58" s="69">
        <f>IF($A58="","",SUMIFS('Ordres de travail'!$S$5:$S$3004,'Ordres de travail'!$D$5:$D$3004,$A58,'Ordres de travail'!$H$5:$H$3004,"Correctif",'Ordres de travail'!$AC$5:$AC$3004,"&lt;&gt;Annulé",'Ordres de travail'!$B$5:$B$3004,"&gt;="&amp;'Paramètres'!$AA$6,'Ordres de travail'!$B$5:$B$3004,"&lt;"&amp;('Paramètres'!$AA$7+1)))</f>
        <v/>
      </c>
      <c r="R58" s="69">
        <f>IF($A58="","",SUMIFS('Ordres de travail'!$S$5:$S$3004,'Ordres de travail'!$D$5:$D$3004,$A58,'Ordres de travail'!$AC$5:$AC$3004,"&lt;&gt;Annulé",'Ordres de travail'!$B$5:$B$3004,"&gt;="&amp;'Paramètres'!$AA$6,'Ordres de travail'!$B$5:$B$3004,"&lt;"&amp;('Paramètres'!$AA$7+1)))</f>
        <v/>
      </c>
      <c r="S58" s="70">
        <f>IF($A58="","",SUMIFS('Ordres de travail'!$AA$5:$AA$3004,'Ordres de travail'!$D$5:$D$3004,$A58,'Ordres de travail'!$B$5:$B$3004,"&gt;="&amp;'Paramètres'!$AA$6,'Ordres de travail'!$B$5:$B$3004,"&lt;"&amp;('Paramètres'!$AA$7+1)))</f>
        <v/>
      </c>
      <c r="T58" s="68">
        <f>IF($A58="","",IF(P58=0,"-",(O58*'Paramètres'!$AA$8-Q58)/P58))</f>
        <v/>
      </c>
      <c r="U58" s="69">
        <f>IF($A58="","",IF(P58=0,"-",Q58/P58))</f>
        <v/>
      </c>
      <c r="V58" s="71">
        <f>IF($A58="","",IF(N(O58)*'Paramètres'!$AA$8=0,"-",MAX(0,1-R58/(O58*'Paramètres'!$AA$8))))</f>
        <v/>
      </c>
      <c r="W58" s="68">
        <f>IF($A58="","",_xlfn.MAXIFS('Relevés compteurs'!$D$5:$D$1504,'Relevés compteurs'!$B$5:$B$1504,$A58))</f>
        <v/>
      </c>
      <c r="X58" s="69">
        <f>IF(OR($A58="",I58=""),"",(TODAY()-I58)/365.25)</f>
        <v/>
      </c>
      <c r="Y58" s="70">
        <f>IF($A58="","",SUMIFS('Ordres de travail'!$AA$5:$AA$3004,'Ordres de travail'!$D$5:$D$3004,$A58))</f>
        <v/>
      </c>
      <c r="Z58" s="68">
        <f>IF($A58="","",SUM(COUNTIFS('Ordres de travail'!$D$5:$D$3004,$A58,'Ordres de travail'!$AC$5:$AC$3004,{"Demandé","Planifié","En cours","En attente pièces"})))</f>
        <v/>
      </c>
      <c r="AA58" s="9">
        <f>IF(OR($A58="",M58=""),"",IF(M58&lt;TODAY(),"Expirée",IF(M58-TODAY()&lt;='Paramètres'!$AA$15,"Expire bientôt","Sous garantie")))</f>
        <v/>
      </c>
      <c r="AB58" s="72">
        <f>IF($A58="",-1,N(R58)+ROW()/1000000)</f>
        <v/>
      </c>
    </row>
    <row r="59">
      <c r="A59" s="7" t="inlineStr">
        <is>
          <t>EQ-LOG-010</t>
        </is>
      </c>
      <c r="B59" s="7" t="inlineStr">
        <is>
          <t>Quai niveleur expédition</t>
        </is>
      </c>
      <c r="C59" s="7" t="inlineStr">
        <is>
          <t>BATIMENT</t>
        </is>
      </c>
      <c r="D59" s="7" t="inlineStr">
        <is>
          <t>Logistique</t>
        </is>
      </c>
      <c r="E59" s="7" t="inlineStr">
        <is>
          <t>Expédition</t>
        </is>
      </c>
      <c r="F59" s="7" t="inlineStr">
        <is>
          <t>Hörmann</t>
        </is>
      </c>
      <c r="G59" s="7" t="inlineStr">
        <is>
          <t>HLS 2</t>
        </is>
      </c>
      <c r="H59" s="7" t="inlineStr">
        <is>
          <t>HÖR-1253172</t>
        </is>
      </c>
      <c r="I59" s="65" t="n">
        <v>41071</v>
      </c>
      <c r="J59" s="66" t="n">
        <v>9500</v>
      </c>
      <c r="K59" s="7" t="inlineStr">
        <is>
          <t>C</t>
        </is>
      </c>
      <c r="L59" s="7" t="inlineStr">
        <is>
          <t>En service</t>
        </is>
      </c>
      <c r="M59" s="65" t="n">
        <v>41801</v>
      </c>
      <c r="N59" s="7" t="inlineStr">
        <is>
          <t>Fournitures Industrielles Générales</t>
        </is>
      </c>
      <c r="O59" s="67" t="n">
        <v>2000</v>
      </c>
      <c r="P59" s="68">
        <f>IF($A59="","",COUNTIFS('Ordres de travail'!$D$5:$D$3004,$A59,'Ordres de travail'!$H$5:$H$3004,"Correctif",'Ordres de travail'!$AC$5:$AC$3004,"&lt;&gt;Annulé",'Ordres de travail'!$B$5:$B$3004,"&gt;="&amp;'Paramètres'!$AA$6,'Ordres de travail'!$B$5:$B$3004,"&lt;"&amp;('Paramètres'!$AA$7+1)))</f>
        <v/>
      </c>
      <c r="Q59" s="69">
        <f>IF($A59="","",SUMIFS('Ordres de travail'!$S$5:$S$3004,'Ordres de travail'!$D$5:$D$3004,$A59,'Ordres de travail'!$H$5:$H$3004,"Correctif",'Ordres de travail'!$AC$5:$AC$3004,"&lt;&gt;Annulé",'Ordres de travail'!$B$5:$B$3004,"&gt;="&amp;'Paramètres'!$AA$6,'Ordres de travail'!$B$5:$B$3004,"&lt;"&amp;('Paramètres'!$AA$7+1)))</f>
        <v/>
      </c>
      <c r="R59" s="69">
        <f>IF($A59="","",SUMIFS('Ordres de travail'!$S$5:$S$3004,'Ordres de travail'!$D$5:$D$3004,$A59,'Ordres de travail'!$AC$5:$AC$3004,"&lt;&gt;Annulé",'Ordres de travail'!$B$5:$B$3004,"&gt;="&amp;'Paramètres'!$AA$6,'Ordres de travail'!$B$5:$B$3004,"&lt;"&amp;('Paramètres'!$AA$7+1)))</f>
        <v/>
      </c>
      <c r="S59" s="70">
        <f>IF($A59="","",SUMIFS('Ordres de travail'!$AA$5:$AA$3004,'Ordres de travail'!$D$5:$D$3004,$A59,'Ordres de travail'!$B$5:$B$3004,"&gt;="&amp;'Paramètres'!$AA$6,'Ordres de travail'!$B$5:$B$3004,"&lt;"&amp;('Paramètres'!$AA$7+1)))</f>
        <v/>
      </c>
      <c r="T59" s="68">
        <f>IF($A59="","",IF(P59=0,"-",(O59*'Paramètres'!$AA$8-Q59)/P59))</f>
        <v/>
      </c>
      <c r="U59" s="69">
        <f>IF($A59="","",IF(P59=0,"-",Q59/P59))</f>
        <v/>
      </c>
      <c r="V59" s="71">
        <f>IF($A59="","",IF(N(O59)*'Paramètres'!$AA$8=0,"-",MAX(0,1-R59/(O59*'Paramètres'!$AA$8))))</f>
        <v/>
      </c>
      <c r="W59" s="68">
        <f>IF($A59="","",_xlfn.MAXIFS('Relevés compteurs'!$D$5:$D$1504,'Relevés compteurs'!$B$5:$B$1504,$A59))</f>
        <v/>
      </c>
      <c r="X59" s="69">
        <f>IF(OR($A59="",I59=""),"",(TODAY()-I59)/365.25)</f>
        <v/>
      </c>
      <c r="Y59" s="70">
        <f>IF($A59="","",SUMIFS('Ordres de travail'!$AA$5:$AA$3004,'Ordres de travail'!$D$5:$D$3004,$A59))</f>
        <v/>
      </c>
      <c r="Z59" s="68">
        <f>IF($A59="","",SUM(COUNTIFS('Ordres de travail'!$D$5:$D$3004,$A59,'Ordres de travail'!$AC$5:$AC$3004,{"Demandé","Planifié","En cours","En attente pièces"})))</f>
        <v/>
      </c>
      <c r="AA59" s="9">
        <f>IF(OR($A59="",M59=""),"",IF(M59&lt;TODAY(),"Expirée",IF(M59-TODAY()&lt;='Paramètres'!$AA$15,"Expire bientôt","Sous garantie")))</f>
        <v/>
      </c>
      <c r="AB59" s="72">
        <f>IF($A59="",-1,N(R59)+ROW()/1000000)</f>
        <v/>
      </c>
    </row>
    <row r="60">
      <c r="A60" s="7" t="inlineStr">
        <is>
          <t>EQ-BAT-001</t>
        </is>
      </c>
      <c r="B60" s="7" t="inlineStr">
        <is>
          <t>Porte sectionnelle quai expédition</t>
        </is>
      </c>
      <c r="C60" s="7" t="inlineStr">
        <is>
          <t>BATIMENT</t>
        </is>
      </c>
      <c r="D60" s="7" t="inlineStr">
        <is>
          <t>Bâtiment</t>
        </is>
      </c>
      <c r="E60" s="7" t="inlineStr">
        <is>
          <t>Expédition</t>
        </is>
      </c>
      <c r="F60" s="7" t="inlineStr">
        <is>
          <t>Hörmann</t>
        </is>
      </c>
      <c r="G60" s="7" t="inlineStr">
        <is>
          <t>SPU F42</t>
        </is>
      </c>
      <c r="H60" s="7" t="inlineStr">
        <is>
          <t>HÖR-1260385</t>
        </is>
      </c>
      <c r="I60" s="65" t="n">
        <v>41071</v>
      </c>
      <c r="J60" s="66" t="n">
        <v>8500</v>
      </c>
      <c r="K60" s="7" t="inlineStr">
        <is>
          <t>C</t>
        </is>
      </c>
      <c r="L60" s="7" t="inlineStr">
        <is>
          <t>En service</t>
        </is>
      </c>
      <c r="M60" s="65" t="n">
        <v>41801</v>
      </c>
      <c r="N60" s="7" t="inlineStr">
        <is>
          <t>Fournitures Industrielles Générales</t>
        </is>
      </c>
      <c r="O60" s="67" t="n">
        <v>2500</v>
      </c>
      <c r="P60" s="68">
        <f>IF($A60="","",COUNTIFS('Ordres de travail'!$D$5:$D$3004,$A60,'Ordres de travail'!$H$5:$H$3004,"Correctif",'Ordres de travail'!$AC$5:$AC$3004,"&lt;&gt;Annulé",'Ordres de travail'!$B$5:$B$3004,"&gt;="&amp;'Paramètres'!$AA$6,'Ordres de travail'!$B$5:$B$3004,"&lt;"&amp;('Paramètres'!$AA$7+1)))</f>
        <v/>
      </c>
      <c r="Q60" s="69">
        <f>IF($A60="","",SUMIFS('Ordres de travail'!$S$5:$S$3004,'Ordres de travail'!$D$5:$D$3004,$A60,'Ordres de travail'!$H$5:$H$3004,"Correctif",'Ordres de travail'!$AC$5:$AC$3004,"&lt;&gt;Annulé",'Ordres de travail'!$B$5:$B$3004,"&gt;="&amp;'Paramètres'!$AA$6,'Ordres de travail'!$B$5:$B$3004,"&lt;"&amp;('Paramètres'!$AA$7+1)))</f>
        <v/>
      </c>
      <c r="R60" s="69">
        <f>IF($A60="","",SUMIFS('Ordres de travail'!$S$5:$S$3004,'Ordres de travail'!$D$5:$D$3004,$A60,'Ordres de travail'!$AC$5:$AC$3004,"&lt;&gt;Annulé",'Ordres de travail'!$B$5:$B$3004,"&gt;="&amp;'Paramètres'!$AA$6,'Ordres de travail'!$B$5:$B$3004,"&lt;"&amp;('Paramètres'!$AA$7+1)))</f>
        <v/>
      </c>
      <c r="S60" s="70">
        <f>IF($A60="","",SUMIFS('Ordres de travail'!$AA$5:$AA$3004,'Ordres de travail'!$D$5:$D$3004,$A60,'Ordres de travail'!$B$5:$B$3004,"&gt;="&amp;'Paramètres'!$AA$6,'Ordres de travail'!$B$5:$B$3004,"&lt;"&amp;('Paramètres'!$AA$7+1)))</f>
        <v/>
      </c>
      <c r="T60" s="68">
        <f>IF($A60="","",IF(P60=0,"-",(O60*'Paramètres'!$AA$8-Q60)/P60))</f>
        <v/>
      </c>
      <c r="U60" s="69">
        <f>IF($A60="","",IF(P60=0,"-",Q60/P60))</f>
        <v/>
      </c>
      <c r="V60" s="71">
        <f>IF($A60="","",IF(N(O60)*'Paramètres'!$AA$8=0,"-",MAX(0,1-R60/(O60*'Paramètres'!$AA$8))))</f>
        <v/>
      </c>
      <c r="W60" s="68">
        <f>IF($A60="","",_xlfn.MAXIFS('Relevés compteurs'!$D$5:$D$1504,'Relevés compteurs'!$B$5:$B$1504,$A60))</f>
        <v/>
      </c>
      <c r="X60" s="69">
        <f>IF(OR($A60="",I60=""),"",(TODAY()-I60)/365.25)</f>
        <v/>
      </c>
      <c r="Y60" s="70">
        <f>IF($A60="","",SUMIFS('Ordres de travail'!$AA$5:$AA$3004,'Ordres de travail'!$D$5:$D$3004,$A60))</f>
        <v/>
      </c>
      <c r="Z60" s="68">
        <f>IF($A60="","",SUM(COUNTIFS('Ordres de travail'!$D$5:$D$3004,$A60,'Ordres de travail'!$AC$5:$AC$3004,{"Demandé","Planifié","En cours","En attente pièces"})))</f>
        <v/>
      </c>
      <c r="AA60" s="9">
        <f>IF(OR($A60="",M60=""),"",IF(M60&lt;TODAY(),"Expirée",IF(M60-TODAY()&lt;='Paramètres'!$AA$15,"Expire bientôt","Sous garantie")))</f>
        <v/>
      </c>
      <c r="AB60" s="72">
        <f>IF($A60="",-1,N(R60)+ROW()/1000000)</f>
        <v/>
      </c>
    </row>
    <row r="61">
      <c r="A61" s="7" t="inlineStr">
        <is>
          <t>EQ-BAT-002</t>
        </is>
      </c>
      <c r="B61" s="7" t="inlineStr">
        <is>
          <t>Portail coulissant automatique</t>
        </is>
      </c>
      <c r="C61" s="7" t="inlineStr">
        <is>
          <t>BATIMENT</t>
        </is>
      </c>
      <c r="D61" s="7" t="inlineStr">
        <is>
          <t>Bâtiment</t>
        </is>
      </c>
      <c r="E61" s="7" t="inlineStr">
        <is>
          <t>Entrée site</t>
        </is>
      </c>
      <c r="F61" s="7" t="inlineStr">
        <is>
          <t>Came</t>
        </is>
      </c>
      <c r="G61" s="7" t="inlineStr">
        <is>
          <t>BK-1800</t>
        </is>
      </c>
      <c r="H61" s="7" t="inlineStr">
        <is>
          <t>CAM-1528593</t>
        </is>
      </c>
      <c r="I61" s="65" t="n">
        <v>42072</v>
      </c>
      <c r="J61" s="66" t="n">
        <v>9000</v>
      </c>
      <c r="K61" s="7" t="inlineStr">
        <is>
          <t>C</t>
        </is>
      </c>
      <c r="L61" s="7" t="inlineStr">
        <is>
          <t>En service</t>
        </is>
      </c>
      <c r="M61" s="65" t="n">
        <v>42803</v>
      </c>
      <c r="N61" s="7" t="inlineStr">
        <is>
          <t>Fournitures Industrielles Générales</t>
        </is>
      </c>
      <c r="O61" s="67" t="n">
        <v>2500</v>
      </c>
      <c r="P61" s="68">
        <f>IF($A61="","",COUNTIFS('Ordres de travail'!$D$5:$D$3004,$A61,'Ordres de travail'!$H$5:$H$3004,"Correctif",'Ordres de travail'!$AC$5:$AC$3004,"&lt;&gt;Annulé",'Ordres de travail'!$B$5:$B$3004,"&gt;="&amp;'Paramètres'!$AA$6,'Ordres de travail'!$B$5:$B$3004,"&lt;"&amp;('Paramètres'!$AA$7+1)))</f>
        <v/>
      </c>
      <c r="Q61" s="69">
        <f>IF($A61="","",SUMIFS('Ordres de travail'!$S$5:$S$3004,'Ordres de travail'!$D$5:$D$3004,$A61,'Ordres de travail'!$H$5:$H$3004,"Correctif",'Ordres de travail'!$AC$5:$AC$3004,"&lt;&gt;Annulé",'Ordres de travail'!$B$5:$B$3004,"&gt;="&amp;'Paramètres'!$AA$6,'Ordres de travail'!$B$5:$B$3004,"&lt;"&amp;('Paramètres'!$AA$7+1)))</f>
        <v/>
      </c>
      <c r="R61" s="69">
        <f>IF($A61="","",SUMIFS('Ordres de travail'!$S$5:$S$3004,'Ordres de travail'!$D$5:$D$3004,$A61,'Ordres de travail'!$AC$5:$AC$3004,"&lt;&gt;Annulé",'Ordres de travail'!$B$5:$B$3004,"&gt;="&amp;'Paramètres'!$AA$6,'Ordres de travail'!$B$5:$B$3004,"&lt;"&amp;('Paramètres'!$AA$7+1)))</f>
        <v/>
      </c>
      <c r="S61" s="70">
        <f>IF($A61="","",SUMIFS('Ordres de travail'!$AA$5:$AA$3004,'Ordres de travail'!$D$5:$D$3004,$A61,'Ordres de travail'!$B$5:$B$3004,"&gt;="&amp;'Paramètres'!$AA$6,'Ordres de travail'!$B$5:$B$3004,"&lt;"&amp;('Paramètres'!$AA$7+1)))</f>
        <v/>
      </c>
      <c r="T61" s="68">
        <f>IF($A61="","",IF(P61=0,"-",(O61*'Paramètres'!$AA$8-Q61)/P61))</f>
        <v/>
      </c>
      <c r="U61" s="69">
        <f>IF($A61="","",IF(P61=0,"-",Q61/P61))</f>
        <v/>
      </c>
      <c r="V61" s="71">
        <f>IF($A61="","",IF(N(O61)*'Paramètres'!$AA$8=0,"-",MAX(0,1-R61/(O61*'Paramètres'!$AA$8))))</f>
        <v/>
      </c>
      <c r="W61" s="68">
        <f>IF($A61="","",_xlfn.MAXIFS('Relevés compteurs'!$D$5:$D$1504,'Relevés compteurs'!$B$5:$B$1504,$A61))</f>
        <v/>
      </c>
      <c r="X61" s="69">
        <f>IF(OR($A61="",I61=""),"",(TODAY()-I61)/365.25)</f>
        <v/>
      </c>
      <c r="Y61" s="70">
        <f>IF($A61="","",SUMIFS('Ordres de travail'!$AA$5:$AA$3004,'Ordres de travail'!$D$5:$D$3004,$A61))</f>
        <v/>
      </c>
      <c r="Z61" s="68">
        <f>IF($A61="","",SUM(COUNTIFS('Ordres de travail'!$D$5:$D$3004,$A61,'Ordres de travail'!$AC$5:$AC$3004,{"Demandé","Planifié","En cours","En attente pièces"})))</f>
        <v/>
      </c>
      <c r="AA61" s="9">
        <f>IF(OR($A61="",M61=""),"",IF(M61&lt;TODAY(),"Expirée",IF(M61-TODAY()&lt;='Paramètres'!$AA$15,"Expire bientôt","Sous garantie")))</f>
        <v/>
      </c>
      <c r="AB61" s="72">
        <f>IF($A61="",-1,N(R61)+ROW()/1000000)</f>
        <v/>
      </c>
    </row>
    <row r="62">
      <c r="A62" s="7" t="inlineStr">
        <is>
          <t>EQ-BAT-003</t>
        </is>
      </c>
      <c r="B62" s="7" t="inlineStr">
        <is>
          <t>Centrale de traitement d'air bureaux</t>
        </is>
      </c>
      <c r="C62" s="7" t="inlineStr">
        <is>
          <t>CVC</t>
        </is>
      </c>
      <c r="D62" s="7" t="inlineStr">
        <is>
          <t>Bâtiment</t>
        </is>
      </c>
      <c r="E62" s="7" t="inlineStr">
        <is>
          <t>Toiture bureaux</t>
        </is>
      </c>
      <c r="F62" s="7" t="inlineStr">
        <is>
          <t>France Air</t>
        </is>
      </c>
      <c r="G62" s="7" t="inlineStr">
        <is>
          <t>CTA 6000</t>
        </is>
      </c>
      <c r="H62" s="7" t="inlineStr">
        <is>
          <t>FRA-1472087</t>
        </is>
      </c>
      <c r="I62" s="65" t="n">
        <v>41883</v>
      </c>
      <c r="J62" s="66" t="n">
        <v>30000</v>
      </c>
      <c r="K62" s="7" t="inlineStr">
        <is>
          <t>C</t>
        </is>
      </c>
      <c r="L62" s="7" t="inlineStr">
        <is>
          <t>En service</t>
        </is>
      </c>
      <c r="M62" s="65" t="n">
        <v>42614</v>
      </c>
      <c r="N62" s="7" t="inlineStr">
        <is>
          <t>Thermique &amp; Clim Services</t>
        </is>
      </c>
      <c r="O62" s="67" t="n">
        <v>2500</v>
      </c>
      <c r="P62" s="68">
        <f>IF($A62="","",COUNTIFS('Ordres de travail'!$D$5:$D$3004,$A62,'Ordres de travail'!$H$5:$H$3004,"Correctif",'Ordres de travail'!$AC$5:$AC$3004,"&lt;&gt;Annulé",'Ordres de travail'!$B$5:$B$3004,"&gt;="&amp;'Paramètres'!$AA$6,'Ordres de travail'!$B$5:$B$3004,"&lt;"&amp;('Paramètres'!$AA$7+1)))</f>
        <v/>
      </c>
      <c r="Q62" s="69">
        <f>IF($A62="","",SUMIFS('Ordres de travail'!$S$5:$S$3004,'Ordres de travail'!$D$5:$D$3004,$A62,'Ordres de travail'!$H$5:$H$3004,"Correctif",'Ordres de travail'!$AC$5:$AC$3004,"&lt;&gt;Annulé",'Ordres de travail'!$B$5:$B$3004,"&gt;="&amp;'Paramètres'!$AA$6,'Ordres de travail'!$B$5:$B$3004,"&lt;"&amp;('Paramètres'!$AA$7+1)))</f>
        <v/>
      </c>
      <c r="R62" s="69">
        <f>IF($A62="","",SUMIFS('Ordres de travail'!$S$5:$S$3004,'Ordres de travail'!$D$5:$D$3004,$A62,'Ordres de travail'!$AC$5:$AC$3004,"&lt;&gt;Annulé",'Ordres de travail'!$B$5:$B$3004,"&gt;="&amp;'Paramètres'!$AA$6,'Ordres de travail'!$B$5:$B$3004,"&lt;"&amp;('Paramètres'!$AA$7+1)))</f>
        <v/>
      </c>
      <c r="S62" s="70">
        <f>IF($A62="","",SUMIFS('Ordres de travail'!$AA$5:$AA$3004,'Ordres de travail'!$D$5:$D$3004,$A62,'Ordres de travail'!$B$5:$B$3004,"&gt;="&amp;'Paramètres'!$AA$6,'Ordres de travail'!$B$5:$B$3004,"&lt;"&amp;('Paramètres'!$AA$7+1)))</f>
        <v/>
      </c>
      <c r="T62" s="68">
        <f>IF($A62="","",IF(P62=0,"-",(O62*'Paramètres'!$AA$8-Q62)/P62))</f>
        <v/>
      </c>
      <c r="U62" s="69">
        <f>IF($A62="","",IF(P62=0,"-",Q62/P62))</f>
        <v/>
      </c>
      <c r="V62" s="71">
        <f>IF($A62="","",IF(N(O62)*'Paramètres'!$AA$8=0,"-",MAX(0,1-R62/(O62*'Paramètres'!$AA$8))))</f>
        <v/>
      </c>
      <c r="W62" s="68">
        <f>IF($A62="","",_xlfn.MAXIFS('Relevés compteurs'!$D$5:$D$1504,'Relevés compteurs'!$B$5:$B$1504,$A62))</f>
        <v/>
      </c>
      <c r="X62" s="69">
        <f>IF(OR($A62="",I62=""),"",(TODAY()-I62)/365.25)</f>
        <v/>
      </c>
      <c r="Y62" s="70">
        <f>IF($A62="","",SUMIFS('Ordres de travail'!$AA$5:$AA$3004,'Ordres de travail'!$D$5:$D$3004,$A62))</f>
        <v/>
      </c>
      <c r="Z62" s="68">
        <f>IF($A62="","",SUM(COUNTIFS('Ordres de travail'!$D$5:$D$3004,$A62,'Ordres de travail'!$AC$5:$AC$3004,{"Demandé","Planifié","En cours","En attente pièces"})))</f>
        <v/>
      </c>
      <c r="AA62" s="9">
        <f>IF(OR($A62="",M62=""),"",IF(M62&lt;TODAY(),"Expirée",IF(M62-TODAY()&lt;='Paramètres'!$AA$15,"Expire bientôt","Sous garantie")))</f>
        <v/>
      </c>
      <c r="AB62" s="72">
        <f>IF($A62="",-1,N(R62)+ROW()/1000000)</f>
        <v/>
      </c>
    </row>
    <row r="63">
      <c r="A63" s="7" t="inlineStr">
        <is>
          <t>EQ-BAT-004</t>
        </is>
      </c>
      <c r="B63" s="7" t="inlineStr">
        <is>
          <t>Installation sprinklers / RIA</t>
        </is>
      </c>
      <c r="C63" s="7" t="inlineStr">
        <is>
          <t>STATIQUE</t>
        </is>
      </c>
      <c r="D63" s="7" t="inlineStr">
        <is>
          <t>Bâtiment</t>
        </is>
      </c>
      <c r="E63" s="7" t="inlineStr">
        <is>
          <t>Ensemble site</t>
        </is>
      </c>
      <c r="F63" s="7" t="inlineStr">
        <is>
          <t>Sécurité Incendie Ouest</t>
        </is>
      </c>
      <c r="G63" s="7" t="inlineStr">
        <is>
          <t>Sprinkler sous eau</t>
        </is>
      </c>
      <c r="H63" s="7" t="inlineStr">
        <is>
          <t>SÉC-1097461</t>
        </is>
      </c>
      <c r="I63" s="65" t="n">
        <v>40422</v>
      </c>
      <c r="J63" s="66" t="n">
        <v>90000</v>
      </c>
      <c r="K63" s="7" t="inlineStr">
        <is>
          <t>B</t>
        </is>
      </c>
      <c r="L63" s="7" t="inlineStr">
        <is>
          <t>En service</t>
        </is>
      </c>
      <c r="M63" s="65" t="n">
        <v>41153</v>
      </c>
      <c r="N63" s="7" t="inlineStr">
        <is>
          <t>Sécurité Incendie Ouest</t>
        </is>
      </c>
      <c r="O63" s="67" t="n">
        <v>8760</v>
      </c>
      <c r="P63" s="68">
        <f>IF($A63="","",COUNTIFS('Ordres de travail'!$D$5:$D$3004,$A63,'Ordres de travail'!$H$5:$H$3004,"Correctif",'Ordres de travail'!$AC$5:$AC$3004,"&lt;&gt;Annulé",'Ordres de travail'!$B$5:$B$3004,"&gt;="&amp;'Paramètres'!$AA$6,'Ordres de travail'!$B$5:$B$3004,"&lt;"&amp;('Paramètres'!$AA$7+1)))</f>
        <v/>
      </c>
      <c r="Q63" s="69">
        <f>IF($A63="","",SUMIFS('Ordres de travail'!$S$5:$S$3004,'Ordres de travail'!$D$5:$D$3004,$A63,'Ordres de travail'!$H$5:$H$3004,"Correctif",'Ordres de travail'!$AC$5:$AC$3004,"&lt;&gt;Annulé",'Ordres de travail'!$B$5:$B$3004,"&gt;="&amp;'Paramètres'!$AA$6,'Ordres de travail'!$B$5:$B$3004,"&lt;"&amp;('Paramètres'!$AA$7+1)))</f>
        <v/>
      </c>
      <c r="R63" s="69">
        <f>IF($A63="","",SUMIFS('Ordres de travail'!$S$5:$S$3004,'Ordres de travail'!$D$5:$D$3004,$A63,'Ordres de travail'!$AC$5:$AC$3004,"&lt;&gt;Annulé",'Ordres de travail'!$B$5:$B$3004,"&gt;="&amp;'Paramètres'!$AA$6,'Ordres de travail'!$B$5:$B$3004,"&lt;"&amp;('Paramètres'!$AA$7+1)))</f>
        <v/>
      </c>
      <c r="S63" s="70">
        <f>IF($A63="","",SUMIFS('Ordres de travail'!$AA$5:$AA$3004,'Ordres de travail'!$D$5:$D$3004,$A63,'Ordres de travail'!$B$5:$B$3004,"&gt;="&amp;'Paramètres'!$AA$6,'Ordres de travail'!$B$5:$B$3004,"&lt;"&amp;('Paramètres'!$AA$7+1)))</f>
        <v/>
      </c>
      <c r="T63" s="68">
        <f>IF($A63="","",IF(P63=0,"-",(O63*'Paramètres'!$AA$8-Q63)/P63))</f>
        <v/>
      </c>
      <c r="U63" s="69">
        <f>IF($A63="","",IF(P63=0,"-",Q63/P63))</f>
        <v/>
      </c>
      <c r="V63" s="71">
        <f>IF($A63="","",IF(N(O63)*'Paramètres'!$AA$8=0,"-",MAX(0,1-R63/(O63*'Paramètres'!$AA$8))))</f>
        <v/>
      </c>
      <c r="W63" s="68">
        <f>IF($A63="","",_xlfn.MAXIFS('Relevés compteurs'!$D$5:$D$1504,'Relevés compteurs'!$B$5:$B$1504,$A63))</f>
        <v/>
      </c>
      <c r="X63" s="69">
        <f>IF(OR($A63="",I63=""),"",(TODAY()-I63)/365.25)</f>
        <v/>
      </c>
      <c r="Y63" s="70">
        <f>IF($A63="","",SUMIFS('Ordres de travail'!$AA$5:$AA$3004,'Ordres de travail'!$D$5:$D$3004,$A63))</f>
        <v/>
      </c>
      <c r="Z63" s="68">
        <f>IF($A63="","",SUM(COUNTIFS('Ordres de travail'!$D$5:$D$3004,$A63,'Ordres de travail'!$AC$5:$AC$3004,{"Demandé","Planifié","En cours","En attente pièces"})))</f>
        <v/>
      </c>
      <c r="AA63" s="9">
        <f>IF(OR($A63="",M63=""),"",IF(M63&lt;TODAY(),"Expirée",IF(M63-TODAY()&lt;='Paramètres'!$AA$15,"Expire bientôt","Sous garantie")))</f>
        <v/>
      </c>
      <c r="AB63" s="72">
        <f>IF($A63="",-1,N(R63)+ROW()/1000000)</f>
        <v/>
      </c>
    </row>
    <row r="64">
      <c r="A64" s="7" t="inlineStr">
        <is>
          <t>EQ-BAT-005</t>
        </is>
      </c>
      <c r="B64" s="7" t="inlineStr">
        <is>
          <t>Désenfumage atelier</t>
        </is>
      </c>
      <c r="C64" s="7" t="inlineStr">
        <is>
          <t>STATIQUE</t>
        </is>
      </c>
      <c r="D64" s="7" t="inlineStr">
        <is>
          <t>Bâtiment</t>
        </is>
      </c>
      <c r="E64" s="7" t="inlineStr">
        <is>
          <t>Toiture ateliers</t>
        </is>
      </c>
      <c r="F64" s="7" t="inlineStr">
        <is>
          <t>Sécurité Incendie Ouest</t>
        </is>
      </c>
      <c r="G64" s="7" t="inlineStr">
        <is>
          <t>Exutoires pneumatiques</t>
        </is>
      </c>
      <c r="H64" s="7" t="inlineStr">
        <is>
          <t>SÉC-1014885</t>
        </is>
      </c>
      <c r="I64" s="65" t="n">
        <v>40422</v>
      </c>
      <c r="J64" s="66" t="n">
        <v>25000</v>
      </c>
      <c r="K64" s="7" t="inlineStr">
        <is>
          <t>C</t>
        </is>
      </c>
      <c r="L64" s="7" t="inlineStr">
        <is>
          <t>En service</t>
        </is>
      </c>
      <c r="M64" s="65" t="n">
        <v>41153</v>
      </c>
      <c r="N64" s="7" t="inlineStr">
        <is>
          <t>Sécurité Incendie Ouest</t>
        </is>
      </c>
      <c r="O64" s="67" t="n">
        <v>8760</v>
      </c>
      <c r="P64" s="68">
        <f>IF($A64="","",COUNTIFS('Ordres de travail'!$D$5:$D$3004,$A64,'Ordres de travail'!$H$5:$H$3004,"Correctif",'Ordres de travail'!$AC$5:$AC$3004,"&lt;&gt;Annulé",'Ordres de travail'!$B$5:$B$3004,"&gt;="&amp;'Paramètres'!$AA$6,'Ordres de travail'!$B$5:$B$3004,"&lt;"&amp;('Paramètres'!$AA$7+1)))</f>
        <v/>
      </c>
      <c r="Q64" s="69">
        <f>IF($A64="","",SUMIFS('Ordres de travail'!$S$5:$S$3004,'Ordres de travail'!$D$5:$D$3004,$A64,'Ordres de travail'!$H$5:$H$3004,"Correctif",'Ordres de travail'!$AC$5:$AC$3004,"&lt;&gt;Annulé",'Ordres de travail'!$B$5:$B$3004,"&gt;="&amp;'Paramètres'!$AA$6,'Ordres de travail'!$B$5:$B$3004,"&lt;"&amp;('Paramètres'!$AA$7+1)))</f>
        <v/>
      </c>
      <c r="R64" s="69">
        <f>IF($A64="","",SUMIFS('Ordres de travail'!$S$5:$S$3004,'Ordres de travail'!$D$5:$D$3004,$A64,'Ordres de travail'!$AC$5:$AC$3004,"&lt;&gt;Annulé",'Ordres de travail'!$B$5:$B$3004,"&gt;="&amp;'Paramètres'!$AA$6,'Ordres de travail'!$B$5:$B$3004,"&lt;"&amp;('Paramètres'!$AA$7+1)))</f>
        <v/>
      </c>
      <c r="S64" s="70">
        <f>IF($A64="","",SUMIFS('Ordres de travail'!$AA$5:$AA$3004,'Ordres de travail'!$D$5:$D$3004,$A64,'Ordres de travail'!$B$5:$B$3004,"&gt;="&amp;'Paramètres'!$AA$6,'Ordres de travail'!$B$5:$B$3004,"&lt;"&amp;('Paramètres'!$AA$7+1)))</f>
        <v/>
      </c>
      <c r="T64" s="68">
        <f>IF($A64="","",IF(P64=0,"-",(O64*'Paramètres'!$AA$8-Q64)/P64))</f>
        <v/>
      </c>
      <c r="U64" s="69">
        <f>IF($A64="","",IF(P64=0,"-",Q64/P64))</f>
        <v/>
      </c>
      <c r="V64" s="71">
        <f>IF($A64="","",IF(N(O64)*'Paramètres'!$AA$8=0,"-",MAX(0,1-R64/(O64*'Paramètres'!$AA$8))))</f>
        <v/>
      </c>
      <c r="W64" s="68">
        <f>IF($A64="","",_xlfn.MAXIFS('Relevés compteurs'!$D$5:$D$1504,'Relevés compteurs'!$B$5:$B$1504,$A64))</f>
        <v/>
      </c>
      <c r="X64" s="69">
        <f>IF(OR($A64="",I64=""),"",(TODAY()-I64)/365.25)</f>
        <v/>
      </c>
      <c r="Y64" s="70">
        <f>IF($A64="","",SUMIFS('Ordres de travail'!$AA$5:$AA$3004,'Ordres de travail'!$D$5:$D$3004,$A64))</f>
        <v/>
      </c>
      <c r="Z64" s="68">
        <f>IF($A64="","",SUM(COUNTIFS('Ordres de travail'!$D$5:$D$3004,$A64,'Ordres de travail'!$AC$5:$AC$3004,{"Demandé","Planifié","En cours","En attente pièces"})))</f>
        <v/>
      </c>
      <c r="AA64" s="9">
        <f>IF(OR($A64="",M64=""),"",IF(M64&lt;TODAY(),"Expirée",IF(M64-TODAY()&lt;='Paramètres'!$AA$15,"Expire bientôt","Sous garantie")))</f>
        <v/>
      </c>
      <c r="AB64" s="72">
        <f>IF($A64="",-1,N(R64)+ROW()/1000000)</f>
        <v/>
      </c>
    </row>
    <row r="65">
      <c r="A65" s="7" t="inlineStr">
        <is>
          <t>EQ-BAT-006</t>
        </is>
      </c>
      <c r="B65" s="7" t="inlineStr">
        <is>
          <t>Éclairage LED ateliers</t>
        </is>
      </c>
      <c r="C65" s="7" t="inlineStr">
        <is>
          <t>ELEC</t>
        </is>
      </c>
      <c r="D65" s="7" t="inlineStr">
        <is>
          <t>Bâtiment</t>
        </is>
      </c>
      <c r="E65" s="7" t="inlineStr">
        <is>
          <t>Ateliers</t>
        </is>
      </c>
      <c r="F65" s="7" t="inlineStr">
        <is>
          <t>Philips</t>
        </is>
      </c>
      <c r="G65" s="7" t="inlineStr">
        <is>
          <t>Maxos LED</t>
        </is>
      </c>
      <c r="H65" s="7" t="inlineStr">
        <is>
          <t>PHI-2254373</t>
        </is>
      </c>
      <c r="I65" s="65" t="n">
        <v>44774</v>
      </c>
      <c r="J65" s="66" t="n">
        <v>45000</v>
      </c>
      <c r="K65" s="7" t="inlineStr">
        <is>
          <t>C</t>
        </is>
      </c>
      <c r="L65" s="7" t="inlineStr">
        <is>
          <t>En service</t>
        </is>
      </c>
      <c r="M65" s="65" t="n">
        <v>45505</v>
      </c>
      <c r="N65" s="7" t="inlineStr">
        <is>
          <t>ÉlecDistrib Pro</t>
        </is>
      </c>
      <c r="O65" s="67" t="n">
        <v>4000</v>
      </c>
      <c r="P65" s="68">
        <f>IF($A65="","",COUNTIFS('Ordres de travail'!$D$5:$D$3004,$A65,'Ordres de travail'!$H$5:$H$3004,"Correctif",'Ordres de travail'!$AC$5:$AC$3004,"&lt;&gt;Annulé",'Ordres de travail'!$B$5:$B$3004,"&gt;="&amp;'Paramètres'!$AA$6,'Ordres de travail'!$B$5:$B$3004,"&lt;"&amp;('Paramètres'!$AA$7+1)))</f>
        <v/>
      </c>
      <c r="Q65" s="69">
        <f>IF($A65="","",SUMIFS('Ordres de travail'!$S$5:$S$3004,'Ordres de travail'!$D$5:$D$3004,$A65,'Ordres de travail'!$H$5:$H$3004,"Correctif",'Ordres de travail'!$AC$5:$AC$3004,"&lt;&gt;Annulé",'Ordres de travail'!$B$5:$B$3004,"&gt;="&amp;'Paramètres'!$AA$6,'Ordres de travail'!$B$5:$B$3004,"&lt;"&amp;('Paramètres'!$AA$7+1)))</f>
        <v/>
      </c>
      <c r="R65" s="69">
        <f>IF($A65="","",SUMIFS('Ordres de travail'!$S$5:$S$3004,'Ordres de travail'!$D$5:$D$3004,$A65,'Ordres de travail'!$AC$5:$AC$3004,"&lt;&gt;Annulé",'Ordres de travail'!$B$5:$B$3004,"&gt;="&amp;'Paramètres'!$AA$6,'Ordres de travail'!$B$5:$B$3004,"&lt;"&amp;('Paramètres'!$AA$7+1)))</f>
        <v/>
      </c>
      <c r="S65" s="70">
        <f>IF($A65="","",SUMIFS('Ordres de travail'!$AA$5:$AA$3004,'Ordres de travail'!$D$5:$D$3004,$A65,'Ordres de travail'!$B$5:$B$3004,"&gt;="&amp;'Paramètres'!$AA$6,'Ordres de travail'!$B$5:$B$3004,"&lt;"&amp;('Paramètres'!$AA$7+1)))</f>
        <v/>
      </c>
      <c r="T65" s="68">
        <f>IF($A65="","",IF(P65=0,"-",(O65*'Paramètres'!$AA$8-Q65)/P65))</f>
        <v/>
      </c>
      <c r="U65" s="69">
        <f>IF($A65="","",IF(P65=0,"-",Q65/P65))</f>
        <v/>
      </c>
      <c r="V65" s="71">
        <f>IF($A65="","",IF(N(O65)*'Paramètres'!$AA$8=0,"-",MAX(0,1-R65/(O65*'Paramètres'!$AA$8))))</f>
        <v/>
      </c>
      <c r="W65" s="68">
        <f>IF($A65="","",_xlfn.MAXIFS('Relevés compteurs'!$D$5:$D$1504,'Relevés compteurs'!$B$5:$B$1504,$A65))</f>
        <v/>
      </c>
      <c r="X65" s="69">
        <f>IF(OR($A65="",I65=""),"",(TODAY()-I65)/365.25)</f>
        <v/>
      </c>
      <c r="Y65" s="70">
        <f>IF($A65="","",SUMIFS('Ordres de travail'!$AA$5:$AA$3004,'Ordres de travail'!$D$5:$D$3004,$A65))</f>
        <v/>
      </c>
      <c r="Z65" s="68">
        <f>IF($A65="","",SUM(COUNTIFS('Ordres de travail'!$D$5:$D$3004,$A65,'Ordres de travail'!$AC$5:$AC$3004,{"Demandé","Planifié","En cours","En attente pièces"})))</f>
        <v/>
      </c>
      <c r="AA65" s="9">
        <f>IF(OR($A65="",M65=""),"",IF(M65&lt;TODAY(),"Expirée",IF(M65-TODAY()&lt;='Paramètres'!$AA$15,"Expire bientôt","Sous garantie")))</f>
        <v/>
      </c>
      <c r="AB65" s="72">
        <f>IF($A65="",-1,N(R65)+ROW()/1000000)</f>
        <v/>
      </c>
    </row>
    <row r="66">
      <c r="A66" s="7" t="n"/>
      <c r="B66" s="7" t="n"/>
      <c r="C66" s="7" t="n"/>
      <c r="D66" s="7" t="n"/>
      <c r="E66" s="7" t="n"/>
      <c r="F66" s="7" t="n"/>
      <c r="G66" s="7" t="n"/>
      <c r="H66" s="7" t="n"/>
      <c r="I66" s="65" t="n"/>
      <c r="J66" s="66" t="n"/>
      <c r="K66" s="7" t="n"/>
      <c r="L66" s="7" t="n"/>
      <c r="M66" s="65" t="n"/>
      <c r="N66" s="7" t="n"/>
      <c r="O66" s="67" t="n"/>
      <c r="P66" s="68">
        <f>IF($A66="","",COUNTIFS('Ordres de travail'!$D$5:$D$3004,$A66,'Ordres de travail'!$H$5:$H$3004,"Correctif",'Ordres de travail'!$AC$5:$AC$3004,"&lt;&gt;Annulé",'Ordres de travail'!$B$5:$B$3004,"&gt;="&amp;'Paramètres'!$AA$6,'Ordres de travail'!$B$5:$B$3004,"&lt;"&amp;('Paramètres'!$AA$7+1)))</f>
        <v/>
      </c>
      <c r="Q66" s="69">
        <f>IF($A66="","",SUMIFS('Ordres de travail'!$S$5:$S$3004,'Ordres de travail'!$D$5:$D$3004,$A66,'Ordres de travail'!$H$5:$H$3004,"Correctif",'Ordres de travail'!$AC$5:$AC$3004,"&lt;&gt;Annulé",'Ordres de travail'!$B$5:$B$3004,"&gt;="&amp;'Paramètres'!$AA$6,'Ordres de travail'!$B$5:$B$3004,"&lt;"&amp;('Paramètres'!$AA$7+1)))</f>
        <v/>
      </c>
      <c r="R66" s="69">
        <f>IF($A66="","",SUMIFS('Ordres de travail'!$S$5:$S$3004,'Ordres de travail'!$D$5:$D$3004,$A66,'Ordres de travail'!$AC$5:$AC$3004,"&lt;&gt;Annulé",'Ordres de travail'!$B$5:$B$3004,"&gt;="&amp;'Paramètres'!$AA$6,'Ordres de travail'!$B$5:$B$3004,"&lt;"&amp;('Paramètres'!$AA$7+1)))</f>
        <v/>
      </c>
      <c r="S66" s="70">
        <f>IF($A66="","",SUMIFS('Ordres de travail'!$AA$5:$AA$3004,'Ordres de travail'!$D$5:$D$3004,$A66,'Ordres de travail'!$B$5:$B$3004,"&gt;="&amp;'Paramètres'!$AA$6,'Ordres de travail'!$B$5:$B$3004,"&lt;"&amp;('Paramètres'!$AA$7+1)))</f>
        <v/>
      </c>
      <c r="T66" s="68">
        <f>IF($A66="","",IF(P66=0,"-",(O66*'Paramètres'!$AA$8-Q66)/P66))</f>
        <v/>
      </c>
      <c r="U66" s="69">
        <f>IF($A66="","",IF(P66=0,"-",Q66/P66))</f>
        <v/>
      </c>
      <c r="V66" s="71">
        <f>IF($A66="","",IF(N(O66)*'Paramètres'!$AA$8=0,"-",MAX(0,1-R66/(O66*'Paramètres'!$AA$8))))</f>
        <v/>
      </c>
      <c r="W66" s="68">
        <f>IF($A66="","",_xlfn.MAXIFS('Relevés compteurs'!$D$5:$D$1504,'Relevés compteurs'!$B$5:$B$1504,$A66))</f>
        <v/>
      </c>
      <c r="X66" s="69">
        <f>IF(OR($A66="",I66=""),"",(TODAY()-I66)/365.25)</f>
        <v/>
      </c>
      <c r="Y66" s="70">
        <f>IF($A66="","",SUMIFS('Ordres de travail'!$AA$5:$AA$3004,'Ordres de travail'!$D$5:$D$3004,$A66))</f>
        <v/>
      </c>
      <c r="Z66" s="68">
        <f>IF($A66="","",SUM(COUNTIFS('Ordres de travail'!$D$5:$D$3004,$A66,'Ordres de travail'!$AC$5:$AC$3004,{"Demandé","Planifié","En cours","En attente pièces"})))</f>
        <v/>
      </c>
      <c r="AA66" s="9">
        <f>IF(OR($A66="",M66=""),"",IF(M66&lt;TODAY(),"Expirée",IF(M66-TODAY()&lt;='Paramètres'!$AA$15,"Expire bientôt","Sous garantie")))</f>
        <v/>
      </c>
      <c r="AB66" s="72">
        <f>IF($A66="",-1,N(R66)+ROW()/1000000)</f>
        <v/>
      </c>
    </row>
    <row r="67">
      <c r="A67" s="7" t="n"/>
      <c r="B67" s="7" t="n"/>
      <c r="C67" s="7" t="n"/>
      <c r="D67" s="7" t="n"/>
      <c r="E67" s="7" t="n"/>
      <c r="F67" s="7" t="n"/>
      <c r="G67" s="7" t="n"/>
      <c r="H67" s="7" t="n"/>
      <c r="I67" s="65" t="n"/>
      <c r="J67" s="66" t="n"/>
      <c r="K67" s="7" t="n"/>
      <c r="L67" s="7" t="n"/>
      <c r="M67" s="65" t="n"/>
      <c r="N67" s="7" t="n"/>
      <c r="O67" s="67" t="n"/>
      <c r="P67" s="68">
        <f>IF($A67="","",COUNTIFS('Ordres de travail'!$D$5:$D$3004,$A67,'Ordres de travail'!$H$5:$H$3004,"Correctif",'Ordres de travail'!$AC$5:$AC$3004,"&lt;&gt;Annulé",'Ordres de travail'!$B$5:$B$3004,"&gt;="&amp;'Paramètres'!$AA$6,'Ordres de travail'!$B$5:$B$3004,"&lt;"&amp;('Paramètres'!$AA$7+1)))</f>
        <v/>
      </c>
      <c r="Q67" s="69">
        <f>IF($A67="","",SUMIFS('Ordres de travail'!$S$5:$S$3004,'Ordres de travail'!$D$5:$D$3004,$A67,'Ordres de travail'!$H$5:$H$3004,"Correctif",'Ordres de travail'!$AC$5:$AC$3004,"&lt;&gt;Annulé",'Ordres de travail'!$B$5:$B$3004,"&gt;="&amp;'Paramètres'!$AA$6,'Ordres de travail'!$B$5:$B$3004,"&lt;"&amp;('Paramètres'!$AA$7+1)))</f>
        <v/>
      </c>
      <c r="R67" s="69">
        <f>IF($A67="","",SUMIFS('Ordres de travail'!$S$5:$S$3004,'Ordres de travail'!$D$5:$D$3004,$A67,'Ordres de travail'!$AC$5:$AC$3004,"&lt;&gt;Annulé",'Ordres de travail'!$B$5:$B$3004,"&gt;="&amp;'Paramètres'!$AA$6,'Ordres de travail'!$B$5:$B$3004,"&lt;"&amp;('Paramètres'!$AA$7+1)))</f>
        <v/>
      </c>
      <c r="S67" s="70">
        <f>IF($A67="","",SUMIFS('Ordres de travail'!$AA$5:$AA$3004,'Ordres de travail'!$D$5:$D$3004,$A67,'Ordres de travail'!$B$5:$B$3004,"&gt;="&amp;'Paramètres'!$AA$6,'Ordres de travail'!$B$5:$B$3004,"&lt;"&amp;('Paramètres'!$AA$7+1)))</f>
        <v/>
      </c>
      <c r="T67" s="68">
        <f>IF($A67="","",IF(P67=0,"-",(O67*'Paramètres'!$AA$8-Q67)/P67))</f>
        <v/>
      </c>
      <c r="U67" s="69">
        <f>IF($A67="","",IF(P67=0,"-",Q67/P67))</f>
        <v/>
      </c>
      <c r="V67" s="71">
        <f>IF($A67="","",IF(N(O67)*'Paramètres'!$AA$8=0,"-",MAX(0,1-R67/(O67*'Paramètres'!$AA$8))))</f>
        <v/>
      </c>
      <c r="W67" s="68">
        <f>IF($A67="","",_xlfn.MAXIFS('Relevés compteurs'!$D$5:$D$1504,'Relevés compteurs'!$B$5:$B$1504,$A67))</f>
        <v/>
      </c>
      <c r="X67" s="69">
        <f>IF(OR($A67="",I67=""),"",(TODAY()-I67)/365.25)</f>
        <v/>
      </c>
      <c r="Y67" s="70">
        <f>IF($A67="","",SUMIFS('Ordres de travail'!$AA$5:$AA$3004,'Ordres de travail'!$D$5:$D$3004,$A67))</f>
        <v/>
      </c>
      <c r="Z67" s="68">
        <f>IF($A67="","",SUM(COUNTIFS('Ordres de travail'!$D$5:$D$3004,$A67,'Ordres de travail'!$AC$5:$AC$3004,{"Demandé","Planifié","En cours","En attente pièces"})))</f>
        <v/>
      </c>
      <c r="AA67" s="9">
        <f>IF(OR($A67="",M67=""),"",IF(M67&lt;TODAY(),"Expirée",IF(M67-TODAY()&lt;='Paramètres'!$AA$15,"Expire bientôt","Sous garantie")))</f>
        <v/>
      </c>
      <c r="AB67" s="72">
        <f>IF($A67="",-1,N(R67)+ROW()/1000000)</f>
        <v/>
      </c>
    </row>
    <row r="68">
      <c r="A68" s="7" t="n"/>
      <c r="B68" s="7" t="n"/>
      <c r="C68" s="7" t="n"/>
      <c r="D68" s="7" t="n"/>
      <c r="E68" s="7" t="n"/>
      <c r="F68" s="7" t="n"/>
      <c r="G68" s="7" t="n"/>
      <c r="H68" s="7" t="n"/>
      <c r="I68" s="65" t="n"/>
      <c r="J68" s="66" t="n"/>
      <c r="K68" s="7" t="n"/>
      <c r="L68" s="7" t="n"/>
      <c r="M68" s="65" t="n"/>
      <c r="N68" s="7" t="n"/>
      <c r="O68" s="67" t="n"/>
      <c r="P68" s="68">
        <f>IF($A68="","",COUNTIFS('Ordres de travail'!$D$5:$D$3004,$A68,'Ordres de travail'!$H$5:$H$3004,"Correctif",'Ordres de travail'!$AC$5:$AC$3004,"&lt;&gt;Annulé",'Ordres de travail'!$B$5:$B$3004,"&gt;="&amp;'Paramètres'!$AA$6,'Ordres de travail'!$B$5:$B$3004,"&lt;"&amp;('Paramètres'!$AA$7+1)))</f>
        <v/>
      </c>
      <c r="Q68" s="69">
        <f>IF($A68="","",SUMIFS('Ordres de travail'!$S$5:$S$3004,'Ordres de travail'!$D$5:$D$3004,$A68,'Ordres de travail'!$H$5:$H$3004,"Correctif",'Ordres de travail'!$AC$5:$AC$3004,"&lt;&gt;Annulé",'Ordres de travail'!$B$5:$B$3004,"&gt;="&amp;'Paramètres'!$AA$6,'Ordres de travail'!$B$5:$B$3004,"&lt;"&amp;('Paramètres'!$AA$7+1)))</f>
        <v/>
      </c>
      <c r="R68" s="69">
        <f>IF($A68="","",SUMIFS('Ordres de travail'!$S$5:$S$3004,'Ordres de travail'!$D$5:$D$3004,$A68,'Ordres de travail'!$AC$5:$AC$3004,"&lt;&gt;Annulé",'Ordres de travail'!$B$5:$B$3004,"&gt;="&amp;'Paramètres'!$AA$6,'Ordres de travail'!$B$5:$B$3004,"&lt;"&amp;('Paramètres'!$AA$7+1)))</f>
        <v/>
      </c>
      <c r="S68" s="70">
        <f>IF($A68="","",SUMIFS('Ordres de travail'!$AA$5:$AA$3004,'Ordres de travail'!$D$5:$D$3004,$A68,'Ordres de travail'!$B$5:$B$3004,"&gt;="&amp;'Paramètres'!$AA$6,'Ordres de travail'!$B$5:$B$3004,"&lt;"&amp;('Paramètres'!$AA$7+1)))</f>
        <v/>
      </c>
      <c r="T68" s="68">
        <f>IF($A68="","",IF(P68=0,"-",(O68*'Paramètres'!$AA$8-Q68)/P68))</f>
        <v/>
      </c>
      <c r="U68" s="69">
        <f>IF($A68="","",IF(P68=0,"-",Q68/P68))</f>
        <v/>
      </c>
      <c r="V68" s="71">
        <f>IF($A68="","",IF(N(O68)*'Paramètres'!$AA$8=0,"-",MAX(0,1-R68/(O68*'Paramètres'!$AA$8))))</f>
        <v/>
      </c>
      <c r="W68" s="68">
        <f>IF($A68="","",_xlfn.MAXIFS('Relevés compteurs'!$D$5:$D$1504,'Relevés compteurs'!$B$5:$B$1504,$A68))</f>
        <v/>
      </c>
      <c r="X68" s="69">
        <f>IF(OR($A68="",I68=""),"",(TODAY()-I68)/365.25)</f>
        <v/>
      </c>
      <c r="Y68" s="70">
        <f>IF($A68="","",SUMIFS('Ordres de travail'!$AA$5:$AA$3004,'Ordres de travail'!$D$5:$D$3004,$A68))</f>
        <v/>
      </c>
      <c r="Z68" s="68">
        <f>IF($A68="","",SUM(COUNTIFS('Ordres de travail'!$D$5:$D$3004,$A68,'Ordres de travail'!$AC$5:$AC$3004,{"Demandé","Planifié","En cours","En attente pièces"})))</f>
        <v/>
      </c>
      <c r="AA68" s="9">
        <f>IF(OR($A68="",M68=""),"",IF(M68&lt;TODAY(),"Expirée",IF(M68-TODAY()&lt;='Paramètres'!$AA$15,"Expire bientôt","Sous garantie")))</f>
        <v/>
      </c>
      <c r="AB68" s="72">
        <f>IF($A68="",-1,N(R68)+ROW()/1000000)</f>
        <v/>
      </c>
    </row>
    <row r="69">
      <c r="A69" s="7" t="n"/>
      <c r="B69" s="7" t="n"/>
      <c r="C69" s="7" t="n"/>
      <c r="D69" s="7" t="n"/>
      <c r="E69" s="7" t="n"/>
      <c r="F69" s="7" t="n"/>
      <c r="G69" s="7" t="n"/>
      <c r="H69" s="7" t="n"/>
      <c r="I69" s="65" t="n"/>
      <c r="J69" s="66" t="n"/>
      <c r="K69" s="7" t="n"/>
      <c r="L69" s="7" t="n"/>
      <c r="M69" s="65" t="n"/>
      <c r="N69" s="7" t="n"/>
      <c r="O69" s="67" t="n"/>
      <c r="P69" s="68">
        <f>IF($A69="","",COUNTIFS('Ordres de travail'!$D$5:$D$3004,$A69,'Ordres de travail'!$H$5:$H$3004,"Correctif",'Ordres de travail'!$AC$5:$AC$3004,"&lt;&gt;Annulé",'Ordres de travail'!$B$5:$B$3004,"&gt;="&amp;'Paramètres'!$AA$6,'Ordres de travail'!$B$5:$B$3004,"&lt;"&amp;('Paramètres'!$AA$7+1)))</f>
        <v/>
      </c>
      <c r="Q69" s="69">
        <f>IF($A69="","",SUMIFS('Ordres de travail'!$S$5:$S$3004,'Ordres de travail'!$D$5:$D$3004,$A69,'Ordres de travail'!$H$5:$H$3004,"Correctif",'Ordres de travail'!$AC$5:$AC$3004,"&lt;&gt;Annulé",'Ordres de travail'!$B$5:$B$3004,"&gt;="&amp;'Paramètres'!$AA$6,'Ordres de travail'!$B$5:$B$3004,"&lt;"&amp;('Paramètres'!$AA$7+1)))</f>
        <v/>
      </c>
      <c r="R69" s="69">
        <f>IF($A69="","",SUMIFS('Ordres de travail'!$S$5:$S$3004,'Ordres de travail'!$D$5:$D$3004,$A69,'Ordres de travail'!$AC$5:$AC$3004,"&lt;&gt;Annulé",'Ordres de travail'!$B$5:$B$3004,"&gt;="&amp;'Paramètres'!$AA$6,'Ordres de travail'!$B$5:$B$3004,"&lt;"&amp;('Paramètres'!$AA$7+1)))</f>
        <v/>
      </c>
      <c r="S69" s="70">
        <f>IF($A69="","",SUMIFS('Ordres de travail'!$AA$5:$AA$3004,'Ordres de travail'!$D$5:$D$3004,$A69,'Ordres de travail'!$B$5:$B$3004,"&gt;="&amp;'Paramètres'!$AA$6,'Ordres de travail'!$B$5:$B$3004,"&lt;"&amp;('Paramètres'!$AA$7+1)))</f>
        <v/>
      </c>
      <c r="T69" s="68">
        <f>IF($A69="","",IF(P69=0,"-",(O69*'Paramètres'!$AA$8-Q69)/P69))</f>
        <v/>
      </c>
      <c r="U69" s="69">
        <f>IF($A69="","",IF(P69=0,"-",Q69/P69))</f>
        <v/>
      </c>
      <c r="V69" s="71">
        <f>IF($A69="","",IF(N(O69)*'Paramètres'!$AA$8=0,"-",MAX(0,1-R69/(O69*'Paramètres'!$AA$8))))</f>
        <v/>
      </c>
      <c r="W69" s="68">
        <f>IF($A69="","",_xlfn.MAXIFS('Relevés compteurs'!$D$5:$D$1504,'Relevés compteurs'!$B$5:$B$1504,$A69))</f>
        <v/>
      </c>
      <c r="X69" s="69">
        <f>IF(OR($A69="",I69=""),"",(TODAY()-I69)/365.25)</f>
        <v/>
      </c>
      <c r="Y69" s="70">
        <f>IF($A69="","",SUMIFS('Ordres de travail'!$AA$5:$AA$3004,'Ordres de travail'!$D$5:$D$3004,$A69))</f>
        <v/>
      </c>
      <c r="Z69" s="68">
        <f>IF($A69="","",SUM(COUNTIFS('Ordres de travail'!$D$5:$D$3004,$A69,'Ordres de travail'!$AC$5:$AC$3004,{"Demandé","Planifié","En cours","En attente pièces"})))</f>
        <v/>
      </c>
      <c r="AA69" s="9">
        <f>IF(OR($A69="",M69=""),"",IF(M69&lt;TODAY(),"Expirée",IF(M69-TODAY()&lt;='Paramètres'!$AA$15,"Expire bientôt","Sous garantie")))</f>
        <v/>
      </c>
      <c r="AB69" s="72">
        <f>IF($A69="",-1,N(R69)+ROW()/1000000)</f>
        <v/>
      </c>
    </row>
    <row r="70">
      <c r="A70" s="7" t="n"/>
      <c r="B70" s="7" t="n"/>
      <c r="C70" s="7" t="n"/>
      <c r="D70" s="7" t="n"/>
      <c r="E70" s="7" t="n"/>
      <c r="F70" s="7" t="n"/>
      <c r="G70" s="7" t="n"/>
      <c r="H70" s="7" t="n"/>
      <c r="I70" s="65" t="n"/>
      <c r="J70" s="66" t="n"/>
      <c r="K70" s="7" t="n"/>
      <c r="L70" s="7" t="n"/>
      <c r="M70" s="65" t="n"/>
      <c r="N70" s="7" t="n"/>
      <c r="O70" s="67" t="n"/>
      <c r="P70" s="68">
        <f>IF($A70="","",COUNTIFS('Ordres de travail'!$D$5:$D$3004,$A70,'Ordres de travail'!$H$5:$H$3004,"Correctif",'Ordres de travail'!$AC$5:$AC$3004,"&lt;&gt;Annulé",'Ordres de travail'!$B$5:$B$3004,"&gt;="&amp;'Paramètres'!$AA$6,'Ordres de travail'!$B$5:$B$3004,"&lt;"&amp;('Paramètres'!$AA$7+1)))</f>
        <v/>
      </c>
      <c r="Q70" s="69">
        <f>IF($A70="","",SUMIFS('Ordres de travail'!$S$5:$S$3004,'Ordres de travail'!$D$5:$D$3004,$A70,'Ordres de travail'!$H$5:$H$3004,"Correctif",'Ordres de travail'!$AC$5:$AC$3004,"&lt;&gt;Annulé",'Ordres de travail'!$B$5:$B$3004,"&gt;="&amp;'Paramètres'!$AA$6,'Ordres de travail'!$B$5:$B$3004,"&lt;"&amp;('Paramètres'!$AA$7+1)))</f>
        <v/>
      </c>
      <c r="R70" s="69">
        <f>IF($A70="","",SUMIFS('Ordres de travail'!$S$5:$S$3004,'Ordres de travail'!$D$5:$D$3004,$A70,'Ordres de travail'!$AC$5:$AC$3004,"&lt;&gt;Annulé",'Ordres de travail'!$B$5:$B$3004,"&gt;="&amp;'Paramètres'!$AA$6,'Ordres de travail'!$B$5:$B$3004,"&lt;"&amp;('Paramètres'!$AA$7+1)))</f>
        <v/>
      </c>
      <c r="S70" s="70">
        <f>IF($A70="","",SUMIFS('Ordres de travail'!$AA$5:$AA$3004,'Ordres de travail'!$D$5:$D$3004,$A70,'Ordres de travail'!$B$5:$B$3004,"&gt;="&amp;'Paramètres'!$AA$6,'Ordres de travail'!$B$5:$B$3004,"&lt;"&amp;('Paramètres'!$AA$7+1)))</f>
        <v/>
      </c>
      <c r="T70" s="68">
        <f>IF($A70="","",IF(P70=0,"-",(O70*'Paramètres'!$AA$8-Q70)/P70))</f>
        <v/>
      </c>
      <c r="U70" s="69">
        <f>IF($A70="","",IF(P70=0,"-",Q70/P70))</f>
        <v/>
      </c>
      <c r="V70" s="71">
        <f>IF($A70="","",IF(N(O70)*'Paramètres'!$AA$8=0,"-",MAX(0,1-R70/(O70*'Paramètres'!$AA$8))))</f>
        <v/>
      </c>
      <c r="W70" s="68">
        <f>IF($A70="","",_xlfn.MAXIFS('Relevés compteurs'!$D$5:$D$1504,'Relevés compteurs'!$B$5:$B$1504,$A70))</f>
        <v/>
      </c>
      <c r="X70" s="69">
        <f>IF(OR($A70="",I70=""),"",(TODAY()-I70)/365.25)</f>
        <v/>
      </c>
      <c r="Y70" s="70">
        <f>IF($A70="","",SUMIFS('Ordres de travail'!$AA$5:$AA$3004,'Ordres de travail'!$D$5:$D$3004,$A70))</f>
        <v/>
      </c>
      <c r="Z70" s="68">
        <f>IF($A70="","",SUM(COUNTIFS('Ordres de travail'!$D$5:$D$3004,$A70,'Ordres de travail'!$AC$5:$AC$3004,{"Demandé","Planifié","En cours","En attente pièces"})))</f>
        <v/>
      </c>
      <c r="AA70" s="9">
        <f>IF(OR($A70="",M70=""),"",IF(M70&lt;TODAY(),"Expirée",IF(M70-TODAY()&lt;='Paramètres'!$AA$15,"Expire bientôt","Sous garantie")))</f>
        <v/>
      </c>
      <c r="AB70" s="72">
        <f>IF($A70="",-1,N(R70)+ROW()/1000000)</f>
        <v/>
      </c>
    </row>
    <row r="71">
      <c r="A71" s="7" t="n"/>
      <c r="B71" s="7" t="n"/>
      <c r="C71" s="7" t="n"/>
      <c r="D71" s="7" t="n"/>
      <c r="E71" s="7" t="n"/>
      <c r="F71" s="7" t="n"/>
      <c r="G71" s="7" t="n"/>
      <c r="H71" s="7" t="n"/>
      <c r="I71" s="65" t="n"/>
      <c r="J71" s="66" t="n"/>
      <c r="K71" s="7" t="n"/>
      <c r="L71" s="7" t="n"/>
      <c r="M71" s="65" t="n"/>
      <c r="N71" s="7" t="n"/>
      <c r="O71" s="67" t="n"/>
      <c r="P71" s="68">
        <f>IF($A71="","",COUNTIFS('Ordres de travail'!$D$5:$D$3004,$A71,'Ordres de travail'!$H$5:$H$3004,"Correctif",'Ordres de travail'!$AC$5:$AC$3004,"&lt;&gt;Annulé",'Ordres de travail'!$B$5:$B$3004,"&gt;="&amp;'Paramètres'!$AA$6,'Ordres de travail'!$B$5:$B$3004,"&lt;"&amp;('Paramètres'!$AA$7+1)))</f>
        <v/>
      </c>
      <c r="Q71" s="69">
        <f>IF($A71="","",SUMIFS('Ordres de travail'!$S$5:$S$3004,'Ordres de travail'!$D$5:$D$3004,$A71,'Ordres de travail'!$H$5:$H$3004,"Correctif",'Ordres de travail'!$AC$5:$AC$3004,"&lt;&gt;Annulé",'Ordres de travail'!$B$5:$B$3004,"&gt;="&amp;'Paramètres'!$AA$6,'Ordres de travail'!$B$5:$B$3004,"&lt;"&amp;('Paramètres'!$AA$7+1)))</f>
        <v/>
      </c>
      <c r="R71" s="69">
        <f>IF($A71="","",SUMIFS('Ordres de travail'!$S$5:$S$3004,'Ordres de travail'!$D$5:$D$3004,$A71,'Ordres de travail'!$AC$5:$AC$3004,"&lt;&gt;Annulé",'Ordres de travail'!$B$5:$B$3004,"&gt;="&amp;'Paramètres'!$AA$6,'Ordres de travail'!$B$5:$B$3004,"&lt;"&amp;('Paramètres'!$AA$7+1)))</f>
        <v/>
      </c>
      <c r="S71" s="70">
        <f>IF($A71="","",SUMIFS('Ordres de travail'!$AA$5:$AA$3004,'Ordres de travail'!$D$5:$D$3004,$A71,'Ordres de travail'!$B$5:$B$3004,"&gt;="&amp;'Paramètres'!$AA$6,'Ordres de travail'!$B$5:$B$3004,"&lt;"&amp;('Paramètres'!$AA$7+1)))</f>
        <v/>
      </c>
      <c r="T71" s="68">
        <f>IF($A71="","",IF(P71=0,"-",(O71*'Paramètres'!$AA$8-Q71)/P71))</f>
        <v/>
      </c>
      <c r="U71" s="69">
        <f>IF($A71="","",IF(P71=0,"-",Q71/P71))</f>
        <v/>
      </c>
      <c r="V71" s="71">
        <f>IF($A71="","",IF(N(O71)*'Paramètres'!$AA$8=0,"-",MAX(0,1-R71/(O71*'Paramètres'!$AA$8))))</f>
        <v/>
      </c>
      <c r="W71" s="68">
        <f>IF($A71="","",_xlfn.MAXIFS('Relevés compteurs'!$D$5:$D$1504,'Relevés compteurs'!$B$5:$B$1504,$A71))</f>
        <v/>
      </c>
      <c r="X71" s="69">
        <f>IF(OR($A71="",I71=""),"",(TODAY()-I71)/365.25)</f>
        <v/>
      </c>
      <c r="Y71" s="70">
        <f>IF($A71="","",SUMIFS('Ordres de travail'!$AA$5:$AA$3004,'Ordres de travail'!$D$5:$D$3004,$A71))</f>
        <v/>
      </c>
      <c r="Z71" s="68">
        <f>IF($A71="","",SUM(COUNTIFS('Ordres de travail'!$D$5:$D$3004,$A71,'Ordres de travail'!$AC$5:$AC$3004,{"Demandé","Planifié","En cours","En attente pièces"})))</f>
        <v/>
      </c>
      <c r="AA71" s="9">
        <f>IF(OR($A71="",M71=""),"",IF(M71&lt;TODAY(),"Expirée",IF(M71-TODAY()&lt;='Paramètres'!$AA$15,"Expire bientôt","Sous garantie")))</f>
        <v/>
      </c>
      <c r="AB71" s="72">
        <f>IF($A71="",-1,N(R71)+ROW()/1000000)</f>
        <v/>
      </c>
    </row>
    <row r="72">
      <c r="A72" s="7" t="n"/>
      <c r="B72" s="7" t="n"/>
      <c r="C72" s="7" t="n"/>
      <c r="D72" s="7" t="n"/>
      <c r="E72" s="7" t="n"/>
      <c r="F72" s="7" t="n"/>
      <c r="G72" s="7" t="n"/>
      <c r="H72" s="7" t="n"/>
      <c r="I72" s="65" t="n"/>
      <c r="J72" s="66" t="n"/>
      <c r="K72" s="7" t="n"/>
      <c r="L72" s="7" t="n"/>
      <c r="M72" s="65" t="n"/>
      <c r="N72" s="7" t="n"/>
      <c r="O72" s="67" t="n"/>
      <c r="P72" s="68">
        <f>IF($A72="","",COUNTIFS('Ordres de travail'!$D$5:$D$3004,$A72,'Ordres de travail'!$H$5:$H$3004,"Correctif",'Ordres de travail'!$AC$5:$AC$3004,"&lt;&gt;Annulé",'Ordres de travail'!$B$5:$B$3004,"&gt;="&amp;'Paramètres'!$AA$6,'Ordres de travail'!$B$5:$B$3004,"&lt;"&amp;('Paramètres'!$AA$7+1)))</f>
        <v/>
      </c>
      <c r="Q72" s="69">
        <f>IF($A72="","",SUMIFS('Ordres de travail'!$S$5:$S$3004,'Ordres de travail'!$D$5:$D$3004,$A72,'Ordres de travail'!$H$5:$H$3004,"Correctif",'Ordres de travail'!$AC$5:$AC$3004,"&lt;&gt;Annulé",'Ordres de travail'!$B$5:$B$3004,"&gt;="&amp;'Paramètres'!$AA$6,'Ordres de travail'!$B$5:$B$3004,"&lt;"&amp;('Paramètres'!$AA$7+1)))</f>
        <v/>
      </c>
      <c r="R72" s="69">
        <f>IF($A72="","",SUMIFS('Ordres de travail'!$S$5:$S$3004,'Ordres de travail'!$D$5:$D$3004,$A72,'Ordres de travail'!$AC$5:$AC$3004,"&lt;&gt;Annulé",'Ordres de travail'!$B$5:$B$3004,"&gt;="&amp;'Paramètres'!$AA$6,'Ordres de travail'!$B$5:$B$3004,"&lt;"&amp;('Paramètres'!$AA$7+1)))</f>
        <v/>
      </c>
      <c r="S72" s="70">
        <f>IF($A72="","",SUMIFS('Ordres de travail'!$AA$5:$AA$3004,'Ordres de travail'!$D$5:$D$3004,$A72,'Ordres de travail'!$B$5:$B$3004,"&gt;="&amp;'Paramètres'!$AA$6,'Ordres de travail'!$B$5:$B$3004,"&lt;"&amp;('Paramètres'!$AA$7+1)))</f>
        <v/>
      </c>
      <c r="T72" s="68">
        <f>IF($A72="","",IF(P72=0,"-",(O72*'Paramètres'!$AA$8-Q72)/P72))</f>
        <v/>
      </c>
      <c r="U72" s="69">
        <f>IF($A72="","",IF(P72=0,"-",Q72/P72))</f>
        <v/>
      </c>
      <c r="V72" s="71">
        <f>IF($A72="","",IF(N(O72)*'Paramètres'!$AA$8=0,"-",MAX(0,1-R72/(O72*'Paramètres'!$AA$8))))</f>
        <v/>
      </c>
      <c r="W72" s="68">
        <f>IF($A72="","",_xlfn.MAXIFS('Relevés compteurs'!$D$5:$D$1504,'Relevés compteurs'!$B$5:$B$1504,$A72))</f>
        <v/>
      </c>
      <c r="X72" s="69">
        <f>IF(OR($A72="",I72=""),"",(TODAY()-I72)/365.25)</f>
        <v/>
      </c>
      <c r="Y72" s="70">
        <f>IF($A72="","",SUMIFS('Ordres de travail'!$AA$5:$AA$3004,'Ordres de travail'!$D$5:$D$3004,$A72))</f>
        <v/>
      </c>
      <c r="Z72" s="68">
        <f>IF($A72="","",SUM(COUNTIFS('Ordres de travail'!$D$5:$D$3004,$A72,'Ordres de travail'!$AC$5:$AC$3004,{"Demandé","Planifié","En cours","En attente pièces"})))</f>
        <v/>
      </c>
      <c r="AA72" s="9">
        <f>IF(OR($A72="",M72=""),"",IF(M72&lt;TODAY(),"Expirée",IF(M72-TODAY()&lt;='Paramètres'!$AA$15,"Expire bientôt","Sous garantie")))</f>
        <v/>
      </c>
      <c r="AB72" s="72">
        <f>IF($A72="",-1,N(R72)+ROW()/1000000)</f>
        <v/>
      </c>
    </row>
    <row r="73">
      <c r="A73" s="7" t="n"/>
      <c r="B73" s="7" t="n"/>
      <c r="C73" s="7" t="n"/>
      <c r="D73" s="7" t="n"/>
      <c r="E73" s="7" t="n"/>
      <c r="F73" s="7" t="n"/>
      <c r="G73" s="7" t="n"/>
      <c r="H73" s="7" t="n"/>
      <c r="I73" s="65" t="n"/>
      <c r="J73" s="66" t="n"/>
      <c r="K73" s="7" t="n"/>
      <c r="L73" s="7" t="n"/>
      <c r="M73" s="65" t="n"/>
      <c r="N73" s="7" t="n"/>
      <c r="O73" s="67" t="n"/>
      <c r="P73" s="68">
        <f>IF($A73="","",COUNTIFS('Ordres de travail'!$D$5:$D$3004,$A73,'Ordres de travail'!$H$5:$H$3004,"Correctif",'Ordres de travail'!$AC$5:$AC$3004,"&lt;&gt;Annulé",'Ordres de travail'!$B$5:$B$3004,"&gt;="&amp;'Paramètres'!$AA$6,'Ordres de travail'!$B$5:$B$3004,"&lt;"&amp;('Paramètres'!$AA$7+1)))</f>
        <v/>
      </c>
      <c r="Q73" s="69">
        <f>IF($A73="","",SUMIFS('Ordres de travail'!$S$5:$S$3004,'Ordres de travail'!$D$5:$D$3004,$A73,'Ordres de travail'!$H$5:$H$3004,"Correctif",'Ordres de travail'!$AC$5:$AC$3004,"&lt;&gt;Annulé",'Ordres de travail'!$B$5:$B$3004,"&gt;="&amp;'Paramètres'!$AA$6,'Ordres de travail'!$B$5:$B$3004,"&lt;"&amp;('Paramètres'!$AA$7+1)))</f>
        <v/>
      </c>
      <c r="R73" s="69">
        <f>IF($A73="","",SUMIFS('Ordres de travail'!$S$5:$S$3004,'Ordres de travail'!$D$5:$D$3004,$A73,'Ordres de travail'!$AC$5:$AC$3004,"&lt;&gt;Annulé",'Ordres de travail'!$B$5:$B$3004,"&gt;="&amp;'Paramètres'!$AA$6,'Ordres de travail'!$B$5:$B$3004,"&lt;"&amp;('Paramètres'!$AA$7+1)))</f>
        <v/>
      </c>
      <c r="S73" s="70">
        <f>IF($A73="","",SUMIFS('Ordres de travail'!$AA$5:$AA$3004,'Ordres de travail'!$D$5:$D$3004,$A73,'Ordres de travail'!$B$5:$B$3004,"&gt;="&amp;'Paramètres'!$AA$6,'Ordres de travail'!$B$5:$B$3004,"&lt;"&amp;('Paramètres'!$AA$7+1)))</f>
        <v/>
      </c>
      <c r="T73" s="68">
        <f>IF($A73="","",IF(P73=0,"-",(O73*'Paramètres'!$AA$8-Q73)/P73))</f>
        <v/>
      </c>
      <c r="U73" s="69">
        <f>IF($A73="","",IF(P73=0,"-",Q73/P73))</f>
        <v/>
      </c>
      <c r="V73" s="71">
        <f>IF($A73="","",IF(N(O73)*'Paramètres'!$AA$8=0,"-",MAX(0,1-R73/(O73*'Paramètres'!$AA$8))))</f>
        <v/>
      </c>
      <c r="W73" s="68">
        <f>IF($A73="","",_xlfn.MAXIFS('Relevés compteurs'!$D$5:$D$1504,'Relevés compteurs'!$B$5:$B$1504,$A73))</f>
        <v/>
      </c>
      <c r="X73" s="69">
        <f>IF(OR($A73="",I73=""),"",(TODAY()-I73)/365.25)</f>
        <v/>
      </c>
      <c r="Y73" s="70">
        <f>IF($A73="","",SUMIFS('Ordres de travail'!$AA$5:$AA$3004,'Ordres de travail'!$D$5:$D$3004,$A73))</f>
        <v/>
      </c>
      <c r="Z73" s="68">
        <f>IF($A73="","",SUM(COUNTIFS('Ordres de travail'!$D$5:$D$3004,$A73,'Ordres de travail'!$AC$5:$AC$3004,{"Demandé","Planifié","En cours","En attente pièces"})))</f>
        <v/>
      </c>
      <c r="AA73" s="9">
        <f>IF(OR($A73="",M73=""),"",IF(M73&lt;TODAY(),"Expirée",IF(M73-TODAY()&lt;='Paramètres'!$AA$15,"Expire bientôt","Sous garantie")))</f>
        <v/>
      </c>
      <c r="AB73" s="72">
        <f>IF($A73="",-1,N(R73)+ROW()/1000000)</f>
        <v/>
      </c>
    </row>
    <row r="74">
      <c r="A74" s="7" t="n"/>
      <c r="B74" s="7" t="n"/>
      <c r="C74" s="7" t="n"/>
      <c r="D74" s="7" t="n"/>
      <c r="E74" s="7" t="n"/>
      <c r="F74" s="7" t="n"/>
      <c r="G74" s="7" t="n"/>
      <c r="H74" s="7" t="n"/>
      <c r="I74" s="65" t="n"/>
      <c r="J74" s="66" t="n"/>
      <c r="K74" s="7" t="n"/>
      <c r="L74" s="7" t="n"/>
      <c r="M74" s="65" t="n"/>
      <c r="N74" s="7" t="n"/>
      <c r="O74" s="67" t="n"/>
      <c r="P74" s="68">
        <f>IF($A74="","",COUNTIFS('Ordres de travail'!$D$5:$D$3004,$A74,'Ordres de travail'!$H$5:$H$3004,"Correctif",'Ordres de travail'!$AC$5:$AC$3004,"&lt;&gt;Annulé",'Ordres de travail'!$B$5:$B$3004,"&gt;="&amp;'Paramètres'!$AA$6,'Ordres de travail'!$B$5:$B$3004,"&lt;"&amp;('Paramètres'!$AA$7+1)))</f>
        <v/>
      </c>
      <c r="Q74" s="69">
        <f>IF($A74="","",SUMIFS('Ordres de travail'!$S$5:$S$3004,'Ordres de travail'!$D$5:$D$3004,$A74,'Ordres de travail'!$H$5:$H$3004,"Correctif",'Ordres de travail'!$AC$5:$AC$3004,"&lt;&gt;Annulé",'Ordres de travail'!$B$5:$B$3004,"&gt;="&amp;'Paramètres'!$AA$6,'Ordres de travail'!$B$5:$B$3004,"&lt;"&amp;('Paramètres'!$AA$7+1)))</f>
        <v/>
      </c>
      <c r="R74" s="69">
        <f>IF($A74="","",SUMIFS('Ordres de travail'!$S$5:$S$3004,'Ordres de travail'!$D$5:$D$3004,$A74,'Ordres de travail'!$AC$5:$AC$3004,"&lt;&gt;Annulé",'Ordres de travail'!$B$5:$B$3004,"&gt;="&amp;'Paramètres'!$AA$6,'Ordres de travail'!$B$5:$B$3004,"&lt;"&amp;('Paramètres'!$AA$7+1)))</f>
        <v/>
      </c>
      <c r="S74" s="70">
        <f>IF($A74="","",SUMIFS('Ordres de travail'!$AA$5:$AA$3004,'Ordres de travail'!$D$5:$D$3004,$A74,'Ordres de travail'!$B$5:$B$3004,"&gt;="&amp;'Paramètres'!$AA$6,'Ordres de travail'!$B$5:$B$3004,"&lt;"&amp;('Paramètres'!$AA$7+1)))</f>
        <v/>
      </c>
      <c r="T74" s="68">
        <f>IF($A74="","",IF(P74=0,"-",(O74*'Paramètres'!$AA$8-Q74)/P74))</f>
        <v/>
      </c>
      <c r="U74" s="69">
        <f>IF($A74="","",IF(P74=0,"-",Q74/P74))</f>
        <v/>
      </c>
      <c r="V74" s="71">
        <f>IF($A74="","",IF(N(O74)*'Paramètres'!$AA$8=0,"-",MAX(0,1-R74/(O74*'Paramètres'!$AA$8))))</f>
        <v/>
      </c>
      <c r="W74" s="68">
        <f>IF($A74="","",_xlfn.MAXIFS('Relevés compteurs'!$D$5:$D$1504,'Relevés compteurs'!$B$5:$B$1504,$A74))</f>
        <v/>
      </c>
      <c r="X74" s="69">
        <f>IF(OR($A74="",I74=""),"",(TODAY()-I74)/365.25)</f>
        <v/>
      </c>
      <c r="Y74" s="70">
        <f>IF($A74="","",SUMIFS('Ordres de travail'!$AA$5:$AA$3004,'Ordres de travail'!$D$5:$D$3004,$A74))</f>
        <v/>
      </c>
      <c r="Z74" s="68">
        <f>IF($A74="","",SUM(COUNTIFS('Ordres de travail'!$D$5:$D$3004,$A74,'Ordres de travail'!$AC$5:$AC$3004,{"Demandé","Planifié","En cours","En attente pièces"})))</f>
        <v/>
      </c>
      <c r="AA74" s="9">
        <f>IF(OR($A74="",M74=""),"",IF(M74&lt;TODAY(),"Expirée",IF(M74-TODAY()&lt;='Paramètres'!$AA$15,"Expire bientôt","Sous garantie")))</f>
        <v/>
      </c>
      <c r="AB74" s="72">
        <f>IF($A74="",-1,N(R74)+ROW()/1000000)</f>
        <v/>
      </c>
    </row>
    <row r="75">
      <c r="A75" s="7" t="n"/>
      <c r="B75" s="7" t="n"/>
      <c r="C75" s="7" t="n"/>
      <c r="D75" s="7" t="n"/>
      <c r="E75" s="7" t="n"/>
      <c r="F75" s="7" t="n"/>
      <c r="G75" s="7" t="n"/>
      <c r="H75" s="7" t="n"/>
      <c r="I75" s="65" t="n"/>
      <c r="J75" s="66" t="n"/>
      <c r="K75" s="7" t="n"/>
      <c r="L75" s="7" t="n"/>
      <c r="M75" s="65" t="n"/>
      <c r="N75" s="7" t="n"/>
      <c r="O75" s="67" t="n"/>
      <c r="P75" s="68">
        <f>IF($A75="","",COUNTIFS('Ordres de travail'!$D$5:$D$3004,$A75,'Ordres de travail'!$H$5:$H$3004,"Correctif",'Ordres de travail'!$AC$5:$AC$3004,"&lt;&gt;Annulé",'Ordres de travail'!$B$5:$B$3004,"&gt;="&amp;'Paramètres'!$AA$6,'Ordres de travail'!$B$5:$B$3004,"&lt;"&amp;('Paramètres'!$AA$7+1)))</f>
        <v/>
      </c>
      <c r="Q75" s="69">
        <f>IF($A75="","",SUMIFS('Ordres de travail'!$S$5:$S$3004,'Ordres de travail'!$D$5:$D$3004,$A75,'Ordres de travail'!$H$5:$H$3004,"Correctif",'Ordres de travail'!$AC$5:$AC$3004,"&lt;&gt;Annulé",'Ordres de travail'!$B$5:$B$3004,"&gt;="&amp;'Paramètres'!$AA$6,'Ordres de travail'!$B$5:$B$3004,"&lt;"&amp;('Paramètres'!$AA$7+1)))</f>
        <v/>
      </c>
      <c r="R75" s="69">
        <f>IF($A75="","",SUMIFS('Ordres de travail'!$S$5:$S$3004,'Ordres de travail'!$D$5:$D$3004,$A75,'Ordres de travail'!$AC$5:$AC$3004,"&lt;&gt;Annulé",'Ordres de travail'!$B$5:$B$3004,"&gt;="&amp;'Paramètres'!$AA$6,'Ordres de travail'!$B$5:$B$3004,"&lt;"&amp;('Paramètres'!$AA$7+1)))</f>
        <v/>
      </c>
      <c r="S75" s="70">
        <f>IF($A75="","",SUMIFS('Ordres de travail'!$AA$5:$AA$3004,'Ordres de travail'!$D$5:$D$3004,$A75,'Ordres de travail'!$B$5:$B$3004,"&gt;="&amp;'Paramètres'!$AA$6,'Ordres de travail'!$B$5:$B$3004,"&lt;"&amp;('Paramètres'!$AA$7+1)))</f>
        <v/>
      </c>
      <c r="T75" s="68">
        <f>IF($A75="","",IF(P75=0,"-",(O75*'Paramètres'!$AA$8-Q75)/P75))</f>
        <v/>
      </c>
      <c r="U75" s="69">
        <f>IF($A75="","",IF(P75=0,"-",Q75/P75))</f>
        <v/>
      </c>
      <c r="V75" s="71">
        <f>IF($A75="","",IF(N(O75)*'Paramètres'!$AA$8=0,"-",MAX(0,1-R75/(O75*'Paramètres'!$AA$8))))</f>
        <v/>
      </c>
      <c r="W75" s="68">
        <f>IF($A75="","",_xlfn.MAXIFS('Relevés compteurs'!$D$5:$D$1504,'Relevés compteurs'!$B$5:$B$1504,$A75))</f>
        <v/>
      </c>
      <c r="X75" s="69">
        <f>IF(OR($A75="",I75=""),"",(TODAY()-I75)/365.25)</f>
        <v/>
      </c>
      <c r="Y75" s="70">
        <f>IF($A75="","",SUMIFS('Ordres de travail'!$AA$5:$AA$3004,'Ordres de travail'!$D$5:$D$3004,$A75))</f>
        <v/>
      </c>
      <c r="Z75" s="68">
        <f>IF($A75="","",SUM(COUNTIFS('Ordres de travail'!$D$5:$D$3004,$A75,'Ordres de travail'!$AC$5:$AC$3004,{"Demandé","Planifié","En cours","En attente pièces"})))</f>
        <v/>
      </c>
      <c r="AA75" s="9">
        <f>IF(OR($A75="",M75=""),"",IF(M75&lt;TODAY(),"Expirée",IF(M75-TODAY()&lt;='Paramètres'!$AA$15,"Expire bientôt","Sous garantie")))</f>
        <v/>
      </c>
      <c r="AB75" s="72">
        <f>IF($A75="",-1,N(R75)+ROW()/1000000)</f>
        <v/>
      </c>
    </row>
    <row r="76">
      <c r="A76" s="7" t="n"/>
      <c r="B76" s="7" t="n"/>
      <c r="C76" s="7" t="n"/>
      <c r="D76" s="7" t="n"/>
      <c r="E76" s="7" t="n"/>
      <c r="F76" s="7" t="n"/>
      <c r="G76" s="7" t="n"/>
      <c r="H76" s="7" t="n"/>
      <c r="I76" s="65" t="n"/>
      <c r="J76" s="66" t="n"/>
      <c r="K76" s="7" t="n"/>
      <c r="L76" s="7" t="n"/>
      <c r="M76" s="65" t="n"/>
      <c r="N76" s="7" t="n"/>
      <c r="O76" s="67" t="n"/>
      <c r="P76" s="68">
        <f>IF($A76="","",COUNTIFS('Ordres de travail'!$D$5:$D$3004,$A76,'Ordres de travail'!$H$5:$H$3004,"Correctif",'Ordres de travail'!$AC$5:$AC$3004,"&lt;&gt;Annulé",'Ordres de travail'!$B$5:$B$3004,"&gt;="&amp;'Paramètres'!$AA$6,'Ordres de travail'!$B$5:$B$3004,"&lt;"&amp;('Paramètres'!$AA$7+1)))</f>
        <v/>
      </c>
      <c r="Q76" s="69">
        <f>IF($A76="","",SUMIFS('Ordres de travail'!$S$5:$S$3004,'Ordres de travail'!$D$5:$D$3004,$A76,'Ordres de travail'!$H$5:$H$3004,"Correctif",'Ordres de travail'!$AC$5:$AC$3004,"&lt;&gt;Annulé",'Ordres de travail'!$B$5:$B$3004,"&gt;="&amp;'Paramètres'!$AA$6,'Ordres de travail'!$B$5:$B$3004,"&lt;"&amp;('Paramètres'!$AA$7+1)))</f>
        <v/>
      </c>
      <c r="R76" s="69">
        <f>IF($A76="","",SUMIFS('Ordres de travail'!$S$5:$S$3004,'Ordres de travail'!$D$5:$D$3004,$A76,'Ordres de travail'!$AC$5:$AC$3004,"&lt;&gt;Annulé",'Ordres de travail'!$B$5:$B$3004,"&gt;="&amp;'Paramètres'!$AA$6,'Ordres de travail'!$B$5:$B$3004,"&lt;"&amp;('Paramètres'!$AA$7+1)))</f>
        <v/>
      </c>
      <c r="S76" s="70">
        <f>IF($A76="","",SUMIFS('Ordres de travail'!$AA$5:$AA$3004,'Ordres de travail'!$D$5:$D$3004,$A76,'Ordres de travail'!$B$5:$B$3004,"&gt;="&amp;'Paramètres'!$AA$6,'Ordres de travail'!$B$5:$B$3004,"&lt;"&amp;('Paramètres'!$AA$7+1)))</f>
        <v/>
      </c>
      <c r="T76" s="68">
        <f>IF($A76="","",IF(P76=0,"-",(O76*'Paramètres'!$AA$8-Q76)/P76))</f>
        <v/>
      </c>
      <c r="U76" s="69">
        <f>IF($A76="","",IF(P76=0,"-",Q76/P76))</f>
        <v/>
      </c>
      <c r="V76" s="71">
        <f>IF($A76="","",IF(N(O76)*'Paramètres'!$AA$8=0,"-",MAX(0,1-R76/(O76*'Paramètres'!$AA$8))))</f>
        <v/>
      </c>
      <c r="W76" s="68">
        <f>IF($A76="","",_xlfn.MAXIFS('Relevés compteurs'!$D$5:$D$1504,'Relevés compteurs'!$B$5:$B$1504,$A76))</f>
        <v/>
      </c>
      <c r="X76" s="69">
        <f>IF(OR($A76="",I76=""),"",(TODAY()-I76)/365.25)</f>
        <v/>
      </c>
      <c r="Y76" s="70">
        <f>IF($A76="","",SUMIFS('Ordres de travail'!$AA$5:$AA$3004,'Ordres de travail'!$D$5:$D$3004,$A76))</f>
        <v/>
      </c>
      <c r="Z76" s="68">
        <f>IF($A76="","",SUM(COUNTIFS('Ordres de travail'!$D$5:$D$3004,$A76,'Ordres de travail'!$AC$5:$AC$3004,{"Demandé","Planifié","En cours","En attente pièces"})))</f>
        <v/>
      </c>
      <c r="AA76" s="9">
        <f>IF(OR($A76="",M76=""),"",IF(M76&lt;TODAY(),"Expirée",IF(M76-TODAY()&lt;='Paramètres'!$AA$15,"Expire bientôt","Sous garantie")))</f>
        <v/>
      </c>
      <c r="AB76" s="72">
        <f>IF($A76="",-1,N(R76)+ROW()/1000000)</f>
        <v/>
      </c>
    </row>
    <row r="77">
      <c r="A77" s="7" t="n"/>
      <c r="B77" s="7" t="n"/>
      <c r="C77" s="7" t="n"/>
      <c r="D77" s="7" t="n"/>
      <c r="E77" s="7" t="n"/>
      <c r="F77" s="7" t="n"/>
      <c r="G77" s="7" t="n"/>
      <c r="H77" s="7" t="n"/>
      <c r="I77" s="65" t="n"/>
      <c r="J77" s="66" t="n"/>
      <c r="K77" s="7" t="n"/>
      <c r="L77" s="7" t="n"/>
      <c r="M77" s="65" t="n"/>
      <c r="N77" s="7" t="n"/>
      <c r="O77" s="67" t="n"/>
      <c r="P77" s="68">
        <f>IF($A77="","",COUNTIFS('Ordres de travail'!$D$5:$D$3004,$A77,'Ordres de travail'!$H$5:$H$3004,"Correctif",'Ordres de travail'!$AC$5:$AC$3004,"&lt;&gt;Annulé",'Ordres de travail'!$B$5:$B$3004,"&gt;="&amp;'Paramètres'!$AA$6,'Ordres de travail'!$B$5:$B$3004,"&lt;"&amp;('Paramètres'!$AA$7+1)))</f>
        <v/>
      </c>
      <c r="Q77" s="69">
        <f>IF($A77="","",SUMIFS('Ordres de travail'!$S$5:$S$3004,'Ordres de travail'!$D$5:$D$3004,$A77,'Ordres de travail'!$H$5:$H$3004,"Correctif",'Ordres de travail'!$AC$5:$AC$3004,"&lt;&gt;Annulé",'Ordres de travail'!$B$5:$B$3004,"&gt;="&amp;'Paramètres'!$AA$6,'Ordres de travail'!$B$5:$B$3004,"&lt;"&amp;('Paramètres'!$AA$7+1)))</f>
        <v/>
      </c>
      <c r="R77" s="69">
        <f>IF($A77="","",SUMIFS('Ordres de travail'!$S$5:$S$3004,'Ordres de travail'!$D$5:$D$3004,$A77,'Ordres de travail'!$AC$5:$AC$3004,"&lt;&gt;Annulé",'Ordres de travail'!$B$5:$B$3004,"&gt;="&amp;'Paramètres'!$AA$6,'Ordres de travail'!$B$5:$B$3004,"&lt;"&amp;('Paramètres'!$AA$7+1)))</f>
        <v/>
      </c>
      <c r="S77" s="70">
        <f>IF($A77="","",SUMIFS('Ordres de travail'!$AA$5:$AA$3004,'Ordres de travail'!$D$5:$D$3004,$A77,'Ordres de travail'!$B$5:$B$3004,"&gt;="&amp;'Paramètres'!$AA$6,'Ordres de travail'!$B$5:$B$3004,"&lt;"&amp;('Paramètres'!$AA$7+1)))</f>
        <v/>
      </c>
      <c r="T77" s="68">
        <f>IF($A77="","",IF(P77=0,"-",(O77*'Paramètres'!$AA$8-Q77)/P77))</f>
        <v/>
      </c>
      <c r="U77" s="69">
        <f>IF($A77="","",IF(P77=0,"-",Q77/P77))</f>
        <v/>
      </c>
      <c r="V77" s="71">
        <f>IF($A77="","",IF(N(O77)*'Paramètres'!$AA$8=0,"-",MAX(0,1-R77/(O77*'Paramètres'!$AA$8))))</f>
        <v/>
      </c>
      <c r="W77" s="68">
        <f>IF($A77="","",_xlfn.MAXIFS('Relevés compteurs'!$D$5:$D$1504,'Relevés compteurs'!$B$5:$B$1504,$A77))</f>
        <v/>
      </c>
      <c r="X77" s="69">
        <f>IF(OR($A77="",I77=""),"",(TODAY()-I77)/365.25)</f>
        <v/>
      </c>
      <c r="Y77" s="70">
        <f>IF($A77="","",SUMIFS('Ordres de travail'!$AA$5:$AA$3004,'Ordres de travail'!$D$5:$D$3004,$A77))</f>
        <v/>
      </c>
      <c r="Z77" s="68">
        <f>IF($A77="","",SUM(COUNTIFS('Ordres de travail'!$D$5:$D$3004,$A77,'Ordres de travail'!$AC$5:$AC$3004,{"Demandé","Planifié","En cours","En attente pièces"})))</f>
        <v/>
      </c>
      <c r="AA77" s="9">
        <f>IF(OR($A77="",M77=""),"",IF(M77&lt;TODAY(),"Expirée",IF(M77-TODAY()&lt;='Paramètres'!$AA$15,"Expire bientôt","Sous garantie")))</f>
        <v/>
      </c>
      <c r="AB77" s="72">
        <f>IF($A77="",-1,N(R77)+ROW()/1000000)</f>
        <v/>
      </c>
    </row>
    <row r="78">
      <c r="A78" s="7" t="n"/>
      <c r="B78" s="7" t="n"/>
      <c r="C78" s="7" t="n"/>
      <c r="D78" s="7" t="n"/>
      <c r="E78" s="7" t="n"/>
      <c r="F78" s="7" t="n"/>
      <c r="G78" s="7" t="n"/>
      <c r="H78" s="7" t="n"/>
      <c r="I78" s="65" t="n"/>
      <c r="J78" s="66" t="n"/>
      <c r="K78" s="7" t="n"/>
      <c r="L78" s="7" t="n"/>
      <c r="M78" s="65" t="n"/>
      <c r="N78" s="7" t="n"/>
      <c r="O78" s="67" t="n"/>
      <c r="P78" s="68">
        <f>IF($A78="","",COUNTIFS('Ordres de travail'!$D$5:$D$3004,$A78,'Ordres de travail'!$H$5:$H$3004,"Correctif",'Ordres de travail'!$AC$5:$AC$3004,"&lt;&gt;Annulé",'Ordres de travail'!$B$5:$B$3004,"&gt;="&amp;'Paramètres'!$AA$6,'Ordres de travail'!$B$5:$B$3004,"&lt;"&amp;('Paramètres'!$AA$7+1)))</f>
        <v/>
      </c>
      <c r="Q78" s="69">
        <f>IF($A78="","",SUMIFS('Ordres de travail'!$S$5:$S$3004,'Ordres de travail'!$D$5:$D$3004,$A78,'Ordres de travail'!$H$5:$H$3004,"Correctif",'Ordres de travail'!$AC$5:$AC$3004,"&lt;&gt;Annulé",'Ordres de travail'!$B$5:$B$3004,"&gt;="&amp;'Paramètres'!$AA$6,'Ordres de travail'!$B$5:$B$3004,"&lt;"&amp;('Paramètres'!$AA$7+1)))</f>
        <v/>
      </c>
      <c r="R78" s="69">
        <f>IF($A78="","",SUMIFS('Ordres de travail'!$S$5:$S$3004,'Ordres de travail'!$D$5:$D$3004,$A78,'Ordres de travail'!$AC$5:$AC$3004,"&lt;&gt;Annulé",'Ordres de travail'!$B$5:$B$3004,"&gt;="&amp;'Paramètres'!$AA$6,'Ordres de travail'!$B$5:$B$3004,"&lt;"&amp;('Paramètres'!$AA$7+1)))</f>
        <v/>
      </c>
      <c r="S78" s="70">
        <f>IF($A78="","",SUMIFS('Ordres de travail'!$AA$5:$AA$3004,'Ordres de travail'!$D$5:$D$3004,$A78,'Ordres de travail'!$B$5:$B$3004,"&gt;="&amp;'Paramètres'!$AA$6,'Ordres de travail'!$B$5:$B$3004,"&lt;"&amp;('Paramètres'!$AA$7+1)))</f>
        <v/>
      </c>
      <c r="T78" s="68">
        <f>IF($A78="","",IF(P78=0,"-",(O78*'Paramètres'!$AA$8-Q78)/P78))</f>
        <v/>
      </c>
      <c r="U78" s="69">
        <f>IF($A78="","",IF(P78=0,"-",Q78/P78))</f>
        <v/>
      </c>
      <c r="V78" s="71">
        <f>IF($A78="","",IF(N(O78)*'Paramètres'!$AA$8=0,"-",MAX(0,1-R78/(O78*'Paramètres'!$AA$8))))</f>
        <v/>
      </c>
      <c r="W78" s="68">
        <f>IF($A78="","",_xlfn.MAXIFS('Relevés compteurs'!$D$5:$D$1504,'Relevés compteurs'!$B$5:$B$1504,$A78))</f>
        <v/>
      </c>
      <c r="X78" s="69">
        <f>IF(OR($A78="",I78=""),"",(TODAY()-I78)/365.25)</f>
        <v/>
      </c>
      <c r="Y78" s="70">
        <f>IF($A78="","",SUMIFS('Ordres de travail'!$AA$5:$AA$3004,'Ordres de travail'!$D$5:$D$3004,$A78))</f>
        <v/>
      </c>
      <c r="Z78" s="68">
        <f>IF($A78="","",SUM(COUNTIFS('Ordres de travail'!$D$5:$D$3004,$A78,'Ordres de travail'!$AC$5:$AC$3004,{"Demandé","Planifié","En cours","En attente pièces"})))</f>
        <v/>
      </c>
      <c r="AA78" s="9">
        <f>IF(OR($A78="",M78=""),"",IF(M78&lt;TODAY(),"Expirée",IF(M78-TODAY()&lt;='Paramètres'!$AA$15,"Expire bientôt","Sous garantie")))</f>
        <v/>
      </c>
      <c r="AB78" s="72">
        <f>IF($A78="",-1,N(R78)+ROW()/1000000)</f>
        <v/>
      </c>
    </row>
    <row r="79">
      <c r="A79" s="7" t="n"/>
      <c r="B79" s="7" t="n"/>
      <c r="C79" s="7" t="n"/>
      <c r="D79" s="7" t="n"/>
      <c r="E79" s="7" t="n"/>
      <c r="F79" s="7" t="n"/>
      <c r="G79" s="7" t="n"/>
      <c r="H79" s="7" t="n"/>
      <c r="I79" s="65" t="n"/>
      <c r="J79" s="66" t="n"/>
      <c r="K79" s="7" t="n"/>
      <c r="L79" s="7" t="n"/>
      <c r="M79" s="65" t="n"/>
      <c r="N79" s="7" t="n"/>
      <c r="O79" s="67" t="n"/>
      <c r="P79" s="68">
        <f>IF($A79="","",COUNTIFS('Ordres de travail'!$D$5:$D$3004,$A79,'Ordres de travail'!$H$5:$H$3004,"Correctif",'Ordres de travail'!$AC$5:$AC$3004,"&lt;&gt;Annulé",'Ordres de travail'!$B$5:$B$3004,"&gt;="&amp;'Paramètres'!$AA$6,'Ordres de travail'!$B$5:$B$3004,"&lt;"&amp;('Paramètres'!$AA$7+1)))</f>
        <v/>
      </c>
      <c r="Q79" s="69">
        <f>IF($A79="","",SUMIFS('Ordres de travail'!$S$5:$S$3004,'Ordres de travail'!$D$5:$D$3004,$A79,'Ordres de travail'!$H$5:$H$3004,"Correctif",'Ordres de travail'!$AC$5:$AC$3004,"&lt;&gt;Annulé",'Ordres de travail'!$B$5:$B$3004,"&gt;="&amp;'Paramètres'!$AA$6,'Ordres de travail'!$B$5:$B$3004,"&lt;"&amp;('Paramètres'!$AA$7+1)))</f>
        <v/>
      </c>
      <c r="R79" s="69">
        <f>IF($A79="","",SUMIFS('Ordres de travail'!$S$5:$S$3004,'Ordres de travail'!$D$5:$D$3004,$A79,'Ordres de travail'!$AC$5:$AC$3004,"&lt;&gt;Annulé",'Ordres de travail'!$B$5:$B$3004,"&gt;="&amp;'Paramètres'!$AA$6,'Ordres de travail'!$B$5:$B$3004,"&lt;"&amp;('Paramètres'!$AA$7+1)))</f>
        <v/>
      </c>
      <c r="S79" s="70">
        <f>IF($A79="","",SUMIFS('Ordres de travail'!$AA$5:$AA$3004,'Ordres de travail'!$D$5:$D$3004,$A79,'Ordres de travail'!$B$5:$B$3004,"&gt;="&amp;'Paramètres'!$AA$6,'Ordres de travail'!$B$5:$B$3004,"&lt;"&amp;('Paramètres'!$AA$7+1)))</f>
        <v/>
      </c>
      <c r="T79" s="68">
        <f>IF($A79="","",IF(P79=0,"-",(O79*'Paramètres'!$AA$8-Q79)/P79))</f>
        <v/>
      </c>
      <c r="U79" s="69">
        <f>IF($A79="","",IF(P79=0,"-",Q79/P79))</f>
        <v/>
      </c>
      <c r="V79" s="71">
        <f>IF($A79="","",IF(N(O79)*'Paramètres'!$AA$8=0,"-",MAX(0,1-R79/(O79*'Paramètres'!$AA$8))))</f>
        <v/>
      </c>
      <c r="W79" s="68">
        <f>IF($A79="","",_xlfn.MAXIFS('Relevés compteurs'!$D$5:$D$1504,'Relevés compteurs'!$B$5:$B$1504,$A79))</f>
        <v/>
      </c>
      <c r="X79" s="69">
        <f>IF(OR($A79="",I79=""),"",(TODAY()-I79)/365.25)</f>
        <v/>
      </c>
      <c r="Y79" s="70">
        <f>IF($A79="","",SUMIFS('Ordres de travail'!$AA$5:$AA$3004,'Ordres de travail'!$D$5:$D$3004,$A79))</f>
        <v/>
      </c>
      <c r="Z79" s="68">
        <f>IF($A79="","",SUM(COUNTIFS('Ordres de travail'!$D$5:$D$3004,$A79,'Ordres de travail'!$AC$5:$AC$3004,{"Demandé","Planifié","En cours","En attente pièces"})))</f>
        <v/>
      </c>
      <c r="AA79" s="9">
        <f>IF(OR($A79="",M79=""),"",IF(M79&lt;TODAY(),"Expirée",IF(M79-TODAY()&lt;='Paramètres'!$AA$15,"Expire bientôt","Sous garantie")))</f>
        <v/>
      </c>
      <c r="AB79" s="72">
        <f>IF($A79="",-1,N(R79)+ROW()/1000000)</f>
        <v/>
      </c>
    </row>
    <row r="80">
      <c r="A80" s="7" t="n"/>
      <c r="B80" s="7" t="n"/>
      <c r="C80" s="7" t="n"/>
      <c r="D80" s="7" t="n"/>
      <c r="E80" s="7" t="n"/>
      <c r="F80" s="7" t="n"/>
      <c r="G80" s="7" t="n"/>
      <c r="H80" s="7" t="n"/>
      <c r="I80" s="65" t="n"/>
      <c r="J80" s="66" t="n"/>
      <c r="K80" s="7" t="n"/>
      <c r="L80" s="7" t="n"/>
      <c r="M80" s="65" t="n"/>
      <c r="N80" s="7" t="n"/>
      <c r="O80" s="67" t="n"/>
      <c r="P80" s="68">
        <f>IF($A80="","",COUNTIFS('Ordres de travail'!$D$5:$D$3004,$A80,'Ordres de travail'!$H$5:$H$3004,"Correctif",'Ordres de travail'!$AC$5:$AC$3004,"&lt;&gt;Annulé",'Ordres de travail'!$B$5:$B$3004,"&gt;="&amp;'Paramètres'!$AA$6,'Ordres de travail'!$B$5:$B$3004,"&lt;"&amp;('Paramètres'!$AA$7+1)))</f>
        <v/>
      </c>
      <c r="Q80" s="69">
        <f>IF($A80="","",SUMIFS('Ordres de travail'!$S$5:$S$3004,'Ordres de travail'!$D$5:$D$3004,$A80,'Ordres de travail'!$H$5:$H$3004,"Correctif",'Ordres de travail'!$AC$5:$AC$3004,"&lt;&gt;Annulé",'Ordres de travail'!$B$5:$B$3004,"&gt;="&amp;'Paramètres'!$AA$6,'Ordres de travail'!$B$5:$B$3004,"&lt;"&amp;('Paramètres'!$AA$7+1)))</f>
        <v/>
      </c>
      <c r="R80" s="69">
        <f>IF($A80="","",SUMIFS('Ordres de travail'!$S$5:$S$3004,'Ordres de travail'!$D$5:$D$3004,$A80,'Ordres de travail'!$AC$5:$AC$3004,"&lt;&gt;Annulé",'Ordres de travail'!$B$5:$B$3004,"&gt;="&amp;'Paramètres'!$AA$6,'Ordres de travail'!$B$5:$B$3004,"&lt;"&amp;('Paramètres'!$AA$7+1)))</f>
        <v/>
      </c>
      <c r="S80" s="70">
        <f>IF($A80="","",SUMIFS('Ordres de travail'!$AA$5:$AA$3004,'Ordres de travail'!$D$5:$D$3004,$A80,'Ordres de travail'!$B$5:$B$3004,"&gt;="&amp;'Paramètres'!$AA$6,'Ordres de travail'!$B$5:$B$3004,"&lt;"&amp;('Paramètres'!$AA$7+1)))</f>
        <v/>
      </c>
      <c r="T80" s="68">
        <f>IF($A80="","",IF(P80=0,"-",(O80*'Paramètres'!$AA$8-Q80)/P80))</f>
        <v/>
      </c>
      <c r="U80" s="69">
        <f>IF($A80="","",IF(P80=0,"-",Q80/P80))</f>
        <v/>
      </c>
      <c r="V80" s="71">
        <f>IF($A80="","",IF(N(O80)*'Paramètres'!$AA$8=0,"-",MAX(0,1-R80/(O80*'Paramètres'!$AA$8))))</f>
        <v/>
      </c>
      <c r="W80" s="68">
        <f>IF($A80="","",_xlfn.MAXIFS('Relevés compteurs'!$D$5:$D$1504,'Relevés compteurs'!$B$5:$B$1504,$A80))</f>
        <v/>
      </c>
      <c r="X80" s="69">
        <f>IF(OR($A80="",I80=""),"",(TODAY()-I80)/365.25)</f>
        <v/>
      </c>
      <c r="Y80" s="70">
        <f>IF($A80="","",SUMIFS('Ordres de travail'!$AA$5:$AA$3004,'Ordres de travail'!$D$5:$D$3004,$A80))</f>
        <v/>
      </c>
      <c r="Z80" s="68">
        <f>IF($A80="","",SUM(COUNTIFS('Ordres de travail'!$D$5:$D$3004,$A80,'Ordres de travail'!$AC$5:$AC$3004,{"Demandé","Planifié","En cours","En attente pièces"})))</f>
        <v/>
      </c>
      <c r="AA80" s="9">
        <f>IF(OR($A80="",M80=""),"",IF(M80&lt;TODAY(),"Expirée",IF(M80-TODAY()&lt;='Paramètres'!$AA$15,"Expire bientôt","Sous garantie")))</f>
        <v/>
      </c>
      <c r="AB80" s="72">
        <f>IF($A80="",-1,N(R80)+ROW()/1000000)</f>
        <v/>
      </c>
    </row>
    <row r="81">
      <c r="A81" s="7" t="n"/>
      <c r="B81" s="7" t="n"/>
      <c r="C81" s="7" t="n"/>
      <c r="D81" s="7" t="n"/>
      <c r="E81" s="7" t="n"/>
      <c r="F81" s="7" t="n"/>
      <c r="G81" s="7" t="n"/>
      <c r="H81" s="7" t="n"/>
      <c r="I81" s="65" t="n"/>
      <c r="J81" s="66" t="n"/>
      <c r="K81" s="7" t="n"/>
      <c r="L81" s="7" t="n"/>
      <c r="M81" s="65" t="n"/>
      <c r="N81" s="7" t="n"/>
      <c r="O81" s="67" t="n"/>
      <c r="P81" s="68">
        <f>IF($A81="","",COUNTIFS('Ordres de travail'!$D$5:$D$3004,$A81,'Ordres de travail'!$H$5:$H$3004,"Correctif",'Ordres de travail'!$AC$5:$AC$3004,"&lt;&gt;Annulé",'Ordres de travail'!$B$5:$B$3004,"&gt;="&amp;'Paramètres'!$AA$6,'Ordres de travail'!$B$5:$B$3004,"&lt;"&amp;('Paramètres'!$AA$7+1)))</f>
        <v/>
      </c>
      <c r="Q81" s="69">
        <f>IF($A81="","",SUMIFS('Ordres de travail'!$S$5:$S$3004,'Ordres de travail'!$D$5:$D$3004,$A81,'Ordres de travail'!$H$5:$H$3004,"Correctif",'Ordres de travail'!$AC$5:$AC$3004,"&lt;&gt;Annulé",'Ordres de travail'!$B$5:$B$3004,"&gt;="&amp;'Paramètres'!$AA$6,'Ordres de travail'!$B$5:$B$3004,"&lt;"&amp;('Paramètres'!$AA$7+1)))</f>
        <v/>
      </c>
      <c r="R81" s="69">
        <f>IF($A81="","",SUMIFS('Ordres de travail'!$S$5:$S$3004,'Ordres de travail'!$D$5:$D$3004,$A81,'Ordres de travail'!$AC$5:$AC$3004,"&lt;&gt;Annulé",'Ordres de travail'!$B$5:$B$3004,"&gt;="&amp;'Paramètres'!$AA$6,'Ordres de travail'!$B$5:$B$3004,"&lt;"&amp;('Paramètres'!$AA$7+1)))</f>
        <v/>
      </c>
      <c r="S81" s="70">
        <f>IF($A81="","",SUMIFS('Ordres de travail'!$AA$5:$AA$3004,'Ordres de travail'!$D$5:$D$3004,$A81,'Ordres de travail'!$B$5:$B$3004,"&gt;="&amp;'Paramètres'!$AA$6,'Ordres de travail'!$B$5:$B$3004,"&lt;"&amp;('Paramètres'!$AA$7+1)))</f>
        <v/>
      </c>
      <c r="T81" s="68">
        <f>IF($A81="","",IF(P81=0,"-",(O81*'Paramètres'!$AA$8-Q81)/P81))</f>
        <v/>
      </c>
      <c r="U81" s="69">
        <f>IF($A81="","",IF(P81=0,"-",Q81/P81))</f>
        <v/>
      </c>
      <c r="V81" s="71">
        <f>IF($A81="","",IF(N(O81)*'Paramètres'!$AA$8=0,"-",MAX(0,1-R81/(O81*'Paramètres'!$AA$8))))</f>
        <v/>
      </c>
      <c r="W81" s="68">
        <f>IF($A81="","",_xlfn.MAXIFS('Relevés compteurs'!$D$5:$D$1504,'Relevés compteurs'!$B$5:$B$1504,$A81))</f>
        <v/>
      </c>
      <c r="X81" s="69">
        <f>IF(OR($A81="",I81=""),"",(TODAY()-I81)/365.25)</f>
        <v/>
      </c>
      <c r="Y81" s="70">
        <f>IF($A81="","",SUMIFS('Ordres de travail'!$AA$5:$AA$3004,'Ordres de travail'!$D$5:$D$3004,$A81))</f>
        <v/>
      </c>
      <c r="Z81" s="68">
        <f>IF($A81="","",SUM(COUNTIFS('Ordres de travail'!$D$5:$D$3004,$A81,'Ordres de travail'!$AC$5:$AC$3004,{"Demandé","Planifié","En cours","En attente pièces"})))</f>
        <v/>
      </c>
      <c r="AA81" s="9">
        <f>IF(OR($A81="",M81=""),"",IF(M81&lt;TODAY(),"Expirée",IF(M81-TODAY()&lt;='Paramètres'!$AA$15,"Expire bientôt","Sous garantie")))</f>
        <v/>
      </c>
      <c r="AB81" s="72">
        <f>IF($A81="",-1,N(R81)+ROW()/1000000)</f>
        <v/>
      </c>
    </row>
    <row r="82">
      <c r="A82" s="7" t="n"/>
      <c r="B82" s="7" t="n"/>
      <c r="C82" s="7" t="n"/>
      <c r="D82" s="7" t="n"/>
      <c r="E82" s="7" t="n"/>
      <c r="F82" s="7" t="n"/>
      <c r="G82" s="7" t="n"/>
      <c r="H82" s="7" t="n"/>
      <c r="I82" s="65" t="n"/>
      <c r="J82" s="66" t="n"/>
      <c r="K82" s="7" t="n"/>
      <c r="L82" s="7" t="n"/>
      <c r="M82" s="65" t="n"/>
      <c r="N82" s="7" t="n"/>
      <c r="O82" s="67" t="n"/>
      <c r="P82" s="68">
        <f>IF($A82="","",COUNTIFS('Ordres de travail'!$D$5:$D$3004,$A82,'Ordres de travail'!$H$5:$H$3004,"Correctif",'Ordres de travail'!$AC$5:$AC$3004,"&lt;&gt;Annulé",'Ordres de travail'!$B$5:$B$3004,"&gt;="&amp;'Paramètres'!$AA$6,'Ordres de travail'!$B$5:$B$3004,"&lt;"&amp;('Paramètres'!$AA$7+1)))</f>
        <v/>
      </c>
      <c r="Q82" s="69">
        <f>IF($A82="","",SUMIFS('Ordres de travail'!$S$5:$S$3004,'Ordres de travail'!$D$5:$D$3004,$A82,'Ordres de travail'!$H$5:$H$3004,"Correctif",'Ordres de travail'!$AC$5:$AC$3004,"&lt;&gt;Annulé",'Ordres de travail'!$B$5:$B$3004,"&gt;="&amp;'Paramètres'!$AA$6,'Ordres de travail'!$B$5:$B$3004,"&lt;"&amp;('Paramètres'!$AA$7+1)))</f>
        <v/>
      </c>
      <c r="R82" s="69">
        <f>IF($A82="","",SUMIFS('Ordres de travail'!$S$5:$S$3004,'Ordres de travail'!$D$5:$D$3004,$A82,'Ordres de travail'!$AC$5:$AC$3004,"&lt;&gt;Annulé",'Ordres de travail'!$B$5:$B$3004,"&gt;="&amp;'Paramètres'!$AA$6,'Ordres de travail'!$B$5:$B$3004,"&lt;"&amp;('Paramètres'!$AA$7+1)))</f>
        <v/>
      </c>
      <c r="S82" s="70">
        <f>IF($A82="","",SUMIFS('Ordres de travail'!$AA$5:$AA$3004,'Ordres de travail'!$D$5:$D$3004,$A82,'Ordres de travail'!$B$5:$B$3004,"&gt;="&amp;'Paramètres'!$AA$6,'Ordres de travail'!$B$5:$B$3004,"&lt;"&amp;('Paramètres'!$AA$7+1)))</f>
        <v/>
      </c>
      <c r="T82" s="68">
        <f>IF($A82="","",IF(P82=0,"-",(O82*'Paramètres'!$AA$8-Q82)/P82))</f>
        <v/>
      </c>
      <c r="U82" s="69">
        <f>IF($A82="","",IF(P82=0,"-",Q82/P82))</f>
        <v/>
      </c>
      <c r="V82" s="71">
        <f>IF($A82="","",IF(N(O82)*'Paramètres'!$AA$8=0,"-",MAX(0,1-R82/(O82*'Paramètres'!$AA$8))))</f>
        <v/>
      </c>
      <c r="W82" s="68">
        <f>IF($A82="","",_xlfn.MAXIFS('Relevés compteurs'!$D$5:$D$1504,'Relevés compteurs'!$B$5:$B$1504,$A82))</f>
        <v/>
      </c>
      <c r="X82" s="69">
        <f>IF(OR($A82="",I82=""),"",(TODAY()-I82)/365.25)</f>
        <v/>
      </c>
      <c r="Y82" s="70">
        <f>IF($A82="","",SUMIFS('Ordres de travail'!$AA$5:$AA$3004,'Ordres de travail'!$D$5:$D$3004,$A82))</f>
        <v/>
      </c>
      <c r="Z82" s="68">
        <f>IF($A82="","",SUM(COUNTIFS('Ordres de travail'!$D$5:$D$3004,$A82,'Ordres de travail'!$AC$5:$AC$3004,{"Demandé","Planifié","En cours","En attente pièces"})))</f>
        <v/>
      </c>
      <c r="AA82" s="9">
        <f>IF(OR($A82="",M82=""),"",IF(M82&lt;TODAY(),"Expirée",IF(M82-TODAY()&lt;='Paramètres'!$AA$15,"Expire bientôt","Sous garantie")))</f>
        <v/>
      </c>
      <c r="AB82" s="72">
        <f>IF($A82="",-1,N(R82)+ROW()/1000000)</f>
        <v/>
      </c>
    </row>
    <row r="83">
      <c r="A83" s="7" t="n"/>
      <c r="B83" s="7" t="n"/>
      <c r="C83" s="7" t="n"/>
      <c r="D83" s="7" t="n"/>
      <c r="E83" s="7" t="n"/>
      <c r="F83" s="7" t="n"/>
      <c r="G83" s="7" t="n"/>
      <c r="H83" s="7" t="n"/>
      <c r="I83" s="65" t="n"/>
      <c r="J83" s="66" t="n"/>
      <c r="K83" s="7" t="n"/>
      <c r="L83" s="7" t="n"/>
      <c r="M83" s="65" t="n"/>
      <c r="N83" s="7" t="n"/>
      <c r="O83" s="67" t="n"/>
      <c r="P83" s="68">
        <f>IF($A83="","",COUNTIFS('Ordres de travail'!$D$5:$D$3004,$A83,'Ordres de travail'!$H$5:$H$3004,"Correctif",'Ordres de travail'!$AC$5:$AC$3004,"&lt;&gt;Annulé",'Ordres de travail'!$B$5:$B$3004,"&gt;="&amp;'Paramètres'!$AA$6,'Ordres de travail'!$B$5:$B$3004,"&lt;"&amp;('Paramètres'!$AA$7+1)))</f>
        <v/>
      </c>
      <c r="Q83" s="69">
        <f>IF($A83="","",SUMIFS('Ordres de travail'!$S$5:$S$3004,'Ordres de travail'!$D$5:$D$3004,$A83,'Ordres de travail'!$H$5:$H$3004,"Correctif",'Ordres de travail'!$AC$5:$AC$3004,"&lt;&gt;Annulé",'Ordres de travail'!$B$5:$B$3004,"&gt;="&amp;'Paramètres'!$AA$6,'Ordres de travail'!$B$5:$B$3004,"&lt;"&amp;('Paramètres'!$AA$7+1)))</f>
        <v/>
      </c>
      <c r="R83" s="69">
        <f>IF($A83="","",SUMIFS('Ordres de travail'!$S$5:$S$3004,'Ordres de travail'!$D$5:$D$3004,$A83,'Ordres de travail'!$AC$5:$AC$3004,"&lt;&gt;Annulé",'Ordres de travail'!$B$5:$B$3004,"&gt;="&amp;'Paramètres'!$AA$6,'Ordres de travail'!$B$5:$B$3004,"&lt;"&amp;('Paramètres'!$AA$7+1)))</f>
        <v/>
      </c>
      <c r="S83" s="70">
        <f>IF($A83="","",SUMIFS('Ordres de travail'!$AA$5:$AA$3004,'Ordres de travail'!$D$5:$D$3004,$A83,'Ordres de travail'!$B$5:$B$3004,"&gt;="&amp;'Paramètres'!$AA$6,'Ordres de travail'!$B$5:$B$3004,"&lt;"&amp;('Paramètres'!$AA$7+1)))</f>
        <v/>
      </c>
      <c r="T83" s="68">
        <f>IF($A83="","",IF(P83=0,"-",(O83*'Paramètres'!$AA$8-Q83)/P83))</f>
        <v/>
      </c>
      <c r="U83" s="69">
        <f>IF($A83="","",IF(P83=0,"-",Q83/P83))</f>
        <v/>
      </c>
      <c r="V83" s="71">
        <f>IF($A83="","",IF(N(O83)*'Paramètres'!$AA$8=0,"-",MAX(0,1-R83/(O83*'Paramètres'!$AA$8))))</f>
        <v/>
      </c>
      <c r="W83" s="68">
        <f>IF($A83="","",_xlfn.MAXIFS('Relevés compteurs'!$D$5:$D$1504,'Relevés compteurs'!$B$5:$B$1504,$A83))</f>
        <v/>
      </c>
      <c r="X83" s="69">
        <f>IF(OR($A83="",I83=""),"",(TODAY()-I83)/365.25)</f>
        <v/>
      </c>
      <c r="Y83" s="70">
        <f>IF($A83="","",SUMIFS('Ordres de travail'!$AA$5:$AA$3004,'Ordres de travail'!$D$5:$D$3004,$A83))</f>
        <v/>
      </c>
      <c r="Z83" s="68">
        <f>IF($A83="","",SUM(COUNTIFS('Ordres de travail'!$D$5:$D$3004,$A83,'Ordres de travail'!$AC$5:$AC$3004,{"Demandé","Planifié","En cours","En attente pièces"})))</f>
        <v/>
      </c>
      <c r="AA83" s="9">
        <f>IF(OR($A83="",M83=""),"",IF(M83&lt;TODAY(),"Expirée",IF(M83-TODAY()&lt;='Paramètres'!$AA$15,"Expire bientôt","Sous garantie")))</f>
        <v/>
      </c>
      <c r="AB83" s="72">
        <f>IF($A83="",-1,N(R83)+ROW()/1000000)</f>
        <v/>
      </c>
    </row>
    <row r="84">
      <c r="A84" s="7" t="n"/>
      <c r="B84" s="7" t="n"/>
      <c r="C84" s="7" t="n"/>
      <c r="D84" s="7" t="n"/>
      <c r="E84" s="7" t="n"/>
      <c r="F84" s="7" t="n"/>
      <c r="G84" s="7" t="n"/>
      <c r="H84" s="7" t="n"/>
      <c r="I84" s="65" t="n"/>
      <c r="J84" s="66" t="n"/>
      <c r="K84" s="7" t="n"/>
      <c r="L84" s="7" t="n"/>
      <c r="M84" s="65" t="n"/>
      <c r="N84" s="7" t="n"/>
      <c r="O84" s="67" t="n"/>
      <c r="P84" s="68">
        <f>IF($A84="","",COUNTIFS('Ordres de travail'!$D$5:$D$3004,$A84,'Ordres de travail'!$H$5:$H$3004,"Correctif",'Ordres de travail'!$AC$5:$AC$3004,"&lt;&gt;Annulé",'Ordres de travail'!$B$5:$B$3004,"&gt;="&amp;'Paramètres'!$AA$6,'Ordres de travail'!$B$5:$B$3004,"&lt;"&amp;('Paramètres'!$AA$7+1)))</f>
        <v/>
      </c>
      <c r="Q84" s="69">
        <f>IF($A84="","",SUMIFS('Ordres de travail'!$S$5:$S$3004,'Ordres de travail'!$D$5:$D$3004,$A84,'Ordres de travail'!$H$5:$H$3004,"Correctif",'Ordres de travail'!$AC$5:$AC$3004,"&lt;&gt;Annulé",'Ordres de travail'!$B$5:$B$3004,"&gt;="&amp;'Paramètres'!$AA$6,'Ordres de travail'!$B$5:$B$3004,"&lt;"&amp;('Paramètres'!$AA$7+1)))</f>
        <v/>
      </c>
      <c r="R84" s="69">
        <f>IF($A84="","",SUMIFS('Ordres de travail'!$S$5:$S$3004,'Ordres de travail'!$D$5:$D$3004,$A84,'Ordres de travail'!$AC$5:$AC$3004,"&lt;&gt;Annulé",'Ordres de travail'!$B$5:$B$3004,"&gt;="&amp;'Paramètres'!$AA$6,'Ordres de travail'!$B$5:$B$3004,"&lt;"&amp;('Paramètres'!$AA$7+1)))</f>
        <v/>
      </c>
      <c r="S84" s="70">
        <f>IF($A84="","",SUMIFS('Ordres de travail'!$AA$5:$AA$3004,'Ordres de travail'!$D$5:$D$3004,$A84,'Ordres de travail'!$B$5:$B$3004,"&gt;="&amp;'Paramètres'!$AA$6,'Ordres de travail'!$B$5:$B$3004,"&lt;"&amp;('Paramètres'!$AA$7+1)))</f>
        <v/>
      </c>
      <c r="T84" s="68">
        <f>IF($A84="","",IF(P84=0,"-",(O84*'Paramètres'!$AA$8-Q84)/P84))</f>
        <v/>
      </c>
      <c r="U84" s="69">
        <f>IF($A84="","",IF(P84=0,"-",Q84/P84))</f>
        <v/>
      </c>
      <c r="V84" s="71">
        <f>IF($A84="","",IF(N(O84)*'Paramètres'!$AA$8=0,"-",MAX(0,1-R84/(O84*'Paramètres'!$AA$8))))</f>
        <v/>
      </c>
      <c r="W84" s="68">
        <f>IF($A84="","",_xlfn.MAXIFS('Relevés compteurs'!$D$5:$D$1504,'Relevés compteurs'!$B$5:$B$1504,$A84))</f>
        <v/>
      </c>
      <c r="X84" s="69">
        <f>IF(OR($A84="",I84=""),"",(TODAY()-I84)/365.25)</f>
        <v/>
      </c>
      <c r="Y84" s="70">
        <f>IF($A84="","",SUMIFS('Ordres de travail'!$AA$5:$AA$3004,'Ordres de travail'!$D$5:$D$3004,$A84))</f>
        <v/>
      </c>
      <c r="Z84" s="68">
        <f>IF($A84="","",SUM(COUNTIFS('Ordres de travail'!$D$5:$D$3004,$A84,'Ordres de travail'!$AC$5:$AC$3004,{"Demandé","Planifié","En cours","En attente pièces"})))</f>
        <v/>
      </c>
      <c r="AA84" s="9">
        <f>IF(OR($A84="",M84=""),"",IF(M84&lt;TODAY(),"Expirée",IF(M84-TODAY()&lt;='Paramètres'!$AA$15,"Expire bientôt","Sous garantie")))</f>
        <v/>
      </c>
      <c r="AB84" s="72">
        <f>IF($A84="",-1,N(R84)+ROW()/1000000)</f>
        <v/>
      </c>
    </row>
    <row r="85">
      <c r="A85" s="7" t="n"/>
      <c r="B85" s="7" t="n"/>
      <c r="C85" s="7" t="n"/>
      <c r="D85" s="7" t="n"/>
      <c r="E85" s="7" t="n"/>
      <c r="F85" s="7" t="n"/>
      <c r="G85" s="7" t="n"/>
      <c r="H85" s="7" t="n"/>
      <c r="I85" s="65" t="n"/>
      <c r="J85" s="66" t="n"/>
      <c r="K85" s="7" t="n"/>
      <c r="L85" s="7" t="n"/>
      <c r="M85" s="65" t="n"/>
      <c r="N85" s="7" t="n"/>
      <c r="O85" s="67" t="n"/>
      <c r="P85" s="68">
        <f>IF($A85="","",COUNTIFS('Ordres de travail'!$D$5:$D$3004,$A85,'Ordres de travail'!$H$5:$H$3004,"Correctif",'Ordres de travail'!$AC$5:$AC$3004,"&lt;&gt;Annulé",'Ordres de travail'!$B$5:$B$3004,"&gt;="&amp;'Paramètres'!$AA$6,'Ordres de travail'!$B$5:$B$3004,"&lt;"&amp;('Paramètres'!$AA$7+1)))</f>
        <v/>
      </c>
      <c r="Q85" s="69">
        <f>IF($A85="","",SUMIFS('Ordres de travail'!$S$5:$S$3004,'Ordres de travail'!$D$5:$D$3004,$A85,'Ordres de travail'!$H$5:$H$3004,"Correctif",'Ordres de travail'!$AC$5:$AC$3004,"&lt;&gt;Annulé",'Ordres de travail'!$B$5:$B$3004,"&gt;="&amp;'Paramètres'!$AA$6,'Ordres de travail'!$B$5:$B$3004,"&lt;"&amp;('Paramètres'!$AA$7+1)))</f>
        <v/>
      </c>
      <c r="R85" s="69">
        <f>IF($A85="","",SUMIFS('Ordres de travail'!$S$5:$S$3004,'Ordres de travail'!$D$5:$D$3004,$A85,'Ordres de travail'!$AC$5:$AC$3004,"&lt;&gt;Annulé",'Ordres de travail'!$B$5:$B$3004,"&gt;="&amp;'Paramètres'!$AA$6,'Ordres de travail'!$B$5:$B$3004,"&lt;"&amp;('Paramètres'!$AA$7+1)))</f>
        <v/>
      </c>
      <c r="S85" s="70">
        <f>IF($A85="","",SUMIFS('Ordres de travail'!$AA$5:$AA$3004,'Ordres de travail'!$D$5:$D$3004,$A85,'Ordres de travail'!$B$5:$B$3004,"&gt;="&amp;'Paramètres'!$AA$6,'Ordres de travail'!$B$5:$B$3004,"&lt;"&amp;('Paramètres'!$AA$7+1)))</f>
        <v/>
      </c>
      <c r="T85" s="68">
        <f>IF($A85="","",IF(P85=0,"-",(O85*'Paramètres'!$AA$8-Q85)/P85))</f>
        <v/>
      </c>
      <c r="U85" s="69">
        <f>IF($A85="","",IF(P85=0,"-",Q85/P85))</f>
        <v/>
      </c>
      <c r="V85" s="71">
        <f>IF($A85="","",IF(N(O85)*'Paramètres'!$AA$8=0,"-",MAX(0,1-R85/(O85*'Paramètres'!$AA$8))))</f>
        <v/>
      </c>
      <c r="W85" s="68">
        <f>IF($A85="","",_xlfn.MAXIFS('Relevés compteurs'!$D$5:$D$1504,'Relevés compteurs'!$B$5:$B$1504,$A85))</f>
        <v/>
      </c>
      <c r="X85" s="69">
        <f>IF(OR($A85="",I85=""),"",(TODAY()-I85)/365.25)</f>
        <v/>
      </c>
      <c r="Y85" s="70">
        <f>IF($A85="","",SUMIFS('Ordres de travail'!$AA$5:$AA$3004,'Ordres de travail'!$D$5:$D$3004,$A85))</f>
        <v/>
      </c>
      <c r="Z85" s="68">
        <f>IF($A85="","",SUM(COUNTIFS('Ordres de travail'!$D$5:$D$3004,$A85,'Ordres de travail'!$AC$5:$AC$3004,{"Demandé","Planifié","En cours","En attente pièces"})))</f>
        <v/>
      </c>
      <c r="AA85" s="9">
        <f>IF(OR($A85="",M85=""),"",IF(M85&lt;TODAY(),"Expirée",IF(M85-TODAY()&lt;='Paramètres'!$AA$15,"Expire bientôt","Sous garantie")))</f>
        <v/>
      </c>
      <c r="AB85" s="72">
        <f>IF($A85="",-1,N(R85)+ROW()/1000000)</f>
        <v/>
      </c>
    </row>
    <row r="86">
      <c r="A86" s="7" t="n"/>
      <c r="B86" s="7" t="n"/>
      <c r="C86" s="7" t="n"/>
      <c r="D86" s="7" t="n"/>
      <c r="E86" s="7" t="n"/>
      <c r="F86" s="7" t="n"/>
      <c r="G86" s="7" t="n"/>
      <c r="H86" s="7" t="n"/>
      <c r="I86" s="65" t="n"/>
      <c r="J86" s="66" t="n"/>
      <c r="K86" s="7" t="n"/>
      <c r="L86" s="7" t="n"/>
      <c r="M86" s="65" t="n"/>
      <c r="N86" s="7" t="n"/>
      <c r="O86" s="67" t="n"/>
      <c r="P86" s="68">
        <f>IF($A86="","",COUNTIFS('Ordres de travail'!$D$5:$D$3004,$A86,'Ordres de travail'!$H$5:$H$3004,"Correctif",'Ordres de travail'!$AC$5:$AC$3004,"&lt;&gt;Annulé",'Ordres de travail'!$B$5:$B$3004,"&gt;="&amp;'Paramètres'!$AA$6,'Ordres de travail'!$B$5:$B$3004,"&lt;"&amp;('Paramètres'!$AA$7+1)))</f>
        <v/>
      </c>
      <c r="Q86" s="69">
        <f>IF($A86="","",SUMIFS('Ordres de travail'!$S$5:$S$3004,'Ordres de travail'!$D$5:$D$3004,$A86,'Ordres de travail'!$H$5:$H$3004,"Correctif",'Ordres de travail'!$AC$5:$AC$3004,"&lt;&gt;Annulé",'Ordres de travail'!$B$5:$B$3004,"&gt;="&amp;'Paramètres'!$AA$6,'Ordres de travail'!$B$5:$B$3004,"&lt;"&amp;('Paramètres'!$AA$7+1)))</f>
        <v/>
      </c>
      <c r="R86" s="69">
        <f>IF($A86="","",SUMIFS('Ordres de travail'!$S$5:$S$3004,'Ordres de travail'!$D$5:$D$3004,$A86,'Ordres de travail'!$AC$5:$AC$3004,"&lt;&gt;Annulé",'Ordres de travail'!$B$5:$B$3004,"&gt;="&amp;'Paramètres'!$AA$6,'Ordres de travail'!$B$5:$B$3004,"&lt;"&amp;('Paramètres'!$AA$7+1)))</f>
        <v/>
      </c>
      <c r="S86" s="70">
        <f>IF($A86="","",SUMIFS('Ordres de travail'!$AA$5:$AA$3004,'Ordres de travail'!$D$5:$D$3004,$A86,'Ordres de travail'!$B$5:$B$3004,"&gt;="&amp;'Paramètres'!$AA$6,'Ordres de travail'!$B$5:$B$3004,"&lt;"&amp;('Paramètres'!$AA$7+1)))</f>
        <v/>
      </c>
      <c r="T86" s="68">
        <f>IF($A86="","",IF(P86=0,"-",(O86*'Paramètres'!$AA$8-Q86)/P86))</f>
        <v/>
      </c>
      <c r="U86" s="69">
        <f>IF($A86="","",IF(P86=0,"-",Q86/P86))</f>
        <v/>
      </c>
      <c r="V86" s="71">
        <f>IF($A86="","",IF(N(O86)*'Paramètres'!$AA$8=0,"-",MAX(0,1-R86/(O86*'Paramètres'!$AA$8))))</f>
        <v/>
      </c>
      <c r="W86" s="68">
        <f>IF($A86="","",_xlfn.MAXIFS('Relevés compteurs'!$D$5:$D$1504,'Relevés compteurs'!$B$5:$B$1504,$A86))</f>
        <v/>
      </c>
      <c r="X86" s="69">
        <f>IF(OR($A86="",I86=""),"",(TODAY()-I86)/365.25)</f>
        <v/>
      </c>
      <c r="Y86" s="70">
        <f>IF($A86="","",SUMIFS('Ordres de travail'!$AA$5:$AA$3004,'Ordres de travail'!$D$5:$D$3004,$A86))</f>
        <v/>
      </c>
      <c r="Z86" s="68">
        <f>IF($A86="","",SUM(COUNTIFS('Ordres de travail'!$D$5:$D$3004,$A86,'Ordres de travail'!$AC$5:$AC$3004,{"Demandé","Planifié","En cours","En attente pièces"})))</f>
        <v/>
      </c>
      <c r="AA86" s="9">
        <f>IF(OR($A86="",M86=""),"",IF(M86&lt;TODAY(),"Expirée",IF(M86-TODAY()&lt;='Paramètres'!$AA$15,"Expire bientôt","Sous garantie")))</f>
        <v/>
      </c>
      <c r="AB86" s="72">
        <f>IF($A86="",-1,N(R86)+ROW()/1000000)</f>
        <v/>
      </c>
    </row>
    <row r="87">
      <c r="A87" s="7" t="n"/>
      <c r="B87" s="7" t="n"/>
      <c r="C87" s="7" t="n"/>
      <c r="D87" s="7" t="n"/>
      <c r="E87" s="7" t="n"/>
      <c r="F87" s="7" t="n"/>
      <c r="G87" s="7" t="n"/>
      <c r="H87" s="7" t="n"/>
      <c r="I87" s="65" t="n"/>
      <c r="J87" s="66" t="n"/>
      <c r="K87" s="7" t="n"/>
      <c r="L87" s="7" t="n"/>
      <c r="M87" s="65" t="n"/>
      <c r="N87" s="7" t="n"/>
      <c r="O87" s="67" t="n"/>
      <c r="P87" s="68">
        <f>IF($A87="","",COUNTIFS('Ordres de travail'!$D$5:$D$3004,$A87,'Ordres de travail'!$H$5:$H$3004,"Correctif",'Ordres de travail'!$AC$5:$AC$3004,"&lt;&gt;Annulé",'Ordres de travail'!$B$5:$B$3004,"&gt;="&amp;'Paramètres'!$AA$6,'Ordres de travail'!$B$5:$B$3004,"&lt;"&amp;('Paramètres'!$AA$7+1)))</f>
        <v/>
      </c>
      <c r="Q87" s="69">
        <f>IF($A87="","",SUMIFS('Ordres de travail'!$S$5:$S$3004,'Ordres de travail'!$D$5:$D$3004,$A87,'Ordres de travail'!$H$5:$H$3004,"Correctif",'Ordres de travail'!$AC$5:$AC$3004,"&lt;&gt;Annulé",'Ordres de travail'!$B$5:$B$3004,"&gt;="&amp;'Paramètres'!$AA$6,'Ordres de travail'!$B$5:$B$3004,"&lt;"&amp;('Paramètres'!$AA$7+1)))</f>
        <v/>
      </c>
      <c r="R87" s="69">
        <f>IF($A87="","",SUMIFS('Ordres de travail'!$S$5:$S$3004,'Ordres de travail'!$D$5:$D$3004,$A87,'Ordres de travail'!$AC$5:$AC$3004,"&lt;&gt;Annulé",'Ordres de travail'!$B$5:$B$3004,"&gt;="&amp;'Paramètres'!$AA$6,'Ordres de travail'!$B$5:$B$3004,"&lt;"&amp;('Paramètres'!$AA$7+1)))</f>
        <v/>
      </c>
      <c r="S87" s="70">
        <f>IF($A87="","",SUMIFS('Ordres de travail'!$AA$5:$AA$3004,'Ordres de travail'!$D$5:$D$3004,$A87,'Ordres de travail'!$B$5:$B$3004,"&gt;="&amp;'Paramètres'!$AA$6,'Ordres de travail'!$B$5:$B$3004,"&lt;"&amp;('Paramètres'!$AA$7+1)))</f>
        <v/>
      </c>
      <c r="T87" s="68">
        <f>IF($A87="","",IF(P87=0,"-",(O87*'Paramètres'!$AA$8-Q87)/P87))</f>
        <v/>
      </c>
      <c r="U87" s="69">
        <f>IF($A87="","",IF(P87=0,"-",Q87/P87))</f>
        <v/>
      </c>
      <c r="V87" s="71">
        <f>IF($A87="","",IF(N(O87)*'Paramètres'!$AA$8=0,"-",MAX(0,1-R87/(O87*'Paramètres'!$AA$8))))</f>
        <v/>
      </c>
      <c r="W87" s="68">
        <f>IF($A87="","",_xlfn.MAXIFS('Relevés compteurs'!$D$5:$D$1504,'Relevés compteurs'!$B$5:$B$1504,$A87))</f>
        <v/>
      </c>
      <c r="X87" s="69">
        <f>IF(OR($A87="",I87=""),"",(TODAY()-I87)/365.25)</f>
        <v/>
      </c>
      <c r="Y87" s="70">
        <f>IF($A87="","",SUMIFS('Ordres de travail'!$AA$5:$AA$3004,'Ordres de travail'!$D$5:$D$3004,$A87))</f>
        <v/>
      </c>
      <c r="Z87" s="68">
        <f>IF($A87="","",SUM(COUNTIFS('Ordres de travail'!$D$5:$D$3004,$A87,'Ordres de travail'!$AC$5:$AC$3004,{"Demandé","Planifié","En cours","En attente pièces"})))</f>
        <v/>
      </c>
      <c r="AA87" s="9">
        <f>IF(OR($A87="",M87=""),"",IF(M87&lt;TODAY(),"Expirée",IF(M87-TODAY()&lt;='Paramètres'!$AA$15,"Expire bientôt","Sous garantie")))</f>
        <v/>
      </c>
      <c r="AB87" s="72">
        <f>IF($A87="",-1,N(R87)+ROW()/1000000)</f>
        <v/>
      </c>
    </row>
    <row r="88">
      <c r="A88" s="7" t="n"/>
      <c r="B88" s="7" t="n"/>
      <c r="C88" s="7" t="n"/>
      <c r="D88" s="7" t="n"/>
      <c r="E88" s="7" t="n"/>
      <c r="F88" s="7" t="n"/>
      <c r="G88" s="7" t="n"/>
      <c r="H88" s="7" t="n"/>
      <c r="I88" s="65" t="n"/>
      <c r="J88" s="66" t="n"/>
      <c r="K88" s="7" t="n"/>
      <c r="L88" s="7" t="n"/>
      <c r="M88" s="65" t="n"/>
      <c r="N88" s="7" t="n"/>
      <c r="O88" s="67" t="n"/>
      <c r="P88" s="68">
        <f>IF($A88="","",COUNTIFS('Ordres de travail'!$D$5:$D$3004,$A88,'Ordres de travail'!$H$5:$H$3004,"Correctif",'Ordres de travail'!$AC$5:$AC$3004,"&lt;&gt;Annulé",'Ordres de travail'!$B$5:$B$3004,"&gt;="&amp;'Paramètres'!$AA$6,'Ordres de travail'!$B$5:$B$3004,"&lt;"&amp;('Paramètres'!$AA$7+1)))</f>
        <v/>
      </c>
      <c r="Q88" s="69">
        <f>IF($A88="","",SUMIFS('Ordres de travail'!$S$5:$S$3004,'Ordres de travail'!$D$5:$D$3004,$A88,'Ordres de travail'!$H$5:$H$3004,"Correctif",'Ordres de travail'!$AC$5:$AC$3004,"&lt;&gt;Annulé",'Ordres de travail'!$B$5:$B$3004,"&gt;="&amp;'Paramètres'!$AA$6,'Ordres de travail'!$B$5:$B$3004,"&lt;"&amp;('Paramètres'!$AA$7+1)))</f>
        <v/>
      </c>
      <c r="R88" s="69">
        <f>IF($A88="","",SUMIFS('Ordres de travail'!$S$5:$S$3004,'Ordres de travail'!$D$5:$D$3004,$A88,'Ordres de travail'!$AC$5:$AC$3004,"&lt;&gt;Annulé",'Ordres de travail'!$B$5:$B$3004,"&gt;="&amp;'Paramètres'!$AA$6,'Ordres de travail'!$B$5:$B$3004,"&lt;"&amp;('Paramètres'!$AA$7+1)))</f>
        <v/>
      </c>
      <c r="S88" s="70">
        <f>IF($A88="","",SUMIFS('Ordres de travail'!$AA$5:$AA$3004,'Ordres de travail'!$D$5:$D$3004,$A88,'Ordres de travail'!$B$5:$B$3004,"&gt;="&amp;'Paramètres'!$AA$6,'Ordres de travail'!$B$5:$B$3004,"&lt;"&amp;('Paramètres'!$AA$7+1)))</f>
        <v/>
      </c>
      <c r="T88" s="68">
        <f>IF($A88="","",IF(P88=0,"-",(O88*'Paramètres'!$AA$8-Q88)/P88))</f>
        <v/>
      </c>
      <c r="U88" s="69">
        <f>IF($A88="","",IF(P88=0,"-",Q88/P88))</f>
        <v/>
      </c>
      <c r="V88" s="71">
        <f>IF($A88="","",IF(N(O88)*'Paramètres'!$AA$8=0,"-",MAX(0,1-R88/(O88*'Paramètres'!$AA$8))))</f>
        <v/>
      </c>
      <c r="W88" s="68">
        <f>IF($A88="","",_xlfn.MAXIFS('Relevés compteurs'!$D$5:$D$1504,'Relevés compteurs'!$B$5:$B$1504,$A88))</f>
        <v/>
      </c>
      <c r="X88" s="69">
        <f>IF(OR($A88="",I88=""),"",(TODAY()-I88)/365.25)</f>
        <v/>
      </c>
      <c r="Y88" s="70">
        <f>IF($A88="","",SUMIFS('Ordres de travail'!$AA$5:$AA$3004,'Ordres de travail'!$D$5:$D$3004,$A88))</f>
        <v/>
      </c>
      <c r="Z88" s="68">
        <f>IF($A88="","",SUM(COUNTIFS('Ordres de travail'!$D$5:$D$3004,$A88,'Ordres de travail'!$AC$5:$AC$3004,{"Demandé","Planifié","En cours","En attente pièces"})))</f>
        <v/>
      </c>
      <c r="AA88" s="9">
        <f>IF(OR($A88="",M88=""),"",IF(M88&lt;TODAY(),"Expirée",IF(M88-TODAY()&lt;='Paramètres'!$AA$15,"Expire bientôt","Sous garantie")))</f>
        <v/>
      </c>
      <c r="AB88" s="72">
        <f>IF($A88="",-1,N(R88)+ROW()/1000000)</f>
        <v/>
      </c>
    </row>
    <row r="89">
      <c r="A89" s="7" t="n"/>
      <c r="B89" s="7" t="n"/>
      <c r="C89" s="7" t="n"/>
      <c r="D89" s="7" t="n"/>
      <c r="E89" s="7" t="n"/>
      <c r="F89" s="7" t="n"/>
      <c r="G89" s="7" t="n"/>
      <c r="H89" s="7" t="n"/>
      <c r="I89" s="65" t="n"/>
      <c r="J89" s="66" t="n"/>
      <c r="K89" s="7" t="n"/>
      <c r="L89" s="7" t="n"/>
      <c r="M89" s="65" t="n"/>
      <c r="N89" s="7" t="n"/>
      <c r="O89" s="67" t="n"/>
      <c r="P89" s="68">
        <f>IF($A89="","",COUNTIFS('Ordres de travail'!$D$5:$D$3004,$A89,'Ordres de travail'!$H$5:$H$3004,"Correctif",'Ordres de travail'!$AC$5:$AC$3004,"&lt;&gt;Annulé",'Ordres de travail'!$B$5:$B$3004,"&gt;="&amp;'Paramètres'!$AA$6,'Ordres de travail'!$B$5:$B$3004,"&lt;"&amp;('Paramètres'!$AA$7+1)))</f>
        <v/>
      </c>
      <c r="Q89" s="69">
        <f>IF($A89="","",SUMIFS('Ordres de travail'!$S$5:$S$3004,'Ordres de travail'!$D$5:$D$3004,$A89,'Ordres de travail'!$H$5:$H$3004,"Correctif",'Ordres de travail'!$AC$5:$AC$3004,"&lt;&gt;Annulé",'Ordres de travail'!$B$5:$B$3004,"&gt;="&amp;'Paramètres'!$AA$6,'Ordres de travail'!$B$5:$B$3004,"&lt;"&amp;('Paramètres'!$AA$7+1)))</f>
        <v/>
      </c>
      <c r="R89" s="69">
        <f>IF($A89="","",SUMIFS('Ordres de travail'!$S$5:$S$3004,'Ordres de travail'!$D$5:$D$3004,$A89,'Ordres de travail'!$AC$5:$AC$3004,"&lt;&gt;Annulé",'Ordres de travail'!$B$5:$B$3004,"&gt;="&amp;'Paramètres'!$AA$6,'Ordres de travail'!$B$5:$B$3004,"&lt;"&amp;('Paramètres'!$AA$7+1)))</f>
        <v/>
      </c>
      <c r="S89" s="70">
        <f>IF($A89="","",SUMIFS('Ordres de travail'!$AA$5:$AA$3004,'Ordres de travail'!$D$5:$D$3004,$A89,'Ordres de travail'!$B$5:$B$3004,"&gt;="&amp;'Paramètres'!$AA$6,'Ordres de travail'!$B$5:$B$3004,"&lt;"&amp;('Paramètres'!$AA$7+1)))</f>
        <v/>
      </c>
      <c r="T89" s="68">
        <f>IF($A89="","",IF(P89=0,"-",(O89*'Paramètres'!$AA$8-Q89)/P89))</f>
        <v/>
      </c>
      <c r="U89" s="69">
        <f>IF($A89="","",IF(P89=0,"-",Q89/P89))</f>
        <v/>
      </c>
      <c r="V89" s="71">
        <f>IF($A89="","",IF(N(O89)*'Paramètres'!$AA$8=0,"-",MAX(0,1-R89/(O89*'Paramètres'!$AA$8))))</f>
        <v/>
      </c>
      <c r="W89" s="68">
        <f>IF($A89="","",_xlfn.MAXIFS('Relevés compteurs'!$D$5:$D$1504,'Relevés compteurs'!$B$5:$B$1504,$A89))</f>
        <v/>
      </c>
      <c r="X89" s="69">
        <f>IF(OR($A89="",I89=""),"",(TODAY()-I89)/365.25)</f>
        <v/>
      </c>
      <c r="Y89" s="70">
        <f>IF($A89="","",SUMIFS('Ordres de travail'!$AA$5:$AA$3004,'Ordres de travail'!$D$5:$D$3004,$A89))</f>
        <v/>
      </c>
      <c r="Z89" s="68">
        <f>IF($A89="","",SUM(COUNTIFS('Ordres de travail'!$D$5:$D$3004,$A89,'Ordres de travail'!$AC$5:$AC$3004,{"Demandé","Planifié","En cours","En attente pièces"})))</f>
        <v/>
      </c>
      <c r="AA89" s="9">
        <f>IF(OR($A89="",M89=""),"",IF(M89&lt;TODAY(),"Expirée",IF(M89-TODAY()&lt;='Paramètres'!$AA$15,"Expire bientôt","Sous garantie")))</f>
        <v/>
      </c>
      <c r="AB89" s="72">
        <f>IF($A89="",-1,N(R89)+ROW()/1000000)</f>
        <v/>
      </c>
    </row>
    <row r="90">
      <c r="A90" s="7" t="n"/>
      <c r="B90" s="7" t="n"/>
      <c r="C90" s="7" t="n"/>
      <c r="D90" s="7" t="n"/>
      <c r="E90" s="7" t="n"/>
      <c r="F90" s="7" t="n"/>
      <c r="G90" s="7" t="n"/>
      <c r="H90" s="7" t="n"/>
      <c r="I90" s="65" t="n"/>
      <c r="J90" s="66" t="n"/>
      <c r="K90" s="7" t="n"/>
      <c r="L90" s="7" t="n"/>
      <c r="M90" s="65" t="n"/>
      <c r="N90" s="7" t="n"/>
      <c r="O90" s="67" t="n"/>
      <c r="P90" s="68">
        <f>IF($A90="","",COUNTIFS('Ordres de travail'!$D$5:$D$3004,$A90,'Ordres de travail'!$H$5:$H$3004,"Correctif",'Ordres de travail'!$AC$5:$AC$3004,"&lt;&gt;Annulé",'Ordres de travail'!$B$5:$B$3004,"&gt;="&amp;'Paramètres'!$AA$6,'Ordres de travail'!$B$5:$B$3004,"&lt;"&amp;('Paramètres'!$AA$7+1)))</f>
        <v/>
      </c>
      <c r="Q90" s="69">
        <f>IF($A90="","",SUMIFS('Ordres de travail'!$S$5:$S$3004,'Ordres de travail'!$D$5:$D$3004,$A90,'Ordres de travail'!$H$5:$H$3004,"Correctif",'Ordres de travail'!$AC$5:$AC$3004,"&lt;&gt;Annulé",'Ordres de travail'!$B$5:$B$3004,"&gt;="&amp;'Paramètres'!$AA$6,'Ordres de travail'!$B$5:$B$3004,"&lt;"&amp;('Paramètres'!$AA$7+1)))</f>
        <v/>
      </c>
      <c r="R90" s="69">
        <f>IF($A90="","",SUMIFS('Ordres de travail'!$S$5:$S$3004,'Ordres de travail'!$D$5:$D$3004,$A90,'Ordres de travail'!$AC$5:$AC$3004,"&lt;&gt;Annulé",'Ordres de travail'!$B$5:$B$3004,"&gt;="&amp;'Paramètres'!$AA$6,'Ordres de travail'!$B$5:$B$3004,"&lt;"&amp;('Paramètres'!$AA$7+1)))</f>
        <v/>
      </c>
      <c r="S90" s="70">
        <f>IF($A90="","",SUMIFS('Ordres de travail'!$AA$5:$AA$3004,'Ordres de travail'!$D$5:$D$3004,$A90,'Ordres de travail'!$B$5:$B$3004,"&gt;="&amp;'Paramètres'!$AA$6,'Ordres de travail'!$B$5:$B$3004,"&lt;"&amp;('Paramètres'!$AA$7+1)))</f>
        <v/>
      </c>
      <c r="T90" s="68">
        <f>IF($A90="","",IF(P90=0,"-",(O90*'Paramètres'!$AA$8-Q90)/P90))</f>
        <v/>
      </c>
      <c r="U90" s="69">
        <f>IF($A90="","",IF(P90=0,"-",Q90/P90))</f>
        <v/>
      </c>
      <c r="V90" s="71">
        <f>IF($A90="","",IF(N(O90)*'Paramètres'!$AA$8=0,"-",MAX(0,1-R90/(O90*'Paramètres'!$AA$8))))</f>
        <v/>
      </c>
      <c r="W90" s="68">
        <f>IF($A90="","",_xlfn.MAXIFS('Relevés compteurs'!$D$5:$D$1504,'Relevés compteurs'!$B$5:$B$1504,$A90))</f>
        <v/>
      </c>
      <c r="X90" s="69">
        <f>IF(OR($A90="",I90=""),"",(TODAY()-I90)/365.25)</f>
        <v/>
      </c>
      <c r="Y90" s="70">
        <f>IF($A90="","",SUMIFS('Ordres de travail'!$AA$5:$AA$3004,'Ordres de travail'!$D$5:$D$3004,$A90))</f>
        <v/>
      </c>
      <c r="Z90" s="68">
        <f>IF($A90="","",SUM(COUNTIFS('Ordres de travail'!$D$5:$D$3004,$A90,'Ordres de travail'!$AC$5:$AC$3004,{"Demandé","Planifié","En cours","En attente pièces"})))</f>
        <v/>
      </c>
      <c r="AA90" s="9">
        <f>IF(OR($A90="",M90=""),"",IF(M90&lt;TODAY(),"Expirée",IF(M90-TODAY()&lt;='Paramètres'!$AA$15,"Expire bientôt","Sous garantie")))</f>
        <v/>
      </c>
      <c r="AB90" s="72">
        <f>IF($A90="",-1,N(R90)+ROW()/1000000)</f>
        <v/>
      </c>
    </row>
    <row r="91">
      <c r="A91" s="7" t="n"/>
      <c r="B91" s="7" t="n"/>
      <c r="C91" s="7" t="n"/>
      <c r="D91" s="7" t="n"/>
      <c r="E91" s="7" t="n"/>
      <c r="F91" s="7" t="n"/>
      <c r="G91" s="7" t="n"/>
      <c r="H91" s="7" t="n"/>
      <c r="I91" s="65" t="n"/>
      <c r="J91" s="66" t="n"/>
      <c r="K91" s="7" t="n"/>
      <c r="L91" s="7" t="n"/>
      <c r="M91" s="65" t="n"/>
      <c r="N91" s="7" t="n"/>
      <c r="O91" s="67" t="n"/>
      <c r="P91" s="68">
        <f>IF($A91="","",COUNTIFS('Ordres de travail'!$D$5:$D$3004,$A91,'Ordres de travail'!$H$5:$H$3004,"Correctif",'Ordres de travail'!$AC$5:$AC$3004,"&lt;&gt;Annulé",'Ordres de travail'!$B$5:$B$3004,"&gt;="&amp;'Paramètres'!$AA$6,'Ordres de travail'!$B$5:$B$3004,"&lt;"&amp;('Paramètres'!$AA$7+1)))</f>
        <v/>
      </c>
      <c r="Q91" s="69">
        <f>IF($A91="","",SUMIFS('Ordres de travail'!$S$5:$S$3004,'Ordres de travail'!$D$5:$D$3004,$A91,'Ordres de travail'!$H$5:$H$3004,"Correctif",'Ordres de travail'!$AC$5:$AC$3004,"&lt;&gt;Annulé",'Ordres de travail'!$B$5:$B$3004,"&gt;="&amp;'Paramètres'!$AA$6,'Ordres de travail'!$B$5:$B$3004,"&lt;"&amp;('Paramètres'!$AA$7+1)))</f>
        <v/>
      </c>
      <c r="R91" s="69">
        <f>IF($A91="","",SUMIFS('Ordres de travail'!$S$5:$S$3004,'Ordres de travail'!$D$5:$D$3004,$A91,'Ordres de travail'!$AC$5:$AC$3004,"&lt;&gt;Annulé",'Ordres de travail'!$B$5:$B$3004,"&gt;="&amp;'Paramètres'!$AA$6,'Ordres de travail'!$B$5:$B$3004,"&lt;"&amp;('Paramètres'!$AA$7+1)))</f>
        <v/>
      </c>
      <c r="S91" s="70">
        <f>IF($A91="","",SUMIFS('Ordres de travail'!$AA$5:$AA$3004,'Ordres de travail'!$D$5:$D$3004,$A91,'Ordres de travail'!$B$5:$B$3004,"&gt;="&amp;'Paramètres'!$AA$6,'Ordres de travail'!$B$5:$B$3004,"&lt;"&amp;('Paramètres'!$AA$7+1)))</f>
        <v/>
      </c>
      <c r="T91" s="68">
        <f>IF($A91="","",IF(P91=0,"-",(O91*'Paramètres'!$AA$8-Q91)/P91))</f>
        <v/>
      </c>
      <c r="U91" s="69">
        <f>IF($A91="","",IF(P91=0,"-",Q91/P91))</f>
        <v/>
      </c>
      <c r="V91" s="71">
        <f>IF($A91="","",IF(N(O91)*'Paramètres'!$AA$8=0,"-",MAX(0,1-R91/(O91*'Paramètres'!$AA$8))))</f>
        <v/>
      </c>
      <c r="W91" s="68">
        <f>IF($A91="","",_xlfn.MAXIFS('Relevés compteurs'!$D$5:$D$1504,'Relevés compteurs'!$B$5:$B$1504,$A91))</f>
        <v/>
      </c>
      <c r="X91" s="69">
        <f>IF(OR($A91="",I91=""),"",(TODAY()-I91)/365.25)</f>
        <v/>
      </c>
      <c r="Y91" s="70">
        <f>IF($A91="","",SUMIFS('Ordres de travail'!$AA$5:$AA$3004,'Ordres de travail'!$D$5:$D$3004,$A91))</f>
        <v/>
      </c>
      <c r="Z91" s="68">
        <f>IF($A91="","",SUM(COUNTIFS('Ordres de travail'!$D$5:$D$3004,$A91,'Ordres de travail'!$AC$5:$AC$3004,{"Demandé","Planifié","En cours","En attente pièces"})))</f>
        <v/>
      </c>
      <c r="AA91" s="9">
        <f>IF(OR($A91="",M91=""),"",IF(M91&lt;TODAY(),"Expirée",IF(M91-TODAY()&lt;='Paramètres'!$AA$15,"Expire bientôt","Sous garantie")))</f>
        <v/>
      </c>
      <c r="AB91" s="72">
        <f>IF($A91="",-1,N(R91)+ROW()/1000000)</f>
        <v/>
      </c>
    </row>
    <row r="92">
      <c r="A92" s="7" t="n"/>
      <c r="B92" s="7" t="n"/>
      <c r="C92" s="7" t="n"/>
      <c r="D92" s="7" t="n"/>
      <c r="E92" s="7" t="n"/>
      <c r="F92" s="7" t="n"/>
      <c r="G92" s="7" t="n"/>
      <c r="H92" s="7" t="n"/>
      <c r="I92" s="65" t="n"/>
      <c r="J92" s="66" t="n"/>
      <c r="K92" s="7" t="n"/>
      <c r="L92" s="7" t="n"/>
      <c r="M92" s="65" t="n"/>
      <c r="N92" s="7" t="n"/>
      <c r="O92" s="67" t="n"/>
      <c r="P92" s="68">
        <f>IF($A92="","",COUNTIFS('Ordres de travail'!$D$5:$D$3004,$A92,'Ordres de travail'!$H$5:$H$3004,"Correctif",'Ordres de travail'!$AC$5:$AC$3004,"&lt;&gt;Annulé",'Ordres de travail'!$B$5:$B$3004,"&gt;="&amp;'Paramètres'!$AA$6,'Ordres de travail'!$B$5:$B$3004,"&lt;"&amp;('Paramètres'!$AA$7+1)))</f>
        <v/>
      </c>
      <c r="Q92" s="69">
        <f>IF($A92="","",SUMIFS('Ordres de travail'!$S$5:$S$3004,'Ordres de travail'!$D$5:$D$3004,$A92,'Ordres de travail'!$H$5:$H$3004,"Correctif",'Ordres de travail'!$AC$5:$AC$3004,"&lt;&gt;Annulé",'Ordres de travail'!$B$5:$B$3004,"&gt;="&amp;'Paramètres'!$AA$6,'Ordres de travail'!$B$5:$B$3004,"&lt;"&amp;('Paramètres'!$AA$7+1)))</f>
        <v/>
      </c>
      <c r="R92" s="69">
        <f>IF($A92="","",SUMIFS('Ordres de travail'!$S$5:$S$3004,'Ordres de travail'!$D$5:$D$3004,$A92,'Ordres de travail'!$AC$5:$AC$3004,"&lt;&gt;Annulé",'Ordres de travail'!$B$5:$B$3004,"&gt;="&amp;'Paramètres'!$AA$6,'Ordres de travail'!$B$5:$B$3004,"&lt;"&amp;('Paramètres'!$AA$7+1)))</f>
        <v/>
      </c>
      <c r="S92" s="70">
        <f>IF($A92="","",SUMIFS('Ordres de travail'!$AA$5:$AA$3004,'Ordres de travail'!$D$5:$D$3004,$A92,'Ordres de travail'!$B$5:$B$3004,"&gt;="&amp;'Paramètres'!$AA$6,'Ordres de travail'!$B$5:$B$3004,"&lt;"&amp;('Paramètres'!$AA$7+1)))</f>
        <v/>
      </c>
      <c r="T92" s="68">
        <f>IF($A92="","",IF(P92=0,"-",(O92*'Paramètres'!$AA$8-Q92)/P92))</f>
        <v/>
      </c>
      <c r="U92" s="69">
        <f>IF($A92="","",IF(P92=0,"-",Q92/P92))</f>
        <v/>
      </c>
      <c r="V92" s="71">
        <f>IF($A92="","",IF(N(O92)*'Paramètres'!$AA$8=0,"-",MAX(0,1-R92/(O92*'Paramètres'!$AA$8))))</f>
        <v/>
      </c>
      <c r="W92" s="68">
        <f>IF($A92="","",_xlfn.MAXIFS('Relevés compteurs'!$D$5:$D$1504,'Relevés compteurs'!$B$5:$B$1504,$A92))</f>
        <v/>
      </c>
      <c r="X92" s="69">
        <f>IF(OR($A92="",I92=""),"",(TODAY()-I92)/365.25)</f>
        <v/>
      </c>
      <c r="Y92" s="70">
        <f>IF($A92="","",SUMIFS('Ordres de travail'!$AA$5:$AA$3004,'Ordres de travail'!$D$5:$D$3004,$A92))</f>
        <v/>
      </c>
      <c r="Z92" s="68">
        <f>IF($A92="","",SUM(COUNTIFS('Ordres de travail'!$D$5:$D$3004,$A92,'Ordres de travail'!$AC$5:$AC$3004,{"Demandé","Planifié","En cours","En attente pièces"})))</f>
        <v/>
      </c>
      <c r="AA92" s="9">
        <f>IF(OR($A92="",M92=""),"",IF(M92&lt;TODAY(),"Expirée",IF(M92-TODAY()&lt;='Paramètres'!$AA$15,"Expire bientôt","Sous garantie")))</f>
        <v/>
      </c>
      <c r="AB92" s="72">
        <f>IF($A92="",-1,N(R92)+ROW()/1000000)</f>
        <v/>
      </c>
    </row>
    <row r="93">
      <c r="A93" s="7" t="n"/>
      <c r="B93" s="7" t="n"/>
      <c r="C93" s="7" t="n"/>
      <c r="D93" s="7" t="n"/>
      <c r="E93" s="7" t="n"/>
      <c r="F93" s="7" t="n"/>
      <c r="G93" s="7" t="n"/>
      <c r="H93" s="7" t="n"/>
      <c r="I93" s="65" t="n"/>
      <c r="J93" s="66" t="n"/>
      <c r="K93" s="7" t="n"/>
      <c r="L93" s="7" t="n"/>
      <c r="M93" s="65" t="n"/>
      <c r="N93" s="7" t="n"/>
      <c r="O93" s="67" t="n"/>
      <c r="P93" s="68">
        <f>IF($A93="","",COUNTIFS('Ordres de travail'!$D$5:$D$3004,$A93,'Ordres de travail'!$H$5:$H$3004,"Correctif",'Ordres de travail'!$AC$5:$AC$3004,"&lt;&gt;Annulé",'Ordres de travail'!$B$5:$B$3004,"&gt;="&amp;'Paramètres'!$AA$6,'Ordres de travail'!$B$5:$B$3004,"&lt;"&amp;('Paramètres'!$AA$7+1)))</f>
        <v/>
      </c>
      <c r="Q93" s="69">
        <f>IF($A93="","",SUMIFS('Ordres de travail'!$S$5:$S$3004,'Ordres de travail'!$D$5:$D$3004,$A93,'Ordres de travail'!$H$5:$H$3004,"Correctif",'Ordres de travail'!$AC$5:$AC$3004,"&lt;&gt;Annulé",'Ordres de travail'!$B$5:$B$3004,"&gt;="&amp;'Paramètres'!$AA$6,'Ordres de travail'!$B$5:$B$3004,"&lt;"&amp;('Paramètres'!$AA$7+1)))</f>
        <v/>
      </c>
      <c r="R93" s="69">
        <f>IF($A93="","",SUMIFS('Ordres de travail'!$S$5:$S$3004,'Ordres de travail'!$D$5:$D$3004,$A93,'Ordres de travail'!$AC$5:$AC$3004,"&lt;&gt;Annulé",'Ordres de travail'!$B$5:$B$3004,"&gt;="&amp;'Paramètres'!$AA$6,'Ordres de travail'!$B$5:$B$3004,"&lt;"&amp;('Paramètres'!$AA$7+1)))</f>
        <v/>
      </c>
      <c r="S93" s="70">
        <f>IF($A93="","",SUMIFS('Ordres de travail'!$AA$5:$AA$3004,'Ordres de travail'!$D$5:$D$3004,$A93,'Ordres de travail'!$B$5:$B$3004,"&gt;="&amp;'Paramètres'!$AA$6,'Ordres de travail'!$B$5:$B$3004,"&lt;"&amp;('Paramètres'!$AA$7+1)))</f>
        <v/>
      </c>
      <c r="T93" s="68">
        <f>IF($A93="","",IF(P93=0,"-",(O93*'Paramètres'!$AA$8-Q93)/P93))</f>
        <v/>
      </c>
      <c r="U93" s="69">
        <f>IF($A93="","",IF(P93=0,"-",Q93/P93))</f>
        <v/>
      </c>
      <c r="V93" s="71">
        <f>IF($A93="","",IF(N(O93)*'Paramètres'!$AA$8=0,"-",MAX(0,1-R93/(O93*'Paramètres'!$AA$8))))</f>
        <v/>
      </c>
      <c r="W93" s="68">
        <f>IF($A93="","",_xlfn.MAXIFS('Relevés compteurs'!$D$5:$D$1504,'Relevés compteurs'!$B$5:$B$1504,$A93))</f>
        <v/>
      </c>
      <c r="X93" s="69">
        <f>IF(OR($A93="",I93=""),"",(TODAY()-I93)/365.25)</f>
        <v/>
      </c>
      <c r="Y93" s="70">
        <f>IF($A93="","",SUMIFS('Ordres de travail'!$AA$5:$AA$3004,'Ordres de travail'!$D$5:$D$3004,$A93))</f>
        <v/>
      </c>
      <c r="Z93" s="68">
        <f>IF($A93="","",SUM(COUNTIFS('Ordres de travail'!$D$5:$D$3004,$A93,'Ordres de travail'!$AC$5:$AC$3004,{"Demandé","Planifié","En cours","En attente pièces"})))</f>
        <v/>
      </c>
      <c r="AA93" s="9">
        <f>IF(OR($A93="",M93=""),"",IF(M93&lt;TODAY(),"Expirée",IF(M93-TODAY()&lt;='Paramètres'!$AA$15,"Expire bientôt","Sous garantie")))</f>
        <v/>
      </c>
      <c r="AB93" s="72">
        <f>IF($A93="",-1,N(R93)+ROW()/1000000)</f>
        <v/>
      </c>
    </row>
    <row r="94">
      <c r="A94" s="7" t="n"/>
      <c r="B94" s="7" t="n"/>
      <c r="C94" s="7" t="n"/>
      <c r="D94" s="7" t="n"/>
      <c r="E94" s="7" t="n"/>
      <c r="F94" s="7" t="n"/>
      <c r="G94" s="7" t="n"/>
      <c r="H94" s="7" t="n"/>
      <c r="I94" s="65" t="n"/>
      <c r="J94" s="66" t="n"/>
      <c r="K94" s="7" t="n"/>
      <c r="L94" s="7" t="n"/>
      <c r="M94" s="65" t="n"/>
      <c r="N94" s="7" t="n"/>
      <c r="O94" s="67" t="n"/>
      <c r="P94" s="68">
        <f>IF($A94="","",COUNTIFS('Ordres de travail'!$D$5:$D$3004,$A94,'Ordres de travail'!$H$5:$H$3004,"Correctif",'Ordres de travail'!$AC$5:$AC$3004,"&lt;&gt;Annulé",'Ordres de travail'!$B$5:$B$3004,"&gt;="&amp;'Paramètres'!$AA$6,'Ordres de travail'!$B$5:$B$3004,"&lt;"&amp;('Paramètres'!$AA$7+1)))</f>
        <v/>
      </c>
      <c r="Q94" s="69">
        <f>IF($A94="","",SUMIFS('Ordres de travail'!$S$5:$S$3004,'Ordres de travail'!$D$5:$D$3004,$A94,'Ordres de travail'!$H$5:$H$3004,"Correctif",'Ordres de travail'!$AC$5:$AC$3004,"&lt;&gt;Annulé",'Ordres de travail'!$B$5:$B$3004,"&gt;="&amp;'Paramètres'!$AA$6,'Ordres de travail'!$B$5:$B$3004,"&lt;"&amp;('Paramètres'!$AA$7+1)))</f>
        <v/>
      </c>
      <c r="R94" s="69">
        <f>IF($A94="","",SUMIFS('Ordres de travail'!$S$5:$S$3004,'Ordres de travail'!$D$5:$D$3004,$A94,'Ordres de travail'!$AC$5:$AC$3004,"&lt;&gt;Annulé",'Ordres de travail'!$B$5:$B$3004,"&gt;="&amp;'Paramètres'!$AA$6,'Ordres de travail'!$B$5:$B$3004,"&lt;"&amp;('Paramètres'!$AA$7+1)))</f>
        <v/>
      </c>
      <c r="S94" s="70">
        <f>IF($A94="","",SUMIFS('Ordres de travail'!$AA$5:$AA$3004,'Ordres de travail'!$D$5:$D$3004,$A94,'Ordres de travail'!$B$5:$B$3004,"&gt;="&amp;'Paramètres'!$AA$6,'Ordres de travail'!$B$5:$B$3004,"&lt;"&amp;('Paramètres'!$AA$7+1)))</f>
        <v/>
      </c>
      <c r="T94" s="68">
        <f>IF($A94="","",IF(P94=0,"-",(O94*'Paramètres'!$AA$8-Q94)/P94))</f>
        <v/>
      </c>
      <c r="U94" s="69">
        <f>IF($A94="","",IF(P94=0,"-",Q94/P94))</f>
        <v/>
      </c>
      <c r="V94" s="71">
        <f>IF($A94="","",IF(N(O94)*'Paramètres'!$AA$8=0,"-",MAX(0,1-R94/(O94*'Paramètres'!$AA$8))))</f>
        <v/>
      </c>
      <c r="W94" s="68">
        <f>IF($A94="","",_xlfn.MAXIFS('Relevés compteurs'!$D$5:$D$1504,'Relevés compteurs'!$B$5:$B$1504,$A94))</f>
        <v/>
      </c>
      <c r="X94" s="69">
        <f>IF(OR($A94="",I94=""),"",(TODAY()-I94)/365.25)</f>
        <v/>
      </c>
      <c r="Y94" s="70">
        <f>IF($A94="","",SUMIFS('Ordres de travail'!$AA$5:$AA$3004,'Ordres de travail'!$D$5:$D$3004,$A94))</f>
        <v/>
      </c>
      <c r="Z94" s="68">
        <f>IF($A94="","",SUM(COUNTIFS('Ordres de travail'!$D$5:$D$3004,$A94,'Ordres de travail'!$AC$5:$AC$3004,{"Demandé","Planifié","En cours","En attente pièces"})))</f>
        <v/>
      </c>
      <c r="AA94" s="9">
        <f>IF(OR($A94="",M94=""),"",IF(M94&lt;TODAY(),"Expirée",IF(M94-TODAY()&lt;='Paramètres'!$AA$15,"Expire bientôt","Sous garantie")))</f>
        <v/>
      </c>
      <c r="AB94" s="72">
        <f>IF($A94="",-1,N(R94)+ROW()/1000000)</f>
        <v/>
      </c>
    </row>
    <row r="95">
      <c r="A95" s="7" t="n"/>
      <c r="B95" s="7" t="n"/>
      <c r="C95" s="7" t="n"/>
      <c r="D95" s="7" t="n"/>
      <c r="E95" s="7" t="n"/>
      <c r="F95" s="7" t="n"/>
      <c r="G95" s="7" t="n"/>
      <c r="H95" s="7" t="n"/>
      <c r="I95" s="65" t="n"/>
      <c r="J95" s="66" t="n"/>
      <c r="K95" s="7" t="n"/>
      <c r="L95" s="7" t="n"/>
      <c r="M95" s="65" t="n"/>
      <c r="N95" s="7" t="n"/>
      <c r="O95" s="67" t="n"/>
      <c r="P95" s="68">
        <f>IF($A95="","",COUNTIFS('Ordres de travail'!$D$5:$D$3004,$A95,'Ordres de travail'!$H$5:$H$3004,"Correctif",'Ordres de travail'!$AC$5:$AC$3004,"&lt;&gt;Annulé",'Ordres de travail'!$B$5:$B$3004,"&gt;="&amp;'Paramètres'!$AA$6,'Ordres de travail'!$B$5:$B$3004,"&lt;"&amp;('Paramètres'!$AA$7+1)))</f>
        <v/>
      </c>
      <c r="Q95" s="69">
        <f>IF($A95="","",SUMIFS('Ordres de travail'!$S$5:$S$3004,'Ordres de travail'!$D$5:$D$3004,$A95,'Ordres de travail'!$H$5:$H$3004,"Correctif",'Ordres de travail'!$AC$5:$AC$3004,"&lt;&gt;Annulé",'Ordres de travail'!$B$5:$B$3004,"&gt;="&amp;'Paramètres'!$AA$6,'Ordres de travail'!$B$5:$B$3004,"&lt;"&amp;('Paramètres'!$AA$7+1)))</f>
        <v/>
      </c>
      <c r="R95" s="69">
        <f>IF($A95="","",SUMIFS('Ordres de travail'!$S$5:$S$3004,'Ordres de travail'!$D$5:$D$3004,$A95,'Ordres de travail'!$AC$5:$AC$3004,"&lt;&gt;Annulé",'Ordres de travail'!$B$5:$B$3004,"&gt;="&amp;'Paramètres'!$AA$6,'Ordres de travail'!$B$5:$B$3004,"&lt;"&amp;('Paramètres'!$AA$7+1)))</f>
        <v/>
      </c>
      <c r="S95" s="70">
        <f>IF($A95="","",SUMIFS('Ordres de travail'!$AA$5:$AA$3004,'Ordres de travail'!$D$5:$D$3004,$A95,'Ordres de travail'!$B$5:$B$3004,"&gt;="&amp;'Paramètres'!$AA$6,'Ordres de travail'!$B$5:$B$3004,"&lt;"&amp;('Paramètres'!$AA$7+1)))</f>
        <v/>
      </c>
      <c r="T95" s="68">
        <f>IF($A95="","",IF(P95=0,"-",(O95*'Paramètres'!$AA$8-Q95)/P95))</f>
        <v/>
      </c>
      <c r="U95" s="69">
        <f>IF($A95="","",IF(P95=0,"-",Q95/P95))</f>
        <v/>
      </c>
      <c r="V95" s="71">
        <f>IF($A95="","",IF(N(O95)*'Paramètres'!$AA$8=0,"-",MAX(0,1-R95/(O95*'Paramètres'!$AA$8))))</f>
        <v/>
      </c>
      <c r="W95" s="68">
        <f>IF($A95="","",_xlfn.MAXIFS('Relevés compteurs'!$D$5:$D$1504,'Relevés compteurs'!$B$5:$B$1504,$A95))</f>
        <v/>
      </c>
      <c r="X95" s="69">
        <f>IF(OR($A95="",I95=""),"",(TODAY()-I95)/365.25)</f>
        <v/>
      </c>
      <c r="Y95" s="70">
        <f>IF($A95="","",SUMIFS('Ordres de travail'!$AA$5:$AA$3004,'Ordres de travail'!$D$5:$D$3004,$A95))</f>
        <v/>
      </c>
      <c r="Z95" s="68">
        <f>IF($A95="","",SUM(COUNTIFS('Ordres de travail'!$D$5:$D$3004,$A95,'Ordres de travail'!$AC$5:$AC$3004,{"Demandé","Planifié","En cours","En attente pièces"})))</f>
        <v/>
      </c>
      <c r="AA95" s="9">
        <f>IF(OR($A95="",M95=""),"",IF(M95&lt;TODAY(),"Expirée",IF(M95-TODAY()&lt;='Paramètres'!$AA$15,"Expire bientôt","Sous garantie")))</f>
        <v/>
      </c>
      <c r="AB95" s="72">
        <f>IF($A95="",-1,N(R95)+ROW()/1000000)</f>
        <v/>
      </c>
    </row>
    <row r="96">
      <c r="A96" s="7" t="n"/>
      <c r="B96" s="7" t="n"/>
      <c r="C96" s="7" t="n"/>
      <c r="D96" s="7" t="n"/>
      <c r="E96" s="7" t="n"/>
      <c r="F96" s="7" t="n"/>
      <c r="G96" s="7" t="n"/>
      <c r="H96" s="7" t="n"/>
      <c r="I96" s="65" t="n"/>
      <c r="J96" s="66" t="n"/>
      <c r="K96" s="7" t="n"/>
      <c r="L96" s="7" t="n"/>
      <c r="M96" s="65" t="n"/>
      <c r="N96" s="7" t="n"/>
      <c r="O96" s="67" t="n"/>
      <c r="P96" s="68">
        <f>IF($A96="","",COUNTIFS('Ordres de travail'!$D$5:$D$3004,$A96,'Ordres de travail'!$H$5:$H$3004,"Correctif",'Ordres de travail'!$AC$5:$AC$3004,"&lt;&gt;Annulé",'Ordres de travail'!$B$5:$B$3004,"&gt;="&amp;'Paramètres'!$AA$6,'Ordres de travail'!$B$5:$B$3004,"&lt;"&amp;('Paramètres'!$AA$7+1)))</f>
        <v/>
      </c>
      <c r="Q96" s="69">
        <f>IF($A96="","",SUMIFS('Ordres de travail'!$S$5:$S$3004,'Ordres de travail'!$D$5:$D$3004,$A96,'Ordres de travail'!$H$5:$H$3004,"Correctif",'Ordres de travail'!$AC$5:$AC$3004,"&lt;&gt;Annulé",'Ordres de travail'!$B$5:$B$3004,"&gt;="&amp;'Paramètres'!$AA$6,'Ordres de travail'!$B$5:$B$3004,"&lt;"&amp;('Paramètres'!$AA$7+1)))</f>
        <v/>
      </c>
      <c r="R96" s="69">
        <f>IF($A96="","",SUMIFS('Ordres de travail'!$S$5:$S$3004,'Ordres de travail'!$D$5:$D$3004,$A96,'Ordres de travail'!$AC$5:$AC$3004,"&lt;&gt;Annulé",'Ordres de travail'!$B$5:$B$3004,"&gt;="&amp;'Paramètres'!$AA$6,'Ordres de travail'!$B$5:$B$3004,"&lt;"&amp;('Paramètres'!$AA$7+1)))</f>
        <v/>
      </c>
      <c r="S96" s="70">
        <f>IF($A96="","",SUMIFS('Ordres de travail'!$AA$5:$AA$3004,'Ordres de travail'!$D$5:$D$3004,$A96,'Ordres de travail'!$B$5:$B$3004,"&gt;="&amp;'Paramètres'!$AA$6,'Ordres de travail'!$B$5:$B$3004,"&lt;"&amp;('Paramètres'!$AA$7+1)))</f>
        <v/>
      </c>
      <c r="T96" s="68">
        <f>IF($A96="","",IF(P96=0,"-",(O96*'Paramètres'!$AA$8-Q96)/P96))</f>
        <v/>
      </c>
      <c r="U96" s="69">
        <f>IF($A96="","",IF(P96=0,"-",Q96/P96))</f>
        <v/>
      </c>
      <c r="V96" s="71">
        <f>IF($A96="","",IF(N(O96)*'Paramètres'!$AA$8=0,"-",MAX(0,1-R96/(O96*'Paramètres'!$AA$8))))</f>
        <v/>
      </c>
      <c r="W96" s="68">
        <f>IF($A96="","",_xlfn.MAXIFS('Relevés compteurs'!$D$5:$D$1504,'Relevés compteurs'!$B$5:$B$1504,$A96))</f>
        <v/>
      </c>
      <c r="X96" s="69">
        <f>IF(OR($A96="",I96=""),"",(TODAY()-I96)/365.25)</f>
        <v/>
      </c>
      <c r="Y96" s="70">
        <f>IF($A96="","",SUMIFS('Ordres de travail'!$AA$5:$AA$3004,'Ordres de travail'!$D$5:$D$3004,$A96))</f>
        <v/>
      </c>
      <c r="Z96" s="68">
        <f>IF($A96="","",SUM(COUNTIFS('Ordres de travail'!$D$5:$D$3004,$A96,'Ordres de travail'!$AC$5:$AC$3004,{"Demandé","Planifié","En cours","En attente pièces"})))</f>
        <v/>
      </c>
      <c r="AA96" s="9">
        <f>IF(OR($A96="",M96=""),"",IF(M96&lt;TODAY(),"Expirée",IF(M96-TODAY()&lt;='Paramètres'!$AA$15,"Expire bientôt","Sous garantie")))</f>
        <v/>
      </c>
      <c r="AB96" s="72">
        <f>IF($A96="",-1,N(R96)+ROW()/1000000)</f>
        <v/>
      </c>
    </row>
    <row r="97">
      <c r="A97" s="7" t="n"/>
      <c r="B97" s="7" t="n"/>
      <c r="C97" s="7" t="n"/>
      <c r="D97" s="7" t="n"/>
      <c r="E97" s="7" t="n"/>
      <c r="F97" s="7" t="n"/>
      <c r="G97" s="7" t="n"/>
      <c r="H97" s="7" t="n"/>
      <c r="I97" s="65" t="n"/>
      <c r="J97" s="66" t="n"/>
      <c r="K97" s="7" t="n"/>
      <c r="L97" s="7" t="n"/>
      <c r="M97" s="65" t="n"/>
      <c r="N97" s="7" t="n"/>
      <c r="O97" s="67" t="n"/>
      <c r="P97" s="68">
        <f>IF($A97="","",COUNTIFS('Ordres de travail'!$D$5:$D$3004,$A97,'Ordres de travail'!$H$5:$H$3004,"Correctif",'Ordres de travail'!$AC$5:$AC$3004,"&lt;&gt;Annulé",'Ordres de travail'!$B$5:$B$3004,"&gt;="&amp;'Paramètres'!$AA$6,'Ordres de travail'!$B$5:$B$3004,"&lt;"&amp;('Paramètres'!$AA$7+1)))</f>
        <v/>
      </c>
      <c r="Q97" s="69">
        <f>IF($A97="","",SUMIFS('Ordres de travail'!$S$5:$S$3004,'Ordres de travail'!$D$5:$D$3004,$A97,'Ordres de travail'!$H$5:$H$3004,"Correctif",'Ordres de travail'!$AC$5:$AC$3004,"&lt;&gt;Annulé",'Ordres de travail'!$B$5:$B$3004,"&gt;="&amp;'Paramètres'!$AA$6,'Ordres de travail'!$B$5:$B$3004,"&lt;"&amp;('Paramètres'!$AA$7+1)))</f>
        <v/>
      </c>
      <c r="R97" s="69">
        <f>IF($A97="","",SUMIFS('Ordres de travail'!$S$5:$S$3004,'Ordres de travail'!$D$5:$D$3004,$A97,'Ordres de travail'!$AC$5:$AC$3004,"&lt;&gt;Annulé",'Ordres de travail'!$B$5:$B$3004,"&gt;="&amp;'Paramètres'!$AA$6,'Ordres de travail'!$B$5:$B$3004,"&lt;"&amp;('Paramètres'!$AA$7+1)))</f>
        <v/>
      </c>
      <c r="S97" s="70">
        <f>IF($A97="","",SUMIFS('Ordres de travail'!$AA$5:$AA$3004,'Ordres de travail'!$D$5:$D$3004,$A97,'Ordres de travail'!$B$5:$B$3004,"&gt;="&amp;'Paramètres'!$AA$6,'Ordres de travail'!$B$5:$B$3004,"&lt;"&amp;('Paramètres'!$AA$7+1)))</f>
        <v/>
      </c>
      <c r="T97" s="68">
        <f>IF($A97="","",IF(P97=0,"-",(O97*'Paramètres'!$AA$8-Q97)/P97))</f>
        <v/>
      </c>
      <c r="U97" s="69">
        <f>IF($A97="","",IF(P97=0,"-",Q97/P97))</f>
        <v/>
      </c>
      <c r="V97" s="71">
        <f>IF($A97="","",IF(N(O97)*'Paramètres'!$AA$8=0,"-",MAX(0,1-R97/(O97*'Paramètres'!$AA$8))))</f>
        <v/>
      </c>
      <c r="W97" s="68">
        <f>IF($A97="","",_xlfn.MAXIFS('Relevés compteurs'!$D$5:$D$1504,'Relevés compteurs'!$B$5:$B$1504,$A97))</f>
        <v/>
      </c>
      <c r="X97" s="69">
        <f>IF(OR($A97="",I97=""),"",(TODAY()-I97)/365.25)</f>
        <v/>
      </c>
      <c r="Y97" s="70">
        <f>IF($A97="","",SUMIFS('Ordres de travail'!$AA$5:$AA$3004,'Ordres de travail'!$D$5:$D$3004,$A97))</f>
        <v/>
      </c>
      <c r="Z97" s="68">
        <f>IF($A97="","",SUM(COUNTIFS('Ordres de travail'!$D$5:$D$3004,$A97,'Ordres de travail'!$AC$5:$AC$3004,{"Demandé","Planifié","En cours","En attente pièces"})))</f>
        <v/>
      </c>
      <c r="AA97" s="9">
        <f>IF(OR($A97="",M97=""),"",IF(M97&lt;TODAY(),"Expirée",IF(M97-TODAY()&lt;='Paramètres'!$AA$15,"Expire bientôt","Sous garantie")))</f>
        <v/>
      </c>
      <c r="AB97" s="72">
        <f>IF($A97="",-1,N(R97)+ROW()/1000000)</f>
        <v/>
      </c>
    </row>
    <row r="98">
      <c r="A98" s="7" t="n"/>
      <c r="B98" s="7" t="n"/>
      <c r="C98" s="7" t="n"/>
      <c r="D98" s="7" t="n"/>
      <c r="E98" s="7" t="n"/>
      <c r="F98" s="7" t="n"/>
      <c r="G98" s="7" t="n"/>
      <c r="H98" s="7" t="n"/>
      <c r="I98" s="65" t="n"/>
      <c r="J98" s="66" t="n"/>
      <c r="K98" s="7" t="n"/>
      <c r="L98" s="7" t="n"/>
      <c r="M98" s="65" t="n"/>
      <c r="N98" s="7" t="n"/>
      <c r="O98" s="67" t="n"/>
      <c r="P98" s="68">
        <f>IF($A98="","",COUNTIFS('Ordres de travail'!$D$5:$D$3004,$A98,'Ordres de travail'!$H$5:$H$3004,"Correctif",'Ordres de travail'!$AC$5:$AC$3004,"&lt;&gt;Annulé",'Ordres de travail'!$B$5:$B$3004,"&gt;="&amp;'Paramètres'!$AA$6,'Ordres de travail'!$B$5:$B$3004,"&lt;"&amp;('Paramètres'!$AA$7+1)))</f>
        <v/>
      </c>
      <c r="Q98" s="69">
        <f>IF($A98="","",SUMIFS('Ordres de travail'!$S$5:$S$3004,'Ordres de travail'!$D$5:$D$3004,$A98,'Ordres de travail'!$H$5:$H$3004,"Correctif",'Ordres de travail'!$AC$5:$AC$3004,"&lt;&gt;Annulé",'Ordres de travail'!$B$5:$B$3004,"&gt;="&amp;'Paramètres'!$AA$6,'Ordres de travail'!$B$5:$B$3004,"&lt;"&amp;('Paramètres'!$AA$7+1)))</f>
        <v/>
      </c>
      <c r="R98" s="69">
        <f>IF($A98="","",SUMIFS('Ordres de travail'!$S$5:$S$3004,'Ordres de travail'!$D$5:$D$3004,$A98,'Ordres de travail'!$AC$5:$AC$3004,"&lt;&gt;Annulé",'Ordres de travail'!$B$5:$B$3004,"&gt;="&amp;'Paramètres'!$AA$6,'Ordres de travail'!$B$5:$B$3004,"&lt;"&amp;('Paramètres'!$AA$7+1)))</f>
        <v/>
      </c>
      <c r="S98" s="70">
        <f>IF($A98="","",SUMIFS('Ordres de travail'!$AA$5:$AA$3004,'Ordres de travail'!$D$5:$D$3004,$A98,'Ordres de travail'!$B$5:$B$3004,"&gt;="&amp;'Paramètres'!$AA$6,'Ordres de travail'!$B$5:$B$3004,"&lt;"&amp;('Paramètres'!$AA$7+1)))</f>
        <v/>
      </c>
      <c r="T98" s="68">
        <f>IF($A98="","",IF(P98=0,"-",(O98*'Paramètres'!$AA$8-Q98)/P98))</f>
        <v/>
      </c>
      <c r="U98" s="69">
        <f>IF($A98="","",IF(P98=0,"-",Q98/P98))</f>
        <v/>
      </c>
      <c r="V98" s="71">
        <f>IF($A98="","",IF(N(O98)*'Paramètres'!$AA$8=0,"-",MAX(0,1-R98/(O98*'Paramètres'!$AA$8))))</f>
        <v/>
      </c>
      <c r="W98" s="68">
        <f>IF($A98="","",_xlfn.MAXIFS('Relevés compteurs'!$D$5:$D$1504,'Relevés compteurs'!$B$5:$B$1504,$A98))</f>
        <v/>
      </c>
      <c r="X98" s="69">
        <f>IF(OR($A98="",I98=""),"",(TODAY()-I98)/365.25)</f>
        <v/>
      </c>
      <c r="Y98" s="70">
        <f>IF($A98="","",SUMIFS('Ordres de travail'!$AA$5:$AA$3004,'Ordres de travail'!$D$5:$D$3004,$A98))</f>
        <v/>
      </c>
      <c r="Z98" s="68">
        <f>IF($A98="","",SUM(COUNTIFS('Ordres de travail'!$D$5:$D$3004,$A98,'Ordres de travail'!$AC$5:$AC$3004,{"Demandé","Planifié","En cours","En attente pièces"})))</f>
        <v/>
      </c>
      <c r="AA98" s="9">
        <f>IF(OR($A98="",M98=""),"",IF(M98&lt;TODAY(),"Expirée",IF(M98-TODAY()&lt;='Paramètres'!$AA$15,"Expire bientôt","Sous garantie")))</f>
        <v/>
      </c>
      <c r="AB98" s="72">
        <f>IF($A98="",-1,N(R98)+ROW()/1000000)</f>
        <v/>
      </c>
    </row>
    <row r="99">
      <c r="A99" s="7" t="n"/>
      <c r="B99" s="7" t="n"/>
      <c r="C99" s="7" t="n"/>
      <c r="D99" s="7" t="n"/>
      <c r="E99" s="7" t="n"/>
      <c r="F99" s="7" t="n"/>
      <c r="G99" s="7" t="n"/>
      <c r="H99" s="7" t="n"/>
      <c r="I99" s="65" t="n"/>
      <c r="J99" s="66" t="n"/>
      <c r="K99" s="7" t="n"/>
      <c r="L99" s="7" t="n"/>
      <c r="M99" s="65" t="n"/>
      <c r="N99" s="7" t="n"/>
      <c r="O99" s="67" t="n"/>
      <c r="P99" s="68">
        <f>IF($A99="","",COUNTIFS('Ordres de travail'!$D$5:$D$3004,$A99,'Ordres de travail'!$H$5:$H$3004,"Correctif",'Ordres de travail'!$AC$5:$AC$3004,"&lt;&gt;Annulé",'Ordres de travail'!$B$5:$B$3004,"&gt;="&amp;'Paramètres'!$AA$6,'Ordres de travail'!$B$5:$B$3004,"&lt;"&amp;('Paramètres'!$AA$7+1)))</f>
        <v/>
      </c>
      <c r="Q99" s="69">
        <f>IF($A99="","",SUMIFS('Ordres de travail'!$S$5:$S$3004,'Ordres de travail'!$D$5:$D$3004,$A99,'Ordres de travail'!$H$5:$H$3004,"Correctif",'Ordres de travail'!$AC$5:$AC$3004,"&lt;&gt;Annulé",'Ordres de travail'!$B$5:$B$3004,"&gt;="&amp;'Paramètres'!$AA$6,'Ordres de travail'!$B$5:$B$3004,"&lt;"&amp;('Paramètres'!$AA$7+1)))</f>
        <v/>
      </c>
      <c r="R99" s="69">
        <f>IF($A99="","",SUMIFS('Ordres de travail'!$S$5:$S$3004,'Ordres de travail'!$D$5:$D$3004,$A99,'Ordres de travail'!$AC$5:$AC$3004,"&lt;&gt;Annulé",'Ordres de travail'!$B$5:$B$3004,"&gt;="&amp;'Paramètres'!$AA$6,'Ordres de travail'!$B$5:$B$3004,"&lt;"&amp;('Paramètres'!$AA$7+1)))</f>
        <v/>
      </c>
      <c r="S99" s="70">
        <f>IF($A99="","",SUMIFS('Ordres de travail'!$AA$5:$AA$3004,'Ordres de travail'!$D$5:$D$3004,$A99,'Ordres de travail'!$B$5:$B$3004,"&gt;="&amp;'Paramètres'!$AA$6,'Ordres de travail'!$B$5:$B$3004,"&lt;"&amp;('Paramètres'!$AA$7+1)))</f>
        <v/>
      </c>
      <c r="T99" s="68">
        <f>IF($A99="","",IF(P99=0,"-",(O99*'Paramètres'!$AA$8-Q99)/P99))</f>
        <v/>
      </c>
      <c r="U99" s="69">
        <f>IF($A99="","",IF(P99=0,"-",Q99/P99))</f>
        <v/>
      </c>
      <c r="V99" s="71">
        <f>IF($A99="","",IF(N(O99)*'Paramètres'!$AA$8=0,"-",MAX(0,1-R99/(O99*'Paramètres'!$AA$8))))</f>
        <v/>
      </c>
      <c r="W99" s="68">
        <f>IF($A99="","",_xlfn.MAXIFS('Relevés compteurs'!$D$5:$D$1504,'Relevés compteurs'!$B$5:$B$1504,$A99))</f>
        <v/>
      </c>
      <c r="X99" s="69">
        <f>IF(OR($A99="",I99=""),"",(TODAY()-I99)/365.25)</f>
        <v/>
      </c>
      <c r="Y99" s="70">
        <f>IF($A99="","",SUMIFS('Ordres de travail'!$AA$5:$AA$3004,'Ordres de travail'!$D$5:$D$3004,$A99))</f>
        <v/>
      </c>
      <c r="Z99" s="68">
        <f>IF($A99="","",SUM(COUNTIFS('Ordres de travail'!$D$5:$D$3004,$A99,'Ordres de travail'!$AC$5:$AC$3004,{"Demandé","Planifié","En cours","En attente pièces"})))</f>
        <v/>
      </c>
      <c r="AA99" s="9">
        <f>IF(OR($A99="",M99=""),"",IF(M99&lt;TODAY(),"Expirée",IF(M99-TODAY()&lt;='Paramètres'!$AA$15,"Expire bientôt","Sous garantie")))</f>
        <v/>
      </c>
      <c r="AB99" s="72">
        <f>IF($A99="",-1,N(R99)+ROW()/1000000)</f>
        <v/>
      </c>
    </row>
    <row r="100">
      <c r="A100" s="7" t="n"/>
      <c r="B100" s="7" t="n"/>
      <c r="C100" s="7" t="n"/>
      <c r="D100" s="7" t="n"/>
      <c r="E100" s="7" t="n"/>
      <c r="F100" s="7" t="n"/>
      <c r="G100" s="7" t="n"/>
      <c r="H100" s="7" t="n"/>
      <c r="I100" s="65" t="n"/>
      <c r="J100" s="66" t="n"/>
      <c r="K100" s="7" t="n"/>
      <c r="L100" s="7" t="n"/>
      <c r="M100" s="65" t="n"/>
      <c r="N100" s="7" t="n"/>
      <c r="O100" s="67" t="n"/>
      <c r="P100" s="68">
        <f>IF($A100="","",COUNTIFS('Ordres de travail'!$D$5:$D$3004,$A100,'Ordres de travail'!$H$5:$H$3004,"Correctif",'Ordres de travail'!$AC$5:$AC$3004,"&lt;&gt;Annulé",'Ordres de travail'!$B$5:$B$3004,"&gt;="&amp;'Paramètres'!$AA$6,'Ordres de travail'!$B$5:$B$3004,"&lt;"&amp;('Paramètres'!$AA$7+1)))</f>
        <v/>
      </c>
      <c r="Q100" s="69">
        <f>IF($A100="","",SUMIFS('Ordres de travail'!$S$5:$S$3004,'Ordres de travail'!$D$5:$D$3004,$A100,'Ordres de travail'!$H$5:$H$3004,"Correctif",'Ordres de travail'!$AC$5:$AC$3004,"&lt;&gt;Annulé",'Ordres de travail'!$B$5:$B$3004,"&gt;="&amp;'Paramètres'!$AA$6,'Ordres de travail'!$B$5:$B$3004,"&lt;"&amp;('Paramètres'!$AA$7+1)))</f>
        <v/>
      </c>
      <c r="R100" s="69">
        <f>IF($A100="","",SUMIFS('Ordres de travail'!$S$5:$S$3004,'Ordres de travail'!$D$5:$D$3004,$A100,'Ordres de travail'!$AC$5:$AC$3004,"&lt;&gt;Annulé",'Ordres de travail'!$B$5:$B$3004,"&gt;="&amp;'Paramètres'!$AA$6,'Ordres de travail'!$B$5:$B$3004,"&lt;"&amp;('Paramètres'!$AA$7+1)))</f>
        <v/>
      </c>
      <c r="S100" s="70">
        <f>IF($A100="","",SUMIFS('Ordres de travail'!$AA$5:$AA$3004,'Ordres de travail'!$D$5:$D$3004,$A100,'Ordres de travail'!$B$5:$B$3004,"&gt;="&amp;'Paramètres'!$AA$6,'Ordres de travail'!$B$5:$B$3004,"&lt;"&amp;('Paramètres'!$AA$7+1)))</f>
        <v/>
      </c>
      <c r="T100" s="68">
        <f>IF($A100="","",IF(P100=0,"-",(O100*'Paramètres'!$AA$8-Q100)/P100))</f>
        <v/>
      </c>
      <c r="U100" s="69">
        <f>IF($A100="","",IF(P100=0,"-",Q100/P100))</f>
        <v/>
      </c>
      <c r="V100" s="71">
        <f>IF($A100="","",IF(N(O100)*'Paramètres'!$AA$8=0,"-",MAX(0,1-R100/(O100*'Paramètres'!$AA$8))))</f>
        <v/>
      </c>
      <c r="W100" s="68">
        <f>IF($A100="","",_xlfn.MAXIFS('Relevés compteurs'!$D$5:$D$1504,'Relevés compteurs'!$B$5:$B$1504,$A100))</f>
        <v/>
      </c>
      <c r="X100" s="69">
        <f>IF(OR($A100="",I100=""),"",(TODAY()-I100)/365.25)</f>
        <v/>
      </c>
      <c r="Y100" s="70">
        <f>IF($A100="","",SUMIFS('Ordres de travail'!$AA$5:$AA$3004,'Ordres de travail'!$D$5:$D$3004,$A100))</f>
        <v/>
      </c>
      <c r="Z100" s="68">
        <f>IF($A100="","",SUM(COUNTIFS('Ordres de travail'!$D$5:$D$3004,$A100,'Ordres de travail'!$AC$5:$AC$3004,{"Demandé","Planifié","En cours","En attente pièces"})))</f>
        <v/>
      </c>
      <c r="AA100" s="9">
        <f>IF(OR($A100="",M100=""),"",IF(M100&lt;TODAY(),"Expirée",IF(M100-TODAY()&lt;='Paramètres'!$AA$15,"Expire bientôt","Sous garantie")))</f>
        <v/>
      </c>
      <c r="AB100" s="72">
        <f>IF($A100="",-1,N(R100)+ROW()/1000000)</f>
        <v/>
      </c>
    </row>
    <row r="101">
      <c r="A101" s="7" t="n"/>
      <c r="B101" s="7" t="n"/>
      <c r="C101" s="7" t="n"/>
      <c r="D101" s="7" t="n"/>
      <c r="E101" s="7" t="n"/>
      <c r="F101" s="7" t="n"/>
      <c r="G101" s="7" t="n"/>
      <c r="H101" s="7" t="n"/>
      <c r="I101" s="65" t="n"/>
      <c r="J101" s="66" t="n"/>
      <c r="K101" s="7" t="n"/>
      <c r="L101" s="7" t="n"/>
      <c r="M101" s="65" t="n"/>
      <c r="N101" s="7" t="n"/>
      <c r="O101" s="67" t="n"/>
      <c r="P101" s="68">
        <f>IF($A101="","",COUNTIFS('Ordres de travail'!$D$5:$D$3004,$A101,'Ordres de travail'!$H$5:$H$3004,"Correctif",'Ordres de travail'!$AC$5:$AC$3004,"&lt;&gt;Annulé",'Ordres de travail'!$B$5:$B$3004,"&gt;="&amp;'Paramètres'!$AA$6,'Ordres de travail'!$B$5:$B$3004,"&lt;"&amp;('Paramètres'!$AA$7+1)))</f>
        <v/>
      </c>
      <c r="Q101" s="69">
        <f>IF($A101="","",SUMIFS('Ordres de travail'!$S$5:$S$3004,'Ordres de travail'!$D$5:$D$3004,$A101,'Ordres de travail'!$H$5:$H$3004,"Correctif",'Ordres de travail'!$AC$5:$AC$3004,"&lt;&gt;Annulé",'Ordres de travail'!$B$5:$B$3004,"&gt;="&amp;'Paramètres'!$AA$6,'Ordres de travail'!$B$5:$B$3004,"&lt;"&amp;('Paramètres'!$AA$7+1)))</f>
        <v/>
      </c>
      <c r="R101" s="69">
        <f>IF($A101="","",SUMIFS('Ordres de travail'!$S$5:$S$3004,'Ordres de travail'!$D$5:$D$3004,$A101,'Ordres de travail'!$AC$5:$AC$3004,"&lt;&gt;Annulé",'Ordres de travail'!$B$5:$B$3004,"&gt;="&amp;'Paramètres'!$AA$6,'Ordres de travail'!$B$5:$B$3004,"&lt;"&amp;('Paramètres'!$AA$7+1)))</f>
        <v/>
      </c>
      <c r="S101" s="70">
        <f>IF($A101="","",SUMIFS('Ordres de travail'!$AA$5:$AA$3004,'Ordres de travail'!$D$5:$D$3004,$A101,'Ordres de travail'!$B$5:$B$3004,"&gt;="&amp;'Paramètres'!$AA$6,'Ordres de travail'!$B$5:$B$3004,"&lt;"&amp;('Paramètres'!$AA$7+1)))</f>
        <v/>
      </c>
      <c r="T101" s="68">
        <f>IF($A101="","",IF(P101=0,"-",(O101*'Paramètres'!$AA$8-Q101)/P101))</f>
        <v/>
      </c>
      <c r="U101" s="69">
        <f>IF($A101="","",IF(P101=0,"-",Q101/P101))</f>
        <v/>
      </c>
      <c r="V101" s="71">
        <f>IF($A101="","",IF(N(O101)*'Paramètres'!$AA$8=0,"-",MAX(0,1-R101/(O101*'Paramètres'!$AA$8))))</f>
        <v/>
      </c>
      <c r="W101" s="68">
        <f>IF($A101="","",_xlfn.MAXIFS('Relevés compteurs'!$D$5:$D$1504,'Relevés compteurs'!$B$5:$B$1504,$A101))</f>
        <v/>
      </c>
      <c r="X101" s="69">
        <f>IF(OR($A101="",I101=""),"",(TODAY()-I101)/365.25)</f>
        <v/>
      </c>
      <c r="Y101" s="70">
        <f>IF($A101="","",SUMIFS('Ordres de travail'!$AA$5:$AA$3004,'Ordres de travail'!$D$5:$D$3004,$A101))</f>
        <v/>
      </c>
      <c r="Z101" s="68">
        <f>IF($A101="","",SUM(COUNTIFS('Ordres de travail'!$D$5:$D$3004,$A101,'Ordres de travail'!$AC$5:$AC$3004,{"Demandé","Planifié","En cours","En attente pièces"})))</f>
        <v/>
      </c>
      <c r="AA101" s="9">
        <f>IF(OR($A101="",M101=""),"",IF(M101&lt;TODAY(),"Expirée",IF(M101-TODAY()&lt;='Paramètres'!$AA$15,"Expire bientôt","Sous garantie")))</f>
        <v/>
      </c>
      <c r="AB101" s="72">
        <f>IF($A101="",-1,N(R101)+ROW()/1000000)</f>
        <v/>
      </c>
    </row>
    <row r="102">
      <c r="A102" s="7" t="n"/>
      <c r="B102" s="7" t="n"/>
      <c r="C102" s="7" t="n"/>
      <c r="D102" s="7" t="n"/>
      <c r="E102" s="7" t="n"/>
      <c r="F102" s="7" t="n"/>
      <c r="G102" s="7" t="n"/>
      <c r="H102" s="7" t="n"/>
      <c r="I102" s="65" t="n"/>
      <c r="J102" s="66" t="n"/>
      <c r="K102" s="7" t="n"/>
      <c r="L102" s="7" t="n"/>
      <c r="M102" s="65" t="n"/>
      <c r="N102" s="7" t="n"/>
      <c r="O102" s="67" t="n"/>
      <c r="P102" s="68">
        <f>IF($A102="","",COUNTIFS('Ordres de travail'!$D$5:$D$3004,$A102,'Ordres de travail'!$H$5:$H$3004,"Correctif",'Ordres de travail'!$AC$5:$AC$3004,"&lt;&gt;Annulé",'Ordres de travail'!$B$5:$B$3004,"&gt;="&amp;'Paramètres'!$AA$6,'Ordres de travail'!$B$5:$B$3004,"&lt;"&amp;('Paramètres'!$AA$7+1)))</f>
        <v/>
      </c>
      <c r="Q102" s="69">
        <f>IF($A102="","",SUMIFS('Ordres de travail'!$S$5:$S$3004,'Ordres de travail'!$D$5:$D$3004,$A102,'Ordres de travail'!$H$5:$H$3004,"Correctif",'Ordres de travail'!$AC$5:$AC$3004,"&lt;&gt;Annulé",'Ordres de travail'!$B$5:$B$3004,"&gt;="&amp;'Paramètres'!$AA$6,'Ordres de travail'!$B$5:$B$3004,"&lt;"&amp;('Paramètres'!$AA$7+1)))</f>
        <v/>
      </c>
      <c r="R102" s="69">
        <f>IF($A102="","",SUMIFS('Ordres de travail'!$S$5:$S$3004,'Ordres de travail'!$D$5:$D$3004,$A102,'Ordres de travail'!$AC$5:$AC$3004,"&lt;&gt;Annulé",'Ordres de travail'!$B$5:$B$3004,"&gt;="&amp;'Paramètres'!$AA$6,'Ordres de travail'!$B$5:$B$3004,"&lt;"&amp;('Paramètres'!$AA$7+1)))</f>
        <v/>
      </c>
      <c r="S102" s="70">
        <f>IF($A102="","",SUMIFS('Ordres de travail'!$AA$5:$AA$3004,'Ordres de travail'!$D$5:$D$3004,$A102,'Ordres de travail'!$B$5:$B$3004,"&gt;="&amp;'Paramètres'!$AA$6,'Ordres de travail'!$B$5:$B$3004,"&lt;"&amp;('Paramètres'!$AA$7+1)))</f>
        <v/>
      </c>
      <c r="T102" s="68">
        <f>IF($A102="","",IF(P102=0,"-",(O102*'Paramètres'!$AA$8-Q102)/P102))</f>
        <v/>
      </c>
      <c r="U102" s="69">
        <f>IF($A102="","",IF(P102=0,"-",Q102/P102))</f>
        <v/>
      </c>
      <c r="V102" s="71">
        <f>IF($A102="","",IF(N(O102)*'Paramètres'!$AA$8=0,"-",MAX(0,1-R102/(O102*'Paramètres'!$AA$8))))</f>
        <v/>
      </c>
      <c r="W102" s="68">
        <f>IF($A102="","",_xlfn.MAXIFS('Relevés compteurs'!$D$5:$D$1504,'Relevés compteurs'!$B$5:$B$1504,$A102))</f>
        <v/>
      </c>
      <c r="X102" s="69">
        <f>IF(OR($A102="",I102=""),"",(TODAY()-I102)/365.25)</f>
        <v/>
      </c>
      <c r="Y102" s="70">
        <f>IF($A102="","",SUMIFS('Ordres de travail'!$AA$5:$AA$3004,'Ordres de travail'!$D$5:$D$3004,$A102))</f>
        <v/>
      </c>
      <c r="Z102" s="68">
        <f>IF($A102="","",SUM(COUNTIFS('Ordres de travail'!$D$5:$D$3004,$A102,'Ordres de travail'!$AC$5:$AC$3004,{"Demandé","Planifié","En cours","En attente pièces"})))</f>
        <v/>
      </c>
      <c r="AA102" s="9">
        <f>IF(OR($A102="",M102=""),"",IF(M102&lt;TODAY(),"Expirée",IF(M102-TODAY()&lt;='Paramètres'!$AA$15,"Expire bientôt","Sous garantie")))</f>
        <v/>
      </c>
      <c r="AB102" s="72">
        <f>IF($A102="",-1,N(R102)+ROW()/1000000)</f>
        <v/>
      </c>
    </row>
    <row r="103">
      <c r="A103" s="7" t="n"/>
      <c r="B103" s="7" t="n"/>
      <c r="C103" s="7" t="n"/>
      <c r="D103" s="7" t="n"/>
      <c r="E103" s="7" t="n"/>
      <c r="F103" s="7" t="n"/>
      <c r="G103" s="7" t="n"/>
      <c r="H103" s="7" t="n"/>
      <c r="I103" s="65" t="n"/>
      <c r="J103" s="66" t="n"/>
      <c r="K103" s="7" t="n"/>
      <c r="L103" s="7" t="n"/>
      <c r="M103" s="65" t="n"/>
      <c r="N103" s="7" t="n"/>
      <c r="O103" s="67" t="n"/>
      <c r="P103" s="68">
        <f>IF($A103="","",COUNTIFS('Ordres de travail'!$D$5:$D$3004,$A103,'Ordres de travail'!$H$5:$H$3004,"Correctif",'Ordres de travail'!$AC$5:$AC$3004,"&lt;&gt;Annulé",'Ordres de travail'!$B$5:$B$3004,"&gt;="&amp;'Paramètres'!$AA$6,'Ordres de travail'!$B$5:$B$3004,"&lt;"&amp;('Paramètres'!$AA$7+1)))</f>
        <v/>
      </c>
      <c r="Q103" s="69">
        <f>IF($A103="","",SUMIFS('Ordres de travail'!$S$5:$S$3004,'Ordres de travail'!$D$5:$D$3004,$A103,'Ordres de travail'!$H$5:$H$3004,"Correctif",'Ordres de travail'!$AC$5:$AC$3004,"&lt;&gt;Annulé",'Ordres de travail'!$B$5:$B$3004,"&gt;="&amp;'Paramètres'!$AA$6,'Ordres de travail'!$B$5:$B$3004,"&lt;"&amp;('Paramètres'!$AA$7+1)))</f>
        <v/>
      </c>
      <c r="R103" s="69">
        <f>IF($A103="","",SUMIFS('Ordres de travail'!$S$5:$S$3004,'Ordres de travail'!$D$5:$D$3004,$A103,'Ordres de travail'!$AC$5:$AC$3004,"&lt;&gt;Annulé",'Ordres de travail'!$B$5:$B$3004,"&gt;="&amp;'Paramètres'!$AA$6,'Ordres de travail'!$B$5:$B$3004,"&lt;"&amp;('Paramètres'!$AA$7+1)))</f>
        <v/>
      </c>
      <c r="S103" s="70">
        <f>IF($A103="","",SUMIFS('Ordres de travail'!$AA$5:$AA$3004,'Ordres de travail'!$D$5:$D$3004,$A103,'Ordres de travail'!$B$5:$B$3004,"&gt;="&amp;'Paramètres'!$AA$6,'Ordres de travail'!$B$5:$B$3004,"&lt;"&amp;('Paramètres'!$AA$7+1)))</f>
        <v/>
      </c>
      <c r="T103" s="68">
        <f>IF($A103="","",IF(P103=0,"-",(O103*'Paramètres'!$AA$8-Q103)/P103))</f>
        <v/>
      </c>
      <c r="U103" s="69">
        <f>IF($A103="","",IF(P103=0,"-",Q103/P103))</f>
        <v/>
      </c>
      <c r="V103" s="71">
        <f>IF($A103="","",IF(N(O103)*'Paramètres'!$AA$8=0,"-",MAX(0,1-R103/(O103*'Paramètres'!$AA$8))))</f>
        <v/>
      </c>
      <c r="W103" s="68">
        <f>IF($A103="","",_xlfn.MAXIFS('Relevés compteurs'!$D$5:$D$1504,'Relevés compteurs'!$B$5:$B$1504,$A103))</f>
        <v/>
      </c>
      <c r="X103" s="69">
        <f>IF(OR($A103="",I103=""),"",(TODAY()-I103)/365.25)</f>
        <v/>
      </c>
      <c r="Y103" s="70">
        <f>IF($A103="","",SUMIFS('Ordres de travail'!$AA$5:$AA$3004,'Ordres de travail'!$D$5:$D$3004,$A103))</f>
        <v/>
      </c>
      <c r="Z103" s="68">
        <f>IF($A103="","",SUM(COUNTIFS('Ordres de travail'!$D$5:$D$3004,$A103,'Ordres de travail'!$AC$5:$AC$3004,{"Demandé","Planifié","En cours","En attente pièces"})))</f>
        <v/>
      </c>
      <c r="AA103" s="9">
        <f>IF(OR($A103="",M103=""),"",IF(M103&lt;TODAY(),"Expirée",IF(M103-TODAY()&lt;='Paramètres'!$AA$15,"Expire bientôt","Sous garantie")))</f>
        <v/>
      </c>
      <c r="AB103" s="72">
        <f>IF($A103="",-1,N(R103)+ROW()/1000000)</f>
        <v/>
      </c>
    </row>
    <row r="104">
      <c r="A104" s="7" t="n"/>
      <c r="B104" s="7" t="n"/>
      <c r="C104" s="7" t="n"/>
      <c r="D104" s="7" t="n"/>
      <c r="E104" s="7" t="n"/>
      <c r="F104" s="7" t="n"/>
      <c r="G104" s="7" t="n"/>
      <c r="H104" s="7" t="n"/>
      <c r="I104" s="65" t="n"/>
      <c r="J104" s="66" t="n"/>
      <c r="K104" s="7" t="n"/>
      <c r="L104" s="7" t="n"/>
      <c r="M104" s="65" t="n"/>
      <c r="N104" s="7" t="n"/>
      <c r="O104" s="67" t="n"/>
      <c r="P104" s="68">
        <f>IF($A104="","",COUNTIFS('Ordres de travail'!$D$5:$D$3004,$A104,'Ordres de travail'!$H$5:$H$3004,"Correctif",'Ordres de travail'!$AC$5:$AC$3004,"&lt;&gt;Annulé",'Ordres de travail'!$B$5:$B$3004,"&gt;="&amp;'Paramètres'!$AA$6,'Ordres de travail'!$B$5:$B$3004,"&lt;"&amp;('Paramètres'!$AA$7+1)))</f>
        <v/>
      </c>
      <c r="Q104" s="69">
        <f>IF($A104="","",SUMIFS('Ordres de travail'!$S$5:$S$3004,'Ordres de travail'!$D$5:$D$3004,$A104,'Ordres de travail'!$H$5:$H$3004,"Correctif",'Ordres de travail'!$AC$5:$AC$3004,"&lt;&gt;Annulé",'Ordres de travail'!$B$5:$B$3004,"&gt;="&amp;'Paramètres'!$AA$6,'Ordres de travail'!$B$5:$B$3004,"&lt;"&amp;('Paramètres'!$AA$7+1)))</f>
        <v/>
      </c>
      <c r="R104" s="69">
        <f>IF($A104="","",SUMIFS('Ordres de travail'!$S$5:$S$3004,'Ordres de travail'!$D$5:$D$3004,$A104,'Ordres de travail'!$AC$5:$AC$3004,"&lt;&gt;Annulé",'Ordres de travail'!$B$5:$B$3004,"&gt;="&amp;'Paramètres'!$AA$6,'Ordres de travail'!$B$5:$B$3004,"&lt;"&amp;('Paramètres'!$AA$7+1)))</f>
        <v/>
      </c>
      <c r="S104" s="70">
        <f>IF($A104="","",SUMIFS('Ordres de travail'!$AA$5:$AA$3004,'Ordres de travail'!$D$5:$D$3004,$A104,'Ordres de travail'!$B$5:$B$3004,"&gt;="&amp;'Paramètres'!$AA$6,'Ordres de travail'!$B$5:$B$3004,"&lt;"&amp;('Paramètres'!$AA$7+1)))</f>
        <v/>
      </c>
      <c r="T104" s="68">
        <f>IF($A104="","",IF(P104=0,"-",(O104*'Paramètres'!$AA$8-Q104)/P104))</f>
        <v/>
      </c>
      <c r="U104" s="69">
        <f>IF($A104="","",IF(P104=0,"-",Q104/P104))</f>
        <v/>
      </c>
      <c r="V104" s="71">
        <f>IF($A104="","",IF(N(O104)*'Paramètres'!$AA$8=0,"-",MAX(0,1-R104/(O104*'Paramètres'!$AA$8))))</f>
        <v/>
      </c>
      <c r="W104" s="68">
        <f>IF($A104="","",_xlfn.MAXIFS('Relevés compteurs'!$D$5:$D$1504,'Relevés compteurs'!$B$5:$B$1504,$A104))</f>
        <v/>
      </c>
      <c r="X104" s="69">
        <f>IF(OR($A104="",I104=""),"",(TODAY()-I104)/365.25)</f>
        <v/>
      </c>
      <c r="Y104" s="70">
        <f>IF($A104="","",SUMIFS('Ordres de travail'!$AA$5:$AA$3004,'Ordres de travail'!$D$5:$D$3004,$A104))</f>
        <v/>
      </c>
      <c r="Z104" s="68">
        <f>IF($A104="","",SUM(COUNTIFS('Ordres de travail'!$D$5:$D$3004,$A104,'Ordres de travail'!$AC$5:$AC$3004,{"Demandé","Planifié","En cours","En attente pièces"})))</f>
        <v/>
      </c>
      <c r="AA104" s="9">
        <f>IF(OR($A104="",M104=""),"",IF(M104&lt;TODAY(),"Expirée",IF(M104-TODAY()&lt;='Paramètres'!$AA$15,"Expire bientôt","Sous garantie")))</f>
        <v/>
      </c>
      <c r="AB104" s="72">
        <f>IF($A104="",-1,N(R104)+ROW()/1000000)</f>
        <v/>
      </c>
    </row>
    <row r="105">
      <c r="A105" s="7" t="n"/>
      <c r="B105" s="7" t="n"/>
      <c r="C105" s="7" t="n"/>
      <c r="D105" s="7" t="n"/>
      <c r="E105" s="7" t="n"/>
      <c r="F105" s="7" t="n"/>
      <c r="G105" s="7" t="n"/>
      <c r="H105" s="7" t="n"/>
      <c r="I105" s="65" t="n"/>
      <c r="J105" s="66" t="n"/>
      <c r="K105" s="7" t="n"/>
      <c r="L105" s="7" t="n"/>
      <c r="M105" s="65" t="n"/>
      <c r="N105" s="7" t="n"/>
      <c r="O105" s="67" t="n"/>
      <c r="P105" s="68">
        <f>IF($A105="","",COUNTIFS('Ordres de travail'!$D$5:$D$3004,$A105,'Ordres de travail'!$H$5:$H$3004,"Correctif",'Ordres de travail'!$AC$5:$AC$3004,"&lt;&gt;Annulé",'Ordres de travail'!$B$5:$B$3004,"&gt;="&amp;'Paramètres'!$AA$6,'Ordres de travail'!$B$5:$B$3004,"&lt;"&amp;('Paramètres'!$AA$7+1)))</f>
        <v/>
      </c>
      <c r="Q105" s="69">
        <f>IF($A105="","",SUMIFS('Ordres de travail'!$S$5:$S$3004,'Ordres de travail'!$D$5:$D$3004,$A105,'Ordres de travail'!$H$5:$H$3004,"Correctif",'Ordres de travail'!$AC$5:$AC$3004,"&lt;&gt;Annulé",'Ordres de travail'!$B$5:$B$3004,"&gt;="&amp;'Paramètres'!$AA$6,'Ordres de travail'!$B$5:$B$3004,"&lt;"&amp;('Paramètres'!$AA$7+1)))</f>
        <v/>
      </c>
      <c r="R105" s="69">
        <f>IF($A105="","",SUMIFS('Ordres de travail'!$S$5:$S$3004,'Ordres de travail'!$D$5:$D$3004,$A105,'Ordres de travail'!$AC$5:$AC$3004,"&lt;&gt;Annulé",'Ordres de travail'!$B$5:$B$3004,"&gt;="&amp;'Paramètres'!$AA$6,'Ordres de travail'!$B$5:$B$3004,"&lt;"&amp;('Paramètres'!$AA$7+1)))</f>
        <v/>
      </c>
      <c r="S105" s="70">
        <f>IF($A105="","",SUMIFS('Ordres de travail'!$AA$5:$AA$3004,'Ordres de travail'!$D$5:$D$3004,$A105,'Ordres de travail'!$B$5:$B$3004,"&gt;="&amp;'Paramètres'!$AA$6,'Ordres de travail'!$B$5:$B$3004,"&lt;"&amp;('Paramètres'!$AA$7+1)))</f>
        <v/>
      </c>
      <c r="T105" s="68">
        <f>IF($A105="","",IF(P105=0,"-",(O105*'Paramètres'!$AA$8-Q105)/P105))</f>
        <v/>
      </c>
      <c r="U105" s="69">
        <f>IF($A105="","",IF(P105=0,"-",Q105/P105))</f>
        <v/>
      </c>
      <c r="V105" s="71">
        <f>IF($A105="","",IF(N(O105)*'Paramètres'!$AA$8=0,"-",MAX(0,1-R105/(O105*'Paramètres'!$AA$8))))</f>
        <v/>
      </c>
      <c r="W105" s="68">
        <f>IF($A105="","",_xlfn.MAXIFS('Relevés compteurs'!$D$5:$D$1504,'Relevés compteurs'!$B$5:$B$1504,$A105))</f>
        <v/>
      </c>
      <c r="X105" s="69">
        <f>IF(OR($A105="",I105=""),"",(TODAY()-I105)/365.25)</f>
        <v/>
      </c>
      <c r="Y105" s="70">
        <f>IF($A105="","",SUMIFS('Ordres de travail'!$AA$5:$AA$3004,'Ordres de travail'!$D$5:$D$3004,$A105))</f>
        <v/>
      </c>
      <c r="Z105" s="68">
        <f>IF($A105="","",SUM(COUNTIFS('Ordres de travail'!$D$5:$D$3004,$A105,'Ordres de travail'!$AC$5:$AC$3004,{"Demandé","Planifié","En cours","En attente pièces"})))</f>
        <v/>
      </c>
      <c r="AA105" s="9">
        <f>IF(OR($A105="",M105=""),"",IF(M105&lt;TODAY(),"Expirée",IF(M105-TODAY()&lt;='Paramètres'!$AA$15,"Expire bientôt","Sous garantie")))</f>
        <v/>
      </c>
      <c r="AB105" s="72">
        <f>IF($A105="",-1,N(R105)+ROW()/1000000)</f>
        <v/>
      </c>
    </row>
    <row r="106">
      <c r="A106" s="7" t="n"/>
      <c r="B106" s="7" t="n"/>
      <c r="C106" s="7" t="n"/>
      <c r="D106" s="7" t="n"/>
      <c r="E106" s="7" t="n"/>
      <c r="F106" s="7" t="n"/>
      <c r="G106" s="7" t="n"/>
      <c r="H106" s="7" t="n"/>
      <c r="I106" s="65" t="n"/>
      <c r="J106" s="66" t="n"/>
      <c r="K106" s="7" t="n"/>
      <c r="L106" s="7" t="n"/>
      <c r="M106" s="65" t="n"/>
      <c r="N106" s="7" t="n"/>
      <c r="O106" s="67" t="n"/>
      <c r="P106" s="68">
        <f>IF($A106="","",COUNTIFS('Ordres de travail'!$D$5:$D$3004,$A106,'Ordres de travail'!$H$5:$H$3004,"Correctif",'Ordres de travail'!$AC$5:$AC$3004,"&lt;&gt;Annulé",'Ordres de travail'!$B$5:$B$3004,"&gt;="&amp;'Paramètres'!$AA$6,'Ordres de travail'!$B$5:$B$3004,"&lt;"&amp;('Paramètres'!$AA$7+1)))</f>
        <v/>
      </c>
      <c r="Q106" s="69">
        <f>IF($A106="","",SUMIFS('Ordres de travail'!$S$5:$S$3004,'Ordres de travail'!$D$5:$D$3004,$A106,'Ordres de travail'!$H$5:$H$3004,"Correctif",'Ordres de travail'!$AC$5:$AC$3004,"&lt;&gt;Annulé",'Ordres de travail'!$B$5:$B$3004,"&gt;="&amp;'Paramètres'!$AA$6,'Ordres de travail'!$B$5:$B$3004,"&lt;"&amp;('Paramètres'!$AA$7+1)))</f>
        <v/>
      </c>
      <c r="R106" s="69">
        <f>IF($A106="","",SUMIFS('Ordres de travail'!$S$5:$S$3004,'Ordres de travail'!$D$5:$D$3004,$A106,'Ordres de travail'!$AC$5:$AC$3004,"&lt;&gt;Annulé",'Ordres de travail'!$B$5:$B$3004,"&gt;="&amp;'Paramètres'!$AA$6,'Ordres de travail'!$B$5:$B$3004,"&lt;"&amp;('Paramètres'!$AA$7+1)))</f>
        <v/>
      </c>
      <c r="S106" s="70">
        <f>IF($A106="","",SUMIFS('Ordres de travail'!$AA$5:$AA$3004,'Ordres de travail'!$D$5:$D$3004,$A106,'Ordres de travail'!$B$5:$B$3004,"&gt;="&amp;'Paramètres'!$AA$6,'Ordres de travail'!$B$5:$B$3004,"&lt;"&amp;('Paramètres'!$AA$7+1)))</f>
        <v/>
      </c>
      <c r="T106" s="68">
        <f>IF($A106="","",IF(P106=0,"-",(O106*'Paramètres'!$AA$8-Q106)/P106))</f>
        <v/>
      </c>
      <c r="U106" s="69">
        <f>IF($A106="","",IF(P106=0,"-",Q106/P106))</f>
        <v/>
      </c>
      <c r="V106" s="71">
        <f>IF($A106="","",IF(N(O106)*'Paramètres'!$AA$8=0,"-",MAX(0,1-R106/(O106*'Paramètres'!$AA$8))))</f>
        <v/>
      </c>
      <c r="W106" s="68">
        <f>IF($A106="","",_xlfn.MAXIFS('Relevés compteurs'!$D$5:$D$1504,'Relevés compteurs'!$B$5:$B$1504,$A106))</f>
        <v/>
      </c>
      <c r="X106" s="69">
        <f>IF(OR($A106="",I106=""),"",(TODAY()-I106)/365.25)</f>
        <v/>
      </c>
      <c r="Y106" s="70">
        <f>IF($A106="","",SUMIFS('Ordres de travail'!$AA$5:$AA$3004,'Ordres de travail'!$D$5:$D$3004,$A106))</f>
        <v/>
      </c>
      <c r="Z106" s="68">
        <f>IF($A106="","",SUM(COUNTIFS('Ordres de travail'!$D$5:$D$3004,$A106,'Ordres de travail'!$AC$5:$AC$3004,{"Demandé","Planifié","En cours","En attente pièces"})))</f>
        <v/>
      </c>
      <c r="AA106" s="9">
        <f>IF(OR($A106="",M106=""),"",IF(M106&lt;TODAY(),"Expirée",IF(M106-TODAY()&lt;='Paramètres'!$AA$15,"Expire bientôt","Sous garantie")))</f>
        <v/>
      </c>
      <c r="AB106" s="72">
        <f>IF($A106="",-1,N(R106)+ROW()/1000000)</f>
        <v/>
      </c>
    </row>
    <row r="107">
      <c r="A107" s="7" t="n"/>
      <c r="B107" s="7" t="n"/>
      <c r="C107" s="7" t="n"/>
      <c r="D107" s="7" t="n"/>
      <c r="E107" s="7" t="n"/>
      <c r="F107" s="7" t="n"/>
      <c r="G107" s="7" t="n"/>
      <c r="H107" s="7" t="n"/>
      <c r="I107" s="65" t="n"/>
      <c r="J107" s="66" t="n"/>
      <c r="K107" s="7" t="n"/>
      <c r="L107" s="7" t="n"/>
      <c r="M107" s="65" t="n"/>
      <c r="N107" s="7" t="n"/>
      <c r="O107" s="67" t="n"/>
      <c r="P107" s="68">
        <f>IF($A107="","",COUNTIFS('Ordres de travail'!$D$5:$D$3004,$A107,'Ordres de travail'!$H$5:$H$3004,"Correctif",'Ordres de travail'!$AC$5:$AC$3004,"&lt;&gt;Annulé",'Ordres de travail'!$B$5:$B$3004,"&gt;="&amp;'Paramètres'!$AA$6,'Ordres de travail'!$B$5:$B$3004,"&lt;"&amp;('Paramètres'!$AA$7+1)))</f>
        <v/>
      </c>
      <c r="Q107" s="69">
        <f>IF($A107="","",SUMIFS('Ordres de travail'!$S$5:$S$3004,'Ordres de travail'!$D$5:$D$3004,$A107,'Ordres de travail'!$H$5:$H$3004,"Correctif",'Ordres de travail'!$AC$5:$AC$3004,"&lt;&gt;Annulé",'Ordres de travail'!$B$5:$B$3004,"&gt;="&amp;'Paramètres'!$AA$6,'Ordres de travail'!$B$5:$B$3004,"&lt;"&amp;('Paramètres'!$AA$7+1)))</f>
        <v/>
      </c>
      <c r="R107" s="69">
        <f>IF($A107="","",SUMIFS('Ordres de travail'!$S$5:$S$3004,'Ordres de travail'!$D$5:$D$3004,$A107,'Ordres de travail'!$AC$5:$AC$3004,"&lt;&gt;Annulé",'Ordres de travail'!$B$5:$B$3004,"&gt;="&amp;'Paramètres'!$AA$6,'Ordres de travail'!$B$5:$B$3004,"&lt;"&amp;('Paramètres'!$AA$7+1)))</f>
        <v/>
      </c>
      <c r="S107" s="70">
        <f>IF($A107="","",SUMIFS('Ordres de travail'!$AA$5:$AA$3004,'Ordres de travail'!$D$5:$D$3004,$A107,'Ordres de travail'!$B$5:$B$3004,"&gt;="&amp;'Paramètres'!$AA$6,'Ordres de travail'!$B$5:$B$3004,"&lt;"&amp;('Paramètres'!$AA$7+1)))</f>
        <v/>
      </c>
      <c r="T107" s="68">
        <f>IF($A107="","",IF(P107=0,"-",(O107*'Paramètres'!$AA$8-Q107)/P107))</f>
        <v/>
      </c>
      <c r="U107" s="69">
        <f>IF($A107="","",IF(P107=0,"-",Q107/P107))</f>
        <v/>
      </c>
      <c r="V107" s="71">
        <f>IF($A107="","",IF(N(O107)*'Paramètres'!$AA$8=0,"-",MAX(0,1-R107/(O107*'Paramètres'!$AA$8))))</f>
        <v/>
      </c>
      <c r="W107" s="68">
        <f>IF($A107="","",_xlfn.MAXIFS('Relevés compteurs'!$D$5:$D$1504,'Relevés compteurs'!$B$5:$B$1504,$A107))</f>
        <v/>
      </c>
      <c r="X107" s="69">
        <f>IF(OR($A107="",I107=""),"",(TODAY()-I107)/365.25)</f>
        <v/>
      </c>
      <c r="Y107" s="70">
        <f>IF($A107="","",SUMIFS('Ordres de travail'!$AA$5:$AA$3004,'Ordres de travail'!$D$5:$D$3004,$A107))</f>
        <v/>
      </c>
      <c r="Z107" s="68">
        <f>IF($A107="","",SUM(COUNTIFS('Ordres de travail'!$D$5:$D$3004,$A107,'Ordres de travail'!$AC$5:$AC$3004,{"Demandé","Planifié","En cours","En attente pièces"})))</f>
        <v/>
      </c>
      <c r="AA107" s="9">
        <f>IF(OR($A107="",M107=""),"",IF(M107&lt;TODAY(),"Expirée",IF(M107-TODAY()&lt;='Paramètres'!$AA$15,"Expire bientôt","Sous garantie")))</f>
        <v/>
      </c>
      <c r="AB107" s="72">
        <f>IF($A107="",-1,N(R107)+ROW()/1000000)</f>
        <v/>
      </c>
    </row>
    <row r="108">
      <c r="A108" s="7" t="n"/>
      <c r="B108" s="7" t="n"/>
      <c r="C108" s="7" t="n"/>
      <c r="D108" s="7" t="n"/>
      <c r="E108" s="7" t="n"/>
      <c r="F108" s="7" t="n"/>
      <c r="G108" s="7" t="n"/>
      <c r="H108" s="7" t="n"/>
      <c r="I108" s="65" t="n"/>
      <c r="J108" s="66" t="n"/>
      <c r="K108" s="7" t="n"/>
      <c r="L108" s="7" t="n"/>
      <c r="M108" s="65" t="n"/>
      <c r="N108" s="7" t="n"/>
      <c r="O108" s="67" t="n"/>
      <c r="P108" s="68">
        <f>IF($A108="","",COUNTIFS('Ordres de travail'!$D$5:$D$3004,$A108,'Ordres de travail'!$H$5:$H$3004,"Correctif",'Ordres de travail'!$AC$5:$AC$3004,"&lt;&gt;Annulé",'Ordres de travail'!$B$5:$B$3004,"&gt;="&amp;'Paramètres'!$AA$6,'Ordres de travail'!$B$5:$B$3004,"&lt;"&amp;('Paramètres'!$AA$7+1)))</f>
        <v/>
      </c>
      <c r="Q108" s="69">
        <f>IF($A108="","",SUMIFS('Ordres de travail'!$S$5:$S$3004,'Ordres de travail'!$D$5:$D$3004,$A108,'Ordres de travail'!$H$5:$H$3004,"Correctif",'Ordres de travail'!$AC$5:$AC$3004,"&lt;&gt;Annulé",'Ordres de travail'!$B$5:$B$3004,"&gt;="&amp;'Paramètres'!$AA$6,'Ordres de travail'!$B$5:$B$3004,"&lt;"&amp;('Paramètres'!$AA$7+1)))</f>
        <v/>
      </c>
      <c r="R108" s="69">
        <f>IF($A108="","",SUMIFS('Ordres de travail'!$S$5:$S$3004,'Ordres de travail'!$D$5:$D$3004,$A108,'Ordres de travail'!$AC$5:$AC$3004,"&lt;&gt;Annulé",'Ordres de travail'!$B$5:$B$3004,"&gt;="&amp;'Paramètres'!$AA$6,'Ordres de travail'!$B$5:$B$3004,"&lt;"&amp;('Paramètres'!$AA$7+1)))</f>
        <v/>
      </c>
      <c r="S108" s="70">
        <f>IF($A108="","",SUMIFS('Ordres de travail'!$AA$5:$AA$3004,'Ordres de travail'!$D$5:$D$3004,$A108,'Ordres de travail'!$B$5:$B$3004,"&gt;="&amp;'Paramètres'!$AA$6,'Ordres de travail'!$B$5:$B$3004,"&lt;"&amp;('Paramètres'!$AA$7+1)))</f>
        <v/>
      </c>
      <c r="T108" s="68">
        <f>IF($A108="","",IF(P108=0,"-",(O108*'Paramètres'!$AA$8-Q108)/P108))</f>
        <v/>
      </c>
      <c r="U108" s="69">
        <f>IF($A108="","",IF(P108=0,"-",Q108/P108))</f>
        <v/>
      </c>
      <c r="V108" s="71">
        <f>IF($A108="","",IF(N(O108)*'Paramètres'!$AA$8=0,"-",MAX(0,1-R108/(O108*'Paramètres'!$AA$8))))</f>
        <v/>
      </c>
      <c r="W108" s="68">
        <f>IF($A108="","",_xlfn.MAXIFS('Relevés compteurs'!$D$5:$D$1504,'Relevés compteurs'!$B$5:$B$1504,$A108))</f>
        <v/>
      </c>
      <c r="X108" s="69">
        <f>IF(OR($A108="",I108=""),"",(TODAY()-I108)/365.25)</f>
        <v/>
      </c>
      <c r="Y108" s="70">
        <f>IF($A108="","",SUMIFS('Ordres de travail'!$AA$5:$AA$3004,'Ordres de travail'!$D$5:$D$3004,$A108))</f>
        <v/>
      </c>
      <c r="Z108" s="68">
        <f>IF($A108="","",SUM(COUNTIFS('Ordres de travail'!$D$5:$D$3004,$A108,'Ordres de travail'!$AC$5:$AC$3004,{"Demandé","Planifié","En cours","En attente pièces"})))</f>
        <v/>
      </c>
      <c r="AA108" s="9">
        <f>IF(OR($A108="",M108=""),"",IF(M108&lt;TODAY(),"Expirée",IF(M108-TODAY()&lt;='Paramètres'!$AA$15,"Expire bientôt","Sous garantie")))</f>
        <v/>
      </c>
      <c r="AB108" s="72">
        <f>IF($A108="",-1,N(R108)+ROW()/1000000)</f>
        <v/>
      </c>
    </row>
    <row r="109">
      <c r="A109" s="7" t="n"/>
      <c r="B109" s="7" t="n"/>
      <c r="C109" s="7" t="n"/>
      <c r="D109" s="7" t="n"/>
      <c r="E109" s="7" t="n"/>
      <c r="F109" s="7" t="n"/>
      <c r="G109" s="7" t="n"/>
      <c r="H109" s="7" t="n"/>
      <c r="I109" s="65" t="n"/>
      <c r="J109" s="66" t="n"/>
      <c r="K109" s="7" t="n"/>
      <c r="L109" s="7" t="n"/>
      <c r="M109" s="65" t="n"/>
      <c r="N109" s="7" t="n"/>
      <c r="O109" s="67" t="n"/>
      <c r="P109" s="68">
        <f>IF($A109="","",COUNTIFS('Ordres de travail'!$D$5:$D$3004,$A109,'Ordres de travail'!$H$5:$H$3004,"Correctif",'Ordres de travail'!$AC$5:$AC$3004,"&lt;&gt;Annulé",'Ordres de travail'!$B$5:$B$3004,"&gt;="&amp;'Paramètres'!$AA$6,'Ordres de travail'!$B$5:$B$3004,"&lt;"&amp;('Paramètres'!$AA$7+1)))</f>
        <v/>
      </c>
      <c r="Q109" s="69">
        <f>IF($A109="","",SUMIFS('Ordres de travail'!$S$5:$S$3004,'Ordres de travail'!$D$5:$D$3004,$A109,'Ordres de travail'!$H$5:$H$3004,"Correctif",'Ordres de travail'!$AC$5:$AC$3004,"&lt;&gt;Annulé",'Ordres de travail'!$B$5:$B$3004,"&gt;="&amp;'Paramètres'!$AA$6,'Ordres de travail'!$B$5:$B$3004,"&lt;"&amp;('Paramètres'!$AA$7+1)))</f>
        <v/>
      </c>
      <c r="R109" s="69">
        <f>IF($A109="","",SUMIFS('Ordres de travail'!$S$5:$S$3004,'Ordres de travail'!$D$5:$D$3004,$A109,'Ordres de travail'!$AC$5:$AC$3004,"&lt;&gt;Annulé",'Ordres de travail'!$B$5:$B$3004,"&gt;="&amp;'Paramètres'!$AA$6,'Ordres de travail'!$B$5:$B$3004,"&lt;"&amp;('Paramètres'!$AA$7+1)))</f>
        <v/>
      </c>
      <c r="S109" s="70">
        <f>IF($A109="","",SUMIFS('Ordres de travail'!$AA$5:$AA$3004,'Ordres de travail'!$D$5:$D$3004,$A109,'Ordres de travail'!$B$5:$B$3004,"&gt;="&amp;'Paramètres'!$AA$6,'Ordres de travail'!$B$5:$B$3004,"&lt;"&amp;('Paramètres'!$AA$7+1)))</f>
        <v/>
      </c>
      <c r="T109" s="68">
        <f>IF($A109="","",IF(P109=0,"-",(O109*'Paramètres'!$AA$8-Q109)/P109))</f>
        <v/>
      </c>
      <c r="U109" s="69">
        <f>IF($A109="","",IF(P109=0,"-",Q109/P109))</f>
        <v/>
      </c>
      <c r="V109" s="71">
        <f>IF($A109="","",IF(N(O109)*'Paramètres'!$AA$8=0,"-",MAX(0,1-R109/(O109*'Paramètres'!$AA$8))))</f>
        <v/>
      </c>
      <c r="W109" s="68">
        <f>IF($A109="","",_xlfn.MAXIFS('Relevés compteurs'!$D$5:$D$1504,'Relevés compteurs'!$B$5:$B$1504,$A109))</f>
        <v/>
      </c>
      <c r="X109" s="69">
        <f>IF(OR($A109="",I109=""),"",(TODAY()-I109)/365.25)</f>
        <v/>
      </c>
      <c r="Y109" s="70">
        <f>IF($A109="","",SUMIFS('Ordres de travail'!$AA$5:$AA$3004,'Ordres de travail'!$D$5:$D$3004,$A109))</f>
        <v/>
      </c>
      <c r="Z109" s="68">
        <f>IF($A109="","",SUM(COUNTIFS('Ordres de travail'!$D$5:$D$3004,$A109,'Ordres de travail'!$AC$5:$AC$3004,{"Demandé","Planifié","En cours","En attente pièces"})))</f>
        <v/>
      </c>
      <c r="AA109" s="9">
        <f>IF(OR($A109="",M109=""),"",IF(M109&lt;TODAY(),"Expirée",IF(M109-TODAY()&lt;='Paramètres'!$AA$15,"Expire bientôt","Sous garantie")))</f>
        <v/>
      </c>
      <c r="AB109" s="72">
        <f>IF($A109="",-1,N(R109)+ROW()/1000000)</f>
        <v/>
      </c>
    </row>
    <row r="110">
      <c r="A110" s="7" t="n"/>
      <c r="B110" s="7" t="n"/>
      <c r="C110" s="7" t="n"/>
      <c r="D110" s="7" t="n"/>
      <c r="E110" s="7" t="n"/>
      <c r="F110" s="7" t="n"/>
      <c r="G110" s="7" t="n"/>
      <c r="H110" s="7" t="n"/>
      <c r="I110" s="65" t="n"/>
      <c r="J110" s="66" t="n"/>
      <c r="K110" s="7" t="n"/>
      <c r="L110" s="7" t="n"/>
      <c r="M110" s="65" t="n"/>
      <c r="N110" s="7" t="n"/>
      <c r="O110" s="67" t="n"/>
      <c r="P110" s="68">
        <f>IF($A110="","",COUNTIFS('Ordres de travail'!$D$5:$D$3004,$A110,'Ordres de travail'!$H$5:$H$3004,"Correctif",'Ordres de travail'!$AC$5:$AC$3004,"&lt;&gt;Annulé",'Ordres de travail'!$B$5:$B$3004,"&gt;="&amp;'Paramètres'!$AA$6,'Ordres de travail'!$B$5:$B$3004,"&lt;"&amp;('Paramètres'!$AA$7+1)))</f>
        <v/>
      </c>
      <c r="Q110" s="69">
        <f>IF($A110="","",SUMIFS('Ordres de travail'!$S$5:$S$3004,'Ordres de travail'!$D$5:$D$3004,$A110,'Ordres de travail'!$H$5:$H$3004,"Correctif",'Ordres de travail'!$AC$5:$AC$3004,"&lt;&gt;Annulé",'Ordres de travail'!$B$5:$B$3004,"&gt;="&amp;'Paramètres'!$AA$6,'Ordres de travail'!$B$5:$B$3004,"&lt;"&amp;('Paramètres'!$AA$7+1)))</f>
        <v/>
      </c>
      <c r="R110" s="69">
        <f>IF($A110="","",SUMIFS('Ordres de travail'!$S$5:$S$3004,'Ordres de travail'!$D$5:$D$3004,$A110,'Ordres de travail'!$AC$5:$AC$3004,"&lt;&gt;Annulé",'Ordres de travail'!$B$5:$B$3004,"&gt;="&amp;'Paramètres'!$AA$6,'Ordres de travail'!$B$5:$B$3004,"&lt;"&amp;('Paramètres'!$AA$7+1)))</f>
        <v/>
      </c>
      <c r="S110" s="70">
        <f>IF($A110="","",SUMIFS('Ordres de travail'!$AA$5:$AA$3004,'Ordres de travail'!$D$5:$D$3004,$A110,'Ordres de travail'!$B$5:$B$3004,"&gt;="&amp;'Paramètres'!$AA$6,'Ordres de travail'!$B$5:$B$3004,"&lt;"&amp;('Paramètres'!$AA$7+1)))</f>
        <v/>
      </c>
      <c r="T110" s="68">
        <f>IF($A110="","",IF(P110=0,"-",(O110*'Paramètres'!$AA$8-Q110)/P110))</f>
        <v/>
      </c>
      <c r="U110" s="69">
        <f>IF($A110="","",IF(P110=0,"-",Q110/P110))</f>
        <v/>
      </c>
      <c r="V110" s="71">
        <f>IF($A110="","",IF(N(O110)*'Paramètres'!$AA$8=0,"-",MAX(0,1-R110/(O110*'Paramètres'!$AA$8))))</f>
        <v/>
      </c>
      <c r="W110" s="68">
        <f>IF($A110="","",_xlfn.MAXIFS('Relevés compteurs'!$D$5:$D$1504,'Relevés compteurs'!$B$5:$B$1504,$A110))</f>
        <v/>
      </c>
      <c r="X110" s="69">
        <f>IF(OR($A110="",I110=""),"",(TODAY()-I110)/365.25)</f>
        <v/>
      </c>
      <c r="Y110" s="70">
        <f>IF($A110="","",SUMIFS('Ordres de travail'!$AA$5:$AA$3004,'Ordres de travail'!$D$5:$D$3004,$A110))</f>
        <v/>
      </c>
      <c r="Z110" s="68">
        <f>IF($A110="","",SUM(COUNTIFS('Ordres de travail'!$D$5:$D$3004,$A110,'Ordres de travail'!$AC$5:$AC$3004,{"Demandé","Planifié","En cours","En attente pièces"})))</f>
        <v/>
      </c>
      <c r="AA110" s="9">
        <f>IF(OR($A110="",M110=""),"",IF(M110&lt;TODAY(),"Expirée",IF(M110-TODAY()&lt;='Paramètres'!$AA$15,"Expire bientôt","Sous garantie")))</f>
        <v/>
      </c>
      <c r="AB110" s="72">
        <f>IF($A110="",-1,N(R110)+ROW()/1000000)</f>
        <v/>
      </c>
    </row>
    <row r="111">
      <c r="A111" s="7" t="n"/>
      <c r="B111" s="7" t="n"/>
      <c r="C111" s="7" t="n"/>
      <c r="D111" s="7" t="n"/>
      <c r="E111" s="7" t="n"/>
      <c r="F111" s="7" t="n"/>
      <c r="G111" s="7" t="n"/>
      <c r="H111" s="7" t="n"/>
      <c r="I111" s="65" t="n"/>
      <c r="J111" s="66" t="n"/>
      <c r="K111" s="7" t="n"/>
      <c r="L111" s="7" t="n"/>
      <c r="M111" s="65" t="n"/>
      <c r="N111" s="7" t="n"/>
      <c r="O111" s="67" t="n"/>
      <c r="P111" s="68">
        <f>IF($A111="","",COUNTIFS('Ordres de travail'!$D$5:$D$3004,$A111,'Ordres de travail'!$H$5:$H$3004,"Correctif",'Ordres de travail'!$AC$5:$AC$3004,"&lt;&gt;Annulé",'Ordres de travail'!$B$5:$B$3004,"&gt;="&amp;'Paramètres'!$AA$6,'Ordres de travail'!$B$5:$B$3004,"&lt;"&amp;('Paramètres'!$AA$7+1)))</f>
        <v/>
      </c>
      <c r="Q111" s="69">
        <f>IF($A111="","",SUMIFS('Ordres de travail'!$S$5:$S$3004,'Ordres de travail'!$D$5:$D$3004,$A111,'Ordres de travail'!$H$5:$H$3004,"Correctif",'Ordres de travail'!$AC$5:$AC$3004,"&lt;&gt;Annulé",'Ordres de travail'!$B$5:$B$3004,"&gt;="&amp;'Paramètres'!$AA$6,'Ordres de travail'!$B$5:$B$3004,"&lt;"&amp;('Paramètres'!$AA$7+1)))</f>
        <v/>
      </c>
      <c r="R111" s="69">
        <f>IF($A111="","",SUMIFS('Ordres de travail'!$S$5:$S$3004,'Ordres de travail'!$D$5:$D$3004,$A111,'Ordres de travail'!$AC$5:$AC$3004,"&lt;&gt;Annulé",'Ordres de travail'!$B$5:$B$3004,"&gt;="&amp;'Paramètres'!$AA$6,'Ordres de travail'!$B$5:$B$3004,"&lt;"&amp;('Paramètres'!$AA$7+1)))</f>
        <v/>
      </c>
      <c r="S111" s="70">
        <f>IF($A111="","",SUMIFS('Ordres de travail'!$AA$5:$AA$3004,'Ordres de travail'!$D$5:$D$3004,$A111,'Ordres de travail'!$B$5:$B$3004,"&gt;="&amp;'Paramètres'!$AA$6,'Ordres de travail'!$B$5:$B$3004,"&lt;"&amp;('Paramètres'!$AA$7+1)))</f>
        <v/>
      </c>
      <c r="T111" s="68">
        <f>IF($A111="","",IF(P111=0,"-",(O111*'Paramètres'!$AA$8-Q111)/P111))</f>
        <v/>
      </c>
      <c r="U111" s="69">
        <f>IF($A111="","",IF(P111=0,"-",Q111/P111))</f>
        <v/>
      </c>
      <c r="V111" s="71">
        <f>IF($A111="","",IF(N(O111)*'Paramètres'!$AA$8=0,"-",MAX(0,1-R111/(O111*'Paramètres'!$AA$8))))</f>
        <v/>
      </c>
      <c r="W111" s="68">
        <f>IF($A111="","",_xlfn.MAXIFS('Relevés compteurs'!$D$5:$D$1504,'Relevés compteurs'!$B$5:$B$1504,$A111))</f>
        <v/>
      </c>
      <c r="X111" s="69">
        <f>IF(OR($A111="",I111=""),"",(TODAY()-I111)/365.25)</f>
        <v/>
      </c>
      <c r="Y111" s="70">
        <f>IF($A111="","",SUMIFS('Ordres de travail'!$AA$5:$AA$3004,'Ordres de travail'!$D$5:$D$3004,$A111))</f>
        <v/>
      </c>
      <c r="Z111" s="68">
        <f>IF($A111="","",SUM(COUNTIFS('Ordres de travail'!$D$5:$D$3004,$A111,'Ordres de travail'!$AC$5:$AC$3004,{"Demandé","Planifié","En cours","En attente pièces"})))</f>
        <v/>
      </c>
      <c r="AA111" s="9">
        <f>IF(OR($A111="",M111=""),"",IF(M111&lt;TODAY(),"Expirée",IF(M111-TODAY()&lt;='Paramètres'!$AA$15,"Expire bientôt","Sous garantie")))</f>
        <v/>
      </c>
      <c r="AB111" s="72">
        <f>IF($A111="",-1,N(R111)+ROW()/1000000)</f>
        <v/>
      </c>
    </row>
    <row r="112">
      <c r="A112" s="7" t="n"/>
      <c r="B112" s="7" t="n"/>
      <c r="C112" s="7" t="n"/>
      <c r="D112" s="7" t="n"/>
      <c r="E112" s="7" t="n"/>
      <c r="F112" s="7" t="n"/>
      <c r="G112" s="7" t="n"/>
      <c r="H112" s="7" t="n"/>
      <c r="I112" s="65" t="n"/>
      <c r="J112" s="66" t="n"/>
      <c r="K112" s="7" t="n"/>
      <c r="L112" s="7" t="n"/>
      <c r="M112" s="65" t="n"/>
      <c r="N112" s="7" t="n"/>
      <c r="O112" s="67" t="n"/>
      <c r="P112" s="68">
        <f>IF($A112="","",COUNTIFS('Ordres de travail'!$D$5:$D$3004,$A112,'Ordres de travail'!$H$5:$H$3004,"Correctif",'Ordres de travail'!$AC$5:$AC$3004,"&lt;&gt;Annulé",'Ordres de travail'!$B$5:$B$3004,"&gt;="&amp;'Paramètres'!$AA$6,'Ordres de travail'!$B$5:$B$3004,"&lt;"&amp;('Paramètres'!$AA$7+1)))</f>
        <v/>
      </c>
      <c r="Q112" s="69">
        <f>IF($A112="","",SUMIFS('Ordres de travail'!$S$5:$S$3004,'Ordres de travail'!$D$5:$D$3004,$A112,'Ordres de travail'!$H$5:$H$3004,"Correctif",'Ordres de travail'!$AC$5:$AC$3004,"&lt;&gt;Annulé",'Ordres de travail'!$B$5:$B$3004,"&gt;="&amp;'Paramètres'!$AA$6,'Ordres de travail'!$B$5:$B$3004,"&lt;"&amp;('Paramètres'!$AA$7+1)))</f>
        <v/>
      </c>
      <c r="R112" s="69">
        <f>IF($A112="","",SUMIFS('Ordres de travail'!$S$5:$S$3004,'Ordres de travail'!$D$5:$D$3004,$A112,'Ordres de travail'!$AC$5:$AC$3004,"&lt;&gt;Annulé",'Ordres de travail'!$B$5:$B$3004,"&gt;="&amp;'Paramètres'!$AA$6,'Ordres de travail'!$B$5:$B$3004,"&lt;"&amp;('Paramètres'!$AA$7+1)))</f>
        <v/>
      </c>
      <c r="S112" s="70">
        <f>IF($A112="","",SUMIFS('Ordres de travail'!$AA$5:$AA$3004,'Ordres de travail'!$D$5:$D$3004,$A112,'Ordres de travail'!$B$5:$B$3004,"&gt;="&amp;'Paramètres'!$AA$6,'Ordres de travail'!$B$5:$B$3004,"&lt;"&amp;('Paramètres'!$AA$7+1)))</f>
        <v/>
      </c>
      <c r="T112" s="68">
        <f>IF($A112="","",IF(P112=0,"-",(O112*'Paramètres'!$AA$8-Q112)/P112))</f>
        <v/>
      </c>
      <c r="U112" s="69">
        <f>IF($A112="","",IF(P112=0,"-",Q112/P112))</f>
        <v/>
      </c>
      <c r="V112" s="71">
        <f>IF($A112="","",IF(N(O112)*'Paramètres'!$AA$8=0,"-",MAX(0,1-R112/(O112*'Paramètres'!$AA$8))))</f>
        <v/>
      </c>
      <c r="W112" s="68">
        <f>IF($A112="","",_xlfn.MAXIFS('Relevés compteurs'!$D$5:$D$1504,'Relevés compteurs'!$B$5:$B$1504,$A112))</f>
        <v/>
      </c>
      <c r="X112" s="69">
        <f>IF(OR($A112="",I112=""),"",(TODAY()-I112)/365.25)</f>
        <v/>
      </c>
      <c r="Y112" s="70">
        <f>IF($A112="","",SUMIFS('Ordres de travail'!$AA$5:$AA$3004,'Ordres de travail'!$D$5:$D$3004,$A112))</f>
        <v/>
      </c>
      <c r="Z112" s="68">
        <f>IF($A112="","",SUM(COUNTIFS('Ordres de travail'!$D$5:$D$3004,$A112,'Ordres de travail'!$AC$5:$AC$3004,{"Demandé","Planifié","En cours","En attente pièces"})))</f>
        <v/>
      </c>
      <c r="AA112" s="9">
        <f>IF(OR($A112="",M112=""),"",IF(M112&lt;TODAY(),"Expirée",IF(M112-TODAY()&lt;='Paramètres'!$AA$15,"Expire bientôt","Sous garantie")))</f>
        <v/>
      </c>
      <c r="AB112" s="72">
        <f>IF($A112="",-1,N(R112)+ROW()/1000000)</f>
        <v/>
      </c>
    </row>
    <row r="113">
      <c r="A113" s="7" t="n"/>
      <c r="B113" s="7" t="n"/>
      <c r="C113" s="7" t="n"/>
      <c r="D113" s="7" t="n"/>
      <c r="E113" s="7" t="n"/>
      <c r="F113" s="7" t="n"/>
      <c r="G113" s="7" t="n"/>
      <c r="H113" s="7" t="n"/>
      <c r="I113" s="65" t="n"/>
      <c r="J113" s="66" t="n"/>
      <c r="K113" s="7" t="n"/>
      <c r="L113" s="7" t="n"/>
      <c r="M113" s="65" t="n"/>
      <c r="N113" s="7" t="n"/>
      <c r="O113" s="67" t="n"/>
      <c r="P113" s="68">
        <f>IF($A113="","",COUNTIFS('Ordres de travail'!$D$5:$D$3004,$A113,'Ordres de travail'!$H$5:$H$3004,"Correctif",'Ordres de travail'!$AC$5:$AC$3004,"&lt;&gt;Annulé",'Ordres de travail'!$B$5:$B$3004,"&gt;="&amp;'Paramètres'!$AA$6,'Ordres de travail'!$B$5:$B$3004,"&lt;"&amp;('Paramètres'!$AA$7+1)))</f>
        <v/>
      </c>
      <c r="Q113" s="69">
        <f>IF($A113="","",SUMIFS('Ordres de travail'!$S$5:$S$3004,'Ordres de travail'!$D$5:$D$3004,$A113,'Ordres de travail'!$H$5:$H$3004,"Correctif",'Ordres de travail'!$AC$5:$AC$3004,"&lt;&gt;Annulé",'Ordres de travail'!$B$5:$B$3004,"&gt;="&amp;'Paramètres'!$AA$6,'Ordres de travail'!$B$5:$B$3004,"&lt;"&amp;('Paramètres'!$AA$7+1)))</f>
        <v/>
      </c>
      <c r="R113" s="69">
        <f>IF($A113="","",SUMIFS('Ordres de travail'!$S$5:$S$3004,'Ordres de travail'!$D$5:$D$3004,$A113,'Ordres de travail'!$AC$5:$AC$3004,"&lt;&gt;Annulé",'Ordres de travail'!$B$5:$B$3004,"&gt;="&amp;'Paramètres'!$AA$6,'Ordres de travail'!$B$5:$B$3004,"&lt;"&amp;('Paramètres'!$AA$7+1)))</f>
        <v/>
      </c>
      <c r="S113" s="70">
        <f>IF($A113="","",SUMIFS('Ordres de travail'!$AA$5:$AA$3004,'Ordres de travail'!$D$5:$D$3004,$A113,'Ordres de travail'!$B$5:$B$3004,"&gt;="&amp;'Paramètres'!$AA$6,'Ordres de travail'!$B$5:$B$3004,"&lt;"&amp;('Paramètres'!$AA$7+1)))</f>
        <v/>
      </c>
      <c r="T113" s="68">
        <f>IF($A113="","",IF(P113=0,"-",(O113*'Paramètres'!$AA$8-Q113)/P113))</f>
        <v/>
      </c>
      <c r="U113" s="69">
        <f>IF($A113="","",IF(P113=0,"-",Q113/P113))</f>
        <v/>
      </c>
      <c r="V113" s="71">
        <f>IF($A113="","",IF(N(O113)*'Paramètres'!$AA$8=0,"-",MAX(0,1-R113/(O113*'Paramètres'!$AA$8))))</f>
        <v/>
      </c>
      <c r="W113" s="68">
        <f>IF($A113="","",_xlfn.MAXIFS('Relevés compteurs'!$D$5:$D$1504,'Relevés compteurs'!$B$5:$B$1504,$A113))</f>
        <v/>
      </c>
      <c r="X113" s="69">
        <f>IF(OR($A113="",I113=""),"",(TODAY()-I113)/365.25)</f>
        <v/>
      </c>
      <c r="Y113" s="70">
        <f>IF($A113="","",SUMIFS('Ordres de travail'!$AA$5:$AA$3004,'Ordres de travail'!$D$5:$D$3004,$A113))</f>
        <v/>
      </c>
      <c r="Z113" s="68">
        <f>IF($A113="","",SUM(COUNTIFS('Ordres de travail'!$D$5:$D$3004,$A113,'Ordres de travail'!$AC$5:$AC$3004,{"Demandé","Planifié","En cours","En attente pièces"})))</f>
        <v/>
      </c>
      <c r="AA113" s="9">
        <f>IF(OR($A113="",M113=""),"",IF(M113&lt;TODAY(),"Expirée",IF(M113-TODAY()&lt;='Paramètres'!$AA$15,"Expire bientôt","Sous garantie")))</f>
        <v/>
      </c>
      <c r="AB113" s="72">
        <f>IF($A113="",-1,N(R113)+ROW()/1000000)</f>
        <v/>
      </c>
    </row>
    <row r="114">
      <c r="A114" s="7" t="n"/>
      <c r="B114" s="7" t="n"/>
      <c r="C114" s="7" t="n"/>
      <c r="D114" s="7" t="n"/>
      <c r="E114" s="7" t="n"/>
      <c r="F114" s="7" t="n"/>
      <c r="G114" s="7" t="n"/>
      <c r="H114" s="7" t="n"/>
      <c r="I114" s="65" t="n"/>
      <c r="J114" s="66" t="n"/>
      <c r="K114" s="7" t="n"/>
      <c r="L114" s="7" t="n"/>
      <c r="M114" s="65" t="n"/>
      <c r="N114" s="7" t="n"/>
      <c r="O114" s="67" t="n"/>
      <c r="P114" s="68">
        <f>IF($A114="","",COUNTIFS('Ordres de travail'!$D$5:$D$3004,$A114,'Ordres de travail'!$H$5:$H$3004,"Correctif",'Ordres de travail'!$AC$5:$AC$3004,"&lt;&gt;Annulé",'Ordres de travail'!$B$5:$B$3004,"&gt;="&amp;'Paramètres'!$AA$6,'Ordres de travail'!$B$5:$B$3004,"&lt;"&amp;('Paramètres'!$AA$7+1)))</f>
        <v/>
      </c>
      <c r="Q114" s="69">
        <f>IF($A114="","",SUMIFS('Ordres de travail'!$S$5:$S$3004,'Ordres de travail'!$D$5:$D$3004,$A114,'Ordres de travail'!$H$5:$H$3004,"Correctif",'Ordres de travail'!$AC$5:$AC$3004,"&lt;&gt;Annulé",'Ordres de travail'!$B$5:$B$3004,"&gt;="&amp;'Paramètres'!$AA$6,'Ordres de travail'!$B$5:$B$3004,"&lt;"&amp;('Paramètres'!$AA$7+1)))</f>
        <v/>
      </c>
      <c r="R114" s="69">
        <f>IF($A114="","",SUMIFS('Ordres de travail'!$S$5:$S$3004,'Ordres de travail'!$D$5:$D$3004,$A114,'Ordres de travail'!$AC$5:$AC$3004,"&lt;&gt;Annulé",'Ordres de travail'!$B$5:$B$3004,"&gt;="&amp;'Paramètres'!$AA$6,'Ordres de travail'!$B$5:$B$3004,"&lt;"&amp;('Paramètres'!$AA$7+1)))</f>
        <v/>
      </c>
      <c r="S114" s="70">
        <f>IF($A114="","",SUMIFS('Ordres de travail'!$AA$5:$AA$3004,'Ordres de travail'!$D$5:$D$3004,$A114,'Ordres de travail'!$B$5:$B$3004,"&gt;="&amp;'Paramètres'!$AA$6,'Ordres de travail'!$B$5:$B$3004,"&lt;"&amp;('Paramètres'!$AA$7+1)))</f>
        <v/>
      </c>
      <c r="T114" s="68">
        <f>IF($A114="","",IF(P114=0,"-",(O114*'Paramètres'!$AA$8-Q114)/P114))</f>
        <v/>
      </c>
      <c r="U114" s="69">
        <f>IF($A114="","",IF(P114=0,"-",Q114/P114))</f>
        <v/>
      </c>
      <c r="V114" s="71">
        <f>IF($A114="","",IF(N(O114)*'Paramètres'!$AA$8=0,"-",MAX(0,1-R114/(O114*'Paramètres'!$AA$8))))</f>
        <v/>
      </c>
      <c r="W114" s="68">
        <f>IF($A114="","",_xlfn.MAXIFS('Relevés compteurs'!$D$5:$D$1504,'Relevés compteurs'!$B$5:$B$1504,$A114))</f>
        <v/>
      </c>
      <c r="X114" s="69">
        <f>IF(OR($A114="",I114=""),"",(TODAY()-I114)/365.25)</f>
        <v/>
      </c>
      <c r="Y114" s="70">
        <f>IF($A114="","",SUMIFS('Ordres de travail'!$AA$5:$AA$3004,'Ordres de travail'!$D$5:$D$3004,$A114))</f>
        <v/>
      </c>
      <c r="Z114" s="68">
        <f>IF($A114="","",SUM(COUNTIFS('Ordres de travail'!$D$5:$D$3004,$A114,'Ordres de travail'!$AC$5:$AC$3004,{"Demandé","Planifié","En cours","En attente pièces"})))</f>
        <v/>
      </c>
      <c r="AA114" s="9">
        <f>IF(OR($A114="",M114=""),"",IF(M114&lt;TODAY(),"Expirée",IF(M114-TODAY()&lt;='Paramètres'!$AA$15,"Expire bientôt","Sous garantie")))</f>
        <v/>
      </c>
      <c r="AB114" s="72">
        <f>IF($A114="",-1,N(R114)+ROW()/1000000)</f>
        <v/>
      </c>
    </row>
    <row r="115">
      <c r="A115" s="7" t="n"/>
      <c r="B115" s="7" t="n"/>
      <c r="C115" s="7" t="n"/>
      <c r="D115" s="7" t="n"/>
      <c r="E115" s="7" t="n"/>
      <c r="F115" s="7" t="n"/>
      <c r="G115" s="7" t="n"/>
      <c r="H115" s="7" t="n"/>
      <c r="I115" s="65" t="n"/>
      <c r="J115" s="66" t="n"/>
      <c r="K115" s="7" t="n"/>
      <c r="L115" s="7" t="n"/>
      <c r="M115" s="65" t="n"/>
      <c r="N115" s="7" t="n"/>
      <c r="O115" s="67" t="n"/>
      <c r="P115" s="68">
        <f>IF($A115="","",COUNTIFS('Ordres de travail'!$D$5:$D$3004,$A115,'Ordres de travail'!$H$5:$H$3004,"Correctif",'Ordres de travail'!$AC$5:$AC$3004,"&lt;&gt;Annulé",'Ordres de travail'!$B$5:$B$3004,"&gt;="&amp;'Paramètres'!$AA$6,'Ordres de travail'!$B$5:$B$3004,"&lt;"&amp;('Paramètres'!$AA$7+1)))</f>
        <v/>
      </c>
      <c r="Q115" s="69">
        <f>IF($A115="","",SUMIFS('Ordres de travail'!$S$5:$S$3004,'Ordres de travail'!$D$5:$D$3004,$A115,'Ordres de travail'!$H$5:$H$3004,"Correctif",'Ordres de travail'!$AC$5:$AC$3004,"&lt;&gt;Annulé",'Ordres de travail'!$B$5:$B$3004,"&gt;="&amp;'Paramètres'!$AA$6,'Ordres de travail'!$B$5:$B$3004,"&lt;"&amp;('Paramètres'!$AA$7+1)))</f>
        <v/>
      </c>
      <c r="R115" s="69">
        <f>IF($A115="","",SUMIFS('Ordres de travail'!$S$5:$S$3004,'Ordres de travail'!$D$5:$D$3004,$A115,'Ordres de travail'!$AC$5:$AC$3004,"&lt;&gt;Annulé",'Ordres de travail'!$B$5:$B$3004,"&gt;="&amp;'Paramètres'!$AA$6,'Ordres de travail'!$B$5:$B$3004,"&lt;"&amp;('Paramètres'!$AA$7+1)))</f>
        <v/>
      </c>
      <c r="S115" s="70">
        <f>IF($A115="","",SUMIFS('Ordres de travail'!$AA$5:$AA$3004,'Ordres de travail'!$D$5:$D$3004,$A115,'Ordres de travail'!$B$5:$B$3004,"&gt;="&amp;'Paramètres'!$AA$6,'Ordres de travail'!$B$5:$B$3004,"&lt;"&amp;('Paramètres'!$AA$7+1)))</f>
        <v/>
      </c>
      <c r="T115" s="68">
        <f>IF($A115="","",IF(P115=0,"-",(O115*'Paramètres'!$AA$8-Q115)/P115))</f>
        <v/>
      </c>
      <c r="U115" s="69">
        <f>IF($A115="","",IF(P115=0,"-",Q115/P115))</f>
        <v/>
      </c>
      <c r="V115" s="71">
        <f>IF($A115="","",IF(N(O115)*'Paramètres'!$AA$8=0,"-",MAX(0,1-R115/(O115*'Paramètres'!$AA$8))))</f>
        <v/>
      </c>
      <c r="W115" s="68">
        <f>IF($A115="","",_xlfn.MAXIFS('Relevés compteurs'!$D$5:$D$1504,'Relevés compteurs'!$B$5:$B$1504,$A115))</f>
        <v/>
      </c>
      <c r="X115" s="69">
        <f>IF(OR($A115="",I115=""),"",(TODAY()-I115)/365.25)</f>
        <v/>
      </c>
      <c r="Y115" s="70">
        <f>IF($A115="","",SUMIFS('Ordres de travail'!$AA$5:$AA$3004,'Ordres de travail'!$D$5:$D$3004,$A115))</f>
        <v/>
      </c>
      <c r="Z115" s="68">
        <f>IF($A115="","",SUM(COUNTIFS('Ordres de travail'!$D$5:$D$3004,$A115,'Ordres de travail'!$AC$5:$AC$3004,{"Demandé","Planifié","En cours","En attente pièces"})))</f>
        <v/>
      </c>
      <c r="AA115" s="9">
        <f>IF(OR($A115="",M115=""),"",IF(M115&lt;TODAY(),"Expirée",IF(M115-TODAY()&lt;='Paramètres'!$AA$15,"Expire bientôt","Sous garantie")))</f>
        <v/>
      </c>
      <c r="AB115" s="72">
        <f>IF($A115="",-1,N(R115)+ROW()/1000000)</f>
        <v/>
      </c>
    </row>
    <row r="116">
      <c r="A116" s="7" t="n"/>
      <c r="B116" s="7" t="n"/>
      <c r="C116" s="7" t="n"/>
      <c r="D116" s="7" t="n"/>
      <c r="E116" s="7" t="n"/>
      <c r="F116" s="7" t="n"/>
      <c r="G116" s="7" t="n"/>
      <c r="H116" s="7" t="n"/>
      <c r="I116" s="65" t="n"/>
      <c r="J116" s="66" t="n"/>
      <c r="K116" s="7" t="n"/>
      <c r="L116" s="7" t="n"/>
      <c r="M116" s="65" t="n"/>
      <c r="N116" s="7" t="n"/>
      <c r="O116" s="67" t="n"/>
      <c r="P116" s="68">
        <f>IF($A116="","",COUNTIFS('Ordres de travail'!$D$5:$D$3004,$A116,'Ordres de travail'!$H$5:$H$3004,"Correctif",'Ordres de travail'!$AC$5:$AC$3004,"&lt;&gt;Annulé",'Ordres de travail'!$B$5:$B$3004,"&gt;="&amp;'Paramètres'!$AA$6,'Ordres de travail'!$B$5:$B$3004,"&lt;"&amp;('Paramètres'!$AA$7+1)))</f>
        <v/>
      </c>
      <c r="Q116" s="69">
        <f>IF($A116="","",SUMIFS('Ordres de travail'!$S$5:$S$3004,'Ordres de travail'!$D$5:$D$3004,$A116,'Ordres de travail'!$H$5:$H$3004,"Correctif",'Ordres de travail'!$AC$5:$AC$3004,"&lt;&gt;Annulé",'Ordres de travail'!$B$5:$B$3004,"&gt;="&amp;'Paramètres'!$AA$6,'Ordres de travail'!$B$5:$B$3004,"&lt;"&amp;('Paramètres'!$AA$7+1)))</f>
        <v/>
      </c>
      <c r="R116" s="69">
        <f>IF($A116="","",SUMIFS('Ordres de travail'!$S$5:$S$3004,'Ordres de travail'!$D$5:$D$3004,$A116,'Ordres de travail'!$AC$5:$AC$3004,"&lt;&gt;Annulé",'Ordres de travail'!$B$5:$B$3004,"&gt;="&amp;'Paramètres'!$AA$6,'Ordres de travail'!$B$5:$B$3004,"&lt;"&amp;('Paramètres'!$AA$7+1)))</f>
        <v/>
      </c>
      <c r="S116" s="70">
        <f>IF($A116="","",SUMIFS('Ordres de travail'!$AA$5:$AA$3004,'Ordres de travail'!$D$5:$D$3004,$A116,'Ordres de travail'!$B$5:$B$3004,"&gt;="&amp;'Paramètres'!$AA$6,'Ordres de travail'!$B$5:$B$3004,"&lt;"&amp;('Paramètres'!$AA$7+1)))</f>
        <v/>
      </c>
      <c r="T116" s="68">
        <f>IF($A116="","",IF(P116=0,"-",(O116*'Paramètres'!$AA$8-Q116)/P116))</f>
        <v/>
      </c>
      <c r="U116" s="69">
        <f>IF($A116="","",IF(P116=0,"-",Q116/P116))</f>
        <v/>
      </c>
      <c r="V116" s="71">
        <f>IF($A116="","",IF(N(O116)*'Paramètres'!$AA$8=0,"-",MAX(0,1-R116/(O116*'Paramètres'!$AA$8))))</f>
        <v/>
      </c>
      <c r="W116" s="68">
        <f>IF($A116="","",_xlfn.MAXIFS('Relevés compteurs'!$D$5:$D$1504,'Relevés compteurs'!$B$5:$B$1504,$A116))</f>
        <v/>
      </c>
      <c r="X116" s="69">
        <f>IF(OR($A116="",I116=""),"",(TODAY()-I116)/365.25)</f>
        <v/>
      </c>
      <c r="Y116" s="70">
        <f>IF($A116="","",SUMIFS('Ordres de travail'!$AA$5:$AA$3004,'Ordres de travail'!$D$5:$D$3004,$A116))</f>
        <v/>
      </c>
      <c r="Z116" s="68">
        <f>IF($A116="","",SUM(COUNTIFS('Ordres de travail'!$D$5:$D$3004,$A116,'Ordres de travail'!$AC$5:$AC$3004,{"Demandé","Planifié","En cours","En attente pièces"})))</f>
        <v/>
      </c>
      <c r="AA116" s="9">
        <f>IF(OR($A116="",M116=""),"",IF(M116&lt;TODAY(),"Expirée",IF(M116-TODAY()&lt;='Paramètres'!$AA$15,"Expire bientôt","Sous garantie")))</f>
        <v/>
      </c>
      <c r="AB116" s="72">
        <f>IF($A116="",-1,N(R116)+ROW()/1000000)</f>
        <v/>
      </c>
    </row>
    <row r="117">
      <c r="A117" s="7" t="n"/>
      <c r="B117" s="7" t="n"/>
      <c r="C117" s="7" t="n"/>
      <c r="D117" s="7" t="n"/>
      <c r="E117" s="7" t="n"/>
      <c r="F117" s="7" t="n"/>
      <c r="G117" s="7" t="n"/>
      <c r="H117" s="7" t="n"/>
      <c r="I117" s="65" t="n"/>
      <c r="J117" s="66" t="n"/>
      <c r="K117" s="7" t="n"/>
      <c r="L117" s="7" t="n"/>
      <c r="M117" s="65" t="n"/>
      <c r="N117" s="7" t="n"/>
      <c r="O117" s="67" t="n"/>
      <c r="P117" s="68">
        <f>IF($A117="","",COUNTIFS('Ordres de travail'!$D$5:$D$3004,$A117,'Ordres de travail'!$H$5:$H$3004,"Correctif",'Ordres de travail'!$AC$5:$AC$3004,"&lt;&gt;Annulé",'Ordres de travail'!$B$5:$B$3004,"&gt;="&amp;'Paramètres'!$AA$6,'Ordres de travail'!$B$5:$B$3004,"&lt;"&amp;('Paramètres'!$AA$7+1)))</f>
        <v/>
      </c>
      <c r="Q117" s="69">
        <f>IF($A117="","",SUMIFS('Ordres de travail'!$S$5:$S$3004,'Ordres de travail'!$D$5:$D$3004,$A117,'Ordres de travail'!$H$5:$H$3004,"Correctif",'Ordres de travail'!$AC$5:$AC$3004,"&lt;&gt;Annulé",'Ordres de travail'!$B$5:$B$3004,"&gt;="&amp;'Paramètres'!$AA$6,'Ordres de travail'!$B$5:$B$3004,"&lt;"&amp;('Paramètres'!$AA$7+1)))</f>
        <v/>
      </c>
      <c r="R117" s="69">
        <f>IF($A117="","",SUMIFS('Ordres de travail'!$S$5:$S$3004,'Ordres de travail'!$D$5:$D$3004,$A117,'Ordres de travail'!$AC$5:$AC$3004,"&lt;&gt;Annulé",'Ordres de travail'!$B$5:$B$3004,"&gt;="&amp;'Paramètres'!$AA$6,'Ordres de travail'!$B$5:$B$3004,"&lt;"&amp;('Paramètres'!$AA$7+1)))</f>
        <v/>
      </c>
      <c r="S117" s="70">
        <f>IF($A117="","",SUMIFS('Ordres de travail'!$AA$5:$AA$3004,'Ordres de travail'!$D$5:$D$3004,$A117,'Ordres de travail'!$B$5:$B$3004,"&gt;="&amp;'Paramètres'!$AA$6,'Ordres de travail'!$B$5:$B$3004,"&lt;"&amp;('Paramètres'!$AA$7+1)))</f>
        <v/>
      </c>
      <c r="T117" s="68">
        <f>IF($A117="","",IF(P117=0,"-",(O117*'Paramètres'!$AA$8-Q117)/P117))</f>
        <v/>
      </c>
      <c r="U117" s="69">
        <f>IF($A117="","",IF(P117=0,"-",Q117/P117))</f>
        <v/>
      </c>
      <c r="V117" s="71">
        <f>IF($A117="","",IF(N(O117)*'Paramètres'!$AA$8=0,"-",MAX(0,1-R117/(O117*'Paramètres'!$AA$8))))</f>
        <v/>
      </c>
      <c r="W117" s="68">
        <f>IF($A117="","",_xlfn.MAXIFS('Relevés compteurs'!$D$5:$D$1504,'Relevés compteurs'!$B$5:$B$1504,$A117))</f>
        <v/>
      </c>
      <c r="X117" s="69">
        <f>IF(OR($A117="",I117=""),"",(TODAY()-I117)/365.25)</f>
        <v/>
      </c>
      <c r="Y117" s="70">
        <f>IF($A117="","",SUMIFS('Ordres de travail'!$AA$5:$AA$3004,'Ordres de travail'!$D$5:$D$3004,$A117))</f>
        <v/>
      </c>
      <c r="Z117" s="68">
        <f>IF($A117="","",SUM(COUNTIFS('Ordres de travail'!$D$5:$D$3004,$A117,'Ordres de travail'!$AC$5:$AC$3004,{"Demandé","Planifié","En cours","En attente pièces"})))</f>
        <v/>
      </c>
      <c r="AA117" s="9">
        <f>IF(OR($A117="",M117=""),"",IF(M117&lt;TODAY(),"Expirée",IF(M117-TODAY()&lt;='Paramètres'!$AA$15,"Expire bientôt","Sous garantie")))</f>
        <v/>
      </c>
      <c r="AB117" s="72">
        <f>IF($A117="",-1,N(R117)+ROW()/1000000)</f>
        <v/>
      </c>
    </row>
    <row r="118">
      <c r="A118" s="7" t="n"/>
      <c r="B118" s="7" t="n"/>
      <c r="C118" s="7" t="n"/>
      <c r="D118" s="7" t="n"/>
      <c r="E118" s="7" t="n"/>
      <c r="F118" s="7" t="n"/>
      <c r="G118" s="7" t="n"/>
      <c r="H118" s="7" t="n"/>
      <c r="I118" s="65" t="n"/>
      <c r="J118" s="66" t="n"/>
      <c r="K118" s="7" t="n"/>
      <c r="L118" s="7" t="n"/>
      <c r="M118" s="65" t="n"/>
      <c r="N118" s="7" t="n"/>
      <c r="O118" s="67" t="n"/>
      <c r="P118" s="68">
        <f>IF($A118="","",COUNTIFS('Ordres de travail'!$D$5:$D$3004,$A118,'Ordres de travail'!$H$5:$H$3004,"Correctif",'Ordres de travail'!$AC$5:$AC$3004,"&lt;&gt;Annulé",'Ordres de travail'!$B$5:$B$3004,"&gt;="&amp;'Paramètres'!$AA$6,'Ordres de travail'!$B$5:$B$3004,"&lt;"&amp;('Paramètres'!$AA$7+1)))</f>
        <v/>
      </c>
      <c r="Q118" s="69">
        <f>IF($A118="","",SUMIFS('Ordres de travail'!$S$5:$S$3004,'Ordres de travail'!$D$5:$D$3004,$A118,'Ordres de travail'!$H$5:$H$3004,"Correctif",'Ordres de travail'!$AC$5:$AC$3004,"&lt;&gt;Annulé",'Ordres de travail'!$B$5:$B$3004,"&gt;="&amp;'Paramètres'!$AA$6,'Ordres de travail'!$B$5:$B$3004,"&lt;"&amp;('Paramètres'!$AA$7+1)))</f>
        <v/>
      </c>
      <c r="R118" s="69">
        <f>IF($A118="","",SUMIFS('Ordres de travail'!$S$5:$S$3004,'Ordres de travail'!$D$5:$D$3004,$A118,'Ordres de travail'!$AC$5:$AC$3004,"&lt;&gt;Annulé",'Ordres de travail'!$B$5:$B$3004,"&gt;="&amp;'Paramètres'!$AA$6,'Ordres de travail'!$B$5:$B$3004,"&lt;"&amp;('Paramètres'!$AA$7+1)))</f>
        <v/>
      </c>
      <c r="S118" s="70">
        <f>IF($A118="","",SUMIFS('Ordres de travail'!$AA$5:$AA$3004,'Ordres de travail'!$D$5:$D$3004,$A118,'Ordres de travail'!$B$5:$B$3004,"&gt;="&amp;'Paramètres'!$AA$6,'Ordres de travail'!$B$5:$B$3004,"&lt;"&amp;('Paramètres'!$AA$7+1)))</f>
        <v/>
      </c>
      <c r="T118" s="68">
        <f>IF($A118="","",IF(P118=0,"-",(O118*'Paramètres'!$AA$8-Q118)/P118))</f>
        <v/>
      </c>
      <c r="U118" s="69">
        <f>IF($A118="","",IF(P118=0,"-",Q118/P118))</f>
        <v/>
      </c>
      <c r="V118" s="71">
        <f>IF($A118="","",IF(N(O118)*'Paramètres'!$AA$8=0,"-",MAX(0,1-R118/(O118*'Paramètres'!$AA$8))))</f>
        <v/>
      </c>
      <c r="W118" s="68">
        <f>IF($A118="","",_xlfn.MAXIFS('Relevés compteurs'!$D$5:$D$1504,'Relevés compteurs'!$B$5:$B$1504,$A118))</f>
        <v/>
      </c>
      <c r="X118" s="69">
        <f>IF(OR($A118="",I118=""),"",(TODAY()-I118)/365.25)</f>
        <v/>
      </c>
      <c r="Y118" s="70">
        <f>IF($A118="","",SUMIFS('Ordres de travail'!$AA$5:$AA$3004,'Ordres de travail'!$D$5:$D$3004,$A118))</f>
        <v/>
      </c>
      <c r="Z118" s="68">
        <f>IF($A118="","",SUM(COUNTIFS('Ordres de travail'!$D$5:$D$3004,$A118,'Ordres de travail'!$AC$5:$AC$3004,{"Demandé","Planifié","En cours","En attente pièces"})))</f>
        <v/>
      </c>
      <c r="AA118" s="9">
        <f>IF(OR($A118="",M118=""),"",IF(M118&lt;TODAY(),"Expirée",IF(M118-TODAY()&lt;='Paramètres'!$AA$15,"Expire bientôt","Sous garantie")))</f>
        <v/>
      </c>
      <c r="AB118" s="72">
        <f>IF($A118="",-1,N(R118)+ROW()/1000000)</f>
        <v/>
      </c>
    </row>
    <row r="119">
      <c r="A119" s="7" t="n"/>
      <c r="B119" s="7" t="n"/>
      <c r="C119" s="7" t="n"/>
      <c r="D119" s="7" t="n"/>
      <c r="E119" s="7" t="n"/>
      <c r="F119" s="7" t="n"/>
      <c r="G119" s="7" t="n"/>
      <c r="H119" s="7" t="n"/>
      <c r="I119" s="65" t="n"/>
      <c r="J119" s="66" t="n"/>
      <c r="K119" s="7" t="n"/>
      <c r="L119" s="7" t="n"/>
      <c r="M119" s="65" t="n"/>
      <c r="N119" s="7" t="n"/>
      <c r="O119" s="67" t="n"/>
      <c r="P119" s="68">
        <f>IF($A119="","",COUNTIFS('Ordres de travail'!$D$5:$D$3004,$A119,'Ordres de travail'!$H$5:$H$3004,"Correctif",'Ordres de travail'!$AC$5:$AC$3004,"&lt;&gt;Annulé",'Ordres de travail'!$B$5:$B$3004,"&gt;="&amp;'Paramètres'!$AA$6,'Ordres de travail'!$B$5:$B$3004,"&lt;"&amp;('Paramètres'!$AA$7+1)))</f>
        <v/>
      </c>
      <c r="Q119" s="69">
        <f>IF($A119="","",SUMIFS('Ordres de travail'!$S$5:$S$3004,'Ordres de travail'!$D$5:$D$3004,$A119,'Ordres de travail'!$H$5:$H$3004,"Correctif",'Ordres de travail'!$AC$5:$AC$3004,"&lt;&gt;Annulé",'Ordres de travail'!$B$5:$B$3004,"&gt;="&amp;'Paramètres'!$AA$6,'Ordres de travail'!$B$5:$B$3004,"&lt;"&amp;('Paramètres'!$AA$7+1)))</f>
        <v/>
      </c>
      <c r="R119" s="69">
        <f>IF($A119="","",SUMIFS('Ordres de travail'!$S$5:$S$3004,'Ordres de travail'!$D$5:$D$3004,$A119,'Ordres de travail'!$AC$5:$AC$3004,"&lt;&gt;Annulé",'Ordres de travail'!$B$5:$B$3004,"&gt;="&amp;'Paramètres'!$AA$6,'Ordres de travail'!$B$5:$B$3004,"&lt;"&amp;('Paramètres'!$AA$7+1)))</f>
        <v/>
      </c>
      <c r="S119" s="70">
        <f>IF($A119="","",SUMIFS('Ordres de travail'!$AA$5:$AA$3004,'Ordres de travail'!$D$5:$D$3004,$A119,'Ordres de travail'!$B$5:$B$3004,"&gt;="&amp;'Paramètres'!$AA$6,'Ordres de travail'!$B$5:$B$3004,"&lt;"&amp;('Paramètres'!$AA$7+1)))</f>
        <v/>
      </c>
      <c r="T119" s="68">
        <f>IF($A119="","",IF(P119=0,"-",(O119*'Paramètres'!$AA$8-Q119)/P119))</f>
        <v/>
      </c>
      <c r="U119" s="69">
        <f>IF($A119="","",IF(P119=0,"-",Q119/P119))</f>
        <v/>
      </c>
      <c r="V119" s="71">
        <f>IF($A119="","",IF(N(O119)*'Paramètres'!$AA$8=0,"-",MAX(0,1-R119/(O119*'Paramètres'!$AA$8))))</f>
        <v/>
      </c>
      <c r="W119" s="68">
        <f>IF($A119="","",_xlfn.MAXIFS('Relevés compteurs'!$D$5:$D$1504,'Relevés compteurs'!$B$5:$B$1504,$A119))</f>
        <v/>
      </c>
      <c r="X119" s="69">
        <f>IF(OR($A119="",I119=""),"",(TODAY()-I119)/365.25)</f>
        <v/>
      </c>
      <c r="Y119" s="70">
        <f>IF($A119="","",SUMIFS('Ordres de travail'!$AA$5:$AA$3004,'Ordres de travail'!$D$5:$D$3004,$A119))</f>
        <v/>
      </c>
      <c r="Z119" s="68">
        <f>IF($A119="","",SUM(COUNTIFS('Ordres de travail'!$D$5:$D$3004,$A119,'Ordres de travail'!$AC$5:$AC$3004,{"Demandé","Planifié","En cours","En attente pièces"})))</f>
        <v/>
      </c>
      <c r="AA119" s="9">
        <f>IF(OR($A119="",M119=""),"",IF(M119&lt;TODAY(),"Expirée",IF(M119-TODAY()&lt;='Paramètres'!$AA$15,"Expire bientôt","Sous garantie")))</f>
        <v/>
      </c>
      <c r="AB119" s="72">
        <f>IF($A119="",-1,N(R119)+ROW()/1000000)</f>
        <v/>
      </c>
    </row>
    <row r="120">
      <c r="A120" s="7" t="n"/>
      <c r="B120" s="7" t="n"/>
      <c r="C120" s="7" t="n"/>
      <c r="D120" s="7" t="n"/>
      <c r="E120" s="7" t="n"/>
      <c r="F120" s="7" t="n"/>
      <c r="G120" s="7" t="n"/>
      <c r="H120" s="7" t="n"/>
      <c r="I120" s="65" t="n"/>
      <c r="J120" s="66" t="n"/>
      <c r="K120" s="7" t="n"/>
      <c r="L120" s="7" t="n"/>
      <c r="M120" s="65" t="n"/>
      <c r="N120" s="7" t="n"/>
      <c r="O120" s="67" t="n"/>
      <c r="P120" s="68">
        <f>IF($A120="","",COUNTIFS('Ordres de travail'!$D$5:$D$3004,$A120,'Ordres de travail'!$H$5:$H$3004,"Correctif",'Ordres de travail'!$AC$5:$AC$3004,"&lt;&gt;Annulé",'Ordres de travail'!$B$5:$B$3004,"&gt;="&amp;'Paramètres'!$AA$6,'Ordres de travail'!$B$5:$B$3004,"&lt;"&amp;('Paramètres'!$AA$7+1)))</f>
        <v/>
      </c>
      <c r="Q120" s="69">
        <f>IF($A120="","",SUMIFS('Ordres de travail'!$S$5:$S$3004,'Ordres de travail'!$D$5:$D$3004,$A120,'Ordres de travail'!$H$5:$H$3004,"Correctif",'Ordres de travail'!$AC$5:$AC$3004,"&lt;&gt;Annulé",'Ordres de travail'!$B$5:$B$3004,"&gt;="&amp;'Paramètres'!$AA$6,'Ordres de travail'!$B$5:$B$3004,"&lt;"&amp;('Paramètres'!$AA$7+1)))</f>
        <v/>
      </c>
      <c r="R120" s="69">
        <f>IF($A120="","",SUMIFS('Ordres de travail'!$S$5:$S$3004,'Ordres de travail'!$D$5:$D$3004,$A120,'Ordres de travail'!$AC$5:$AC$3004,"&lt;&gt;Annulé",'Ordres de travail'!$B$5:$B$3004,"&gt;="&amp;'Paramètres'!$AA$6,'Ordres de travail'!$B$5:$B$3004,"&lt;"&amp;('Paramètres'!$AA$7+1)))</f>
        <v/>
      </c>
      <c r="S120" s="70">
        <f>IF($A120="","",SUMIFS('Ordres de travail'!$AA$5:$AA$3004,'Ordres de travail'!$D$5:$D$3004,$A120,'Ordres de travail'!$B$5:$B$3004,"&gt;="&amp;'Paramètres'!$AA$6,'Ordres de travail'!$B$5:$B$3004,"&lt;"&amp;('Paramètres'!$AA$7+1)))</f>
        <v/>
      </c>
      <c r="T120" s="68">
        <f>IF($A120="","",IF(P120=0,"-",(O120*'Paramètres'!$AA$8-Q120)/P120))</f>
        <v/>
      </c>
      <c r="U120" s="69">
        <f>IF($A120="","",IF(P120=0,"-",Q120/P120))</f>
        <v/>
      </c>
      <c r="V120" s="71">
        <f>IF($A120="","",IF(N(O120)*'Paramètres'!$AA$8=0,"-",MAX(0,1-R120/(O120*'Paramètres'!$AA$8))))</f>
        <v/>
      </c>
      <c r="W120" s="68">
        <f>IF($A120="","",_xlfn.MAXIFS('Relevés compteurs'!$D$5:$D$1504,'Relevés compteurs'!$B$5:$B$1504,$A120))</f>
        <v/>
      </c>
      <c r="X120" s="69">
        <f>IF(OR($A120="",I120=""),"",(TODAY()-I120)/365.25)</f>
        <v/>
      </c>
      <c r="Y120" s="70">
        <f>IF($A120="","",SUMIFS('Ordres de travail'!$AA$5:$AA$3004,'Ordres de travail'!$D$5:$D$3004,$A120))</f>
        <v/>
      </c>
      <c r="Z120" s="68">
        <f>IF($A120="","",SUM(COUNTIFS('Ordres de travail'!$D$5:$D$3004,$A120,'Ordres de travail'!$AC$5:$AC$3004,{"Demandé","Planifié","En cours","En attente pièces"})))</f>
        <v/>
      </c>
      <c r="AA120" s="9">
        <f>IF(OR($A120="",M120=""),"",IF(M120&lt;TODAY(),"Expirée",IF(M120-TODAY()&lt;='Paramètres'!$AA$15,"Expire bientôt","Sous garantie")))</f>
        <v/>
      </c>
      <c r="AB120" s="72">
        <f>IF($A120="",-1,N(R120)+ROW()/1000000)</f>
        <v/>
      </c>
    </row>
    <row r="121">
      <c r="A121" s="7" t="n"/>
      <c r="B121" s="7" t="n"/>
      <c r="C121" s="7" t="n"/>
      <c r="D121" s="7" t="n"/>
      <c r="E121" s="7" t="n"/>
      <c r="F121" s="7" t="n"/>
      <c r="G121" s="7" t="n"/>
      <c r="H121" s="7" t="n"/>
      <c r="I121" s="65" t="n"/>
      <c r="J121" s="66" t="n"/>
      <c r="K121" s="7" t="n"/>
      <c r="L121" s="7" t="n"/>
      <c r="M121" s="65" t="n"/>
      <c r="N121" s="7" t="n"/>
      <c r="O121" s="67" t="n"/>
      <c r="P121" s="68">
        <f>IF($A121="","",COUNTIFS('Ordres de travail'!$D$5:$D$3004,$A121,'Ordres de travail'!$H$5:$H$3004,"Correctif",'Ordres de travail'!$AC$5:$AC$3004,"&lt;&gt;Annulé",'Ordres de travail'!$B$5:$B$3004,"&gt;="&amp;'Paramètres'!$AA$6,'Ordres de travail'!$B$5:$B$3004,"&lt;"&amp;('Paramètres'!$AA$7+1)))</f>
        <v/>
      </c>
      <c r="Q121" s="69">
        <f>IF($A121="","",SUMIFS('Ordres de travail'!$S$5:$S$3004,'Ordres de travail'!$D$5:$D$3004,$A121,'Ordres de travail'!$H$5:$H$3004,"Correctif",'Ordres de travail'!$AC$5:$AC$3004,"&lt;&gt;Annulé",'Ordres de travail'!$B$5:$B$3004,"&gt;="&amp;'Paramètres'!$AA$6,'Ordres de travail'!$B$5:$B$3004,"&lt;"&amp;('Paramètres'!$AA$7+1)))</f>
        <v/>
      </c>
      <c r="R121" s="69">
        <f>IF($A121="","",SUMIFS('Ordres de travail'!$S$5:$S$3004,'Ordres de travail'!$D$5:$D$3004,$A121,'Ordres de travail'!$AC$5:$AC$3004,"&lt;&gt;Annulé",'Ordres de travail'!$B$5:$B$3004,"&gt;="&amp;'Paramètres'!$AA$6,'Ordres de travail'!$B$5:$B$3004,"&lt;"&amp;('Paramètres'!$AA$7+1)))</f>
        <v/>
      </c>
      <c r="S121" s="70">
        <f>IF($A121="","",SUMIFS('Ordres de travail'!$AA$5:$AA$3004,'Ordres de travail'!$D$5:$D$3004,$A121,'Ordres de travail'!$B$5:$B$3004,"&gt;="&amp;'Paramètres'!$AA$6,'Ordres de travail'!$B$5:$B$3004,"&lt;"&amp;('Paramètres'!$AA$7+1)))</f>
        <v/>
      </c>
      <c r="T121" s="68">
        <f>IF($A121="","",IF(P121=0,"-",(O121*'Paramètres'!$AA$8-Q121)/P121))</f>
        <v/>
      </c>
      <c r="U121" s="69">
        <f>IF($A121="","",IF(P121=0,"-",Q121/P121))</f>
        <v/>
      </c>
      <c r="V121" s="71">
        <f>IF($A121="","",IF(N(O121)*'Paramètres'!$AA$8=0,"-",MAX(0,1-R121/(O121*'Paramètres'!$AA$8))))</f>
        <v/>
      </c>
      <c r="W121" s="68">
        <f>IF($A121="","",_xlfn.MAXIFS('Relevés compteurs'!$D$5:$D$1504,'Relevés compteurs'!$B$5:$B$1504,$A121))</f>
        <v/>
      </c>
      <c r="X121" s="69">
        <f>IF(OR($A121="",I121=""),"",(TODAY()-I121)/365.25)</f>
        <v/>
      </c>
      <c r="Y121" s="70">
        <f>IF($A121="","",SUMIFS('Ordres de travail'!$AA$5:$AA$3004,'Ordres de travail'!$D$5:$D$3004,$A121))</f>
        <v/>
      </c>
      <c r="Z121" s="68">
        <f>IF($A121="","",SUM(COUNTIFS('Ordres de travail'!$D$5:$D$3004,$A121,'Ordres de travail'!$AC$5:$AC$3004,{"Demandé","Planifié","En cours","En attente pièces"})))</f>
        <v/>
      </c>
      <c r="AA121" s="9">
        <f>IF(OR($A121="",M121=""),"",IF(M121&lt;TODAY(),"Expirée",IF(M121-TODAY()&lt;='Paramètres'!$AA$15,"Expire bientôt","Sous garantie")))</f>
        <v/>
      </c>
      <c r="AB121" s="72">
        <f>IF($A121="",-1,N(R121)+ROW()/1000000)</f>
        <v/>
      </c>
    </row>
    <row r="122">
      <c r="A122" s="7" t="n"/>
      <c r="B122" s="7" t="n"/>
      <c r="C122" s="7" t="n"/>
      <c r="D122" s="7" t="n"/>
      <c r="E122" s="7" t="n"/>
      <c r="F122" s="7" t="n"/>
      <c r="G122" s="7" t="n"/>
      <c r="H122" s="7" t="n"/>
      <c r="I122" s="65" t="n"/>
      <c r="J122" s="66" t="n"/>
      <c r="K122" s="7" t="n"/>
      <c r="L122" s="7" t="n"/>
      <c r="M122" s="65" t="n"/>
      <c r="N122" s="7" t="n"/>
      <c r="O122" s="67" t="n"/>
      <c r="P122" s="68">
        <f>IF($A122="","",COUNTIFS('Ordres de travail'!$D$5:$D$3004,$A122,'Ordres de travail'!$H$5:$H$3004,"Correctif",'Ordres de travail'!$AC$5:$AC$3004,"&lt;&gt;Annulé",'Ordres de travail'!$B$5:$B$3004,"&gt;="&amp;'Paramètres'!$AA$6,'Ordres de travail'!$B$5:$B$3004,"&lt;"&amp;('Paramètres'!$AA$7+1)))</f>
        <v/>
      </c>
      <c r="Q122" s="69">
        <f>IF($A122="","",SUMIFS('Ordres de travail'!$S$5:$S$3004,'Ordres de travail'!$D$5:$D$3004,$A122,'Ordres de travail'!$H$5:$H$3004,"Correctif",'Ordres de travail'!$AC$5:$AC$3004,"&lt;&gt;Annulé",'Ordres de travail'!$B$5:$B$3004,"&gt;="&amp;'Paramètres'!$AA$6,'Ordres de travail'!$B$5:$B$3004,"&lt;"&amp;('Paramètres'!$AA$7+1)))</f>
        <v/>
      </c>
      <c r="R122" s="69">
        <f>IF($A122="","",SUMIFS('Ordres de travail'!$S$5:$S$3004,'Ordres de travail'!$D$5:$D$3004,$A122,'Ordres de travail'!$AC$5:$AC$3004,"&lt;&gt;Annulé",'Ordres de travail'!$B$5:$B$3004,"&gt;="&amp;'Paramètres'!$AA$6,'Ordres de travail'!$B$5:$B$3004,"&lt;"&amp;('Paramètres'!$AA$7+1)))</f>
        <v/>
      </c>
      <c r="S122" s="70">
        <f>IF($A122="","",SUMIFS('Ordres de travail'!$AA$5:$AA$3004,'Ordres de travail'!$D$5:$D$3004,$A122,'Ordres de travail'!$B$5:$B$3004,"&gt;="&amp;'Paramètres'!$AA$6,'Ordres de travail'!$B$5:$B$3004,"&lt;"&amp;('Paramètres'!$AA$7+1)))</f>
        <v/>
      </c>
      <c r="T122" s="68">
        <f>IF($A122="","",IF(P122=0,"-",(O122*'Paramètres'!$AA$8-Q122)/P122))</f>
        <v/>
      </c>
      <c r="U122" s="69">
        <f>IF($A122="","",IF(P122=0,"-",Q122/P122))</f>
        <v/>
      </c>
      <c r="V122" s="71">
        <f>IF($A122="","",IF(N(O122)*'Paramètres'!$AA$8=0,"-",MAX(0,1-R122/(O122*'Paramètres'!$AA$8))))</f>
        <v/>
      </c>
      <c r="W122" s="68">
        <f>IF($A122="","",_xlfn.MAXIFS('Relevés compteurs'!$D$5:$D$1504,'Relevés compteurs'!$B$5:$B$1504,$A122))</f>
        <v/>
      </c>
      <c r="X122" s="69">
        <f>IF(OR($A122="",I122=""),"",(TODAY()-I122)/365.25)</f>
        <v/>
      </c>
      <c r="Y122" s="70">
        <f>IF($A122="","",SUMIFS('Ordres de travail'!$AA$5:$AA$3004,'Ordres de travail'!$D$5:$D$3004,$A122))</f>
        <v/>
      </c>
      <c r="Z122" s="68">
        <f>IF($A122="","",SUM(COUNTIFS('Ordres de travail'!$D$5:$D$3004,$A122,'Ordres de travail'!$AC$5:$AC$3004,{"Demandé","Planifié","En cours","En attente pièces"})))</f>
        <v/>
      </c>
      <c r="AA122" s="9">
        <f>IF(OR($A122="",M122=""),"",IF(M122&lt;TODAY(),"Expirée",IF(M122-TODAY()&lt;='Paramètres'!$AA$15,"Expire bientôt","Sous garantie")))</f>
        <v/>
      </c>
      <c r="AB122" s="72">
        <f>IF($A122="",-1,N(R122)+ROW()/1000000)</f>
        <v/>
      </c>
    </row>
    <row r="123">
      <c r="A123" s="7" t="n"/>
      <c r="B123" s="7" t="n"/>
      <c r="C123" s="7" t="n"/>
      <c r="D123" s="7" t="n"/>
      <c r="E123" s="7" t="n"/>
      <c r="F123" s="7" t="n"/>
      <c r="G123" s="7" t="n"/>
      <c r="H123" s="7" t="n"/>
      <c r="I123" s="65" t="n"/>
      <c r="J123" s="66" t="n"/>
      <c r="K123" s="7" t="n"/>
      <c r="L123" s="7" t="n"/>
      <c r="M123" s="65" t="n"/>
      <c r="N123" s="7" t="n"/>
      <c r="O123" s="67" t="n"/>
      <c r="P123" s="68">
        <f>IF($A123="","",COUNTIFS('Ordres de travail'!$D$5:$D$3004,$A123,'Ordres de travail'!$H$5:$H$3004,"Correctif",'Ordres de travail'!$AC$5:$AC$3004,"&lt;&gt;Annulé",'Ordres de travail'!$B$5:$B$3004,"&gt;="&amp;'Paramètres'!$AA$6,'Ordres de travail'!$B$5:$B$3004,"&lt;"&amp;('Paramètres'!$AA$7+1)))</f>
        <v/>
      </c>
      <c r="Q123" s="69">
        <f>IF($A123="","",SUMIFS('Ordres de travail'!$S$5:$S$3004,'Ordres de travail'!$D$5:$D$3004,$A123,'Ordres de travail'!$H$5:$H$3004,"Correctif",'Ordres de travail'!$AC$5:$AC$3004,"&lt;&gt;Annulé",'Ordres de travail'!$B$5:$B$3004,"&gt;="&amp;'Paramètres'!$AA$6,'Ordres de travail'!$B$5:$B$3004,"&lt;"&amp;('Paramètres'!$AA$7+1)))</f>
        <v/>
      </c>
      <c r="R123" s="69">
        <f>IF($A123="","",SUMIFS('Ordres de travail'!$S$5:$S$3004,'Ordres de travail'!$D$5:$D$3004,$A123,'Ordres de travail'!$AC$5:$AC$3004,"&lt;&gt;Annulé",'Ordres de travail'!$B$5:$B$3004,"&gt;="&amp;'Paramètres'!$AA$6,'Ordres de travail'!$B$5:$B$3004,"&lt;"&amp;('Paramètres'!$AA$7+1)))</f>
        <v/>
      </c>
      <c r="S123" s="70">
        <f>IF($A123="","",SUMIFS('Ordres de travail'!$AA$5:$AA$3004,'Ordres de travail'!$D$5:$D$3004,$A123,'Ordres de travail'!$B$5:$B$3004,"&gt;="&amp;'Paramètres'!$AA$6,'Ordres de travail'!$B$5:$B$3004,"&lt;"&amp;('Paramètres'!$AA$7+1)))</f>
        <v/>
      </c>
      <c r="T123" s="68">
        <f>IF($A123="","",IF(P123=0,"-",(O123*'Paramètres'!$AA$8-Q123)/P123))</f>
        <v/>
      </c>
      <c r="U123" s="69">
        <f>IF($A123="","",IF(P123=0,"-",Q123/P123))</f>
        <v/>
      </c>
      <c r="V123" s="71">
        <f>IF($A123="","",IF(N(O123)*'Paramètres'!$AA$8=0,"-",MAX(0,1-R123/(O123*'Paramètres'!$AA$8))))</f>
        <v/>
      </c>
      <c r="W123" s="68">
        <f>IF($A123="","",_xlfn.MAXIFS('Relevés compteurs'!$D$5:$D$1504,'Relevés compteurs'!$B$5:$B$1504,$A123))</f>
        <v/>
      </c>
      <c r="X123" s="69">
        <f>IF(OR($A123="",I123=""),"",(TODAY()-I123)/365.25)</f>
        <v/>
      </c>
      <c r="Y123" s="70">
        <f>IF($A123="","",SUMIFS('Ordres de travail'!$AA$5:$AA$3004,'Ordres de travail'!$D$5:$D$3004,$A123))</f>
        <v/>
      </c>
      <c r="Z123" s="68">
        <f>IF($A123="","",SUM(COUNTIFS('Ordres de travail'!$D$5:$D$3004,$A123,'Ordres de travail'!$AC$5:$AC$3004,{"Demandé","Planifié","En cours","En attente pièces"})))</f>
        <v/>
      </c>
      <c r="AA123" s="9">
        <f>IF(OR($A123="",M123=""),"",IF(M123&lt;TODAY(),"Expirée",IF(M123-TODAY()&lt;='Paramètres'!$AA$15,"Expire bientôt","Sous garantie")))</f>
        <v/>
      </c>
      <c r="AB123" s="72">
        <f>IF($A123="",-1,N(R123)+ROW()/1000000)</f>
        <v/>
      </c>
    </row>
    <row r="124">
      <c r="A124" s="7" t="n"/>
      <c r="B124" s="7" t="n"/>
      <c r="C124" s="7" t="n"/>
      <c r="D124" s="7" t="n"/>
      <c r="E124" s="7" t="n"/>
      <c r="F124" s="7" t="n"/>
      <c r="G124" s="7" t="n"/>
      <c r="H124" s="7" t="n"/>
      <c r="I124" s="65" t="n"/>
      <c r="J124" s="66" t="n"/>
      <c r="K124" s="7" t="n"/>
      <c r="L124" s="7" t="n"/>
      <c r="M124" s="65" t="n"/>
      <c r="N124" s="7" t="n"/>
      <c r="O124" s="67" t="n"/>
      <c r="P124" s="68">
        <f>IF($A124="","",COUNTIFS('Ordres de travail'!$D$5:$D$3004,$A124,'Ordres de travail'!$H$5:$H$3004,"Correctif",'Ordres de travail'!$AC$5:$AC$3004,"&lt;&gt;Annulé",'Ordres de travail'!$B$5:$B$3004,"&gt;="&amp;'Paramètres'!$AA$6,'Ordres de travail'!$B$5:$B$3004,"&lt;"&amp;('Paramètres'!$AA$7+1)))</f>
        <v/>
      </c>
      <c r="Q124" s="69">
        <f>IF($A124="","",SUMIFS('Ordres de travail'!$S$5:$S$3004,'Ordres de travail'!$D$5:$D$3004,$A124,'Ordres de travail'!$H$5:$H$3004,"Correctif",'Ordres de travail'!$AC$5:$AC$3004,"&lt;&gt;Annulé",'Ordres de travail'!$B$5:$B$3004,"&gt;="&amp;'Paramètres'!$AA$6,'Ordres de travail'!$B$5:$B$3004,"&lt;"&amp;('Paramètres'!$AA$7+1)))</f>
        <v/>
      </c>
      <c r="R124" s="69">
        <f>IF($A124="","",SUMIFS('Ordres de travail'!$S$5:$S$3004,'Ordres de travail'!$D$5:$D$3004,$A124,'Ordres de travail'!$AC$5:$AC$3004,"&lt;&gt;Annulé",'Ordres de travail'!$B$5:$B$3004,"&gt;="&amp;'Paramètres'!$AA$6,'Ordres de travail'!$B$5:$B$3004,"&lt;"&amp;('Paramètres'!$AA$7+1)))</f>
        <v/>
      </c>
      <c r="S124" s="70">
        <f>IF($A124="","",SUMIFS('Ordres de travail'!$AA$5:$AA$3004,'Ordres de travail'!$D$5:$D$3004,$A124,'Ordres de travail'!$B$5:$B$3004,"&gt;="&amp;'Paramètres'!$AA$6,'Ordres de travail'!$B$5:$B$3004,"&lt;"&amp;('Paramètres'!$AA$7+1)))</f>
        <v/>
      </c>
      <c r="T124" s="68">
        <f>IF($A124="","",IF(P124=0,"-",(O124*'Paramètres'!$AA$8-Q124)/P124))</f>
        <v/>
      </c>
      <c r="U124" s="69">
        <f>IF($A124="","",IF(P124=0,"-",Q124/P124))</f>
        <v/>
      </c>
      <c r="V124" s="71">
        <f>IF($A124="","",IF(N(O124)*'Paramètres'!$AA$8=0,"-",MAX(0,1-R124/(O124*'Paramètres'!$AA$8))))</f>
        <v/>
      </c>
      <c r="W124" s="68">
        <f>IF($A124="","",_xlfn.MAXIFS('Relevés compteurs'!$D$5:$D$1504,'Relevés compteurs'!$B$5:$B$1504,$A124))</f>
        <v/>
      </c>
      <c r="X124" s="69">
        <f>IF(OR($A124="",I124=""),"",(TODAY()-I124)/365.25)</f>
        <v/>
      </c>
      <c r="Y124" s="70">
        <f>IF($A124="","",SUMIFS('Ordres de travail'!$AA$5:$AA$3004,'Ordres de travail'!$D$5:$D$3004,$A124))</f>
        <v/>
      </c>
      <c r="Z124" s="68">
        <f>IF($A124="","",SUM(COUNTIFS('Ordres de travail'!$D$5:$D$3004,$A124,'Ordres de travail'!$AC$5:$AC$3004,{"Demandé","Planifié","En cours","En attente pièces"})))</f>
        <v/>
      </c>
      <c r="AA124" s="9">
        <f>IF(OR($A124="",M124=""),"",IF(M124&lt;TODAY(),"Expirée",IF(M124-TODAY()&lt;='Paramètres'!$AA$15,"Expire bientôt","Sous garantie")))</f>
        <v/>
      </c>
      <c r="AB124" s="72">
        <f>IF($A124="",-1,N(R124)+ROW()/1000000)</f>
        <v/>
      </c>
    </row>
    <row r="125">
      <c r="A125" s="7" t="n"/>
      <c r="B125" s="7" t="n"/>
      <c r="C125" s="7" t="n"/>
      <c r="D125" s="7" t="n"/>
      <c r="E125" s="7" t="n"/>
      <c r="F125" s="7" t="n"/>
      <c r="G125" s="7" t="n"/>
      <c r="H125" s="7" t="n"/>
      <c r="I125" s="65" t="n"/>
      <c r="J125" s="66" t="n"/>
      <c r="K125" s="7" t="n"/>
      <c r="L125" s="7" t="n"/>
      <c r="M125" s="65" t="n"/>
      <c r="N125" s="7" t="n"/>
      <c r="O125" s="67" t="n"/>
      <c r="P125" s="68">
        <f>IF($A125="","",COUNTIFS('Ordres de travail'!$D$5:$D$3004,$A125,'Ordres de travail'!$H$5:$H$3004,"Correctif",'Ordres de travail'!$AC$5:$AC$3004,"&lt;&gt;Annulé",'Ordres de travail'!$B$5:$B$3004,"&gt;="&amp;'Paramètres'!$AA$6,'Ordres de travail'!$B$5:$B$3004,"&lt;"&amp;('Paramètres'!$AA$7+1)))</f>
        <v/>
      </c>
      <c r="Q125" s="69">
        <f>IF($A125="","",SUMIFS('Ordres de travail'!$S$5:$S$3004,'Ordres de travail'!$D$5:$D$3004,$A125,'Ordres de travail'!$H$5:$H$3004,"Correctif",'Ordres de travail'!$AC$5:$AC$3004,"&lt;&gt;Annulé",'Ordres de travail'!$B$5:$B$3004,"&gt;="&amp;'Paramètres'!$AA$6,'Ordres de travail'!$B$5:$B$3004,"&lt;"&amp;('Paramètres'!$AA$7+1)))</f>
        <v/>
      </c>
      <c r="R125" s="69">
        <f>IF($A125="","",SUMIFS('Ordres de travail'!$S$5:$S$3004,'Ordres de travail'!$D$5:$D$3004,$A125,'Ordres de travail'!$AC$5:$AC$3004,"&lt;&gt;Annulé",'Ordres de travail'!$B$5:$B$3004,"&gt;="&amp;'Paramètres'!$AA$6,'Ordres de travail'!$B$5:$B$3004,"&lt;"&amp;('Paramètres'!$AA$7+1)))</f>
        <v/>
      </c>
      <c r="S125" s="70">
        <f>IF($A125="","",SUMIFS('Ordres de travail'!$AA$5:$AA$3004,'Ordres de travail'!$D$5:$D$3004,$A125,'Ordres de travail'!$B$5:$B$3004,"&gt;="&amp;'Paramètres'!$AA$6,'Ordres de travail'!$B$5:$B$3004,"&lt;"&amp;('Paramètres'!$AA$7+1)))</f>
        <v/>
      </c>
      <c r="T125" s="68">
        <f>IF($A125="","",IF(P125=0,"-",(O125*'Paramètres'!$AA$8-Q125)/P125))</f>
        <v/>
      </c>
      <c r="U125" s="69">
        <f>IF($A125="","",IF(P125=0,"-",Q125/P125))</f>
        <v/>
      </c>
      <c r="V125" s="71">
        <f>IF($A125="","",IF(N(O125)*'Paramètres'!$AA$8=0,"-",MAX(0,1-R125/(O125*'Paramètres'!$AA$8))))</f>
        <v/>
      </c>
      <c r="W125" s="68">
        <f>IF($A125="","",_xlfn.MAXIFS('Relevés compteurs'!$D$5:$D$1504,'Relevés compteurs'!$B$5:$B$1504,$A125))</f>
        <v/>
      </c>
      <c r="X125" s="69">
        <f>IF(OR($A125="",I125=""),"",(TODAY()-I125)/365.25)</f>
        <v/>
      </c>
      <c r="Y125" s="70">
        <f>IF($A125="","",SUMIFS('Ordres de travail'!$AA$5:$AA$3004,'Ordres de travail'!$D$5:$D$3004,$A125))</f>
        <v/>
      </c>
      <c r="Z125" s="68">
        <f>IF($A125="","",SUM(COUNTIFS('Ordres de travail'!$D$5:$D$3004,$A125,'Ordres de travail'!$AC$5:$AC$3004,{"Demandé","Planifié","En cours","En attente pièces"})))</f>
        <v/>
      </c>
      <c r="AA125" s="9">
        <f>IF(OR($A125="",M125=""),"",IF(M125&lt;TODAY(),"Expirée",IF(M125-TODAY()&lt;='Paramètres'!$AA$15,"Expire bientôt","Sous garantie")))</f>
        <v/>
      </c>
      <c r="AB125" s="72">
        <f>IF($A125="",-1,N(R125)+ROW()/1000000)</f>
        <v/>
      </c>
    </row>
    <row r="126">
      <c r="A126" s="7" t="n"/>
      <c r="B126" s="7" t="n"/>
      <c r="C126" s="7" t="n"/>
      <c r="D126" s="7" t="n"/>
      <c r="E126" s="7" t="n"/>
      <c r="F126" s="7" t="n"/>
      <c r="G126" s="7" t="n"/>
      <c r="H126" s="7" t="n"/>
      <c r="I126" s="65" t="n"/>
      <c r="J126" s="66" t="n"/>
      <c r="K126" s="7" t="n"/>
      <c r="L126" s="7" t="n"/>
      <c r="M126" s="65" t="n"/>
      <c r="N126" s="7" t="n"/>
      <c r="O126" s="67" t="n"/>
      <c r="P126" s="68">
        <f>IF($A126="","",COUNTIFS('Ordres de travail'!$D$5:$D$3004,$A126,'Ordres de travail'!$H$5:$H$3004,"Correctif",'Ordres de travail'!$AC$5:$AC$3004,"&lt;&gt;Annulé",'Ordres de travail'!$B$5:$B$3004,"&gt;="&amp;'Paramètres'!$AA$6,'Ordres de travail'!$B$5:$B$3004,"&lt;"&amp;('Paramètres'!$AA$7+1)))</f>
        <v/>
      </c>
      <c r="Q126" s="69">
        <f>IF($A126="","",SUMIFS('Ordres de travail'!$S$5:$S$3004,'Ordres de travail'!$D$5:$D$3004,$A126,'Ordres de travail'!$H$5:$H$3004,"Correctif",'Ordres de travail'!$AC$5:$AC$3004,"&lt;&gt;Annulé",'Ordres de travail'!$B$5:$B$3004,"&gt;="&amp;'Paramètres'!$AA$6,'Ordres de travail'!$B$5:$B$3004,"&lt;"&amp;('Paramètres'!$AA$7+1)))</f>
        <v/>
      </c>
      <c r="R126" s="69">
        <f>IF($A126="","",SUMIFS('Ordres de travail'!$S$5:$S$3004,'Ordres de travail'!$D$5:$D$3004,$A126,'Ordres de travail'!$AC$5:$AC$3004,"&lt;&gt;Annulé",'Ordres de travail'!$B$5:$B$3004,"&gt;="&amp;'Paramètres'!$AA$6,'Ordres de travail'!$B$5:$B$3004,"&lt;"&amp;('Paramètres'!$AA$7+1)))</f>
        <v/>
      </c>
      <c r="S126" s="70">
        <f>IF($A126="","",SUMIFS('Ordres de travail'!$AA$5:$AA$3004,'Ordres de travail'!$D$5:$D$3004,$A126,'Ordres de travail'!$B$5:$B$3004,"&gt;="&amp;'Paramètres'!$AA$6,'Ordres de travail'!$B$5:$B$3004,"&lt;"&amp;('Paramètres'!$AA$7+1)))</f>
        <v/>
      </c>
      <c r="T126" s="68">
        <f>IF($A126="","",IF(P126=0,"-",(O126*'Paramètres'!$AA$8-Q126)/P126))</f>
        <v/>
      </c>
      <c r="U126" s="69">
        <f>IF($A126="","",IF(P126=0,"-",Q126/P126))</f>
        <v/>
      </c>
      <c r="V126" s="71">
        <f>IF($A126="","",IF(N(O126)*'Paramètres'!$AA$8=0,"-",MAX(0,1-R126/(O126*'Paramètres'!$AA$8))))</f>
        <v/>
      </c>
      <c r="W126" s="68">
        <f>IF($A126="","",_xlfn.MAXIFS('Relevés compteurs'!$D$5:$D$1504,'Relevés compteurs'!$B$5:$B$1504,$A126))</f>
        <v/>
      </c>
      <c r="X126" s="69">
        <f>IF(OR($A126="",I126=""),"",(TODAY()-I126)/365.25)</f>
        <v/>
      </c>
      <c r="Y126" s="70">
        <f>IF($A126="","",SUMIFS('Ordres de travail'!$AA$5:$AA$3004,'Ordres de travail'!$D$5:$D$3004,$A126))</f>
        <v/>
      </c>
      <c r="Z126" s="68">
        <f>IF($A126="","",SUM(COUNTIFS('Ordres de travail'!$D$5:$D$3004,$A126,'Ordres de travail'!$AC$5:$AC$3004,{"Demandé","Planifié","En cours","En attente pièces"})))</f>
        <v/>
      </c>
      <c r="AA126" s="9">
        <f>IF(OR($A126="",M126=""),"",IF(M126&lt;TODAY(),"Expirée",IF(M126-TODAY()&lt;='Paramètres'!$AA$15,"Expire bientôt","Sous garantie")))</f>
        <v/>
      </c>
      <c r="AB126" s="72">
        <f>IF($A126="",-1,N(R126)+ROW()/1000000)</f>
        <v/>
      </c>
    </row>
    <row r="127">
      <c r="A127" s="7" t="n"/>
      <c r="B127" s="7" t="n"/>
      <c r="C127" s="7" t="n"/>
      <c r="D127" s="7" t="n"/>
      <c r="E127" s="7" t="n"/>
      <c r="F127" s="7" t="n"/>
      <c r="G127" s="7" t="n"/>
      <c r="H127" s="7" t="n"/>
      <c r="I127" s="65" t="n"/>
      <c r="J127" s="66" t="n"/>
      <c r="K127" s="7" t="n"/>
      <c r="L127" s="7" t="n"/>
      <c r="M127" s="65" t="n"/>
      <c r="N127" s="7" t="n"/>
      <c r="O127" s="67" t="n"/>
      <c r="P127" s="68">
        <f>IF($A127="","",COUNTIFS('Ordres de travail'!$D$5:$D$3004,$A127,'Ordres de travail'!$H$5:$H$3004,"Correctif",'Ordres de travail'!$AC$5:$AC$3004,"&lt;&gt;Annulé",'Ordres de travail'!$B$5:$B$3004,"&gt;="&amp;'Paramètres'!$AA$6,'Ordres de travail'!$B$5:$B$3004,"&lt;"&amp;('Paramètres'!$AA$7+1)))</f>
        <v/>
      </c>
      <c r="Q127" s="69">
        <f>IF($A127="","",SUMIFS('Ordres de travail'!$S$5:$S$3004,'Ordres de travail'!$D$5:$D$3004,$A127,'Ordres de travail'!$H$5:$H$3004,"Correctif",'Ordres de travail'!$AC$5:$AC$3004,"&lt;&gt;Annulé",'Ordres de travail'!$B$5:$B$3004,"&gt;="&amp;'Paramètres'!$AA$6,'Ordres de travail'!$B$5:$B$3004,"&lt;"&amp;('Paramètres'!$AA$7+1)))</f>
        <v/>
      </c>
      <c r="R127" s="69">
        <f>IF($A127="","",SUMIFS('Ordres de travail'!$S$5:$S$3004,'Ordres de travail'!$D$5:$D$3004,$A127,'Ordres de travail'!$AC$5:$AC$3004,"&lt;&gt;Annulé",'Ordres de travail'!$B$5:$B$3004,"&gt;="&amp;'Paramètres'!$AA$6,'Ordres de travail'!$B$5:$B$3004,"&lt;"&amp;('Paramètres'!$AA$7+1)))</f>
        <v/>
      </c>
      <c r="S127" s="70">
        <f>IF($A127="","",SUMIFS('Ordres de travail'!$AA$5:$AA$3004,'Ordres de travail'!$D$5:$D$3004,$A127,'Ordres de travail'!$B$5:$B$3004,"&gt;="&amp;'Paramètres'!$AA$6,'Ordres de travail'!$B$5:$B$3004,"&lt;"&amp;('Paramètres'!$AA$7+1)))</f>
        <v/>
      </c>
      <c r="T127" s="68">
        <f>IF($A127="","",IF(P127=0,"-",(O127*'Paramètres'!$AA$8-Q127)/P127))</f>
        <v/>
      </c>
      <c r="U127" s="69">
        <f>IF($A127="","",IF(P127=0,"-",Q127/P127))</f>
        <v/>
      </c>
      <c r="V127" s="71">
        <f>IF($A127="","",IF(N(O127)*'Paramètres'!$AA$8=0,"-",MAX(0,1-R127/(O127*'Paramètres'!$AA$8))))</f>
        <v/>
      </c>
      <c r="W127" s="68">
        <f>IF($A127="","",_xlfn.MAXIFS('Relevés compteurs'!$D$5:$D$1504,'Relevés compteurs'!$B$5:$B$1504,$A127))</f>
        <v/>
      </c>
      <c r="X127" s="69">
        <f>IF(OR($A127="",I127=""),"",(TODAY()-I127)/365.25)</f>
        <v/>
      </c>
      <c r="Y127" s="70">
        <f>IF($A127="","",SUMIFS('Ordres de travail'!$AA$5:$AA$3004,'Ordres de travail'!$D$5:$D$3004,$A127))</f>
        <v/>
      </c>
      <c r="Z127" s="68">
        <f>IF($A127="","",SUM(COUNTIFS('Ordres de travail'!$D$5:$D$3004,$A127,'Ordres de travail'!$AC$5:$AC$3004,{"Demandé","Planifié","En cours","En attente pièces"})))</f>
        <v/>
      </c>
      <c r="AA127" s="9">
        <f>IF(OR($A127="",M127=""),"",IF(M127&lt;TODAY(),"Expirée",IF(M127-TODAY()&lt;='Paramètres'!$AA$15,"Expire bientôt","Sous garantie")))</f>
        <v/>
      </c>
      <c r="AB127" s="72">
        <f>IF($A127="",-1,N(R127)+ROW()/1000000)</f>
        <v/>
      </c>
    </row>
    <row r="128">
      <c r="A128" s="7" t="n"/>
      <c r="B128" s="7" t="n"/>
      <c r="C128" s="7" t="n"/>
      <c r="D128" s="7" t="n"/>
      <c r="E128" s="7" t="n"/>
      <c r="F128" s="7" t="n"/>
      <c r="G128" s="7" t="n"/>
      <c r="H128" s="7" t="n"/>
      <c r="I128" s="65" t="n"/>
      <c r="J128" s="66" t="n"/>
      <c r="K128" s="7" t="n"/>
      <c r="L128" s="7" t="n"/>
      <c r="M128" s="65" t="n"/>
      <c r="N128" s="7" t="n"/>
      <c r="O128" s="67" t="n"/>
      <c r="P128" s="68">
        <f>IF($A128="","",COUNTIFS('Ordres de travail'!$D$5:$D$3004,$A128,'Ordres de travail'!$H$5:$H$3004,"Correctif",'Ordres de travail'!$AC$5:$AC$3004,"&lt;&gt;Annulé",'Ordres de travail'!$B$5:$B$3004,"&gt;="&amp;'Paramètres'!$AA$6,'Ordres de travail'!$B$5:$B$3004,"&lt;"&amp;('Paramètres'!$AA$7+1)))</f>
        <v/>
      </c>
      <c r="Q128" s="69">
        <f>IF($A128="","",SUMIFS('Ordres de travail'!$S$5:$S$3004,'Ordres de travail'!$D$5:$D$3004,$A128,'Ordres de travail'!$H$5:$H$3004,"Correctif",'Ordres de travail'!$AC$5:$AC$3004,"&lt;&gt;Annulé",'Ordres de travail'!$B$5:$B$3004,"&gt;="&amp;'Paramètres'!$AA$6,'Ordres de travail'!$B$5:$B$3004,"&lt;"&amp;('Paramètres'!$AA$7+1)))</f>
        <v/>
      </c>
      <c r="R128" s="69">
        <f>IF($A128="","",SUMIFS('Ordres de travail'!$S$5:$S$3004,'Ordres de travail'!$D$5:$D$3004,$A128,'Ordres de travail'!$AC$5:$AC$3004,"&lt;&gt;Annulé",'Ordres de travail'!$B$5:$B$3004,"&gt;="&amp;'Paramètres'!$AA$6,'Ordres de travail'!$B$5:$B$3004,"&lt;"&amp;('Paramètres'!$AA$7+1)))</f>
        <v/>
      </c>
      <c r="S128" s="70">
        <f>IF($A128="","",SUMIFS('Ordres de travail'!$AA$5:$AA$3004,'Ordres de travail'!$D$5:$D$3004,$A128,'Ordres de travail'!$B$5:$B$3004,"&gt;="&amp;'Paramètres'!$AA$6,'Ordres de travail'!$B$5:$B$3004,"&lt;"&amp;('Paramètres'!$AA$7+1)))</f>
        <v/>
      </c>
      <c r="T128" s="68">
        <f>IF($A128="","",IF(P128=0,"-",(O128*'Paramètres'!$AA$8-Q128)/P128))</f>
        <v/>
      </c>
      <c r="U128" s="69">
        <f>IF($A128="","",IF(P128=0,"-",Q128/P128))</f>
        <v/>
      </c>
      <c r="V128" s="71">
        <f>IF($A128="","",IF(N(O128)*'Paramètres'!$AA$8=0,"-",MAX(0,1-R128/(O128*'Paramètres'!$AA$8))))</f>
        <v/>
      </c>
      <c r="W128" s="68">
        <f>IF($A128="","",_xlfn.MAXIFS('Relevés compteurs'!$D$5:$D$1504,'Relevés compteurs'!$B$5:$B$1504,$A128))</f>
        <v/>
      </c>
      <c r="X128" s="69">
        <f>IF(OR($A128="",I128=""),"",(TODAY()-I128)/365.25)</f>
        <v/>
      </c>
      <c r="Y128" s="70">
        <f>IF($A128="","",SUMIFS('Ordres de travail'!$AA$5:$AA$3004,'Ordres de travail'!$D$5:$D$3004,$A128))</f>
        <v/>
      </c>
      <c r="Z128" s="68">
        <f>IF($A128="","",SUM(COUNTIFS('Ordres de travail'!$D$5:$D$3004,$A128,'Ordres de travail'!$AC$5:$AC$3004,{"Demandé","Planifié","En cours","En attente pièces"})))</f>
        <v/>
      </c>
      <c r="AA128" s="9">
        <f>IF(OR($A128="",M128=""),"",IF(M128&lt;TODAY(),"Expirée",IF(M128-TODAY()&lt;='Paramètres'!$AA$15,"Expire bientôt","Sous garantie")))</f>
        <v/>
      </c>
      <c r="AB128" s="72">
        <f>IF($A128="",-1,N(R128)+ROW()/1000000)</f>
        <v/>
      </c>
    </row>
    <row r="129">
      <c r="A129" s="7" t="n"/>
      <c r="B129" s="7" t="n"/>
      <c r="C129" s="7" t="n"/>
      <c r="D129" s="7" t="n"/>
      <c r="E129" s="7" t="n"/>
      <c r="F129" s="7" t="n"/>
      <c r="G129" s="7" t="n"/>
      <c r="H129" s="7" t="n"/>
      <c r="I129" s="65" t="n"/>
      <c r="J129" s="66" t="n"/>
      <c r="K129" s="7" t="n"/>
      <c r="L129" s="7" t="n"/>
      <c r="M129" s="65" t="n"/>
      <c r="N129" s="7" t="n"/>
      <c r="O129" s="67" t="n"/>
      <c r="P129" s="68">
        <f>IF($A129="","",COUNTIFS('Ordres de travail'!$D$5:$D$3004,$A129,'Ordres de travail'!$H$5:$H$3004,"Correctif",'Ordres de travail'!$AC$5:$AC$3004,"&lt;&gt;Annulé",'Ordres de travail'!$B$5:$B$3004,"&gt;="&amp;'Paramètres'!$AA$6,'Ordres de travail'!$B$5:$B$3004,"&lt;"&amp;('Paramètres'!$AA$7+1)))</f>
        <v/>
      </c>
      <c r="Q129" s="69">
        <f>IF($A129="","",SUMIFS('Ordres de travail'!$S$5:$S$3004,'Ordres de travail'!$D$5:$D$3004,$A129,'Ordres de travail'!$H$5:$H$3004,"Correctif",'Ordres de travail'!$AC$5:$AC$3004,"&lt;&gt;Annulé",'Ordres de travail'!$B$5:$B$3004,"&gt;="&amp;'Paramètres'!$AA$6,'Ordres de travail'!$B$5:$B$3004,"&lt;"&amp;('Paramètres'!$AA$7+1)))</f>
        <v/>
      </c>
      <c r="R129" s="69">
        <f>IF($A129="","",SUMIFS('Ordres de travail'!$S$5:$S$3004,'Ordres de travail'!$D$5:$D$3004,$A129,'Ordres de travail'!$AC$5:$AC$3004,"&lt;&gt;Annulé",'Ordres de travail'!$B$5:$B$3004,"&gt;="&amp;'Paramètres'!$AA$6,'Ordres de travail'!$B$5:$B$3004,"&lt;"&amp;('Paramètres'!$AA$7+1)))</f>
        <v/>
      </c>
      <c r="S129" s="70">
        <f>IF($A129="","",SUMIFS('Ordres de travail'!$AA$5:$AA$3004,'Ordres de travail'!$D$5:$D$3004,$A129,'Ordres de travail'!$B$5:$B$3004,"&gt;="&amp;'Paramètres'!$AA$6,'Ordres de travail'!$B$5:$B$3004,"&lt;"&amp;('Paramètres'!$AA$7+1)))</f>
        <v/>
      </c>
      <c r="T129" s="68">
        <f>IF($A129="","",IF(P129=0,"-",(O129*'Paramètres'!$AA$8-Q129)/P129))</f>
        <v/>
      </c>
      <c r="U129" s="69">
        <f>IF($A129="","",IF(P129=0,"-",Q129/P129))</f>
        <v/>
      </c>
      <c r="V129" s="71">
        <f>IF($A129="","",IF(N(O129)*'Paramètres'!$AA$8=0,"-",MAX(0,1-R129/(O129*'Paramètres'!$AA$8))))</f>
        <v/>
      </c>
      <c r="W129" s="68">
        <f>IF($A129="","",_xlfn.MAXIFS('Relevés compteurs'!$D$5:$D$1504,'Relevés compteurs'!$B$5:$B$1504,$A129))</f>
        <v/>
      </c>
      <c r="X129" s="69">
        <f>IF(OR($A129="",I129=""),"",(TODAY()-I129)/365.25)</f>
        <v/>
      </c>
      <c r="Y129" s="70">
        <f>IF($A129="","",SUMIFS('Ordres de travail'!$AA$5:$AA$3004,'Ordres de travail'!$D$5:$D$3004,$A129))</f>
        <v/>
      </c>
      <c r="Z129" s="68">
        <f>IF($A129="","",SUM(COUNTIFS('Ordres de travail'!$D$5:$D$3004,$A129,'Ordres de travail'!$AC$5:$AC$3004,{"Demandé","Planifié","En cours","En attente pièces"})))</f>
        <v/>
      </c>
      <c r="AA129" s="9">
        <f>IF(OR($A129="",M129=""),"",IF(M129&lt;TODAY(),"Expirée",IF(M129-TODAY()&lt;='Paramètres'!$AA$15,"Expire bientôt","Sous garantie")))</f>
        <v/>
      </c>
      <c r="AB129" s="72">
        <f>IF($A129="",-1,N(R129)+ROW()/1000000)</f>
        <v/>
      </c>
    </row>
    <row r="130">
      <c r="A130" s="7" t="n"/>
      <c r="B130" s="7" t="n"/>
      <c r="C130" s="7" t="n"/>
      <c r="D130" s="7" t="n"/>
      <c r="E130" s="7" t="n"/>
      <c r="F130" s="7" t="n"/>
      <c r="G130" s="7" t="n"/>
      <c r="H130" s="7" t="n"/>
      <c r="I130" s="65" t="n"/>
      <c r="J130" s="66" t="n"/>
      <c r="K130" s="7" t="n"/>
      <c r="L130" s="7" t="n"/>
      <c r="M130" s="65" t="n"/>
      <c r="N130" s="7" t="n"/>
      <c r="O130" s="67" t="n"/>
      <c r="P130" s="68">
        <f>IF($A130="","",COUNTIFS('Ordres de travail'!$D$5:$D$3004,$A130,'Ordres de travail'!$H$5:$H$3004,"Correctif",'Ordres de travail'!$AC$5:$AC$3004,"&lt;&gt;Annulé",'Ordres de travail'!$B$5:$B$3004,"&gt;="&amp;'Paramètres'!$AA$6,'Ordres de travail'!$B$5:$B$3004,"&lt;"&amp;('Paramètres'!$AA$7+1)))</f>
        <v/>
      </c>
      <c r="Q130" s="69">
        <f>IF($A130="","",SUMIFS('Ordres de travail'!$S$5:$S$3004,'Ordres de travail'!$D$5:$D$3004,$A130,'Ordres de travail'!$H$5:$H$3004,"Correctif",'Ordres de travail'!$AC$5:$AC$3004,"&lt;&gt;Annulé",'Ordres de travail'!$B$5:$B$3004,"&gt;="&amp;'Paramètres'!$AA$6,'Ordres de travail'!$B$5:$B$3004,"&lt;"&amp;('Paramètres'!$AA$7+1)))</f>
        <v/>
      </c>
      <c r="R130" s="69">
        <f>IF($A130="","",SUMIFS('Ordres de travail'!$S$5:$S$3004,'Ordres de travail'!$D$5:$D$3004,$A130,'Ordres de travail'!$AC$5:$AC$3004,"&lt;&gt;Annulé",'Ordres de travail'!$B$5:$B$3004,"&gt;="&amp;'Paramètres'!$AA$6,'Ordres de travail'!$B$5:$B$3004,"&lt;"&amp;('Paramètres'!$AA$7+1)))</f>
        <v/>
      </c>
      <c r="S130" s="70">
        <f>IF($A130="","",SUMIFS('Ordres de travail'!$AA$5:$AA$3004,'Ordres de travail'!$D$5:$D$3004,$A130,'Ordres de travail'!$B$5:$B$3004,"&gt;="&amp;'Paramètres'!$AA$6,'Ordres de travail'!$B$5:$B$3004,"&lt;"&amp;('Paramètres'!$AA$7+1)))</f>
        <v/>
      </c>
      <c r="T130" s="68">
        <f>IF($A130="","",IF(P130=0,"-",(O130*'Paramètres'!$AA$8-Q130)/P130))</f>
        <v/>
      </c>
      <c r="U130" s="69">
        <f>IF($A130="","",IF(P130=0,"-",Q130/P130))</f>
        <v/>
      </c>
      <c r="V130" s="71">
        <f>IF($A130="","",IF(N(O130)*'Paramètres'!$AA$8=0,"-",MAX(0,1-R130/(O130*'Paramètres'!$AA$8))))</f>
        <v/>
      </c>
      <c r="W130" s="68">
        <f>IF($A130="","",_xlfn.MAXIFS('Relevés compteurs'!$D$5:$D$1504,'Relevés compteurs'!$B$5:$B$1504,$A130))</f>
        <v/>
      </c>
      <c r="X130" s="69">
        <f>IF(OR($A130="",I130=""),"",(TODAY()-I130)/365.25)</f>
        <v/>
      </c>
      <c r="Y130" s="70">
        <f>IF($A130="","",SUMIFS('Ordres de travail'!$AA$5:$AA$3004,'Ordres de travail'!$D$5:$D$3004,$A130))</f>
        <v/>
      </c>
      <c r="Z130" s="68">
        <f>IF($A130="","",SUM(COUNTIFS('Ordres de travail'!$D$5:$D$3004,$A130,'Ordres de travail'!$AC$5:$AC$3004,{"Demandé","Planifié","En cours","En attente pièces"})))</f>
        <v/>
      </c>
      <c r="AA130" s="9">
        <f>IF(OR($A130="",M130=""),"",IF(M130&lt;TODAY(),"Expirée",IF(M130-TODAY()&lt;='Paramètres'!$AA$15,"Expire bientôt","Sous garantie")))</f>
        <v/>
      </c>
      <c r="AB130" s="72">
        <f>IF($A130="",-1,N(R130)+ROW()/1000000)</f>
        <v/>
      </c>
    </row>
    <row r="131">
      <c r="A131" s="7" t="n"/>
      <c r="B131" s="7" t="n"/>
      <c r="C131" s="7" t="n"/>
      <c r="D131" s="7" t="n"/>
      <c r="E131" s="7" t="n"/>
      <c r="F131" s="7" t="n"/>
      <c r="G131" s="7" t="n"/>
      <c r="H131" s="7" t="n"/>
      <c r="I131" s="65" t="n"/>
      <c r="J131" s="66" t="n"/>
      <c r="K131" s="7" t="n"/>
      <c r="L131" s="7" t="n"/>
      <c r="M131" s="65" t="n"/>
      <c r="N131" s="7" t="n"/>
      <c r="O131" s="67" t="n"/>
      <c r="P131" s="68">
        <f>IF($A131="","",COUNTIFS('Ordres de travail'!$D$5:$D$3004,$A131,'Ordres de travail'!$H$5:$H$3004,"Correctif",'Ordres de travail'!$AC$5:$AC$3004,"&lt;&gt;Annulé",'Ordres de travail'!$B$5:$B$3004,"&gt;="&amp;'Paramètres'!$AA$6,'Ordres de travail'!$B$5:$B$3004,"&lt;"&amp;('Paramètres'!$AA$7+1)))</f>
        <v/>
      </c>
      <c r="Q131" s="69">
        <f>IF($A131="","",SUMIFS('Ordres de travail'!$S$5:$S$3004,'Ordres de travail'!$D$5:$D$3004,$A131,'Ordres de travail'!$H$5:$H$3004,"Correctif",'Ordres de travail'!$AC$5:$AC$3004,"&lt;&gt;Annulé",'Ordres de travail'!$B$5:$B$3004,"&gt;="&amp;'Paramètres'!$AA$6,'Ordres de travail'!$B$5:$B$3004,"&lt;"&amp;('Paramètres'!$AA$7+1)))</f>
        <v/>
      </c>
      <c r="R131" s="69">
        <f>IF($A131="","",SUMIFS('Ordres de travail'!$S$5:$S$3004,'Ordres de travail'!$D$5:$D$3004,$A131,'Ordres de travail'!$AC$5:$AC$3004,"&lt;&gt;Annulé",'Ordres de travail'!$B$5:$B$3004,"&gt;="&amp;'Paramètres'!$AA$6,'Ordres de travail'!$B$5:$B$3004,"&lt;"&amp;('Paramètres'!$AA$7+1)))</f>
        <v/>
      </c>
      <c r="S131" s="70">
        <f>IF($A131="","",SUMIFS('Ordres de travail'!$AA$5:$AA$3004,'Ordres de travail'!$D$5:$D$3004,$A131,'Ordres de travail'!$B$5:$B$3004,"&gt;="&amp;'Paramètres'!$AA$6,'Ordres de travail'!$B$5:$B$3004,"&lt;"&amp;('Paramètres'!$AA$7+1)))</f>
        <v/>
      </c>
      <c r="T131" s="68">
        <f>IF($A131="","",IF(P131=0,"-",(O131*'Paramètres'!$AA$8-Q131)/P131))</f>
        <v/>
      </c>
      <c r="U131" s="69">
        <f>IF($A131="","",IF(P131=0,"-",Q131/P131))</f>
        <v/>
      </c>
      <c r="V131" s="71">
        <f>IF($A131="","",IF(N(O131)*'Paramètres'!$AA$8=0,"-",MAX(0,1-R131/(O131*'Paramètres'!$AA$8))))</f>
        <v/>
      </c>
      <c r="W131" s="68">
        <f>IF($A131="","",_xlfn.MAXIFS('Relevés compteurs'!$D$5:$D$1504,'Relevés compteurs'!$B$5:$B$1504,$A131))</f>
        <v/>
      </c>
      <c r="X131" s="69">
        <f>IF(OR($A131="",I131=""),"",(TODAY()-I131)/365.25)</f>
        <v/>
      </c>
      <c r="Y131" s="70">
        <f>IF($A131="","",SUMIFS('Ordres de travail'!$AA$5:$AA$3004,'Ordres de travail'!$D$5:$D$3004,$A131))</f>
        <v/>
      </c>
      <c r="Z131" s="68">
        <f>IF($A131="","",SUM(COUNTIFS('Ordres de travail'!$D$5:$D$3004,$A131,'Ordres de travail'!$AC$5:$AC$3004,{"Demandé","Planifié","En cours","En attente pièces"})))</f>
        <v/>
      </c>
      <c r="AA131" s="9">
        <f>IF(OR($A131="",M131=""),"",IF(M131&lt;TODAY(),"Expirée",IF(M131-TODAY()&lt;='Paramètres'!$AA$15,"Expire bientôt","Sous garantie")))</f>
        <v/>
      </c>
      <c r="AB131" s="72">
        <f>IF($A131="",-1,N(R131)+ROW()/1000000)</f>
        <v/>
      </c>
    </row>
    <row r="132">
      <c r="A132" s="7" t="n"/>
      <c r="B132" s="7" t="n"/>
      <c r="C132" s="7" t="n"/>
      <c r="D132" s="7" t="n"/>
      <c r="E132" s="7" t="n"/>
      <c r="F132" s="7" t="n"/>
      <c r="G132" s="7" t="n"/>
      <c r="H132" s="7" t="n"/>
      <c r="I132" s="65" t="n"/>
      <c r="J132" s="66" t="n"/>
      <c r="K132" s="7" t="n"/>
      <c r="L132" s="7" t="n"/>
      <c r="M132" s="65" t="n"/>
      <c r="N132" s="7" t="n"/>
      <c r="O132" s="67" t="n"/>
      <c r="P132" s="68">
        <f>IF($A132="","",COUNTIFS('Ordres de travail'!$D$5:$D$3004,$A132,'Ordres de travail'!$H$5:$H$3004,"Correctif",'Ordres de travail'!$AC$5:$AC$3004,"&lt;&gt;Annulé",'Ordres de travail'!$B$5:$B$3004,"&gt;="&amp;'Paramètres'!$AA$6,'Ordres de travail'!$B$5:$B$3004,"&lt;"&amp;('Paramètres'!$AA$7+1)))</f>
        <v/>
      </c>
      <c r="Q132" s="69">
        <f>IF($A132="","",SUMIFS('Ordres de travail'!$S$5:$S$3004,'Ordres de travail'!$D$5:$D$3004,$A132,'Ordres de travail'!$H$5:$H$3004,"Correctif",'Ordres de travail'!$AC$5:$AC$3004,"&lt;&gt;Annulé",'Ordres de travail'!$B$5:$B$3004,"&gt;="&amp;'Paramètres'!$AA$6,'Ordres de travail'!$B$5:$B$3004,"&lt;"&amp;('Paramètres'!$AA$7+1)))</f>
        <v/>
      </c>
      <c r="R132" s="69">
        <f>IF($A132="","",SUMIFS('Ordres de travail'!$S$5:$S$3004,'Ordres de travail'!$D$5:$D$3004,$A132,'Ordres de travail'!$AC$5:$AC$3004,"&lt;&gt;Annulé",'Ordres de travail'!$B$5:$B$3004,"&gt;="&amp;'Paramètres'!$AA$6,'Ordres de travail'!$B$5:$B$3004,"&lt;"&amp;('Paramètres'!$AA$7+1)))</f>
        <v/>
      </c>
      <c r="S132" s="70">
        <f>IF($A132="","",SUMIFS('Ordres de travail'!$AA$5:$AA$3004,'Ordres de travail'!$D$5:$D$3004,$A132,'Ordres de travail'!$B$5:$B$3004,"&gt;="&amp;'Paramètres'!$AA$6,'Ordres de travail'!$B$5:$B$3004,"&lt;"&amp;('Paramètres'!$AA$7+1)))</f>
        <v/>
      </c>
      <c r="T132" s="68">
        <f>IF($A132="","",IF(P132=0,"-",(O132*'Paramètres'!$AA$8-Q132)/P132))</f>
        <v/>
      </c>
      <c r="U132" s="69">
        <f>IF($A132="","",IF(P132=0,"-",Q132/P132))</f>
        <v/>
      </c>
      <c r="V132" s="71">
        <f>IF($A132="","",IF(N(O132)*'Paramètres'!$AA$8=0,"-",MAX(0,1-R132/(O132*'Paramètres'!$AA$8))))</f>
        <v/>
      </c>
      <c r="W132" s="68">
        <f>IF($A132="","",_xlfn.MAXIFS('Relevés compteurs'!$D$5:$D$1504,'Relevés compteurs'!$B$5:$B$1504,$A132))</f>
        <v/>
      </c>
      <c r="X132" s="69">
        <f>IF(OR($A132="",I132=""),"",(TODAY()-I132)/365.25)</f>
        <v/>
      </c>
      <c r="Y132" s="70">
        <f>IF($A132="","",SUMIFS('Ordres de travail'!$AA$5:$AA$3004,'Ordres de travail'!$D$5:$D$3004,$A132))</f>
        <v/>
      </c>
      <c r="Z132" s="68">
        <f>IF($A132="","",SUM(COUNTIFS('Ordres de travail'!$D$5:$D$3004,$A132,'Ordres de travail'!$AC$5:$AC$3004,{"Demandé","Planifié","En cours","En attente pièces"})))</f>
        <v/>
      </c>
      <c r="AA132" s="9">
        <f>IF(OR($A132="",M132=""),"",IF(M132&lt;TODAY(),"Expirée",IF(M132-TODAY()&lt;='Paramètres'!$AA$15,"Expire bientôt","Sous garantie")))</f>
        <v/>
      </c>
      <c r="AB132" s="72">
        <f>IF($A132="",-1,N(R132)+ROW()/1000000)</f>
        <v/>
      </c>
    </row>
    <row r="133">
      <c r="A133" s="7" t="n"/>
      <c r="B133" s="7" t="n"/>
      <c r="C133" s="7" t="n"/>
      <c r="D133" s="7" t="n"/>
      <c r="E133" s="7" t="n"/>
      <c r="F133" s="7" t="n"/>
      <c r="G133" s="7" t="n"/>
      <c r="H133" s="7" t="n"/>
      <c r="I133" s="65" t="n"/>
      <c r="J133" s="66" t="n"/>
      <c r="K133" s="7" t="n"/>
      <c r="L133" s="7" t="n"/>
      <c r="M133" s="65" t="n"/>
      <c r="N133" s="7" t="n"/>
      <c r="O133" s="67" t="n"/>
      <c r="P133" s="68">
        <f>IF($A133="","",COUNTIFS('Ordres de travail'!$D$5:$D$3004,$A133,'Ordres de travail'!$H$5:$H$3004,"Correctif",'Ordres de travail'!$AC$5:$AC$3004,"&lt;&gt;Annulé",'Ordres de travail'!$B$5:$B$3004,"&gt;="&amp;'Paramètres'!$AA$6,'Ordres de travail'!$B$5:$B$3004,"&lt;"&amp;('Paramètres'!$AA$7+1)))</f>
        <v/>
      </c>
      <c r="Q133" s="69">
        <f>IF($A133="","",SUMIFS('Ordres de travail'!$S$5:$S$3004,'Ordres de travail'!$D$5:$D$3004,$A133,'Ordres de travail'!$H$5:$H$3004,"Correctif",'Ordres de travail'!$AC$5:$AC$3004,"&lt;&gt;Annulé",'Ordres de travail'!$B$5:$B$3004,"&gt;="&amp;'Paramètres'!$AA$6,'Ordres de travail'!$B$5:$B$3004,"&lt;"&amp;('Paramètres'!$AA$7+1)))</f>
        <v/>
      </c>
      <c r="R133" s="69">
        <f>IF($A133="","",SUMIFS('Ordres de travail'!$S$5:$S$3004,'Ordres de travail'!$D$5:$D$3004,$A133,'Ordres de travail'!$AC$5:$AC$3004,"&lt;&gt;Annulé",'Ordres de travail'!$B$5:$B$3004,"&gt;="&amp;'Paramètres'!$AA$6,'Ordres de travail'!$B$5:$B$3004,"&lt;"&amp;('Paramètres'!$AA$7+1)))</f>
        <v/>
      </c>
      <c r="S133" s="70">
        <f>IF($A133="","",SUMIFS('Ordres de travail'!$AA$5:$AA$3004,'Ordres de travail'!$D$5:$D$3004,$A133,'Ordres de travail'!$B$5:$B$3004,"&gt;="&amp;'Paramètres'!$AA$6,'Ordres de travail'!$B$5:$B$3004,"&lt;"&amp;('Paramètres'!$AA$7+1)))</f>
        <v/>
      </c>
      <c r="T133" s="68">
        <f>IF($A133="","",IF(P133=0,"-",(O133*'Paramètres'!$AA$8-Q133)/P133))</f>
        <v/>
      </c>
      <c r="U133" s="69">
        <f>IF($A133="","",IF(P133=0,"-",Q133/P133))</f>
        <v/>
      </c>
      <c r="V133" s="71">
        <f>IF($A133="","",IF(N(O133)*'Paramètres'!$AA$8=0,"-",MAX(0,1-R133/(O133*'Paramètres'!$AA$8))))</f>
        <v/>
      </c>
      <c r="W133" s="68">
        <f>IF($A133="","",_xlfn.MAXIFS('Relevés compteurs'!$D$5:$D$1504,'Relevés compteurs'!$B$5:$B$1504,$A133))</f>
        <v/>
      </c>
      <c r="X133" s="69">
        <f>IF(OR($A133="",I133=""),"",(TODAY()-I133)/365.25)</f>
        <v/>
      </c>
      <c r="Y133" s="70">
        <f>IF($A133="","",SUMIFS('Ordres de travail'!$AA$5:$AA$3004,'Ordres de travail'!$D$5:$D$3004,$A133))</f>
        <v/>
      </c>
      <c r="Z133" s="68">
        <f>IF($A133="","",SUM(COUNTIFS('Ordres de travail'!$D$5:$D$3004,$A133,'Ordres de travail'!$AC$5:$AC$3004,{"Demandé","Planifié","En cours","En attente pièces"})))</f>
        <v/>
      </c>
      <c r="AA133" s="9">
        <f>IF(OR($A133="",M133=""),"",IF(M133&lt;TODAY(),"Expirée",IF(M133-TODAY()&lt;='Paramètres'!$AA$15,"Expire bientôt","Sous garantie")))</f>
        <v/>
      </c>
      <c r="AB133" s="72">
        <f>IF($A133="",-1,N(R133)+ROW()/1000000)</f>
        <v/>
      </c>
    </row>
    <row r="134">
      <c r="A134" s="7" t="n"/>
      <c r="B134" s="7" t="n"/>
      <c r="C134" s="7" t="n"/>
      <c r="D134" s="7" t="n"/>
      <c r="E134" s="7" t="n"/>
      <c r="F134" s="7" t="n"/>
      <c r="G134" s="7" t="n"/>
      <c r="H134" s="7" t="n"/>
      <c r="I134" s="65" t="n"/>
      <c r="J134" s="66" t="n"/>
      <c r="K134" s="7" t="n"/>
      <c r="L134" s="7" t="n"/>
      <c r="M134" s="65" t="n"/>
      <c r="N134" s="7" t="n"/>
      <c r="O134" s="67" t="n"/>
      <c r="P134" s="68">
        <f>IF($A134="","",COUNTIFS('Ordres de travail'!$D$5:$D$3004,$A134,'Ordres de travail'!$H$5:$H$3004,"Correctif",'Ordres de travail'!$AC$5:$AC$3004,"&lt;&gt;Annulé",'Ordres de travail'!$B$5:$B$3004,"&gt;="&amp;'Paramètres'!$AA$6,'Ordres de travail'!$B$5:$B$3004,"&lt;"&amp;('Paramètres'!$AA$7+1)))</f>
        <v/>
      </c>
      <c r="Q134" s="69">
        <f>IF($A134="","",SUMIFS('Ordres de travail'!$S$5:$S$3004,'Ordres de travail'!$D$5:$D$3004,$A134,'Ordres de travail'!$H$5:$H$3004,"Correctif",'Ordres de travail'!$AC$5:$AC$3004,"&lt;&gt;Annulé",'Ordres de travail'!$B$5:$B$3004,"&gt;="&amp;'Paramètres'!$AA$6,'Ordres de travail'!$B$5:$B$3004,"&lt;"&amp;('Paramètres'!$AA$7+1)))</f>
        <v/>
      </c>
      <c r="R134" s="69">
        <f>IF($A134="","",SUMIFS('Ordres de travail'!$S$5:$S$3004,'Ordres de travail'!$D$5:$D$3004,$A134,'Ordres de travail'!$AC$5:$AC$3004,"&lt;&gt;Annulé",'Ordres de travail'!$B$5:$B$3004,"&gt;="&amp;'Paramètres'!$AA$6,'Ordres de travail'!$B$5:$B$3004,"&lt;"&amp;('Paramètres'!$AA$7+1)))</f>
        <v/>
      </c>
      <c r="S134" s="70">
        <f>IF($A134="","",SUMIFS('Ordres de travail'!$AA$5:$AA$3004,'Ordres de travail'!$D$5:$D$3004,$A134,'Ordres de travail'!$B$5:$B$3004,"&gt;="&amp;'Paramètres'!$AA$6,'Ordres de travail'!$B$5:$B$3004,"&lt;"&amp;('Paramètres'!$AA$7+1)))</f>
        <v/>
      </c>
      <c r="T134" s="68">
        <f>IF($A134="","",IF(P134=0,"-",(O134*'Paramètres'!$AA$8-Q134)/P134))</f>
        <v/>
      </c>
      <c r="U134" s="69">
        <f>IF($A134="","",IF(P134=0,"-",Q134/P134))</f>
        <v/>
      </c>
      <c r="V134" s="71">
        <f>IF($A134="","",IF(N(O134)*'Paramètres'!$AA$8=0,"-",MAX(0,1-R134/(O134*'Paramètres'!$AA$8))))</f>
        <v/>
      </c>
      <c r="W134" s="68">
        <f>IF($A134="","",_xlfn.MAXIFS('Relevés compteurs'!$D$5:$D$1504,'Relevés compteurs'!$B$5:$B$1504,$A134))</f>
        <v/>
      </c>
      <c r="X134" s="69">
        <f>IF(OR($A134="",I134=""),"",(TODAY()-I134)/365.25)</f>
        <v/>
      </c>
      <c r="Y134" s="70">
        <f>IF($A134="","",SUMIFS('Ordres de travail'!$AA$5:$AA$3004,'Ordres de travail'!$D$5:$D$3004,$A134))</f>
        <v/>
      </c>
      <c r="Z134" s="68">
        <f>IF($A134="","",SUM(COUNTIFS('Ordres de travail'!$D$5:$D$3004,$A134,'Ordres de travail'!$AC$5:$AC$3004,{"Demandé","Planifié","En cours","En attente pièces"})))</f>
        <v/>
      </c>
      <c r="AA134" s="9">
        <f>IF(OR($A134="",M134=""),"",IF(M134&lt;TODAY(),"Expirée",IF(M134-TODAY()&lt;='Paramètres'!$AA$15,"Expire bientôt","Sous garantie")))</f>
        <v/>
      </c>
      <c r="AB134" s="72">
        <f>IF($A134="",-1,N(R134)+ROW()/1000000)</f>
        <v/>
      </c>
    </row>
    <row r="135">
      <c r="A135" s="7" t="n"/>
      <c r="B135" s="7" t="n"/>
      <c r="C135" s="7" t="n"/>
      <c r="D135" s="7" t="n"/>
      <c r="E135" s="7" t="n"/>
      <c r="F135" s="7" t="n"/>
      <c r="G135" s="7" t="n"/>
      <c r="H135" s="7" t="n"/>
      <c r="I135" s="65" t="n"/>
      <c r="J135" s="66" t="n"/>
      <c r="K135" s="7" t="n"/>
      <c r="L135" s="7" t="n"/>
      <c r="M135" s="65" t="n"/>
      <c r="N135" s="7" t="n"/>
      <c r="O135" s="67" t="n"/>
      <c r="P135" s="68">
        <f>IF($A135="","",COUNTIFS('Ordres de travail'!$D$5:$D$3004,$A135,'Ordres de travail'!$H$5:$H$3004,"Correctif",'Ordres de travail'!$AC$5:$AC$3004,"&lt;&gt;Annulé",'Ordres de travail'!$B$5:$B$3004,"&gt;="&amp;'Paramètres'!$AA$6,'Ordres de travail'!$B$5:$B$3004,"&lt;"&amp;('Paramètres'!$AA$7+1)))</f>
        <v/>
      </c>
      <c r="Q135" s="69">
        <f>IF($A135="","",SUMIFS('Ordres de travail'!$S$5:$S$3004,'Ordres de travail'!$D$5:$D$3004,$A135,'Ordres de travail'!$H$5:$H$3004,"Correctif",'Ordres de travail'!$AC$5:$AC$3004,"&lt;&gt;Annulé",'Ordres de travail'!$B$5:$B$3004,"&gt;="&amp;'Paramètres'!$AA$6,'Ordres de travail'!$B$5:$B$3004,"&lt;"&amp;('Paramètres'!$AA$7+1)))</f>
        <v/>
      </c>
      <c r="R135" s="69">
        <f>IF($A135="","",SUMIFS('Ordres de travail'!$S$5:$S$3004,'Ordres de travail'!$D$5:$D$3004,$A135,'Ordres de travail'!$AC$5:$AC$3004,"&lt;&gt;Annulé",'Ordres de travail'!$B$5:$B$3004,"&gt;="&amp;'Paramètres'!$AA$6,'Ordres de travail'!$B$5:$B$3004,"&lt;"&amp;('Paramètres'!$AA$7+1)))</f>
        <v/>
      </c>
      <c r="S135" s="70">
        <f>IF($A135="","",SUMIFS('Ordres de travail'!$AA$5:$AA$3004,'Ordres de travail'!$D$5:$D$3004,$A135,'Ordres de travail'!$B$5:$B$3004,"&gt;="&amp;'Paramètres'!$AA$6,'Ordres de travail'!$B$5:$B$3004,"&lt;"&amp;('Paramètres'!$AA$7+1)))</f>
        <v/>
      </c>
      <c r="T135" s="68">
        <f>IF($A135="","",IF(P135=0,"-",(O135*'Paramètres'!$AA$8-Q135)/P135))</f>
        <v/>
      </c>
      <c r="U135" s="69">
        <f>IF($A135="","",IF(P135=0,"-",Q135/P135))</f>
        <v/>
      </c>
      <c r="V135" s="71">
        <f>IF($A135="","",IF(N(O135)*'Paramètres'!$AA$8=0,"-",MAX(0,1-R135/(O135*'Paramètres'!$AA$8))))</f>
        <v/>
      </c>
      <c r="W135" s="68">
        <f>IF($A135="","",_xlfn.MAXIFS('Relevés compteurs'!$D$5:$D$1504,'Relevés compteurs'!$B$5:$B$1504,$A135))</f>
        <v/>
      </c>
      <c r="X135" s="69">
        <f>IF(OR($A135="",I135=""),"",(TODAY()-I135)/365.25)</f>
        <v/>
      </c>
      <c r="Y135" s="70">
        <f>IF($A135="","",SUMIFS('Ordres de travail'!$AA$5:$AA$3004,'Ordres de travail'!$D$5:$D$3004,$A135))</f>
        <v/>
      </c>
      <c r="Z135" s="68">
        <f>IF($A135="","",SUM(COUNTIFS('Ordres de travail'!$D$5:$D$3004,$A135,'Ordres de travail'!$AC$5:$AC$3004,{"Demandé","Planifié","En cours","En attente pièces"})))</f>
        <v/>
      </c>
      <c r="AA135" s="9">
        <f>IF(OR($A135="",M135=""),"",IF(M135&lt;TODAY(),"Expirée",IF(M135-TODAY()&lt;='Paramètres'!$AA$15,"Expire bientôt","Sous garantie")))</f>
        <v/>
      </c>
      <c r="AB135" s="72">
        <f>IF($A135="",-1,N(R135)+ROW()/1000000)</f>
        <v/>
      </c>
    </row>
    <row r="136">
      <c r="A136" s="7" t="n"/>
      <c r="B136" s="7" t="n"/>
      <c r="C136" s="7" t="n"/>
      <c r="D136" s="7" t="n"/>
      <c r="E136" s="7" t="n"/>
      <c r="F136" s="7" t="n"/>
      <c r="G136" s="7" t="n"/>
      <c r="H136" s="7" t="n"/>
      <c r="I136" s="65" t="n"/>
      <c r="J136" s="66" t="n"/>
      <c r="K136" s="7" t="n"/>
      <c r="L136" s="7" t="n"/>
      <c r="M136" s="65" t="n"/>
      <c r="N136" s="7" t="n"/>
      <c r="O136" s="67" t="n"/>
      <c r="P136" s="68">
        <f>IF($A136="","",COUNTIFS('Ordres de travail'!$D$5:$D$3004,$A136,'Ordres de travail'!$H$5:$H$3004,"Correctif",'Ordres de travail'!$AC$5:$AC$3004,"&lt;&gt;Annulé",'Ordres de travail'!$B$5:$B$3004,"&gt;="&amp;'Paramètres'!$AA$6,'Ordres de travail'!$B$5:$B$3004,"&lt;"&amp;('Paramètres'!$AA$7+1)))</f>
        <v/>
      </c>
      <c r="Q136" s="69">
        <f>IF($A136="","",SUMIFS('Ordres de travail'!$S$5:$S$3004,'Ordres de travail'!$D$5:$D$3004,$A136,'Ordres de travail'!$H$5:$H$3004,"Correctif",'Ordres de travail'!$AC$5:$AC$3004,"&lt;&gt;Annulé",'Ordres de travail'!$B$5:$B$3004,"&gt;="&amp;'Paramètres'!$AA$6,'Ordres de travail'!$B$5:$B$3004,"&lt;"&amp;('Paramètres'!$AA$7+1)))</f>
        <v/>
      </c>
      <c r="R136" s="69">
        <f>IF($A136="","",SUMIFS('Ordres de travail'!$S$5:$S$3004,'Ordres de travail'!$D$5:$D$3004,$A136,'Ordres de travail'!$AC$5:$AC$3004,"&lt;&gt;Annulé",'Ordres de travail'!$B$5:$B$3004,"&gt;="&amp;'Paramètres'!$AA$6,'Ordres de travail'!$B$5:$B$3004,"&lt;"&amp;('Paramètres'!$AA$7+1)))</f>
        <v/>
      </c>
      <c r="S136" s="70">
        <f>IF($A136="","",SUMIFS('Ordres de travail'!$AA$5:$AA$3004,'Ordres de travail'!$D$5:$D$3004,$A136,'Ordres de travail'!$B$5:$B$3004,"&gt;="&amp;'Paramètres'!$AA$6,'Ordres de travail'!$B$5:$B$3004,"&lt;"&amp;('Paramètres'!$AA$7+1)))</f>
        <v/>
      </c>
      <c r="T136" s="68">
        <f>IF($A136="","",IF(P136=0,"-",(O136*'Paramètres'!$AA$8-Q136)/P136))</f>
        <v/>
      </c>
      <c r="U136" s="69">
        <f>IF($A136="","",IF(P136=0,"-",Q136/P136))</f>
        <v/>
      </c>
      <c r="V136" s="71">
        <f>IF($A136="","",IF(N(O136)*'Paramètres'!$AA$8=0,"-",MAX(0,1-R136/(O136*'Paramètres'!$AA$8))))</f>
        <v/>
      </c>
      <c r="W136" s="68">
        <f>IF($A136="","",_xlfn.MAXIFS('Relevés compteurs'!$D$5:$D$1504,'Relevés compteurs'!$B$5:$B$1504,$A136))</f>
        <v/>
      </c>
      <c r="X136" s="69">
        <f>IF(OR($A136="",I136=""),"",(TODAY()-I136)/365.25)</f>
        <v/>
      </c>
      <c r="Y136" s="70">
        <f>IF($A136="","",SUMIFS('Ordres de travail'!$AA$5:$AA$3004,'Ordres de travail'!$D$5:$D$3004,$A136))</f>
        <v/>
      </c>
      <c r="Z136" s="68">
        <f>IF($A136="","",SUM(COUNTIFS('Ordres de travail'!$D$5:$D$3004,$A136,'Ordres de travail'!$AC$5:$AC$3004,{"Demandé","Planifié","En cours","En attente pièces"})))</f>
        <v/>
      </c>
      <c r="AA136" s="9">
        <f>IF(OR($A136="",M136=""),"",IF(M136&lt;TODAY(),"Expirée",IF(M136-TODAY()&lt;='Paramètres'!$AA$15,"Expire bientôt","Sous garantie")))</f>
        <v/>
      </c>
      <c r="AB136" s="72">
        <f>IF($A136="",-1,N(R136)+ROW()/1000000)</f>
        <v/>
      </c>
    </row>
    <row r="137">
      <c r="A137" s="7" t="n"/>
      <c r="B137" s="7" t="n"/>
      <c r="C137" s="7" t="n"/>
      <c r="D137" s="7" t="n"/>
      <c r="E137" s="7" t="n"/>
      <c r="F137" s="7" t="n"/>
      <c r="G137" s="7" t="n"/>
      <c r="H137" s="7" t="n"/>
      <c r="I137" s="65" t="n"/>
      <c r="J137" s="66" t="n"/>
      <c r="K137" s="7" t="n"/>
      <c r="L137" s="7" t="n"/>
      <c r="M137" s="65" t="n"/>
      <c r="N137" s="7" t="n"/>
      <c r="O137" s="67" t="n"/>
      <c r="P137" s="68">
        <f>IF($A137="","",COUNTIFS('Ordres de travail'!$D$5:$D$3004,$A137,'Ordres de travail'!$H$5:$H$3004,"Correctif",'Ordres de travail'!$AC$5:$AC$3004,"&lt;&gt;Annulé",'Ordres de travail'!$B$5:$B$3004,"&gt;="&amp;'Paramètres'!$AA$6,'Ordres de travail'!$B$5:$B$3004,"&lt;"&amp;('Paramètres'!$AA$7+1)))</f>
        <v/>
      </c>
      <c r="Q137" s="69">
        <f>IF($A137="","",SUMIFS('Ordres de travail'!$S$5:$S$3004,'Ordres de travail'!$D$5:$D$3004,$A137,'Ordres de travail'!$H$5:$H$3004,"Correctif",'Ordres de travail'!$AC$5:$AC$3004,"&lt;&gt;Annulé",'Ordres de travail'!$B$5:$B$3004,"&gt;="&amp;'Paramètres'!$AA$6,'Ordres de travail'!$B$5:$B$3004,"&lt;"&amp;('Paramètres'!$AA$7+1)))</f>
        <v/>
      </c>
      <c r="R137" s="69">
        <f>IF($A137="","",SUMIFS('Ordres de travail'!$S$5:$S$3004,'Ordres de travail'!$D$5:$D$3004,$A137,'Ordres de travail'!$AC$5:$AC$3004,"&lt;&gt;Annulé",'Ordres de travail'!$B$5:$B$3004,"&gt;="&amp;'Paramètres'!$AA$6,'Ordres de travail'!$B$5:$B$3004,"&lt;"&amp;('Paramètres'!$AA$7+1)))</f>
        <v/>
      </c>
      <c r="S137" s="70">
        <f>IF($A137="","",SUMIFS('Ordres de travail'!$AA$5:$AA$3004,'Ordres de travail'!$D$5:$D$3004,$A137,'Ordres de travail'!$B$5:$B$3004,"&gt;="&amp;'Paramètres'!$AA$6,'Ordres de travail'!$B$5:$B$3004,"&lt;"&amp;('Paramètres'!$AA$7+1)))</f>
        <v/>
      </c>
      <c r="T137" s="68">
        <f>IF($A137="","",IF(P137=0,"-",(O137*'Paramètres'!$AA$8-Q137)/P137))</f>
        <v/>
      </c>
      <c r="U137" s="69">
        <f>IF($A137="","",IF(P137=0,"-",Q137/P137))</f>
        <v/>
      </c>
      <c r="V137" s="71">
        <f>IF($A137="","",IF(N(O137)*'Paramètres'!$AA$8=0,"-",MAX(0,1-R137/(O137*'Paramètres'!$AA$8))))</f>
        <v/>
      </c>
      <c r="W137" s="68">
        <f>IF($A137="","",_xlfn.MAXIFS('Relevés compteurs'!$D$5:$D$1504,'Relevés compteurs'!$B$5:$B$1504,$A137))</f>
        <v/>
      </c>
      <c r="X137" s="69">
        <f>IF(OR($A137="",I137=""),"",(TODAY()-I137)/365.25)</f>
        <v/>
      </c>
      <c r="Y137" s="70">
        <f>IF($A137="","",SUMIFS('Ordres de travail'!$AA$5:$AA$3004,'Ordres de travail'!$D$5:$D$3004,$A137))</f>
        <v/>
      </c>
      <c r="Z137" s="68">
        <f>IF($A137="","",SUM(COUNTIFS('Ordres de travail'!$D$5:$D$3004,$A137,'Ordres de travail'!$AC$5:$AC$3004,{"Demandé","Planifié","En cours","En attente pièces"})))</f>
        <v/>
      </c>
      <c r="AA137" s="9">
        <f>IF(OR($A137="",M137=""),"",IF(M137&lt;TODAY(),"Expirée",IF(M137-TODAY()&lt;='Paramètres'!$AA$15,"Expire bientôt","Sous garantie")))</f>
        <v/>
      </c>
      <c r="AB137" s="72">
        <f>IF($A137="",-1,N(R137)+ROW()/1000000)</f>
        <v/>
      </c>
    </row>
    <row r="138">
      <c r="A138" s="7" t="n"/>
      <c r="B138" s="7" t="n"/>
      <c r="C138" s="7" t="n"/>
      <c r="D138" s="7" t="n"/>
      <c r="E138" s="7" t="n"/>
      <c r="F138" s="7" t="n"/>
      <c r="G138" s="7" t="n"/>
      <c r="H138" s="7" t="n"/>
      <c r="I138" s="65" t="n"/>
      <c r="J138" s="66" t="n"/>
      <c r="K138" s="7" t="n"/>
      <c r="L138" s="7" t="n"/>
      <c r="M138" s="65" t="n"/>
      <c r="N138" s="7" t="n"/>
      <c r="O138" s="67" t="n"/>
      <c r="P138" s="68">
        <f>IF($A138="","",COUNTIFS('Ordres de travail'!$D$5:$D$3004,$A138,'Ordres de travail'!$H$5:$H$3004,"Correctif",'Ordres de travail'!$AC$5:$AC$3004,"&lt;&gt;Annulé",'Ordres de travail'!$B$5:$B$3004,"&gt;="&amp;'Paramètres'!$AA$6,'Ordres de travail'!$B$5:$B$3004,"&lt;"&amp;('Paramètres'!$AA$7+1)))</f>
        <v/>
      </c>
      <c r="Q138" s="69">
        <f>IF($A138="","",SUMIFS('Ordres de travail'!$S$5:$S$3004,'Ordres de travail'!$D$5:$D$3004,$A138,'Ordres de travail'!$H$5:$H$3004,"Correctif",'Ordres de travail'!$AC$5:$AC$3004,"&lt;&gt;Annulé",'Ordres de travail'!$B$5:$B$3004,"&gt;="&amp;'Paramètres'!$AA$6,'Ordres de travail'!$B$5:$B$3004,"&lt;"&amp;('Paramètres'!$AA$7+1)))</f>
        <v/>
      </c>
      <c r="R138" s="69">
        <f>IF($A138="","",SUMIFS('Ordres de travail'!$S$5:$S$3004,'Ordres de travail'!$D$5:$D$3004,$A138,'Ordres de travail'!$AC$5:$AC$3004,"&lt;&gt;Annulé",'Ordres de travail'!$B$5:$B$3004,"&gt;="&amp;'Paramètres'!$AA$6,'Ordres de travail'!$B$5:$B$3004,"&lt;"&amp;('Paramètres'!$AA$7+1)))</f>
        <v/>
      </c>
      <c r="S138" s="70">
        <f>IF($A138="","",SUMIFS('Ordres de travail'!$AA$5:$AA$3004,'Ordres de travail'!$D$5:$D$3004,$A138,'Ordres de travail'!$B$5:$B$3004,"&gt;="&amp;'Paramètres'!$AA$6,'Ordres de travail'!$B$5:$B$3004,"&lt;"&amp;('Paramètres'!$AA$7+1)))</f>
        <v/>
      </c>
      <c r="T138" s="68">
        <f>IF($A138="","",IF(P138=0,"-",(O138*'Paramètres'!$AA$8-Q138)/P138))</f>
        <v/>
      </c>
      <c r="U138" s="69">
        <f>IF($A138="","",IF(P138=0,"-",Q138/P138))</f>
        <v/>
      </c>
      <c r="V138" s="71">
        <f>IF($A138="","",IF(N(O138)*'Paramètres'!$AA$8=0,"-",MAX(0,1-R138/(O138*'Paramètres'!$AA$8))))</f>
        <v/>
      </c>
      <c r="W138" s="68">
        <f>IF($A138="","",_xlfn.MAXIFS('Relevés compteurs'!$D$5:$D$1504,'Relevés compteurs'!$B$5:$B$1504,$A138))</f>
        <v/>
      </c>
      <c r="X138" s="69">
        <f>IF(OR($A138="",I138=""),"",(TODAY()-I138)/365.25)</f>
        <v/>
      </c>
      <c r="Y138" s="70">
        <f>IF($A138="","",SUMIFS('Ordres de travail'!$AA$5:$AA$3004,'Ordres de travail'!$D$5:$D$3004,$A138))</f>
        <v/>
      </c>
      <c r="Z138" s="68">
        <f>IF($A138="","",SUM(COUNTIFS('Ordres de travail'!$D$5:$D$3004,$A138,'Ordres de travail'!$AC$5:$AC$3004,{"Demandé","Planifié","En cours","En attente pièces"})))</f>
        <v/>
      </c>
      <c r="AA138" s="9">
        <f>IF(OR($A138="",M138=""),"",IF(M138&lt;TODAY(),"Expirée",IF(M138-TODAY()&lt;='Paramètres'!$AA$15,"Expire bientôt","Sous garantie")))</f>
        <v/>
      </c>
      <c r="AB138" s="72">
        <f>IF($A138="",-1,N(R138)+ROW()/1000000)</f>
        <v/>
      </c>
    </row>
    <row r="139">
      <c r="A139" s="7" t="n"/>
      <c r="B139" s="7" t="n"/>
      <c r="C139" s="7" t="n"/>
      <c r="D139" s="7" t="n"/>
      <c r="E139" s="7" t="n"/>
      <c r="F139" s="7" t="n"/>
      <c r="G139" s="7" t="n"/>
      <c r="H139" s="7" t="n"/>
      <c r="I139" s="65" t="n"/>
      <c r="J139" s="66" t="n"/>
      <c r="K139" s="7" t="n"/>
      <c r="L139" s="7" t="n"/>
      <c r="M139" s="65" t="n"/>
      <c r="N139" s="7" t="n"/>
      <c r="O139" s="67" t="n"/>
      <c r="P139" s="68">
        <f>IF($A139="","",COUNTIFS('Ordres de travail'!$D$5:$D$3004,$A139,'Ordres de travail'!$H$5:$H$3004,"Correctif",'Ordres de travail'!$AC$5:$AC$3004,"&lt;&gt;Annulé",'Ordres de travail'!$B$5:$B$3004,"&gt;="&amp;'Paramètres'!$AA$6,'Ordres de travail'!$B$5:$B$3004,"&lt;"&amp;('Paramètres'!$AA$7+1)))</f>
        <v/>
      </c>
      <c r="Q139" s="69">
        <f>IF($A139="","",SUMIFS('Ordres de travail'!$S$5:$S$3004,'Ordres de travail'!$D$5:$D$3004,$A139,'Ordres de travail'!$H$5:$H$3004,"Correctif",'Ordres de travail'!$AC$5:$AC$3004,"&lt;&gt;Annulé",'Ordres de travail'!$B$5:$B$3004,"&gt;="&amp;'Paramètres'!$AA$6,'Ordres de travail'!$B$5:$B$3004,"&lt;"&amp;('Paramètres'!$AA$7+1)))</f>
        <v/>
      </c>
      <c r="R139" s="69">
        <f>IF($A139="","",SUMIFS('Ordres de travail'!$S$5:$S$3004,'Ordres de travail'!$D$5:$D$3004,$A139,'Ordres de travail'!$AC$5:$AC$3004,"&lt;&gt;Annulé",'Ordres de travail'!$B$5:$B$3004,"&gt;="&amp;'Paramètres'!$AA$6,'Ordres de travail'!$B$5:$B$3004,"&lt;"&amp;('Paramètres'!$AA$7+1)))</f>
        <v/>
      </c>
      <c r="S139" s="70">
        <f>IF($A139="","",SUMIFS('Ordres de travail'!$AA$5:$AA$3004,'Ordres de travail'!$D$5:$D$3004,$A139,'Ordres de travail'!$B$5:$B$3004,"&gt;="&amp;'Paramètres'!$AA$6,'Ordres de travail'!$B$5:$B$3004,"&lt;"&amp;('Paramètres'!$AA$7+1)))</f>
        <v/>
      </c>
      <c r="T139" s="68">
        <f>IF($A139="","",IF(P139=0,"-",(O139*'Paramètres'!$AA$8-Q139)/P139))</f>
        <v/>
      </c>
      <c r="U139" s="69">
        <f>IF($A139="","",IF(P139=0,"-",Q139/P139))</f>
        <v/>
      </c>
      <c r="V139" s="71">
        <f>IF($A139="","",IF(N(O139)*'Paramètres'!$AA$8=0,"-",MAX(0,1-R139/(O139*'Paramètres'!$AA$8))))</f>
        <v/>
      </c>
      <c r="W139" s="68">
        <f>IF($A139="","",_xlfn.MAXIFS('Relevés compteurs'!$D$5:$D$1504,'Relevés compteurs'!$B$5:$B$1504,$A139))</f>
        <v/>
      </c>
      <c r="X139" s="69">
        <f>IF(OR($A139="",I139=""),"",(TODAY()-I139)/365.25)</f>
        <v/>
      </c>
      <c r="Y139" s="70">
        <f>IF($A139="","",SUMIFS('Ordres de travail'!$AA$5:$AA$3004,'Ordres de travail'!$D$5:$D$3004,$A139))</f>
        <v/>
      </c>
      <c r="Z139" s="68">
        <f>IF($A139="","",SUM(COUNTIFS('Ordres de travail'!$D$5:$D$3004,$A139,'Ordres de travail'!$AC$5:$AC$3004,{"Demandé","Planifié","En cours","En attente pièces"})))</f>
        <v/>
      </c>
      <c r="AA139" s="9">
        <f>IF(OR($A139="",M139=""),"",IF(M139&lt;TODAY(),"Expirée",IF(M139-TODAY()&lt;='Paramètres'!$AA$15,"Expire bientôt","Sous garantie")))</f>
        <v/>
      </c>
      <c r="AB139" s="72">
        <f>IF($A139="",-1,N(R139)+ROW()/1000000)</f>
        <v/>
      </c>
    </row>
    <row r="140">
      <c r="A140" s="7" t="n"/>
      <c r="B140" s="7" t="n"/>
      <c r="C140" s="7" t="n"/>
      <c r="D140" s="7" t="n"/>
      <c r="E140" s="7" t="n"/>
      <c r="F140" s="7" t="n"/>
      <c r="G140" s="7" t="n"/>
      <c r="H140" s="7" t="n"/>
      <c r="I140" s="65" t="n"/>
      <c r="J140" s="66" t="n"/>
      <c r="K140" s="7" t="n"/>
      <c r="L140" s="7" t="n"/>
      <c r="M140" s="65" t="n"/>
      <c r="N140" s="7" t="n"/>
      <c r="O140" s="67" t="n"/>
      <c r="P140" s="68">
        <f>IF($A140="","",COUNTIFS('Ordres de travail'!$D$5:$D$3004,$A140,'Ordres de travail'!$H$5:$H$3004,"Correctif",'Ordres de travail'!$AC$5:$AC$3004,"&lt;&gt;Annulé",'Ordres de travail'!$B$5:$B$3004,"&gt;="&amp;'Paramètres'!$AA$6,'Ordres de travail'!$B$5:$B$3004,"&lt;"&amp;('Paramètres'!$AA$7+1)))</f>
        <v/>
      </c>
      <c r="Q140" s="69">
        <f>IF($A140="","",SUMIFS('Ordres de travail'!$S$5:$S$3004,'Ordres de travail'!$D$5:$D$3004,$A140,'Ordres de travail'!$H$5:$H$3004,"Correctif",'Ordres de travail'!$AC$5:$AC$3004,"&lt;&gt;Annulé",'Ordres de travail'!$B$5:$B$3004,"&gt;="&amp;'Paramètres'!$AA$6,'Ordres de travail'!$B$5:$B$3004,"&lt;"&amp;('Paramètres'!$AA$7+1)))</f>
        <v/>
      </c>
      <c r="R140" s="69">
        <f>IF($A140="","",SUMIFS('Ordres de travail'!$S$5:$S$3004,'Ordres de travail'!$D$5:$D$3004,$A140,'Ordres de travail'!$AC$5:$AC$3004,"&lt;&gt;Annulé",'Ordres de travail'!$B$5:$B$3004,"&gt;="&amp;'Paramètres'!$AA$6,'Ordres de travail'!$B$5:$B$3004,"&lt;"&amp;('Paramètres'!$AA$7+1)))</f>
        <v/>
      </c>
      <c r="S140" s="70">
        <f>IF($A140="","",SUMIFS('Ordres de travail'!$AA$5:$AA$3004,'Ordres de travail'!$D$5:$D$3004,$A140,'Ordres de travail'!$B$5:$B$3004,"&gt;="&amp;'Paramètres'!$AA$6,'Ordres de travail'!$B$5:$B$3004,"&lt;"&amp;('Paramètres'!$AA$7+1)))</f>
        <v/>
      </c>
      <c r="T140" s="68">
        <f>IF($A140="","",IF(P140=0,"-",(O140*'Paramètres'!$AA$8-Q140)/P140))</f>
        <v/>
      </c>
      <c r="U140" s="69">
        <f>IF($A140="","",IF(P140=0,"-",Q140/P140))</f>
        <v/>
      </c>
      <c r="V140" s="71">
        <f>IF($A140="","",IF(N(O140)*'Paramètres'!$AA$8=0,"-",MAX(0,1-R140/(O140*'Paramètres'!$AA$8))))</f>
        <v/>
      </c>
      <c r="W140" s="68">
        <f>IF($A140="","",_xlfn.MAXIFS('Relevés compteurs'!$D$5:$D$1504,'Relevés compteurs'!$B$5:$B$1504,$A140))</f>
        <v/>
      </c>
      <c r="X140" s="69">
        <f>IF(OR($A140="",I140=""),"",(TODAY()-I140)/365.25)</f>
        <v/>
      </c>
      <c r="Y140" s="70">
        <f>IF($A140="","",SUMIFS('Ordres de travail'!$AA$5:$AA$3004,'Ordres de travail'!$D$5:$D$3004,$A140))</f>
        <v/>
      </c>
      <c r="Z140" s="68">
        <f>IF($A140="","",SUM(COUNTIFS('Ordres de travail'!$D$5:$D$3004,$A140,'Ordres de travail'!$AC$5:$AC$3004,{"Demandé","Planifié","En cours","En attente pièces"})))</f>
        <v/>
      </c>
      <c r="AA140" s="9">
        <f>IF(OR($A140="",M140=""),"",IF(M140&lt;TODAY(),"Expirée",IF(M140-TODAY()&lt;='Paramètres'!$AA$15,"Expire bientôt","Sous garantie")))</f>
        <v/>
      </c>
      <c r="AB140" s="72">
        <f>IF($A140="",-1,N(R140)+ROW()/1000000)</f>
        <v/>
      </c>
    </row>
    <row r="141">
      <c r="A141" s="7" t="n"/>
      <c r="B141" s="7" t="n"/>
      <c r="C141" s="7" t="n"/>
      <c r="D141" s="7" t="n"/>
      <c r="E141" s="7" t="n"/>
      <c r="F141" s="7" t="n"/>
      <c r="G141" s="7" t="n"/>
      <c r="H141" s="7" t="n"/>
      <c r="I141" s="65" t="n"/>
      <c r="J141" s="66" t="n"/>
      <c r="K141" s="7" t="n"/>
      <c r="L141" s="7" t="n"/>
      <c r="M141" s="65" t="n"/>
      <c r="N141" s="7" t="n"/>
      <c r="O141" s="67" t="n"/>
      <c r="P141" s="68">
        <f>IF($A141="","",COUNTIFS('Ordres de travail'!$D$5:$D$3004,$A141,'Ordres de travail'!$H$5:$H$3004,"Correctif",'Ordres de travail'!$AC$5:$AC$3004,"&lt;&gt;Annulé",'Ordres de travail'!$B$5:$B$3004,"&gt;="&amp;'Paramètres'!$AA$6,'Ordres de travail'!$B$5:$B$3004,"&lt;"&amp;('Paramètres'!$AA$7+1)))</f>
        <v/>
      </c>
      <c r="Q141" s="69">
        <f>IF($A141="","",SUMIFS('Ordres de travail'!$S$5:$S$3004,'Ordres de travail'!$D$5:$D$3004,$A141,'Ordres de travail'!$H$5:$H$3004,"Correctif",'Ordres de travail'!$AC$5:$AC$3004,"&lt;&gt;Annulé",'Ordres de travail'!$B$5:$B$3004,"&gt;="&amp;'Paramètres'!$AA$6,'Ordres de travail'!$B$5:$B$3004,"&lt;"&amp;('Paramètres'!$AA$7+1)))</f>
        <v/>
      </c>
      <c r="R141" s="69">
        <f>IF($A141="","",SUMIFS('Ordres de travail'!$S$5:$S$3004,'Ordres de travail'!$D$5:$D$3004,$A141,'Ordres de travail'!$AC$5:$AC$3004,"&lt;&gt;Annulé",'Ordres de travail'!$B$5:$B$3004,"&gt;="&amp;'Paramètres'!$AA$6,'Ordres de travail'!$B$5:$B$3004,"&lt;"&amp;('Paramètres'!$AA$7+1)))</f>
        <v/>
      </c>
      <c r="S141" s="70">
        <f>IF($A141="","",SUMIFS('Ordres de travail'!$AA$5:$AA$3004,'Ordres de travail'!$D$5:$D$3004,$A141,'Ordres de travail'!$B$5:$B$3004,"&gt;="&amp;'Paramètres'!$AA$6,'Ordres de travail'!$B$5:$B$3004,"&lt;"&amp;('Paramètres'!$AA$7+1)))</f>
        <v/>
      </c>
      <c r="T141" s="68">
        <f>IF($A141="","",IF(P141=0,"-",(O141*'Paramètres'!$AA$8-Q141)/P141))</f>
        <v/>
      </c>
      <c r="U141" s="69">
        <f>IF($A141="","",IF(P141=0,"-",Q141/P141))</f>
        <v/>
      </c>
      <c r="V141" s="71">
        <f>IF($A141="","",IF(N(O141)*'Paramètres'!$AA$8=0,"-",MAX(0,1-R141/(O141*'Paramètres'!$AA$8))))</f>
        <v/>
      </c>
      <c r="W141" s="68">
        <f>IF($A141="","",_xlfn.MAXIFS('Relevés compteurs'!$D$5:$D$1504,'Relevés compteurs'!$B$5:$B$1504,$A141))</f>
        <v/>
      </c>
      <c r="X141" s="69">
        <f>IF(OR($A141="",I141=""),"",(TODAY()-I141)/365.25)</f>
        <v/>
      </c>
      <c r="Y141" s="70">
        <f>IF($A141="","",SUMIFS('Ordres de travail'!$AA$5:$AA$3004,'Ordres de travail'!$D$5:$D$3004,$A141))</f>
        <v/>
      </c>
      <c r="Z141" s="68">
        <f>IF($A141="","",SUM(COUNTIFS('Ordres de travail'!$D$5:$D$3004,$A141,'Ordres de travail'!$AC$5:$AC$3004,{"Demandé","Planifié","En cours","En attente pièces"})))</f>
        <v/>
      </c>
      <c r="AA141" s="9">
        <f>IF(OR($A141="",M141=""),"",IF(M141&lt;TODAY(),"Expirée",IF(M141-TODAY()&lt;='Paramètres'!$AA$15,"Expire bientôt","Sous garantie")))</f>
        <v/>
      </c>
      <c r="AB141" s="72">
        <f>IF($A141="",-1,N(R141)+ROW()/1000000)</f>
        <v/>
      </c>
    </row>
    <row r="142">
      <c r="A142" s="7" t="n"/>
      <c r="B142" s="7" t="n"/>
      <c r="C142" s="7" t="n"/>
      <c r="D142" s="7" t="n"/>
      <c r="E142" s="7" t="n"/>
      <c r="F142" s="7" t="n"/>
      <c r="G142" s="7" t="n"/>
      <c r="H142" s="7" t="n"/>
      <c r="I142" s="65" t="n"/>
      <c r="J142" s="66" t="n"/>
      <c r="K142" s="7" t="n"/>
      <c r="L142" s="7" t="n"/>
      <c r="M142" s="65" t="n"/>
      <c r="N142" s="7" t="n"/>
      <c r="O142" s="67" t="n"/>
      <c r="P142" s="68">
        <f>IF($A142="","",COUNTIFS('Ordres de travail'!$D$5:$D$3004,$A142,'Ordres de travail'!$H$5:$H$3004,"Correctif",'Ordres de travail'!$AC$5:$AC$3004,"&lt;&gt;Annulé",'Ordres de travail'!$B$5:$B$3004,"&gt;="&amp;'Paramètres'!$AA$6,'Ordres de travail'!$B$5:$B$3004,"&lt;"&amp;('Paramètres'!$AA$7+1)))</f>
        <v/>
      </c>
      <c r="Q142" s="69">
        <f>IF($A142="","",SUMIFS('Ordres de travail'!$S$5:$S$3004,'Ordres de travail'!$D$5:$D$3004,$A142,'Ordres de travail'!$H$5:$H$3004,"Correctif",'Ordres de travail'!$AC$5:$AC$3004,"&lt;&gt;Annulé",'Ordres de travail'!$B$5:$B$3004,"&gt;="&amp;'Paramètres'!$AA$6,'Ordres de travail'!$B$5:$B$3004,"&lt;"&amp;('Paramètres'!$AA$7+1)))</f>
        <v/>
      </c>
      <c r="R142" s="69">
        <f>IF($A142="","",SUMIFS('Ordres de travail'!$S$5:$S$3004,'Ordres de travail'!$D$5:$D$3004,$A142,'Ordres de travail'!$AC$5:$AC$3004,"&lt;&gt;Annulé",'Ordres de travail'!$B$5:$B$3004,"&gt;="&amp;'Paramètres'!$AA$6,'Ordres de travail'!$B$5:$B$3004,"&lt;"&amp;('Paramètres'!$AA$7+1)))</f>
        <v/>
      </c>
      <c r="S142" s="70">
        <f>IF($A142="","",SUMIFS('Ordres de travail'!$AA$5:$AA$3004,'Ordres de travail'!$D$5:$D$3004,$A142,'Ordres de travail'!$B$5:$B$3004,"&gt;="&amp;'Paramètres'!$AA$6,'Ordres de travail'!$B$5:$B$3004,"&lt;"&amp;('Paramètres'!$AA$7+1)))</f>
        <v/>
      </c>
      <c r="T142" s="68">
        <f>IF($A142="","",IF(P142=0,"-",(O142*'Paramètres'!$AA$8-Q142)/P142))</f>
        <v/>
      </c>
      <c r="U142" s="69">
        <f>IF($A142="","",IF(P142=0,"-",Q142/P142))</f>
        <v/>
      </c>
      <c r="V142" s="71">
        <f>IF($A142="","",IF(N(O142)*'Paramètres'!$AA$8=0,"-",MAX(0,1-R142/(O142*'Paramètres'!$AA$8))))</f>
        <v/>
      </c>
      <c r="W142" s="68">
        <f>IF($A142="","",_xlfn.MAXIFS('Relevés compteurs'!$D$5:$D$1504,'Relevés compteurs'!$B$5:$B$1504,$A142))</f>
        <v/>
      </c>
      <c r="X142" s="69">
        <f>IF(OR($A142="",I142=""),"",(TODAY()-I142)/365.25)</f>
        <v/>
      </c>
      <c r="Y142" s="70">
        <f>IF($A142="","",SUMIFS('Ordres de travail'!$AA$5:$AA$3004,'Ordres de travail'!$D$5:$D$3004,$A142))</f>
        <v/>
      </c>
      <c r="Z142" s="68">
        <f>IF($A142="","",SUM(COUNTIFS('Ordres de travail'!$D$5:$D$3004,$A142,'Ordres de travail'!$AC$5:$AC$3004,{"Demandé","Planifié","En cours","En attente pièces"})))</f>
        <v/>
      </c>
      <c r="AA142" s="9">
        <f>IF(OR($A142="",M142=""),"",IF(M142&lt;TODAY(),"Expirée",IF(M142-TODAY()&lt;='Paramètres'!$AA$15,"Expire bientôt","Sous garantie")))</f>
        <v/>
      </c>
      <c r="AB142" s="72">
        <f>IF($A142="",-1,N(R142)+ROW()/1000000)</f>
        <v/>
      </c>
    </row>
    <row r="143">
      <c r="A143" s="7" t="n"/>
      <c r="B143" s="7" t="n"/>
      <c r="C143" s="7" t="n"/>
      <c r="D143" s="7" t="n"/>
      <c r="E143" s="7" t="n"/>
      <c r="F143" s="7" t="n"/>
      <c r="G143" s="7" t="n"/>
      <c r="H143" s="7" t="n"/>
      <c r="I143" s="65" t="n"/>
      <c r="J143" s="66" t="n"/>
      <c r="K143" s="7" t="n"/>
      <c r="L143" s="7" t="n"/>
      <c r="M143" s="65" t="n"/>
      <c r="N143" s="7" t="n"/>
      <c r="O143" s="67" t="n"/>
      <c r="P143" s="68">
        <f>IF($A143="","",COUNTIFS('Ordres de travail'!$D$5:$D$3004,$A143,'Ordres de travail'!$H$5:$H$3004,"Correctif",'Ordres de travail'!$AC$5:$AC$3004,"&lt;&gt;Annulé",'Ordres de travail'!$B$5:$B$3004,"&gt;="&amp;'Paramètres'!$AA$6,'Ordres de travail'!$B$5:$B$3004,"&lt;"&amp;('Paramètres'!$AA$7+1)))</f>
        <v/>
      </c>
      <c r="Q143" s="69">
        <f>IF($A143="","",SUMIFS('Ordres de travail'!$S$5:$S$3004,'Ordres de travail'!$D$5:$D$3004,$A143,'Ordres de travail'!$H$5:$H$3004,"Correctif",'Ordres de travail'!$AC$5:$AC$3004,"&lt;&gt;Annulé",'Ordres de travail'!$B$5:$B$3004,"&gt;="&amp;'Paramètres'!$AA$6,'Ordres de travail'!$B$5:$B$3004,"&lt;"&amp;('Paramètres'!$AA$7+1)))</f>
        <v/>
      </c>
      <c r="R143" s="69">
        <f>IF($A143="","",SUMIFS('Ordres de travail'!$S$5:$S$3004,'Ordres de travail'!$D$5:$D$3004,$A143,'Ordres de travail'!$AC$5:$AC$3004,"&lt;&gt;Annulé",'Ordres de travail'!$B$5:$B$3004,"&gt;="&amp;'Paramètres'!$AA$6,'Ordres de travail'!$B$5:$B$3004,"&lt;"&amp;('Paramètres'!$AA$7+1)))</f>
        <v/>
      </c>
      <c r="S143" s="70">
        <f>IF($A143="","",SUMIFS('Ordres de travail'!$AA$5:$AA$3004,'Ordres de travail'!$D$5:$D$3004,$A143,'Ordres de travail'!$B$5:$B$3004,"&gt;="&amp;'Paramètres'!$AA$6,'Ordres de travail'!$B$5:$B$3004,"&lt;"&amp;('Paramètres'!$AA$7+1)))</f>
        <v/>
      </c>
      <c r="T143" s="68">
        <f>IF($A143="","",IF(P143=0,"-",(O143*'Paramètres'!$AA$8-Q143)/P143))</f>
        <v/>
      </c>
      <c r="U143" s="69">
        <f>IF($A143="","",IF(P143=0,"-",Q143/P143))</f>
        <v/>
      </c>
      <c r="V143" s="71">
        <f>IF($A143="","",IF(N(O143)*'Paramètres'!$AA$8=0,"-",MAX(0,1-R143/(O143*'Paramètres'!$AA$8))))</f>
        <v/>
      </c>
      <c r="W143" s="68">
        <f>IF($A143="","",_xlfn.MAXIFS('Relevés compteurs'!$D$5:$D$1504,'Relevés compteurs'!$B$5:$B$1504,$A143))</f>
        <v/>
      </c>
      <c r="X143" s="69">
        <f>IF(OR($A143="",I143=""),"",(TODAY()-I143)/365.25)</f>
        <v/>
      </c>
      <c r="Y143" s="70">
        <f>IF($A143="","",SUMIFS('Ordres de travail'!$AA$5:$AA$3004,'Ordres de travail'!$D$5:$D$3004,$A143))</f>
        <v/>
      </c>
      <c r="Z143" s="68">
        <f>IF($A143="","",SUM(COUNTIFS('Ordres de travail'!$D$5:$D$3004,$A143,'Ordres de travail'!$AC$5:$AC$3004,{"Demandé","Planifié","En cours","En attente pièces"})))</f>
        <v/>
      </c>
      <c r="AA143" s="9">
        <f>IF(OR($A143="",M143=""),"",IF(M143&lt;TODAY(),"Expirée",IF(M143-TODAY()&lt;='Paramètres'!$AA$15,"Expire bientôt","Sous garantie")))</f>
        <v/>
      </c>
      <c r="AB143" s="72">
        <f>IF($A143="",-1,N(R143)+ROW()/1000000)</f>
        <v/>
      </c>
    </row>
    <row r="144">
      <c r="A144" s="7" t="n"/>
      <c r="B144" s="7" t="n"/>
      <c r="C144" s="7" t="n"/>
      <c r="D144" s="7" t="n"/>
      <c r="E144" s="7" t="n"/>
      <c r="F144" s="7" t="n"/>
      <c r="G144" s="7" t="n"/>
      <c r="H144" s="7" t="n"/>
      <c r="I144" s="65" t="n"/>
      <c r="J144" s="66" t="n"/>
      <c r="K144" s="7" t="n"/>
      <c r="L144" s="7" t="n"/>
      <c r="M144" s="65" t="n"/>
      <c r="N144" s="7" t="n"/>
      <c r="O144" s="67" t="n"/>
      <c r="P144" s="68">
        <f>IF($A144="","",COUNTIFS('Ordres de travail'!$D$5:$D$3004,$A144,'Ordres de travail'!$H$5:$H$3004,"Correctif",'Ordres de travail'!$AC$5:$AC$3004,"&lt;&gt;Annulé",'Ordres de travail'!$B$5:$B$3004,"&gt;="&amp;'Paramètres'!$AA$6,'Ordres de travail'!$B$5:$B$3004,"&lt;"&amp;('Paramètres'!$AA$7+1)))</f>
        <v/>
      </c>
      <c r="Q144" s="69">
        <f>IF($A144="","",SUMIFS('Ordres de travail'!$S$5:$S$3004,'Ordres de travail'!$D$5:$D$3004,$A144,'Ordres de travail'!$H$5:$H$3004,"Correctif",'Ordres de travail'!$AC$5:$AC$3004,"&lt;&gt;Annulé",'Ordres de travail'!$B$5:$B$3004,"&gt;="&amp;'Paramètres'!$AA$6,'Ordres de travail'!$B$5:$B$3004,"&lt;"&amp;('Paramètres'!$AA$7+1)))</f>
        <v/>
      </c>
      <c r="R144" s="69">
        <f>IF($A144="","",SUMIFS('Ordres de travail'!$S$5:$S$3004,'Ordres de travail'!$D$5:$D$3004,$A144,'Ordres de travail'!$AC$5:$AC$3004,"&lt;&gt;Annulé",'Ordres de travail'!$B$5:$B$3004,"&gt;="&amp;'Paramètres'!$AA$6,'Ordres de travail'!$B$5:$B$3004,"&lt;"&amp;('Paramètres'!$AA$7+1)))</f>
        <v/>
      </c>
      <c r="S144" s="70">
        <f>IF($A144="","",SUMIFS('Ordres de travail'!$AA$5:$AA$3004,'Ordres de travail'!$D$5:$D$3004,$A144,'Ordres de travail'!$B$5:$B$3004,"&gt;="&amp;'Paramètres'!$AA$6,'Ordres de travail'!$B$5:$B$3004,"&lt;"&amp;('Paramètres'!$AA$7+1)))</f>
        <v/>
      </c>
      <c r="T144" s="68">
        <f>IF($A144="","",IF(P144=0,"-",(O144*'Paramètres'!$AA$8-Q144)/P144))</f>
        <v/>
      </c>
      <c r="U144" s="69">
        <f>IF($A144="","",IF(P144=0,"-",Q144/P144))</f>
        <v/>
      </c>
      <c r="V144" s="71">
        <f>IF($A144="","",IF(N(O144)*'Paramètres'!$AA$8=0,"-",MAX(0,1-R144/(O144*'Paramètres'!$AA$8))))</f>
        <v/>
      </c>
      <c r="W144" s="68">
        <f>IF($A144="","",_xlfn.MAXIFS('Relevés compteurs'!$D$5:$D$1504,'Relevés compteurs'!$B$5:$B$1504,$A144))</f>
        <v/>
      </c>
      <c r="X144" s="69">
        <f>IF(OR($A144="",I144=""),"",(TODAY()-I144)/365.25)</f>
        <v/>
      </c>
      <c r="Y144" s="70">
        <f>IF($A144="","",SUMIFS('Ordres de travail'!$AA$5:$AA$3004,'Ordres de travail'!$D$5:$D$3004,$A144))</f>
        <v/>
      </c>
      <c r="Z144" s="68">
        <f>IF($A144="","",SUM(COUNTIFS('Ordres de travail'!$D$5:$D$3004,$A144,'Ordres de travail'!$AC$5:$AC$3004,{"Demandé","Planifié","En cours","En attente pièces"})))</f>
        <v/>
      </c>
      <c r="AA144" s="9">
        <f>IF(OR($A144="",M144=""),"",IF(M144&lt;TODAY(),"Expirée",IF(M144-TODAY()&lt;='Paramètres'!$AA$15,"Expire bientôt","Sous garantie")))</f>
        <v/>
      </c>
      <c r="AB144" s="72">
        <f>IF($A144="",-1,N(R144)+ROW()/1000000)</f>
        <v/>
      </c>
    </row>
    <row r="145">
      <c r="A145" s="7" t="n"/>
      <c r="B145" s="7" t="n"/>
      <c r="C145" s="7" t="n"/>
      <c r="D145" s="7" t="n"/>
      <c r="E145" s="7" t="n"/>
      <c r="F145" s="7" t="n"/>
      <c r="G145" s="7" t="n"/>
      <c r="H145" s="7" t="n"/>
      <c r="I145" s="65" t="n"/>
      <c r="J145" s="66" t="n"/>
      <c r="K145" s="7" t="n"/>
      <c r="L145" s="7" t="n"/>
      <c r="M145" s="65" t="n"/>
      <c r="N145" s="7" t="n"/>
      <c r="O145" s="67" t="n"/>
      <c r="P145" s="68">
        <f>IF($A145="","",COUNTIFS('Ordres de travail'!$D$5:$D$3004,$A145,'Ordres de travail'!$H$5:$H$3004,"Correctif",'Ordres de travail'!$AC$5:$AC$3004,"&lt;&gt;Annulé",'Ordres de travail'!$B$5:$B$3004,"&gt;="&amp;'Paramètres'!$AA$6,'Ordres de travail'!$B$5:$B$3004,"&lt;"&amp;('Paramètres'!$AA$7+1)))</f>
        <v/>
      </c>
      <c r="Q145" s="69">
        <f>IF($A145="","",SUMIFS('Ordres de travail'!$S$5:$S$3004,'Ordres de travail'!$D$5:$D$3004,$A145,'Ordres de travail'!$H$5:$H$3004,"Correctif",'Ordres de travail'!$AC$5:$AC$3004,"&lt;&gt;Annulé",'Ordres de travail'!$B$5:$B$3004,"&gt;="&amp;'Paramètres'!$AA$6,'Ordres de travail'!$B$5:$B$3004,"&lt;"&amp;('Paramètres'!$AA$7+1)))</f>
        <v/>
      </c>
      <c r="R145" s="69">
        <f>IF($A145="","",SUMIFS('Ordres de travail'!$S$5:$S$3004,'Ordres de travail'!$D$5:$D$3004,$A145,'Ordres de travail'!$AC$5:$AC$3004,"&lt;&gt;Annulé",'Ordres de travail'!$B$5:$B$3004,"&gt;="&amp;'Paramètres'!$AA$6,'Ordres de travail'!$B$5:$B$3004,"&lt;"&amp;('Paramètres'!$AA$7+1)))</f>
        <v/>
      </c>
      <c r="S145" s="70">
        <f>IF($A145="","",SUMIFS('Ordres de travail'!$AA$5:$AA$3004,'Ordres de travail'!$D$5:$D$3004,$A145,'Ordres de travail'!$B$5:$B$3004,"&gt;="&amp;'Paramètres'!$AA$6,'Ordres de travail'!$B$5:$B$3004,"&lt;"&amp;('Paramètres'!$AA$7+1)))</f>
        <v/>
      </c>
      <c r="T145" s="68">
        <f>IF($A145="","",IF(P145=0,"-",(O145*'Paramètres'!$AA$8-Q145)/P145))</f>
        <v/>
      </c>
      <c r="U145" s="69">
        <f>IF($A145="","",IF(P145=0,"-",Q145/P145))</f>
        <v/>
      </c>
      <c r="V145" s="71">
        <f>IF($A145="","",IF(N(O145)*'Paramètres'!$AA$8=0,"-",MAX(0,1-R145/(O145*'Paramètres'!$AA$8))))</f>
        <v/>
      </c>
      <c r="W145" s="68">
        <f>IF($A145="","",_xlfn.MAXIFS('Relevés compteurs'!$D$5:$D$1504,'Relevés compteurs'!$B$5:$B$1504,$A145))</f>
        <v/>
      </c>
      <c r="X145" s="69">
        <f>IF(OR($A145="",I145=""),"",(TODAY()-I145)/365.25)</f>
        <v/>
      </c>
      <c r="Y145" s="70">
        <f>IF($A145="","",SUMIFS('Ordres de travail'!$AA$5:$AA$3004,'Ordres de travail'!$D$5:$D$3004,$A145))</f>
        <v/>
      </c>
      <c r="Z145" s="68">
        <f>IF($A145="","",SUM(COUNTIFS('Ordres de travail'!$D$5:$D$3004,$A145,'Ordres de travail'!$AC$5:$AC$3004,{"Demandé","Planifié","En cours","En attente pièces"})))</f>
        <v/>
      </c>
      <c r="AA145" s="9">
        <f>IF(OR($A145="",M145=""),"",IF(M145&lt;TODAY(),"Expirée",IF(M145-TODAY()&lt;='Paramètres'!$AA$15,"Expire bientôt","Sous garantie")))</f>
        <v/>
      </c>
      <c r="AB145" s="72">
        <f>IF($A145="",-1,N(R145)+ROW()/1000000)</f>
        <v/>
      </c>
    </row>
    <row r="146">
      <c r="A146" s="7" t="n"/>
      <c r="B146" s="7" t="n"/>
      <c r="C146" s="7" t="n"/>
      <c r="D146" s="7" t="n"/>
      <c r="E146" s="7" t="n"/>
      <c r="F146" s="7" t="n"/>
      <c r="G146" s="7" t="n"/>
      <c r="H146" s="7" t="n"/>
      <c r="I146" s="65" t="n"/>
      <c r="J146" s="66" t="n"/>
      <c r="K146" s="7" t="n"/>
      <c r="L146" s="7" t="n"/>
      <c r="M146" s="65" t="n"/>
      <c r="N146" s="7" t="n"/>
      <c r="O146" s="67" t="n"/>
      <c r="P146" s="68">
        <f>IF($A146="","",COUNTIFS('Ordres de travail'!$D$5:$D$3004,$A146,'Ordres de travail'!$H$5:$H$3004,"Correctif",'Ordres de travail'!$AC$5:$AC$3004,"&lt;&gt;Annulé",'Ordres de travail'!$B$5:$B$3004,"&gt;="&amp;'Paramètres'!$AA$6,'Ordres de travail'!$B$5:$B$3004,"&lt;"&amp;('Paramètres'!$AA$7+1)))</f>
        <v/>
      </c>
      <c r="Q146" s="69">
        <f>IF($A146="","",SUMIFS('Ordres de travail'!$S$5:$S$3004,'Ordres de travail'!$D$5:$D$3004,$A146,'Ordres de travail'!$H$5:$H$3004,"Correctif",'Ordres de travail'!$AC$5:$AC$3004,"&lt;&gt;Annulé",'Ordres de travail'!$B$5:$B$3004,"&gt;="&amp;'Paramètres'!$AA$6,'Ordres de travail'!$B$5:$B$3004,"&lt;"&amp;('Paramètres'!$AA$7+1)))</f>
        <v/>
      </c>
      <c r="R146" s="69">
        <f>IF($A146="","",SUMIFS('Ordres de travail'!$S$5:$S$3004,'Ordres de travail'!$D$5:$D$3004,$A146,'Ordres de travail'!$AC$5:$AC$3004,"&lt;&gt;Annulé",'Ordres de travail'!$B$5:$B$3004,"&gt;="&amp;'Paramètres'!$AA$6,'Ordres de travail'!$B$5:$B$3004,"&lt;"&amp;('Paramètres'!$AA$7+1)))</f>
        <v/>
      </c>
      <c r="S146" s="70">
        <f>IF($A146="","",SUMIFS('Ordres de travail'!$AA$5:$AA$3004,'Ordres de travail'!$D$5:$D$3004,$A146,'Ordres de travail'!$B$5:$B$3004,"&gt;="&amp;'Paramètres'!$AA$6,'Ordres de travail'!$B$5:$B$3004,"&lt;"&amp;('Paramètres'!$AA$7+1)))</f>
        <v/>
      </c>
      <c r="T146" s="68">
        <f>IF($A146="","",IF(P146=0,"-",(O146*'Paramètres'!$AA$8-Q146)/P146))</f>
        <v/>
      </c>
      <c r="U146" s="69">
        <f>IF($A146="","",IF(P146=0,"-",Q146/P146))</f>
        <v/>
      </c>
      <c r="V146" s="71">
        <f>IF($A146="","",IF(N(O146)*'Paramètres'!$AA$8=0,"-",MAX(0,1-R146/(O146*'Paramètres'!$AA$8))))</f>
        <v/>
      </c>
      <c r="W146" s="68">
        <f>IF($A146="","",_xlfn.MAXIFS('Relevés compteurs'!$D$5:$D$1504,'Relevés compteurs'!$B$5:$B$1504,$A146))</f>
        <v/>
      </c>
      <c r="X146" s="69">
        <f>IF(OR($A146="",I146=""),"",(TODAY()-I146)/365.25)</f>
        <v/>
      </c>
      <c r="Y146" s="70">
        <f>IF($A146="","",SUMIFS('Ordres de travail'!$AA$5:$AA$3004,'Ordres de travail'!$D$5:$D$3004,$A146))</f>
        <v/>
      </c>
      <c r="Z146" s="68">
        <f>IF($A146="","",SUM(COUNTIFS('Ordres de travail'!$D$5:$D$3004,$A146,'Ordres de travail'!$AC$5:$AC$3004,{"Demandé","Planifié","En cours","En attente pièces"})))</f>
        <v/>
      </c>
      <c r="AA146" s="9">
        <f>IF(OR($A146="",M146=""),"",IF(M146&lt;TODAY(),"Expirée",IF(M146-TODAY()&lt;='Paramètres'!$AA$15,"Expire bientôt","Sous garantie")))</f>
        <v/>
      </c>
      <c r="AB146" s="72">
        <f>IF($A146="",-1,N(R146)+ROW()/1000000)</f>
        <v/>
      </c>
    </row>
    <row r="147">
      <c r="A147" s="7" t="n"/>
      <c r="B147" s="7" t="n"/>
      <c r="C147" s="7" t="n"/>
      <c r="D147" s="7" t="n"/>
      <c r="E147" s="7" t="n"/>
      <c r="F147" s="7" t="n"/>
      <c r="G147" s="7" t="n"/>
      <c r="H147" s="7" t="n"/>
      <c r="I147" s="65" t="n"/>
      <c r="J147" s="66" t="n"/>
      <c r="K147" s="7" t="n"/>
      <c r="L147" s="7" t="n"/>
      <c r="M147" s="65" t="n"/>
      <c r="N147" s="7" t="n"/>
      <c r="O147" s="67" t="n"/>
      <c r="P147" s="68">
        <f>IF($A147="","",COUNTIFS('Ordres de travail'!$D$5:$D$3004,$A147,'Ordres de travail'!$H$5:$H$3004,"Correctif",'Ordres de travail'!$AC$5:$AC$3004,"&lt;&gt;Annulé",'Ordres de travail'!$B$5:$B$3004,"&gt;="&amp;'Paramètres'!$AA$6,'Ordres de travail'!$B$5:$B$3004,"&lt;"&amp;('Paramètres'!$AA$7+1)))</f>
        <v/>
      </c>
      <c r="Q147" s="69">
        <f>IF($A147="","",SUMIFS('Ordres de travail'!$S$5:$S$3004,'Ordres de travail'!$D$5:$D$3004,$A147,'Ordres de travail'!$H$5:$H$3004,"Correctif",'Ordres de travail'!$AC$5:$AC$3004,"&lt;&gt;Annulé",'Ordres de travail'!$B$5:$B$3004,"&gt;="&amp;'Paramètres'!$AA$6,'Ordres de travail'!$B$5:$B$3004,"&lt;"&amp;('Paramètres'!$AA$7+1)))</f>
        <v/>
      </c>
      <c r="R147" s="69">
        <f>IF($A147="","",SUMIFS('Ordres de travail'!$S$5:$S$3004,'Ordres de travail'!$D$5:$D$3004,$A147,'Ordres de travail'!$AC$5:$AC$3004,"&lt;&gt;Annulé",'Ordres de travail'!$B$5:$B$3004,"&gt;="&amp;'Paramètres'!$AA$6,'Ordres de travail'!$B$5:$B$3004,"&lt;"&amp;('Paramètres'!$AA$7+1)))</f>
        <v/>
      </c>
      <c r="S147" s="70">
        <f>IF($A147="","",SUMIFS('Ordres de travail'!$AA$5:$AA$3004,'Ordres de travail'!$D$5:$D$3004,$A147,'Ordres de travail'!$B$5:$B$3004,"&gt;="&amp;'Paramètres'!$AA$6,'Ordres de travail'!$B$5:$B$3004,"&lt;"&amp;('Paramètres'!$AA$7+1)))</f>
        <v/>
      </c>
      <c r="T147" s="68">
        <f>IF($A147="","",IF(P147=0,"-",(O147*'Paramètres'!$AA$8-Q147)/P147))</f>
        <v/>
      </c>
      <c r="U147" s="69">
        <f>IF($A147="","",IF(P147=0,"-",Q147/P147))</f>
        <v/>
      </c>
      <c r="V147" s="71">
        <f>IF($A147="","",IF(N(O147)*'Paramètres'!$AA$8=0,"-",MAX(0,1-R147/(O147*'Paramètres'!$AA$8))))</f>
        <v/>
      </c>
      <c r="W147" s="68">
        <f>IF($A147="","",_xlfn.MAXIFS('Relevés compteurs'!$D$5:$D$1504,'Relevés compteurs'!$B$5:$B$1504,$A147))</f>
        <v/>
      </c>
      <c r="X147" s="69">
        <f>IF(OR($A147="",I147=""),"",(TODAY()-I147)/365.25)</f>
        <v/>
      </c>
      <c r="Y147" s="70">
        <f>IF($A147="","",SUMIFS('Ordres de travail'!$AA$5:$AA$3004,'Ordres de travail'!$D$5:$D$3004,$A147))</f>
        <v/>
      </c>
      <c r="Z147" s="68">
        <f>IF($A147="","",SUM(COUNTIFS('Ordres de travail'!$D$5:$D$3004,$A147,'Ordres de travail'!$AC$5:$AC$3004,{"Demandé","Planifié","En cours","En attente pièces"})))</f>
        <v/>
      </c>
      <c r="AA147" s="9">
        <f>IF(OR($A147="",M147=""),"",IF(M147&lt;TODAY(),"Expirée",IF(M147-TODAY()&lt;='Paramètres'!$AA$15,"Expire bientôt","Sous garantie")))</f>
        <v/>
      </c>
      <c r="AB147" s="72">
        <f>IF($A147="",-1,N(R147)+ROW()/1000000)</f>
        <v/>
      </c>
    </row>
    <row r="148">
      <c r="A148" s="7" t="n"/>
      <c r="B148" s="7" t="n"/>
      <c r="C148" s="7" t="n"/>
      <c r="D148" s="7" t="n"/>
      <c r="E148" s="7" t="n"/>
      <c r="F148" s="7" t="n"/>
      <c r="G148" s="7" t="n"/>
      <c r="H148" s="7" t="n"/>
      <c r="I148" s="65" t="n"/>
      <c r="J148" s="66" t="n"/>
      <c r="K148" s="7" t="n"/>
      <c r="L148" s="7" t="n"/>
      <c r="M148" s="65" t="n"/>
      <c r="N148" s="7" t="n"/>
      <c r="O148" s="67" t="n"/>
      <c r="P148" s="68">
        <f>IF($A148="","",COUNTIFS('Ordres de travail'!$D$5:$D$3004,$A148,'Ordres de travail'!$H$5:$H$3004,"Correctif",'Ordres de travail'!$AC$5:$AC$3004,"&lt;&gt;Annulé",'Ordres de travail'!$B$5:$B$3004,"&gt;="&amp;'Paramètres'!$AA$6,'Ordres de travail'!$B$5:$B$3004,"&lt;"&amp;('Paramètres'!$AA$7+1)))</f>
        <v/>
      </c>
      <c r="Q148" s="69">
        <f>IF($A148="","",SUMIFS('Ordres de travail'!$S$5:$S$3004,'Ordres de travail'!$D$5:$D$3004,$A148,'Ordres de travail'!$H$5:$H$3004,"Correctif",'Ordres de travail'!$AC$5:$AC$3004,"&lt;&gt;Annulé",'Ordres de travail'!$B$5:$B$3004,"&gt;="&amp;'Paramètres'!$AA$6,'Ordres de travail'!$B$5:$B$3004,"&lt;"&amp;('Paramètres'!$AA$7+1)))</f>
        <v/>
      </c>
      <c r="R148" s="69">
        <f>IF($A148="","",SUMIFS('Ordres de travail'!$S$5:$S$3004,'Ordres de travail'!$D$5:$D$3004,$A148,'Ordres de travail'!$AC$5:$AC$3004,"&lt;&gt;Annulé",'Ordres de travail'!$B$5:$B$3004,"&gt;="&amp;'Paramètres'!$AA$6,'Ordres de travail'!$B$5:$B$3004,"&lt;"&amp;('Paramètres'!$AA$7+1)))</f>
        <v/>
      </c>
      <c r="S148" s="70">
        <f>IF($A148="","",SUMIFS('Ordres de travail'!$AA$5:$AA$3004,'Ordres de travail'!$D$5:$D$3004,$A148,'Ordres de travail'!$B$5:$B$3004,"&gt;="&amp;'Paramètres'!$AA$6,'Ordres de travail'!$B$5:$B$3004,"&lt;"&amp;('Paramètres'!$AA$7+1)))</f>
        <v/>
      </c>
      <c r="T148" s="68">
        <f>IF($A148="","",IF(P148=0,"-",(O148*'Paramètres'!$AA$8-Q148)/P148))</f>
        <v/>
      </c>
      <c r="U148" s="69">
        <f>IF($A148="","",IF(P148=0,"-",Q148/P148))</f>
        <v/>
      </c>
      <c r="V148" s="71">
        <f>IF($A148="","",IF(N(O148)*'Paramètres'!$AA$8=0,"-",MAX(0,1-R148/(O148*'Paramètres'!$AA$8))))</f>
        <v/>
      </c>
      <c r="W148" s="68">
        <f>IF($A148="","",_xlfn.MAXIFS('Relevés compteurs'!$D$5:$D$1504,'Relevés compteurs'!$B$5:$B$1504,$A148))</f>
        <v/>
      </c>
      <c r="X148" s="69">
        <f>IF(OR($A148="",I148=""),"",(TODAY()-I148)/365.25)</f>
        <v/>
      </c>
      <c r="Y148" s="70">
        <f>IF($A148="","",SUMIFS('Ordres de travail'!$AA$5:$AA$3004,'Ordres de travail'!$D$5:$D$3004,$A148))</f>
        <v/>
      </c>
      <c r="Z148" s="68">
        <f>IF($A148="","",SUM(COUNTIFS('Ordres de travail'!$D$5:$D$3004,$A148,'Ordres de travail'!$AC$5:$AC$3004,{"Demandé","Planifié","En cours","En attente pièces"})))</f>
        <v/>
      </c>
      <c r="AA148" s="9">
        <f>IF(OR($A148="",M148=""),"",IF(M148&lt;TODAY(),"Expirée",IF(M148-TODAY()&lt;='Paramètres'!$AA$15,"Expire bientôt","Sous garantie")))</f>
        <v/>
      </c>
      <c r="AB148" s="72">
        <f>IF($A148="",-1,N(R148)+ROW()/1000000)</f>
        <v/>
      </c>
    </row>
    <row r="149">
      <c r="A149" s="7" t="n"/>
      <c r="B149" s="7" t="n"/>
      <c r="C149" s="7" t="n"/>
      <c r="D149" s="7" t="n"/>
      <c r="E149" s="7" t="n"/>
      <c r="F149" s="7" t="n"/>
      <c r="G149" s="7" t="n"/>
      <c r="H149" s="7" t="n"/>
      <c r="I149" s="65" t="n"/>
      <c r="J149" s="66" t="n"/>
      <c r="K149" s="7" t="n"/>
      <c r="L149" s="7" t="n"/>
      <c r="M149" s="65" t="n"/>
      <c r="N149" s="7" t="n"/>
      <c r="O149" s="67" t="n"/>
      <c r="P149" s="68">
        <f>IF($A149="","",COUNTIFS('Ordres de travail'!$D$5:$D$3004,$A149,'Ordres de travail'!$H$5:$H$3004,"Correctif",'Ordres de travail'!$AC$5:$AC$3004,"&lt;&gt;Annulé",'Ordres de travail'!$B$5:$B$3004,"&gt;="&amp;'Paramètres'!$AA$6,'Ordres de travail'!$B$5:$B$3004,"&lt;"&amp;('Paramètres'!$AA$7+1)))</f>
        <v/>
      </c>
      <c r="Q149" s="69">
        <f>IF($A149="","",SUMIFS('Ordres de travail'!$S$5:$S$3004,'Ordres de travail'!$D$5:$D$3004,$A149,'Ordres de travail'!$H$5:$H$3004,"Correctif",'Ordres de travail'!$AC$5:$AC$3004,"&lt;&gt;Annulé",'Ordres de travail'!$B$5:$B$3004,"&gt;="&amp;'Paramètres'!$AA$6,'Ordres de travail'!$B$5:$B$3004,"&lt;"&amp;('Paramètres'!$AA$7+1)))</f>
        <v/>
      </c>
      <c r="R149" s="69">
        <f>IF($A149="","",SUMIFS('Ordres de travail'!$S$5:$S$3004,'Ordres de travail'!$D$5:$D$3004,$A149,'Ordres de travail'!$AC$5:$AC$3004,"&lt;&gt;Annulé",'Ordres de travail'!$B$5:$B$3004,"&gt;="&amp;'Paramètres'!$AA$6,'Ordres de travail'!$B$5:$B$3004,"&lt;"&amp;('Paramètres'!$AA$7+1)))</f>
        <v/>
      </c>
      <c r="S149" s="70">
        <f>IF($A149="","",SUMIFS('Ordres de travail'!$AA$5:$AA$3004,'Ordres de travail'!$D$5:$D$3004,$A149,'Ordres de travail'!$B$5:$B$3004,"&gt;="&amp;'Paramètres'!$AA$6,'Ordres de travail'!$B$5:$B$3004,"&lt;"&amp;('Paramètres'!$AA$7+1)))</f>
        <v/>
      </c>
      <c r="T149" s="68">
        <f>IF($A149="","",IF(P149=0,"-",(O149*'Paramètres'!$AA$8-Q149)/P149))</f>
        <v/>
      </c>
      <c r="U149" s="69">
        <f>IF($A149="","",IF(P149=0,"-",Q149/P149))</f>
        <v/>
      </c>
      <c r="V149" s="71">
        <f>IF($A149="","",IF(N(O149)*'Paramètres'!$AA$8=0,"-",MAX(0,1-R149/(O149*'Paramètres'!$AA$8))))</f>
        <v/>
      </c>
      <c r="W149" s="68">
        <f>IF($A149="","",_xlfn.MAXIFS('Relevés compteurs'!$D$5:$D$1504,'Relevés compteurs'!$B$5:$B$1504,$A149))</f>
        <v/>
      </c>
      <c r="X149" s="69">
        <f>IF(OR($A149="",I149=""),"",(TODAY()-I149)/365.25)</f>
        <v/>
      </c>
      <c r="Y149" s="70">
        <f>IF($A149="","",SUMIFS('Ordres de travail'!$AA$5:$AA$3004,'Ordres de travail'!$D$5:$D$3004,$A149))</f>
        <v/>
      </c>
      <c r="Z149" s="68">
        <f>IF($A149="","",SUM(COUNTIFS('Ordres de travail'!$D$5:$D$3004,$A149,'Ordres de travail'!$AC$5:$AC$3004,{"Demandé","Planifié","En cours","En attente pièces"})))</f>
        <v/>
      </c>
      <c r="AA149" s="9">
        <f>IF(OR($A149="",M149=""),"",IF(M149&lt;TODAY(),"Expirée",IF(M149-TODAY()&lt;='Paramètres'!$AA$15,"Expire bientôt","Sous garantie")))</f>
        <v/>
      </c>
      <c r="AB149" s="72">
        <f>IF($A149="",-1,N(R149)+ROW()/1000000)</f>
        <v/>
      </c>
    </row>
    <row r="150">
      <c r="A150" s="7" t="n"/>
      <c r="B150" s="7" t="n"/>
      <c r="C150" s="7" t="n"/>
      <c r="D150" s="7" t="n"/>
      <c r="E150" s="7" t="n"/>
      <c r="F150" s="7" t="n"/>
      <c r="G150" s="7" t="n"/>
      <c r="H150" s="7" t="n"/>
      <c r="I150" s="65" t="n"/>
      <c r="J150" s="66" t="n"/>
      <c r="K150" s="7" t="n"/>
      <c r="L150" s="7" t="n"/>
      <c r="M150" s="65" t="n"/>
      <c r="N150" s="7" t="n"/>
      <c r="O150" s="67" t="n"/>
      <c r="P150" s="68">
        <f>IF($A150="","",COUNTIFS('Ordres de travail'!$D$5:$D$3004,$A150,'Ordres de travail'!$H$5:$H$3004,"Correctif",'Ordres de travail'!$AC$5:$AC$3004,"&lt;&gt;Annulé",'Ordres de travail'!$B$5:$B$3004,"&gt;="&amp;'Paramètres'!$AA$6,'Ordres de travail'!$B$5:$B$3004,"&lt;"&amp;('Paramètres'!$AA$7+1)))</f>
        <v/>
      </c>
      <c r="Q150" s="69">
        <f>IF($A150="","",SUMIFS('Ordres de travail'!$S$5:$S$3004,'Ordres de travail'!$D$5:$D$3004,$A150,'Ordres de travail'!$H$5:$H$3004,"Correctif",'Ordres de travail'!$AC$5:$AC$3004,"&lt;&gt;Annulé",'Ordres de travail'!$B$5:$B$3004,"&gt;="&amp;'Paramètres'!$AA$6,'Ordres de travail'!$B$5:$B$3004,"&lt;"&amp;('Paramètres'!$AA$7+1)))</f>
        <v/>
      </c>
      <c r="R150" s="69">
        <f>IF($A150="","",SUMIFS('Ordres de travail'!$S$5:$S$3004,'Ordres de travail'!$D$5:$D$3004,$A150,'Ordres de travail'!$AC$5:$AC$3004,"&lt;&gt;Annulé",'Ordres de travail'!$B$5:$B$3004,"&gt;="&amp;'Paramètres'!$AA$6,'Ordres de travail'!$B$5:$B$3004,"&lt;"&amp;('Paramètres'!$AA$7+1)))</f>
        <v/>
      </c>
      <c r="S150" s="70">
        <f>IF($A150="","",SUMIFS('Ordres de travail'!$AA$5:$AA$3004,'Ordres de travail'!$D$5:$D$3004,$A150,'Ordres de travail'!$B$5:$B$3004,"&gt;="&amp;'Paramètres'!$AA$6,'Ordres de travail'!$B$5:$B$3004,"&lt;"&amp;('Paramètres'!$AA$7+1)))</f>
        <v/>
      </c>
      <c r="T150" s="68">
        <f>IF($A150="","",IF(P150=0,"-",(O150*'Paramètres'!$AA$8-Q150)/P150))</f>
        <v/>
      </c>
      <c r="U150" s="69">
        <f>IF($A150="","",IF(P150=0,"-",Q150/P150))</f>
        <v/>
      </c>
      <c r="V150" s="71">
        <f>IF($A150="","",IF(N(O150)*'Paramètres'!$AA$8=0,"-",MAX(0,1-R150/(O150*'Paramètres'!$AA$8))))</f>
        <v/>
      </c>
      <c r="W150" s="68">
        <f>IF($A150="","",_xlfn.MAXIFS('Relevés compteurs'!$D$5:$D$1504,'Relevés compteurs'!$B$5:$B$1504,$A150))</f>
        <v/>
      </c>
      <c r="X150" s="69">
        <f>IF(OR($A150="",I150=""),"",(TODAY()-I150)/365.25)</f>
        <v/>
      </c>
      <c r="Y150" s="70">
        <f>IF($A150="","",SUMIFS('Ordres de travail'!$AA$5:$AA$3004,'Ordres de travail'!$D$5:$D$3004,$A150))</f>
        <v/>
      </c>
      <c r="Z150" s="68">
        <f>IF($A150="","",SUM(COUNTIFS('Ordres de travail'!$D$5:$D$3004,$A150,'Ordres de travail'!$AC$5:$AC$3004,{"Demandé","Planifié","En cours","En attente pièces"})))</f>
        <v/>
      </c>
      <c r="AA150" s="9">
        <f>IF(OR($A150="",M150=""),"",IF(M150&lt;TODAY(),"Expirée",IF(M150-TODAY()&lt;='Paramètres'!$AA$15,"Expire bientôt","Sous garantie")))</f>
        <v/>
      </c>
      <c r="AB150" s="72">
        <f>IF($A150="",-1,N(R150)+ROW()/1000000)</f>
        <v/>
      </c>
    </row>
    <row r="151">
      <c r="A151" s="7" t="n"/>
      <c r="B151" s="7" t="n"/>
      <c r="C151" s="7" t="n"/>
      <c r="D151" s="7" t="n"/>
      <c r="E151" s="7" t="n"/>
      <c r="F151" s="7" t="n"/>
      <c r="G151" s="7" t="n"/>
      <c r="H151" s="7" t="n"/>
      <c r="I151" s="65" t="n"/>
      <c r="J151" s="66" t="n"/>
      <c r="K151" s="7" t="n"/>
      <c r="L151" s="7" t="n"/>
      <c r="M151" s="65" t="n"/>
      <c r="N151" s="7" t="n"/>
      <c r="O151" s="67" t="n"/>
      <c r="P151" s="68">
        <f>IF($A151="","",COUNTIFS('Ordres de travail'!$D$5:$D$3004,$A151,'Ordres de travail'!$H$5:$H$3004,"Correctif",'Ordres de travail'!$AC$5:$AC$3004,"&lt;&gt;Annulé",'Ordres de travail'!$B$5:$B$3004,"&gt;="&amp;'Paramètres'!$AA$6,'Ordres de travail'!$B$5:$B$3004,"&lt;"&amp;('Paramètres'!$AA$7+1)))</f>
        <v/>
      </c>
      <c r="Q151" s="69">
        <f>IF($A151="","",SUMIFS('Ordres de travail'!$S$5:$S$3004,'Ordres de travail'!$D$5:$D$3004,$A151,'Ordres de travail'!$H$5:$H$3004,"Correctif",'Ordres de travail'!$AC$5:$AC$3004,"&lt;&gt;Annulé",'Ordres de travail'!$B$5:$B$3004,"&gt;="&amp;'Paramètres'!$AA$6,'Ordres de travail'!$B$5:$B$3004,"&lt;"&amp;('Paramètres'!$AA$7+1)))</f>
        <v/>
      </c>
      <c r="R151" s="69">
        <f>IF($A151="","",SUMIFS('Ordres de travail'!$S$5:$S$3004,'Ordres de travail'!$D$5:$D$3004,$A151,'Ordres de travail'!$AC$5:$AC$3004,"&lt;&gt;Annulé",'Ordres de travail'!$B$5:$B$3004,"&gt;="&amp;'Paramètres'!$AA$6,'Ordres de travail'!$B$5:$B$3004,"&lt;"&amp;('Paramètres'!$AA$7+1)))</f>
        <v/>
      </c>
      <c r="S151" s="70">
        <f>IF($A151="","",SUMIFS('Ordres de travail'!$AA$5:$AA$3004,'Ordres de travail'!$D$5:$D$3004,$A151,'Ordres de travail'!$B$5:$B$3004,"&gt;="&amp;'Paramètres'!$AA$6,'Ordres de travail'!$B$5:$B$3004,"&lt;"&amp;('Paramètres'!$AA$7+1)))</f>
        <v/>
      </c>
      <c r="T151" s="68">
        <f>IF($A151="","",IF(P151=0,"-",(O151*'Paramètres'!$AA$8-Q151)/P151))</f>
        <v/>
      </c>
      <c r="U151" s="69">
        <f>IF($A151="","",IF(P151=0,"-",Q151/P151))</f>
        <v/>
      </c>
      <c r="V151" s="71">
        <f>IF($A151="","",IF(N(O151)*'Paramètres'!$AA$8=0,"-",MAX(0,1-R151/(O151*'Paramètres'!$AA$8))))</f>
        <v/>
      </c>
      <c r="W151" s="68">
        <f>IF($A151="","",_xlfn.MAXIFS('Relevés compteurs'!$D$5:$D$1504,'Relevés compteurs'!$B$5:$B$1504,$A151))</f>
        <v/>
      </c>
      <c r="X151" s="69">
        <f>IF(OR($A151="",I151=""),"",(TODAY()-I151)/365.25)</f>
        <v/>
      </c>
      <c r="Y151" s="70">
        <f>IF($A151="","",SUMIFS('Ordres de travail'!$AA$5:$AA$3004,'Ordres de travail'!$D$5:$D$3004,$A151))</f>
        <v/>
      </c>
      <c r="Z151" s="68">
        <f>IF($A151="","",SUM(COUNTIFS('Ordres de travail'!$D$5:$D$3004,$A151,'Ordres de travail'!$AC$5:$AC$3004,{"Demandé","Planifié","En cours","En attente pièces"})))</f>
        <v/>
      </c>
      <c r="AA151" s="9">
        <f>IF(OR($A151="",M151=""),"",IF(M151&lt;TODAY(),"Expirée",IF(M151-TODAY()&lt;='Paramètres'!$AA$15,"Expire bientôt","Sous garantie")))</f>
        <v/>
      </c>
      <c r="AB151" s="72">
        <f>IF($A151="",-1,N(R151)+ROW()/1000000)</f>
        <v/>
      </c>
    </row>
    <row r="152">
      <c r="A152" s="7" t="n"/>
      <c r="B152" s="7" t="n"/>
      <c r="C152" s="7" t="n"/>
      <c r="D152" s="7" t="n"/>
      <c r="E152" s="7" t="n"/>
      <c r="F152" s="7" t="n"/>
      <c r="G152" s="7" t="n"/>
      <c r="H152" s="7" t="n"/>
      <c r="I152" s="65" t="n"/>
      <c r="J152" s="66" t="n"/>
      <c r="K152" s="7" t="n"/>
      <c r="L152" s="7" t="n"/>
      <c r="M152" s="65" t="n"/>
      <c r="N152" s="7" t="n"/>
      <c r="O152" s="67" t="n"/>
      <c r="P152" s="68">
        <f>IF($A152="","",COUNTIFS('Ordres de travail'!$D$5:$D$3004,$A152,'Ordres de travail'!$H$5:$H$3004,"Correctif",'Ordres de travail'!$AC$5:$AC$3004,"&lt;&gt;Annulé",'Ordres de travail'!$B$5:$B$3004,"&gt;="&amp;'Paramètres'!$AA$6,'Ordres de travail'!$B$5:$B$3004,"&lt;"&amp;('Paramètres'!$AA$7+1)))</f>
        <v/>
      </c>
      <c r="Q152" s="69">
        <f>IF($A152="","",SUMIFS('Ordres de travail'!$S$5:$S$3004,'Ordres de travail'!$D$5:$D$3004,$A152,'Ordres de travail'!$H$5:$H$3004,"Correctif",'Ordres de travail'!$AC$5:$AC$3004,"&lt;&gt;Annulé",'Ordres de travail'!$B$5:$B$3004,"&gt;="&amp;'Paramètres'!$AA$6,'Ordres de travail'!$B$5:$B$3004,"&lt;"&amp;('Paramètres'!$AA$7+1)))</f>
        <v/>
      </c>
      <c r="R152" s="69">
        <f>IF($A152="","",SUMIFS('Ordres de travail'!$S$5:$S$3004,'Ordres de travail'!$D$5:$D$3004,$A152,'Ordres de travail'!$AC$5:$AC$3004,"&lt;&gt;Annulé",'Ordres de travail'!$B$5:$B$3004,"&gt;="&amp;'Paramètres'!$AA$6,'Ordres de travail'!$B$5:$B$3004,"&lt;"&amp;('Paramètres'!$AA$7+1)))</f>
        <v/>
      </c>
      <c r="S152" s="70">
        <f>IF($A152="","",SUMIFS('Ordres de travail'!$AA$5:$AA$3004,'Ordres de travail'!$D$5:$D$3004,$A152,'Ordres de travail'!$B$5:$B$3004,"&gt;="&amp;'Paramètres'!$AA$6,'Ordres de travail'!$B$5:$B$3004,"&lt;"&amp;('Paramètres'!$AA$7+1)))</f>
        <v/>
      </c>
      <c r="T152" s="68">
        <f>IF($A152="","",IF(P152=0,"-",(O152*'Paramètres'!$AA$8-Q152)/P152))</f>
        <v/>
      </c>
      <c r="U152" s="69">
        <f>IF($A152="","",IF(P152=0,"-",Q152/P152))</f>
        <v/>
      </c>
      <c r="V152" s="71">
        <f>IF($A152="","",IF(N(O152)*'Paramètres'!$AA$8=0,"-",MAX(0,1-R152/(O152*'Paramètres'!$AA$8))))</f>
        <v/>
      </c>
      <c r="W152" s="68">
        <f>IF($A152="","",_xlfn.MAXIFS('Relevés compteurs'!$D$5:$D$1504,'Relevés compteurs'!$B$5:$B$1504,$A152))</f>
        <v/>
      </c>
      <c r="X152" s="69">
        <f>IF(OR($A152="",I152=""),"",(TODAY()-I152)/365.25)</f>
        <v/>
      </c>
      <c r="Y152" s="70">
        <f>IF($A152="","",SUMIFS('Ordres de travail'!$AA$5:$AA$3004,'Ordres de travail'!$D$5:$D$3004,$A152))</f>
        <v/>
      </c>
      <c r="Z152" s="68">
        <f>IF($A152="","",SUM(COUNTIFS('Ordres de travail'!$D$5:$D$3004,$A152,'Ordres de travail'!$AC$5:$AC$3004,{"Demandé","Planifié","En cours","En attente pièces"})))</f>
        <v/>
      </c>
      <c r="AA152" s="9">
        <f>IF(OR($A152="",M152=""),"",IF(M152&lt;TODAY(),"Expirée",IF(M152-TODAY()&lt;='Paramètres'!$AA$15,"Expire bientôt","Sous garantie")))</f>
        <v/>
      </c>
      <c r="AB152" s="72">
        <f>IF($A152="",-1,N(R152)+ROW()/1000000)</f>
        <v/>
      </c>
    </row>
    <row r="153">
      <c r="A153" s="7" t="n"/>
      <c r="B153" s="7" t="n"/>
      <c r="C153" s="7" t="n"/>
      <c r="D153" s="7" t="n"/>
      <c r="E153" s="7" t="n"/>
      <c r="F153" s="7" t="n"/>
      <c r="G153" s="7" t="n"/>
      <c r="H153" s="7" t="n"/>
      <c r="I153" s="65" t="n"/>
      <c r="J153" s="66" t="n"/>
      <c r="K153" s="7" t="n"/>
      <c r="L153" s="7" t="n"/>
      <c r="M153" s="65" t="n"/>
      <c r="N153" s="7" t="n"/>
      <c r="O153" s="67" t="n"/>
      <c r="P153" s="68">
        <f>IF($A153="","",COUNTIFS('Ordres de travail'!$D$5:$D$3004,$A153,'Ordres de travail'!$H$5:$H$3004,"Correctif",'Ordres de travail'!$AC$5:$AC$3004,"&lt;&gt;Annulé",'Ordres de travail'!$B$5:$B$3004,"&gt;="&amp;'Paramètres'!$AA$6,'Ordres de travail'!$B$5:$B$3004,"&lt;"&amp;('Paramètres'!$AA$7+1)))</f>
        <v/>
      </c>
      <c r="Q153" s="69">
        <f>IF($A153="","",SUMIFS('Ordres de travail'!$S$5:$S$3004,'Ordres de travail'!$D$5:$D$3004,$A153,'Ordres de travail'!$H$5:$H$3004,"Correctif",'Ordres de travail'!$AC$5:$AC$3004,"&lt;&gt;Annulé",'Ordres de travail'!$B$5:$B$3004,"&gt;="&amp;'Paramètres'!$AA$6,'Ordres de travail'!$B$5:$B$3004,"&lt;"&amp;('Paramètres'!$AA$7+1)))</f>
        <v/>
      </c>
      <c r="R153" s="69">
        <f>IF($A153="","",SUMIFS('Ordres de travail'!$S$5:$S$3004,'Ordres de travail'!$D$5:$D$3004,$A153,'Ordres de travail'!$AC$5:$AC$3004,"&lt;&gt;Annulé",'Ordres de travail'!$B$5:$B$3004,"&gt;="&amp;'Paramètres'!$AA$6,'Ordres de travail'!$B$5:$B$3004,"&lt;"&amp;('Paramètres'!$AA$7+1)))</f>
        <v/>
      </c>
      <c r="S153" s="70">
        <f>IF($A153="","",SUMIFS('Ordres de travail'!$AA$5:$AA$3004,'Ordres de travail'!$D$5:$D$3004,$A153,'Ordres de travail'!$B$5:$B$3004,"&gt;="&amp;'Paramètres'!$AA$6,'Ordres de travail'!$B$5:$B$3004,"&lt;"&amp;('Paramètres'!$AA$7+1)))</f>
        <v/>
      </c>
      <c r="T153" s="68">
        <f>IF($A153="","",IF(P153=0,"-",(O153*'Paramètres'!$AA$8-Q153)/P153))</f>
        <v/>
      </c>
      <c r="U153" s="69">
        <f>IF($A153="","",IF(P153=0,"-",Q153/P153))</f>
        <v/>
      </c>
      <c r="V153" s="71">
        <f>IF($A153="","",IF(N(O153)*'Paramètres'!$AA$8=0,"-",MAX(0,1-R153/(O153*'Paramètres'!$AA$8))))</f>
        <v/>
      </c>
      <c r="W153" s="68">
        <f>IF($A153="","",_xlfn.MAXIFS('Relevés compteurs'!$D$5:$D$1504,'Relevés compteurs'!$B$5:$B$1504,$A153))</f>
        <v/>
      </c>
      <c r="X153" s="69">
        <f>IF(OR($A153="",I153=""),"",(TODAY()-I153)/365.25)</f>
        <v/>
      </c>
      <c r="Y153" s="70">
        <f>IF($A153="","",SUMIFS('Ordres de travail'!$AA$5:$AA$3004,'Ordres de travail'!$D$5:$D$3004,$A153))</f>
        <v/>
      </c>
      <c r="Z153" s="68">
        <f>IF($A153="","",SUM(COUNTIFS('Ordres de travail'!$D$5:$D$3004,$A153,'Ordres de travail'!$AC$5:$AC$3004,{"Demandé","Planifié","En cours","En attente pièces"})))</f>
        <v/>
      </c>
      <c r="AA153" s="9">
        <f>IF(OR($A153="",M153=""),"",IF(M153&lt;TODAY(),"Expirée",IF(M153-TODAY()&lt;='Paramètres'!$AA$15,"Expire bientôt","Sous garantie")))</f>
        <v/>
      </c>
      <c r="AB153" s="72">
        <f>IF($A153="",-1,N(R153)+ROW()/1000000)</f>
        <v/>
      </c>
    </row>
    <row r="154">
      <c r="A154" s="7" t="n"/>
      <c r="B154" s="7" t="n"/>
      <c r="C154" s="7" t="n"/>
      <c r="D154" s="7" t="n"/>
      <c r="E154" s="7" t="n"/>
      <c r="F154" s="7" t="n"/>
      <c r="G154" s="7" t="n"/>
      <c r="H154" s="7" t="n"/>
      <c r="I154" s="65" t="n"/>
      <c r="J154" s="66" t="n"/>
      <c r="K154" s="7" t="n"/>
      <c r="L154" s="7" t="n"/>
      <c r="M154" s="65" t="n"/>
      <c r="N154" s="7" t="n"/>
      <c r="O154" s="67" t="n"/>
      <c r="P154" s="68">
        <f>IF($A154="","",COUNTIFS('Ordres de travail'!$D$5:$D$3004,$A154,'Ordres de travail'!$H$5:$H$3004,"Correctif",'Ordres de travail'!$AC$5:$AC$3004,"&lt;&gt;Annulé",'Ordres de travail'!$B$5:$B$3004,"&gt;="&amp;'Paramètres'!$AA$6,'Ordres de travail'!$B$5:$B$3004,"&lt;"&amp;('Paramètres'!$AA$7+1)))</f>
        <v/>
      </c>
      <c r="Q154" s="69">
        <f>IF($A154="","",SUMIFS('Ordres de travail'!$S$5:$S$3004,'Ordres de travail'!$D$5:$D$3004,$A154,'Ordres de travail'!$H$5:$H$3004,"Correctif",'Ordres de travail'!$AC$5:$AC$3004,"&lt;&gt;Annulé",'Ordres de travail'!$B$5:$B$3004,"&gt;="&amp;'Paramètres'!$AA$6,'Ordres de travail'!$B$5:$B$3004,"&lt;"&amp;('Paramètres'!$AA$7+1)))</f>
        <v/>
      </c>
      <c r="R154" s="69">
        <f>IF($A154="","",SUMIFS('Ordres de travail'!$S$5:$S$3004,'Ordres de travail'!$D$5:$D$3004,$A154,'Ordres de travail'!$AC$5:$AC$3004,"&lt;&gt;Annulé",'Ordres de travail'!$B$5:$B$3004,"&gt;="&amp;'Paramètres'!$AA$6,'Ordres de travail'!$B$5:$B$3004,"&lt;"&amp;('Paramètres'!$AA$7+1)))</f>
        <v/>
      </c>
      <c r="S154" s="70">
        <f>IF($A154="","",SUMIFS('Ordres de travail'!$AA$5:$AA$3004,'Ordres de travail'!$D$5:$D$3004,$A154,'Ordres de travail'!$B$5:$B$3004,"&gt;="&amp;'Paramètres'!$AA$6,'Ordres de travail'!$B$5:$B$3004,"&lt;"&amp;('Paramètres'!$AA$7+1)))</f>
        <v/>
      </c>
      <c r="T154" s="68">
        <f>IF($A154="","",IF(P154=0,"-",(O154*'Paramètres'!$AA$8-Q154)/P154))</f>
        <v/>
      </c>
      <c r="U154" s="69">
        <f>IF($A154="","",IF(P154=0,"-",Q154/P154))</f>
        <v/>
      </c>
      <c r="V154" s="71">
        <f>IF($A154="","",IF(N(O154)*'Paramètres'!$AA$8=0,"-",MAX(0,1-R154/(O154*'Paramètres'!$AA$8))))</f>
        <v/>
      </c>
      <c r="W154" s="68">
        <f>IF($A154="","",_xlfn.MAXIFS('Relevés compteurs'!$D$5:$D$1504,'Relevés compteurs'!$B$5:$B$1504,$A154))</f>
        <v/>
      </c>
      <c r="X154" s="69">
        <f>IF(OR($A154="",I154=""),"",(TODAY()-I154)/365.25)</f>
        <v/>
      </c>
      <c r="Y154" s="70">
        <f>IF($A154="","",SUMIFS('Ordres de travail'!$AA$5:$AA$3004,'Ordres de travail'!$D$5:$D$3004,$A154))</f>
        <v/>
      </c>
      <c r="Z154" s="68">
        <f>IF($A154="","",SUM(COUNTIFS('Ordres de travail'!$D$5:$D$3004,$A154,'Ordres de travail'!$AC$5:$AC$3004,{"Demandé","Planifié","En cours","En attente pièces"})))</f>
        <v/>
      </c>
      <c r="AA154" s="9">
        <f>IF(OR($A154="",M154=""),"",IF(M154&lt;TODAY(),"Expirée",IF(M154-TODAY()&lt;='Paramètres'!$AA$15,"Expire bientôt","Sous garantie")))</f>
        <v/>
      </c>
      <c r="AB154" s="72">
        <f>IF($A154="",-1,N(R154)+ROW()/1000000)</f>
        <v/>
      </c>
    </row>
    <row r="155">
      <c r="A155" s="7" t="n"/>
      <c r="B155" s="7" t="n"/>
      <c r="C155" s="7" t="n"/>
      <c r="D155" s="7" t="n"/>
      <c r="E155" s="7" t="n"/>
      <c r="F155" s="7" t="n"/>
      <c r="G155" s="7" t="n"/>
      <c r="H155" s="7" t="n"/>
      <c r="I155" s="65" t="n"/>
      <c r="J155" s="66" t="n"/>
      <c r="K155" s="7" t="n"/>
      <c r="L155" s="7" t="n"/>
      <c r="M155" s="65" t="n"/>
      <c r="N155" s="7" t="n"/>
      <c r="O155" s="67" t="n"/>
      <c r="P155" s="68">
        <f>IF($A155="","",COUNTIFS('Ordres de travail'!$D$5:$D$3004,$A155,'Ordres de travail'!$H$5:$H$3004,"Correctif",'Ordres de travail'!$AC$5:$AC$3004,"&lt;&gt;Annulé",'Ordres de travail'!$B$5:$B$3004,"&gt;="&amp;'Paramètres'!$AA$6,'Ordres de travail'!$B$5:$B$3004,"&lt;"&amp;('Paramètres'!$AA$7+1)))</f>
        <v/>
      </c>
      <c r="Q155" s="69">
        <f>IF($A155="","",SUMIFS('Ordres de travail'!$S$5:$S$3004,'Ordres de travail'!$D$5:$D$3004,$A155,'Ordres de travail'!$H$5:$H$3004,"Correctif",'Ordres de travail'!$AC$5:$AC$3004,"&lt;&gt;Annulé",'Ordres de travail'!$B$5:$B$3004,"&gt;="&amp;'Paramètres'!$AA$6,'Ordres de travail'!$B$5:$B$3004,"&lt;"&amp;('Paramètres'!$AA$7+1)))</f>
        <v/>
      </c>
      <c r="R155" s="69">
        <f>IF($A155="","",SUMIFS('Ordres de travail'!$S$5:$S$3004,'Ordres de travail'!$D$5:$D$3004,$A155,'Ordres de travail'!$AC$5:$AC$3004,"&lt;&gt;Annulé",'Ordres de travail'!$B$5:$B$3004,"&gt;="&amp;'Paramètres'!$AA$6,'Ordres de travail'!$B$5:$B$3004,"&lt;"&amp;('Paramètres'!$AA$7+1)))</f>
        <v/>
      </c>
      <c r="S155" s="70">
        <f>IF($A155="","",SUMIFS('Ordres de travail'!$AA$5:$AA$3004,'Ordres de travail'!$D$5:$D$3004,$A155,'Ordres de travail'!$B$5:$B$3004,"&gt;="&amp;'Paramètres'!$AA$6,'Ordres de travail'!$B$5:$B$3004,"&lt;"&amp;('Paramètres'!$AA$7+1)))</f>
        <v/>
      </c>
      <c r="T155" s="68">
        <f>IF($A155="","",IF(P155=0,"-",(O155*'Paramètres'!$AA$8-Q155)/P155))</f>
        <v/>
      </c>
      <c r="U155" s="69">
        <f>IF($A155="","",IF(P155=0,"-",Q155/P155))</f>
        <v/>
      </c>
      <c r="V155" s="71">
        <f>IF($A155="","",IF(N(O155)*'Paramètres'!$AA$8=0,"-",MAX(0,1-R155/(O155*'Paramètres'!$AA$8))))</f>
        <v/>
      </c>
      <c r="W155" s="68">
        <f>IF($A155="","",_xlfn.MAXIFS('Relevés compteurs'!$D$5:$D$1504,'Relevés compteurs'!$B$5:$B$1504,$A155))</f>
        <v/>
      </c>
      <c r="X155" s="69">
        <f>IF(OR($A155="",I155=""),"",(TODAY()-I155)/365.25)</f>
        <v/>
      </c>
      <c r="Y155" s="70">
        <f>IF($A155="","",SUMIFS('Ordres de travail'!$AA$5:$AA$3004,'Ordres de travail'!$D$5:$D$3004,$A155))</f>
        <v/>
      </c>
      <c r="Z155" s="68">
        <f>IF($A155="","",SUM(COUNTIFS('Ordres de travail'!$D$5:$D$3004,$A155,'Ordres de travail'!$AC$5:$AC$3004,{"Demandé","Planifié","En cours","En attente pièces"})))</f>
        <v/>
      </c>
      <c r="AA155" s="9">
        <f>IF(OR($A155="",M155=""),"",IF(M155&lt;TODAY(),"Expirée",IF(M155-TODAY()&lt;='Paramètres'!$AA$15,"Expire bientôt","Sous garantie")))</f>
        <v/>
      </c>
      <c r="AB155" s="72">
        <f>IF($A155="",-1,N(R155)+ROW()/1000000)</f>
        <v/>
      </c>
    </row>
    <row r="156">
      <c r="A156" s="7" t="n"/>
      <c r="B156" s="7" t="n"/>
      <c r="C156" s="7" t="n"/>
      <c r="D156" s="7" t="n"/>
      <c r="E156" s="7" t="n"/>
      <c r="F156" s="7" t="n"/>
      <c r="G156" s="7" t="n"/>
      <c r="H156" s="7" t="n"/>
      <c r="I156" s="65" t="n"/>
      <c r="J156" s="66" t="n"/>
      <c r="K156" s="7" t="n"/>
      <c r="L156" s="7" t="n"/>
      <c r="M156" s="65" t="n"/>
      <c r="N156" s="7" t="n"/>
      <c r="O156" s="67" t="n"/>
      <c r="P156" s="68">
        <f>IF($A156="","",COUNTIFS('Ordres de travail'!$D$5:$D$3004,$A156,'Ordres de travail'!$H$5:$H$3004,"Correctif",'Ordres de travail'!$AC$5:$AC$3004,"&lt;&gt;Annulé",'Ordres de travail'!$B$5:$B$3004,"&gt;="&amp;'Paramètres'!$AA$6,'Ordres de travail'!$B$5:$B$3004,"&lt;"&amp;('Paramètres'!$AA$7+1)))</f>
        <v/>
      </c>
      <c r="Q156" s="69">
        <f>IF($A156="","",SUMIFS('Ordres de travail'!$S$5:$S$3004,'Ordres de travail'!$D$5:$D$3004,$A156,'Ordres de travail'!$H$5:$H$3004,"Correctif",'Ordres de travail'!$AC$5:$AC$3004,"&lt;&gt;Annulé",'Ordres de travail'!$B$5:$B$3004,"&gt;="&amp;'Paramètres'!$AA$6,'Ordres de travail'!$B$5:$B$3004,"&lt;"&amp;('Paramètres'!$AA$7+1)))</f>
        <v/>
      </c>
      <c r="R156" s="69">
        <f>IF($A156="","",SUMIFS('Ordres de travail'!$S$5:$S$3004,'Ordres de travail'!$D$5:$D$3004,$A156,'Ordres de travail'!$AC$5:$AC$3004,"&lt;&gt;Annulé",'Ordres de travail'!$B$5:$B$3004,"&gt;="&amp;'Paramètres'!$AA$6,'Ordres de travail'!$B$5:$B$3004,"&lt;"&amp;('Paramètres'!$AA$7+1)))</f>
        <v/>
      </c>
      <c r="S156" s="70">
        <f>IF($A156="","",SUMIFS('Ordres de travail'!$AA$5:$AA$3004,'Ordres de travail'!$D$5:$D$3004,$A156,'Ordres de travail'!$B$5:$B$3004,"&gt;="&amp;'Paramètres'!$AA$6,'Ordres de travail'!$B$5:$B$3004,"&lt;"&amp;('Paramètres'!$AA$7+1)))</f>
        <v/>
      </c>
      <c r="T156" s="68">
        <f>IF($A156="","",IF(P156=0,"-",(O156*'Paramètres'!$AA$8-Q156)/P156))</f>
        <v/>
      </c>
      <c r="U156" s="69">
        <f>IF($A156="","",IF(P156=0,"-",Q156/P156))</f>
        <v/>
      </c>
      <c r="V156" s="71">
        <f>IF($A156="","",IF(N(O156)*'Paramètres'!$AA$8=0,"-",MAX(0,1-R156/(O156*'Paramètres'!$AA$8))))</f>
        <v/>
      </c>
      <c r="W156" s="68">
        <f>IF($A156="","",_xlfn.MAXIFS('Relevés compteurs'!$D$5:$D$1504,'Relevés compteurs'!$B$5:$B$1504,$A156))</f>
        <v/>
      </c>
      <c r="X156" s="69">
        <f>IF(OR($A156="",I156=""),"",(TODAY()-I156)/365.25)</f>
        <v/>
      </c>
      <c r="Y156" s="70">
        <f>IF($A156="","",SUMIFS('Ordres de travail'!$AA$5:$AA$3004,'Ordres de travail'!$D$5:$D$3004,$A156))</f>
        <v/>
      </c>
      <c r="Z156" s="68">
        <f>IF($A156="","",SUM(COUNTIFS('Ordres de travail'!$D$5:$D$3004,$A156,'Ordres de travail'!$AC$5:$AC$3004,{"Demandé","Planifié","En cours","En attente pièces"})))</f>
        <v/>
      </c>
      <c r="AA156" s="9">
        <f>IF(OR($A156="",M156=""),"",IF(M156&lt;TODAY(),"Expirée",IF(M156-TODAY()&lt;='Paramètres'!$AA$15,"Expire bientôt","Sous garantie")))</f>
        <v/>
      </c>
      <c r="AB156" s="72">
        <f>IF($A156="",-1,N(R156)+ROW()/1000000)</f>
        <v/>
      </c>
    </row>
    <row r="157">
      <c r="A157" s="7" t="n"/>
      <c r="B157" s="7" t="n"/>
      <c r="C157" s="7" t="n"/>
      <c r="D157" s="7" t="n"/>
      <c r="E157" s="7" t="n"/>
      <c r="F157" s="7" t="n"/>
      <c r="G157" s="7" t="n"/>
      <c r="H157" s="7" t="n"/>
      <c r="I157" s="65" t="n"/>
      <c r="J157" s="66" t="n"/>
      <c r="K157" s="7" t="n"/>
      <c r="L157" s="7" t="n"/>
      <c r="M157" s="65" t="n"/>
      <c r="N157" s="7" t="n"/>
      <c r="O157" s="67" t="n"/>
      <c r="P157" s="68">
        <f>IF($A157="","",COUNTIFS('Ordres de travail'!$D$5:$D$3004,$A157,'Ordres de travail'!$H$5:$H$3004,"Correctif",'Ordres de travail'!$AC$5:$AC$3004,"&lt;&gt;Annulé",'Ordres de travail'!$B$5:$B$3004,"&gt;="&amp;'Paramètres'!$AA$6,'Ordres de travail'!$B$5:$B$3004,"&lt;"&amp;('Paramètres'!$AA$7+1)))</f>
        <v/>
      </c>
      <c r="Q157" s="69">
        <f>IF($A157="","",SUMIFS('Ordres de travail'!$S$5:$S$3004,'Ordres de travail'!$D$5:$D$3004,$A157,'Ordres de travail'!$H$5:$H$3004,"Correctif",'Ordres de travail'!$AC$5:$AC$3004,"&lt;&gt;Annulé",'Ordres de travail'!$B$5:$B$3004,"&gt;="&amp;'Paramètres'!$AA$6,'Ordres de travail'!$B$5:$B$3004,"&lt;"&amp;('Paramètres'!$AA$7+1)))</f>
        <v/>
      </c>
      <c r="R157" s="69">
        <f>IF($A157="","",SUMIFS('Ordres de travail'!$S$5:$S$3004,'Ordres de travail'!$D$5:$D$3004,$A157,'Ordres de travail'!$AC$5:$AC$3004,"&lt;&gt;Annulé",'Ordres de travail'!$B$5:$B$3004,"&gt;="&amp;'Paramètres'!$AA$6,'Ordres de travail'!$B$5:$B$3004,"&lt;"&amp;('Paramètres'!$AA$7+1)))</f>
        <v/>
      </c>
      <c r="S157" s="70">
        <f>IF($A157="","",SUMIFS('Ordres de travail'!$AA$5:$AA$3004,'Ordres de travail'!$D$5:$D$3004,$A157,'Ordres de travail'!$B$5:$B$3004,"&gt;="&amp;'Paramètres'!$AA$6,'Ordres de travail'!$B$5:$B$3004,"&lt;"&amp;('Paramètres'!$AA$7+1)))</f>
        <v/>
      </c>
      <c r="T157" s="68">
        <f>IF($A157="","",IF(P157=0,"-",(O157*'Paramètres'!$AA$8-Q157)/P157))</f>
        <v/>
      </c>
      <c r="U157" s="69">
        <f>IF($A157="","",IF(P157=0,"-",Q157/P157))</f>
        <v/>
      </c>
      <c r="V157" s="71">
        <f>IF($A157="","",IF(N(O157)*'Paramètres'!$AA$8=0,"-",MAX(0,1-R157/(O157*'Paramètres'!$AA$8))))</f>
        <v/>
      </c>
      <c r="W157" s="68">
        <f>IF($A157="","",_xlfn.MAXIFS('Relevés compteurs'!$D$5:$D$1504,'Relevés compteurs'!$B$5:$B$1504,$A157))</f>
        <v/>
      </c>
      <c r="X157" s="69">
        <f>IF(OR($A157="",I157=""),"",(TODAY()-I157)/365.25)</f>
        <v/>
      </c>
      <c r="Y157" s="70">
        <f>IF($A157="","",SUMIFS('Ordres de travail'!$AA$5:$AA$3004,'Ordres de travail'!$D$5:$D$3004,$A157))</f>
        <v/>
      </c>
      <c r="Z157" s="68">
        <f>IF($A157="","",SUM(COUNTIFS('Ordres de travail'!$D$5:$D$3004,$A157,'Ordres de travail'!$AC$5:$AC$3004,{"Demandé","Planifié","En cours","En attente pièces"})))</f>
        <v/>
      </c>
      <c r="AA157" s="9">
        <f>IF(OR($A157="",M157=""),"",IF(M157&lt;TODAY(),"Expirée",IF(M157-TODAY()&lt;='Paramètres'!$AA$15,"Expire bientôt","Sous garantie")))</f>
        <v/>
      </c>
      <c r="AB157" s="72">
        <f>IF($A157="",-1,N(R157)+ROW()/1000000)</f>
        <v/>
      </c>
    </row>
    <row r="158">
      <c r="A158" s="7" t="n"/>
      <c r="B158" s="7" t="n"/>
      <c r="C158" s="7" t="n"/>
      <c r="D158" s="7" t="n"/>
      <c r="E158" s="7" t="n"/>
      <c r="F158" s="7" t="n"/>
      <c r="G158" s="7" t="n"/>
      <c r="H158" s="7" t="n"/>
      <c r="I158" s="65" t="n"/>
      <c r="J158" s="66" t="n"/>
      <c r="K158" s="7" t="n"/>
      <c r="L158" s="7" t="n"/>
      <c r="M158" s="65" t="n"/>
      <c r="N158" s="7" t="n"/>
      <c r="O158" s="67" t="n"/>
      <c r="P158" s="68">
        <f>IF($A158="","",COUNTIFS('Ordres de travail'!$D$5:$D$3004,$A158,'Ordres de travail'!$H$5:$H$3004,"Correctif",'Ordres de travail'!$AC$5:$AC$3004,"&lt;&gt;Annulé",'Ordres de travail'!$B$5:$B$3004,"&gt;="&amp;'Paramètres'!$AA$6,'Ordres de travail'!$B$5:$B$3004,"&lt;"&amp;('Paramètres'!$AA$7+1)))</f>
        <v/>
      </c>
      <c r="Q158" s="69">
        <f>IF($A158="","",SUMIFS('Ordres de travail'!$S$5:$S$3004,'Ordres de travail'!$D$5:$D$3004,$A158,'Ordres de travail'!$H$5:$H$3004,"Correctif",'Ordres de travail'!$AC$5:$AC$3004,"&lt;&gt;Annulé",'Ordres de travail'!$B$5:$B$3004,"&gt;="&amp;'Paramètres'!$AA$6,'Ordres de travail'!$B$5:$B$3004,"&lt;"&amp;('Paramètres'!$AA$7+1)))</f>
        <v/>
      </c>
      <c r="R158" s="69">
        <f>IF($A158="","",SUMIFS('Ordres de travail'!$S$5:$S$3004,'Ordres de travail'!$D$5:$D$3004,$A158,'Ordres de travail'!$AC$5:$AC$3004,"&lt;&gt;Annulé",'Ordres de travail'!$B$5:$B$3004,"&gt;="&amp;'Paramètres'!$AA$6,'Ordres de travail'!$B$5:$B$3004,"&lt;"&amp;('Paramètres'!$AA$7+1)))</f>
        <v/>
      </c>
      <c r="S158" s="70">
        <f>IF($A158="","",SUMIFS('Ordres de travail'!$AA$5:$AA$3004,'Ordres de travail'!$D$5:$D$3004,$A158,'Ordres de travail'!$B$5:$B$3004,"&gt;="&amp;'Paramètres'!$AA$6,'Ordres de travail'!$B$5:$B$3004,"&lt;"&amp;('Paramètres'!$AA$7+1)))</f>
        <v/>
      </c>
      <c r="T158" s="68">
        <f>IF($A158="","",IF(P158=0,"-",(O158*'Paramètres'!$AA$8-Q158)/P158))</f>
        <v/>
      </c>
      <c r="U158" s="69">
        <f>IF($A158="","",IF(P158=0,"-",Q158/P158))</f>
        <v/>
      </c>
      <c r="V158" s="71">
        <f>IF($A158="","",IF(N(O158)*'Paramètres'!$AA$8=0,"-",MAX(0,1-R158/(O158*'Paramètres'!$AA$8))))</f>
        <v/>
      </c>
      <c r="W158" s="68">
        <f>IF($A158="","",_xlfn.MAXIFS('Relevés compteurs'!$D$5:$D$1504,'Relevés compteurs'!$B$5:$B$1504,$A158))</f>
        <v/>
      </c>
      <c r="X158" s="69">
        <f>IF(OR($A158="",I158=""),"",(TODAY()-I158)/365.25)</f>
        <v/>
      </c>
      <c r="Y158" s="70">
        <f>IF($A158="","",SUMIFS('Ordres de travail'!$AA$5:$AA$3004,'Ordres de travail'!$D$5:$D$3004,$A158))</f>
        <v/>
      </c>
      <c r="Z158" s="68">
        <f>IF($A158="","",SUM(COUNTIFS('Ordres de travail'!$D$5:$D$3004,$A158,'Ordres de travail'!$AC$5:$AC$3004,{"Demandé","Planifié","En cours","En attente pièces"})))</f>
        <v/>
      </c>
      <c r="AA158" s="9">
        <f>IF(OR($A158="",M158=""),"",IF(M158&lt;TODAY(),"Expirée",IF(M158-TODAY()&lt;='Paramètres'!$AA$15,"Expire bientôt","Sous garantie")))</f>
        <v/>
      </c>
      <c r="AB158" s="72">
        <f>IF($A158="",-1,N(R158)+ROW()/1000000)</f>
        <v/>
      </c>
    </row>
    <row r="159">
      <c r="A159" s="7" t="n"/>
      <c r="B159" s="7" t="n"/>
      <c r="C159" s="7" t="n"/>
      <c r="D159" s="7" t="n"/>
      <c r="E159" s="7" t="n"/>
      <c r="F159" s="7" t="n"/>
      <c r="G159" s="7" t="n"/>
      <c r="H159" s="7" t="n"/>
      <c r="I159" s="65" t="n"/>
      <c r="J159" s="66" t="n"/>
      <c r="K159" s="7" t="n"/>
      <c r="L159" s="7" t="n"/>
      <c r="M159" s="65" t="n"/>
      <c r="N159" s="7" t="n"/>
      <c r="O159" s="67" t="n"/>
      <c r="P159" s="68">
        <f>IF($A159="","",COUNTIFS('Ordres de travail'!$D$5:$D$3004,$A159,'Ordres de travail'!$H$5:$H$3004,"Correctif",'Ordres de travail'!$AC$5:$AC$3004,"&lt;&gt;Annulé",'Ordres de travail'!$B$5:$B$3004,"&gt;="&amp;'Paramètres'!$AA$6,'Ordres de travail'!$B$5:$B$3004,"&lt;"&amp;('Paramètres'!$AA$7+1)))</f>
        <v/>
      </c>
      <c r="Q159" s="69">
        <f>IF($A159="","",SUMIFS('Ordres de travail'!$S$5:$S$3004,'Ordres de travail'!$D$5:$D$3004,$A159,'Ordres de travail'!$H$5:$H$3004,"Correctif",'Ordres de travail'!$AC$5:$AC$3004,"&lt;&gt;Annulé",'Ordres de travail'!$B$5:$B$3004,"&gt;="&amp;'Paramètres'!$AA$6,'Ordres de travail'!$B$5:$B$3004,"&lt;"&amp;('Paramètres'!$AA$7+1)))</f>
        <v/>
      </c>
      <c r="R159" s="69">
        <f>IF($A159="","",SUMIFS('Ordres de travail'!$S$5:$S$3004,'Ordres de travail'!$D$5:$D$3004,$A159,'Ordres de travail'!$AC$5:$AC$3004,"&lt;&gt;Annulé",'Ordres de travail'!$B$5:$B$3004,"&gt;="&amp;'Paramètres'!$AA$6,'Ordres de travail'!$B$5:$B$3004,"&lt;"&amp;('Paramètres'!$AA$7+1)))</f>
        <v/>
      </c>
      <c r="S159" s="70">
        <f>IF($A159="","",SUMIFS('Ordres de travail'!$AA$5:$AA$3004,'Ordres de travail'!$D$5:$D$3004,$A159,'Ordres de travail'!$B$5:$B$3004,"&gt;="&amp;'Paramètres'!$AA$6,'Ordres de travail'!$B$5:$B$3004,"&lt;"&amp;('Paramètres'!$AA$7+1)))</f>
        <v/>
      </c>
      <c r="T159" s="68">
        <f>IF($A159="","",IF(P159=0,"-",(O159*'Paramètres'!$AA$8-Q159)/P159))</f>
        <v/>
      </c>
      <c r="U159" s="69">
        <f>IF($A159="","",IF(P159=0,"-",Q159/P159))</f>
        <v/>
      </c>
      <c r="V159" s="71">
        <f>IF($A159="","",IF(N(O159)*'Paramètres'!$AA$8=0,"-",MAX(0,1-R159/(O159*'Paramètres'!$AA$8))))</f>
        <v/>
      </c>
      <c r="W159" s="68">
        <f>IF($A159="","",_xlfn.MAXIFS('Relevés compteurs'!$D$5:$D$1504,'Relevés compteurs'!$B$5:$B$1504,$A159))</f>
        <v/>
      </c>
      <c r="X159" s="69">
        <f>IF(OR($A159="",I159=""),"",(TODAY()-I159)/365.25)</f>
        <v/>
      </c>
      <c r="Y159" s="70">
        <f>IF($A159="","",SUMIFS('Ordres de travail'!$AA$5:$AA$3004,'Ordres de travail'!$D$5:$D$3004,$A159))</f>
        <v/>
      </c>
      <c r="Z159" s="68">
        <f>IF($A159="","",SUM(COUNTIFS('Ordres de travail'!$D$5:$D$3004,$A159,'Ordres de travail'!$AC$5:$AC$3004,{"Demandé","Planifié","En cours","En attente pièces"})))</f>
        <v/>
      </c>
      <c r="AA159" s="9">
        <f>IF(OR($A159="",M159=""),"",IF(M159&lt;TODAY(),"Expirée",IF(M159-TODAY()&lt;='Paramètres'!$AA$15,"Expire bientôt","Sous garantie")))</f>
        <v/>
      </c>
      <c r="AB159" s="72">
        <f>IF($A159="",-1,N(R159)+ROW()/1000000)</f>
        <v/>
      </c>
    </row>
    <row r="160">
      <c r="A160" s="7" t="n"/>
      <c r="B160" s="7" t="n"/>
      <c r="C160" s="7" t="n"/>
      <c r="D160" s="7" t="n"/>
      <c r="E160" s="7" t="n"/>
      <c r="F160" s="7" t="n"/>
      <c r="G160" s="7" t="n"/>
      <c r="H160" s="7" t="n"/>
      <c r="I160" s="65" t="n"/>
      <c r="J160" s="66" t="n"/>
      <c r="K160" s="7" t="n"/>
      <c r="L160" s="7" t="n"/>
      <c r="M160" s="65" t="n"/>
      <c r="N160" s="7" t="n"/>
      <c r="O160" s="67" t="n"/>
      <c r="P160" s="68">
        <f>IF($A160="","",COUNTIFS('Ordres de travail'!$D$5:$D$3004,$A160,'Ordres de travail'!$H$5:$H$3004,"Correctif",'Ordres de travail'!$AC$5:$AC$3004,"&lt;&gt;Annulé",'Ordres de travail'!$B$5:$B$3004,"&gt;="&amp;'Paramètres'!$AA$6,'Ordres de travail'!$B$5:$B$3004,"&lt;"&amp;('Paramètres'!$AA$7+1)))</f>
        <v/>
      </c>
      <c r="Q160" s="69">
        <f>IF($A160="","",SUMIFS('Ordres de travail'!$S$5:$S$3004,'Ordres de travail'!$D$5:$D$3004,$A160,'Ordres de travail'!$H$5:$H$3004,"Correctif",'Ordres de travail'!$AC$5:$AC$3004,"&lt;&gt;Annulé",'Ordres de travail'!$B$5:$B$3004,"&gt;="&amp;'Paramètres'!$AA$6,'Ordres de travail'!$B$5:$B$3004,"&lt;"&amp;('Paramètres'!$AA$7+1)))</f>
        <v/>
      </c>
      <c r="R160" s="69">
        <f>IF($A160="","",SUMIFS('Ordres de travail'!$S$5:$S$3004,'Ordres de travail'!$D$5:$D$3004,$A160,'Ordres de travail'!$AC$5:$AC$3004,"&lt;&gt;Annulé",'Ordres de travail'!$B$5:$B$3004,"&gt;="&amp;'Paramètres'!$AA$6,'Ordres de travail'!$B$5:$B$3004,"&lt;"&amp;('Paramètres'!$AA$7+1)))</f>
        <v/>
      </c>
      <c r="S160" s="70">
        <f>IF($A160="","",SUMIFS('Ordres de travail'!$AA$5:$AA$3004,'Ordres de travail'!$D$5:$D$3004,$A160,'Ordres de travail'!$B$5:$B$3004,"&gt;="&amp;'Paramètres'!$AA$6,'Ordres de travail'!$B$5:$B$3004,"&lt;"&amp;('Paramètres'!$AA$7+1)))</f>
        <v/>
      </c>
      <c r="T160" s="68">
        <f>IF($A160="","",IF(P160=0,"-",(O160*'Paramètres'!$AA$8-Q160)/P160))</f>
        <v/>
      </c>
      <c r="U160" s="69">
        <f>IF($A160="","",IF(P160=0,"-",Q160/P160))</f>
        <v/>
      </c>
      <c r="V160" s="71">
        <f>IF($A160="","",IF(N(O160)*'Paramètres'!$AA$8=0,"-",MAX(0,1-R160/(O160*'Paramètres'!$AA$8))))</f>
        <v/>
      </c>
      <c r="W160" s="68">
        <f>IF($A160="","",_xlfn.MAXIFS('Relevés compteurs'!$D$5:$D$1504,'Relevés compteurs'!$B$5:$B$1504,$A160))</f>
        <v/>
      </c>
      <c r="X160" s="69">
        <f>IF(OR($A160="",I160=""),"",(TODAY()-I160)/365.25)</f>
        <v/>
      </c>
      <c r="Y160" s="70">
        <f>IF($A160="","",SUMIFS('Ordres de travail'!$AA$5:$AA$3004,'Ordres de travail'!$D$5:$D$3004,$A160))</f>
        <v/>
      </c>
      <c r="Z160" s="68">
        <f>IF($A160="","",SUM(COUNTIFS('Ordres de travail'!$D$5:$D$3004,$A160,'Ordres de travail'!$AC$5:$AC$3004,{"Demandé","Planifié","En cours","En attente pièces"})))</f>
        <v/>
      </c>
      <c r="AA160" s="9">
        <f>IF(OR($A160="",M160=""),"",IF(M160&lt;TODAY(),"Expirée",IF(M160-TODAY()&lt;='Paramètres'!$AA$15,"Expire bientôt","Sous garantie")))</f>
        <v/>
      </c>
      <c r="AB160" s="72">
        <f>IF($A160="",-1,N(R160)+ROW()/1000000)</f>
        <v/>
      </c>
    </row>
    <row r="161">
      <c r="A161" s="7" t="n"/>
      <c r="B161" s="7" t="n"/>
      <c r="C161" s="7" t="n"/>
      <c r="D161" s="7" t="n"/>
      <c r="E161" s="7" t="n"/>
      <c r="F161" s="7" t="n"/>
      <c r="G161" s="7" t="n"/>
      <c r="H161" s="7" t="n"/>
      <c r="I161" s="65" t="n"/>
      <c r="J161" s="66" t="n"/>
      <c r="K161" s="7" t="n"/>
      <c r="L161" s="7" t="n"/>
      <c r="M161" s="65" t="n"/>
      <c r="N161" s="7" t="n"/>
      <c r="O161" s="67" t="n"/>
      <c r="P161" s="68">
        <f>IF($A161="","",COUNTIFS('Ordres de travail'!$D$5:$D$3004,$A161,'Ordres de travail'!$H$5:$H$3004,"Correctif",'Ordres de travail'!$AC$5:$AC$3004,"&lt;&gt;Annulé",'Ordres de travail'!$B$5:$B$3004,"&gt;="&amp;'Paramètres'!$AA$6,'Ordres de travail'!$B$5:$B$3004,"&lt;"&amp;('Paramètres'!$AA$7+1)))</f>
        <v/>
      </c>
      <c r="Q161" s="69">
        <f>IF($A161="","",SUMIFS('Ordres de travail'!$S$5:$S$3004,'Ordres de travail'!$D$5:$D$3004,$A161,'Ordres de travail'!$H$5:$H$3004,"Correctif",'Ordres de travail'!$AC$5:$AC$3004,"&lt;&gt;Annulé",'Ordres de travail'!$B$5:$B$3004,"&gt;="&amp;'Paramètres'!$AA$6,'Ordres de travail'!$B$5:$B$3004,"&lt;"&amp;('Paramètres'!$AA$7+1)))</f>
        <v/>
      </c>
      <c r="R161" s="69">
        <f>IF($A161="","",SUMIFS('Ordres de travail'!$S$5:$S$3004,'Ordres de travail'!$D$5:$D$3004,$A161,'Ordres de travail'!$AC$5:$AC$3004,"&lt;&gt;Annulé",'Ordres de travail'!$B$5:$B$3004,"&gt;="&amp;'Paramètres'!$AA$6,'Ordres de travail'!$B$5:$B$3004,"&lt;"&amp;('Paramètres'!$AA$7+1)))</f>
        <v/>
      </c>
      <c r="S161" s="70">
        <f>IF($A161="","",SUMIFS('Ordres de travail'!$AA$5:$AA$3004,'Ordres de travail'!$D$5:$D$3004,$A161,'Ordres de travail'!$B$5:$B$3004,"&gt;="&amp;'Paramètres'!$AA$6,'Ordres de travail'!$B$5:$B$3004,"&lt;"&amp;('Paramètres'!$AA$7+1)))</f>
        <v/>
      </c>
      <c r="T161" s="68">
        <f>IF($A161="","",IF(P161=0,"-",(O161*'Paramètres'!$AA$8-Q161)/P161))</f>
        <v/>
      </c>
      <c r="U161" s="69">
        <f>IF($A161="","",IF(P161=0,"-",Q161/P161))</f>
        <v/>
      </c>
      <c r="V161" s="71">
        <f>IF($A161="","",IF(N(O161)*'Paramètres'!$AA$8=0,"-",MAX(0,1-R161/(O161*'Paramètres'!$AA$8))))</f>
        <v/>
      </c>
      <c r="W161" s="68">
        <f>IF($A161="","",_xlfn.MAXIFS('Relevés compteurs'!$D$5:$D$1504,'Relevés compteurs'!$B$5:$B$1504,$A161))</f>
        <v/>
      </c>
      <c r="X161" s="69">
        <f>IF(OR($A161="",I161=""),"",(TODAY()-I161)/365.25)</f>
        <v/>
      </c>
      <c r="Y161" s="70">
        <f>IF($A161="","",SUMIFS('Ordres de travail'!$AA$5:$AA$3004,'Ordres de travail'!$D$5:$D$3004,$A161))</f>
        <v/>
      </c>
      <c r="Z161" s="68">
        <f>IF($A161="","",SUM(COUNTIFS('Ordres de travail'!$D$5:$D$3004,$A161,'Ordres de travail'!$AC$5:$AC$3004,{"Demandé","Planifié","En cours","En attente pièces"})))</f>
        <v/>
      </c>
      <c r="AA161" s="9">
        <f>IF(OR($A161="",M161=""),"",IF(M161&lt;TODAY(),"Expirée",IF(M161-TODAY()&lt;='Paramètres'!$AA$15,"Expire bientôt","Sous garantie")))</f>
        <v/>
      </c>
      <c r="AB161" s="72">
        <f>IF($A161="",-1,N(R161)+ROW()/1000000)</f>
        <v/>
      </c>
    </row>
    <row r="162">
      <c r="A162" s="7" t="n"/>
      <c r="B162" s="7" t="n"/>
      <c r="C162" s="7" t="n"/>
      <c r="D162" s="7" t="n"/>
      <c r="E162" s="7" t="n"/>
      <c r="F162" s="7" t="n"/>
      <c r="G162" s="7" t="n"/>
      <c r="H162" s="7" t="n"/>
      <c r="I162" s="65" t="n"/>
      <c r="J162" s="66" t="n"/>
      <c r="K162" s="7" t="n"/>
      <c r="L162" s="7" t="n"/>
      <c r="M162" s="65" t="n"/>
      <c r="N162" s="7" t="n"/>
      <c r="O162" s="67" t="n"/>
      <c r="P162" s="68">
        <f>IF($A162="","",COUNTIFS('Ordres de travail'!$D$5:$D$3004,$A162,'Ordres de travail'!$H$5:$H$3004,"Correctif",'Ordres de travail'!$AC$5:$AC$3004,"&lt;&gt;Annulé",'Ordres de travail'!$B$5:$B$3004,"&gt;="&amp;'Paramètres'!$AA$6,'Ordres de travail'!$B$5:$B$3004,"&lt;"&amp;('Paramètres'!$AA$7+1)))</f>
        <v/>
      </c>
      <c r="Q162" s="69">
        <f>IF($A162="","",SUMIFS('Ordres de travail'!$S$5:$S$3004,'Ordres de travail'!$D$5:$D$3004,$A162,'Ordres de travail'!$H$5:$H$3004,"Correctif",'Ordres de travail'!$AC$5:$AC$3004,"&lt;&gt;Annulé",'Ordres de travail'!$B$5:$B$3004,"&gt;="&amp;'Paramètres'!$AA$6,'Ordres de travail'!$B$5:$B$3004,"&lt;"&amp;('Paramètres'!$AA$7+1)))</f>
        <v/>
      </c>
      <c r="R162" s="69">
        <f>IF($A162="","",SUMIFS('Ordres de travail'!$S$5:$S$3004,'Ordres de travail'!$D$5:$D$3004,$A162,'Ordres de travail'!$AC$5:$AC$3004,"&lt;&gt;Annulé",'Ordres de travail'!$B$5:$B$3004,"&gt;="&amp;'Paramètres'!$AA$6,'Ordres de travail'!$B$5:$B$3004,"&lt;"&amp;('Paramètres'!$AA$7+1)))</f>
        <v/>
      </c>
      <c r="S162" s="70">
        <f>IF($A162="","",SUMIFS('Ordres de travail'!$AA$5:$AA$3004,'Ordres de travail'!$D$5:$D$3004,$A162,'Ordres de travail'!$B$5:$B$3004,"&gt;="&amp;'Paramètres'!$AA$6,'Ordres de travail'!$B$5:$B$3004,"&lt;"&amp;('Paramètres'!$AA$7+1)))</f>
        <v/>
      </c>
      <c r="T162" s="68">
        <f>IF($A162="","",IF(P162=0,"-",(O162*'Paramètres'!$AA$8-Q162)/P162))</f>
        <v/>
      </c>
      <c r="U162" s="69">
        <f>IF($A162="","",IF(P162=0,"-",Q162/P162))</f>
        <v/>
      </c>
      <c r="V162" s="71">
        <f>IF($A162="","",IF(N(O162)*'Paramètres'!$AA$8=0,"-",MAX(0,1-R162/(O162*'Paramètres'!$AA$8))))</f>
        <v/>
      </c>
      <c r="W162" s="68">
        <f>IF($A162="","",_xlfn.MAXIFS('Relevés compteurs'!$D$5:$D$1504,'Relevés compteurs'!$B$5:$B$1504,$A162))</f>
        <v/>
      </c>
      <c r="X162" s="69">
        <f>IF(OR($A162="",I162=""),"",(TODAY()-I162)/365.25)</f>
        <v/>
      </c>
      <c r="Y162" s="70">
        <f>IF($A162="","",SUMIFS('Ordres de travail'!$AA$5:$AA$3004,'Ordres de travail'!$D$5:$D$3004,$A162))</f>
        <v/>
      </c>
      <c r="Z162" s="68">
        <f>IF($A162="","",SUM(COUNTIFS('Ordres de travail'!$D$5:$D$3004,$A162,'Ordres de travail'!$AC$5:$AC$3004,{"Demandé","Planifié","En cours","En attente pièces"})))</f>
        <v/>
      </c>
      <c r="AA162" s="9">
        <f>IF(OR($A162="",M162=""),"",IF(M162&lt;TODAY(),"Expirée",IF(M162-TODAY()&lt;='Paramètres'!$AA$15,"Expire bientôt","Sous garantie")))</f>
        <v/>
      </c>
      <c r="AB162" s="72">
        <f>IF($A162="",-1,N(R162)+ROW()/1000000)</f>
        <v/>
      </c>
    </row>
    <row r="163">
      <c r="A163" s="7" t="n"/>
      <c r="B163" s="7" t="n"/>
      <c r="C163" s="7" t="n"/>
      <c r="D163" s="7" t="n"/>
      <c r="E163" s="7" t="n"/>
      <c r="F163" s="7" t="n"/>
      <c r="G163" s="7" t="n"/>
      <c r="H163" s="7" t="n"/>
      <c r="I163" s="65" t="n"/>
      <c r="J163" s="66" t="n"/>
      <c r="K163" s="7" t="n"/>
      <c r="L163" s="7" t="n"/>
      <c r="M163" s="65" t="n"/>
      <c r="N163" s="7" t="n"/>
      <c r="O163" s="67" t="n"/>
      <c r="P163" s="68">
        <f>IF($A163="","",COUNTIFS('Ordres de travail'!$D$5:$D$3004,$A163,'Ordres de travail'!$H$5:$H$3004,"Correctif",'Ordres de travail'!$AC$5:$AC$3004,"&lt;&gt;Annulé",'Ordres de travail'!$B$5:$B$3004,"&gt;="&amp;'Paramètres'!$AA$6,'Ordres de travail'!$B$5:$B$3004,"&lt;"&amp;('Paramètres'!$AA$7+1)))</f>
        <v/>
      </c>
      <c r="Q163" s="69">
        <f>IF($A163="","",SUMIFS('Ordres de travail'!$S$5:$S$3004,'Ordres de travail'!$D$5:$D$3004,$A163,'Ordres de travail'!$H$5:$H$3004,"Correctif",'Ordres de travail'!$AC$5:$AC$3004,"&lt;&gt;Annulé",'Ordres de travail'!$B$5:$B$3004,"&gt;="&amp;'Paramètres'!$AA$6,'Ordres de travail'!$B$5:$B$3004,"&lt;"&amp;('Paramètres'!$AA$7+1)))</f>
        <v/>
      </c>
      <c r="R163" s="69">
        <f>IF($A163="","",SUMIFS('Ordres de travail'!$S$5:$S$3004,'Ordres de travail'!$D$5:$D$3004,$A163,'Ordres de travail'!$AC$5:$AC$3004,"&lt;&gt;Annulé",'Ordres de travail'!$B$5:$B$3004,"&gt;="&amp;'Paramètres'!$AA$6,'Ordres de travail'!$B$5:$B$3004,"&lt;"&amp;('Paramètres'!$AA$7+1)))</f>
        <v/>
      </c>
      <c r="S163" s="70">
        <f>IF($A163="","",SUMIFS('Ordres de travail'!$AA$5:$AA$3004,'Ordres de travail'!$D$5:$D$3004,$A163,'Ordres de travail'!$B$5:$B$3004,"&gt;="&amp;'Paramètres'!$AA$6,'Ordres de travail'!$B$5:$B$3004,"&lt;"&amp;('Paramètres'!$AA$7+1)))</f>
        <v/>
      </c>
      <c r="T163" s="68">
        <f>IF($A163="","",IF(P163=0,"-",(O163*'Paramètres'!$AA$8-Q163)/P163))</f>
        <v/>
      </c>
      <c r="U163" s="69">
        <f>IF($A163="","",IF(P163=0,"-",Q163/P163))</f>
        <v/>
      </c>
      <c r="V163" s="71">
        <f>IF($A163="","",IF(N(O163)*'Paramètres'!$AA$8=0,"-",MAX(0,1-R163/(O163*'Paramètres'!$AA$8))))</f>
        <v/>
      </c>
      <c r="W163" s="68">
        <f>IF($A163="","",_xlfn.MAXIFS('Relevés compteurs'!$D$5:$D$1504,'Relevés compteurs'!$B$5:$B$1504,$A163))</f>
        <v/>
      </c>
      <c r="X163" s="69">
        <f>IF(OR($A163="",I163=""),"",(TODAY()-I163)/365.25)</f>
        <v/>
      </c>
      <c r="Y163" s="70">
        <f>IF($A163="","",SUMIFS('Ordres de travail'!$AA$5:$AA$3004,'Ordres de travail'!$D$5:$D$3004,$A163))</f>
        <v/>
      </c>
      <c r="Z163" s="68">
        <f>IF($A163="","",SUM(COUNTIFS('Ordres de travail'!$D$5:$D$3004,$A163,'Ordres de travail'!$AC$5:$AC$3004,{"Demandé","Planifié","En cours","En attente pièces"})))</f>
        <v/>
      </c>
      <c r="AA163" s="9">
        <f>IF(OR($A163="",M163=""),"",IF(M163&lt;TODAY(),"Expirée",IF(M163-TODAY()&lt;='Paramètres'!$AA$15,"Expire bientôt","Sous garantie")))</f>
        <v/>
      </c>
      <c r="AB163" s="72">
        <f>IF($A163="",-1,N(R163)+ROW()/1000000)</f>
        <v/>
      </c>
    </row>
    <row r="164">
      <c r="A164" s="7" t="n"/>
      <c r="B164" s="7" t="n"/>
      <c r="C164" s="7" t="n"/>
      <c r="D164" s="7" t="n"/>
      <c r="E164" s="7" t="n"/>
      <c r="F164" s="7" t="n"/>
      <c r="G164" s="7" t="n"/>
      <c r="H164" s="7" t="n"/>
      <c r="I164" s="65" t="n"/>
      <c r="J164" s="66" t="n"/>
      <c r="K164" s="7" t="n"/>
      <c r="L164" s="7" t="n"/>
      <c r="M164" s="65" t="n"/>
      <c r="N164" s="7" t="n"/>
      <c r="O164" s="67" t="n"/>
      <c r="P164" s="68">
        <f>IF($A164="","",COUNTIFS('Ordres de travail'!$D$5:$D$3004,$A164,'Ordres de travail'!$H$5:$H$3004,"Correctif",'Ordres de travail'!$AC$5:$AC$3004,"&lt;&gt;Annulé",'Ordres de travail'!$B$5:$B$3004,"&gt;="&amp;'Paramètres'!$AA$6,'Ordres de travail'!$B$5:$B$3004,"&lt;"&amp;('Paramètres'!$AA$7+1)))</f>
        <v/>
      </c>
      <c r="Q164" s="69">
        <f>IF($A164="","",SUMIFS('Ordres de travail'!$S$5:$S$3004,'Ordres de travail'!$D$5:$D$3004,$A164,'Ordres de travail'!$H$5:$H$3004,"Correctif",'Ordres de travail'!$AC$5:$AC$3004,"&lt;&gt;Annulé",'Ordres de travail'!$B$5:$B$3004,"&gt;="&amp;'Paramètres'!$AA$6,'Ordres de travail'!$B$5:$B$3004,"&lt;"&amp;('Paramètres'!$AA$7+1)))</f>
        <v/>
      </c>
      <c r="R164" s="69">
        <f>IF($A164="","",SUMIFS('Ordres de travail'!$S$5:$S$3004,'Ordres de travail'!$D$5:$D$3004,$A164,'Ordres de travail'!$AC$5:$AC$3004,"&lt;&gt;Annulé",'Ordres de travail'!$B$5:$B$3004,"&gt;="&amp;'Paramètres'!$AA$6,'Ordres de travail'!$B$5:$B$3004,"&lt;"&amp;('Paramètres'!$AA$7+1)))</f>
        <v/>
      </c>
      <c r="S164" s="70">
        <f>IF($A164="","",SUMIFS('Ordres de travail'!$AA$5:$AA$3004,'Ordres de travail'!$D$5:$D$3004,$A164,'Ordres de travail'!$B$5:$B$3004,"&gt;="&amp;'Paramètres'!$AA$6,'Ordres de travail'!$B$5:$B$3004,"&lt;"&amp;('Paramètres'!$AA$7+1)))</f>
        <v/>
      </c>
      <c r="T164" s="68">
        <f>IF($A164="","",IF(P164=0,"-",(O164*'Paramètres'!$AA$8-Q164)/P164))</f>
        <v/>
      </c>
      <c r="U164" s="69">
        <f>IF($A164="","",IF(P164=0,"-",Q164/P164))</f>
        <v/>
      </c>
      <c r="V164" s="71">
        <f>IF($A164="","",IF(N(O164)*'Paramètres'!$AA$8=0,"-",MAX(0,1-R164/(O164*'Paramètres'!$AA$8))))</f>
        <v/>
      </c>
      <c r="W164" s="68">
        <f>IF($A164="","",_xlfn.MAXIFS('Relevés compteurs'!$D$5:$D$1504,'Relevés compteurs'!$B$5:$B$1504,$A164))</f>
        <v/>
      </c>
      <c r="X164" s="69">
        <f>IF(OR($A164="",I164=""),"",(TODAY()-I164)/365.25)</f>
        <v/>
      </c>
      <c r="Y164" s="70">
        <f>IF($A164="","",SUMIFS('Ordres de travail'!$AA$5:$AA$3004,'Ordres de travail'!$D$5:$D$3004,$A164))</f>
        <v/>
      </c>
      <c r="Z164" s="68">
        <f>IF($A164="","",SUM(COUNTIFS('Ordres de travail'!$D$5:$D$3004,$A164,'Ordres de travail'!$AC$5:$AC$3004,{"Demandé","Planifié","En cours","En attente pièces"})))</f>
        <v/>
      </c>
      <c r="AA164" s="9">
        <f>IF(OR($A164="",M164=""),"",IF(M164&lt;TODAY(),"Expirée",IF(M164-TODAY()&lt;='Paramètres'!$AA$15,"Expire bientôt","Sous garantie")))</f>
        <v/>
      </c>
      <c r="AB164" s="72">
        <f>IF($A164="",-1,N(R164)+ROW()/1000000)</f>
        <v/>
      </c>
    </row>
    <row r="165">
      <c r="A165" s="7" t="n"/>
      <c r="B165" s="7" t="n"/>
      <c r="C165" s="7" t="n"/>
      <c r="D165" s="7" t="n"/>
      <c r="E165" s="7" t="n"/>
      <c r="F165" s="7" t="n"/>
      <c r="G165" s="7" t="n"/>
      <c r="H165" s="7" t="n"/>
      <c r="I165" s="65" t="n"/>
      <c r="J165" s="66" t="n"/>
      <c r="K165" s="7" t="n"/>
      <c r="L165" s="7" t="n"/>
      <c r="M165" s="65" t="n"/>
      <c r="N165" s="7" t="n"/>
      <c r="O165" s="67" t="n"/>
      <c r="P165" s="68">
        <f>IF($A165="","",COUNTIFS('Ordres de travail'!$D$5:$D$3004,$A165,'Ordres de travail'!$H$5:$H$3004,"Correctif",'Ordres de travail'!$AC$5:$AC$3004,"&lt;&gt;Annulé",'Ordres de travail'!$B$5:$B$3004,"&gt;="&amp;'Paramètres'!$AA$6,'Ordres de travail'!$B$5:$B$3004,"&lt;"&amp;('Paramètres'!$AA$7+1)))</f>
        <v/>
      </c>
      <c r="Q165" s="69">
        <f>IF($A165="","",SUMIFS('Ordres de travail'!$S$5:$S$3004,'Ordres de travail'!$D$5:$D$3004,$A165,'Ordres de travail'!$H$5:$H$3004,"Correctif",'Ordres de travail'!$AC$5:$AC$3004,"&lt;&gt;Annulé",'Ordres de travail'!$B$5:$B$3004,"&gt;="&amp;'Paramètres'!$AA$6,'Ordres de travail'!$B$5:$B$3004,"&lt;"&amp;('Paramètres'!$AA$7+1)))</f>
        <v/>
      </c>
      <c r="R165" s="69">
        <f>IF($A165="","",SUMIFS('Ordres de travail'!$S$5:$S$3004,'Ordres de travail'!$D$5:$D$3004,$A165,'Ordres de travail'!$AC$5:$AC$3004,"&lt;&gt;Annulé",'Ordres de travail'!$B$5:$B$3004,"&gt;="&amp;'Paramètres'!$AA$6,'Ordres de travail'!$B$5:$B$3004,"&lt;"&amp;('Paramètres'!$AA$7+1)))</f>
        <v/>
      </c>
      <c r="S165" s="70">
        <f>IF($A165="","",SUMIFS('Ordres de travail'!$AA$5:$AA$3004,'Ordres de travail'!$D$5:$D$3004,$A165,'Ordres de travail'!$B$5:$B$3004,"&gt;="&amp;'Paramètres'!$AA$6,'Ordres de travail'!$B$5:$B$3004,"&lt;"&amp;('Paramètres'!$AA$7+1)))</f>
        <v/>
      </c>
      <c r="T165" s="68">
        <f>IF($A165="","",IF(P165=0,"-",(O165*'Paramètres'!$AA$8-Q165)/P165))</f>
        <v/>
      </c>
      <c r="U165" s="69">
        <f>IF($A165="","",IF(P165=0,"-",Q165/P165))</f>
        <v/>
      </c>
      <c r="V165" s="71">
        <f>IF($A165="","",IF(N(O165)*'Paramètres'!$AA$8=0,"-",MAX(0,1-R165/(O165*'Paramètres'!$AA$8))))</f>
        <v/>
      </c>
      <c r="W165" s="68">
        <f>IF($A165="","",_xlfn.MAXIFS('Relevés compteurs'!$D$5:$D$1504,'Relevés compteurs'!$B$5:$B$1504,$A165))</f>
        <v/>
      </c>
      <c r="X165" s="69">
        <f>IF(OR($A165="",I165=""),"",(TODAY()-I165)/365.25)</f>
        <v/>
      </c>
      <c r="Y165" s="70">
        <f>IF($A165="","",SUMIFS('Ordres de travail'!$AA$5:$AA$3004,'Ordres de travail'!$D$5:$D$3004,$A165))</f>
        <v/>
      </c>
      <c r="Z165" s="68">
        <f>IF($A165="","",SUM(COUNTIFS('Ordres de travail'!$D$5:$D$3004,$A165,'Ordres de travail'!$AC$5:$AC$3004,{"Demandé","Planifié","En cours","En attente pièces"})))</f>
        <v/>
      </c>
      <c r="AA165" s="9">
        <f>IF(OR($A165="",M165=""),"",IF(M165&lt;TODAY(),"Expirée",IF(M165-TODAY()&lt;='Paramètres'!$AA$15,"Expire bientôt","Sous garantie")))</f>
        <v/>
      </c>
      <c r="AB165" s="72">
        <f>IF($A165="",-1,N(R165)+ROW()/1000000)</f>
        <v/>
      </c>
    </row>
    <row r="166">
      <c r="A166" s="7" t="n"/>
      <c r="B166" s="7" t="n"/>
      <c r="C166" s="7" t="n"/>
      <c r="D166" s="7" t="n"/>
      <c r="E166" s="7" t="n"/>
      <c r="F166" s="7" t="n"/>
      <c r="G166" s="7" t="n"/>
      <c r="H166" s="7" t="n"/>
      <c r="I166" s="65" t="n"/>
      <c r="J166" s="66" t="n"/>
      <c r="K166" s="7" t="n"/>
      <c r="L166" s="7" t="n"/>
      <c r="M166" s="65" t="n"/>
      <c r="N166" s="7" t="n"/>
      <c r="O166" s="67" t="n"/>
      <c r="P166" s="68">
        <f>IF($A166="","",COUNTIFS('Ordres de travail'!$D$5:$D$3004,$A166,'Ordres de travail'!$H$5:$H$3004,"Correctif",'Ordres de travail'!$AC$5:$AC$3004,"&lt;&gt;Annulé",'Ordres de travail'!$B$5:$B$3004,"&gt;="&amp;'Paramètres'!$AA$6,'Ordres de travail'!$B$5:$B$3004,"&lt;"&amp;('Paramètres'!$AA$7+1)))</f>
        <v/>
      </c>
      <c r="Q166" s="69">
        <f>IF($A166="","",SUMIFS('Ordres de travail'!$S$5:$S$3004,'Ordres de travail'!$D$5:$D$3004,$A166,'Ordres de travail'!$H$5:$H$3004,"Correctif",'Ordres de travail'!$AC$5:$AC$3004,"&lt;&gt;Annulé",'Ordres de travail'!$B$5:$B$3004,"&gt;="&amp;'Paramètres'!$AA$6,'Ordres de travail'!$B$5:$B$3004,"&lt;"&amp;('Paramètres'!$AA$7+1)))</f>
        <v/>
      </c>
      <c r="R166" s="69">
        <f>IF($A166="","",SUMIFS('Ordres de travail'!$S$5:$S$3004,'Ordres de travail'!$D$5:$D$3004,$A166,'Ordres de travail'!$AC$5:$AC$3004,"&lt;&gt;Annulé",'Ordres de travail'!$B$5:$B$3004,"&gt;="&amp;'Paramètres'!$AA$6,'Ordres de travail'!$B$5:$B$3004,"&lt;"&amp;('Paramètres'!$AA$7+1)))</f>
        <v/>
      </c>
      <c r="S166" s="70">
        <f>IF($A166="","",SUMIFS('Ordres de travail'!$AA$5:$AA$3004,'Ordres de travail'!$D$5:$D$3004,$A166,'Ordres de travail'!$B$5:$B$3004,"&gt;="&amp;'Paramètres'!$AA$6,'Ordres de travail'!$B$5:$B$3004,"&lt;"&amp;('Paramètres'!$AA$7+1)))</f>
        <v/>
      </c>
      <c r="T166" s="68">
        <f>IF($A166="","",IF(P166=0,"-",(O166*'Paramètres'!$AA$8-Q166)/P166))</f>
        <v/>
      </c>
      <c r="U166" s="69">
        <f>IF($A166="","",IF(P166=0,"-",Q166/P166))</f>
        <v/>
      </c>
      <c r="V166" s="71">
        <f>IF($A166="","",IF(N(O166)*'Paramètres'!$AA$8=0,"-",MAX(0,1-R166/(O166*'Paramètres'!$AA$8))))</f>
        <v/>
      </c>
      <c r="W166" s="68">
        <f>IF($A166="","",_xlfn.MAXIFS('Relevés compteurs'!$D$5:$D$1504,'Relevés compteurs'!$B$5:$B$1504,$A166))</f>
        <v/>
      </c>
      <c r="X166" s="69">
        <f>IF(OR($A166="",I166=""),"",(TODAY()-I166)/365.25)</f>
        <v/>
      </c>
      <c r="Y166" s="70">
        <f>IF($A166="","",SUMIFS('Ordres de travail'!$AA$5:$AA$3004,'Ordres de travail'!$D$5:$D$3004,$A166))</f>
        <v/>
      </c>
      <c r="Z166" s="68">
        <f>IF($A166="","",SUM(COUNTIFS('Ordres de travail'!$D$5:$D$3004,$A166,'Ordres de travail'!$AC$5:$AC$3004,{"Demandé","Planifié","En cours","En attente pièces"})))</f>
        <v/>
      </c>
      <c r="AA166" s="9">
        <f>IF(OR($A166="",M166=""),"",IF(M166&lt;TODAY(),"Expirée",IF(M166-TODAY()&lt;='Paramètres'!$AA$15,"Expire bientôt","Sous garantie")))</f>
        <v/>
      </c>
      <c r="AB166" s="72">
        <f>IF($A166="",-1,N(R166)+ROW()/1000000)</f>
        <v/>
      </c>
    </row>
    <row r="167">
      <c r="A167" s="7" t="n"/>
      <c r="B167" s="7" t="n"/>
      <c r="C167" s="7" t="n"/>
      <c r="D167" s="7" t="n"/>
      <c r="E167" s="7" t="n"/>
      <c r="F167" s="7" t="n"/>
      <c r="G167" s="7" t="n"/>
      <c r="H167" s="7" t="n"/>
      <c r="I167" s="65" t="n"/>
      <c r="J167" s="66" t="n"/>
      <c r="K167" s="7" t="n"/>
      <c r="L167" s="7" t="n"/>
      <c r="M167" s="65" t="n"/>
      <c r="N167" s="7" t="n"/>
      <c r="O167" s="67" t="n"/>
      <c r="P167" s="68">
        <f>IF($A167="","",COUNTIFS('Ordres de travail'!$D$5:$D$3004,$A167,'Ordres de travail'!$H$5:$H$3004,"Correctif",'Ordres de travail'!$AC$5:$AC$3004,"&lt;&gt;Annulé",'Ordres de travail'!$B$5:$B$3004,"&gt;="&amp;'Paramètres'!$AA$6,'Ordres de travail'!$B$5:$B$3004,"&lt;"&amp;('Paramètres'!$AA$7+1)))</f>
        <v/>
      </c>
      <c r="Q167" s="69">
        <f>IF($A167="","",SUMIFS('Ordres de travail'!$S$5:$S$3004,'Ordres de travail'!$D$5:$D$3004,$A167,'Ordres de travail'!$H$5:$H$3004,"Correctif",'Ordres de travail'!$AC$5:$AC$3004,"&lt;&gt;Annulé",'Ordres de travail'!$B$5:$B$3004,"&gt;="&amp;'Paramètres'!$AA$6,'Ordres de travail'!$B$5:$B$3004,"&lt;"&amp;('Paramètres'!$AA$7+1)))</f>
        <v/>
      </c>
      <c r="R167" s="69">
        <f>IF($A167="","",SUMIFS('Ordres de travail'!$S$5:$S$3004,'Ordres de travail'!$D$5:$D$3004,$A167,'Ordres de travail'!$AC$5:$AC$3004,"&lt;&gt;Annulé",'Ordres de travail'!$B$5:$B$3004,"&gt;="&amp;'Paramètres'!$AA$6,'Ordres de travail'!$B$5:$B$3004,"&lt;"&amp;('Paramètres'!$AA$7+1)))</f>
        <v/>
      </c>
      <c r="S167" s="70">
        <f>IF($A167="","",SUMIFS('Ordres de travail'!$AA$5:$AA$3004,'Ordres de travail'!$D$5:$D$3004,$A167,'Ordres de travail'!$B$5:$B$3004,"&gt;="&amp;'Paramètres'!$AA$6,'Ordres de travail'!$B$5:$B$3004,"&lt;"&amp;('Paramètres'!$AA$7+1)))</f>
        <v/>
      </c>
      <c r="T167" s="68">
        <f>IF($A167="","",IF(P167=0,"-",(O167*'Paramètres'!$AA$8-Q167)/P167))</f>
        <v/>
      </c>
      <c r="U167" s="69">
        <f>IF($A167="","",IF(P167=0,"-",Q167/P167))</f>
        <v/>
      </c>
      <c r="V167" s="71">
        <f>IF($A167="","",IF(N(O167)*'Paramètres'!$AA$8=0,"-",MAX(0,1-R167/(O167*'Paramètres'!$AA$8))))</f>
        <v/>
      </c>
      <c r="W167" s="68">
        <f>IF($A167="","",_xlfn.MAXIFS('Relevés compteurs'!$D$5:$D$1504,'Relevés compteurs'!$B$5:$B$1504,$A167))</f>
        <v/>
      </c>
      <c r="X167" s="69">
        <f>IF(OR($A167="",I167=""),"",(TODAY()-I167)/365.25)</f>
        <v/>
      </c>
      <c r="Y167" s="70">
        <f>IF($A167="","",SUMIFS('Ordres de travail'!$AA$5:$AA$3004,'Ordres de travail'!$D$5:$D$3004,$A167))</f>
        <v/>
      </c>
      <c r="Z167" s="68">
        <f>IF($A167="","",SUM(COUNTIFS('Ordres de travail'!$D$5:$D$3004,$A167,'Ordres de travail'!$AC$5:$AC$3004,{"Demandé","Planifié","En cours","En attente pièces"})))</f>
        <v/>
      </c>
      <c r="AA167" s="9">
        <f>IF(OR($A167="",M167=""),"",IF(M167&lt;TODAY(),"Expirée",IF(M167-TODAY()&lt;='Paramètres'!$AA$15,"Expire bientôt","Sous garantie")))</f>
        <v/>
      </c>
      <c r="AB167" s="72">
        <f>IF($A167="",-1,N(R167)+ROW()/1000000)</f>
        <v/>
      </c>
    </row>
    <row r="168">
      <c r="A168" s="7" t="n"/>
      <c r="B168" s="7" t="n"/>
      <c r="C168" s="7" t="n"/>
      <c r="D168" s="7" t="n"/>
      <c r="E168" s="7" t="n"/>
      <c r="F168" s="7" t="n"/>
      <c r="G168" s="7" t="n"/>
      <c r="H168" s="7" t="n"/>
      <c r="I168" s="65" t="n"/>
      <c r="J168" s="66" t="n"/>
      <c r="K168" s="7" t="n"/>
      <c r="L168" s="7" t="n"/>
      <c r="M168" s="65" t="n"/>
      <c r="N168" s="7" t="n"/>
      <c r="O168" s="67" t="n"/>
      <c r="P168" s="68">
        <f>IF($A168="","",COUNTIFS('Ordres de travail'!$D$5:$D$3004,$A168,'Ordres de travail'!$H$5:$H$3004,"Correctif",'Ordres de travail'!$AC$5:$AC$3004,"&lt;&gt;Annulé",'Ordres de travail'!$B$5:$B$3004,"&gt;="&amp;'Paramètres'!$AA$6,'Ordres de travail'!$B$5:$B$3004,"&lt;"&amp;('Paramètres'!$AA$7+1)))</f>
        <v/>
      </c>
      <c r="Q168" s="69">
        <f>IF($A168="","",SUMIFS('Ordres de travail'!$S$5:$S$3004,'Ordres de travail'!$D$5:$D$3004,$A168,'Ordres de travail'!$H$5:$H$3004,"Correctif",'Ordres de travail'!$AC$5:$AC$3004,"&lt;&gt;Annulé",'Ordres de travail'!$B$5:$B$3004,"&gt;="&amp;'Paramètres'!$AA$6,'Ordres de travail'!$B$5:$B$3004,"&lt;"&amp;('Paramètres'!$AA$7+1)))</f>
        <v/>
      </c>
      <c r="R168" s="69">
        <f>IF($A168="","",SUMIFS('Ordres de travail'!$S$5:$S$3004,'Ordres de travail'!$D$5:$D$3004,$A168,'Ordres de travail'!$AC$5:$AC$3004,"&lt;&gt;Annulé",'Ordres de travail'!$B$5:$B$3004,"&gt;="&amp;'Paramètres'!$AA$6,'Ordres de travail'!$B$5:$B$3004,"&lt;"&amp;('Paramètres'!$AA$7+1)))</f>
        <v/>
      </c>
      <c r="S168" s="70">
        <f>IF($A168="","",SUMIFS('Ordres de travail'!$AA$5:$AA$3004,'Ordres de travail'!$D$5:$D$3004,$A168,'Ordres de travail'!$B$5:$B$3004,"&gt;="&amp;'Paramètres'!$AA$6,'Ordres de travail'!$B$5:$B$3004,"&lt;"&amp;('Paramètres'!$AA$7+1)))</f>
        <v/>
      </c>
      <c r="T168" s="68">
        <f>IF($A168="","",IF(P168=0,"-",(O168*'Paramètres'!$AA$8-Q168)/P168))</f>
        <v/>
      </c>
      <c r="U168" s="69">
        <f>IF($A168="","",IF(P168=0,"-",Q168/P168))</f>
        <v/>
      </c>
      <c r="V168" s="71">
        <f>IF($A168="","",IF(N(O168)*'Paramètres'!$AA$8=0,"-",MAX(0,1-R168/(O168*'Paramètres'!$AA$8))))</f>
        <v/>
      </c>
      <c r="W168" s="68">
        <f>IF($A168="","",_xlfn.MAXIFS('Relevés compteurs'!$D$5:$D$1504,'Relevés compteurs'!$B$5:$B$1504,$A168))</f>
        <v/>
      </c>
      <c r="X168" s="69">
        <f>IF(OR($A168="",I168=""),"",(TODAY()-I168)/365.25)</f>
        <v/>
      </c>
      <c r="Y168" s="70">
        <f>IF($A168="","",SUMIFS('Ordres de travail'!$AA$5:$AA$3004,'Ordres de travail'!$D$5:$D$3004,$A168))</f>
        <v/>
      </c>
      <c r="Z168" s="68">
        <f>IF($A168="","",SUM(COUNTIFS('Ordres de travail'!$D$5:$D$3004,$A168,'Ordres de travail'!$AC$5:$AC$3004,{"Demandé","Planifié","En cours","En attente pièces"})))</f>
        <v/>
      </c>
      <c r="AA168" s="9">
        <f>IF(OR($A168="",M168=""),"",IF(M168&lt;TODAY(),"Expirée",IF(M168-TODAY()&lt;='Paramètres'!$AA$15,"Expire bientôt","Sous garantie")))</f>
        <v/>
      </c>
      <c r="AB168" s="72">
        <f>IF($A168="",-1,N(R168)+ROW()/1000000)</f>
        <v/>
      </c>
    </row>
    <row r="169">
      <c r="A169" s="7" t="n"/>
      <c r="B169" s="7" t="n"/>
      <c r="C169" s="7" t="n"/>
      <c r="D169" s="7" t="n"/>
      <c r="E169" s="7" t="n"/>
      <c r="F169" s="7" t="n"/>
      <c r="G169" s="7" t="n"/>
      <c r="H169" s="7" t="n"/>
      <c r="I169" s="65" t="n"/>
      <c r="J169" s="66" t="n"/>
      <c r="K169" s="7" t="n"/>
      <c r="L169" s="7" t="n"/>
      <c r="M169" s="65" t="n"/>
      <c r="N169" s="7" t="n"/>
      <c r="O169" s="67" t="n"/>
      <c r="P169" s="68">
        <f>IF($A169="","",COUNTIFS('Ordres de travail'!$D$5:$D$3004,$A169,'Ordres de travail'!$H$5:$H$3004,"Correctif",'Ordres de travail'!$AC$5:$AC$3004,"&lt;&gt;Annulé",'Ordres de travail'!$B$5:$B$3004,"&gt;="&amp;'Paramètres'!$AA$6,'Ordres de travail'!$B$5:$B$3004,"&lt;"&amp;('Paramètres'!$AA$7+1)))</f>
        <v/>
      </c>
      <c r="Q169" s="69">
        <f>IF($A169="","",SUMIFS('Ordres de travail'!$S$5:$S$3004,'Ordres de travail'!$D$5:$D$3004,$A169,'Ordres de travail'!$H$5:$H$3004,"Correctif",'Ordres de travail'!$AC$5:$AC$3004,"&lt;&gt;Annulé",'Ordres de travail'!$B$5:$B$3004,"&gt;="&amp;'Paramètres'!$AA$6,'Ordres de travail'!$B$5:$B$3004,"&lt;"&amp;('Paramètres'!$AA$7+1)))</f>
        <v/>
      </c>
      <c r="R169" s="69">
        <f>IF($A169="","",SUMIFS('Ordres de travail'!$S$5:$S$3004,'Ordres de travail'!$D$5:$D$3004,$A169,'Ordres de travail'!$AC$5:$AC$3004,"&lt;&gt;Annulé",'Ordres de travail'!$B$5:$B$3004,"&gt;="&amp;'Paramètres'!$AA$6,'Ordres de travail'!$B$5:$B$3004,"&lt;"&amp;('Paramètres'!$AA$7+1)))</f>
        <v/>
      </c>
      <c r="S169" s="70">
        <f>IF($A169="","",SUMIFS('Ordres de travail'!$AA$5:$AA$3004,'Ordres de travail'!$D$5:$D$3004,$A169,'Ordres de travail'!$B$5:$B$3004,"&gt;="&amp;'Paramètres'!$AA$6,'Ordres de travail'!$B$5:$B$3004,"&lt;"&amp;('Paramètres'!$AA$7+1)))</f>
        <v/>
      </c>
      <c r="T169" s="68">
        <f>IF($A169="","",IF(P169=0,"-",(O169*'Paramètres'!$AA$8-Q169)/P169))</f>
        <v/>
      </c>
      <c r="U169" s="69">
        <f>IF($A169="","",IF(P169=0,"-",Q169/P169))</f>
        <v/>
      </c>
      <c r="V169" s="71">
        <f>IF($A169="","",IF(N(O169)*'Paramètres'!$AA$8=0,"-",MAX(0,1-R169/(O169*'Paramètres'!$AA$8))))</f>
        <v/>
      </c>
      <c r="W169" s="68">
        <f>IF($A169="","",_xlfn.MAXIFS('Relevés compteurs'!$D$5:$D$1504,'Relevés compteurs'!$B$5:$B$1504,$A169))</f>
        <v/>
      </c>
      <c r="X169" s="69">
        <f>IF(OR($A169="",I169=""),"",(TODAY()-I169)/365.25)</f>
        <v/>
      </c>
      <c r="Y169" s="70">
        <f>IF($A169="","",SUMIFS('Ordres de travail'!$AA$5:$AA$3004,'Ordres de travail'!$D$5:$D$3004,$A169))</f>
        <v/>
      </c>
      <c r="Z169" s="68">
        <f>IF($A169="","",SUM(COUNTIFS('Ordres de travail'!$D$5:$D$3004,$A169,'Ordres de travail'!$AC$5:$AC$3004,{"Demandé","Planifié","En cours","En attente pièces"})))</f>
        <v/>
      </c>
      <c r="AA169" s="9">
        <f>IF(OR($A169="",M169=""),"",IF(M169&lt;TODAY(),"Expirée",IF(M169-TODAY()&lt;='Paramètres'!$AA$15,"Expire bientôt","Sous garantie")))</f>
        <v/>
      </c>
      <c r="AB169" s="72">
        <f>IF($A169="",-1,N(R169)+ROW()/1000000)</f>
        <v/>
      </c>
    </row>
    <row r="170">
      <c r="A170" s="7" t="n"/>
      <c r="B170" s="7" t="n"/>
      <c r="C170" s="7" t="n"/>
      <c r="D170" s="7" t="n"/>
      <c r="E170" s="7" t="n"/>
      <c r="F170" s="7" t="n"/>
      <c r="G170" s="7" t="n"/>
      <c r="H170" s="7" t="n"/>
      <c r="I170" s="65" t="n"/>
      <c r="J170" s="66" t="n"/>
      <c r="K170" s="7" t="n"/>
      <c r="L170" s="7" t="n"/>
      <c r="M170" s="65" t="n"/>
      <c r="N170" s="7" t="n"/>
      <c r="O170" s="67" t="n"/>
      <c r="P170" s="68">
        <f>IF($A170="","",COUNTIFS('Ordres de travail'!$D$5:$D$3004,$A170,'Ordres de travail'!$H$5:$H$3004,"Correctif",'Ordres de travail'!$AC$5:$AC$3004,"&lt;&gt;Annulé",'Ordres de travail'!$B$5:$B$3004,"&gt;="&amp;'Paramètres'!$AA$6,'Ordres de travail'!$B$5:$B$3004,"&lt;"&amp;('Paramètres'!$AA$7+1)))</f>
        <v/>
      </c>
      <c r="Q170" s="69">
        <f>IF($A170="","",SUMIFS('Ordres de travail'!$S$5:$S$3004,'Ordres de travail'!$D$5:$D$3004,$A170,'Ordres de travail'!$H$5:$H$3004,"Correctif",'Ordres de travail'!$AC$5:$AC$3004,"&lt;&gt;Annulé",'Ordres de travail'!$B$5:$B$3004,"&gt;="&amp;'Paramètres'!$AA$6,'Ordres de travail'!$B$5:$B$3004,"&lt;"&amp;('Paramètres'!$AA$7+1)))</f>
        <v/>
      </c>
      <c r="R170" s="69">
        <f>IF($A170="","",SUMIFS('Ordres de travail'!$S$5:$S$3004,'Ordres de travail'!$D$5:$D$3004,$A170,'Ordres de travail'!$AC$5:$AC$3004,"&lt;&gt;Annulé",'Ordres de travail'!$B$5:$B$3004,"&gt;="&amp;'Paramètres'!$AA$6,'Ordres de travail'!$B$5:$B$3004,"&lt;"&amp;('Paramètres'!$AA$7+1)))</f>
        <v/>
      </c>
      <c r="S170" s="70">
        <f>IF($A170="","",SUMIFS('Ordres de travail'!$AA$5:$AA$3004,'Ordres de travail'!$D$5:$D$3004,$A170,'Ordres de travail'!$B$5:$B$3004,"&gt;="&amp;'Paramètres'!$AA$6,'Ordres de travail'!$B$5:$B$3004,"&lt;"&amp;('Paramètres'!$AA$7+1)))</f>
        <v/>
      </c>
      <c r="T170" s="68">
        <f>IF($A170="","",IF(P170=0,"-",(O170*'Paramètres'!$AA$8-Q170)/P170))</f>
        <v/>
      </c>
      <c r="U170" s="69">
        <f>IF($A170="","",IF(P170=0,"-",Q170/P170))</f>
        <v/>
      </c>
      <c r="V170" s="71">
        <f>IF($A170="","",IF(N(O170)*'Paramètres'!$AA$8=0,"-",MAX(0,1-R170/(O170*'Paramètres'!$AA$8))))</f>
        <v/>
      </c>
      <c r="W170" s="68">
        <f>IF($A170="","",_xlfn.MAXIFS('Relevés compteurs'!$D$5:$D$1504,'Relevés compteurs'!$B$5:$B$1504,$A170))</f>
        <v/>
      </c>
      <c r="X170" s="69">
        <f>IF(OR($A170="",I170=""),"",(TODAY()-I170)/365.25)</f>
        <v/>
      </c>
      <c r="Y170" s="70">
        <f>IF($A170="","",SUMIFS('Ordres de travail'!$AA$5:$AA$3004,'Ordres de travail'!$D$5:$D$3004,$A170))</f>
        <v/>
      </c>
      <c r="Z170" s="68">
        <f>IF($A170="","",SUM(COUNTIFS('Ordres de travail'!$D$5:$D$3004,$A170,'Ordres de travail'!$AC$5:$AC$3004,{"Demandé","Planifié","En cours","En attente pièces"})))</f>
        <v/>
      </c>
      <c r="AA170" s="9">
        <f>IF(OR($A170="",M170=""),"",IF(M170&lt;TODAY(),"Expirée",IF(M170-TODAY()&lt;='Paramètres'!$AA$15,"Expire bientôt","Sous garantie")))</f>
        <v/>
      </c>
      <c r="AB170" s="72">
        <f>IF($A170="",-1,N(R170)+ROW()/1000000)</f>
        <v/>
      </c>
    </row>
    <row r="171">
      <c r="A171" s="7" t="n"/>
      <c r="B171" s="7" t="n"/>
      <c r="C171" s="7" t="n"/>
      <c r="D171" s="7" t="n"/>
      <c r="E171" s="7" t="n"/>
      <c r="F171" s="7" t="n"/>
      <c r="G171" s="7" t="n"/>
      <c r="H171" s="7" t="n"/>
      <c r="I171" s="65" t="n"/>
      <c r="J171" s="66" t="n"/>
      <c r="K171" s="7" t="n"/>
      <c r="L171" s="7" t="n"/>
      <c r="M171" s="65" t="n"/>
      <c r="N171" s="7" t="n"/>
      <c r="O171" s="67" t="n"/>
      <c r="P171" s="68">
        <f>IF($A171="","",COUNTIFS('Ordres de travail'!$D$5:$D$3004,$A171,'Ordres de travail'!$H$5:$H$3004,"Correctif",'Ordres de travail'!$AC$5:$AC$3004,"&lt;&gt;Annulé",'Ordres de travail'!$B$5:$B$3004,"&gt;="&amp;'Paramètres'!$AA$6,'Ordres de travail'!$B$5:$B$3004,"&lt;"&amp;('Paramètres'!$AA$7+1)))</f>
        <v/>
      </c>
      <c r="Q171" s="69">
        <f>IF($A171="","",SUMIFS('Ordres de travail'!$S$5:$S$3004,'Ordres de travail'!$D$5:$D$3004,$A171,'Ordres de travail'!$H$5:$H$3004,"Correctif",'Ordres de travail'!$AC$5:$AC$3004,"&lt;&gt;Annulé",'Ordres de travail'!$B$5:$B$3004,"&gt;="&amp;'Paramètres'!$AA$6,'Ordres de travail'!$B$5:$B$3004,"&lt;"&amp;('Paramètres'!$AA$7+1)))</f>
        <v/>
      </c>
      <c r="R171" s="69">
        <f>IF($A171="","",SUMIFS('Ordres de travail'!$S$5:$S$3004,'Ordres de travail'!$D$5:$D$3004,$A171,'Ordres de travail'!$AC$5:$AC$3004,"&lt;&gt;Annulé",'Ordres de travail'!$B$5:$B$3004,"&gt;="&amp;'Paramètres'!$AA$6,'Ordres de travail'!$B$5:$B$3004,"&lt;"&amp;('Paramètres'!$AA$7+1)))</f>
        <v/>
      </c>
      <c r="S171" s="70">
        <f>IF($A171="","",SUMIFS('Ordres de travail'!$AA$5:$AA$3004,'Ordres de travail'!$D$5:$D$3004,$A171,'Ordres de travail'!$B$5:$B$3004,"&gt;="&amp;'Paramètres'!$AA$6,'Ordres de travail'!$B$5:$B$3004,"&lt;"&amp;('Paramètres'!$AA$7+1)))</f>
        <v/>
      </c>
      <c r="T171" s="68">
        <f>IF($A171="","",IF(P171=0,"-",(O171*'Paramètres'!$AA$8-Q171)/P171))</f>
        <v/>
      </c>
      <c r="U171" s="69">
        <f>IF($A171="","",IF(P171=0,"-",Q171/P171))</f>
        <v/>
      </c>
      <c r="V171" s="71">
        <f>IF($A171="","",IF(N(O171)*'Paramètres'!$AA$8=0,"-",MAX(0,1-R171/(O171*'Paramètres'!$AA$8))))</f>
        <v/>
      </c>
      <c r="W171" s="68">
        <f>IF($A171="","",_xlfn.MAXIFS('Relevés compteurs'!$D$5:$D$1504,'Relevés compteurs'!$B$5:$B$1504,$A171))</f>
        <v/>
      </c>
      <c r="X171" s="69">
        <f>IF(OR($A171="",I171=""),"",(TODAY()-I171)/365.25)</f>
        <v/>
      </c>
      <c r="Y171" s="70">
        <f>IF($A171="","",SUMIFS('Ordres de travail'!$AA$5:$AA$3004,'Ordres de travail'!$D$5:$D$3004,$A171))</f>
        <v/>
      </c>
      <c r="Z171" s="68">
        <f>IF($A171="","",SUM(COUNTIFS('Ordres de travail'!$D$5:$D$3004,$A171,'Ordres de travail'!$AC$5:$AC$3004,{"Demandé","Planifié","En cours","En attente pièces"})))</f>
        <v/>
      </c>
      <c r="AA171" s="9">
        <f>IF(OR($A171="",M171=""),"",IF(M171&lt;TODAY(),"Expirée",IF(M171-TODAY()&lt;='Paramètres'!$AA$15,"Expire bientôt","Sous garantie")))</f>
        <v/>
      </c>
      <c r="AB171" s="72">
        <f>IF($A171="",-1,N(R171)+ROW()/1000000)</f>
        <v/>
      </c>
    </row>
    <row r="172">
      <c r="A172" s="7" t="n"/>
      <c r="B172" s="7" t="n"/>
      <c r="C172" s="7" t="n"/>
      <c r="D172" s="7" t="n"/>
      <c r="E172" s="7" t="n"/>
      <c r="F172" s="7" t="n"/>
      <c r="G172" s="7" t="n"/>
      <c r="H172" s="7" t="n"/>
      <c r="I172" s="65" t="n"/>
      <c r="J172" s="66" t="n"/>
      <c r="K172" s="7" t="n"/>
      <c r="L172" s="7" t="n"/>
      <c r="M172" s="65" t="n"/>
      <c r="N172" s="7" t="n"/>
      <c r="O172" s="67" t="n"/>
      <c r="P172" s="68">
        <f>IF($A172="","",COUNTIFS('Ordres de travail'!$D$5:$D$3004,$A172,'Ordres de travail'!$H$5:$H$3004,"Correctif",'Ordres de travail'!$AC$5:$AC$3004,"&lt;&gt;Annulé",'Ordres de travail'!$B$5:$B$3004,"&gt;="&amp;'Paramètres'!$AA$6,'Ordres de travail'!$B$5:$B$3004,"&lt;"&amp;('Paramètres'!$AA$7+1)))</f>
        <v/>
      </c>
      <c r="Q172" s="69">
        <f>IF($A172="","",SUMIFS('Ordres de travail'!$S$5:$S$3004,'Ordres de travail'!$D$5:$D$3004,$A172,'Ordres de travail'!$H$5:$H$3004,"Correctif",'Ordres de travail'!$AC$5:$AC$3004,"&lt;&gt;Annulé",'Ordres de travail'!$B$5:$B$3004,"&gt;="&amp;'Paramètres'!$AA$6,'Ordres de travail'!$B$5:$B$3004,"&lt;"&amp;('Paramètres'!$AA$7+1)))</f>
        <v/>
      </c>
      <c r="R172" s="69">
        <f>IF($A172="","",SUMIFS('Ordres de travail'!$S$5:$S$3004,'Ordres de travail'!$D$5:$D$3004,$A172,'Ordres de travail'!$AC$5:$AC$3004,"&lt;&gt;Annulé",'Ordres de travail'!$B$5:$B$3004,"&gt;="&amp;'Paramètres'!$AA$6,'Ordres de travail'!$B$5:$B$3004,"&lt;"&amp;('Paramètres'!$AA$7+1)))</f>
        <v/>
      </c>
      <c r="S172" s="70">
        <f>IF($A172="","",SUMIFS('Ordres de travail'!$AA$5:$AA$3004,'Ordres de travail'!$D$5:$D$3004,$A172,'Ordres de travail'!$B$5:$B$3004,"&gt;="&amp;'Paramètres'!$AA$6,'Ordres de travail'!$B$5:$B$3004,"&lt;"&amp;('Paramètres'!$AA$7+1)))</f>
        <v/>
      </c>
      <c r="T172" s="68">
        <f>IF($A172="","",IF(P172=0,"-",(O172*'Paramètres'!$AA$8-Q172)/P172))</f>
        <v/>
      </c>
      <c r="U172" s="69">
        <f>IF($A172="","",IF(P172=0,"-",Q172/P172))</f>
        <v/>
      </c>
      <c r="V172" s="71">
        <f>IF($A172="","",IF(N(O172)*'Paramètres'!$AA$8=0,"-",MAX(0,1-R172/(O172*'Paramètres'!$AA$8))))</f>
        <v/>
      </c>
      <c r="W172" s="68">
        <f>IF($A172="","",_xlfn.MAXIFS('Relevés compteurs'!$D$5:$D$1504,'Relevés compteurs'!$B$5:$B$1504,$A172))</f>
        <v/>
      </c>
      <c r="X172" s="69">
        <f>IF(OR($A172="",I172=""),"",(TODAY()-I172)/365.25)</f>
        <v/>
      </c>
      <c r="Y172" s="70">
        <f>IF($A172="","",SUMIFS('Ordres de travail'!$AA$5:$AA$3004,'Ordres de travail'!$D$5:$D$3004,$A172))</f>
        <v/>
      </c>
      <c r="Z172" s="68">
        <f>IF($A172="","",SUM(COUNTIFS('Ordres de travail'!$D$5:$D$3004,$A172,'Ordres de travail'!$AC$5:$AC$3004,{"Demandé","Planifié","En cours","En attente pièces"})))</f>
        <v/>
      </c>
      <c r="AA172" s="9">
        <f>IF(OR($A172="",M172=""),"",IF(M172&lt;TODAY(),"Expirée",IF(M172-TODAY()&lt;='Paramètres'!$AA$15,"Expire bientôt","Sous garantie")))</f>
        <v/>
      </c>
      <c r="AB172" s="72">
        <f>IF($A172="",-1,N(R172)+ROW()/1000000)</f>
        <v/>
      </c>
    </row>
    <row r="173">
      <c r="A173" s="7" t="n"/>
      <c r="B173" s="7" t="n"/>
      <c r="C173" s="7" t="n"/>
      <c r="D173" s="7" t="n"/>
      <c r="E173" s="7" t="n"/>
      <c r="F173" s="7" t="n"/>
      <c r="G173" s="7" t="n"/>
      <c r="H173" s="7" t="n"/>
      <c r="I173" s="65" t="n"/>
      <c r="J173" s="66" t="n"/>
      <c r="K173" s="7" t="n"/>
      <c r="L173" s="7" t="n"/>
      <c r="M173" s="65" t="n"/>
      <c r="N173" s="7" t="n"/>
      <c r="O173" s="67" t="n"/>
      <c r="P173" s="68">
        <f>IF($A173="","",COUNTIFS('Ordres de travail'!$D$5:$D$3004,$A173,'Ordres de travail'!$H$5:$H$3004,"Correctif",'Ordres de travail'!$AC$5:$AC$3004,"&lt;&gt;Annulé",'Ordres de travail'!$B$5:$B$3004,"&gt;="&amp;'Paramètres'!$AA$6,'Ordres de travail'!$B$5:$B$3004,"&lt;"&amp;('Paramètres'!$AA$7+1)))</f>
        <v/>
      </c>
      <c r="Q173" s="69">
        <f>IF($A173="","",SUMIFS('Ordres de travail'!$S$5:$S$3004,'Ordres de travail'!$D$5:$D$3004,$A173,'Ordres de travail'!$H$5:$H$3004,"Correctif",'Ordres de travail'!$AC$5:$AC$3004,"&lt;&gt;Annulé",'Ordres de travail'!$B$5:$B$3004,"&gt;="&amp;'Paramètres'!$AA$6,'Ordres de travail'!$B$5:$B$3004,"&lt;"&amp;('Paramètres'!$AA$7+1)))</f>
        <v/>
      </c>
      <c r="R173" s="69">
        <f>IF($A173="","",SUMIFS('Ordres de travail'!$S$5:$S$3004,'Ordres de travail'!$D$5:$D$3004,$A173,'Ordres de travail'!$AC$5:$AC$3004,"&lt;&gt;Annulé",'Ordres de travail'!$B$5:$B$3004,"&gt;="&amp;'Paramètres'!$AA$6,'Ordres de travail'!$B$5:$B$3004,"&lt;"&amp;('Paramètres'!$AA$7+1)))</f>
        <v/>
      </c>
      <c r="S173" s="70">
        <f>IF($A173="","",SUMIFS('Ordres de travail'!$AA$5:$AA$3004,'Ordres de travail'!$D$5:$D$3004,$A173,'Ordres de travail'!$B$5:$B$3004,"&gt;="&amp;'Paramètres'!$AA$6,'Ordres de travail'!$B$5:$B$3004,"&lt;"&amp;('Paramètres'!$AA$7+1)))</f>
        <v/>
      </c>
      <c r="T173" s="68">
        <f>IF($A173="","",IF(P173=0,"-",(O173*'Paramètres'!$AA$8-Q173)/P173))</f>
        <v/>
      </c>
      <c r="U173" s="69">
        <f>IF($A173="","",IF(P173=0,"-",Q173/P173))</f>
        <v/>
      </c>
      <c r="V173" s="71">
        <f>IF($A173="","",IF(N(O173)*'Paramètres'!$AA$8=0,"-",MAX(0,1-R173/(O173*'Paramètres'!$AA$8))))</f>
        <v/>
      </c>
      <c r="W173" s="68">
        <f>IF($A173="","",_xlfn.MAXIFS('Relevés compteurs'!$D$5:$D$1504,'Relevés compteurs'!$B$5:$B$1504,$A173))</f>
        <v/>
      </c>
      <c r="X173" s="69">
        <f>IF(OR($A173="",I173=""),"",(TODAY()-I173)/365.25)</f>
        <v/>
      </c>
      <c r="Y173" s="70">
        <f>IF($A173="","",SUMIFS('Ordres de travail'!$AA$5:$AA$3004,'Ordres de travail'!$D$5:$D$3004,$A173))</f>
        <v/>
      </c>
      <c r="Z173" s="68">
        <f>IF($A173="","",SUM(COUNTIFS('Ordres de travail'!$D$5:$D$3004,$A173,'Ordres de travail'!$AC$5:$AC$3004,{"Demandé","Planifié","En cours","En attente pièces"})))</f>
        <v/>
      </c>
      <c r="AA173" s="9">
        <f>IF(OR($A173="",M173=""),"",IF(M173&lt;TODAY(),"Expirée",IF(M173-TODAY()&lt;='Paramètres'!$AA$15,"Expire bientôt","Sous garantie")))</f>
        <v/>
      </c>
      <c r="AB173" s="72">
        <f>IF($A173="",-1,N(R173)+ROW()/1000000)</f>
        <v/>
      </c>
    </row>
    <row r="174">
      <c r="A174" s="7" t="n"/>
      <c r="B174" s="7" t="n"/>
      <c r="C174" s="7" t="n"/>
      <c r="D174" s="7" t="n"/>
      <c r="E174" s="7" t="n"/>
      <c r="F174" s="7" t="n"/>
      <c r="G174" s="7" t="n"/>
      <c r="H174" s="7" t="n"/>
      <c r="I174" s="65" t="n"/>
      <c r="J174" s="66" t="n"/>
      <c r="K174" s="7" t="n"/>
      <c r="L174" s="7" t="n"/>
      <c r="M174" s="65" t="n"/>
      <c r="N174" s="7" t="n"/>
      <c r="O174" s="67" t="n"/>
      <c r="P174" s="68">
        <f>IF($A174="","",COUNTIFS('Ordres de travail'!$D$5:$D$3004,$A174,'Ordres de travail'!$H$5:$H$3004,"Correctif",'Ordres de travail'!$AC$5:$AC$3004,"&lt;&gt;Annulé",'Ordres de travail'!$B$5:$B$3004,"&gt;="&amp;'Paramètres'!$AA$6,'Ordres de travail'!$B$5:$B$3004,"&lt;"&amp;('Paramètres'!$AA$7+1)))</f>
        <v/>
      </c>
      <c r="Q174" s="69">
        <f>IF($A174="","",SUMIFS('Ordres de travail'!$S$5:$S$3004,'Ordres de travail'!$D$5:$D$3004,$A174,'Ordres de travail'!$H$5:$H$3004,"Correctif",'Ordres de travail'!$AC$5:$AC$3004,"&lt;&gt;Annulé",'Ordres de travail'!$B$5:$B$3004,"&gt;="&amp;'Paramètres'!$AA$6,'Ordres de travail'!$B$5:$B$3004,"&lt;"&amp;('Paramètres'!$AA$7+1)))</f>
        <v/>
      </c>
      <c r="R174" s="69">
        <f>IF($A174="","",SUMIFS('Ordres de travail'!$S$5:$S$3004,'Ordres de travail'!$D$5:$D$3004,$A174,'Ordres de travail'!$AC$5:$AC$3004,"&lt;&gt;Annulé",'Ordres de travail'!$B$5:$B$3004,"&gt;="&amp;'Paramètres'!$AA$6,'Ordres de travail'!$B$5:$B$3004,"&lt;"&amp;('Paramètres'!$AA$7+1)))</f>
        <v/>
      </c>
      <c r="S174" s="70">
        <f>IF($A174="","",SUMIFS('Ordres de travail'!$AA$5:$AA$3004,'Ordres de travail'!$D$5:$D$3004,$A174,'Ordres de travail'!$B$5:$B$3004,"&gt;="&amp;'Paramètres'!$AA$6,'Ordres de travail'!$B$5:$B$3004,"&lt;"&amp;('Paramètres'!$AA$7+1)))</f>
        <v/>
      </c>
      <c r="T174" s="68">
        <f>IF($A174="","",IF(P174=0,"-",(O174*'Paramètres'!$AA$8-Q174)/P174))</f>
        <v/>
      </c>
      <c r="U174" s="69">
        <f>IF($A174="","",IF(P174=0,"-",Q174/P174))</f>
        <v/>
      </c>
      <c r="V174" s="71">
        <f>IF($A174="","",IF(N(O174)*'Paramètres'!$AA$8=0,"-",MAX(0,1-R174/(O174*'Paramètres'!$AA$8))))</f>
        <v/>
      </c>
      <c r="W174" s="68">
        <f>IF($A174="","",_xlfn.MAXIFS('Relevés compteurs'!$D$5:$D$1504,'Relevés compteurs'!$B$5:$B$1504,$A174))</f>
        <v/>
      </c>
      <c r="X174" s="69">
        <f>IF(OR($A174="",I174=""),"",(TODAY()-I174)/365.25)</f>
        <v/>
      </c>
      <c r="Y174" s="70">
        <f>IF($A174="","",SUMIFS('Ordres de travail'!$AA$5:$AA$3004,'Ordres de travail'!$D$5:$D$3004,$A174))</f>
        <v/>
      </c>
      <c r="Z174" s="68">
        <f>IF($A174="","",SUM(COUNTIFS('Ordres de travail'!$D$5:$D$3004,$A174,'Ordres de travail'!$AC$5:$AC$3004,{"Demandé","Planifié","En cours","En attente pièces"})))</f>
        <v/>
      </c>
      <c r="AA174" s="9">
        <f>IF(OR($A174="",M174=""),"",IF(M174&lt;TODAY(),"Expirée",IF(M174-TODAY()&lt;='Paramètres'!$AA$15,"Expire bientôt","Sous garantie")))</f>
        <v/>
      </c>
      <c r="AB174" s="72">
        <f>IF($A174="",-1,N(R174)+ROW()/1000000)</f>
        <v/>
      </c>
    </row>
    <row r="175">
      <c r="A175" s="7" t="n"/>
      <c r="B175" s="7" t="n"/>
      <c r="C175" s="7" t="n"/>
      <c r="D175" s="7" t="n"/>
      <c r="E175" s="7" t="n"/>
      <c r="F175" s="7" t="n"/>
      <c r="G175" s="7" t="n"/>
      <c r="H175" s="7" t="n"/>
      <c r="I175" s="65" t="n"/>
      <c r="J175" s="66" t="n"/>
      <c r="K175" s="7" t="n"/>
      <c r="L175" s="7" t="n"/>
      <c r="M175" s="65" t="n"/>
      <c r="N175" s="7" t="n"/>
      <c r="O175" s="67" t="n"/>
      <c r="P175" s="68">
        <f>IF($A175="","",COUNTIFS('Ordres de travail'!$D$5:$D$3004,$A175,'Ordres de travail'!$H$5:$H$3004,"Correctif",'Ordres de travail'!$AC$5:$AC$3004,"&lt;&gt;Annulé",'Ordres de travail'!$B$5:$B$3004,"&gt;="&amp;'Paramètres'!$AA$6,'Ordres de travail'!$B$5:$B$3004,"&lt;"&amp;('Paramètres'!$AA$7+1)))</f>
        <v/>
      </c>
      <c r="Q175" s="69">
        <f>IF($A175="","",SUMIFS('Ordres de travail'!$S$5:$S$3004,'Ordres de travail'!$D$5:$D$3004,$A175,'Ordres de travail'!$H$5:$H$3004,"Correctif",'Ordres de travail'!$AC$5:$AC$3004,"&lt;&gt;Annulé",'Ordres de travail'!$B$5:$B$3004,"&gt;="&amp;'Paramètres'!$AA$6,'Ordres de travail'!$B$5:$B$3004,"&lt;"&amp;('Paramètres'!$AA$7+1)))</f>
        <v/>
      </c>
      <c r="R175" s="69">
        <f>IF($A175="","",SUMIFS('Ordres de travail'!$S$5:$S$3004,'Ordres de travail'!$D$5:$D$3004,$A175,'Ordres de travail'!$AC$5:$AC$3004,"&lt;&gt;Annulé",'Ordres de travail'!$B$5:$B$3004,"&gt;="&amp;'Paramètres'!$AA$6,'Ordres de travail'!$B$5:$B$3004,"&lt;"&amp;('Paramètres'!$AA$7+1)))</f>
        <v/>
      </c>
      <c r="S175" s="70">
        <f>IF($A175="","",SUMIFS('Ordres de travail'!$AA$5:$AA$3004,'Ordres de travail'!$D$5:$D$3004,$A175,'Ordres de travail'!$B$5:$B$3004,"&gt;="&amp;'Paramètres'!$AA$6,'Ordres de travail'!$B$5:$B$3004,"&lt;"&amp;('Paramètres'!$AA$7+1)))</f>
        <v/>
      </c>
      <c r="T175" s="68">
        <f>IF($A175="","",IF(P175=0,"-",(O175*'Paramètres'!$AA$8-Q175)/P175))</f>
        <v/>
      </c>
      <c r="U175" s="69">
        <f>IF($A175="","",IF(P175=0,"-",Q175/P175))</f>
        <v/>
      </c>
      <c r="V175" s="71">
        <f>IF($A175="","",IF(N(O175)*'Paramètres'!$AA$8=0,"-",MAX(0,1-R175/(O175*'Paramètres'!$AA$8))))</f>
        <v/>
      </c>
      <c r="W175" s="68">
        <f>IF($A175="","",_xlfn.MAXIFS('Relevés compteurs'!$D$5:$D$1504,'Relevés compteurs'!$B$5:$B$1504,$A175))</f>
        <v/>
      </c>
      <c r="X175" s="69">
        <f>IF(OR($A175="",I175=""),"",(TODAY()-I175)/365.25)</f>
        <v/>
      </c>
      <c r="Y175" s="70">
        <f>IF($A175="","",SUMIFS('Ordres de travail'!$AA$5:$AA$3004,'Ordres de travail'!$D$5:$D$3004,$A175))</f>
        <v/>
      </c>
      <c r="Z175" s="68">
        <f>IF($A175="","",SUM(COUNTIFS('Ordres de travail'!$D$5:$D$3004,$A175,'Ordres de travail'!$AC$5:$AC$3004,{"Demandé","Planifié","En cours","En attente pièces"})))</f>
        <v/>
      </c>
      <c r="AA175" s="9">
        <f>IF(OR($A175="",M175=""),"",IF(M175&lt;TODAY(),"Expirée",IF(M175-TODAY()&lt;='Paramètres'!$AA$15,"Expire bientôt","Sous garantie")))</f>
        <v/>
      </c>
      <c r="AB175" s="72">
        <f>IF($A175="",-1,N(R175)+ROW()/1000000)</f>
        <v/>
      </c>
    </row>
    <row r="176">
      <c r="A176" s="7" t="n"/>
      <c r="B176" s="7" t="n"/>
      <c r="C176" s="7" t="n"/>
      <c r="D176" s="7" t="n"/>
      <c r="E176" s="7" t="n"/>
      <c r="F176" s="7" t="n"/>
      <c r="G176" s="7" t="n"/>
      <c r="H176" s="7" t="n"/>
      <c r="I176" s="65" t="n"/>
      <c r="J176" s="66" t="n"/>
      <c r="K176" s="7" t="n"/>
      <c r="L176" s="7" t="n"/>
      <c r="M176" s="65" t="n"/>
      <c r="N176" s="7" t="n"/>
      <c r="O176" s="67" t="n"/>
      <c r="P176" s="68">
        <f>IF($A176="","",COUNTIFS('Ordres de travail'!$D$5:$D$3004,$A176,'Ordres de travail'!$H$5:$H$3004,"Correctif",'Ordres de travail'!$AC$5:$AC$3004,"&lt;&gt;Annulé",'Ordres de travail'!$B$5:$B$3004,"&gt;="&amp;'Paramètres'!$AA$6,'Ordres de travail'!$B$5:$B$3004,"&lt;"&amp;('Paramètres'!$AA$7+1)))</f>
        <v/>
      </c>
      <c r="Q176" s="69">
        <f>IF($A176="","",SUMIFS('Ordres de travail'!$S$5:$S$3004,'Ordres de travail'!$D$5:$D$3004,$A176,'Ordres de travail'!$H$5:$H$3004,"Correctif",'Ordres de travail'!$AC$5:$AC$3004,"&lt;&gt;Annulé",'Ordres de travail'!$B$5:$B$3004,"&gt;="&amp;'Paramètres'!$AA$6,'Ordres de travail'!$B$5:$B$3004,"&lt;"&amp;('Paramètres'!$AA$7+1)))</f>
        <v/>
      </c>
      <c r="R176" s="69">
        <f>IF($A176="","",SUMIFS('Ordres de travail'!$S$5:$S$3004,'Ordres de travail'!$D$5:$D$3004,$A176,'Ordres de travail'!$AC$5:$AC$3004,"&lt;&gt;Annulé",'Ordres de travail'!$B$5:$B$3004,"&gt;="&amp;'Paramètres'!$AA$6,'Ordres de travail'!$B$5:$B$3004,"&lt;"&amp;('Paramètres'!$AA$7+1)))</f>
        <v/>
      </c>
      <c r="S176" s="70">
        <f>IF($A176="","",SUMIFS('Ordres de travail'!$AA$5:$AA$3004,'Ordres de travail'!$D$5:$D$3004,$A176,'Ordres de travail'!$B$5:$B$3004,"&gt;="&amp;'Paramètres'!$AA$6,'Ordres de travail'!$B$5:$B$3004,"&lt;"&amp;('Paramètres'!$AA$7+1)))</f>
        <v/>
      </c>
      <c r="T176" s="68">
        <f>IF($A176="","",IF(P176=0,"-",(O176*'Paramètres'!$AA$8-Q176)/P176))</f>
        <v/>
      </c>
      <c r="U176" s="69">
        <f>IF($A176="","",IF(P176=0,"-",Q176/P176))</f>
        <v/>
      </c>
      <c r="V176" s="71">
        <f>IF($A176="","",IF(N(O176)*'Paramètres'!$AA$8=0,"-",MAX(0,1-R176/(O176*'Paramètres'!$AA$8))))</f>
        <v/>
      </c>
      <c r="W176" s="68">
        <f>IF($A176="","",_xlfn.MAXIFS('Relevés compteurs'!$D$5:$D$1504,'Relevés compteurs'!$B$5:$B$1504,$A176))</f>
        <v/>
      </c>
      <c r="X176" s="69">
        <f>IF(OR($A176="",I176=""),"",(TODAY()-I176)/365.25)</f>
        <v/>
      </c>
      <c r="Y176" s="70">
        <f>IF($A176="","",SUMIFS('Ordres de travail'!$AA$5:$AA$3004,'Ordres de travail'!$D$5:$D$3004,$A176))</f>
        <v/>
      </c>
      <c r="Z176" s="68">
        <f>IF($A176="","",SUM(COUNTIFS('Ordres de travail'!$D$5:$D$3004,$A176,'Ordres de travail'!$AC$5:$AC$3004,{"Demandé","Planifié","En cours","En attente pièces"})))</f>
        <v/>
      </c>
      <c r="AA176" s="9">
        <f>IF(OR($A176="",M176=""),"",IF(M176&lt;TODAY(),"Expirée",IF(M176-TODAY()&lt;='Paramètres'!$AA$15,"Expire bientôt","Sous garantie")))</f>
        <v/>
      </c>
      <c r="AB176" s="72">
        <f>IF($A176="",-1,N(R176)+ROW()/1000000)</f>
        <v/>
      </c>
    </row>
    <row r="177">
      <c r="A177" s="7" t="n"/>
      <c r="B177" s="7" t="n"/>
      <c r="C177" s="7" t="n"/>
      <c r="D177" s="7" t="n"/>
      <c r="E177" s="7" t="n"/>
      <c r="F177" s="7" t="n"/>
      <c r="G177" s="7" t="n"/>
      <c r="H177" s="7" t="n"/>
      <c r="I177" s="65" t="n"/>
      <c r="J177" s="66" t="n"/>
      <c r="K177" s="7" t="n"/>
      <c r="L177" s="7" t="n"/>
      <c r="M177" s="65" t="n"/>
      <c r="N177" s="7" t="n"/>
      <c r="O177" s="67" t="n"/>
      <c r="P177" s="68">
        <f>IF($A177="","",COUNTIFS('Ordres de travail'!$D$5:$D$3004,$A177,'Ordres de travail'!$H$5:$H$3004,"Correctif",'Ordres de travail'!$AC$5:$AC$3004,"&lt;&gt;Annulé",'Ordres de travail'!$B$5:$B$3004,"&gt;="&amp;'Paramètres'!$AA$6,'Ordres de travail'!$B$5:$B$3004,"&lt;"&amp;('Paramètres'!$AA$7+1)))</f>
        <v/>
      </c>
      <c r="Q177" s="69">
        <f>IF($A177="","",SUMIFS('Ordres de travail'!$S$5:$S$3004,'Ordres de travail'!$D$5:$D$3004,$A177,'Ordres de travail'!$H$5:$H$3004,"Correctif",'Ordres de travail'!$AC$5:$AC$3004,"&lt;&gt;Annulé",'Ordres de travail'!$B$5:$B$3004,"&gt;="&amp;'Paramètres'!$AA$6,'Ordres de travail'!$B$5:$B$3004,"&lt;"&amp;('Paramètres'!$AA$7+1)))</f>
        <v/>
      </c>
      <c r="R177" s="69">
        <f>IF($A177="","",SUMIFS('Ordres de travail'!$S$5:$S$3004,'Ordres de travail'!$D$5:$D$3004,$A177,'Ordres de travail'!$AC$5:$AC$3004,"&lt;&gt;Annulé",'Ordres de travail'!$B$5:$B$3004,"&gt;="&amp;'Paramètres'!$AA$6,'Ordres de travail'!$B$5:$B$3004,"&lt;"&amp;('Paramètres'!$AA$7+1)))</f>
        <v/>
      </c>
      <c r="S177" s="70">
        <f>IF($A177="","",SUMIFS('Ordres de travail'!$AA$5:$AA$3004,'Ordres de travail'!$D$5:$D$3004,$A177,'Ordres de travail'!$B$5:$B$3004,"&gt;="&amp;'Paramètres'!$AA$6,'Ordres de travail'!$B$5:$B$3004,"&lt;"&amp;('Paramètres'!$AA$7+1)))</f>
        <v/>
      </c>
      <c r="T177" s="68">
        <f>IF($A177="","",IF(P177=0,"-",(O177*'Paramètres'!$AA$8-Q177)/P177))</f>
        <v/>
      </c>
      <c r="U177" s="69">
        <f>IF($A177="","",IF(P177=0,"-",Q177/P177))</f>
        <v/>
      </c>
      <c r="V177" s="71">
        <f>IF($A177="","",IF(N(O177)*'Paramètres'!$AA$8=0,"-",MAX(0,1-R177/(O177*'Paramètres'!$AA$8))))</f>
        <v/>
      </c>
      <c r="W177" s="68">
        <f>IF($A177="","",_xlfn.MAXIFS('Relevés compteurs'!$D$5:$D$1504,'Relevés compteurs'!$B$5:$B$1504,$A177))</f>
        <v/>
      </c>
      <c r="X177" s="69">
        <f>IF(OR($A177="",I177=""),"",(TODAY()-I177)/365.25)</f>
        <v/>
      </c>
      <c r="Y177" s="70">
        <f>IF($A177="","",SUMIFS('Ordres de travail'!$AA$5:$AA$3004,'Ordres de travail'!$D$5:$D$3004,$A177))</f>
        <v/>
      </c>
      <c r="Z177" s="68">
        <f>IF($A177="","",SUM(COUNTIFS('Ordres de travail'!$D$5:$D$3004,$A177,'Ordres de travail'!$AC$5:$AC$3004,{"Demandé","Planifié","En cours","En attente pièces"})))</f>
        <v/>
      </c>
      <c r="AA177" s="9">
        <f>IF(OR($A177="",M177=""),"",IF(M177&lt;TODAY(),"Expirée",IF(M177-TODAY()&lt;='Paramètres'!$AA$15,"Expire bientôt","Sous garantie")))</f>
        <v/>
      </c>
      <c r="AB177" s="72">
        <f>IF($A177="",-1,N(R177)+ROW()/1000000)</f>
        <v/>
      </c>
    </row>
    <row r="178">
      <c r="A178" s="7" t="n"/>
      <c r="B178" s="7" t="n"/>
      <c r="C178" s="7" t="n"/>
      <c r="D178" s="7" t="n"/>
      <c r="E178" s="7" t="n"/>
      <c r="F178" s="7" t="n"/>
      <c r="G178" s="7" t="n"/>
      <c r="H178" s="7" t="n"/>
      <c r="I178" s="65" t="n"/>
      <c r="J178" s="66" t="n"/>
      <c r="K178" s="7" t="n"/>
      <c r="L178" s="7" t="n"/>
      <c r="M178" s="65" t="n"/>
      <c r="N178" s="7" t="n"/>
      <c r="O178" s="67" t="n"/>
      <c r="P178" s="68">
        <f>IF($A178="","",COUNTIFS('Ordres de travail'!$D$5:$D$3004,$A178,'Ordres de travail'!$H$5:$H$3004,"Correctif",'Ordres de travail'!$AC$5:$AC$3004,"&lt;&gt;Annulé",'Ordres de travail'!$B$5:$B$3004,"&gt;="&amp;'Paramètres'!$AA$6,'Ordres de travail'!$B$5:$B$3004,"&lt;"&amp;('Paramètres'!$AA$7+1)))</f>
        <v/>
      </c>
      <c r="Q178" s="69">
        <f>IF($A178="","",SUMIFS('Ordres de travail'!$S$5:$S$3004,'Ordres de travail'!$D$5:$D$3004,$A178,'Ordres de travail'!$H$5:$H$3004,"Correctif",'Ordres de travail'!$AC$5:$AC$3004,"&lt;&gt;Annulé",'Ordres de travail'!$B$5:$B$3004,"&gt;="&amp;'Paramètres'!$AA$6,'Ordres de travail'!$B$5:$B$3004,"&lt;"&amp;('Paramètres'!$AA$7+1)))</f>
        <v/>
      </c>
      <c r="R178" s="69">
        <f>IF($A178="","",SUMIFS('Ordres de travail'!$S$5:$S$3004,'Ordres de travail'!$D$5:$D$3004,$A178,'Ordres de travail'!$AC$5:$AC$3004,"&lt;&gt;Annulé",'Ordres de travail'!$B$5:$B$3004,"&gt;="&amp;'Paramètres'!$AA$6,'Ordres de travail'!$B$5:$B$3004,"&lt;"&amp;('Paramètres'!$AA$7+1)))</f>
        <v/>
      </c>
      <c r="S178" s="70">
        <f>IF($A178="","",SUMIFS('Ordres de travail'!$AA$5:$AA$3004,'Ordres de travail'!$D$5:$D$3004,$A178,'Ordres de travail'!$B$5:$B$3004,"&gt;="&amp;'Paramètres'!$AA$6,'Ordres de travail'!$B$5:$B$3004,"&lt;"&amp;('Paramètres'!$AA$7+1)))</f>
        <v/>
      </c>
      <c r="T178" s="68">
        <f>IF($A178="","",IF(P178=0,"-",(O178*'Paramètres'!$AA$8-Q178)/P178))</f>
        <v/>
      </c>
      <c r="U178" s="69">
        <f>IF($A178="","",IF(P178=0,"-",Q178/P178))</f>
        <v/>
      </c>
      <c r="V178" s="71">
        <f>IF($A178="","",IF(N(O178)*'Paramètres'!$AA$8=0,"-",MAX(0,1-R178/(O178*'Paramètres'!$AA$8))))</f>
        <v/>
      </c>
      <c r="W178" s="68">
        <f>IF($A178="","",_xlfn.MAXIFS('Relevés compteurs'!$D$5:$D$1504,'Relevés compteurs'!$B$5:$B$1504,$A178))</f>
        <v/>
      </c>
      <c r="X178" s="69">
        <f>IF(OR($A178="",I178=""),"",(TODAY()-I178)/365.25)</f>
        <v/>
      </c>
      <c r="Y178" s="70">
        <f>IF($A178="","",SUMIFS('Ordres de travail'!$AA$5:$AA$3004,'Ordres de travail'!$D$5:$D$3004,$A178))</f>
        <v/>
      </c>
      <c r="Z178" s="68">
        <f>IF($A178="","",SUM(COUNTIFS('Ordres de travail'!$D$5:$D$3004,$A178,'Ordres de travail'!$AC$5:$AC$3004,{"Demandé","Planifié","En cours","En attente pièces"})))</f>
        <v/>
      </c>
      <c r="AA178" s="9">
        <f>IF(OR($A178="",M178=""),"",IF(M178&lt;TODAY(),"Expirée",IF(M178-TODAY()&lt;='Paramètres'!$AA$15,"Expire bientôt","Sous garantie")))</f>
        <v/>
      </c>
      <c r="AB178" s="72">
        <f>IF($A178="",-1,N(R178)+ROW()/1000000)</f>
        <v/>
      </c>
    </row>
    <row r="179">
      <c r="A179" s="7" t="n"/>
      <c r="B179" s="7" t="n"/>
      <c r="C179" s="7" t="n"/>
      <c r="D179" s="7" t="n"/>
      <c r="E179" s="7" t="n"/>
      <c r="F179" s="7" t="n"/>
      <c r="G179" s="7" t="n"/>
      <c r="H179" s="7" t="n"/>
      <c r="I179" s="65" t="n"/>
      <c r="J179" s="66" t="n"/>
      <c r="K179" s="7" t="n"/>
      <c r="L179" s="7" t="n"/>
      <c r="M179" s="65" t="n"/>
      <c r="N179" s="7" t="n"/>
      <c r="O179" s="67" t="n"/>
      <c r="P179" s="68">
        <f>IF($A179="","",COUNTIFS('Ordres de travail'!$D$5:$D$3004,$A179,'Ordres de travail'!$H$5:$H$3004,"Correctif",'Ordres de travail'!$AC$5:$AC$3004,"&lt;&gt;Annulé",'Ordres de travail'!$B$5:$B$3004,"&gt;="&amp;'Paramètres'!$AA$6,'Ordres de travail'!$B$5:$B$3004,"&lt;"&amp;('Paramètres'!$AA$7+1)))</f>
        <v/>
      </c>
      <c r="Q179" s="69">
        <f>IF($A179="","",SUMIFS('Ordres de travail'!$S$5:$S$3004,'Ordres de travail'!$D$5:$D$3004,$A179,'Ordres de travail'!$H$5:$H$3004,"Correctif",'Ordres de travail'!$AC$5:$AC$3004,"&lt;&gt;Annulé",'Ordres de travail'!$B$5:$B$3004,"&gt;="&amp;'Paramètres'!$AA$6,'Ordres de travail'!$B$5:$B$3004,"&lt;"&amp;('Paramètres'!$AA$7+1)))</f>
        <v/>
      </c>
      <c r="R179" s="69">
        <f>IF($A179="","",SUMIFS('Ordres de travail'!$S$5:$S$3004,'Ordres de travail'!$D$5:$D$3004,$A179,'Ordres de travail'!$AC$5:$AC$3004,"&lt;&gt;Annulé",'Ordres de travail'!$B$5:$B$3004,"&gt;="&amp;'Paramètres'!$AA$6,'Ordres de travail'!$B$5:$B$3004,"&lt;"&amp;('Paramètres'!$AA$7+1)))</f>
        <v/>
      </c>
      <c r="S179" s="70">
        <f>IF($A179="","",SUMIFS('Ordres de travail'!$AA$5:$AA$3004,'Ordres de travail'!$D$5:$D$3004,$A179,'Ordres de travail'!$B$5:$B$3004,"&gt;="&amp;'Paramètres'!$AA$6,'Ordres de travail'!$B$5:$B$3004,"&lt;"&amp;('Paramètres'!$AA$7+1)))</f>
        <v/>
      </c>
      <c r="T179" s="68">
        <f>IF($A179="","",IF(P179=0,"-",(O179*'Paramètres'!$AA$8-Q179)/P179))</f>
        <v/>
      </c>
      <c r="U179" s="69">
        <f>IF($A179="","",IF(P179=0,"-",Q179/P179))</f>
        <v/>
      </c>
      <c r="V179" s="71">
        <f>IF($A179="","",IF(N(O179)*'Paramètres'!$AA$8=0,"-",MAX(0,1-R179/(O179*'Paramètres'!$AA$8))))</f>
        <v/>
      </c>
      <c r="W179" s="68">
        <f>IF($A179="","",_xlfn.MAXIFS('Relevés compteurs'!$D$5:$D$1504,'Relevés compteurs'!$B$5:$B$1504,$A179))</f>
        <v/>
      </c>
      <c r="X179" s="69">
        <f>IF(OR($A179="",I179=""),"",(TODAY()-I179)/365.25)</f>
        <v/>
      </c>
      <c r="Y179" s="70">
        <f>IF($A179="","",SUMIFS('Ordres de travail'!$AA$5:$AA$3004,'Ordres de travail'!$D$5:$D$3004,$A179))</f>
        <v/>
      </c>
      <c r="Z179" s="68">
        <f>IF($A179="","",SUM(COUNTIFS('Ordres de travail'!$D$5:$D$3004,$A179,'Ordres de travail'!$AC$5:$AC$3004,{"Demandé","Planifié","En cours","En attente pièces"})))</f>
        <v/>
      </c>
      <c r="AA179" s="9">
        <f>IF(OR($A179="",M179=""),"",IF(M179&lt;TODAY(),"Expirée",IF(M179-TODAY()&lt;='Paramètres'!$AA$15,"Expire bientôt","Sous garantie")))</f>
        <v/>
      </c>
      <c r="AB179" s="72">
        <f>IF($A179="",-1,N(R179)+ROW()/1000000)</f>
        <v/>
      </c>
    </row>
    <row r="180">
      <c r="A180" s="7" t="n"/>
      <c r="B180" s="7" t="n"/>
      <c r="C180" s="7" t="n"/>
      <c r="D180" s="7" t="n"/>
      <c r="E180" s="7" t="n"/>
      <c r="F180" s="7" t="n"/>
      <c r="G180" s="7" t="n"/>
      <c r="H180" s="7" t="n"/>
      <c r="I180" s="65" t="n"/>
      <c r="J180" s="66" t="n"/>
      <c r="K180" s="7" t="n"/>
      <c r="L180" s="7" t="n"/>
      <c r="M180" s="65" t="n"/>
      <c r="N180" s="7" t="n"/>
      <c r="O180" s="67" t="n"/>
      <c r="P180" s="68">
        <f>IF($A180="","",COUNTIFS('Ordres de travail'!$D$5:$D$3004,$A180,'Ordres de travail'!$H$5:$H$3004,"Correctif",'Ordres de travail'!$AC$5:$AC$3004,"&lt;&gt;Annulé",'Ordres de travail'!$B$5:$B$3004,"&gt;="&amp;'Paramètres'!$AA$6,'Ordres de travail'!$B$5:$B$3004,"&lt;"&amp;('Paramètres'!$AA$7+1)))</f>
        <v/>
      </c>
      <c r="Q180" s="69">
        <f>IF($A180="","",SUMIFS('Ordres de travail'!$S$5:$S$3004,'Ordres de travail'!$D$5:$D$3004,$A180,'Ordres de travail'!$H$5:$H$3004,"Correctif",'Ordres de travail'!$AC$5:$AC$3004,"&lt;&gt;Annulé",'Ordres de travail'!$B$5:$B$3004,"&gt;="&amp;'Paramètres'!$AA$6,'Ordres de travail'!$B$5:$B$3004,"&lt;"&amp;('Paramètres'!$AA$7+1)))</f>
        <v/>
      </c>
      <c r="R180" s="69">
        <f>IF($A180="","",SUMIFS('Ordres de travail'!$S$5:$S$3004,'Ordres de travail'!$D$5:$D$3004,$A180,'Ordres de travail'!$AC$5:$AC$3004,"&lt;&gt;Annulé",'Ordres de travail'!$B$5:$B$3004,"&gt;="&amp;'Paramètres'!$AA$6,'Ordres de travail'!$B$5:$B$3004,"&lt;"&amp;('Paramètres'!$AA$7+1)))</f>
        <v/>
      </c>
      <c r="S180" s="70">
        <f>IF($A180="","",SUMIFS('Ordres de travail'!$AA$5:$AA$3004,'Ordres de travail'!$D$5:$D$3004,$A180,'Ordres de travail'!$B$5:$B$3004,"&gt;="&amp;'Paramètres'!$AA$6,'Ordres de travail'!$B$5:$B$3004,"&lt;"&amp;('Paramètres'!$AA$7+1)))</f>
        <v/>
      </c>
      <c r="T180" s="68">
        <f>IF($A180="","",IF(P180=0,"-",(O180*'Paramètres'!$AA$8-Q180)/P180))</f>
        <v/>
      </c>
      <c r="U180" s="69">
        <f>IF($A180="","",IF(P180=0,"-",Q180/P180))</f>
        <v/>
      </c>
      <c r="V180" s="71">
        <f>IF($A180="","",IF(N(O180)*'Paramètres'!$AA$8=0,"-",MAX(0,1-R180/(O180*'Paramètres'!$AA$8))))</f>
        <v/>
      </c>
      <c r="W180" s="68">
        <f>IF($A180="","",_xlfn.MAXIFS('Relevés compteurs'!$D$5:$D$1504,'Relevés compteurs'!$B$5:$B$1504,$A180))</f>
        <v/>
      </c>
      <c r="X180" s="69">
        <f>IF(OR($A180="",I180=""),"",(TODAY()-I180)/365.25)</f>
        <v/>
      </c>
      <c r="Y180" s="70">
        <f>IF($A180="","",SUMIFS('Ordres de travail'!$AA$5:$AA$3004,'Ordres de travail'!$D$5:$D$3004,$A180))</f>
        <v/>
      </c>
      <c r="Z180" s="68">
        <f>IF($A180="","",SUM(COUNTIFS('Ordres de travail'!$D$5:$D$3004,$A180,'Ordres de travail'!$AC$5:$AC$3004,{"Demandé","Planifié","En cours","En attente pièces"})))</f>
        <v/>
      </c>
      <c r="AA180" s="9">
        <f>IF(OR($A180="",M180=""),"",IF(M180&lt;TODAY(),"Expirée",IF(M180-TODAY()&lt;='Paramètres'!$AA$15,"Expire bientôt","Sous garantie")))</f>
        <v/>
      </c>
      <c r="AB180" s="72">
        <f>IF($A180="",-1,N(R180)+ROW()/1000000)</f>
        <v/>
      </c>
    </row>
    <row r="181">
      <c r="A181" s="7" t="n"/>
      <c r="B181" s="7" t="n"/>
      <c r="C181" s="7" t="n"/>
      <c r="D181" s="7" t="n"/>
      <c r="E181" s="7" t="n"/>
      <c r="F181" s="7" t="n"/>
      <c r="G181" s="7" t="n"/>
      <c r="H181" s="7" t="n"/>
      <c r="I181" s="65" t="n"/>
      <c r="J181" s="66" t="n"/>
      <c r="K181" s="7" t="n"/>
      <c r="L181" s="7" t="n"/>
      <c r="M181" s="65" t="n"/>
      <c r="N181" s="7" t="n"/>
      <c r="O181" s="67" t="n"/>
      <c r="P181" s="68">
        <f>IF($A181="","",COUNTIFS('Ordres de travail'!$D$5:$D$3004,$A181,'Ordres de travail'!$H$5:$H$3004,"Correctif",'Ordres de travail'!$AC$5:$AC$3004,"&lt;&gt;Annulé",'Ordres de travail'!$B$5:$B$3004,"&gt;="&amp;'Paramètres'!$AA$6,'Ordres de travail'!$B$5:$B$3004,"&lt;"&amp;('Paramètres'!$AA$7+1)))</f>
        <v/>
      </c>
      <c r="Q181" s="69">
        <f>IF($A181="","",SUMIFS('Ordres de travail'!$S$5:$S$3004,'Ordres de travail'!$D$5:$D$3004,$A181,'Ordres de travail'!$H$5:$H$3004,"Correctif",'Ordres de travail'!$AC$5:$AC$3004,"&lt;&gt;Annulé",'Ordres de travail'!$B$5:$B$3004,"&gt;="&amp;'Paramètres'!$AA$6,'Ordres de travail'!$B$5:$B$3004,"&lt;"&amp;('Paramètres'!$AA$7+1)))</f>
        <v/>
      </c>
      <c r="R181" s="69">
        <f>IF($A181="","",SUMIFS('Ordres de travail'!$S$5:$S$3004,'Ordres de travail'!$D$5:$D$3004,$A181,'Ordres de travail'!$AC$5:$AC$3004,"&lt;&gt;Annulé",'Ordres de travail'!$B$5:$B$3004,"&gt;="&amp;'Paramètres'!$AA$6,'Ordres de travail'!$B$5:$B$3004,"&lt;"&amp;('Paramètres'!$AA$7+1)))</f>
        <v/>
      </c>
      <c r="S181" s="70">
        <f>IF($A181="","",SUMIFS('Ordres de travail'!$AA$5:$AA$3004,'Ordres de travail'!$D$5:$D$3004,$A181,'Ordres de travail'!$B$5:$B$3004,"&gt;="&amp;'Paramètres'!$AA$6,'Ordres de travail'!$B$5:$B$3004,"&lt;"&amp;('Paramètres'!$AA$7+1)))</f>
        <v/>
      </c>
      <c r="T181" s="68">
        <f>IF($A181="","",IF(P181=0,"-",(O181*'Paramètres'!$AA$8-Q181)/P181))</f>
        <v/>
      </c>
      <c r="U181" s="69">
        <f>IF($A181="","",IF(P181=0,"-",Q181/P181))</f>
        <v/>
      </c>
      <c r="V181" s="71">
        <f>IF($A181="","",IF(N(O181)*'Paramètres'!$AA$8=0,"-",MAX(0,1-R181/(O181*'Paramètres'!$AA$8))))</f>
        <v/>
      </c>
      <c r="W181" s="68">
        <f>IF($A181="","",_xlfn.MAXIFS('Relevés compteurs'!$D$5:$D$1504,'Relevés compteurs'!$B$5:$B$1504,$A181))</f>
        <v/>
      </c>
      <c r="X181" s="69">
        <f>IF(OR($A181="",I181=""),"",(TODAY()-I181)/365.25)</f>
        <v/>
      </c>
      <c r="Y181" s="70">
        <f>IF($A181="","",SUMIFS('Ordres de travail'!$AA$5:$AA$3004,'Ordres de travail'!$D$5:$D$3004,$A181))</f>
        <v/>
      </c>
      <c r="Z181" s="68">
        <f>IF($A181="","",SUM(COUNTIFS('Ordres de travail'!$D$5:$D$3004,$A181,'Ordres de travail'!$AC$5:$AC$3004,{"Demandé","Planifié","En cours","En attente pièces"})))</f>
        <v/>
      </c>
      <c r="AA181" s="9">
        <f>IF(OR($A181="",M181=""),"",IF(M181&lt;TODAY(),"Expirée",IF(M181-TODAY()&lt;='Paramètres'!$AA$15,"Expire bientôt","Sous garantie")))</f>
        <v/>
      </c>
      <c r="AB181" s="72">
        <f>IF($A181="",-1,N(R181)+ROW()/1000000)</f>
        <v/>
      </c>
    </row>
    <row r="182">
      <c r="A182" s="7" t="n"/>
      <c r="B182" s="7" t="n"/>
      <c r="C182" s="7" t="n"/>
      <c r="D182" s="7" t="n"/>
      <c r="E182" s="7" t="n"/>
      <c r="F182" s="7" t="n"/>
      <c r="G182" s="7" t="n"/>
      <c r="H182" s="7" t="n"/>
      <c r="I182" s="65" t="n"/>
      <c r="J182" s="66" t="n"/>
      <c r="K182" s="7" t="n"/>
      <c r="L182" s="7" t="n"/>
      <c r="M182" s="65" t="n"/>
      <c r="N182" s="7" t="n"/>
      <c r="O182" s="67" t="n"/>
      <c r="P182" s="68">
        <f>IF($A182="","",COUNTIFS('Ordres de travail'!$D$5:$D$3004,$A182,'Ordres de travail'!$H$5:$H$3004,"Correctif",'Ordres de travail'!$AC$5:$AC$3004,"&lt;&gt;Annulé",'Ordres de travail'!$B$5:$B$3004,"&gt;="&amp;'Paramètres'!$AA$6,'Ordres de travail'!$B$5:$B$3004,"&lt;"&amp;('Paramètres'!$AA$7+1)))</f>
        <v/>
      </c>
      <c r="Q182" s="69">
        <f>IF($A182="","",SUMIFS('Ordres de travail'!$S$5:$S$3004,'Ordres de travail'!$D$5:$D$3004,$A182,'Ordres de travail'!$H$5:$H$3004,"Correctif",'Ordres de travail'!$AC$5:$AC$3004,"&lt;&gt;Annulé",'Ordres de travail'!$B$5:$B$3004,"&gt;="&amp;'Paramètres'!$AA$6,'Ordres de travail'!$B$5:$B$3004,"&lt;"&amp;('Paramètres'!$AA$7+1)))</f>
        <v/>
      </c>
      <c r="R182" s="69">
        <f>IF($A182="","",SUMIFS('Ordres de travail'!$S$5:$S$3004,'Ordres de travail'!$D$5:$D$3004,$A182,'Ordres de travail'!$AC$5:$AC$3004,"&lt;&gt;Annulé",'Ordres de travail'!$B$5:$B$3004,"&gt;="&amp;'Paramètres'!$AA$6,'Ordres de travail'!$B$5:$B$3004,"&lt;"&amp;('Paramètres'!$AA$7+1)))</f>
        <v/>
      </c>
      <c r="S182" s="70">
        <f>IF($A182="","",SUMIFS('Ordres de travail'!$AA$5:$AA$3004,'Ordres de travail'!$D$5:$D$3004,$A182,'Ordres de travail'!$B$5:$B$3004,"&gt;="&amp;'Paramètres'!$AA$6,'Ordres de travail'!$B$5:$B$3004,"&lt;"&amp;('Paramètres'!$AA$7+1)))</f>
        <v/>
      </c>
      <c r="T182" s="68">
        <f>IF($A182="","",IF(P182=0,"-",(O182*'Paramètres'!$AA$8-Q182)/P182))</f>
        <v/>
      </c>
      <c r="U182" s="69">
        <f>IF($A182="","",IF(P182=0,"-",Q182/P182))</f>
        <v/>
      </c>
      <c r="V182" s="71">
        <f>IF($A182="","",IF(N(O182)*'Paramètres'!$AA$8=0,"-",MAX(0,1-R182/(O182*'Paramètres'!$AA$8))))</f>
        <v/>
      </c>
      <c r="W182" s="68">
        <f>IF($A182="","",_xlfn.MAXIFS('Relevés compteurs'!$D$5:$D$1504,'Relevés compteurs'!$B$5:$B$1504,$A182))</f>
        <v/>
      </c>
      <c r="X182" s="69">
        <f>IF(OR($A182="",I182=""),"",(TODAY()-I182)/365.25)</f>
        <v/>
      </c>
      <c r="Y182" s="70">
        <f>IF($A182="","",SUMIFS('Ordres de travail'!$AA$5:$AA$3004,'Ordres de travail'!$D$5:$D$3004,$A182))</f>
        <v/>
      </c>
      <c r="Z182" s="68">
        <f>IF($A182="","",SUM(COUNTIFS('Ordres de travail'!$D$5:$D$3004,$A182,'Ordres de travail'!$AC$5:$AC$3004,{"Demandé","Planifié","En cours","En attente pièces"})))</f>
        <v/>
      </c>
      <c r="AA182" s="9">
        <f>IF(OR($A182="",M182=""),"",IF(M182&lt;TODAY(),"Expirée",IF(M182-TODAY()&lt;='Paramètres'!$AA$15,"Expire bientôt","Sous garantie")))</f>
        <v/>
      </c>
      <c r="AB182" s="72">
        <f>IF($A182="",-1,N(R182)+ROW()/1000000)</f>
        <v/>
      </c>
    </row>
    <row r="183">
      <c r="A183" s="7" t="n"/>
      <c r="B183" s="7" t="n"/>
      <c r="C183" s="7" t="n"/>
      <c r="D183" s="7" t="n"/>
      <c r="E183" s="7" t="n"/>
      <c r="F183" s="7" t="n"/>
      <c r="G183" s="7" t="n"/>
      <c r="H183" s="7" t="n"/>
      <c r="I183" s="65" t="n"/>
      <c r="J183" s="66" t="n"/>
      <c r="K183" s="7" t="n"/>
      <c r="L183" s="7" t="n"/>
      <c r="M183" s="65" t="n"/>
      <c r="N183" s="7" t="n"/>
      <c r="O183" s="67" t="n"/>
      <c r="P183" s="68">
        <f>IF($A183="","",COUNTIFS('Ordres de travail'!$D$5:$D$3004,$A183,'Ordres de travail'!$H$5:$H$3004,"Correctif",'Ordres de travail'!$AC$5:$AC$3004,"&lt;&gt;Annulé",'Ordres de travail'!$B$5:$B$3004,"&gt;="&amp;'Paramètres'!$AA$6,'Ordres de travail'!$B$5:$B$3004,"&lt;"&amp;('Paramètres'!$AA$7+1)))</f>
        <v/>
      </c>
      <c r="Q183" s="69">
        <f>IF($A183="","",SUMIFS('Ordres de travail'!$S$5:$S$3004,'Ordres de travail'!$D$5:$D$3004,$A183,'Ordres de travail'!$H$5:$H$3004,"Correctif",'Ordres de travail'!$AC$5:$AC$3004,"&lt;&gt;Annulé",'Ordres de travail'!$B$5:$B$3004,"&gt;="&amp;'Paramètres'!$AA$6,'Ordres de travail'!$B$5:$B$3004,"&lt;"&amp;('Paramètres'!$AA$7+1)))</f>
        <v/>
      </c>
      <c r="R183" s="69">
        <f>IF($A183="","",SUMIFS('Ordres de travail'!$S$5:$S$3004,'Ordres de travail'!$D$5:$D$3004,$A183,'Ordres de travail'!$AC$5:$AC$3004,"&lt;&gt;Annulé",'Ordres de travail'!$B$5:$B$3004,"&gt;="&amp;'Paramètres'!$AA$6,'Ordres de travail'!$B$5:$B$3004,"&lt;"&amp;('Paramètres'!$AA$7+1)))</f>
        <v/>
      </c>
      <c r="S183" s="70">
        <f>IF($A183="","",SUMIFS('Ordres de travail'!$AA$5:$AA$3004,'Ordres de travail'!$D$5:$D$3004,$A183,'Ordres de travail'!$B$5:$B$3004,"&gt;="&amp;'Paramètres'!$AA$6,'Ordres de travail'!$B$5:$B$3004,"&lt;"&amp;('Paramètres'!$AA$7+1)))</f>
        <v/>
      </c>
      <c r="T183" s="68">
        <f>IF($A183="","",IF(P183=0,"-",(O183*'Paramètres'!$AA$8-Q183)/P183))</f>
        <v/>
      </c>
      <c r="U183" s="69">
        <f>IF($A183="","",IF(P183=0,"-",Q183/P183))</f>
        <v/>
      </c>
      <c r="V183" s="71">
        <f>IF($A183="","",IF(N(O183)*'Paramètres'!$AA$8=0,"-",MAX(0,1-R183/(O183*'Paramètres'!$AA$8))))</f>
        <v/>
      </c>
      <c r="W183" s="68">
        <f>IF($A183="","",_xlfn.MAXIFS('Relevés compteurs'!$D$5:$D$1504,'Relevés compteurs'!$B$5:$B$1504,$A183))</f>
        <v/>
      </c>
      <c r="X183" s="69">
        <f>IF(OR($A183="",I183=""),"",(TODAY()-I183)/365.25)</f>
        <v/>
      </c>
      <c r="Y183" s="70">
        <f>IF($A183="","",SUMIFS('Ordres de travail'!$AA$5:$AA$3004,'Ordres de travail'!$D$5:$D$3004,$A183))</f>
        <v/>
      </c>
      <c r="Z183" s="68">
        <f>IF($A183="","",SUM(COUNTIFS('Ordres de travail'!$D$5:$D$3004,$A183,'Ordres de travail'!$AC$5:$AC$3004,{"Demandé","Planifié","En cours","En attente pièces"})))</f>
        <v/>
      </c>
      <c r="AA183" s="9">
        <f>IF(OR($A183="",M183=""),"",IF(M183&lt;TODAY(),"Expirée",IF(M183-TODAY()&lt;='Paramètres'!$AA$15,"Expire bientôt","Sous garantie")))</f>
        <v/>
      </c>
      <c r="AB183" s="72">
        <f>IF($A183="",-1,N(R183)+ROW()/1000000)</f>
        <v/>
      </c>
    </row>
    <row r="184">
      <c r="A184" s="7" t="n"/>
      <c r="B184" s="7" t="n"/>
      <c r="C184" s="7" t="n"/>
      <c r="D184" s="7" t="n"/>
      <c r="E184" s="7" t="n"/>
      <c r="F184" s="7" t="n"/>
      <c r="G184" s="7" t="n"/>
      <c r="H184" s="7" t="n"/>
      <c r="I184" s="65" t="n"/>
      <c r="J184" s="66" t="n"/>
      <c r="K184" s="7" t="n"/>
      <c r="L184" s="7" t="n"/>
      <c r="M184" s="65" t="n"/>
      <c r="N184" s="7" t="n"/>
      <c r="O184" s="67" t="n"/>
      <c r="P184" s="68">
        <f>IF($A184="","",COUNTIFS('Ordres de travail'!$D$5:$D$3004,$A184,'Ordres de travail'!$H$5:$H$3004,"Correctif",'Ordres de travail'!$AC$5:$AC$3004,"&lt;&gt;Annulé",'Ordres de travail'!$B$5:$B$3004,"&gt;="&amp;'Paramètres'!$AA$6,'Ordres de travail'!$B$5:$B$3004,"&lt;"&amp;('Paramètres'!$AA$7+1)))</f>
        <v/>
      </c>
      <c r="Q184" s="69">
        <f>IF($A184="","",SUMIFS('Ordres de travail'!$S$5:$S$3004,'Ordres de travail'!$D$5:$D$3004,$A184,'Ordres de travail'!$H$5:$H$3004,"Correctif",'Ordres de travail'!$AC$5:$AC$3004,"&lt;&gt;Annulé",'Ordres de travail'!$B$5:$B$3004,"&gt;="&amp;'Paramètres'!$AA$6,'Ordres de travail'!$B$5:$B$3004,"&lt;"&amp;('Paramètres'!$AA$7+1)))</f>
        <v/>
      </c>
      <c r="R184" s="69">
        <f>IF($A184="","",SUMIFS('Ordres de travail'!$S$5:$S$3004,'Ordres de travail'!$D$5:$D$3004,$A184,'Ordres de travail'!$AC$5:$AC$3004,"&lt;&gt;Annulé",'Ordres de travail'!$B$5:$B$3004,"&gt;="&amp;'Paramètres'!$AA$6,'Ordres de travail'!$B$5:$B$3004,"&lt;"&amp;('Paramètres'!$AA$7+1)))</f>
        <v/>
      </c>
      <c r="S184" s="70">
        <f>IF($A184="","",SUMIFS('Ordres de travail'!$AA$5:$AA$3004,'Ordres de travail'!$D$5:$D$3004,$A184,'Ordres de travail'!$B$5:$B$3004,"&gt;="&amp;'Paramètres'!$AA$6,'Ordres de travail'!$B$5:$B$3004,"&lt;"&amp;('Paramètres'!$AA$7+1)))</f>
        <v/>
      </c>
      <c r="T184" s="68">
        <f>IF($A184="","",IF(P184=0,"-",(O184*'Paramètres'!$AA$8-Q184)/P184))</f>
        <v/>
      </c>
      <c r="U184" s="69">
        <f>IF($A184="","",IF(P184=0,"-",Q184/P184))</f>
        <v/>
      </c>
      <c r="V184" s="71">
        <f>IF($A184="","",IF(N(O184)*'Paramètres'!$AA$8=0,"-",MAX(0,1-R184/(O184*'Paramètres'!$AA$8))))</f>
        <v/>
      </c>
      <c r="W184" s="68">
        <f>IF($A184="","",_xlfn.MAXIFS('Relevés compteurs'!$D$5:$D$1504,'Relevés compteurs'!$B$5:$B$1504,$A184))</f>
        <v/>
      </c>
      <c r="X184" s="69">
        <f>IF(OR($A184="",I184=""),"",(TODAY()-I184)/365.25)</f>
        <v/>
      </c>
      <c r="Y184" s="70">
        <f>IF($A184="","",SUMIFS('Ordres de travail'!$AA$5:$AA$3004,'Ordres de travail'!$D$5:$D$3004,$A184))</f>
        <v/>
      </c>
      <c r="Z184" s="68">
        <f>IF($A184="","",SUM(COUNTIFS('Ordres de travail'!$D$5:$D$3004,$A184,'Ordres de travail'!$AC$5:$AC$3004,{"Demandé","Planifié","En cours","En attente pièces"})))</f>
        <v/>
      </c>
      <c r="AA184" s="9">
        <f>IF(OR($A184="",M184=""),"",IF(M184&lt;TODAY(),"Expirée",IF(M184-TODAY()&lt;='Paramètres'!$AA$15,"Expire bientôt","Sous garantie")))</f>
        <v/>
      </c>
      <c r="AB184" s="72">
        <f>IF($A184="",-1,N(R184)+ROW()/1000000)</f>
        <v/>
      </c>
    </row>
    <row r="185">
      <c r="A185" s="7" t="n"/>
      <c r="B185" s="7" t="n"/>
      <c r="C185" s="7" t="n"/>
      <c r="D185" s="7" t="n"/>
      <c r="E185" s="7" t="n"/>
      <c r="F185" s="7" t="n"/>
      <c r="G185" s="7" t="n"/>
      <c r="H185" s="7" t="n"/>
      <c r="I185" s="65" t="n"/>
      <c r="J185" s="66" t="n"/>
      <c r="K185" s="7" t="n"/>
      <c r="L185" s="7" t="n"/>
      <c r="M185" s="65" t="n"/>
      <c r="N185" s="7" t="n"/>
      <c r="O185" s="67" t="n"/>
      <c r="P185" s="68">
        <f>IF($A185="","",COUNTIFS('Ordres de travail'!$D$5:$D$3004,$A185,'Ordres de travail'!$H$5:$H$3004,"Correctif",'Ordres de travail'!$AC$5:$AC$3004,"&lt;&gt;Annulé",'Ordres de travail'!$B$5:$B$3004,"&gt;="&amp;'Paramètres'!$AA$6,'Ordres de travail'!$B$5:$B$3004,"&lt;"&amp;('Paramètres'!$AA$7+1)))</f>
        <v/>
      </c>
      <c r="Q185" s="69">
        <f>IF($A185="","",SUMIFS('Ordres de travail'!$S$5:$S$3004,'Ordres de travail'!$D$5:$D$3004,$A185,'Ordres de travail'!$H$5:$H$3004,"Correctif",'Ordres de travail'!$AC$5:$AC$3004,"&lt;&gt;Annulé",'Ordres de travail'!$B$5:$B$3004,"&gt;="&amp;'Paramètres'!$AA$6,'Ordres de travail'!$B$5:$B$3004,"&lt;"&amp;('Paramètres'!$AA$7+1)))</f>
        <v/>
      </c>
      <c r="R185" s="69">
        <f>IF($A185="","",SUMIFS('Ordres de travail'!$S$5:$S$3004,'Ordres de travail'!$D$5:$D$3004,$A185,'Ordres de travail'!$AC$5:$AC$3004,"&lt;&gt;Annulé",'Ordres de travail'!$B$5:$B$3004,"&gt;="&amp;'Paramètres'!$AA$6,'Ordres de travail'!$B$5:$B$3004,"&lt;"&amp;('Paramètres'!$AA$7+1)))</f>
        <v/>
      </c>
      <c r="S185" s="70">
        <f>IF($A185="","",SUMIFS('Ordres de travail'!$AA$5:$AA$3004,'Ordres de travail'!$D$5:$D$3004,$A185,'Ordres de travail'!$B$5:$B$3004,"&gt;="&amp;'Paramètres'!$AA$6,'Ordres de travail'!$B$5:$B$3004,"&lt;"&amp;('Paramètres'!$AA$7+1)))</f>
        <v/>
      </c>
      <c r="T185" s="68">
        <f>IF($A185="","",IF(P185=0,"-",(O185*'Paramètres'!$AA$8-Q185)/P185))</f>
        <v/>
      </c>
      <c r="U185" s="69">
        <f>IF($A185="","",IF(P185=0,"-",Q185/P185))</f>
        <v/>
      </c>
      <c r="V185" s="71">
        <f>IF($A185="","",IF(N(O185)*'Paramètres'!$AA$8=0,"-",MAX(0,1-R185/(O185*'Paramètres'!$AA$8))))</f>
        <v/>
      </c>
      <c r="W185" s="68">
        <f>IF($A185="","",_xlfn.MAXIFS('Relevés compteurs'!$D$5:$D$1504,'Relevés compteurs'!$B$5:$B$1504,$A185))</f>
        <v/>
      </c>
      <c r="X185" s="69">
        <f>IF(OR($A185="",I185=""),"",(TODAY()-I185)/365.25)</f>
        <v/>
      </c>
      <c r="Y185" s="70">
        <f>IF($A185="","",SUMIFS('Ordres de travail'!$AA$5:$AA$3004,'Ordres de travail'!$D$5:$D$3004,$A185))</f>
        <v/>
      </c>
      <c r="Z185" s="68">
        <f>IF($A185="","",SUM(COUNTIFS('Ordres de travail'!$D$5:$D$3004,$A185,'Ordres de travail'!$AC$5:$AC$3004,{"Demandé","Planifié","En cours","En attente pièces"})))</f>
        <v/>
      </c>
      <c r="AA185" s="9">
        <f>IF(OR($A185="",M185=""),"",IF(M185&lt;TODAY(),"Expirée",IF(M185-TODAY()&lt;='Paramètres'!$AA$15,"Expire bientôt","Sous garantie")))</f>
        <v/>
      </c>
      <c r="AB185" s="72">
        <f>IF($A185="",-1,N(R185)+ROW()/1000000)</f>
        <v/>
      </c>
    </row>
    <row r="186">
      <c r="A186" s="7" t="n"/>
      <c r="B186" s="7" t="n"/>
      <c r="C186" s="7" t="n"/>
      <c r="D186" s="7" t="n"/>
      <c r="E186" s="7" t="n"/>
      <c r="F186" s="7" t="n"/>
      <c r="G186" s="7" t="n"/>
      <c r="H186" s="7" t="n"/>
      <c r="I186" s="65" t="n"/>
      <c r="J186" s="66" t="n"/>
      <c r="K186" s="7" t="n"/>
      <c r="L186" s="7" t="n"/>
      <c r="M186" s="65" t="n"/>
      <c r="N186" s="7" t="n"/>
      <c r="O186" s="67" t="n"/>
      <c r="P186" s="68">
        <f>IF($A186="","",COUNTIFS('Ordres de travail'!$D$5:$D$3004,$A186,'Ordres de travail'!$H$5:$H$3004,"Correctif",'Ordres de travail'!$AC$5:$AC$3004,"&lt;&gt;Annulé",'Ordres de travail'!$B$5:$B$3004,"&gt;="&amp;'Paramètres'!$AA$6,'Ordres de travail'!$B$5:$B$3004,"&lt;"&amp;('Paramètres'!$AA$7+1)))</f>
        <v/>
      </c>
      <c r="Q186" s="69">
        <f>IF($A186="","",SUMIFS('Ordres de travail'!$S$5:$S$3004,'Ordres de travail'!$D$5:$D$3004,$A186,'Ordres de travail'!$H$5:$H$3004,"Correctif",'Ordres de travail'!$AC$5:$AC$3004,"&lt;&gt;Annulé",'Ordres de travail'!$B$5:$B$3004,"&gt;="&amp;'Paramètres'!$AA$6,'Ordres de travail'!$B$5:$B$3004,"&lt;"&amp;('Paramètres'!$AA$7+1)))</f>
        <v/>
      </c>
      <c r="R186" s="69">
        <f>IF($A186="","",SUMIFS('Ordres de travail'!$S$5:$S$3004,'Ordres de travail'!$D$5:$D$3004,$A186,'Ordres de travail'!$AC$5:$AC$3004,"&lt;&gt;Annulé",'Ordres de travail'!$B$5:$B$3004,"&gt;="&amp;'Paramètres'!$AA$6,'Ordres de travail'!$B$5:$B$3004,"&lt;"&amp;('Paramètres'!$AA$7+1)))</f>
        <v/>
      </c>
      <c r="S186" s="70">
        <f>IF($A186="","",SUMIFS('Ordres de travail'!$AA$5:$AA$3004,'Ordres de travail'!$D$5:$D$3004,$A186,'Ordres de travail'!$B$5:$B$3004,"&gt;="&amp;'Paramètres'!$AA$6,'Ordres de travail'!$B$5:$B$3004,"&lt;"&amp;('Paramètres'!$AA$7+1)))</f>
        <v/>
      </c>
      <c r="T186" s="68">
        <f>IF($A186="","",IF(P186=0,"-",(O186*'Paramètres'!$AA$8-Q186)/P186))</f>
        <v/>
      </c>
      <c r="U186" s="69">
        <f>IF($A186="","",IF(P186=0,"-",Q186/P186))</f>
        <v/>
      </c>
      <c r="V186" s="71">
        <f>IF($A186="","",IF(N(O186)*'Paramètres'!$AA$8=0,"-",MAX(0,1-R186/(O186*'Paramètres'!$AA$8))))</f>
        <v/>
      </c>
      <c r="W186" s="68">
        <f>IF($A186="","",_xlfn.MAXIFS('Relevés compteurs'!$D$5:$D$1504,'Relevés compteurs'!$B$5:$B$1504,$A186))</f>
        <v/>
      </c>
      <c r="X186" s="69">
        <f>IF(OR($A186="",I186=""),"",(TODAY()-I186)/365.25)</f>
        <v/>
      </c>
      <c r="Y186" s="70">
        <f>IF($A186="","",SUMIFS('Ordres de travail'!$AA$5:$AA$3004,'Ordres de travail'!$D$5:$D$3004,$A186))</f>
        <v/>
      </c>
      <c r="Z186" s="68">
        <f>IF($A186="","",SUM(COUNTIFS('Ordres de travail'!$D$5:$D$3004,$A186,'Ordres de travail'!$AC$5:$AC$3004,{"Demandé","Planifié","En cours","En attente pièces"})))</f>
        <v/>
      </c>
      <c r="AA186" s="9">
        <f>IF(OR($A186="",M186=""),"",IF(M186&lt;TODAY(),"Expirée",IF(M186-TODAY()&lt;='Paramètres'!$AA$15,"Expire bientôt","Sous garantie")))</f>
        <v/>
      </c>
      <c r="AB186" s="72">
        <f>IF($A186="",-1,N(R186)+ROW()/1000000)</f>
        <v/>
      </c>
    </row>
    <row r="187">
      <c r="A187" s="7" t="n"/>
      <c r="B187" s="7" t="n"/>
      <c r="C187" s="7" t="n"/>
      <c r="D187" s="7" t="n"/>
      <c r="E187" s="7" t="n"/>
      <c r="F187" s="7" t="n"/>
      <c r="G187" s="7" t="n"/>
      <c r="H187" s="7" t="n"/>
      <c r="I187" s="65" t="n"/>
      <c r="J187" s="66" t="n"/>
      <c r="K187" s="7" t="n"/>
      <c r="L187" s="7" t="n"/>
      <c r="M187" s="65" t="n"/>
      <c r="N187" s="7" t="n"/>
      <c r="O187" s="67" t="n"/>
      <c r="P187" s="68">
        <f>IF($A187="","",COUNTIFS('Ordres de travail'!$D$5:$D$3004,$A187,'Ordres de travail'!$H$5:$H$3004,"Correctif",'Ordres de travail'!$AC$5:$AC$3004,"&lt;&gt;Annulé",'Ordres de travail'!$B$5:$B$3004,"&gt;="&amp;'Paramètres'!$AA$6,'Ordres de travail'!$B$5:$B$3004,"&lt;"&amp;('Paramètres'!$AA$7+1)))</f>
        <v/>
      </c>
      <c r="Q187" s="69">
        <f>IF($A187="","",SUMIFS('Ordres de travail'!$S$5:$S$3004,'Ordres de travail'!$D$5:$D$3004,$A187,'Ordres de travail'!$H$5:$H$3004,"Correctif",'Ordres de travail'!$AC$5:$AC$3004,"&lt;&gt;Annulé",'Ordres de travail'!$B$5:$B$3004,"&gt;="&amp;'Paramètres'!$AA$6,'Ordres de travail'!$B$5:$B$3004,"&lt;"&amp;('Paramètres'!$AA$7+1)))</f>
        <v/>
      </c>
      <c r="R187" s="69">
        <f>IF($A187="","",SUMIFS('Ordres de travail'!$S$5:$S$3004,'Ordres de travail'!$D$5:$D$3004,$A187,'Ordres de travail'!$AC$5:$AC$3004,"&lt;&gt;Annulé",'Ordres de travail'!$B$5:$B$3004,"&gt;="&amp;'Paramètres'!$AA$6,'Ordres de travail'!$B$5:$B$3004,"&lt;"&amp;('Paramètres'!$AA$7+1)))</f>
        <v/>
      </c>
      <c r="S187" s="70">
        <f>IF($A187="","",SUMIFS('Ordres de travail'!$AA$5:$AA$3004,'Ordres de travail'!$D$5:$D$3004,$A187,'Ordres de travail'!$B$5:$B$3004,"&gt;="&amp;'Paramètres'!$AA$6,'Ordres de travail'!$B$5:$B$3004,"&lt;"&amp;('Paramètres'!$AA$7+1)))</f>
        <v/>
      </c>
      <c r="T187" s="68">
        <f>IF($A187="","",IF(P187=0,"-",(O187*'Paramètres'!$AA$8-Q187)/P187))</f>
        <v/>
      </c>
      <c r="U187" s="69">
        <f>IF($A187="","",IF(P187=0,"-",Q187/P187))</f>
        <v/>
      </c>
      <c r="V187" s="71">
        <f>IF($A187="","",IF(N(O187)*'Paramètres'!$AA$8=0,"-",MAX(0,1-R187/(O187*'Paramètres'!$AA$8))))</f>
        <v/>
      </c>
      <c r="W187" s="68">
        <f>IF($A187="","",_xlfn.MAXIFS('Relevés compteurs'!$D$5:$D$1504,'Relevés compteurs'!$B$5:$B$1504,$A187))</f>
        <v/>
      </c>
      <c r="X187" s="69">
        <f>IF(OR($A187="",I187=""),"",(TODAY()-I187)/365.25)</f>
        <v/>
      </c>
      <c r="Y187" s="70">
        <f>IF($A187="","",SUMIFS('Ordres de travail'!$AA$5:$AA$3004,'Ordres de travail'!$D$5:$D$3004,$A187))</f>
        <v/>
      </c>
      <c r="Z187" s="68">
        <f>IF($A187="","",SUM(COUNTIFS('Ordres de travail'!$D$5:$D$3004,$A187,'Ordres de travail'!$AC$5:$AC$3004,{"Demandé","Planifié","En cours","En attente pièces"})))</f>
        <v/>
      </c>
      <c r="AA187" s="9">
        <f>IF(OR($A187="",M187=""),"",IF(M187&lt;TODAY(),"Expirée",IF(M187-TODAY()&lt;='Paramètres'!$AA$15,"Expire bientôt","Sous garantie")))</f>
        <v/>
      </c>
      <c r="AB187" s="72">
        <f>IF($A187="",-1,N(R187)+ROW()/1000000)</f>
        <v/>
      </c>
    </row>
    <row r="188">
      <c r="A188" s="7" t="n"/>
      <c r="B188" s="7" t="n"/>
      <c r="C188" s="7" t="n"/>
      <c r="D188" s="7" t="n"/>
      <c r="E188" s="7" t="n"/>
      <c r="F188" s="7" t="n"/>
      <c r="G188" s="7" t="n"/>
      <c r="H188" s="7" t="n"/>
      <c r="I188" s="65" t="n"/>
      <c r="J188" s="66" t="n"/>
      <c r="K188" s="7" t="n"/>
      <c r="L188" s="7" t="n"/>
      <c r="M188" s="65" t="n"/>
      <c r="N188" s="7" t="n"/>
      <c r="O188" s="67" t="n"/>
      <c r="P188" s="68">
        <f>IF($A188="","",COUNTIFS('Ordres de travail'!$D$5:$D$3004,$A188,'Ordres de travail'!$H$5:$H$3004,"Correctif",'Ordres de travail'!$AC$5:$AC$3004,"&lt;&gt;Annulé",'Ordres de travail'!$B$5:$B$3004,"&gt;="&amp;'Paramètres'!$AA$6,'Ordres de travail'!$B$5:$B$3004,"&lt;"&amp;('Paramètres'!$AA$7+1)))</f>
        <v/>
      </c>
      <c r="Q188" s="69">
        <f>IF($A188="","",SUMIFS('Ordres de travail'!$S$5:$S$3004,'Ordres de travail'!$D$5:$D$3004,$A188,'Ordres de travail'!$H$5:$H$3004,"Correctif",'Ordres de travail'!$AC$5:$AC$3004,"&lt;&gt;Annulé",'Ordres de travail'!$B$5:$B$3004,"&gt;="&amp;'Paramètres'!$AA$6,'Ordres de travail'!$B$5:$B$3004,"&lt;"&amp;('Paramètres'!$AA$7+1)))</f>
        <v/>
      </c>
      <c r="R188" s="69">
        <f>IF($A188="","",SUMIFS('Ordres de travail'!$S$5:$S$3004,'Ordres de travail'!$D$5:$D$3004,$A188,'Ordres de travail'!$AC$5:$AC$3004,"&lt;&gt;Annulé",'Ordres de travail'!$B$5:$B$3004,"&gt;="&amp;'Paramètres'!$AA$6,'Ordres de travail'!$B$5:$B$3004,"&lt;"&amp;('Paramètres'!$AA$7+1)))</f>
        <v/>
      </c>
      <c r="S188" s="70">
        <f>IF($A188="","",SUMIFS('Ordres de travail'!$AA$5:$AA$3004,'Ordres de travail'!$D$5:$D$3004,$A188,'Ordres de travail'!$B$5:$B$3004,"&gt;="&amp;'Paramètres'!$AA$6,'Ordres de travail'!$B$5:$B$3004,"&lt;"&amp;('Paramètres'!$AA$7+1)))</f>
        <v/>
      </c>
      <c r="T188" s="68">
        <f>IF($A188="","",IF(P188=0,"-",(O188*'Paramètres'!$AA$8-Q188)/P188))</f>
        <v/>
      </c>
      <c r="U188" s="69">
        <f>IF($A188="","",IF(P188=0,"-",Q188/P188))</f>
        <v/>
      </c>
      <c r="V188" s="71">
        <f>IF($A188="","",IF(N(O188)*'Paramètres'!$AA$8=0,"-",MAX(0,1-R188/(O188*'Paramètres'!$AA$8))))</f>
        <v/>
      </c>
      <c r="W188" s="68">
        <f>IF($A188="","",_xlfn.MAXIFS('Relevés compteurs'!$D$5:$D$1504,'Relevés compteurs'!$B$5:$B$1504,$A188))</f>
        <v/>
      </c>
      <c r="X188" s="69">
        <f>IF(OR($A188="",I188=""),"",(TODAY()-I188)/365.25)</f>
        <v/>
      </c>
      <c r="Y188" s="70">
        <f>IF($A188="","",SUMIFS('Ordres de travail'!$AA$5:$AA$3004,'Ordres de travail'!$D$5:$D$3004,$A188))</f>
        <v/>
      </c>
      <c r="Z188" s="68">
        <f>IF($A188="","",SUM(COUNTIFS('Ordres de travail'!$D$5:$D$3004,$A188,'Ordres de travail'!$AC$5:$AC$3004,{"Demandé","Planifié","En cours","En attente pièces"})))</f>
        <v/>
      </c>
      <c r="AA188" s="9">
        <f>IF(OR($A188="",M188=""),"",IF(M188&lt;TODAY(),"Expirée",IF(M188-TODAY()&lt;='Paramètres'!$AA$15,"Expire bientôt","Sous garantie")))</f>
        <v/>
      </c>
      <c r="AB188" s="72">
        <f>IF($A188="",-1,N(R188)+ROW()/1000000)</f>
        <v/>
      </c>
    </row>
    <row r="189">
      <c r="A189" s="7" t="n"/>
      <c r="B189" s="7" t="n"/>
      <c r="C189" s="7" t="n"/>
      <c r="D189" s="7" t="n"/>
      <c r="E189" s="7" t="n"/>
      <c r="F189" s="7" t="n"/>
      <c r="G189" s="7" t="n"/>
      <c r="H189" s="7" t="n"/>
      <c r="I189" s="65" t="n"/>
      <c r="J189" s="66" t="n"/>
      <c r="K189" s="7" t="n"/>
      <c r="L189" s="7" t="n"/>
      <c r="M189" s="65" t="n"/>
      <c r="N189" s="7" t="n"/>
      <c r="O189" s="67" t="n"/>
      <c r="P189" s="68">
        <f>IF($A189="","",COUNTIFS('Ordres de travail'!$D$5:$D$3004,$A189,'Ordres de travail'!$H$5:$H$3004,"Correctif",'Ordres de travail'!$AC$5:$AC$3004,"&lt;&gt;Annulé",'Ordres de travail'!$B$5:$B$3004,"&gt;="&amp;'Paramètres'!$AA$6,'Ordres de travail'!$B$5:$B$3004,"&lt;"&amp;('Paramètres'!$AA$7+1)))</f>
        <v/>
      </c>
      <c r="Q189" s="69">
        <f>IF($A189="","",SUMIFS('Ordres de travail'!$S$5:$S$3004,'Ordres de travail'!$D$5:$D$3004,$A189,'Ordres de travail'!$H$5:$H$3004,"Correctif",'Ordres de travail'!$AC$5:$AC$3004,"&lt;&gt;Annulé",'Ordres de travail'!$B$5:$B$3004,"&gt;="&amp;'Paramètres'!$AA$6,'Ordres de travail'!$B$5:$B$3004,"&lt;"&amp;('Paramètres'!$AA$7+1)))</f>
        <v/>
      </c>
      <c r="R189" s="69">
        <f>IF($A189="","",SUMIFS('Ordres de travail'!$S$5:$S$3004,'Ordres de travail'!$D$5:$D$3004,$A189,'Ordres de travail'!$AC$5:$AC$3004,"&lt;&gt;Annulé",'Ordres de travail'!$B$5:$B$3004,"&gt;="&amp;'Paramètres'!$AA$6,'Ordres de travail'!$B$5:$B$3004,"&lt;"&amp;('Paramètres'!$AA$7+1)))</f>
        <v/>
      </c>
      <c r="S189" s="70">
        <f>IF($A189="","",SUMIFS('Ordres de travail'!$AA$5:$AA$3004,'Ordres de travail'!$D$5:$D$3004,$A189,'Ordres de travail'!$B$5:$B$3004,"&gt;="&amp;'Paramètres'!$AA$6,'Ordres de travail'!$B$5:$B$3004,"&lt;"&amp;('Paramètres'!$AA$7+1)))</f>
        <v/>
      </c>
      <c r="T189" s="68">
        <f>IF($A189="","",IF(P189=0,"-",(O189*'Paramètres'!$AA$8-Q189)/P189))</f>
        <v/>
      </c>
      <c r="U189" s="69">
        <f>IF($A189="","",IF(P189=0,"-",Q189/P189))</f>
        <v/>
      </c>
      <c r="V189" s="71">
        <f>IF($A189="","",IF(N(O189)*'Paramètres'!$AA$8=0,"-",MAX(0,1-R189/(O189*'Paramètres'!$AA$8))))</f>
        <v/>
      </c>
      <c r="W189" s="68">
        <f>IF($A189="","",_xlfn.MAXIFS('Relevés compteurs'!$D$5:$D$1504,'Relevés compteurs'!$B$5:$B$1504,$A189))</f>
        <v/>
      </c>
      <c r="X189" s="69">
        <f>IF(OR($A189="",I189=""),"",(TODAY()-I189)/365.25)</f>
        <v/>
      </c>
      <c r="Y189" s="70">
        <f>IF($A189="","",SUMIFS('Ordres de travail'!$AA$5:$AA$3004,'Ordres de travail'!$D$5:$D$3004,$A189))</f>
        <v/>
      </c>
      <c r="Z189" s="68">
        <f>IF($A189="","",SUM(COUNTIFS('Ordres de travail'!$D$5:$D$3004,$A189,'Ordres de travail'!$AC$5:$AC$3004,{"Demandé","Planifié","En cours","En attente pièces"})))</f>
        <v/>
      </c>
      <c r="AA189" s="9">
        <f>IF(OR($A189="",M189=""),"",IF(M189&lt;TODAY(),"Expirée",IF(M189-TODAY()&lt;='Paramètres'!$AA$15,"Expire bientôt","Sous garantie")))</f>
        <v/>
      </c>
      <c r="AB189" s="72">
        <f>IF($A189="",-1,N(R189)+ROW()/1000000)</f>
        <v/>
      </c>
    </row>
    <row r="190">
      <c r="A190" s="7" t="n"/>
      <c r="B190" s="7" t="n"/>
      <c r="C190" s="7" t="n"/>
      <c r="D190" s="7" t="n"/>
      <c r="E190" s="7" t="n"/>
      <c r="F190" s="7" t="n"/>
      <c r="G190" s="7" t="n"/>
      <c r="H190" s="7" t="n"/>
      <c r="I190" s="65" t="n"/>
      <c r="J190" s="66" t="n"/>
      <c r="K190" s="7" t="n"/>
      <c r="L190" s="7" t="n"/>
      <c r="M190" s="65" t="n"/>
      <c r="N190" s="7" t="n"/>
      <c r="O190" s="67" t="n"/>
      <c r="P190" s="68">
        <f>IF($A190="","",COUNTIFS('Ordres de travail'!$D$5:$D$3004,$A190,'Ordres de travail'!$H$5:$H$3004,"Correctif",'Ordres de travail'!$AC$5:$AC$3004,"&lt;&gt;Annulé",'Ordres de travail'!$B$5:$B$3004,"&gt;="&amp;'Paramètres'!$AA$6,'Ordres de travail'!$B$5:$B$3004,"&lt;"&amp;('Paramètres'!$AA$7+1)))</f>
        <v/>
      </c>
      <c r="Q190" s="69">
        <f>IF($A190="","",SUMIFS('Ordres de travail'!$S$5:$S$3004,'Ordres de travail'!$D$5:$D$3004,$A190,'Ordres de travail'!$H$5:$H$3004,"Correctif",'Ordres de travail'!$AC$5:$AC$3004,"&lt;&gt;Annulé",'Ordres de travail'!$B$5:$B$3004,"&gt;="&amp;'Paramètres'!$AA$6,'Ordres de travail'!$B$5:$B$3004,"&lt;"&amp;('Paramètres'!$AA$7+1)))</f>
        <v/>
      </c>
      <c r="R190" s="69">
        <f>IF($A190="","",SUMIFS('Ordres de travail'!$S$5:$S$3004,'Ordres de travail'!$D$5:$D$3004,$A190,'Ordres de travail'!$AC$5:$AC$3004,"&lt;&gt;Annulé",'Ordres de travail'!$B$5:$B$3004,"&gt;="&amp;'Paramètres'!$AA$6,'Ordres de travail'!$B$5:$B$3004,"&lt;"&amp;('Paramètres'!$AA$7+1)))</f>
        <v/>
      </c>
      <c r="S190" s="70">
        <f>IF($A190="","",SUMIFS('Ordres de travail'!$AA$5:$AA$3004,'Ordres de travail'!$D$5:$D$3004,$A190,'Ordres de travail'!$B$5:$B$3004,"&gt;="&amp;'Paramètres'!$AA$6,'Ordres de travail'!$B$5:$B$3004,"&lt;"&amp;('Paramètres'!$AA$7+1)))</f>
        <v/>
      </c>
      <c r="T190" s="68">
        <f>IF($A190="","",IF(P190=0,"-",(O190*'Paramètres'!$AA$8-Q190)/P190))</f>
        <v/>
      </c>
      <c r="U190" s="69">
        <f>IF($A190="","",IF(P190=0,"-",Q190/P190))</f>
        <v/>
      </c>
      <c r="V190" s="71">
        <f>IF($A190="","",IF(N(O190)*'Paramètres'!$AA$8=0,"-",MAX(0,1-R190/(O190*'Paramètres'!$AA$8))))</f>
        <v/>
      </c>
      <c r="W190" s="68">
        <f>IF($A190="","",_xlfn.MAXIFS('Relevés compteurs'!$D$5:$D$1504,'Relevés compteurs'!$B$5:$B$1504,$A190))</f>
        <v/>
      </c>
      <c r="X190" s="69">
        <f>IF(OR($A190="",I190=""),"",(TODAY()-I190)/365.25)</f>
        <v/>
      </c>
      <c r="Y190" s="70">
        <f>IF($A190="","",SUMIFS('Ordres de travail'!$AA$5:$AA$3004,'Ordres de travail'!$D$5:$D$3004,$A190))</f>
        <v/>
      </c>
      <c r="Z190" s="68">
        <f>IF($A190="","",SUM(COUNTIFS('Ordres de travail'!$D$5:$D$3004,$A190,'Ordres de travail'!$AC$5:$AC$3004,{"Demandé","Planifié","En cours","En attente pièces"})))</f>
        <v/>
      </c>
      <c r="AA190" s="9">
        <f>IF(OR($A190="",M190=""),"",IF(M190&lt;TODAY(),"Expirée",IF(M190-TODAY()&lt;='Paramètres'!$AA$15,"Expire bientôt","Sous garantie")))</f>
        <v/>
      </c>
      <c r="AB190" s="72">
        <f>IF($A190="",-1,N(R190)+ROW()/1000000)</f>
        <v/>
      </c>
    </row>
    <row r="191">
      <c r="A191" s="7" t="n"/>
      <c r="B191" s="7" t="n"/>
      <c r="C191" s="7" t="n"/>
      <c r="D191" s="7" t="n"/>
      <c r="E191" s="7" t="n"/>
      <c r="F191" s="7" t="n"/>
      <c r="G191" s="7" t="n"/>
      <c r="H191" s="7" t="n"/>
      <c r="I191" s="65" t="n"/>
      <c r="J191" s="66" t="n"/>
      <c r="K191" s="7" t="n"/>
      <c r="L191" s="7" t="n"/>
      <c r="M191" s="65" t="n"/>
      <c r="N191" s="7" t="n"/>
      <c r="O191" s="67" t="n"/>
      <c r="P191" s="68">
        <f>IF($A191="","",COUNTIFS('Ordres de travail'!$D$5:$D$3004,$A191,'Ordres de travail'!$H$5:$H$3004,"Correctif",'Ordres de travail'!$AC$5:$AC$3004,"&lt;&gt;Annulé",'Ordres de travail'!$B$5:$B$3004,"&gt;="&amp;'Paramètres'!$AA$6,'Ordres de travail'!$B$5:$B$3004,"&lt;"&amp;('Paramètres'!$AA$7+1)))</f>
        <v/>
      </c>
      <c r="Q191" s="69">
        <f>IF($A191="","",SUMIFS('Ordres de travail'!$S$5:$S$3004,'Ordres de travail'!$D$5:$D$3004,$A191,'Ordres de travail'!$H$5:$H$3004,"Correctif",'Ordres de travail'!$AC$5:$AC$3004,"&lt;&gt;Annulé",'Ordres de travail'!$B$5:$B$3004,"&gt;="&amp;'Paramètres'!$AA$6,'Ordres de travail'!$B$5:$B$3004,"&lt;"&amp;('Paramètres'!$AA$7+1)))</f>
        <v/>
      </c>
      <c r="R191" s="69">
        <f>IF($A191="","",SUMIFS('Ordres de travail'!$S$5:$S$3004,'Ordres de travail'!$D$5:$D$3004,$A191,'Ordres de travail'!$AC$5:$AC$3004,"&lt;&gt;Annulé",'Ordres de travail'!$B$5:$B$3004,"&gt;="&amp;'Paramètres'!$AA$6,'Ordres de travail'!$B$5:$B$3004,"&lt;"&amp;('Paramètres'!$AA$7+1)))</f>
        <v/>
      </c>
      <c r="S191" s="70">
        <f>IF($A191="","",SUMIFS('Ordres de travail'!$AA$5:$AA$3004,'Ordres de travail'!$D$5:$D$3004,$A191,'Ordres de travail'!$B$5:$B$3004,"&gt;="&amp;'Paramètres'!$AA$6,'Ordres de travail'!$B$5:$B$3004,"&lt;"&amp;('Paramètres'!$AA$7+1)))</f>
        <v/>
      </c>
      <c r="T191" s="68">
        <f>IF($A191="","",IF(P191=0,"-",(O191*'Paramètres'!$AA$8-Q191)/P191))</f>
        <v/>
      </c>
      <c r="U191" s="69">
        <f>IF($A191="","",IF(P191=0,"-",Q191/P191))</f>
        <v/>
      </c>
      <c r="V191" s="71">
        <f>IF($A191="","",IF(N(O191)*'Paramètres'!$AA$8=0,"-",MAX(0,1-R191/(O191*'Paramètres'!$AA$8))))</f>
        <v/>
      </c>
      <c r="W191" s="68">
        <f>IF($A191="","",_xlfn.MAXIFS('Relevés compteurs'!$D$5:$D$1504,'Relevés compteurs'!$B$5:$B$1504,$A191))</f>
        <v/>
      </c>
      <c r="X191" s="69">
        <f>IF(OR($A191="",I191=""),"",(TODAY()-I191)/365.25)</f>
        <v/>
      </c>
      <c r="Y191" s="70">
        <f>IF($A191="","",SUMIFS('Ordres de travail'!$AA$5:$AA$3004,'Ordres de travail'!$D$5:$D$3004,$A191))</f>
        <v/>
      </c>
      <c r="Z191" s="68">
        <f>IF($A191="","",SUM(COUNTIFS('Ordres de travail'!$D$5:$D$3004,$A191,'Ordres de travail'!$AC$5:$AC$3004,{"Demandé","Planifié","En cours","En attente pièces"})))</f>
        <v/>
      </c>
      <c r="AA191" s="9">
        <f>IF(OR($A191="",M191=""),"",IF(M191&lt;TODAY(),"Expirée",IF(M191-TODAY()&lt;='Paramètres'!$AA$15,"Expire bientôt","Sous garantie")))</f>
        <v/>
      </c>
      <c r="AB191" s="72">
        <f>IF($A191="",-1,N(R191)+ROW()/1000000)</f>
        <v/>
      </c>
    </row>
    <row r="192">
      <c r="A192" s="7" t="n"/>
      <c r="B192" s="7" t="n"/>
      <c r="C192" s="7" t="n"/>
      <c r="D192" s="7" t="n"/>
      <c r="E192" s="7" t="n"/>
      <c r="F192" s="7" t="n"/>
      <c r="G192" s="7" t="n"/>
      <c r="H192" s="7" t="n"/>
      <c r="I192" s="65" t="n"/>
      <c r="J192" s="66" t="n"/>
      <c r="K192" s="7" t="n"/>
      <c r="L192" s="7" t="n"/>
      <c r="M192" s="65" t="n"/>
      <c r="N192" s="7" t="n"/>
      <c r="O192" s="67" t="n"/>
      <c r="P192" s="68">
        <f>IF($A192="","",COUNTIFS('Ordres de travail'!$D$5:$D$3004,$A192,'Ordres de travail'!$H$5:$H$3004,"Correctif",'Ordres de travail'!$AC$5:$AC$3004,"&lt;&gt;Annulé",'Ordres de travail'!$B$5:$B$3004,"&gt;="&amp;'Paramètres'!$AA$6,'Ordres de travail'!$B$5:$B$3004,"&lt;"&amp;('Paramètres'!$AA$7+1)))</f>
        <v/>
      </c>
      <c r="Q192" s="69">
        <f>IF($A192="","",SUMIFS('Ordres de travail'!$S$5:$S$3004,'Ordres de travail'!$D$5:$D$3004,$A192,'Ordres de travail'!$H$5:$H$3004,"Correctif",'Ordres de travail'!$AC$5:$AC$3004,"&lt;&gt;Annulé",'Ordres de travail'!$B$5:$B$3004,"&gt;="&amp;'Paramètres'!$AA$6,'Ordres de travail'!$B$5:$B$3004,"&lt;"&amp;('Paramètres'!$AA$7+1)))</f>
        <v/>
      </c>
      <c r="R192" s="69">
        <f>IF($A192="","",SUMIFS('Ordres de travail'!$S$5:$S$3004,'Ordres de travail'!$D$5:$D$3004,$A192,'Ordres de travail'!$AC$5:$AC$3004,"&lt;&gt;Annulé",'Ordres de travail'!$B$5:$B$3004,"&gt;="&amp;'Paramètres'!$AA$6,'Ordres de travail'!$B$5:$B$3004,"&lt;"&amp;('Paramètres'!$AA$7+1)))</f>
        <v/>
      </c>
      <c r="S192" s="70">
        <f>IF($A192="","",SUMIFS('Ordres de travail'!$AA$5:$AA$3004,'Ordres de travail'!$D$5:$D$3004,$A192,'Ordres de travail'!$B$5:$B$3004,"&gt;="&amp;'Paramètres'!$AA$6,'Ordres de travail'!$B$5:$B$3004,"&lt;"&amp;('Paramètres'!$AA$7+1)))</f>
        <v/>
      </c>
      <c r="T192" s="68">
        <f>IF($A192="","",IF(P192=0,"-",(O192*'Paramètres'!$AA$8-Q192)/P192))</f>
        <v/>
      </c>
      <c r="U192" s="69">
        <f>IF($A192="","",IF(P192=0,"-",Q192/P192))</f>
        <v/>
      </c>
      <c r="V192" s="71">
        <f>IF($A192="","",IF(N(O192)*'Paramètres'!$AA$8=0,"-",MAX(0,1-R192/(O192*'Paramètres'!$AA$8))))</f>
        <v/>
      </c>
      <c r="W192" s="68">
        <f>IF($A192="","",_xlfn.MAXIFS('Relevés compteurs'!$D$5:$D$1504,'Relevés compteurs'!$B$5:$B$1504,$A192))</f>
        <v/>
      </c>
      <c r="X192" s="69">
        <f>IF(OR($A192="",I192=""),"",(TODAY()-I192)/365.25)</f>
        <v/>
      </c>
      <c r="Y192" s="70">
        <f>IF($A192="","",SUMIFS('Ordres de travail'!$AA$5:$AA$3004,'Ordres de travail'!$D$5:$D$3004,$A192))</f>
        <v/>
      </c>
      <c r="Z192" s="68">
        <f>IF($A192="","",SUM(COUNTIFS('Ordres de travail'!$D$5:$D$3004,$A192,'Ordres de travail'!$AC$5:$AC$3004,{"Demandé","Planifié","En cours","En attente pièces"})))</f>
        <v/>
      </c>
      <c r="AA192" s="9">
        <f>IF(OR($A192="",M192=""),"",IF(M192&lt;TODAY(),"Expirée",IF(M192-TODAY()&lt;='Paramètres'!$AA$15,"Expire bientôt","Sous garantie")))</f>
        <v/>
      </c>
      <c r="AB192" s="72">
        <f>IF($A192="",-1,N(R192)+ROW()/1000000)</f>
        <v/>
      </c>
    </row>
    <row r="193">
      <c r="A193" s="7" t="n"/>
      <c r="B193" s="7" t="n"/>
      <c r="C193" s="7" t="n"/>
      <c r="D193" s="7" t="n"/>
      <c r="E193" s="7" t="n"/>
      <c r="F193" s="7" t="n"/>
      <c r="G193" s="7" t="n"/>
      <c r="H193" s="7" t="n"/>
      <c r="I193" s="65" t="n"/>
      <c r="J193" s="66" t="n"/>
      <c r="K193" s="7" t="n"/>
      <c r="L193" s="7" t="n"/>
      <c r="M193" s="65" t="n"/>
      <c r="N193" s="7" t="n"/>
      <c r="O193" s="67" t="n"/>
      <c r="P193" s="68">
        <f>IF($A193="","",COUNTIFS('Ordres de travail'!$D$5:$D$3004,$A193,'Ordres de travail'!$H$5:$H$3004,"Correctif",'Ordres de travail'!$AC$5:$AC$3004,"&lt;&gt;Annulé",'Ordres de travail'!$B$5:$B$3004,"&gt;="&amp;'Paramètres'!$AA$6,'Ordres de travail'!$B$5:$B$3004,"&lt;"&amp;('Paramètres'!$AA$7+1)))</f>
        <v/>
      </c>
      <c r="Q193" s="69">
        <f>IF($A193="","",SUMIFS('Ordres de travail'!$S$5:$S$3004,'Ordres de travail'!$D$5:$D$3004,$A193,'Ordres de travail'!$H$5:$H$3004,"Correctif",'Ordres de travail'!$AC$5:$AC$3004,"&lt;&gt;Annulé",'Ordres de travail'!$B$5:$B$3004,"&gt;="&amp;'Paramètres'!$AA$6,'Ordres de travail'!$B$5:$B$3004,"&lt;"&amp;('Paramètres'!$AA$7+1)))</f>
        <v/>
      </c>
      <c r="R193" s="69">
        <f>IF($A193="","",SUMIFS('Ordres de travail'!$S$5:$S$3004,'Ordres de travail'!$D$5:$D$3004,$A193,'Ordres de travail'!$AC$5:$AC$3004,"&lt;&gt;Annulé",'Ordres de travail'!$B$5:$B$3004,"&gt;="&amp;'Paramètres'!$AA$6,'Ordres de travail'!$B$5:$B$3004,"&lt;"&amp;('Paramètres'!$AA$7+1)))</f>
        <v/>
      </c>
      <c r="S193" s="70">
        <f>IF($A193="","",SUMIFS('Ordres de travail'!$AA$5:$AA$3004,'Ordres de travail'!$D$5:$D$3004,$A193,'Ordres de travail'!$B$5:$B$3004,"&gt;="&amp;'Paramètres'!$AA$6,'Ordres de travail'!$B$5:$B$3004,"&lt;"&amp;('Paramètres'!$AA$7+1)))</f>
        <v/>
      </c>
      <c r="T193" s="68">
        <f>IF($A193="","",IF(P193=0,"-",(O193*'Paramètres'!$AA$8-Q193)/P193))</f>
        <v/>
      </c>
      <c r="U193" s="69">
        <f>IF($A193="","",IF(P193=0,"-",Q193/P193))</f>
        <v/>
      </c>
      <c r="V193" s="71">
        <f>IF($A193="","",IF(N(O193)*'Paramètres'!$AA$8=0,"-",MAX(0,1-R193/(O193*'Paramètres'!$AA$8))))</f>
        <v/>
      </c>
      <c r="W193" s="68">
        <f>IF($A193="","",_xlfn.MAXIFS('Relevés compteurs'!$D$5:$D$1504,'Relevés compteurs'!$B$5:$B$1504,$A193))</f>
        <v/>
      </c>
      <c r="X193" s="69">
        <f>IF(OR($A193="",I193=""),"",(TODAY()-I193)/365.25)</f>
        <v/>
      </c>
      <c r="Y193" s="70">
        <f>IF($A193="","",SUMIFS('Ordres de travail'!$AA$5:$AA$3004,'Ordres de travail'!$D$5:$D$3004,$A193))</f>
        <v/>
      </c>
      <c r="Z193" s="68">
        <f>IF($A193="","",SUM(COUNTIFS('Ordres de travail'!$D$5:$D$3004,$A193,'Ordres de travail'!$AC$5:$AC$3004,{"Demandé","Planifié","En cours","En attente pièces"})))</f>
        <v/>
      </c>
      <c r="AA193" s="9">
        <f>IF(OR($A193="",M193=""),"",IF(M193&lt;TODAY(),"Expirée",IF(M193-TODAY()&lt;='Paramètres'!$AA$15,"Expire bientôt","Sous garantie")))</f>
        <v/>
      </c>
      <c r="AB193" s="72">
        <f>IF($A193="",-1,N(R193)+ROW()/1000000)</f>
        <v/>
      </c>
    </row>
    <row r="194">
      <c r="A194" s="7" t="n"/>
      <c r="B194" s="7" t="n"/>
      <c r="C194" s="7" t="n"/>
      <c r="D194" s="7" t="n"/>
      <c r="E194" s="7" t="n"/>
      <c r="F194" s="7" t="n"/>
      <c r="G194" s="7" t="n"/>
      <c r="H194" s="7" t="n"/>
      <c r="I194" s="65" t="n"/>
      <c r="J194" s="66" t="n"/>
      <c r="K194" s="7" t="n"/>
      <c r="L194" s="7" t="n"/>
      <c r="M194" s="65" t="n"/>
      <c r="N194" s="7" t="n"/>
      <c r="O194" s="67" t="n"/>
      <c r="P194" s="68">
        <f>IF($A194="","",COUNTIFS('Ordres de travail'!$D$5:$D$3004,$A194,'Ordres de travail'!$H$5:$H$3004,"Correctif",'Ordres de travail'!$AC$5:$AC$3004,"&lt;&gt;Annulé",'Ordres de travail'!$B$5:$B$3004,"&gt;="&amp;'Paramètres'!$AA$6,'Ordres de travail'!$B$5:$B$3004,"&lt;"&amp;('Paramètres'!$AA$7+1)))</f>
        <v/>
      </c>
      <c r="Q194" s="69">
        <f>IF($A194="","",SUMIFS('Ordres de travail'!$S$5:$S$3004,'Ordres de travail'!$D$5:$D$3004,$A194,'Ordres de travail'!$H$5:$H$3004,"Correctif",'Ordres de travail'!$AC$5:$AC$3004,"&lt;&gt;Annulé",'Ordres de travail'!$B$5:$B$3004,"&gt;="&amp;'Paramètres'!$AA$6,'Ordres de travail'!$B$5:$B$3004,"&lt;"&amp;('Paramètres'!$AA$7+1)))</f>
        <v/>
      </c>
      <c r="R194" s="69">
        <f>IF($A194="","",SUMIFS('Ordres de travail'!$S$5:$S$3004,'Ordres de travail'!$D$5:$D$3004,$A194,'Ordres de travail'!$AC$5:$AC$3004,"&lt;&gt;Annulé",'Ordres de travail'!$B$5:$B$3004,"&gt;="&amp;'Paramètres'!$AA$6,'Ordres de travail'!$B$5:$B$3004,"&lt;"&amp;('Paramètres'!$AA$7+1)))</f>
        <v/>
      </c>
      <c r="S194" s="70">
        <f>IF($A194="","",SUMIFS('Ordres de travail'!$AA$5:$AA$3004,'Ordres de travail'!$D$5:$D$3004,$A194,'Ordres de travail'!$B$5:$B$3004,"&gt;="&amp;'Paramètres'!$AA$6,'Ordres de travail'!$B$5:$B$3004,"&lt;"&amp;('Paramètres'!$AA$7+1)))</f>
        <v/>
      </c>
      <c r="T194" s="68">
        <f>IF($A194="","",IF(P194=0,"-",(O194*'Paramètres'!$AA$8-Q194)/P194))</f>
        <v/>
      </c>
      <c r="U194" s="69">
        <f>IF($A194="","",IF(P194=0,"-",Q194/P194))</f>
        <v/>
      </c>
      <c r="V194" s="71">
        <f>IF($A194="","",IF(N(O194)*'Paramètres'!$AA$8=0,"-",MAX(0,1-R194/(O194*'Paramètres'!$AA$8))))</f>
        <v/>
      </c>
      <c r="W194" s="68">
        <f>IF($A194="","",_xlfn.MAXIFS('Relevés compteurs'!$D$5:$D$1504,'Relevés compteurs'!$B$5:$B$1504,$A194))</f>
        <v/>
      </c>
      <c r="X194" s="69">
        <f>IF(OR($A194="",I194=""),"",(TODAY()-I194)/365.25)</f>
        <v/>
      </c>
      <c r="Y194" s="70">
        <f>IF($A194="","",SUMIFS('Ordres de travail'!$AA$5:$AA$3004,'Ordres de travail'!$D$5:$D$3004,$A194))</f>
        <v/>
      </c>
      <c r="Z194" s="68">
        <f>IF($A194="","",SUM(COUNTIFS('Ordres de travail'!$D$5:$D$3004,$A194,'Ordres de travail'!$AC$5:$AC$3004,{"Demandé","Planifié","En cours","En attente pièces"})))</f>
        <v/>
      </c>
      <c r="AA194" s="9">
        <f>IF(OR($A194="",M194=""),"",IF(M194&lt;TODAY(),"Expirée",IF(M194-TODAY()&lt;='Paramètres'!$AA$15,"Expire bientôt","Sous garantie")))</f>
        <v/>
      </c>
      <c r="AB194" s="72">
        <f>IF($A194="",-1,N(R194)+ROW()/1000000)</f>
        <v/>
      </c>
    </row>
    <row r="195">
      <c r="A195" s="7" t="n"/>
      <c r="B195" s="7" t="n"/>
      <c r="C195" s="7" t="n"/>
      <c r="D195" s="7" t="n"/>
      <c r="E195" s="7" t="n"/>
      <c r="F195" s="7" t="n"/>
      <c r="G195" s="7" t="n"/>
      <c r="H195" s="7" t="n"/>
      <c r="I195" s="65" t="n"/>
      <c r="J195" s="66" t="n"/>
      <c r="K195" s="7" t="n"/>
      <c r="L195" s="7" t="n"/>
      <c r="M195" s="65" t="n"/>
      <c r="N195" s="7" t="n"/>
      <c r="O195" s="67" t="n"/>
      <c r="P195" s="68">
        <f>IF($A195="","",COUNTIFS('Ordres de travail'!$D$5:$D$3004,$A195,'Ordres de travail'!$H$5:$H$3004,"Correctif",'Ordres de travail'!$AC$5:$AC$3004,"&lt;&gt;Annulé",'Ordres de travail'!$B$5:$B$3004,"&gt;="&amp;'Paramètres'!$AA$6,'Ordres de travail'!$B$5:$B$3004,"&lt;"&amp;('Paramètres'!$AA$7+1)))</f>
        <v/>
      </c>
      <c r="Q195" s="69">
        <f>IF($A195="","",SUMIFS('Ordres de travail'!$S$5:$S$3004,'Ordres de travail'!$D$5:$D$3004,$A195,'Ordres de travail'!$H$5:$H$3004,"Correctif",'Ordres de travail'!$AC$5:$AC$3004,"&lt;&gt;Annulé",'Ordres de travail'!$B$5:$B$3004,"&gt;="&amp;'Paramètres'!$AA$6,'Ordres de travail'!$B$5:$B$3004,"&lt;"&amp;('Paramètres'!$AA$7+1)))</f>
        <v/>
      </c>
      <c r="R195" s="69">
        <f>IF($A195="","",SUMIFS('Ordres de travail'!$S$5:$S$3004,'Ordres de travail'!$D$5:$D$3004,$A195,'Ordres de travail'!$AC$5:$AC$3004,"&lt;&gt;Annulé",'Ordres de travail'!$B$5:$B$3004,"&gt;="&amp;'Paramètres'!$AA$6,'Ordres de travail'!$B$5:$B$3004,"&lt;"&amp;('Paramètres'!$AA$7+1)))</f>
        <v/>
      </c>
      <c r="S195" s="70">
        <f>IF($A195="","",SUMIFS('Ordres de travail'!$AA$5:$AA$3004,'Ordres de travail'!$D$5:$D$3004,$A195,'Ordres de travail'!$B$5:$B$3004,"&gt;="&amp;'Paramètres'!$AA$6,'Ordres de travail'!$B$5:$B$3004,"&lt;"&amp;('Paramètres'!$AA$7+1)))</f>
        <v/>
      </c>
      <c r="T195" s="68">
        <f>IF($A195="","",IF(P195=0,"-",(O195*'Paramètres'!$AA$8-Q195)/P195))</f>
        <v/>
      </c>
      <c r="U195" s="69">
        <f>IF($A195="","",IF(P195=0,"-",Q195/P195))</f>
        <v/>
      </c>
      <c r="V195" s="71">
        <f>IF($A195="","",IF(N(O195)*'Paramètres'!$AA$8=0,"-",MAX(0,1-R195/(O195*'Paramètres'!$AA$8))))</f>
        <v/>
      </c>
      <c r="W195" s="68">
        <f>IF($A195="","",_xlfn.MAXIFS('Relevés compteurs'!$D$5:$D$1504,'Relevés compteurs'!$B$5:$B$1504,$A195))</f>
        <v/>
      </c>
      <c r="X195" s="69">
        <f>IF(OR($A195="",I195=""),"",(TODAY()-I195)/365.25)</f>
        <v/>
      </c>
      <c r="Y195" s="70">
        <f>IF($A195="","",SUMIFS('Ordres de travail'!$AA$5:$AA$3004,'Ordres de travail'!$D$5:$D$3004,$A195))</f>
        <v/>
      </c>
      <c r="Z195" s="68">
        <f>IF($A195="","",SUM(COUNTIFS('Ordres de travail'!$D$5:$D$3004,$A195,'Ordres de travail'!$AC$5:$AC$3004,{"Demandé","Planifié","En cours","En attente pièces"})))</f>
        <v/>
      </c>
      <c r="AA195" s="9">
        <f>IF(OR($A195="",M195=""),"",IF(M195&lt;TODAY(),"Expirée",IF(M195-TODAY()&lt;='Paramètres'!$AA$15,"Expire bientôt","Sous garantie")))</f>
        <v/>
      </c>
      <c r="AB195" s="72">
        <f>IF($A195="",-1,N(R195)+ROW()/1000000)</f>
        <v/>
      </c>
    </row>
    <row r="196">
      <c r="A196" s="7" t="n"/>
      <c r="B196" s="7" t="n"/>
      <c r="C196" s="7" t="n"/>
      <c r="D196" s="7" t="n"/>
      <c r="E196" s="7" t="n"/>
      <c r="F196" s="7" t="n"/>
      <c r="G196" s="7" t="n"/>
      <c r="H196" s="7" t="n"/>
      <c r="I196" s="65" t="n"/>
      <c r="J196" s="66" t="n"/>
      <c r="K196" s="7" t="n"/>
      <c r="L196" s="7" t="n"/>
      <c r="M196" s="65" t="n"/>
      <c r="N196" s="7" t="n"/>
      <c r="O196" s="67" t="n"/>
      <c r="P196" s="68">
        <f>IF($A196="","",COUNTIFS('Ordres de travail'!$D$5:$D$3004,$A196,'Ordres de travail'!$H$5:$H$3004,"Correctif",'Ordres de travail'!$AC$5:$AC$3004,"&lt;&gt;Annulé",'Ordres de travail'!$B$5:$B$3004,"&gt;="&amp;'Paramètres'!$AA$6,'Ordres de travail'!$B$5:$B$3004,"&lt;"&amp;('Paramètres'!$AA$7+1)))</f>
        <v/>
      </c>
      <c r="Q196" s="69">
        <f>IF($A196="","",SUMIFS('Ordres de travail'!$S$5:$S$3004,'Ordres de travail'!$D$5:$D$3004,$A196,'Ordres de travail'!$H$5:$H$3004,"Correctif",'Ordres de travail'!$AC$5:$AC$3004,"&lt;&gt;Annulé",'Ordres de travail'!$B$5:$B$3004,"&gt;="&amp;'Paramètres'!$AA$6,'Ordres de travail'!$B$5:$B$3004,"&lt;"&amp;('Paramètres'!$AA$7+1)))</f>
        <v/>
      </c>
      <c r="R196" s="69">
        <f>IF($A196="","",SUMIFS('Ordres de travail'!$S$5:$S$3004,'Ordres de travail'!$D$5:$D$3004,$A196,'Ordres de travail'!$AC$5:$AC$3004,"&lt;&gt;Annulé",'Ordres de travail'!$B$5:$B$3004,"&gt;="&amp;'Paramètres'!$AA$6,'Ordres de travail'!$B$5:$B$3004,"&lt;"&amp;('Paramètres'!$AA$7+1)))</f>
        <v/>
      </c>
      <c r="S196" s="70">
        <f>IF($A196="","",SUMIFS('Ordres de travail'!$AA$5:$AA$3004,'Ordres de travail'!$D$5:$D$3004,$A196,'Ordres de travail'!$B$5:$B$3004,"&gt;="&amp;'Paramètres'!$AA$6,'Ordres de travail'!$B$5:$B$3004,"&lt;"&amp;('Paramètres'!$AA$7+1)))</f>
        <v/>
      </c>
      <c r="T196" s="68">
        <f>IF($A196="","",IF(P196=0,"-",(O196*'Paramètres'!$AA$8-Q196)/P196))</f>
        <v/>
      </c>
      <c r="U196" s="69">
        <f>IF($A196="","",IF(P196=0,"-",Q196/P196))</f>
        <v/>
      </c>
      <c r="V196" s="71">
        <f>IF($A196="","",IF(N(O196)*'Paramètres'!$AA$8=0,"-",MAX(0,1-R196/(O196*'Paramètres'!$AA$8))))</f>
        <v/>
      </c>
      <c r="W196" s="68">
        <f>IF($A196="","",_xlfn.MAXIFS('Relevés compteurs'!$D$5:$D$1504,'Relevés compteurs'!$B$5:$B$1504,$A196))</f>
        <v/>
      </c>
      <c r="X196" s="69">
        <f>IF(OR($A196="",I196=""),"",(TODAY()-I196)/365.25)</f>
        <v/>
      </c>
      <c r="Y196" s="70">
        <f>IF($A196="","",SUMIFS('Ordres de travail'!$AA$5:$AA$3004,'Ordres de travail'!$D$5:$D$3004,$A196))</f>
        <v/>
      </c>
      <c r="Z196" s="68">
        <f>IF($A196="","",SUM(COUNTIFS('Ordres de travail'!$D$5:$D$3004,$A196,'Ordres de travail'!$AC$5:$AC$3004,{"Demandé","Planifié","En cours","En attente pièces"})))</f>
        <v/>
      </c>
      <c r="AA196" s="9">
        <f>IF(OR($A196="",M196=""),"",IF(M196&lt;TODAY(),"Expirée",IF(M196-TODAY()&lt;='Paramètres'!$AA$15,"Expire bientôt","Sous garantie")))</f>
        <v/>
      </c>
      <c r="AB196" s="72">
        <f>IF($A196="",-1,N(R196)+ROW()/1000000)</f>
        <v/>
      </c>
    </row>
    <row r="197">
      <c r="A197" s="7" t="n"/>
      <c r="B197" s="7" t="n"/>
      <c r="C197" s="7" t="n"/>
      <c r="D197" s="7" t="n"/>
      <c r="E197" s="7" t="n"/>
      <c r="F197" s="7" t="n"/>
      <c r="G197" s="7" t="n"/>
      <c r="H197" s="7" t="n"/>
      <c r="I197" s="65" t="n"/>
      <c r="J197" s="66" t="n"/>
      <c r="K197" s="7" t="n"/>
      <c r="L197" s="7" t="n"/>
      <c r="M197" s="65" t="n"/>
      <c r="N197" s="7" t="n"/>
      <c r="O197" s="67" t="n"/>
      <c r="P197" s="68">
        <f>IF($A197="","",COUNTIFS('Ordres de travail'!$D$5:$D$3004,$A197,'Ordres de travail'!$H$5:$H$3004,"Correctif",'Ordres de travail'!$AC$5:$AC$3004,"&lt;&gt;Annulé",'Ordres de travail'!$B$5:$B$3004,"&gt;="&amp;'Paramètres'!$AA$6,'Ordres de travail'!$B$5:$B$3004,"&lt;"&amp;('Paramètres'!$AA$7+1)))</f>
        <v/>
      </c>
      <c r="Q197" s="69">
        <f>IF($A197="","",SUMIFS('Ordres de travail'!$S$5:$S$3004,'Ordres de travail'!$D$5:$D$3004,$A197,'Ordres de travail'!$H$5:$H$3004,"Correctif",'Ordres de travail'!$AC$5:$AC$3004,"&lt;&gt;Annulé",'Ordres de travail'!$B$5:$B$3004,"&gt;="&amp;'Paramètres'!$AA$6,'Ordres de travail'!$B$5:$B$3004,"&lt;"&amp;('Paramètres'!$AA$7+1)))</f>
        <v/>
      </c>
      <c r="R197" s="69">
        <f>IF($A197="","",SUMIFS('Ordres de travail'!$S$5:$S$3004,'Ordres de travail'!$D$5:$D$3004,$A197,'Ordres de travail'!$AC$5:$AC$3004,"&lt;&gt;Annulé",'Ordres de travail'!$B$5:$B$3004,"&gt;="&amp;'Paramètres'!$AA$6,'Ordres de travail'!$B$5:$B$3004,"&lt;"&amp;('Paramètres'!$AA$7+1)))</f>
        <v/>
      </c>
      <c r="S197" s="70">
        <f>IF($A197="","",SUMIFS('Ordres de travail'!$AA$5:$AA$3004,'Ordres de travail'!$D$5:$D$3004,$A197,'Ordres de travail'!$B$5:$B$3004,"&gt;="&amp;'Paramètres'!$AA$6,'Ordres de travail'!$B$5:$B$3004,"&lt;"&amp;('Paramètres'!$AA$7+1)))</f>
        <v/>
      </c>
      <c r="T197" s="68">
        <f>IF($A197="","",IF(P197=0,"-",(O197*'Paramètres'!$AA$8-Q197)/P197))</f>
        <v/>
      </c>
      <c r="U197" s="69">
        <f>IF($A197="","",IF(P197=0,"-",Q197/P197))</f>
        <v/>
      </c>
      <c r="V197" s="71">
        <f>IF($A197="","",IF(N(O197)*'Paramètres'!$AA$8=0,"-",MAX(0,1-R197/(O197*'Paramètres'!$AA$8))))</f>
        <v/>
      </c>
      <c r="W197" s="68">
        <f>IF($A197="","",_xlfn.MAXIFS('Relevés compteurs'!$D$5:$D$1504,'Relevés compteurs'!$B$5:$B$1504,$A197))</f>
        <v/>
      </c>
      <c r="X197" s="69">
        <f>IF(OR($A197="",I197=""),"",(TODAY()-I197)/365.25)</f>
        <v/>
      </c>
      <c r="Y197" s="70">
        <f>IF($A197="","",SUMIFS('Ordres de travail'!$AA$5:$AA$3004,'Ordres de travail'!$D$5:$D$3004,$A197))</f>
        <v/>
      </c>
      <c r="Z197" s="68">
        <f>IF($A197="","",SUM(COUNTIFS('Ordres de travail'!$D$5:$D$3004,$A197,'Ordres de travail'!$AC$5:$AC$3004,{"Demandé","Planifié","En cours","En attente pièces"})))</f>
        <v/>
      </c>
      <c r="AA197" s="9">
        <f>IF(OR($A197="",M197=""),"",IF(M197&lt;TODAY(),"Expirée",IF(M197-TODAY()&lt;='Paramètres'!$AA$15,"Expire bientôt","Sous garantie")))</f>
        <v/>
      </c>
      <c r="AB197" s="72">
        <f>IF($A197="",-1,N(R197)+ROW()/1000000)</f>
        <v/>
      </c>
    </row>
    <row r="198">
      <c r="A198" s="7" t="n"/>
      <c r="B198" s="7" t="n"/>
      <c r="C198" s="7" t="n"/>
      <c r="D198" s="7" t="n"/>
      <c r="E198" s="7" t="n"/>
      <c r="F198" s="7" t="n"/>
      <c r="G198" s="7" t="n"/>
      <c r="H198" s="7" t="n"/>
      <c r="I198" s="65" t="n"/>
      <c r="J198" s="66" t="n"/>
      <c r="K198" s="7" t="n"/>
      <c r="L198" s="7" t="n"/>
      <c r="M198" s="65" t="n"/>
      <c r="N198" s="7" t="n"/>
      <c r="O198" s="67" t="n"/>
      <c r="P198" s="68">
        <f>IF($A198="","",COUNTIFS('Ordres de travail'!$D$5:$D$3004,$A198,'Ordres de travail'!$H$5:$H$3004,"Correctif",'Ordres de travail'!$AC$5:$AC$3004,"&lt;&gt;Annulé",'Ordres de travail'!$B$5:$B$3004,"&gt;="&amp;'Paramètres'!$AA$6,'Ordres de travail'!$B$5:$B$3004,"&lt;"&amp;('Paramètres'!$AA$7+1)))</f>
        <v/>
      </c>
      <c r="Q198" s="69">
        <f>IF($A198="","",SUMIFS('Ordres de travail'!$S$5:$S$3004,'Ordres de travail'!$D$5:$D$3004,$A198,'Ordres de travail'!$H$5:$H$3004,"Correctif",'Ordres de travail'!$AC$5:$AC$3004,"&lt;&gt;Annulé",'Ordres de travail'!$B$5:$B$3004,"&gt;="&amp;'Paramètres'!$AA$6,'Ordres de travail'!$B$5:$B$3004,"&lt;"&amp;('Paramètres'!$AA$7+1)))</f>
        <v/>
      </c>
      <c r="R198" s="69">
        <f>IF($A198="","",SUMIFS('Ordres de travail'!$S$5:$S$3004,'Ordres de travail'!$D$5:$D$3004,$A198,'Ordres de travail'!$AC$5:$AC$3004,"&lt;&gt;Annulé",'Ordres de travail'!$B$5:$B$3004,"&gt;="&amp;'Paramètres'!$AA$6,'Ordres de travail'!$B$5:$B$3004,"&lt;"&amp;('Paramètres'!$AA$7+1)))</f>
        <v/>
      </c>
      <c r="S198" s="70">
        <f>IF($A198="","",SUMIFS('Ordres de travail'!$AA$5:$AA$3004,'Ordres de travail'!$D$5:$D$3004,$A198,'Ordres de travail'!$B$5:$B$3004,"&gt;="&amp;'Paramètres'!$AA$6,'Ordres de travail'!$B$5:$B$3004,"&lt;"&amp;('Paramètres'!$AA$7+1)))</f>
        <v/>
      </c>
      <c r="T198" s="68">
        <f>IF($A198="","",IF(P198=0,"-",(O198*'Paramètres'!$AA$8-Q198)/P198))</f>
        <v/>
      </c>
      <c r="U198" s="69">
        <f>IF($A198="","",IF(P198=0,"-",Q198/P198))</f>
        <v/>
      </c>
      <c r="V198" s="71">
        <f>IF($A198="","",IF(N(O198)*'Paramètres'!$AA$8=0,"-",MAX(0,1-R198/(O198*'Paramètres'!$AA$8))))</f>
        <v/>
      </c>
      <c r="W198" s="68">
        <f>IF($A198="","",_xlfn.MAXIFS('Relevés compteurs'!$D$5:$D$1504,'Relevés compteurs'!$B$5:$B$1504,$A198))</f>
        <v/>
      </c>
      <c r="X198" s="69">
        <f>IF(OR($A198="",I198=""),"",(TODAY()-I198)/365.25)</f>
        <v/>
      </c>
      <c r="Y198" s="70">
        <f>IF($A198="","",SUMIFS('Ordres de travail'!$AA$5:$AA$3004,'Ordres de travail'!$D$5:$D$3004,$A198))</f>
        <v/>
      </c>
      <c r="Z198" s="68">
        <f>IF($A198="","",SUM(COUNTIFS('Ordres de travail'!$D$5:$D$3004,$A198,'Ordres de travail'!$AC$5:$AC$3004,{"Demandé","Planifié","En cours","En attente pièces"})))</f>
        <v/>
      </c>
      <c r="AA198" s="9">
        <f>IF(OR($A198="",M198=""),"",IF(M198&lt;TODAY(),"Expirée",IF(M198-TODAY()&lt;='Paramètres'!$AA$15,"Expire bientôt","Sous garantie")))</f>
        <v/>
      </c>
      <c r="AB198" s="72">
        <f>IF($A198="",-1,N(R198)+ROW()/1000000)</f>
        <v/>
      </c>
    </row>
    <row r="199">
      <c r="A199" s="7" t="n"/>
      <c r="B199" s="7" t="n"/>
      <c r="C199" s="7" t="n"/>
      <c r="D199" s="7" t="n"/>
      <c r="E199" s="7" t="n"/>
      <c r="F199" s="7" t="n"/>
      <c r="G199" s="7" t="n"/>
      <c r="H199" s="7" t="n"/>
      <c r="I199" s="65" t="n"/>
      <c r="J199" s="66" t="n"/>
      <c r="K199" s="7" t="n"/>
      <c r="L199" s="7" t="n"/>
      <c r="M199" s="65" t="n"/>
      <c r="N199" s="7" t="n"/>
      <c r="O199" s="67" t="n"/>
      <c r="P199" s="68">
        <f>IF($A199="","",COUNTIFS('Ordres de travail'!$D$5:$D$3004,$A199,'Ordres de travail'!$H$5:$H$3004,"Correctif",'Ordres de travail'!$AC$5:$AC$3004,"&lt;&gt;Annulé",'Ordres de travail'!$B$5:$B$3004,"&gt;="&amp;'Paramètres'!$AA$6,'Ordres de travail'!$B$5:$B$3004,"&lt;"&amp;('Paramètres'!$AA$7+1)))</f>
        <v/>
      </c>
      <c r="Q199" s="69">
        <f>IF($A199="","",SUMIFS('Ordres de travail'!$S$5:$S$3004,'Ordres de travail'!$D$5:$D$3004,$A199,'Ordres de travail'!$H$5:$H$3004,"Correctif",'Ordres de travail'!$AC$5:$AC$3004,"&lt;&gt;Annulé",'Ordres de travail'!$B$5:$B$3004,"&gt;="&amp;'Paramètres'!$AA$6,'Ordres de travail'!$B$5:$B$3004,"&lt;"&amp;('Paramètres'!$AA$7+1)))</f>
        <v/>
      </c>
      <c r="R199" s="69">
        <f>IF($A199="","",SUMIFS('Ordres de travail'!$S$5:$S$3004,'Ordres de travail'!$D$5:$D$3004,$A199,'Ordres de travail'!$AC$5:$AC$3004,"&lt;&gt;Annulé",'Ordres de travail'!$B$5:$B$3004,"&gt;="&amp;'Paramètres'!$AA$6,'Ordres de travail'!$B$5:$B$3004,"&lt;"&amp;('Paramètres'!$AA$7+1)))</f>
        <v/>
      </c>
      <c r="S199" s="70">
        <f>IF($A199="","",SUMIFS('Ordres de travail'!$AA$5:$AA$3004,'Ordres de travail'!$D$5:$D$3004,$A199,'Ordres de travail'!$B$5:$B$3004,"&gt;="&amp;'Paramètres'!$AA$6,'Ordres de travail'!$B$5:$B$3004,"&lt;"&amp;('Paramètres'!$AA$7+1)))</f>
        <v/>
      </c>
      <c r="T199" s="68">
        <f>IF($A199="","",IF(P199=0,"-",(O199*'Paramètres'!$AA$8-Q199)/P199))</f>
        <v/>
      </c>
      <c r="U199" s="69">
        <f>IF($A199="","",IF(P199=0,"-",Q199/P199))</f>
        <v/>
      </c>
      <c r="V199" s="71">
        <f>IF($A199="","",IF(N(O199)*'Paramètres'!$AA$8=0,"-",MAX(0,1-R199/(O199*'Paramètres'!$AA$8))))</f>
        <v/>
      </c>
      <c r="W199" s="68">
        <f>IF($A199="","",_xlfn.MAXIFS('Relevés compteurs'!$D$5:$D$1504,'Relevés compteurs'!$B$5:$B$1504,$A199))</f>
        <v/>
      </c>
      <c r="X199" s="69">
        <f>IF(OR($A199="",I199=""),"",(TODAY()-I199)/365.25)</f>
        <v/>
      </c>
      <c r="Y199" s="70">
        <f>IF($A199="","",SUMIFS('Ordres de travail'!$AA$5:$AA$3004,'Ordres de travail'!$D$5:$D$3004,$A199))</f>
        <v/>
      </c>
      <c r="Z199" s="68">
        <f>IF($A199="","",SUM(COUNTIFS('Ordres de travail'!$D$5:$D$3004,$A199,'Ordres de travail'!$AC$5:$AC$3004,{"Demandé","Planifié","En cours","En attente pièces"})))</f>
        <v/>
      </c>
      <c r="AA199" s="9">
        <f>IF(OR($A199="",M199=""),"",IF(M199&lt;TODAY(),"Expirée",IF(M199-TODAY()&lt;='Paramètres'!$AA$15,"Expire bientôt","Sous garantie")))</f>
        <v/>
      </c>
      <c r="AB199" s="72">
        <f>IF($A199="",-1,N(R199)+ROW()/1000000)</f>
        <v/>
      </c>
    </row>
    <row r="200">
      <c r="A200" s="7" t="n"/>
      <c r="B200" s="7" t="n"/>
      <c r="C200" s="7" t="n"/>
      <c r="D200" s="7" t="n"/>
      <c r="E200" s="7" t="n"/>
      <c r="F200" s="7" t="n"/>
      <c r="G200" s="7" t="n"/>
      <c r="H200" s="7" t="n"/>
      <c r="I200" s="65" t="n"/>
      <c r="J200" s="66" t="n"/>
      <c r="K200" s="7" t="n"/>
      <c r="L200" s="7" t="n"/>
      <c r="M200" s="65" t="n"/>
      <c r="N200" s="7" t="n"/>
      <c r="O200" s="67" t="n"/>
      <c r="P200" s="68">
        <f>IF($A200="","",COUNTIFS('Ordres de travail'!$D$5:$D$3004,$A200,'Ordres de travail'!$H$5:$H$3004,"Correctif",'Ordres de travail'!$AC$5:$AC$3004,"&lt;&gt;Annulé",'Ordres de travail'!$B$5:$B$3004,"&gt;="&amp;'Paramètres'!$AA$6,'Ordres de travail'!$B$5:$B$3004,"&lt;"&amp;('Paramètres'!$AA$7+1)))</f>
        <v/>
      </c>
      <c r="Q200" s="69">
        <f>IF($A200="","",SUMIFS('Ordres de travail'!$S$5:$S$3004,'Ordres de travail'!$D$5:$D$3004,$A200,'Ordres de travail'!$H$5:$H$3004,"Correctif",'Ordres de travail'!$AC$5:$AC$3004,"&lt;&gt;Annulé",'Ordres de travail'!$B$5:$B$3004,"&gt;="&amp;'Paramètres'!$AA$6,'Ordres de travail'!$B$5:$B$3004,"&lt;"&amp;('Paramètres'!$AA$7+1)))</f>
        <v/>
      </c>
      <c r="R200" s="69">
        <f>IF($A200="","",SUMIFS('Ordres de travail'!$S$5:$S$3004,'Ordres de travail'!$D$5:$D$3004,$A200,'Ordres de travail'!$AC$5:$AC$3004,"&lt;&gt;Annulé",'Ordres de travail'!$B$5:$B$3004,"&gt;="&amp;'Paramètres'!$AA$6,'Ordres de travail'!$B$5:$B$3004,"&lt;"&amp;('Paramètres'!$AA$7+1)))</f>
        <v/>
      </c>
      <c r="S200" s="70">
        <f>IF($A200="","",SUMIFS('Ordres de travail'!$AA$5:$AA$3004,'Ordres de travail'!$D$5:$D$3004,$A200,'Ordres de travail'!$B$5:$B$3004,"&gt;="&amp;'Paramètres'!$AA$6,'Ordres de travail'!$B$5:$B$3004,"&lt;"&amp;('Paramètres'!$AA$7+1)))</f>
        <v/>
      </c>
      <c r="T200" s="68">
        <f>IF($A200="","",IF(P200=0,"-",(O200*'Paramètres'!$AA$8-Q200)/P200))</f>
        <v/>
      </c>
      <c r="U200" s="69">
        <f>IF($A200="","",IF(P200=0,"-",Q200/P200))</f>
        <v/>
      </c>
      <c r="V200" s="71">
        <f>IF($A200="","",IF(N(O200)*'Paramètres'!$AA$8=0,"-",MAX(0,1-R200/(O200*'Paramètres'!$AA$8))))</f>
        <v/>
      </c>
      <c r="W200" s="68">
        <f>IF($A200="","",_xlfn.MAXIFS('Relevés compteurs'!$D$5:$D$1504,'Relevés compteurs'!$B$5:$B$1504,$A200))</f>
        <v/>
      </c>
      <c r="X200" s="69">
        <f>IF(OR($A200="",I200=""),"",(TODAY()-I200)/365.25)</f>
        <v/>
      </c>
      <c r="Y200" s="70">
        <f>IF($A200="","",SUMIFS('Ordres de travail'!$AA$5:$AA$3004,'Ordres de travail'!$D$5:$D$3004,$A200))</f>
        <v/>
      </c>
      <c r="Z200" s="68">
        <f>IF($A200="","",SUM(COUNTIFS('Ordres de travail'!$D$5:$D$3004,$A200,'Ordres de travail'!$AC$5:$AC$3004,{"Demandé","Planifié","En cours","En attente pièces"})))</f>
        <v/>
      </c>
      <c r="AA200" s="9">
        <f>IF(OR($A200="",M200=""),"",IF(M200&lt;TODAY(),"Expirée",IF(M200-TODAY()&lt;='Paramètres'!$AA$15,"Expire bientôt","Sous garantie")))</f>
        <v/>
      </c>
      <c r="AB200" s="72">
        <f>IF($A200="",-1,N(R200)+ROW()/1000000)</f>
        <v/>
      </c>
    </row>
    <row r="201">
      <c r="A201" s="7" t="n"/>
      <c r="B201" s="7" t="n"/>
      <c r="C201" s="7" t="n"/>
      <c r="D201" s="7" t="n"/>
      <c r="E201" s="7" t="n"/>
      <c r="F201" s="7" t="n"/>
      <c r="G201" s="7" t="n"/>
      <c r="H201" s="7" t="n"/>
      <c r="I201" s="65" t="n"/>
      <c r="J201" s="66" t="n"/>
      <c r="K201" s="7" t="n"/>
      <c r="L201" s="7" t="n"/>
      <c r="M201" s="65" t="n"/>
      <c r="N201" s="7" t="n"/>
      <c r="O201" s="67" t="n"/>
      <c r="P201" s="68">
        <f>IF($A201="","",COUNTIFS('Ordres de travail'!$D$5:$D$3004,$A201,'Ordres de travail'!$H$5:$H$3004,"Correctif",'Ordres de travail'!$AC$5:$AC$3004,"&lt;&gt;Annulé",'Ordres de travail'!$B$5:$B$3004,"&gt;="&amp;'Paramètres'!$AA$6,'Ordres de travail'!$B$5:$B$3004,"&lt;"&amp;('Paramètres'!$AA$7+1)))</f>
        <v/>
      </c>
      <c r="Q201" s="69">
        <f>IF($A201="","",SUMIFS('Ordres de travail'!$S$5:$S$3004,'Ordres de travail'!$D$5:$D$3004,$A201,'Ordres de travail'!$H$5:$H$3004,"Correctif",'Ordres de travail'!$AC$5:$AC$3004,"&lt;&gt;Annulé",'Ordres de travail'!$B$5:$B$3004,"&gt;="&amp;'Paramètres'!$AA$6,'Ordres de travail'!$B$5:$B$3004,"&lt;"&amp;('Paramètres'!$AA$7+1)))</f>
        <v/>
      </c>
      <c r="R201" s="69">
        <f>IF($A201="","",SUMIFS('Ordres de travail'!$S$5:$S$3004,'Ordres de travail'!$D$5:$D$3004,$A201,'Ordres de travail'!$AC$5:$AC$3004,"&lt;&gt;Annulé",'Ordres de travail'!$B$5:$B$3004,"&gt;="&amp;'Paramètres'!$AA$6,'Ordres de travail'!$B$5:$B$3004,"&lt;"&amp;('Paramètres'!$AA$7+1)))</f>
        <v/>
      </c>
      <c r="S201" s="70">
        <f>IF($A201="","",SUMIFS('Ordres de travail'!$AA$5:$AA$3004,'Ordres de travail'!$D$5:$D$3004,$A201,'Ordres de travail'!$B$5:$B$3004,"&gt;="&amp;'Paramètres'!$AA$6,'Ordres de travail'!$B$5:$B$3004,"&lt;"&amp;('Paramètres'!$AA$7+1)))</f>
        <v/>
      </c>
      <c r="T201" s="68">
        <f>IF($A201="","",IF(P201=0,"-",(O201*'Paramètres'!$AA$8-Q201)/P201))</f>
        <v/>
      </c>
      <c r="U201" s="69">
        <f>IF($A201="","",IF(P201=0,"-",Q201/P201))</f>
        <v/>
      </c>
      <c r="V201" s="71">
        <f>IF($A201="","",IF(N(O201)*'Paramètres'!$AA$8=0,"-",MAX(0,1-R201/(O201*'Paramètres'!$AA$8))))</f>
        <v/>
      </c>
      <c r="W201" s="68">
        <f>IF($A201="","",_xlfn.MAXIFS('Relevés compteurs'!$D$5:$D$1504,'Relevés compteurs'!$B$5:$B$1504,$A201))</f>
        <v/>
      </c>
      <c r="X201" s="69">
        <f>IF(OR($A201="",I201=""),"",(TODAY()-I201)/365.25)</f>
        <v/>
      </c>
      <c r="Y201" s="70">
        <f>IF($A201="","",SUMIFS('Ordres de travail'!$AA$5:$AA$3004,'Ordres de travail'!$D$5:$D$3004,$A201))</f>
        <v/>
      </c>
      <c r="Z201" s="68">
        <f>IF($A201="","",SUM(COUNTIFS('Ordres de travail'!$D$5:$D$3004,$A201,'Ordres de travail'!$AC$5:$AC$3004,{"Demandé","Planifié","En cours","En attente pièces"})))</f>
        <v/>
      </c>
      <c r="AA201" s="9">
        <f>IF(OR($A201="",M201=""),"",IF(M201&lt;TODAY(),"Expirée",IF(M201-TODAY()&lt;='Paramètres'!$AA$15,"Expire bientôt","Sous garantie")))</f>
        <v/>
      </c>
      <c r="AB201" s="72">
        <f>IF($A201="",-1,N(R201)+ROW()/1000000)</f>
        <v/>
      </c>
    </row>
    <row r="202">
      <c r="A202" s="7" t="n"/>
      <c r="B202" s="7" t="n"/>
      <c r="C202" s="7" t="n"/>
      <c r="D202" s="7" t="n"/>
      <c r="E202" s="7" t="n"/>
      <c r="F202" s="7" t="n"/>
      <c r="G202" s="7" t="n"/>
      <c r="H202" s="7" t="n"/>
      <c r="I202" s="65" t="n"/>
      <c r="J202" s="66" t="n"/>
      <c r="K202" s="7" t="n"/>
      <c r="L202" s="7" t="n"/>
      <c r="M202" s="65" t="n"/>
      <c r="N202" s="7" t="n"/>
      <c r="O202" s="67" t="n"/>
      <c r="P202" s="68">
        <f>IF($A202="","",COUNTIFS('Ordres de travail'!$D$5:$D$3004,$A202,'Ordres de travail'!$H$5:$H$3004,"Correctif",'Ordres de travail'!$AC$5:$AC$3004,"&lt;&gt;Annulé",'Ordres de travail'!$B$5:$B$3004,"&gt;="&amp;'Paramètres'!$AA$6,'Ordres de travail'!$B$5:$B$3004,"&lt;"&amp;('Paramètres'!$AA$7+1)))</f>
        <v/>
      </c>
      <c r="Q202" s="69">
        <f>IF($A202="","",SUMIFS('Ordres de travail'!$S$5:$S$3004,'Ordres de travail'!$D$5:$D$3004,$A202,'Ordres de travail'!$H$5:$H$3004,"Correctif",'Ordres de travail'!$AC$5:$AC$3004,"&lt;&gt;Annulé",'Ordres de travail'!$B$5:$B$3004,"&gt;="&amp;'Paramètres'!$AA$6,'Ordres de travail'!$B$5:$B$3004,"&lt;"&amp;('Paramètres'!$AA$7+1)))</f>
        <v/>
      </c>
      <c r="R202" s="69">
        <f>IF($A202="","",SUMIFS('Ordres de travail'!$S$5:$S$3004,'Ordres de travail'!$D$5:$D$3004,$A202,'Ordres de travail'!$AC$5:$AC$3004,"&lt;&gt;Annulé",'Ordres de travail'!$B$5:$B$3004,"&gt;="&amp;'Paramètres'!$AA$6,'Ordres de travail'!$B$5:$B$3004,"&lt;"&amp;('Paramètres'!$AA$7+1)))</f>
        <v/>
      </c>
      <c r="S202" s="70">
        <f>IF($A202="","",SUMIFS('Ordres de travail'!$AA$5:$AA$3004,'Ordres de travail'!$D$5:$D$3004,$A202,'Ordres de travail'!$B$5:$B$3004,"&gt;="&amp;'Paramètres'!$AA$6,'Ordres de travail'!$B$5:$B$3004,"&lt;"&amp;('Paramètres'!$AA$7+1)))</f>
        <v/>
      </c>
      <c r="T202" s="68">
        <f>IF($A202="","",IF(P202=0,"-",(O202*'Paramètres'!$AA$8-Q202)/P202))</f>
        <v/>
      </c>
      <c r="U202" s="69">
        <f>IF($A202="","",IF(P202=0,"-",Q202/P202))</f>
        <v/>
      </c>
      <c r="V202" s="71">
        <f>IF($A202="","",IF(N(O202)*'Paramètres'!$AA$8=0,"-",MAX(0,1-R202/(O202*'Paramètres'!$AA$8))))</f>
        <v/>
      </c>
      <c r="W202" s="68">
        <f>IF($A202="","",_xlfn.MAXIFS('Relevés compteurs'!$D$5:$D$1504,'Relevés compteurs'!$B$5:$B$1504,$A202))</f>
        <v/>
      </c>
      <c r="X202" s="69">
        <f>IF(OR($A202="",I202=""),"",(TODAY()-I202)/365.25)</f>
        <v/>
      </c>
      <c r="Y202" s="70">
        <f>IF($A202="","",SUMIFS('Ordres de travail'!$AA$5:$AA$3004,'Ordres de travail'!$D$5:$D$3004,$A202))</f>
        <v/>
      </c>
      <c r="Z202" s="68">
        <f>IF($A202="","",SUM(COUNTIFS('Ordres de travail'!$D$5:$D$3004,$A202,'Ordres de travail'!$AC$5:$AC$3004,{"Demandé","Planifié","En cours","En attente pièces"})))</f>
        <v/>
      </c>
      <c r="AA202" s="9">
        <f>IF(OR($A202="",M202=""),"",IF(M202&lt;TODAY(),"Expirée",IF(M202-TODAY()&lt;='Paramètres'!$AA$15,"Expire bientôt","Sous garantie")))</f>
        <v/>
      </c>
      <c r="AB202" s="72">
        <f>IF($A202="",-1,N(R202)+ROW()/1000000)</f>
        <v/>
      </c>
    </row>
    <row r="203">
      <c r="A203" s="7" t="n"/>
      <c r="B203" s="7" t="n"/>
      <c r="C203" s="7" t="n"/>
      <c r="D203" s="7" t="n"/>
      <c r="E203" s="7" t="n"/>
      <c r="F203" s="7" t="n"/>
      <c r="G203" s="7" t="n"/>
      <c r="H203" s="7" t="n"/>
      <c r="I203" s="65" t="n"/>
      <c r="J203" s="66" t="n"/>
      <c r="K203" s="7" t="n"/>
      <c r="L203" s="7" t="n"/>
      <c r="M203" s="65" t="n"/>
      <c r="N203" s="7" t="n"/>
      <c r="O203" s="67" t="n"/>
      <c r="P203" s="68">
        <f>IF($A203="","",COUNTIFS('Ordres de travail'!$D$5:$D$3004,$A203,'Ordres de travail'!$H$5:$H$3004,"Correctif",'Ordres de travail'!$AC$5:$AC$3004,"&lt;&gt;Annulé",'Ordres de travail'!$B$5:$B$3004,"&gt;="&amp;'Paramètres'!$AA$6,'Ordres de travail'!$B$5:$B$3004,"&lt;"&amp;('Paramètres'!$AA$7+1)))</f>
        <v/>
      </c>
      <c r="Q203" s="69">
        <f>IF($A203="","",SUMIFS('Ordres de travail'!$S$5:$S$3004,'Ordres de travail'!$D$5:$D$3004,$A203,'Ordres de travail'!$H$5:$H$3004,"Correctif",'Ordres de travail'!$AC$5:$AC$3004,"&lt;&gt;Annulé",'Ordres de travail'!$B$5:$B$3004,"&gt;="&amp;'Paramètres'!$AA$6,'Ordres de travail'!$B$5:$B$3004,"&lt;"&amp;('Paramètres'!$AA$7+1)))</f>
        <v/>
      </c>
      <c r="R203" s="69">
        <f>IF($A203="","",SUMIFS('Ordres de travail'!$S$5:$S$3004,'Ordres de travail'!$D$5:$D$3004,$A203,'Ordres de travail'!$AC$5:$AC$3004,"&lt;&gt;Annulé",'Ordres de travail'!$B$5:$B$3004,"&gt;="&amp;'Paramètres'!$AA$6,'Ordres de travail'!$B$5:$B$3004,"&lt;"&amp;('Paramètres'!$AA$7+1)))</f>
        <v/>
      </c>
      <c r="S203" s="70">
        <f>IF($A203="","",SUMIFS('Ordres de travail'!$AA$5:$AA$3004,'Ordres de travail'!$D$5:$D$3004,$A203,'Ordres de travail'!$B$5:$B$3004,"&gt;="&amp;'Paramètres'!$AA$6,'Ordres de travail'!$B$5:$B$3004,"&lt;"&amp;('Paramètres'!$AA$7+1)))</f>
        <v/>
      </c>
      <c r="T203" s="68">
        <f>IF($A203="","",IF(P203=0,"-",(O203*'Paramètres'!$AA$8-Q203)/P203))</f>
        <v/>
      </c>
      <c r="U203" s="69">
        <f>IF($A203="","",IF(P203=0,"-",Q203/P203))</f>
        <v/>
      </c>
      <c r="V203" s="71">
        <f>IF($A203="","",IF(N(O203)*'Paramètres'!$AA$8=0,"-",MAX(0,1-R203/(O203*'Paramètres'!$AA$8))))</f>
        <v/>
      </c>
      <c r="W203" s="68">
        <f>IF($A203="","",_xlfn.MAXIFS('Relevés compteurs'!$D$5:$D$1504,'Relevés compteurs'!$B$5:$B$1504,$A203))</f>
        <v/>
      </c>
      <c r="X203" s="69">
        <f>IF(OR($A203="",I203=""),"",(TODAY()-I203)/365.25)</f>
        <v/>
      </c>
      <c r="Y203" s="70">
        <f>IF($A203="","",SUMIFS('Ordres de travail'!$AA$5:$AA$3004,'Ordres de travail'!$D$5:$D$3004,$A203))</f>
        <v/>
      </c>
      <c r="Z203" s="68">
        <f>IF($A203="","",SUM(COUNTIFS('Ordres de travail'!$D$5:$D$3004,$A203,'Ordres de travail'!$AC$5:$AC$3004,{"Demandé","Planifié","En cours","En attente pièces"})))</f>
        <v/>
      </c>
      <c r="AA203" s="9">
        <f>IF(OR($A203="",M203=""),"",IF(M203&lt;TODAY(),"Expirée",IF(M203-TODAY()&lt;='Paramètres'!$AA$15,"Expire bientôt","Sous garantie")))</f>
        <v/>
      </c>
      <c r="AB203" s="72">
        <f>IF($A203="",-1,N(R203)+ROW()/1000000)</f>
        <v/>
      </c>
    </row>
    <row r="204">
      <c r="A204" s="7" t="n"/>
      <c r="B204" s="7" t="n"/>
      <c r="C204" s="7" t="n"/>
      <c r="D204" s="7" t="n"/>
      <c r="E204" s="7" t="n"/>
      <c r="F204" s="7" t="n"/>
      <c r="G204" s="7" t="n"/>
      <c r="H204" s="7" t="n"/>
      <c r="I204" s="65" t="n"/>
      <c r="J204" s="66" t="n"/>
      <c r="K204" s="7" t="n"/>
      <c r="L204" s="7" t="n"/>
      <c r="M204" s="65" t="n"/>
      <c r="N204" s="7" t="n"/>
      <c r="O204" s="67" t="n"/>
      <c r="P204" s="68">
        <f>IF($A204="","",COUNTIFS('Ordres de travail'!$D$5:$D$3004,$A204,'Ordres de travail'!$H$5:$H$3004,"Correctif",'Ordres de travail'!$AC$5:$AC$3004,"&lt;&gt;Annulé",'Ordres de travail'!$B$5:$B$3004,"&gt;="&amp;'Paramètres'!$AA$6,'Ordres de travail'!$B$5:$B$3004,"&lt;"&amp;('Paramètres'!$AA$7+1)))</f>
        <v/>
      </c>
      <c r="Q204" s="69">
        <f>IF($A204="","",SUMIFS('Ordres de travail'!$S$5:$S$3004,'Ordres de travail'!$D$5:$D$3004,$A204,'Ordres de travail'!$H$5:$H$3004,"Correctif",'Ordres de travail'!$AC$5:$AC$3004,"&lt;&gt;Annulé",'Ordres de travail'!$B$5:$B$3004,"&gt;="&amp;'Paramètres'!$AA$6,'Ordres de travail'!$B$5:$B$3004,"&lt;"&amp;('Paramètres'!$AA$7+1)))</f>
        <v/>
      </c>
      <c r="R204" s="69">
        <f>IF($A204="","",SUMIFS('Ordres de travail'!$S$5:$S$3004,'Ordres de travail'!$D$5:$D$3004,$A204,'Ordres de travail'!$AC$5:$AC$3004,"&lt;&gt;Annulé",'Ordres de travail'!$B$5:$B$3004,"&gt;="&amp;'Paramètres'!$AA$6,'Ordres de travail'!$B$5:$B$3004,"&lt;"&amp;('Paramètres'!$AA$7+1)))</f>
        <v/>
      </c>
      <c r="S204" s="70">
        <f>IF($A204="","",SUMIFS('Ordres de travail'!$AA$5:$AA$3004,'Ordres de travail'!$D$5:$D$3004,$A204,'Ordres de travail'!$B$5:$B$3004,"&gt;="&amp;'Paramètres'!$AA$6,'Ordres de travail'!$B$5:$B$3004,"&lt;"&amp;('Paramètres'!$AA$7+1)))</f>
        <v/>
      </c>
      <c r="T204" s="68">
        <f>IF($A204="","",IF(P204=0,"-",(O204*'Paramètres'!$AA$8-Q204)/P204))</f>
        <v/>
      </c>
      <c r="U204" s="69">
        <f>IF($A204="","",IF(P204=0,"-",Q204/P204))</f>
        <v/>
      </c>
      <c r="V204" s="71">
        <f>IF($A204="","",IF(N(O204)*'Paramètres'!$AA$8=0,"-",MAX(0,1-R204/(O204*'Paramètres'!$AA$8))))</f>
        <v/>
      </c>
      <c r="W204" s="68">
        <f>IF($A204="","",_xlfn.MAXIFS('Relevés compteurs'!$D$5:$D$1504,'Relevés compteurs'!$B$5:$B$1504,$A204))</f>
        <v/>
      </c>
      <c r="X204" s="69">
        <f>IF(OR($A204="",I204=""),"",(TODAY()-I204)/365.25)</f>
        <v/>
      </c>
      <c r="Y204" s="70">
        <f>IF($A204="","",SUMIFS('Ordres de travail'!$AA$5:$AA$3004,'Ordres de travail'!$D$5:$D$3004,$A204))</f>
        <v/>
      </c>
      <c r="Z204" s="68">
        <f>IF($A204="","",SUM(COUNTIFS('Ordres de travail'!$D$5:$D$3004,$A204,'Ordres de travail'!$AC$5:$AC$3004,{"Demandé","Planifié","En cours","En attente pièces"})))</f>
        <v/>
      </c>
      <c r="AA204" s="9">
        <f>IF(OR($A204="",M204=""),"",IF(M204&lt;TODAY(),"Expirée",IF(M204-TODAY()&lt;='Paramètres'!$AA$15,"Expire bientôt","Sous garantie")))</f>
        <v/>
      </c>
      <c r="AB204" s="72">
        <f>IF($A204="",-1,N(R204)+ROW()/1000000)</f>
        <v/>
      </c>
    </row>
    <row r="205">
      <c r="A205" s="7" t="n"/>
      <c r="B205" s="7" t="n"/>
      <c r="C205" s="7" t="n"/>
      <c r="D205" s="7" t="n"/>
      <c r="E205" s="7" t="n"/>
      <c r="F205" s="7" t="n"/>
      <c r="G205" s="7" t="n"/>
      <c r="H205" s="7" t="n"/>
      <c r="I205" s="65" t="n"/>
      <c r="J205" s="66" t="n"/>
      <c r="K205" s="7" t="n"/>
      <c r="L205" s="7" t="n"/>
      <c r="M205" s="65" t="n"/>
      <c r="N205" s="7" t="n"/>
      <c r="O205" s="67" t="n"/>
      <c r="P205" s="68">
        <f>IF($A205="","",COUNTIFS('Ordres de travail'!$D$5:$D$3004,$A205,'Ordres de travail'!$H$5:$H$3004,"Correctif",'Ordres de travail'!$AC$5:$AC$3004,"&lt;&gt;Annulé",'Ordres de travail'!$B$5:$B$3004,"&gt;="&amp;'Paramètres'!$AA$6,'Ordres de travail'!$B$5:$B$3004,"&lt;"&amp;('Paramètres'!$AA$7+1)))</f>
        <v/>
      </c>
      <c r="Q205" s="69">
        <f>IF($A205="","",SUMIFS('Ordres de travail'!$S$5:$S$3004,'Ordres de travail'!$D$5:$D$3004,$A205,'Ordres de travail'!$H$5:$H$3004,"Correctif",'Ordres de travail'!$AC$5:$AC$3004,"&lt;&gt;Annulé",'Ordres de travail'!$B$5:$B$3004,"&gt;="&amp;'Paramètres'!$AA$6,'Ordres de travail'!$B$5:$B$3004,"&lt;"&amp;('Paramètres'!$AA$7+1)))</f>
        <v/>
      </c>
      <c r="R205" s="69">
        <f>IF($A205="","",SUMIFS('Ordres de travail'!$S$5:$S$3004,'Ordres de travail'!$D$5:$D$3004,$A205,'Ordres de travail'!$AC$5:$AC$3004,"&lt;&gt;Annulé",'Ordres de travail'!$B$5:$B$3004,"&gt;="&amp;'Paramètres'!$AA$6,'Ordres de travail'!$B$5:$B$3004,"&lt;"&amp;('Paramètres'!$AA$7+1)))</f>
        <v/>
      </c>
      <c r="S205" s="70">
        <f>IF($A205="","",SUMIFS('Ordres de travail'!$AA$5:$AA$3004,'Ordres de travail'!$D$5:$D$3004,$A205,'Ordres de travail'!$B$5:$B$3004,"&gt;="&amp;'Paramètres'!$AA$6,'Ordres de travail'!$B$5:$B$3004,"&lt;"&amp;('Paramètres'!$AA$7+1)))</f>
        <v/>
      </c>
      <c r="T205" s="68">
        <f>IF($A205="","",IF(P205=0,"-",(O205*'Paramètres'!$AA$8-Q205)/P205))</f>
        <v/>
      </c>
      <c r="U205" s="69">
        <f>IF($A205="","",IF(P205=0,"-",Q205/P205))</f>
        <v/>
      </c>
      <c r="V205" s="71">
        <f>IF($A205="","",IF(N(O205)*'Paramètres'!$AA$8=0,"-",MAX(0,1-R205/(O205*'Paramètres'!$AA$8))))</f>
        <v/>
      </c>
      <c r="W205" s="68">
        <f>IF($A205="","",_xlfn.MAXIFS('Relevés compteurs'!$D$5:$D$1504,'Relevés compteurs'!$B$5:$B$1504,$A205))</f>
        <v/>
      </c>
      <c r="X205" s="69">
        <f>IF(OR($A205="",I205=""),"",(TODAY()-I205)/365.25)</f>
        <v/>
      </c>
      <c r="Y205" s="70">
        <f>IF($A205="","",SUMIFS('Ordres de travail'!$AA$5:$AA$3004,'Ordres de travail'!$D$5:$D$3004,$A205))</f>
        <v/>
      </c>
      <c r="Z205" s="68">
        <f>IF($A205="","",SUM(COUNTIFS('Ordres de travail'!$D$5:$D$3004,$A205,'Ordres de travail'!$AC$5:$AC$3004,{"Demandé","Planifié","En cours","En attente pièces"})))</f>
        <v/>
      </c>
      <c r="AA205" s="9">
        <f>IF(OR($A205="",M205=""),"",IF(M205&lt;TODAY(),"Expirée",IF(M205-TODAY()&lt;='Paramètres'!$AA$15,"Expire bientôt","Sous garantie")))</f>
        <v/>
      </c>
      <c r="AB205" s="72">
        <f>IF($A205="",-1,N(R205)+ROW()/1000000)</f>
        <v/>
      </c>
    </row>
    <row r="206">
      <c r="A206" s="7" t="n"/>
      <c r="B206" s="7" t="n"/>
      <c r="C206" s="7" t="n"/>
      <c r="D206" s="7" t="n"/>
      <c r="E206" s="7" t="n"/>
      <c r="F206" s="7" t="n"/>
      <c r="G206" s="7" t="n"/>
      <c r="H206" s="7" t="n"/>
      <c r="I206" s="65" t="n"/>
      <c r="J206" s="66" t="n"/>
      <c r="K206" s="7" t="n"/>
      <c r="L206" s="7" t="n"/>
      <c r="M206" s="65" t="n"/>
      <c r="N206" s="7" t="n"/>
      <c r="O206" s="67" t="n"/>
      <c r="P206" s="68">
        <f>IF($A206="","",COUNTIFS('Ordres de travail'!$D$5:$D$3004,$A206,'Ordres de travail'!$H$5:$H$3004,"Correctif",'Ordres de travail'!$AC$5:$AC$3004,"&lt;&gt;Annulé",'Ordres de travail'!$B$5:$B$3004,"&gt;="&amp;'Paramètres'!$AA$6,'Ordres de travail'!$B$5:$B$3004,"&lt;"&amp;('Paramètres'!$AA$7+1)))</f>
        <v/>
      </c>
      <c r="Q206" s="69">
        <f>IF($A206="","",SUMIFS('Ordres de travail'!$S$5:$S$3004,'Ordres de travail'!$D$5:$D$3004,$A206,'Ordres de travail'!$H$5:$H$3004,"Correctif",'Ordres de travail'!$AC$5:$AC$3004,"&lt;&gt;Annulé",'Ordres de travail'!$B$5:$B$3004,"&gt;="&amp;'Paramètres'!$AA$6,'Ordres de travail'!$B$5:$B$3004,"&lt;"&amp;('Paramètres'!$AA$7+1)))</f>
        <v/>
      </c>
      <c r="R206" s="69">
        <f>IF($A206="","",SUMIFS('Ordres de travail'!$S$5:$S$3004,'Ordres de travail'!$D$5:$D$3004,$A206,'Ordres de travail'!$AC$5:$AC$3004,"&lt;&gt;Annulé",'Ordres de travail'!$B$5:$B$3004,"&gt;="&amp;'Paramètres'!$AA$6,'Ordres de travail'!$B$5:$B$3004,"&lt;"&amp;('Paramètres'!$AA$7+1)))</f>
        <v/>
      </c>
      <c r="S206" s="70">
        <f>IF($A206="","",SUMIFS('Ordres de travail'!$AA$5:$AA$3004,'Ordres de travail'!$D$5:$D$3004,$A206,'Ordres de travail'!$B$5:$B$3004,"&gt;="&amp;'Paramètres'!$AA$6,'Ordres de travail'!$B$5:$B$3004,"&lt;"&amp;('Paramètres'!$AA$7+1)))</f>
        <v/>
      </c>
      <c r="T206" s="68">
        <f>IF($A206="","",IF(P206=0,"-",(O206*'Paramètres'!$AA$8-Q206)/P206))</f>
        <v/>
      </c>
      <c r="U206" s="69">
        <f>IF($A206="","",IF(P206=0,"-",Q206/P206))</f>
        <v/>
      </c>
      <c r="V206" s="71">
        <f>IF($A206="","",IF(N(O206)*'Paramètres'!$AA$8=0,"-",MAX(0,1-R206/(O206*'Paramètres'!$AA$8))))</f>
        <v/>
      </c>
      <c r="W206" s="68">
        <f>IF($A206="","",_xlfn.MAXIFS('Relevés compteurs'!$D$5:$D$1504,'Relevés compteurs'!$B$5:$B$1504,$A206))</f>
        <v/>
      </c>
      <c r="X206" s="69">
        <f>IF(OR($A206="",I206=""),"",(TODAY()-I206)/365.25)</f>
        <v/>
      </c>
      <c r="Y206" s="70">
        <f>IF($A206="","",SUMIFS('Ordres de travail'!$AA$5:$AA$3004,'Ordres de travail'!$D$5:$D$3004,$A206))</f>
        <v/>
      </c>
      <c r="Z206" s="68">
        <f>IF($A206="","",SUM(COUNTIFS('Ordres de travail'!$D$5:$D$3004,$A206,'Ordres de travail'!$AC$5:$AC$3004,{"Demandé","Planifié","En cours","En attente pièces"})))</f>
        <v/>
      </c>
      <c r="AA206" s="9">
        <f>IF(OR($A206="",M206=""),"",IF(M206&lt;TODAY(),"Expirée",IF(M206-TODAY()&lt;='Paramètres'!$AA$15,"Expire bientôt","Sous garantie")))</f>
        <v/>
      </c>
      <c r="AB206" s="72">
        <f>IF($A206="",-1,N(R206)+ROW()/1000000)</f>
        <v/>
      </c>
    </row>
    <row r="207">
      <c r="A207" s="7" t="n"/>
      <c r="B207" s="7" t="n"/>
      <c r="C207" s="7" t="n"/>
      <c r="D207" s="7" t="n"/>
      <c r="E207" s="7" t="n"/>
      <c r="F207" s="7" t="n"/>
      <c r="G207" s="7" t="n"/>
      <c r="H207" s="7" t="n"/>
      <c r="I207" s="65" t="n"/>
      <c r="J207" s="66" t="n"/>
      <c r="K207" s="7" t="n"/>
      <c r="L207" s="7" t="n"/>
      <c r="M207" s="65" t="n"/>
      <c r="N207" s="7" t="n"/>
      <c r="O207" s="67" t="n"/>
      <c r="P207" s="68">
        <f>IF($A207="","",COUNTIFS('Ordres de travail'!$D$5:$D$3004,$A207,'Ordres de travail'!$H$5:$H$3004,"Correctif",'Ordres de travail'!$AC$5:$AC$3004,"&lt;&gt;Annulé",'Ordres de travail'!$B$5:$B$3004,"&gt;="&amp;'Paramètres'!$AA$6,'Ordres de travail'!$B$5:$B$3004,"&lt;"&amp;('Paramètres'!$AA$7+1)))</f>
        <v/>
      </c>
      <c r="Q207" s="69">
        <f>IF($A207="","",SUMIFS('Ordres de travail'!$S$5:$S$3004,'Ordres de travail'!$D$5:$D$3004,$A207,'Ordres de travail'!$H$5:$H$3004,"Correctif",'Ordres de travail'!$AC$5:$AC$3004,"&lt;&gt;Annulé",'Ordres de travail'!$B$5:$B$3004,"&gt;="&amp;'Paramètres'!$AA$6,'Ordres de travail'!$B$5:$B$3004,"&lt;"&amp;('Paramètres'!$AA$7+1)))</f>
        <v/>
      </c>
      <c r="R207" s="69">
        <f>IF($A207="","",SUMIFS('Ordres de travail'!$S$5:$S$3004,'Ordres de travail'!$D$5:$D$3004,$A207,'Ordres de travail'!$AC$5:$AC$3004,"&lt;&gt;Annulé",'Ordres de travail'!$B$5:$B$3004,"&gt;="&amp;'Paramètres'!$AA$6,'Ordres de travail'!$B$5:$B$3004,"&lt;"&amp;('Paramètres'!$AA$7+1)))</f>
        <v/>
      </c>
      <c r="S207" s="70">
        <f>IF($A207="","",SUMIFS('Ordres de travail'!$AA$5:$AA$3004,'Ordres de travail'!$D$5:$D$3004,$A207,'Ordres de travail'!$B$5:$B$3004,"&gt;="&amp;'Paramètres'!$AA$6,'Ordres de travail'!$B$5:$B$3004,"&lt;"&amp;('Paramètres'!$AA$7+1)))</f>
        <v/>
      </c>
      <c r="T207" s="68">
        <f>IF($A207="","",IF(P207=0,"-",(O207*'Paramètres'!$AA$8-Q207)/P207))</f>
        <v/>
      </c>
      <c r="U207" s="69">
        <f>IF($A207="","",IF(P207=0,"-",Q207/P207))</f>
        <v/>
      </c>
      <c r="V207" s="71">
        <f>IF($A207="","",IF(N(O207)*'Paramètres'!$AA$8=0,"-",MAX(0,1-R207/(O207*'Paramètres'!$AA$8))))</f>
        <v/>
      </c>
      <c r="W207" s="68">
        <f>IF($A207="","",_xlfn.MAXIFS('Relevés compteurs'!$D$5:$D$1504,'Relevés compteurs'!$B$5:$B$1504,$A207))</f>
        <v/>
      </c>
      <c r="X207" s="69">
        <f>IF(OR($A207="",I207=""),"",(TODAY()-I207)/365.25)</f>
        <v/>
      </c>
      <c r="Y207" s="70">
        <f>IF($A207="","",SUMIFS('Ordres de travail'!$AA$5:$AA$3004,'Ordres de travail'!$D$5:$D$3004,$A207))</f>
        <v/>
      </c>
      <c r="Z207" s="68">
        <f>IF($A207="","",SUM(COUNTIFS('Ordres de travail'!$D$5:$D$3004,$A207,'Ordres de travail'!$AC$5:$AC$3004,{"Demandé","Planifié","En cours","En attente pièces"})))</f>
        <v/>
      </c>
      <c r="AA207" s="9">
        <f>IF(OR($A207="",M207=""),"",IF(M207&lt;TODAY(),"Expirée",IF(M207-TODAY()&lt;='Paramètres'!$AA$15,"Expire bientôt","Sous garantie")))</f>
        <v/>
      </c>
      <c r="AB207" s="72">
        <f>IF($A207="",-1,N(R207)+ROW()/1000000)</f>
        <v/>
      </c>
    </row>
    <row r="208">
      <c r="A208" s="7" t="n"/>
      <c r="B208" s="7" t="n"/>
      <c r="C208" s="7" t="n"/>
      <c r="D208" s="7" t="n"/>
      <c r="E208" s="7" t="n"/>
      <c r="F208" s="7" t="n"/>
      <c r="G208" s="7" t="n"/>
      <c r="H208" s="7" t="n"/>
      <c r="I208" s="65" t="n"/>
      <c r="J208" s="66" t="n"/>
      <c r="K208" s="7" t="n"/>
      <c r="L208" s="7" t="n"/>
      <c r="M208" s="65" t="n"/>
      <c r="N208" s="7" t="n"/>
      <c r="O208" s="67" t="n"/>
      <c r="P208" s="68">
        <f>IF($A208="","",COUNTIFS('Ordres de travail'!$D$5:$D$3004,$A208,'Ordres de travail'!$H$5:$H$3004,"Correctif",'Ordres de travail'!$AC$5:$AC$3004,"&lt;&gt;Annulé",'Ordres de travail'!$B$5:$B$3004,"&gt;="&amp;'Paramètres'!$AA$6,'Ordres de travail'!$B$5:$B$3004,"&lt;"&amp;('Paramètres'!$AA$7+1)))</f>
        <v/>
      </c>
      <c r="Q208" s="69">
        <f>IF($A208="","",SUMIFS('Ordres de travail'!$S$5:$S$3004,'Ordres de travail'!$D$5:$D$3004,$A208,'Ordres de travail'!$H$5:$H$3004,"Correctif",'Ordres de travail'!$AC$5:$AC$3004,"&lt;&gt;Annulé",'Ordres de travail'!$B$5:$B$3004,"&gt;="&amp;'Paramètres'!$AA$6,'Ordres de travail'!$B$5:$B$3004,"&lt;"&amp;('Paramètres'!$AA$7+1)))</f>
        <v/>
      </c>
      <c r="R208" s="69">
        <f>IF($A208="","",SUMIFS('Ordres de travail'!$S$5:$S$3004,'Ordres de travail'!$D$5:$D$3004,$A208,'Ordres de travail'!$AC$5:$AC$3004,"&lt;&gt;Annulé",'Ordres de travail'!$B$5:$B$3004,"&gt;="&amp;'Paramètres'!$AA$6,'Ordres de travail'!$B$5:$B$3004,"&lt;"&amp;('Paramètres'!$AA$7+1)))</f>
        <v/>
      </c>
      <c r="S208" s="70">
        <f>IF($A208="","",SUMIFS('Ordres de travail'!$AA$5:$AA$3004,'Ordres de travail'!$D$5:$D$3004,$A208,'Ordres de travail'!$B$5:$B$3004,"&gt;="&amp;'Paramètres'!$AA$6,'Ordres de travail'!$B$5:$B$3004,"&lt;"&amp;('Paramètres'!$AA$7+1)))</f>
        <v/>
      </c>
      <c r="T208" s="68">
        <f>IF($A208="","",IF(P208=0,"-",(O208*'Paramètres'!$AA$8-Q208)/P208))</f>
        <v/>
      </c>
      <c r="U208" s="69">
        <f>IF($A208="","",IF(P208=0,"-",Q208/P208))</f>
        <v/>
      </c>
      <c r="V208" s="71">
        <f>IF($A208="","",IF(N(O208)*'Paramètres'!$AA$8=0,"-",MAX(0,1-R208/(O208*'Paramètres'!$AA$8))))</f>
        <v/>
      </c>
      <c r="W208" s="68">
        <f>IF($A208="","",_xlfn.MAXIFS('Relevés compteurs'!$D$5:$D$1504,'Relevés compteurs'!$B$5:$B$1504,$A208))</f>
        <v/>
      </c>
      <c r="X208" s="69">
        <f>IF(OR($A208="",I208=""),"",(TODAY()-I208)/365.25)</f>
        <v/>
      </c>
      <c r="Y208" s="70">
        <f>IF($A208="","",SUMIFS('Ordres de travail'!$AA$5:$AA$3004,'Ordres de travail'!$D$5:$D$3004,$A208))</f>
        <v/>
      </c>
      <c r="Z208" s="68">
        <f>IF($A208="","",SUM(COUNTIFS('Ordres de travail'!$D$5:$D$3004,$A208,'Ordres de travail'!$AC$5:$AC$3004,{"Demandé","Planifié","En cours","En attente pièces"})))</f>
        <v/>
      </c>
      <c r="AA208" s="9">
        <f>IF(OR($A208="",M208=""),"",IF(M208&lt;TODAY(),"Expirée",IF(M208-TODAY()&lt;='Paramètres'!$AA$15,"Expire bientôt","Sous garantie")))</f>
        <v/>
      </c>
      <c r="AB208" s="72">
        <f>IF($A208="",-1,N(R208)+ROW()/1000000)</f>
        <v/>
      </c>
    </row>
    <row r="209">
      <c r="A209" s="7" t="n"/>
      <c r="B209" s="7" t="n"/>
      <c r="C209" s="7" t="n"/>
      <c r="D209" s="7" t="n"/>
      <c r="E209" s="7" t="n"/>
      <c r="F209" s="7" t="n"/>
      <c r="G209" s="7" t="n"/>
      <c r="H209" s="7" t="n"/>
      <c r="I209" s="65" t="n"/>
      <c r="J209" s="66" t="n"/>
      <c r="K209" s="7" t="n"/>
      <c r="L209" s="7" t="n"/>
      <c r="M209" s="65" t="n"/>
      <c r="N209" s="7" t="n"/>
      <c r="O209" s="67" t="n"/>
      <c r="P209" s="68">
        <f>IF($A209="","",COUNTIFS('Ordres de travail'!$D$5:$D$3004,$A209,'Ordres de travail'!$H$5:$H$3004,"Correctif",'Ordres de travail'!$AC$5:$AC$3004,"&lt;&gt;Annulé",'Ordres de travail'!$B$5:$B$3004,"&gt;="&amp;'Paramètres'!$AA$6,'Ordres de travail'!$B$5:$B$3004,"&lt;"&amp;('Paramètres'!$AA$7+1)))</f>
        <v/>
      </c>
      <c r="Q209" s="69">
        <f>IF($A209="","",SUMIFS('Ordres de travail'!$S$5:$S$3004,'Ordres de travail'!$D$5:$D$3004,$A209,'Ordres de travail'!$H$5:$H$3004,"Correctif",'Ordres de travail'!$AC$5:$AC$3004,"&lt;&gt;Annulé",'Ordres de travail'!$B$5:$B$3004,"&gt;="&amp;'Paramètres'!$AA$6,'Ordres de travail'!$B$5:$B$3004,"&lt;"&amp;('Paramètres'!$AA$7+1)))</f>
        <v/>
      </c>
      <c r="R209" s="69">
        <f>IF($A209="","",SUMIFS('Ordres de travail'!$S$5:$S$3004,'Ordres de travail'!$D$5:$D$3004,$A209,'Ordres de travail'!$AC$5:$AC$3004,"&lt;&gt;Annulé",'Ordres de travail'!$B$5:$B$3004,"&gt;="&amp;'Paramètres'!$AA$6,'Ordres de travail'!$B$5:$B$3004,"&lt;"&amp;('Paramètres'!$AA$7+1)))</f>
        <v/>
      </c>
      <c r="S209" s="70">
        <f>IF($A209="","",SUMIFS('Ordres de travail'!$AA$5:$AA$3004,'Ordres de travail'!$D$5:$D$3004,$A209,'Ordres de travail'!$B$5:$B$3004,"&gt;="&amp;'Paramètres'!$AA$6,'Ordres de travail'!$B$5:$B$3004,"&lt;"&amp;('Paramètres'!$AA$7+1)))</f>
        <v/>
      </c>
      <c r="T209" s="68">
        <f>IF($A209="","",IF(P209=0,"-",(O209*'Paramètres'!$AA$8-Q209)/P209))</f>
        <v/>
      </c>
      <c r="U209" s="69">
        <f>IF($A209="","",IF(P209=0,"-",Q209/P209))</f>
        <v/>
      </c>
      <c r="V209" s="71">
        <f>IF($A209="","",IF(N(O209)*'Paramètres'!$AA$8=0,"-",MAX(0,1-R209/(O209*'Paramètres'!$AA$8))))</f>
        <v/>
      </c>
      <c r="W209" s="68">
        <f>IF($A209="","",_xlfn.MAXIFS('Relevés compteurs'!$D$5:$D$1504,'Relevés compteurs'!$B$5:$B$1504,$A209))</f>
        <v/>
      </c>
      <c r="X209" s="69">
        <f>IF(OR($A209="",I209=""),"",(TODAY()-I209)/365.25)</f>
        <v/>
      </c>
      <c r="Y209" s="70">
        <f>IF($A209="","",SUMIFS('Ordres de travail'!$AA$5:$AA$3004,'Ordres de travail'!$D$5:$D$3004,$A209))</f>
        <v/>
      </c>
      <c r="Z209" s="68">
        <f>IF($A209="","",SUM(COUNTIFS('Ordres de travail'!$D$5:$D$3004,$A209,'Ordres de travail'!$AC$5:$AC$3004,{"Demandé","Planifié","En cours","En attente pièces"})))</f>
        <v/>
      </c>
      <c r="AA209" s="9">
        <f>IF(OR($A209="",M209=""),"",IF(M209&lt;TODAY(),"Expirée",IF(M209-TODAY()&lt;='Paramètres'!$AA$15,"Expire bientôt","Sous garantie")))</f>
        <v/>
      </c>
      <c r="AB209" s="72">
        <f>IF($A209="",-1,N(R209)+ROW()/1000000)</f>
        <v/>
      </c>
    </row>
    <row r="210">
      <c r="A210" s="7" t="n"/>
      <c r="B210" s="7" t="n"/>
      <c r="C210" s="7" t="n"/>
      <c r="D210" s="7" t="n"/>
      <c r="E210" s="7" t="n"/>
      <c r="F210" s="7" t="n"/>
      <c r="G210" s="7" t="n"/>
      <c r="H210" s="7" t="n"/>
      <c r="I210" s="65" t="n"/>
      <c r="J210" s="66" t="n"/>
      <c r="K210" s="7" t="n"/>
      <c r="L210" s="7" t="n"/>
      <c r="M210" s="65" t="n"/>
      <c r="N210" s="7" t="n"/>
      <c r="O210" s="67" t="n"/>
      <c r="P210" s="68">
        <f>IF($A210="","",COUNTIFS('Ordres de travail'!$D$5:$D$3004,$A210,'Ordres de travail'!$H$5:$H$3004,"Correctif",'Ordres de travail'!$AC$5:$AC$3004,"&lt;&gt;Annulé",'Ordres de travail'!$B$5:$B$3004,"&gt;="&amp;'Paramètres'!$AA$6,'Ordres de travail'!$B$5:$B$3004,"&lt;"&amp;('Paramètres'!$AA$7+1)))</f>
        <v/>
      </c>
      <c r="Q210" s="69">
        <f>IF($A210="","",SUMIFS('Ordres de travail'!$S$5:$S$3004,'Ordres de travail'!$D$5:$D$3004,$A210,'Ordres de travail'!$H$5:$H$3004,"Correctif",'Ordres de travail'!$AC$5:$AC$3004,"&lt;&gt;Annulé",'Ordres de travail'!$B$5:$B$3004,"&gt;="&amp;'Paramètres'!$AA$6,'Ordres de travail'!$B$5:$B$3004,"&lt;"&amp;('Paramètres'!$AA$7+1)))</f>
        <v/>
      </c>
      <c r="R210" s="69">
        <f>IF($A210="","",SUMIFS('Ordres de travail'!$S$5:$S$3004,'Ordres de travail'!$D$5:$D$3004,$A210,'Ordres de travail'!$AC$5:$AC$3004,"&lt;&gt;Annulé",'Ordres de travail'!$B$5:$B$3004,"&gt;="&amp;'Paramètres'!$AA$6,'Ordres de travail'!$B$5:$B$3004,"&lt;"&amp;('Paramètres'!$AA$7+1)))</f>
        <v/>
      </c>
      <c r="S210" s="70">
        <f>IF($A210="","",SUMIFS('Ordres de travail'!$AA$5:$AA$3004,'Ordres de travail'!$D$5:$D$3004,$A210,'Ordres de travail'!$B$5:$B$3004,"&gt;="&amp;'Paramètres'!$AA$6,'Ordres de travail'!$B$5:$B$3004,"&lt;"&amp;('Paramètres'!$AA$7+1)))</f>
        <v/>
      </c>
      <c r="T210" s="68">
        <f>IF($A210="","",IF(P210=0,"-",(O210*'Paramètres'!$AA$8-Q210)/P210))</f>
        <v/>
      </c>
      <c r="U210" s="69">
        <f>IF($A210="","",IF(P210=0,"-",Q210/P210))</f>
        <v/>
      </c>
      <c r="V210" s="71">
        <f>IF($A210="","",IF(N(O210)*'Paramètres'!$AA$8=0,"-",MAX(0,1-R210/(O210*'Paramètres'!$AA$8))))</f>
        <v/>
      </c>
      <c r="W210" s="68">
        <f>IF($A210="","",_xlfn.MAXIFS('Relevés compteurs'!$D$5:$D$1504,'Relevés compteurs'!$B$5:$B$1504,$A210))</f>
        <v/>
      </c>
      <c r="X210" s="69">
        <f>IF(OR($A210="",I210=""),"",(TODAY()-I210)/365.25)</f>
        <v/>
      </c>
      <c r="Y210" s="70">
        <f>IF($A210="","",SUMIFS('Ordres de travail'!$AA$5:$AA$3004,'Ordres de travail'!$D$5:$D$3004,$A210))</f>
        <v/>
      </c>
      <c r="Z210" s="68">
        <f>IF($A210="","",SUM(COUNTIFS('Ordres de travail'!$D$5:$D$3004,$A210,'Ordres de travail'!$AC$5:$AC$3004,{"Demandé","Planifié","En cours","En attente pièces"})))</f>
        <v/>
      </c>
      <c r="AA210" s="9">
        <f>IF(OR($A210="",M210=""),"",IF(M210&lt;TODAY(),"Expirée",IF(M210-TODAY()&lt;='Paramètres'!$AA$15,"Expire bientôt","Sous garantie")))</f>
        <v/>
      </c>
      <c r="AB210" s="72">
        <f>IF($A210="",-1,N(R210)+ROW()/1000000)</f>
        <v/>
      </c>
    </row>
    <row r="211">
      <c r="A211" s="7" t="n"/>
      <c r="B211" s="7" t="n"/>
      <c r="C211" s="7" t="n"/>
      <c r="D211" s="7" t="n"/>
      <c r="E211" s="7" t="n"/>
      <c r="F211" s="7" t="n"/>
      <c r="G211" s="7" t="n"/>
      <c r="H211" s="7" t="n"/>
      <c r="I211" s="65" t="n"/>
      <c r="J211" s="66" t="n"/>
      <c r="K211" s="7" t="n"/>
      <c r="L211" s="7" t="n"/>
      <c r="M211" s="65" t="n"/>
      <c r="N211" s="7" t="n"/>
      <c r="O211" s="67" t="n"/>
      <c r="P211" s="68">
        <f>IF($A211="","",COUNTIFS('Ordres de travail'!$D$5:$D$3004,$A211,'Ordres de travail'!$H$5:$H$3004,"Correctif",'Ordres de travail'!$AC$5:$AC$3004,"&lt;&gt;Annulé",'Ordres de travail'!$B$5:$B$3004,"&gt;="&amp;'Paramètres'!$AA$6,'Ordres de travail'!$B$5:$B$3004,"&lt;"&amp;('Paramètres'!$AA$7+1)))</f>
        <v/>
      </c>
      <c r="Q211" s="69">
        <f>IF($A211="","",SUMIFS('Ordres de travail'!$S$5:$S$3004,'Ordres de travail'!$D$5:$D$3004,$A211,'Ordres de travail'!$H$5:$H$3004,"Correctif",'Ordres de travail'!$AC$5:$AC$3004,"&lt;&gt;Annulé",'Ordres de travail'!$B$5:$B$3004,"&gt;="&amp;'Paramètres'!$AA$6,'Ordres de travail'!$B$5:$B$3004,"&lt;"&amp;('Paramètres'!$AA$7+1)))</f>
        <v/>
      </c>
      <c r="R211" s="69">
        <f>IF($A211="","",SUMIFS('Ordres de travail'!$S$5:$S$3004,'Ordres de travail'!$D$5:$D$3004,$A211,'Ordres de travail'!$AC$5:$AC$3004,"&lt;&gt;Annulé",'Ordres de travail'!$B$5:$B$3004,"&gt;="&amp;'Paramètres'!$AA$6,'Ordres de travail'!$B$5:$B$3004,"&lt;"&amp;('Paramètres'!$AA$7+1)))</f>
        <v/>
      </c>
      <c r="S211" s="70">
        <f>IF($A211="","",SUMIFS('Ordres de travail'!$AA$5:$AA$3004,'Ordres de travail'!$D$5:$D$3004,$A211,'Ordres de travail'!$B$5:$B$3004,"&gt;="&amp;'Paramètres'!$AA$6,'Ordres de travail'!$B$5:$B$3004,"&lt;"&amp;('Paramètres'!$AA$7+1)))</f>
        <v/>
      </c>
      <c r="T211" s="68">
        <f>IF($A211="","",IF(P211=0,"-",(O211*'Paramètres'!$AA$8-Q211)/P211))</f>
        <v/>
      </c>
      <c r="U211" s="69">
        <f>IF($A211="","",IF(P211=0,"-",Q211/P211))</f>
        <v/>
      </c>
      <c r="V211" s="71">
        <f>IF($A211="","",IF(N(O211)*'Paramètres'!$AA$8=0,"-",MAX(0,1-R211/(O211*'Paramètres'!$AA$8))))</f>
        <v/>
      </c>
      <c r="W211" s="68">
        <f>IF($A211="","",_xlfn.MAXIFS('Relevés compteurs'!$D$5:$D$1504,'Relevés compteurs'!$B$5:$B$1504,$A211))</f>
        <v/>
      </c>
      <c r="X211" s="69">
        <f>IF(OR($A211="",I211=""),"",(TODAY()-I211)/365.25)</f>
        <v/>
      </c>
      <c r="Y211" s="70">
        <f>IF($A211="","",SUMIFS('Ordres de travail'!$AA$5:$AA$3004,'Ordres de travail'!$D$5:$D$3004,$A211))</f>
        <v/>
      </c>
      <c r="Z211" s="68">
        <f>IF($A211="","",SUM(COUNTIFS('Ordres de travail'!$D$5:$D$3004,$A211,'Ordres de travail'!$AC$5:$AC$3004,{"Demandé","Planifié","En cours","En attente pièces"})))</f>
        <v/>
      </c>
      <c r="AA211" s="9">
        <f>IF(OR($A211="",M211=""),"",IF(M211&lt;TODAY(),"Expirée",IF(M211-TODAY()&lt;='Paramètres'!$AA$15,"Expire bientôt","Sous garantie")))</f>
        <v/>
      </c>
      <c r="AB211" s="72">
        <f>IF($A211="",-1,N(R211)+ROW()/1000000)</f>
        <v/>
      </c>
    </row>
    <row r="212">
      <c r="A212" s="7" t="n"/>
      <c r="B212" s="7" t="n"/>
      <c r="C212" s="7" t="n"/>
      <c r="D212" s="7" t="n"/>
      <c r="E212" s="7" t="n"/>
      <c r="F212" s="7" t="n"/>
      <c r="G212" s="7" t="n"/>
      <c r="H212" s="7" t="n"/>
      <c r="I212" s="65" t="n"/>
      <c r="J212" s="66" t="n"/>
      <c r="K212" s="7" t="n"/>
      <c r="L212" s="7" t="n"/>
      <c r="M212" s="65" t="n"/>
      <c r="N212" s="7" t="n"/>
      <c r="O212" s="67" t="n"/>
      <c r="P212" s="68">
        <f>IF($A212="","",COUNTIFS('Ordres de travail'!$D$5:$D$3004,$A212,'Ordres de travail'!$H$5:$H$3004,"Correctif",'Ordres de travail'!$AC$5:$AC$3004,"&lt;&gt;Annulé",'Ordres de travail'!$B$5:$B$3004,"&gt;="&amp;'Paramètres'!$AA$6,'Ordres de travail'!$B$5:$B$3004,"&lt;"&amp;('Paramètres'!$AA$7+1)))</f>
        <v/>
      </c>
      <c r="Q212" s="69">
        <f>IF($A212="","",SUMIFS('Ordres de travail'!$S$5:$S$3004,'Ordres de travail'!$D$5:$D$3004,$A212,'Ordres de travail'!$H$5:$H$3004,"Correctif",'Ordres de travail'!$AC$5:$AC$3004,"&lt;&gt;Annulé",'Ordres de travail'!$B$5:$B$3004,"&gt;="&amp;'Paramètres'!$AA$6,'Ordres de travail'!$B$5:$B$3004,"&lt;"&amp;('Paramètres'!$AA$7+1)))</f>
        <v/>
      </c>
      <c r="R212" s="69">
        <f>IF($A212="","",SUMIFS('Ordres de travail'!$S$5:$S$3004,'Ordres de travail'!$D$5:$D$3004,$A212,'Ordres de travail'!$AC$5:$AC$3004,"&lt;&gt;Annulé",'Ordres de travail'!$B$5:$B$3004,"&gt;="&amp;'Paramètres'!$AA$6,'Ordres de travail'!$B$5:$B$3004,"&lt;"&amp;('Paramètres'!$AA$7+1)))</f>
        <v/>
      </c>
      <c r="S212" s="70">
        <f>IF($A212="","",SUMIFS('Ordres de travail'!$AA$5:$AA$3004,'Ordres de travail'!$D$5:$D$3004,$A212,'Ordres de travail'!$B$5:$B$3004,"&gt;="&amp;'Paramètres'!$AA$6,'Ordres de travail'!$B$5:$B$3004,"&lt;"&amp;('Paramètres'!$AA$7+1)))</f>
        <v/>
      </c>
      <c r="T212" s="68">
        <f>IF($A212="","",IF(P212=0,"-",(O212*'Paramètres'!$AA$8-Q212)/P212))</f>
        <v/>
      </c>
      <c r="U212" s="69">
        <f>IF($A212="","",IF(P212=0,"-",Q212/P212))</f>
        <v/>
      </c>
      <c r="V212" s="71">
        <f>IF($A212="","",IF(N(O212)*'Paramètres'!$AA$8=0,"-",MAX(0,1-R212/(O212*'Paramètres'!$AA$8))))</f>
        <v/>
      </c>
      <c r="W212" s="68">
        <f>IF($A212="","",_xlfn.MAXIFS('Relevés compteurs'!$D$5:$D$1504,'Relevés compteurs'!$B$5:$B$1504,$A212))</f>
        <v/>
      </c>
      <c r="X212" s="69">
        <f>IF(OR($A212="",I212=""),"",(TODAY()-I212)/365.25)</f>
        <v/>
      </c>
      <c r="Y212" s="70">
        <f>IF($A212="","",SUMIFS('Ordres de travail'!$AA$5:$AA$3004,'Ordres de travail'!$D$5:$D$3004,$A212))</f>
        <v/>
      </c>
      <c r="Z212" s="68">
        <f>IF($A212="","",SUM(COUNTIFS('Ordres de travail'!$D$5:$D$3004,$A212,'Ordres de travail'!$AC$5:$AC$3004,{"Demandé","Planifié","En cours","En attente pièces"})))</f>
        <v/>
      </c>
      <c r="AA212" s="9">
        <f>IF(OR($A212="",M212=""),"",IF(M212&lt;TODAY(),"Expirée",IF(M212-TODAY()&lt;='Paramètres'!$AA$15,"Expire bientôt","Sous garantie")))</f>
        <v/>
      </c>
      <c r="AB212" s="72">
        <f>IF($A212="",-1,N(R212)+ROW()/1000000)</f>
        <v/>
      </c>
    </row>
    <row r="213">
      <c r="A213" s="7" t="n"/>
      <c r="B213" s="7" t="n"/>
      <c r="C213" s="7" t="n"/>
      <c r="D213" s="7" t="n"/>
      <c r="E213" s="7" t="n"/>
      <c r="F213" s="7" t="n"/>
      <c r="G213" s="7" t="n"/>
      <c r="H213" s="7" t="n"/>
      <c r="I213" s="65" t="n"/>
      <c r="J213" s="66" t="n"/>
      <c r="K213" s="7" t="n"/>
      <c r="L213" s="7" t="n"/>
      <c r="M213" s="65" t="n"/>
      <c r="N213" s="7" t="n"/>
      <c r="O213" s="67" t="n"/>
      <c r="P213" s="68">
        <f>IF($A213="","",COUNTIFS('Ordres de travail'!$D$5:$D$3004,$A213,'Ordres de travail'!$H$5:$H$3004,"Correctif",'Ordres de travail'!$AC$5:$AC$3004,"&lt;&gt;Annulé",'Ordres de travail'!$B$5:$B$3004,"&gt;="&amp;'Paramètres'!$AA$6,'Ordres de travail'!$B$5:$B$3004,"&lt;"&amp;('Paramètres'!$AA$7+1)))</f>
        <v/>
      </c>
      <c r="Q213" s="69">
        <f>IF($A213="","",SUMIFS('Ordres de travail'!$S$5:$S$3004,'Ordres de travail'!$D$5:$D$3004,$A213,'Ordres de travail'!$H$5:$H$3004,"Correctif",'Ordres de travail'!$AC$5:$AC$3004,"&lt;&gt;Annulé",'Ordres de travail'!$B$5:$B$3004,"&gt;="&amp;'Paramètres'!$AA$6,'Ordres de travail'!$B$5:$B$3004,"&lt;"&amp;('Paramètres'!$AA$7+1)))</f>
        <v/>
      </c>
      <c r="R213" s="69">
        <f>IF($A213="","",SUMIFS('Ordres de travail'!$S$5:$S$3004,'Ordres de travail'!$D$5:$D$3004,$A213,'Ordres de travail'!$AC$5:$AC$3004,"&lt;&gt;Annulé",'Ordres de travail'!$B$5:$B$3004,"&gt;="&amp;'Paramètres'!$AA$6,'Ordres de travail'!$B$5:$B$3004,"&lt;"&amp;('Paramètres'!$AA$7+1)))</f>
        <v/>
      </c>
      <c r="S213" s="70">
        <f>IF($A213="","",SUMIFS('Ordres de travail'!$AA$5:$AA$3004,'Ordres de travail'!$D$5:$D$3004,$A213,'Ordres de travail'!$B$5:$B$3004,"&gt;="&amp;'Paramètres'!$AA$6,'Ordres de travail'!$B$5:$B$3004,"&lt;"&amp;('Paramètres'!$AA$7+1)))</f>
        <v/>
      </c>
      <c r="T213" s="68">
        <f>IF($A213="","",IF(P213=0,"-",(O213*'Paramètres'!$AA$8-Q213)/P213))</f>
        <v/>
      </c>
      <c r="U213" s="69">
        <f>IF($A213="","",IF(P213=0,"-",Q213/P213))</f>
        <v/>
      </c>
      <c r="V213" s="71">
        <f>IF($A213="","",IF(N(O213)*'Paramètres'!$AA$8=0,"-",MAX(0,1-R213/(O213*'Paramètres'!$AA$8))))</f>
        <v/>
      </c>
      <c r="W213" s="68">
        <f>IF($A213="","",_xlfn.MAXIFS('Relevés compteurs'!$D$5:$D$1504,'Relevés compteurs'!$B$5:$B$1504,$A213))</f>
        <v/>
      </c>
      <c r="X213" s="69">
        <f>IF(OR($A213="",I213=""),"",(TODAY()-I213)/365.25)</f>
        <v/>
      </c>
      <c r="Y213" s="70">
        <f>IF($A213="","",SUMIFS('Ordres de travail'!$AA$5:$AA$3004,'Ordres de travail'!$D$5:$D$3004,$A213))</f>
        <v/>
      </c>
      <c r="Z213" s="68">
        <f>IF($A213="","",SUM(COUNTIFS('Ordres de travail'!$D$5:$D$3004,$A213,'Ordres de travail'!$AC$5:$AC$3004,{"Demandé","Planifié","En cours","En attente pièces"})))</f>
        <v/>
      </c>
      <c r="AA213" s="9">
        <f>IF(OR($A213="",M213=""),"",IF(M213&lt;TODAY(),"Expirée",IF(M213-TODAY()&lt;='Paramètres'!$AA$15,"Expire bientôt","Sous garantie")))</f>
        <v/>
      </c>
      <c r="AB213" s="72">
        <f>IF($A213="",-1,N(R213)+ROW()/1000000)</f>
        <v/>
      </c>
    </row>
    <row r="214">
      <c r="A214" s="7" t="n"/>
      <c r="B214" s="7" t="n"/>
      <c r="C214" s="7" t="n"/>
      <c r="D214" s="7" t="n"/>
      <c r="E214" s="7" t="n"/>
      <c r="F214" s="7" t="n"/>
      <c r="G214" s="7" t="n"/>
      <c r="H214" s="7" t="n"/>
      <c r="I214" s="65" t="n"/>
      <c r="J214" s="66" t="n"/>
      <c r="K214" s="7" t="n"/>
      <c r="L214" s="7" t="n"/>
      <c r="M214" s="65" t="n"/>
      <c r="N214" s="7" t="n"/>
      <c r="O214" s="67" t="n"/>
      <c r="P214" s="68">
        <f>IF($A214="","",COUNTIFS('Ordres de travail'!$D$5:$D$3004,$A214,'Ordres de travail'!$H$5:$H$3004,"Correctif",'Ordres de travail'!$AC$5:$AC$3004,"&lt;&gt;Annulé",'Ordres de travail'!$B$5:$B$3004,"&gt;="&amp;'Paramètres'!$AA$6,'Ordres de travail'!$B$5:$B$3004,"&lt;"&amp;('Paramètres'!$AA$7+1)))</f>
        <v/>
      </c>
      <c r="Q214" s="69">
        <f>IF($A214="","",SUMIFS('Ordres de travail'!$S$5:$S$3004,'Ordres de travail'!$D$5:$D$3004,$A214,'Ordres de travail'!$H$5:$H$3004,"Correctif",'Ordres de travail'!$AC$5:$AC$3004,"&lt;&gt;Annulé",'Ordres de travail'!$B$5:$B$3004,"&gt;="&amp;'Paramètres'!$AA$6,'Ordres de travail'!$B$5:$B$3004,"&lt;"&amp;('Paramètres'!$AA$7+1)))</f>
        <v/>
      </c>
      <c r="R214" s="69">
        <f>IF($A214="","",SUMIFS('Ordres de travail'!$S$5:$S$3004,'Ordres de travail'!$D$5:$D$3004,$A214,'Ordres de travail'!$AC$5:$AC$3004,"&lt;&gt;Annulé",'Ordres de travail'!$B$5:$B$3004,"&gt;="&amp;'Paramètres'!$AA$6,'Ordres de travail'!$B$5:$B$3004,"&lt;"&amp;('Paramètres'!$AA$7+1)))</f>
        <v/>
      </c>
      <c r="S214" s="70">
        <f>IF($A214="","",SUMIFS('Ordres de travail'!$AA$5:$AA$3004,'Ordres de travail'!$D$5:$D$3004,$A214,'Ordres de travail'!$B$5:$B$3004,"&gt;="&amp;'Paramètres'!$AA$6,'Ordres de travail'!$B$5:$B$3004,"&lt;"&amp;('Paramètres'!$AA$7+1)))</f>
        <v/>
      </c>
      <c r="T214" s="68">
        <f>IF($A214="","",IF(P214=0,"-",(O214*'Paramètres'!$AA$8-Q214)/P214))</f>
        <v/>
      </c>
      <c r="U214" s="69">
        <f>IF($A214="","",IF(P214=0,"-",Q214/P214))</f>
        <v/>
      </c>
      <c r="V214" s="71">
        <f>IF($A214="","",IF(N(O214)*'Paramètres'!$AA$8=0,"-",MAX(0,1-R214/(O214*'Paramètres'!$AA$8))))</f>
        <v/>
      </c>
      <c r="W214" s="68">
        <f>IF($A214="","",_xlfn.MAXIFS('Relevés compteurs'!$D$5:$D$1504,'Relevés compteurs'!$B$5:$B$1504,$A214))</f>
        <v/>
      </c>
      <c r="X214" s="69">
        <f>IF(OR($A214="",I214=""),"",(TODAY()-I214)/365.25)</f>
        <v/>
      </c>
      <c r="Y214" s="70">
        <f>IF($A214="","",SUMIFS('Ordres de travail'!$AA$5:$AA$3004,'Ordres de travail'!$D$5:$D$3004,$A214))</f>
        <v/>
      </c>
      <c r="Z214" s="68">
        <f>IF($A214="","",SUM(COUNTIFS('Ordres de travail'!$D$5:$D$3004,$A214,'Ordres de travail'!$AC$5:$AC$3004,{"Demandé","Planifié","En cours","En attente pièces"})))</f>
        <v/>
      </c>
      <c r="AA214" s="9">
        <f>IF(OR($A214="",M214=""),"",IF(M214&lt;TODAY(),"Expirée",IF(M214-TODAY()&lt;='Paramètres'!$AA$15,"Expire bientôt","Sous garantie")))</f>
        <v/>
      </c>
      <c r="AB214" s="72">
        <f>IF($A214="",-1,N(R214)+ROW()/1000000)</f>
        <v/>
      </c>
    </row>
    <row r="215">
      <c r="A215" s="7" t="n"/>
      <c r="B215" s="7" t="n"/>
      <c r="C215" s="7" t="n"/>
      <c r="D215" s="7" t="n"/>
      <c r="E215" s="7" t="n"/>
      <c r="F215" s="7" t="n"/>
      <c r="G215" s="7" t="n"/>
      <c r="H215" s="7" t="n"/>
      <c r="I215" s="65" t="n"/>
      <c r="J215" s="66" t="n"/>
      <c r="K215" s="7" t="n"/>
      <c r="L215" s="7" t="n"/>
      <c r="M215" s="65" t="n"/>
      <c r="N215" s="7" t="n"/>
      <c r="O215" s="67" t="n"/>
      <c r="P215" s="68">
        <f>IF($A215="","",COUNTIFS('Ordres de travail'!$D$5:$D$3004,$A215,'Ordres de travail'!$H$5:$H$3004,"Correctif",'Ordres de travail'!$AC$5:$AC$3004,"&lt;&gt;Annulé",'Ordres de travail'!$B$5:$B$3004,"&gt;="&amp;'Paramètres'!$AA$6,'Ordres de travail'!$B$5:$B$3004,"&lt;"&amp;('Paramètres'!$AA$7+1)))</f>
        <v/>
      </c>
      <c r="Q215" s="69">
        <f>IF($A215="","",SUMIFS('Ordres de travail'!$S$5:$S$3004,'Ordres de travail'!$D$5:$D$3004,$A215,'Ordres de travail'!$H$5:$H$3004,"Correctif",'Ordres de travail'!$AC$5:$AC$3004,"&lt;&gt;Annulé",'Ordres de travail'!$B$5:$B$3004,"&gt;="&amp;'Paramètres'!$AA$6,'Ordres de travail'!$B$5:$B$3004,"&lt;"&amp;('Paramètres'!$AA$7+1)))</f>
        <v/>
      </c>
      <c r="R215" s="69">
        <f>IF($A215="","",SUMIFS('Ordres de travail'!$S$5:$S$3004,'Ordres de travail'!$D$5:$D$3004,$A215,'Ordres de travail'!$AC$5:$AC$3004,"&lt;&gt;Annulé",'Ordres de travail'!$B$5:$B$3004,"&gt;="&amp;'Paramètres'!$AA$6,'Ordres de travail'!$B$5:$B$3004,"&lt;"&amp;('Paramètres'!$AA$7+1)))</f>
        <v/>
      </c>
      <c r="S215" s="70">
        <f>IF($A215="","",SUMIFS('Ordres de travail'!$AA$5:$AA$3004,'Ordres de travail'!$D$5:$D$3004,$A215,'Ordres de travail'!$B$5:$B$3004,"&gt;="&amp;'Paramètres'!$AA$6,'Ordres de travail'!$B$5:$B$3004,"&lt;"&amp;('Paramètres'!$AA$7+1)))</f>
        <v/>
      </c>
      <c r="T215" s="68">
        <f>IF($A215="","",IF(P215=0,"-",(O215*'Paramètres'!$AA$8-Q215)/P215))</f>
        <v/>
      </c>
      <c r="U215" s="69">
        <f>IF($A215="","",IF(P215=0,"-",Q215/P215))</f>
        <v/>
      </c>
      <c r="V215" s="71">
        <f>IF($A215="","",IF(N(O215)*'Paramètres'!$AA$8=0,"-",MAX(0,1-R215/(O215*'Paramètres'!$AA$8))))</f>
        <v/>
      </c>
      <c r="W215" s="68">
        <f>IF($A215="","",_xlfn.MAXIFS('Relevés compteurs'!$D$5:$D$1504,'Relevés compteurs'!$B$5:$B$1504,$A215))</f>
        <v/>
      </c>
      <c r="X215" s="69">
        <f>IF(OR($A215="",I215=""),"",(TODAY()-I215)/365.25)</f>
        <v/>
      </c>
      <c r="Y215" s="70">
        <f>IF($A215="","",SUMIFS('Ordres de travail'!$AA$5:$AA$3004,'Ordres de travail'!$D$5:$D$3004,$A215))</f>
        <v/>
      </c>
      <c r="Z215" s="68">
        <f>IF($A215="","",SUM(COUNTIFS('Ordres de travail'!$D$5:$D$3004,$A215,'Ordres de travail'!$AC$5:$AC$3004,{"Demandé","Planifié","En cours","En attente pièces"})))</f>
        <v/>
      </c>
      <c r="AA215" s="9">
        <f>IF(OR($A215="",M215=""),"",IF(M215&lt;TODAY(),"Expirée",IF(M215-TODAY()&lt;='Paramètres'!$AA$15,"Expire bientôt","Sous garantie")))</f>
        <v/>
      </c>
      <c r="AB215" s="72">
        <f>IF($A215="",-1,N(R215)+ROW()/1000000)</f>
        <v/>
      </c>
    </row>
    <row r="216">
      <c r="A216" s="7" t="n"/>
      <c r="B216" s="7" t="n"/>
      <c r="C216" s="7" t="n"/>
      <c r="D216" s="7" t="n"/>
      <c r="E216" s="7" t="n"/>
      <c r="F216" s="7" t="n"/>
      <c r="G216" s="7" t="n"/>
      <c r="H216" s="7" t="n"/>
      <c r="I216" s="65" t="n"/>
      <c r="J216" s="66" t="n"/>
      <c r="K216" s="7" t="n"/>
      <c r="L216" s="7" t="n"/>
      <c r="M216" s="65" t="n"/>
      <c r="N216" s="7" t="n"/>
      <c r="O216" s="67" t="n"/>
      <c r="P216" s="68">
        <f>IF($A216="","",COUNTIFS('Ordres de travail'!$D$5:$D$3004,$A216,'Ordres de travail'!$H$5:$H$3004,"Correctif",'Ordres de travail'!$AC$5:$AC$3004,"&lt;&gt;Annulé",'Ordres de travail'!$B$5:$B$3004,"&gt;="&amp;'Paramètres'!$AA$6,'Ordres de travail'!$B$5:$B$3004,"&lt;"&amp;('Paramètres'!$AA$7+1)))</f>
        <v/>
      </c>
      <c r="Q216" s="69">
        <f>IF($A216="","",SUMIFS('Ordres de travail'!$S$5:$S$3004,'Ordres de travail'!$D$5:$D$3004,$A216,'Ordres de travail'!$H$5:$H$3004,"Correctif",'Ordres de travail'!$AC$5:$AC$3004,"&lt;&gt;Annulé",'Ordres de travail'!$B$5:$B$3004,"&gt;="&amp;'Paramètres'!$AA$6,'Ordres de travail'!$B$5:$B$3004,"&lt;"&amp;('Paramètres'!$AA$7+1)))</f>
        <v/>
      </c>
      <c r="R216" s="69">
        <f>IF($A216="","",SUMIFS('Ordres de travail'!$S$5:$S$3004,'Ordres de travail'!$D$5:$D$3004,$A216,'Ordres de travail'!$AC$5:$AC$3004,"&lt;&gt;Annulé",'Ordres de travail'!$B$5:$B$3004,"&gt;="&amp;'Paramètres'!$AA$6,'Ordres de travail'!$B$5:$B$3004,"&lt;"&amp;('Paramètres'!$AA$7+1)))</f>
        <v/>
      </c>
      <c r="S216" s="70">
        <f>IF($A216="","",SUMIFS('Ordres de travail'!$AA$5:$AA$3004,'Ordres de travail'!$D$5:$D$3004,$A216,'Ordres de travail'!$B$5:$B$3004,"&gt;="&amp;'Paramètres'!$AA$6,'Ordres de travail'!$B$5:$B$3004,"&lt;"&amp;('Paramètres'!$AA$7+1)))</f>
        <v/>
      </c>
      <c r="T216" s="68">
        <f>IF($A216="","",IF(P216=0,"-",(O216*'Paramètres'!$AA$8-Q216)/P216))</f>
        <v/>
      </c>
      <c r="U216" s="69">
        <f>IF($A216="","",IF(P216=0,"-",Q216/P216))</f>
        <v/>
      </c>
      <c r="V216" s="71">
        <f>IF($A216="","",IF(N(O216)*'Paramètres'!$AA$8=0,"-",MAX(0,1-R216/(O216*'Paramètres'!$AA$8))))</f>
        <v/>
      </c>
      <c r="W216" s="68">
        <f>IF($A216="","",_xlfn.MAXIFS('Relevés compteurs'!$D$5:$D$1504,'Relevés compteurs'!$B$5:$B$1504,$A216))</f>
        <v/>
      </c>
      <c r="X216" s="69">
        <f>IF(OR($A216="",I216=""),"",(TODAY()-I216)/365.25)</f>
        <v/>
      </c>
      <c r="Y216" s="70">
        <f>IF($A216="","",SUMIFS('Ordres de travail'!$AA$5:$AA$3004,'Ordres de travail'!$D$5:$D$3004,$A216))</f>
        <v/>
      </c>
      <c r="Z216" s="68">
        <f>IF($A216="","",SUM(COUNTIFS('Ordres de travail'!$D$5:$D$3004,$A216,'Ordres de travail'!$AC$5:$AC$3004,{"Demandé","Planifié","En cours","En attente pièces"})))</f>
        <v/>
      </c>
      <c r="AA216" s="9">
        <f>IF(OR($A216="",M216=""),"",IF(M216&lt;TODAY(),"Expirée",IF(M216-TODAY()&lt;='Paramètres'!$AA$15,"Expire bientôt","Sous garantie")))</f>
        <v/>
      </c>
      <c r="AB216" s="72">
        <f>IF($A216="",-1,N(R216)+ROW()/1000000)</f>
        <v/>
      </c>
    </row>
    <row r="217">
      <c r="A217" s="7" t="n"/>
      <c r="B217" s="7" t="n"/>
      <c r="C217" s="7" t="n"/>
      <c r="D217" s="7" t="n"/>
      <c r="E217" s="7" t="n"/>
      <c r="F217" s="7" t="n"/>
      <c r="G217" s="7" t="n"/>
      <c r="H217" s="7" t="n"/>
      <c r="I217" s="65" t="n"/>
      <c r="J217" s="66" t="n"/>
      <c r="K217" s="7" t="n"/>
      <c r="L217" s="7" t="n"/>
      <c r="M217" s="65" t="n"/>
      <c r="N217" s="7" t="n"/>
      <c r="O217" s="67" t="n"/>
      <c r="P217" s="68">
        <f>IF($A217="","",COUNTIFS('Ordres de travail'!$D$5:$D$3004,$A217,'Ordres de travail'!$H$5:$H$3004,"Correctif",'Ordres de travail'!$AC$5:$AC$3004,"&lt;&gt;Annulé",'Ordres de travail'!$B$5:$B$3004,"&gt;="&amp;'Paramètres'!$AA$6,'Ordres de travail'!$B$5:$B$3004,"&lt;"&amp;('Paramètres'!$AA$7+1)))</f>
        <v/>
      </c>
      <c r="Q217" s="69">
        <f>IF($A217="","",SUMIFS('Ordres de travail'!$S$5:$S$3004,'Ordres de travail'!$D$5:$D$3004,$A217,'Ordres de travail'!$H$5:$H$3004,"Correctif",'Ordres de travail'!$AC$5:$AC$3004,"&lt;&gt;Annulé",'Ordres de travail'!$B$5:$B$3004,"&gt;="&amp;'Paramètres'!$AA$6,'Ordres de travail'!$B$5:$B$3004,"&lt;"&amp;('Paramètres'!$AA$7+1)))</f>
        <v/>
      </c>
      <c r="R217" s="69">
        <f>IF($A217="","",SUMIFS('Ordres de travail'!$S$5:$S$3004,'Ordres de travail'!$D$5:$D$3004,$A217,'Ordres de travail'!$AC$5:$AC$3004,"&lt;&gt;Annulé",'Ordres de travail'!$B$5:$B$3004,"&gt;="&amp;'Paramètres'!$AA$6,'Ordres de travail'!$B$5:$B$3004,"&lt;"&amp;('Paramètres'!$AA$7+1)))</f>
        <v/>
      </c>
      <c r="S217" s="70">
        <f>IF($A217="","",SUMIFS('Ordres de travail'!$AA$5:$AA$3004,'Ordres de travail'!$D$5:$D$3004,$A217,'Ordres de travail'!$B$5:$B$3004,"&gt;="&amp;'Paramètres'!$AA$6,'Ordres de travail'!$B$5:$B$3004,"&lt;"&amp;('Paramètres'!$AA$7+1)))</f>
        <v/>
      </c>
      <c r="T217" s="68">
        <f>IF($A217="","",IF(P217=0,"-",(O217*'Paramètres'!$AA$8-Q217)/P217))</f>
        <v/>
      </c>
      <c r="U217" s="69">
        <f>IF($A217="","",IF(P217=0,"-",Q217/P217))</f>
        <v/>
      </c>
      <c r="V217" s="71">
        <f>IF($A217="","",IF(N(O217)*'Paramètres'!$AA$8=0,"-",MAX(0,1-R217/(O217*'Paramètres'!$AA$8))))</f>
        <v/>
      </c>
      <c r="W217" s="68">
        <f>IF($A217="","",_xlfn.MAXIFS('Relevés compteurs'!$D$5:$D$1504,'Relevés compteurs'!$B$5:$B$1504,$A217))</f>
        <v/>
      </c>
      <c r="X217" s="69">
        <f>IF(OR($A217="",I217=""),"",(TODAY()-I217)/365.25)</f>
        <v/>
      </c>
      <c r="Y217" s="70">
        <f>IF($A217="","",SUMIFS('Ordres de travail'!$AA$5:$AA$3004,'Ordres de travail'!$D$5:$D$3004,$A217))</f>
        <v/>
      </c>
      <c r="Z217" s="68">
        <f>IF($A217="","",SUM(COUNTIFS('Ordres de travail'!$D$5:$D$3004,$A217,'Ordres de travail'!$AC$5:$AC$3004,{"Demandé","Planifié","En cours","En attente pièces"})))</f>
        <v/>
      </c>
      <c r="AA217" s="9">
        <f>IF(OR($A217="",M217=""),"",IF(M217&lt;TODAY(),"Expirée",IF(M217-TODAY()&lt;='Paramètres'!$AA$15,"Expire bientôt","Sous garantie")))</f>
        <v/>
      </c>
      <c r="AB217" s="72">
        <f>IF($A217="",-1,N(R217)+ROW()/1000000)</f>
        <v/>
      </c>
    </row>
    <row r="218">
      <c r="A218" s="7" t="n"/>
      <c r="B218" s="7" t="n"/>
      <c r="C218" s="7" t="n"/>
      <c r="D218" s="7" t="n"/>
      <c r="E218" s="7" t="n"/>
      <c r="F218" s="7" t="n"/>
      <c r="G218" s="7" t="n"/>
      <c r="H218" s="7" t="n"/>
      <c r="I218" s="65" t="n"/>
      <c r="J218" s="66" t="n"/>
      <c r="K218" s="7" t="n"/>
      <c r="L218" s="7" t="n"/>
      <c r="M218" s="65" t="n"/>
      <c r="N218" s="7" t="n"/>
      <c r="O218" s="67" t="n"/>
      <c r="P218" s="68">
        <f>IF($A218="","",COUNTIFS('Ordres de travail'!$D$5:$D$3004,$A218,'Ordres de travail'!$H$5:$H$3004,"Correctif",'Ordres de travail'!$AC$5:$AC$3004,"&lt;&gt;Annulé",'Ordres de travail'!$B$5:$B$3004,"&gt;="&amp;'Paramètres'!$AA$6,'Ordres de travail'!$B$5:$B$3004,"&lt;"&amp;('Paramètres'!$AA$7+1)))</f>
        <v/>
      </c>
      <c r="Q218" s="69">
        <f>IF($A218="","",SUMIFS('Ordres de travail'!$S$5:$S$3004,'Ordres de travail'!$D$5:$D$3004,$A218,'Ordres de travail'!$H$5:$H$3004,"Correctif",'Ordres de travail'!$AC$5:$AC$3004,"&lt;&gt;Annulé",'Ordres de travail'!$B$5:$B$3004,"&gt;="&amp;'Paramètres'!$AA$6,'Ordres de travail'!$B$5:$B$3004,"&lt;"&amp;('Paramètres'!$AA$7+1)))</f>
        <v/>
      </c>
      <c r="R218" s="69">
        <f>IF($A218="","",SUMIFS('Ordres de travail'!$S$5:$S$3004,'Ordres de travail'!$D$5:$D$3004,$A218,'Ordres de travail'!$AC$5:$AC$3004,"&lt;&gt;Annulé",'Ordres de travail'!$B$5:$B$3004,"&gt;="&amp;'Paramètres'!$AA$6,'Ordres de travail'!$B$5:$B$3004,"&lt;"&amp;('Paramètres'!$AA$7+1)))</f>
        <v/>
      </c>
      <c r="S218" s="70">
        <f>IF($A218="","",SUMIFS('Ordres de travail'!$AA$5:$AA$3004,'Ordres de travail'!$D$5:$D$3004,$A218,'Ordres de travail'!$B$5:$B$3004,"&gt;="&amp;'Paramètres'!$AA$6,'Ordres de travail'!$B$5:$B$3004,"&lt;"&amp;('Paramètres'!$AA$7+1)))</f>
        <v/>
      </c>
      <c r="T218" s="68">
        <f>IF($A218="","",IF(P218=0,"-",(O218*'Paramètres'!$AA$8-Q218)/P218))</f>
        <v/>
      </c>
      <c r="U218" s="69">
        <f>IF($A218="","",IF(P218=0,"-",Q218/P218))</f>
        <v/>
      </c>
      <c r="V218" s="71">
        <f>IF($A218="","",IF(N(O218)*'Paramètres'!$AA$8=0,"-",MAX(0,1-R218/(O218*'Paramètres'!$AA$8))))</f>
        <v/>
      </c>
      <c r="W218" s="68">
        <f>IF($A218="","",_xlfn.MAXIFS('Relevés compteurs'!$D$5:$D$1504,'Relevés compteurs'!$B$5:$B$1504,$A218))</f>
        <v/>
      </c>
      <c r="X218" s="69">
        <f>IF(OR($A218="",I218=""),"",(TODAY()-I218)/365.25)</f>
        <v/>
      </c>
      <c r="Y218" s="70">
        <f>IF($A218="","",SUMIFS('Ordres de travail'!$AA$5:$AA$3004,'Ordres de travail'!$D$5:$D$3004,$A218))</f>
        <v/>
      </c>
      <c r="Z218" s="68">
        <f>IF($A218="","",SUM(COUNTIFS('Ordres de travail'!$D$5:$D$3004,$A218,'Ordres de travail'!$AC$5:$AC$3004,{"Demandé","Planifié","En cours","En attente pièces"})))</f>
        <v/>
      </c>
      <c r="AA218" s="9">
        <f>IF(OR($A218="",M218=""),"",IF(M218&lt;TODAY(),"Expirée",IF(M218-TODAY()&lt;='Paramètres'!$AA$15,"Expire bientôt","Sous garantie")))</f>
        <v/>
      </c>
      <c r="AB218" s="72">
        <f>IF($A218="",-1,N(R218)+ROW()/1000000)</f>
        <v/>
      </c>
    </row>
    <row r="219">
      <c r="A219" s="7" t="n"/>
      <c r="B219" s="7" t="n"/>
      <c r="C219" s="7" t="n"/>
      <c r="D219" s="7" t="n"/>
      <c r="E219" s="7" t="n"/>
      <c r="F219" s="7" t="n"/>
      <c r="G219" s="7" t="n"/>
      <c r="H219" s="7" t="n"/>
      <c r="I219" s="65" t="n"/>
      <c r="J219" s="66" t="n"/>
      <c r="K219" s="7" t="n"/>
      <c r="L219" s="7" t="n"/>
      <c r="M219" s="65" t="n"/>
      <c r="N219" s="7" t="n"/>
      <c r="O219" s="67" t="n"/>
      <c r="P219" s="68">
        <f>IF($A219="","",COUNTIFS('Ordres de travail'!$D$5:$D$3004,$A219,'Ordres de travail'!$H$5:$H$3004,"Correctif",'Ordres de travail'!$AC$5:$AC$3004,"&lt;&gt;Annulé",'Ordres de travail'!$B$5:$B$3004,"&gt;="&amp;'Paramètres'!$AA$6,'Ordres de travail'!$B$5:$B$3004,"&lt;"&amp;('Paramètres'!$AA$7+1)))</f>
        <v/>
      </c>
      <c r="Q219" s="69">
        <f>IF($A219="","",SUMIFS('Ordres de travail'!$S$5:$S$3004,'Ordres de travail'!$D$5:$D$3004,$A219,'Ordres de travail'!$H$5:$H$3004,"Correctif",'Ordres de travail'!$AC$5:$AC$3004,"&lt;&gt;Annulé",'Ordres de travail'!$B$5:$B$3004,"&gt;="&amp;'Paramètres'!$AA$6,'Ordres de travail'!$B$5:$B$3004,"&lt;"&amp;('Paramètres'!$AA$7+1)))</f>
        <v/>
      </c>
      <c r="R219" s="69">
        <f>IF($A219="","",SUMIFS('Ordres de travail'!$S$5:$S$3004,'Ordres de travail'!$D$5:$D$3004,$A219,'Ordres de travail'!$AC$5:$AC$3004,"&lt;&gt;Annulé",'Ordres de travail'!$B$5:$B$3004,"&gt;="&amp;'Paramètres'!$AA$6,'Ordres de travail'!$B$5:$B$3004,"&lt;"&amp;('Paramètres'!$AA$7+1)))</f>
        <v/>
      </c>
      <c r="S219" s="70">
        <f>IF($A219="","",SUMIFS('Ordres de travail'!$AA$5:$AA$3004,'Ordres de travail'!$D$5:$D$3004,$A219,'Ordres de travail'!$B$5:$B$3004,"&gt;="&amp;'Paramètres'!$AA$6,'Ordres de travail'!$B$5:$B$3004,"&lt;"&amp;('Paramètres'!$AA$7+1)))</f>
        <v/>
      </c>
      <c r="T219" s="68">
        <f>IF($A219="","",IF(P219=0,"-",(O219*'Paramètres'!$AA$8-Q219)/P219))</f>
        <v/>
      </c>
      <c r="U219" s="69">
        <f>IF($A219="","",IF(P219=0,"-",Q219/P219))</f>
        <v/>
      </c>
      <c r="V219" s="71">
        <f>IF($A219="","",IF(N(O219)*'Paramètres'!$AA$8=0,"-",MAX(0,1-R219/(O219*'Paramètres'!$AA$8))))</f>
        <v/>
      </c>
      <c r="W219" s="68">
        <f>IF($A219="","",_xlfn.MAXIFS('Relevés compteurs'!$D$5:$D$1504,'Relevés compteurs'!$B$5:$B$1504,$A219))</f>
        <v/>
      </c>
      <c r="X219" s="69">
        <f>IF(OR($A219="",I219=""),"",(TODAY()-I219)/365.25)</f>
        <v/>
      </c>
      <c r="Y219" s="70">
        <f>IF($A219="","",SUMIFS('Ordres de travail'!$AA$5:$AA$3004,'Ordres de travail'!$D$5:$D$3004,$A219))</f>
        <v/>
      </c>
      <c r="Z219" s="68">
        <f>IF($A219="","",SUM(COUNTIFS('Ordres de travail'!$D$5:$D$3004,$A219,'Ordres de travail'!$AC$5:$AC$3004,{"Demandé","Planifié","En cours","En attente pièces"})))</f>
        <v/>
      </c>
      <c r="AA219" s="9">
        <f>IF(OR($A219="",M219=""),"",IF(M219&lt;TODAY(),"Expirée",IF(M219-TODAY()&lt;='Paramètres'!$AA$15,"Expire bientôt","Sous garantie")))</f>
        <v/>
      </c>
      <c r="AB219" s="72">
        <f>IF($A219="",-1,N(R219)+ROW()/1000000)</f>
        <v/>
      </c>
    </row>
    <row r="220">
      <c r="A220" s="7" t="n"/>
      <c r="B220" s="7" t="n"/>
      <c r="C220" s="7" t="n"/>
      <c r="D220" s="7" t="n"/>
      <c r="E220" s="7" t="n"/>
      <c r="F220" s="7" t="n"/>
      <c r="G220" s="7" t="n"/>
      <c r="H220" s="7" t="n"/>
      <c r="I220" s="65" t="n"/>
      <c r="J220" s="66" t="n"/>
      <c r="K220" s="7" t="n"/>
      <c r="L220" s="7" t="n"/>
      <c r="M220" s="65" t="n"/>
      <c r="N220" s="7" t="n"/>
      <c r="O220" s="67" t="n"/>
      <c r="P220" s="68">
        <f>IF($A220="","",COUNTIFS('Ordres de travail'!$D$5:$D$3004,$A220,'Ordres de travail'!$H$5:$H$3004,"Correctif",'Ordres de travail'!$AC$5:$AC$3004,"&lt;&gt;Annulé",'Ordres de travail'!$B$5:$B$3004,"&gt;="&amp;'Paramètres'!$AA$6,'Ordres de travail'!$B$5:$B$3004,"&lt;"&amp;('Paramètres'!$AA$7+1)))</f>
        <v/>
      </c>
      <c r="Q220" s="69">
        <f>IF($A220="","",SUMIFS('Ordres de travail'!$S$5:$S$3004,'Ordres de travail'!$D$5:$D$3004,$A220,'Ordres de travail'!$H$5:$H$3004,"Correctif",'Ordres de travail'!$AC$5:$AC$3004,"&lt;&gt;Annulé",'Ordres de travail'!$B$5:$B$3004,"&gt;="&amp;'Paramètres'!$AA$6,'Ordres de travail'!$B$5:$B$3004,"&lt;"&amp;('Paramètres'!$AA$7+1)))</f>
        <v/>
      </c>
      <c r="R220" s="69">
        <f>IF($A220="","",SUMIFS('Ordres de travail'!$S$5:$S$3004,'Ordres de travail'!$D$5:$D$3004,$A220,'Ordres de travail'!$AC$5:$AC$3004,"&lt;&gt;Annulé",'Ordres de travail'!$B$5:$B$3004,"&gt;="&amp;'Paramètres'!$AA$6,'Ordres de travail'!$B$5:$B$3004,"&lt;"&amp;('Paramètres'!$AA$7+1)))</f>
        <v/>
      </c>
      <c r="S220" s="70">
        <f>IF($A220="","",SUMIFS('Ordres de travail'!$AA$5:$AA$3004,'Ordres de travail'!$D$5:$D$3004,$A220,'Ordres de travail'!$B$5:$B$3004,"&gt;="&amp;'Paramètres'!$AA$6,'Ordres de travail'!$B$5:$B$3004,"&lt;"&amp;('Paramètres'!$AA$7+1)))</f>
        <v/>
      </c>
      <c r="T220" s="68">
        <f>IF($A220="","",IF(P220=0,"-",(O220*'Paramètres'!$AA$8-Q220)/P220))</f>
        <v/>
      </c>
      <c r="U220" s="69">
        <f>IF($A220="","",IF(P220=0,"-",Q220/P220))</f>
        <v/>
      </c>
      <c r="V220" s="71">
        <f>IF($A220="","",IF(N(O220)*'Paramètres'!$AA$8=0,"-",MAX(0,1-R220/(O220*'Paramètres'!$AA$8))))</f>
        <v/>
      </c>
      <c r="W220" s="68">
        <f>IF($A220="","",_xlfn.MAXIFS('Relevés compteurs'!$D$5:$D$1504,'Relevés compteurs'!$B$5:$B$1504,$A220))</f>
        <v/>
      </c>
      <c r="X220" s="69">
        <f>IF(OR($A220="",I220=""),"",(TODAY()-I220)/365.25)</f>
        <v/>
      </c>
      <c r="Y220" s="70">
        <f>IF($A220="","",SUMIFS('Ordres de travail'!$AA$5:$AA$3004,'Ordres de travail'!$D$5:$D$3004,$A220))</f>
        <v/>
      </c>
      <c r="Z220" s="68">
        <f>IF($A220="","",SUM(COUNTIFS('Ordres de travail'!$D$5:$D$3004,$A220,'Ordres de travail'!$AC$5:$AC$3004,{"Demandé","Planifié","En cours","En attente pièces"})))</f>
        <v/>
      </c>
      <c r="AA220" s="9">
        <f>IF(OR($A220="",M220=""),"",IF(M220&lt;TODAY(),"Expirée",IF(M220-TODAY()&lt;='Paramètres'!$AA$15,"Expire bientôt","Sous garantie")))</f>
        <v/>
      </c>
      <c r="AB220" s="72">
        <f>IF($A220="",-1,N(R220)+ROW()/1000000)</f>
        <v/>
      </c>
    </row>
    <row r="221">
      <c r="A221" s="7" t="n"/>
      <c r="B221" s="7" t="n"/>
      <c r="C221" s="7" t="n"/>
      <c r="D221" s="7" t="n"/>
      <c r="E221" s="7" t="n"/>
      <c r="F221" s="7" t="n"/>
      <c r="G221" s="7" t="n"/>
      <c r="H221" s="7" t="n"/>
      <c r="I221" s="65" t="n"/>
      <c r="J221" s="66" t="n"/>
      <c r="K221" s="7" t="n"/>
      <c r="L221" s="7" t="n"/>
      <c r="M221" s="65" t="n"/>
      <c r="N221" s="7" t="n"/>
      <c r="O221" s="67" t="n"/>
      <c r="P221" s="68">
        <f>IF($A221="","",COUNTIFS('Ordres de travail'!$D$5:$D$3004,$A221,'Ordres de travail'!$H$5:$H$3004,"Correctif",'Ordres de travail'!$AC$5:$AC$3004,"&lt;&gt;Annulé",'Ordres de travail'!$B$5:$B$3004,"&gt;="&amp;'Paramètres'!$AA$6,'Ordres de travail'!$B$5:$B$3004,"&lt;"&amp;('Paramètres'!$AA$7+1)))</f>
        <v/>
      </c>
      <c r="Q221" s="69">
        <f>IF($A221="","",SUMIFS('Ordres de travail'!$S$5:$S$3004,'Ordres de travail'!$D$5:$D$3004,$A221,'Ordres de travail'!$H$5:$H$3004,"Correctif",'Ordres de travail'!$AC$5:$AC$3004,"&lt;&gt;Annulé",'Ordres de travail'!$B$5:$B$3004,"&gt;="&amp;'Paramètres'!$AA$6,'Ordres de travail'!$B$5:$B$3004,"&lt;"&amp;('Paramètres'!$AA$7+1)))</f>
        <v/>
      </c>
      <c r="R221" s="69">
        <f>IF($A221="","",SUMIFS('Ordres de travail'!$S$5:$S$3004,'Ordres de travail'!$D$5:$D$3004,$A221,'Ordres de travail'!$AC$5:$AC$3004,"&lt;&gt;Annulé",'Ordres de travail'!$B$5:$B$3004,"&gt;="&amp;'Paramètres'!$AA$6,'Ordres de travail'!$B$5:$B$3004,"&lt;"&amp;('Paramètres'!$AA$7+1)))</f>
        <v/>
      </c>
      <c r="S221" s="70">
        <f>IF($A221="","",SUMIFS('Ordres de travail'!$AA$5:$AA$3004,'Ordres de travail'!$D$5:$D$3004,$A221,'Ordres de travail'!$B$5:$B$3004,"&gt;="&amp;'Paramètres'!$AA$6,'Ordres de travail'!$B$5:$B$3004,"&lt;"&amp;('Paramètres'!$AA$7+1)))</f>
        <v/>
      </c>
      <c r="T221" s="68">
        <f>IF($A221="","",IF(P221=0,"-",(O221*'Paramètres'!$AA$8-Q221)/P221))</f>
        <v/>
      </c>
      <c r="U221" s="69">
        <f>IF($A221="","",IF(P221=0,"-",Q221/P221))</f>
        <v/>
      </c>
      <c r="V221" s="71">
        <f>IF($A221="","",IF(N(O221)*'Paramètres'!$AA$8=0,"-",MAX(0,1-R221/(O221*'Paramètres'!$AA$8))))</f>
        <v/>
      </c>
      <c r="W221" s="68">
        <f>IF($A221="","",_xlfn.MAXIFS('Relevés compteurs'!$D$5:$D$1504,'Relevés compteurs'!$B$5:$B$1504,$A221))</f>
        <v/>
      </c>
      <c r="X221" s="69">
        <f>IF(OR($A221="",I221=""),"",(TODAY()-I221)/365.25)</f>
        <v/>
      </c>
      <c r="Y221" s="70">
        <f>IF($A221="","",SUMIFS('Ordres de travail'!$AA$5:$AA$3004,'Ordres de travail'!$D$5:$D$3004,$A221))</f>
        <v/>
      </c>
      <c r="Z221" s="68">
        <f>IF($A221="","",SUM(COUNTIFS('Ordres de travail'!$D$5:$D$3004,$A221,'Ordres de travail'!$AC$5:$AC$3004,{"Demandé","Planifié","En cours","En attente pièces"})))</f>
        <v/>
      </c>
      <c r="AA221" s="9">
        <f>IF(OR($A221="",M221=""),"",IF(M221&lt;TODAY(),"Expirée",IF(M221-TODAY()&lt;='Paramètres'!$AA$15,"Expire bientôt","Sous garantie")))</f>
        <v/>
      </c>
      <c r="AB221" s="72">
        <f>IF($A221="",-1,N(R221)+ROW()/1000000)</f>
        <v/>
      </c>
    </row>
    <row r="222">
      <c r="A222" s="7" t="n"/>
      <c r="B222" s="7" t="n"/>
      <c r="C222" s="7" t="n"/>
      <c r="D222" s="7" t="n"/>
      <c r="E222" s="7" t="n"/>
      <c r="F222" s="7" t="n"/>
      <c r="G222" s="7" t="n"/>
      <c r="H222" s="7" t="n"/>
      <c r="I222" s="65" t="n"/>
      <c r="J222" s="66" t="n"/>
      <c r="K222" s="7" t="n"/>
      <c r="L222" s="7" t="n"/>
      <c r="M222" s="65" t="n"/>
      <c r="N222" s="7" t="n"/>
      <c r="O222" s="67" t="n"/>
      <c r="P222" s="68">
        <f>IF($A222="","",COUNTIFS('Ordres de travail'!$D$5:$D$3004,$A222,'Ordres de travail'!$H$5:$H$3004,"Correctif",'Ordres de travail'!$AC$5:$AC$3004,"&lt;&gt;Annulé",'Ordres de travail'!$B$5:$B$3004,"&gt;="&amp;'Paramètres'!$AA$6,'Ordres de travail'!$B$5:$B$3004,"&lt;"&amp;('Paramètres'!$AA$7+1)))</f>
        <v/>
      </c>
      <c r="Q222" s="69">
        <f>IF($A222="","",SUMIFS('Ordres de travail'!$S$5:$S$3004,'Ordres de travail'!$D$5:$D$3004,$A222,'Ordres de travail'!$H$5:$H$3004,"Correctif",'Ordres de travail'!$AC$5:$AC$3004,"&lt;&gt;Annulé",'Ordres de travail'!$B$5:$B$3004,"&gt;="&amp;'Paramètres'!$AA$6,'Ordres de travail'!$B$5:$B$3004,"&lt;"&amp;('Paramètres'!$AA$7+1)))</f>
        <v/>
      </c>
      <c r="R222" s="69">
        <f>IF($A222="","",SUMIFS('Ordres de travail'!$S$5:$S$3004,'Ordres de travail'!$D$5:$D$3004,$A222,'Ordres de travail'!$AC$5:$AC$3004,"&lt;&gt;Annulé",'Ordres de travail'!$B$5:$B$3004,"&gt;="&amp;'Paramètres'!$AA$6,'Ordres de travail'!$B$5:$B$3004,"&lt;"&amp;('Paramètres'!$AA$7+1)))</f>
        <v/>
      </c>
      <c r="S222" s="70">
        <f>IF($A222="","",SUMIFS('Ordres de travail'!$AA$5:$AA$3004,'Ordres de travail'!$D$5:$D$3004,$A222,'Ordres de travail'!$B$5:$B$3004,"&gt;="&amp;'Paramètres'!$AA$6,'Ordres de travail'!$B$5:$B$3004,"&lt;"&amp;('Paramètres'!$AA$7+1)))</f>
        <v/>
      </c>
      <c r="T222" s="68">
        <f>IF($A222="","",IF(P222=0,"-",(O222*'Paramètres'!$AA$8-Q222)/P222))</f>
        <v/>
      </c>
      <c r="U222" s="69">
        <f>IF($A222="","",IF(P222=0,"-",Q222/P222))</f>
        <v/>
      </c>
      <c r="V222" s="71">
        <f>IF($A222="","",IF(N(O222)*'Paramètres'!$AA$8=0,"-",MAX(0,1-R222/(O222*'Paramètres'!$AA$8))))</f>
        <v/>
      </c>
      <c r="W222" s="68">
        <f>IF($A222="","",_xlfn.MAXIFS('Relevés compteurs'!$D$5:$D$1504,'Relevés compteurs'!$B$5:$B$1504,$A222))</f>
        <v/>
      </c>
      <c r="X222" s="69">
        <f>IF(OR($A222="",I222=""),"",(TODAY()-I222)/365.25)</f>
        <v/>
      </c>
      <c r="Y222" s="70">
        <f>IF($A222="","",SUMIFS('Ordres de travail'!$AA$5:$AA$3004,'Ordres de travail'!$D$5:$D$3004,$A222))</f>
        <v/>
      </c>
      <c r="Z222" s="68">
        <f>IF($A222="","",SUM(COUNTIFS('Ordres de travail'!$D$5:$D$3004,$A222,'Ordres de travail'!$AC$5:$AC$3004,{"Demandé","Planifié","En cours","En attente pièces"})))</f>
        <v/>
      </c>
      <c r="AA222" s="9">
        <f>IF(OR($A222="",M222=""),"",IF(M222&lt;TODAY(),"Expirée",IF(M222-TODAY()&lt;='Paramètres'!$AA$15,"Expire bientôt","Sous garantie")))</f>
        <v/>
      </c>
      <c r="AB222" s="72">
        <f>IF($A222="",-1,N(R222)+ROW()/1000000)</f>
        <v/>
      </c>
    </row>
    <row r="223">
      <c r="A223" s="7" t="n"/>
      <c r="B223" s="7" t="n"/>
      <c r="C223" s="7" t="n"/>
      <c r="D223" s="7" t="n"/>
      <c r="E223" s="7" t="n"/>
      <c r="F223" s="7" t="n"/>
      <c r="G223" s="7" t="n"/>
      <c r="H223" s="7" t="n"/>
      <c r="I223" s="65" t="n"/>
      <c r="J223" s="66" t="n"/>
      <c r="K223" s="7" t="n"/>
      <c r="L223" s="7" t="n"/>
      <c r="M223" s="65" t="n"/>
      <c r="N223" s="7" t="n"/>
      <c r="O223" s="67" t="n"/>
      <c r="P223" s="68">
        <f>IF($A223="","",COUNTIFS('Ordres de travail'!$D$5:$D$3004,$A223,'Ordres de travail'!$H$5:$H$3004,"Correctif",'Ordres de travail'!$AC$5:$AC$3004,"&lt;&gt;Annulé",'Ordres de travail'!$B$5:$B$3004,"&gt;="&amp;'Paramètres'!$AA$6,'Ordres de travail'!$B$5:$B$3004,"&lt;"&amp;('Paramètres'!$AA$7+1)))</f>
        <v/>
      </c>
      <c r="Q223" s="69">
        <f>IF($A223="","",SUMIFS('Ordres de travail'!$S$5:$S$3004,'Ordres de travail'!$D$5:$D$3004,$A223,'Ordres de travail'!$H$5:$H$3004,"Correctif",'Ordres de travail'!$AC$5:$AC$3004,"&lt;&gt;Annulé",'Ordres de travail'!$B$5:$B$3004,"&gt;="&amp;'Paramètres'!$AA$6,'Ordres de travail'!$B$5:$B$3004,"&lt;"&amp;('Paramètres'!$AA$7+1)))</f>
        <v/>
      </c>
      <c r="R223" s="69">
        <f>IF($A223="","",SUMIFS('Ordres de travail'!$S$5:$S$3004,'Ordres de travail'!$D$5:$D$3004,$A223,'Ordres de travail'!$AC$5:$AC$3004,"&lt;&gt;Annulé",'Ordres de travail'!$B$5:$B$3004,"&gt;="&amp;'Paramètres'!$AA$6,'Ordres de travail'!$B$5:$B$3004,"&lt;"&amp;('Paramètres'!$AA$7+1)))</f>
        <v/>
      </c>
      <c r="S223" s="70">
        <f>IF($A223="","",SUMIFS('Ordres de travail'!$AA$5:$AA$3004,'Ordres de travail'!$D$5:$D$3004,$A223,'Ordres de travail'!$B$5:$B$3004,"&gt;="&amp;'Paramètres'!$AA$6,'Ordres de travail'!$B$5:$B$3004,"&lt;"&amp;('Paramètres'!$AA$7+1)))</f>
        <v/>
      </c>
      <c r="T223" s="68">
        <f>IF($A223="","",IF(P223=0,"-",(O223*'Paramètres'!$AA$8-Q223)/P223))</f>
        <v/>
      </c>
      <c r="U223" s="69">
        <f>IF($A223="","",IF(P223=0,"-",Q223/P223))</f>
        <v/>
      </c>
      <c r="V223" s="71">
        <f>IF($A223="","",IF(N(O223)*'Paramètres'!$AA$8=0,"-",MAX(0,1-R223/(O223*'Paramètres'!$AA$8))))</f>
        <v/>
      </c>
      <c r="W223" s="68">
        <f>IF($A223="","",_xlfn.MAXIFS('Relevés compteurs'!$D$5:$D$1504,'Relevés compteurs'!$B$5:$B$1504,$A223))</f>
        <v/>
      </c>
      <c r="X223" s="69">
        <f>IF(OR($A223="",I223=""),"",(TODAY()-I223)/365.25)</f>
        <v/>
      </c>
      <c r="Y223" s="70">
        <f>IF($A223="","",SUMIFS('Ordres de travail'!$AA$5:$AA$3004,'Ordres de travail'!$D$5:$D$3004,$A223))</f>
        <v/>
      </c>
      <c r="Z223" s="68">
        <f>IF($A223="","",SUM(COUNTIFS('Ordres de travail'!$D$5:$D$3004,$A223,'Ordres de travail'!$AC$5:$AC$3004,{"Demandé","Planifié","En cours","En attente pièces"})))</f>
        <v/>
      </c>
      <c r="AA223" s="9">
        <f>IF(OR($A223="",M223=""),"",IF(M223&lt;TODAY(),"Expirée",IF(M223-TODAY()&lt;='Paramètres'!$AA$15,"Expire bientôt","Sous garantie")))</f>
        <v/>
      </c>
      <c r="AB223" s="72">
        <f>IF($A223="",-1,N(R223)+ROW()/1000000)</f>
        <v/>
      </c>
    </row>
    <row r="224">
      <c r="A224" s="7" t="n"/>
      <c r="B224" s="7" t="n"/>
      <c r="C224" s="7" t="n"/>
      <c r="D224" s="7" t="n"/>
      <c r="E224" s="7" t="n"/>
      <c r="F224" s="7" t="n"/>
      <c r="G224" s="7" t="n"/>
      <c r="H224" s="7" t="n"/>
      <c r="I224" s="65" t="n"/>
      <c r="J224" s="66" t="n"/>
      <c r="K224" s="7" t="n"/>
      <c r="L224" s="7" t="n"/>
      <c r="M224" s="65" t="n"/>
      <c r="N224" s="7" t="n"/>
      <c r="O224" s="67" t="n"/>
      <c r="P224" s="68">
        <f>IF($A224="","",COUNTIFS('Ordres de travail'!$D$5:$D$3004,$A224,'Ordres de travail'!$H$5:$H$3004,"Correctif",'Ordres de travail'!$AC$5:$AC$3004,"&lt;&gt;Annulé",'Ordres de travail'!$B$5:$B$3004,"&gt;="&amp;'Paramètres'!$AA$6,'Ordres de travail'!$B$5:$B$3004,"&lt;"&amp;('Paramètres'!$AA$7+1)))</f>
        <v/>
      </c>
      <c r="Q224" s="69">
        <f>IF($A224="","",SUMIFS('Ordres de travail'!$S$5:$S$3004,'Ordres de travail'!$D$5:$D$3004,$A224,'Ordres de travail'!$H$5:$H$3004,"Correctif",'Ordres de travail'!$AC$5:$AC$3004,"&lt;&gt;Annulé",'Ordres de travail'!$B$5:$B$3004,"&gt;="&amp;'Paramètres'!$AA$6,'Ordres de travail'!$B$5:$B$3004,"&lt;"&amp;('Paramètres'!$AA$7+1)))</f>
        <v/>
      </c>
      <c r="R224" s="69">
        <f>IF($A224="","",SUMIFS('Ordres de travail'!$S$5:$S$3004,'Ordres de travail'!$D$5:$D$3004,$A224,'Ordres de travail'!$AC$5:$AC$3004,"&lt;&gt;Annulé",'Ordres de travail'!$B$5:$B$3004,"&gt;="&amp;'Paramètres'!$AA$6,'Ordres de travail'!$B$5:$B$3004,"&lt;"&amp;('Paramètres'!$AA$7+1)))</f>
        <v/>
      </c>
      <c r="S224" s="70">
        <f>IF($A224="","",SUMIFS('Ordres de travail'!$AA$5:$AA$3004,'Ordres de travail'!$D$5:$D$3004,$A224,'Ordres de travail'!$B$5:$B$3004,"&gt;="&amp;'Paramètres'!$AA$6,'Ordres de travail'!$B$5:$B$3004,"&lt;"&amp;('Paramètres'!$AA$7+1)))</f>
        <v/>
      </c>
      <c r="T224" s="68">
        <f>IF($A224="","",IF(P224=0,"-",(O224*'Paramètres'!$AA$8-Q224)/P224))</f>
        <v/>
      </c>
      <c r="U224" s="69">
        <f>IF($A224="","",IF(P224=0,"-",Q224/P224))</f>
        <v/>
      </c>
      <c r="V224" s="71">
        <f>IF($A224="","",IF(N(O224)*'Paramètres'!$AA$8=0,"-",MAX(0,1-R224/(O224*'Paramètres'!$AA$8))))</f>
        <v/>
      </c>
      <c r="W224" s="68">
        <f>IF($A224="","",_xlfn.MAXIFS('Relevés compteurs'!$D$5:$D$1504,'Relevés compteurs'!$B$5:$B$1504,$A224))</f>
        <v/>
      </c>
      <c r="X224" s="69">
        <f>IF(OR($A224="",I224=""),"",(TODAY()-I224)/365.25)</f>
        <v/>
      </c>
      <c r="Y224" s="70">
        <f>IF($A224="","",SUMIFS('Ordres de travail'!$AA$5:$AA$3004,'Ordres de travail'!$D$5:$D$3004,$A224))</f>
        <v/>
      </c>
      <c r="Z224" s="68">
        <f>IF($A224="","",SUM(COUNTIFS('Ordres de travail'!$D$5:$D$3004,$A224,'Ordres de travail'!$AC$5:$AC$3004,{"Demandé","Planifié","En cours","En attente pièces"})))</f>
        <v/>
      </c>
      <c r="AA224" s="9">
        <f>IF(OR($A224="",M224=""),"",IF(M224&lt;TODAY(),"Expirée",IF(M224-TODAY()&lt;='Paramètres'!$AA$15,"Expire bientôt","Sous garantie")))</f>
        <v/>
      </c>
      <c r="AB224" s="72">
        <f>IF($A224="",-1,N(R224)+ROW()/1000000)</f>
        <v/>
      </c>
    </row>
    <row r="225">
      <c r="A225" s="7" t="n"/>
      <c r="B225" s="7" t="n"/>
      <c r="C225" s="7" t="n"/>
      <c r="D225" s="7" t="n"/>
      <c r="E225" s="7" t="n"/>
      <c r="F225" s="7" t="n"/>
      <c r="G225" s="7" t="n"/>
      <c r="H225" s="7" t="n"/>
      <c r="I225" s="65" t="n"/>
      <c r="J225" s="66" t="n"/>
      <c r="K225" s="7" t="n"/>
      <c r="L225" s="7" t="n"/>
      <c r="M225" s="65" t="n"/>
      <c r="N225" s="7" t="n"/>
      <c r="O225" s="67" t="n"/>
      <c r="P225" s="68">
        <f>IF($A225="","",COUNTIFS('Ordres de travail'!$D$5:$D$3004,$A225,'Ordres de travail'!$H$5:$H$3004,"Correctif",'Ordres de travail'!$AC$5:$AC$3004,"&lt;&gt;Annulé",'Ordres de travail'!$B$5:$B$3004,"&gt;="&amp;'Paramètres'!$AA$6,'Ordres de travail'!$B$5:$B$3004,"&lt;"&amp;('Paramètres'!$AA$7+1)))</f>
        <v/>
      </c>
      <c r="Q225" s="69">
        <f>IF($A225="","",SUMIFS('Ordres de travail'!$S$5:$S$3004,'Ordres de travail'!$D$5:$D$3004,$A225,'Ordres de travail'!$H$5:$H$3004,"Correctif",'Ordres de travail'!$AC$5:$AC$3004,"&lt;&gt;Annulé",'Ordres de travail'!$B$5:$B$3004,"&gt;="&amp;'Paramètres'!$AA$6,'Ordres de travail'!$B$5:$B$3004,"&lt;"&amp;('Paramètres'!$AA$7+1)))</f>
        <v/>
      </c>
      <c r="R225" s="69">
        <f>IF($A225="","",SUMIFS('Ordres de travail'!$S$5:$S$3004,'Ordres de travail'!$D$5:$D$3004,$A225,'Ordres de travail'!$AC$5:$AC$3004,"&lt;&gt;Annulé",'Ordres de travail'!$B$5:$B$3004,"&gt;="&amp;'Paramètres'!$AA$6,'Ordres de travail'!$B$5:$B$3004,"&lt;"&amp;('Paramètres'!$AA$7+1)))</f>
        <v/>
      </c>
      <c r="S225" s="70">
        <f>IF($A225="","",SUMIFS('Ordres de travail'!$AA$5:$AA$3004,'Ordres de travail'!$D$5:$D$3004,$A225,'Ordres de travail'!$B$5:$B$3004,"&gt;="&amp;'Paramètres'!$AA$6,'Ordres de travail'!$B$5:$B$3004,"&lt;"&amp;('Paramètres'!$AA$7+1)))</f>
        <v/>
      </c>
      <c r="T225" s="68">
        <f>IF($A225="","",IF(P225=0,"-",(O225*'Paramètres'!$AA$8-Q225)/P225))</f>
        <v/>
      </c>
      <c r="U225" s="69">
        <f>IF($A225="","",IF(P225=0,"-",Q225/P225))</f>
        <v/>
      </c>
      <c r="V225" s="71">
        <f>IF($A225="","",IF(N(O225)*'Paramètres'!$AA$8=0,"-",MAX(0,1-R225/(O225*'Paramètres'!$AA$8))))</f>
        <v/>
      </c>
      <c r="W225" s="68">
        <f>IF($A225="","",_xlfn.MAXIFS('Relevés compteurs'!$D$5:$D$1504,'Relevés compteurs'!$B$5:$B$1504,$A225))</f>
        <v/>
      </c>
      <c r="X225" s="69">
        <f>IF(OR($A225="",I225=""),"",(TODAY()-I225)/365.25)</f>
        <v/>
      </c>
      <c r="Y225" s="70">
        <f>IF($A225="","",SUMIFS('Ordres de travail'!$AA$5:$AA$3004,'Ordres de travail'!$D$5:$D$3004,$A225))</f>
        <v/>
      </c>
      <c r="Z225" s="68">
        <f>IF($A225="","",SUM(COUNTIFS('Ordres de travail'!$D$5:$D$3004,$A225,'Ordres de travail'!$AC$5:$AC$3004,{"Demandé","Planifié","En cours","En attente pièces"})))</f>
        <v/>
      </c>
      <c r="AA225" s="9">
        <f>IF(OR($A225="",M225=""),"",IF(M225&lt;TODAY(),"Expirée",IF(M225-TODAY()&lt;='Paramètres'!$AA$15,"Expire bientôt","Sous garantie")))</f>
        <v/>
      </c>
      <c r="AB225" s="72">
        <f>IF($A225="",-1,N(R225)+ROW()/1000000)</f>
        <v/>
      </c>
    </row>
    <row r="226">
      <c r="A226" s="7" t="n"/>
      <c r="B226" s="7" t="n"/>
      <c r="C226" s="7" t="n"/>
      <c r="D226" s="7" t="n"/>
      <c r="E226" s="7" t="n"/>
      <c r="F226" s="7" t="n"/>
      <c r="G226" s="7" t="n"/>
      <c r="H226" s="7" t="n"/>
      <c r="I226" s="65" t="n"/>
      <c r="J226" s="66" t="n"/>
      <c r="K226" s="7" t="n"/>
      <c r="L226" s="7" t="n"/>
      <c r="M226" s="65" t="n"/>
      <c r="N226" s="7" t="n"/>
      <c r="O226" s="67" t="n"/>
      <c r="P226" s="68">
        <f>IF($A226="","",COUNTIFS('Ordres de travail'!$D$5:$D$3004,$A226,'Ordres de travail'!$H$5:$H$3004,"Correctif",'Ordres de travail'!$AC$5:$AC$3004,"&lt;&gt;Annulé",'Ordres de travail'!$B$5:$B$3004,"&gt;="&amp;'Paramètres'!$AA$6,'Ordres de travail'!$B$5:$B$3004,"&lt;"&amp;('Paramètres'!$AA$7+1)))</f>
        <v/>
      </c>
      <c r="Q226" s="69">
        <f>IF($A226="","",SUMIFS('Ordres de travail'!$S$5:$S$3004,'Ordres de travail'!$D$5:$D$3004,$A226,'Ordres de travail'!$H$5:$H$3004,"Correctif",'Ordres de travail'!$AC$5:$AC$3004,"&lt;&gt;Annulé",'Ordres de travail'!$B$5:$B$3004,"&gt;="&amp;'Paramètres'!$AA$6,'Ordres de travail'!$B$5:$B$3004,"&lt;"&amp;('Paramètres'!$AA$7+1)))</f>
        <v/>
      </c>
      <c r="R226" s="69">
        <f>IF($A226="","",SUMIFS('Ordres de travail'!$S$5:$S$3004,'Ordres de travail'!$D$5:$D$3004,$A226,'Ordres de travail'!$AC$5:$AC$3004,"&lt;&gt;Annulé",'Ordres de travail'!$B$5:$B$3004,"&gt;="&amp;'Paramètres'!$AA$6,'Ordres de travail'!$B$5:$B$3004,"&lt;"&amp;('Paramètres'!$AA$7+1)))</f>
        <v/>
      </c>
      <c r="S226" s="70">
        <f>IF($A226="","",SUMIFS('Ordres de travail'!$AA$5:$AA$3004,'Ordres de travail'!$D$5:$D$3004,$A226,'Ordres de travail'!$B$5:$B$3004,"&gt;="&amp;'Paramètres'!$AA$6,'Ordres de travail'!$B$5:$B$3004,"&lt;"&amp;('Paramètres'!$AA$7+1)))</f>
        <v/>
      </c>
      <c r="T226" s="68">
        <f>IF($A226="","",IF(P226=0,"-",(O226*'Paramètres'!$AA$8-Q226)/P226))</f>
        <v/>
      </c>
      <c r="U226" s="69">
        <f>IF($A226="","",IF(P226=0,"-",Q226/P226))</f>
        <v/>
      </c>
      <c r="V226" s="71">
        <f>IF($A226="","",IF(N(O226)*'Paramètres'!$AA$8=0,"-",MAX(0,1-R226/(O226*'Paramètres'!$AA$8))))</f>
        <v/>
      </c>
      <c r="W226" s="68">
        <f>IF($A226="","",_xlfn.MAXIFS('Relevés compteurs'!$D$5:$D$1504,'Relevés compteurs'!$B$5:$B$1504,$A226))</f>
        <v/>
      </c>
      <c r="X226" s="69">
        <f>IF(OR($A226="",I226=""),"",(TODAY()-I226)/365.25)</f>
        <v/>
      </c>
      <c r="Y226" s="70">
        <f>IF($A226="","",SUMIFS('Ordres de travail'!$AA$5:$AA$3004,'Ordres de travail'!$D$5:$D$3004,$A226))</f>
        <v/>
      </c>
      <c r="Z226" s="68">
        <f>IF($A226="","",SUM(COUNTIFS('Ordres de travail'!$D$5:$D$3004,$A226,'Ordres de travail'!$AC$5:$AC$3004,{"Demandé","Planifié","En cours","En attente pièces"})))</f>
        <v/>
      </c>
      <c r="AA226" s="9">
        <f>IF(OR($A226="",M226=""),"",IF(M226&lt;TODAY(),"Expirée",IF(M226-TODAY()&lt;='Paramètres'!$AA$15,"Expire bientôt","Sous garantie")))</f>
        <v/>
      </c>
      <c r="AB226" s="72">
        <f>IF($A226="",-1,N(R226)+ROW()/1000000)</f>
        <v/>
      </c>
    </row>
    <row r="227">
      <c r="A227" s="7" t="n"/>
      <c r="B227" s="7" t="n"/>
      <c r="C227" s="7" t="n"/>
      <c r="D227" s="7" t="n"/>
      <c r="E227" s="7" t="n"/>
      <c r="F227" s="7" t="n"/>
      <c r="G227" s="7" t="n"/>
      <c r="H227" s="7" t="n"/>
      <c r="I227" s="65" t="n"/>
      <c r="J227" s="66" t="n"/>
      <c r="K227" s="7" t="n"/>
      <c r="L227" s="7" t="n"/>
      <c r="M227" s="65" t="n"/>
      <c r="N227" s="7" t="n"/>
      <c r="O227" s="67" t="n"/>
      <c r="P227" s="68">
        <f>IF($A227="","",COUNTIFS('Ordres de travail'!$D$5:$D$3004,$A227,'Ordres de travail'!$H$5:$H$3004,"Correctif",'Ordres de travail'!$AC$5:$AC$3004,"&lt;&gt;Annulé",'Ordres de travail'!$B$5:$B$3004,"&gt;="&amp;'Paramètres'!$AA$6,'Ordres de travail'!$B$5:$B$3004,"&lt;"&amp;('Paramètres'!$AA$7+1)))</f>
        <v/>
      </c>
      <c r="Q227" s="69">
        <f>IF($A227="","",SUMIFS('Ordres de travail'!$S$5:$S$3004,'Ordres de travail'!$D$5:$D$3004,$A227,'Ordres de travail'!$H$5:$H$3004,"Correctif",'Ordres de travail'!$AC$5:$AC$3004,"&lt;&gt;Annulé",'Ordres de travail'!$B$5:$B$3004,"&gt;="&amp;'Paramètres'!$AA$6,'Ordres de travail'!$B$5:$B$3004,"&lt;"&amp;('Paramètres'!$AA$7+1)))</f>
        <v/>
      </c>
      <c r="R227" s="69">
        <f>IF($A227="","",SUMIFS('Ordres de travail'!$S$5:$S$3004,'Ordres de travail'!$D$5:$D$3004,$A227,'Ordres de travail'!$AC$5:$AC$3004,"&lt;&gt;Annulé",'Ordres de travail'!$B$5:$B$3004,"&gt;="&amp;'Paramètres'!$AA$6,'Ordres de travail'!$B$5:$B$3004,"&lt;"&amp;('Paramètres'!$AA$7+1)))</f>
        <v/>
      </c>
      <c r="S227" s="70">
        <f>IF($A227="","",SUMIFS('Ordres de travail'!$AA$5:$AA$3004,'Ordres de travail'!$D$5:$D$3004,$A227,'Ordres de travail'!$B$5:$B$3004,"&gt;="&amp;'Paramètres'!$AA$6,'Ordres de travail'!$B$5:$B$3004,"&lt;"&amp;('Paramètres'!$AA$7+1)))</f>
        <v/>
      </c>
      <c r="T227" s="68">
        <f>IF($A227="","",IF(P227=0,"-",(O227*'Paramètres'!$AA$8-Q227)/P227))</f>
        <v/>
      </c>
      <c r="U227" s="69">
        <f>IF($A227="","",IF(P227=0,"-",Q227/P227))</f>
        <v/>
      </c>
      <c r="V227" s="71">
        <f>IF($A227="","",IF(N(O227)*'Paramètres'!$AA$8=0,"-",MAX(0,1-R227/(O227*'Paramètres'!$AA$8))))</f>
        <v/>
      </c>
      <c r="W227" s="68">
        <f>IF($A227="","",_xlfn.MAXIFS('Relevés compteurs'!$D$5:$D$1504,'Relevés compteurs'!$B$5:$B$1504,$A227))</f>
        <v/>
      </c>
      <c r="X227" s="69">
        <f>IF(OR($A227="",I227=""),"",(TODAY()-I227)/365.25)</f>
        <v/>
      </c>
      <c r="Y227" s="70">
        <f>IF($A227="","",SUMIFS('Ordres de travail'!$AA$5:$AA$3004,'Ordres de travail'!$D$5:$D$3004,$A227))</f>
        <v/>
      </c>
      <c r="Z227" s="68">
        <f>IF($A227="","",SUM(COUNTIFS('Ordres de travail'!$D$5:$D$3004,$A227,'Ordres de travail'!$AC$5:$AC$3004,{"Demandé","Planifié","En cours","En attente pièces"})))</f>
        <v/>
      </c>
      <c r="AA227" s="9">
        <f>IF(OR($A227="",M227=""),"",IF(M227&lt;TODAY(),"Expirée",IF(M227-TODAY()&lt;='Paramètres'!$AA$15,"Expire bientôt","Sous garantie")))</f>
        <v/>
      </c>
      <c r="AB227" s="72">
        <f>IF($A227="",-1,N(R227)+ROW()/1000000)</f>
        <v/>
      </c>
    </row>
    <row r="228">
      <c r="A228" s="7" t="n"/>
      <c r="B228" s="7" t="n"/>
      <c r="C228" s="7" t="n"/>
      <c r="D228" s="7" t="n"/>
      <c r="E228" s="7" t="n"/>
      <c r="F228" s="7" t="n"/>
      <c r="G228" s="7" t="n"/>
      <c r="H228" s="7" t="n"/>
      <c r="I228" s="65" t="n"/>
      <c r="J228" s="66" t="n"/>
      <c r="K228" s="7" t="n"/>
      <c r="L228" s="7" t="n"/>
      <c r="M228" s="65" t="n"/>
      <c r="N228" s="7" t="n"/>
      <c r="O228" s="67" t="n"/>
      <c r="P228" s="68">
        <f>IF($A228="","",COUNTIFS('Ordres de travail'!$D$5:$D$3004,$A228,'Ordres de travail'!$H$5:$H$3004,"Correctif",'Ordres de travail'!$AC$5:$AC$3004,"&lt;&gt;Annulé",'Ordres de travail'!$B$5:$B$3004,"&gt;="&amp;'Paramètres'!$AA$6,'Ordres de travail'!$B$5:$B$3004,"&lt;"&amp;('Paramètres'!$AA$7+1)))</f>
        <v/>
      </c>
      <c r="Q228" s="69">
        <f>IF($A228="","",SUMIFS('Ordres de travail'!$S$5:$S$3004,'Ordres de travail'!$D$5:$D$3004,$A228,'Ordres de travail'!$H$5:$H$3004,"Correctif",'Ordres de travail'!$AC$5:$AC$3004,"&lt;&gt;Annulé",'Ordres de travail'!$B$5:$B$3004,"&gt;="&amp;'Paramètres'!$AA$6,'Ordres de travail'!$B$5:$B$3004,"&lt;"&amp;('Paramètres'!$AA$7+1)))</f>
        <v/>
      </c>
      <c r="R228" s="69">
        <f>IF($A228="","",SUMIFS('Ordres de travail'!$S$5:$S$3004,'Ordres de travail'!$D$5:$D$3004,$A228,'Ordres de travail'!$AC$5:$AC$3004,"&lt;&gt;Annulé",'Ordres de travail'!$B$5:$B$3004,"&gt;="&amp;'Paramètres'!$AA$6,'Ordres de travail'!$B$5:$B$3004,"&lt;"&amp;('Paramètres'!$AA$7+1)))</f>
        <v/>
      </c>
      <c r="S228" s="70">
        <f>IF($A228="","",SUMIFS('Ordres de travail'!$AA$5:$AA$3004,'Ordres de travail'!$D$5:$D$3004,$A228,'Ordres de travail'!$B$5:$B$3004,"&gt;="&amp;'Paramètres'!$AA$6,'Ordres de travail'!$B$5:$B$3004,"&lt;"&amp;('Paramètres'!$AA$7+1)))</f>
        <v/>
      </c>
      <c r="T228" s="68">
        <f>IF($A228="","",IF(P228=0,"-",(O228*'Paramètres'!$AA$8-Q228)/P228))</f>
        <v/>
      </c>
      <c r="U228" s="69">
        <f>IF($A228="","",IF(P228=0,"-",Q228/P228))</f>
        <v/>
      </c>
      <c r="V228" s="71">
        <f>IF($A228="","",IF(N(O228)*'Paramètres'!$AA$8=0,"-",MAX(0,1-R228/(O228*'Paramètres'!$AA$8))))</f>
        <v/>
      </c>
      <c r="W228" s="68">
        <f>IF($A228="","",_xlfn.MAXIFS('Relevés compteurs'!$D$5:$D$1504,'Relevés compteurs'!$B$5:$B$1504,$A228))</f>
        <v/>
      </c>
      <c r="X228" s="69">
        <f>IF(OR($A228="",I228=""),"",(TODAY()-I228)/365.25)</f>
        <v/>
      </c>
      <c r="Y228" s="70">
        <f>IF($A228="","",SUMIFS('Ordres de travail'!$AA$5:$AA$3004,'Ordres de travail'!$D$5:$D$3004,$A228))</f>
        <v/>
      </c>
      <c r="Z228" s="68">
        <f>IF($A228="","",SUM(COUNTIFS('Ordres de travail'!$D$5:$D$3004,$A228,'Ordres de travail'!$AC$5:$AC$3004,{"Demandé","Planifié","En cours","En attente pièces"})))</f>
        <v/>
      </c>
      <c r="AA228" s="9">
        <f>IF(OR($A228="",M228=""),"",IF(M228&lt;TODAY(),"Expirée",IF(M228-TODAY()&lt;='Paramètres'!$AA$15,"Expire bientôt","Sous garantie")))</f>
        <v/>
      </c>
      <c r="AB228" s="72">
        <f>IF($A228="",-1,N(R228)+ROW()/1000000)</f>
        <v/>
      </c>
    </row>
    <row r="229">
      <c r="A229" s="7" t="n"/>
      <c r="B229" s="7" t="n"/>
      <c r="C229" s="7" t="n"/>
      <c r="D229" s="7" t="n"/>
      <c r="E229" s="7" t="n"/>
      <c r="F229" s="7" t="n"/>
      <c r="G229" s="7" t="n"/>
      <c r="H229" s="7" t="n"/>
      <c r="I229" s="65" t="n"/>
      <c r="J229" s="66" t="n"/>
      <c r="K229" s="7" t="n"/>
      <c r="L229" s="7" t="n"/>
      <c r="M229" s="65" t="n"/>
      <c r="N229" s="7" t="n"/>
      <c r="O229" s="67" t="n"/>
      <c r="P229" s="68">
        <f>IF($A229="","",COUNTIFS('Ordres de travail'!$D$5:$D$3004,$A229,'Ordres de travail'!$H$5:$H$3004,"Correctif",'Ordres de travail'!$AC$5:$AC$3004,"&lt;&gt;Annulé",'Ordres de travail'!$B$5:$B$3004,"&gt;="&amp;'Paramètres'!$AA$6,'Ordres de travail'!$B$5:$B$3004,"&lt;"&amp;('Paramètres'!$AA$7+1)))</f>
        <v/>
      </c>
      <c r="Q229" s="69">
        <f>IF($A229="","",SUMIFS('Ordres de travail'!$S$5:$S$3004,'Ordres de travail'!$D$5:$D$3004,$A229,'Ordres de travail'!$H$5:$H$3004,"Correctif",'Ordres de travail'!$AC$5:$AC$3004,"&lt;&gt;Annulé",'Ordres de travail'!$B$5:$B$3004,"&gt;="&amp;'Paramètres'!$AA$6,'Ordres de travail'!$B$5:$B$3004,"&lt;"&amp;('Paramètres'!$AA$7+1)))</f>
        <v/>
      </c>
      <c r="R229" s="69">
        <f>IF($A229="","",SUMIFS('Ordres de travail'!$S$5:$S$3004,'Ordres de travail'!$D$5:$D$3004,$A229,'Ordres de travail'!$AC$5:$AC$3004,"&lt;&gt;Annulé",'Ordres de travail'!$B$5:$B$3004,"&gt;="&amp;'Paramètres'!$AA$6,'Ordres de travail'!$B$5:$B$3004,"&lt;"&amp;('Paramètres'!$AA$7+1)))</f>
        <v/>
      </c>
      <c r="S229" s="70">
        <f>IF($A229="","",SUMIFS('Ordres de travail'!$AA$5:$AA$3004,'Ordres de travail'!$D$5:$D$3004,$A229,'Ordres de travail'!$B$5:$B$3004,"&gt;="&amp;'Paramètres'!$AA$6,'Ordres de travail'!$B$5:$B$3004,"&lt;"&amp;('Paramètres'!$AA$7+1)))</f>
        <v/>
      </c>
      <c r="T229" s="68">
        <f>IF($A229="","",IF(P229=0,"-",(O229*'Paramètres'!$AA$8-Q229)/P229))</f>
        <v/>
      </c>
      <c r="U229" s="69">
        <f>IF($A229="","",IF(P229=0,"-",Q229/P229))</f>
        <v/>
      </c>
      <c r="V229" s="71">
        <f>IF($A229="","",IF(N(O229)*'Paramètres'!$AA$8=0,"-",MAX(0,1-R229/(O229*'Paramètres'!$AA$8))))</f>
        <v/>
      </c>
      <c r="W229" s="68">
        <f>IF($A229="","",_xlfn.MAXIFS('Relevés compteurs'!$D$5:$D$1504,'Relevés compteurs'!$B$5:$B$1504,$A229))</f>
        <v/>
      </c>
      <c r="X229" s="69">
        <f>IF(OR($A229="",I229=""),"",(TODAY()-I229)/365.25)</f>
        <v/>
      </c>
      <c r="Y229" s="70">
        <f>IF($A229="","",SUMIFS('Ordres de travail'!$AA$5:$AA$3004,'Ordres de travail'!$D$5:$D$3004,$A229))</f>
        <v/>
      </c>
      <c r="Z229" s="68">
        <f>IF($A229="","",SUM(COUNTIFS('Ordres de travail'!$D$5:$D$3004,$A229,'Ordres de travail'!$AC$5:$AC$3004,{"Demandé","Planifié","En cours","En attente pièces"})))</f>
        <v/>
      </c>
      <c r="AA229" s="9">
        <f>IF(OR($A229="",M229=""),"",IF(M229&lt;TODAY(),"Expirée",IF(M229-TODAY()&lt;='Paramètres'!$AA$15,"Expire bientôt","Sous garantie")))</f>
        <v/>
      </c>
      <c r="AB229" s="72">
        <f>IF($A229="",-1,N(R229)+ROW()/1000000)</f>
        <v/>
      </c>
    </row>
    <row r="230">
      <c r="A230" s="7" t="n"/>
      <c r="B230" s="7" t="n"/>
      <c r="C230" s="7" t="n"/>
      <c r="D230" s="7" t="n"/>
      <c r="E230" s="7" t="n"/>
      <c r="F230" s="7" t="n"/>
      <c r="G230" s="7" t="n"/>
      <c r="H230" s="7" t="n"/>
      <c r="I230" s="65" t="n"/>
      <c r="J230" s="66" t="n"/>
      <c r="K230" s="7" t="n"/>
      <c r="L230" s="7" t="n"/>
      <c r="M230" s="65" t="n"/>
      <c r="N230" s="7" t="n"/>
      <c r="O230" s="67" t="n"/>
      <c r="P230" s="68">
        <f>IF($A230="","",COUNTIFS('Ordres de travail'!$D$5:$D$3004,$A230,'Ordres de travail'!$H$5:$H$3004,"Correctif",'Ordres de travail'!$AC$5:$AC$3004,"&lt;&gt;Annulé",'Ordres de travail'!$B$5:$B$3004,"&gt;="&amp;'Paramètres'!$AA$6,'Ordres de travail'!$B$5:$B$3004,"&lt;"&amp;('Paramètres'!$AA$7+1)))</f>
        <v/>
      </c>
      <c r="Q230" s="69">
        <f>IF($A230="","",SUMIFS('Ordres de travail'!$S$5:$S$3004,'Ordres de travail'!$D$5:$D$3004,$A230,'Ordres de travail'!$H$5:$H$3004,"Correctif",'Ordres de travail'!$AC$5:$AC$3004,"&lt;&gt;Annulé",'Ordres de travail'!$B$5:$B$3004,"&gt;="&amp;'Paramètres'!$AA$6,'Ordres de travail'!$B$5:$B$3004,"&lt;"&amp;('Paramètres'!$AA$7+1)))</f>
        <v/>
      </c>
      <c r="R230" s="69">
        <f>IF($A230="","",SUMIFS('Ordres de travail'!$S$5:$S$3004,'Ordres de travail'!$D$5:$D$3004,$A230,'Ordres de travail'!$AC$5:$AC$3004,"&lt;&gt;Annulé",'Ordres de travail'!$B$5:$B$3004,"&gt;="&amp;'Paramètres'!$AA$6,'Ordres de travail'!$B$5:$B$3004,"&lt;"&amp;('Paramètres'!$AA$7+1)))</f>
        <v/>
      </c>
      <c r="S230" s="70">
        <f>IF($A230="","",SUMIFS('Ordres de travail'!$AA$5:$AA$3004,'Ordres de travail'!$D$5:$D$3004,$A230,'Ordres de travail'!$B$5:$B$3004,"&gt;="&amp;'Paramètres'!$AA$6,'Ordres de travail'!$B$5:$B$3004,"&lt;"&amp;('Paramètres'!$AA$7+1)))</f>
        <v/>
      </c>
      <c r="T230" s="68">
        <f>IF($A230="","",IF(P230=0,"-",(O230*'Paramètres'!$AA$8-Q230)/P230))</f>
        <v/>
      </c>
      <c r="U230" s="69">
        <f>IF($A230="","",IF(P230=0,"-",Q230/P230))</f>
        <v/>
      </c>
      <c r="V230" s="71">
        <f>IF($A230="","",IF(N(O230)*'Paramètres'!$AA$8=0,"-",MAX(0,1-R230/(O230*'Paramètres'!$AA$8))))</f>
        <v/>
      </c>
      <c r="W230" s="68">
        <f>IF($A230="","",_xlfn.MAXIFS('Relevés compteurs'!$D$5:$D$1504,'Relevés compteurs'!$B$5:$B$1504,$A230))</f>
        <v/>
      </c>
      <c r="X230" s="69">
        <f>IF(OR($A230="",I230=""),"",(TODAY()-I230)/365.25)</f>
        <v/>
      </c>
      <c r="Y230" s="70">
        <f>IF($A230="","",SUMIFS('Ordres de travail'!$AA$5:$AA$3004,'Ordres de travail'!$D$5:$D$3004,$A230))</f>
        <v/>
      </c>
      <c r="Z230" s="68">
        <f>IF($A230="","",SUM(COUNTIFS('Ordres de travail'!$D$5:$D$3004,$A230,'Ordres de travail'!$AC$5:$AC$3004,{"Demandé","Planifié","En cours","En attente pièces"})))</f>
        <v/>
      </c>
      <c r="AA230" s="9">
        <f>IF(OR($A230="",M230=""),"",IF(M230&lt;TODAY(),"Expirée",IF(M230-TODAY()&lt;='Paramètres'!$AA$15,"Expire bientôt","Sous garantie")))</f>
        <v/>
      </c>
      <c r="AB230" s="72">
        <f>IF($A230="",-1,N(R230)+ROW()/1000000)</f>
        <v/>
      </c>
    </row>
    <row r="231">
      <c r="A231" s="7" t="n"/>
      <c r="B231" s="7" t="n"/>
      <c r="C231" s="7" t="n"/>
      <c r="D231" s="7" t="n"/>
      <c r="E231" s="7" t="n"/>
      <c r="F231" s="7" t="n"/>
      <c r="G231" s="7" t="n"/>
      <c r="H231" s="7" t="n"/>
      <c r="I231" s="65" t="n"/>
      <c r="J231" s="66" t="n"/>
      <c r="K231" s="7" t="n"/>
      <c r="L231" s="7" t="n"/>
      <c r="M231" s="65" t="n"/>
      <c r="N231" s="7" t="n"/>
      <c r="O231" s="67" t="n"/>
      <c r="P231" s="68">
        <f>IF($A231="","",COUNTIFS('Ordres de travail'!$D$5:$D$3004,$A231,'Ordres de travail'!$H$5:$H$3004,"Correctif",'Ordres de travail'!$AC$5:$AC$3004,"&lt;&gt;Annulé",'Ordres de travail'!$B$5:$B$3004,"&gt;="&amp;'Paramètres'!$AA$6,'Ordres de travail'!$B$5:$B$3004,"&lt;"&amp;('Paramètres'!$AA$7+1)))</f>
        <v/>
      </c>
      <c r="Q231" s="69">
        <f>IF($A231="","",SUMIFS('Ordres de travail'!$S$5:$S$3004,'Ordres de travail'!$D$5:$D$3004,$A231,'Ordres de travail'!$H$5:$H$3004,"Correctif",'Ordres de travail'!$AC$5:$AC$3004,"&lt;&gt;Annulé",'Ordres de travail'!$B$5:$B$3004,"&gt;="&amp;'Paramètres'!$AA$6,'Ordres de travail'!$B$5:$B$3004,"&lt;"&amp;('Paramètres'!$AA$7+1)))</f>
        <v/>
      </c>
      <c r="R231" s="69">
        <f>IF($A231="","",SUMIFS('Ordres de travail'!$S$5:$S$3004,'Ordres de travail'!$D$5:$D$3004,$A231,'Ordres de travail'!$AC$5:$AC$3004,"&lt;&gt;Annulé",'Ordres de travail'!$B$5:$B$3004,"&gt;="&amp;'Paramètres'!$AA$6,'Ordres de travail'!$B$5:$B$3004,"&lt;"&amp;('Paramètres'!$AA$7+1)))</f>
        <v/>
      </c>
      <c r="S231" s="70">
        <f>IF($A231="","",SUMIFS('Ordres de travail'!$AA$5:$AA$3004,'Ordres de travail'!$D$5:$D$3004,$A231,'Ordres de travail'!$B$5:$B$3004,"&gt;="&amp;'Paramètres'!$AA$6,'Ordres de travail'!$B$5:$B$3004,"&lt;"&amp;('Paramètres'!$AA$7+1)))</f>
        <v/>
      </c>
      <c r="T231" s="68">
        <f>IF($A231="","",IF(P231=0,"-",(O231*'Paramètres'!$AA$8-Q231)/P231))</f>
        <v/>
      </c>
      <c r="U231" s="69">
        <f>IF($A231="","",IF(P231=0,"-",Q231/P231))</f>
        <v/>
      </c>
      <c r="V231" s="71">
        <f>IF($A231="","",IF(N(O231)*'Paramètres'!$AA$8=0,"-",MAX(0,1-R231/(O231*'Paramètres'!$AA$8))))</f>
        <v/>
      </c>
      <c r="W231" s="68">
        <f>IF($A231="","",_xlfn.MAXIFS('Relevés compteurs'!$D$5:$D$1504,'Relevés compteurs'!$B$5:$B$1504,$A231))</f>
        <v/>
      </c>
      <c r="X231" s="69">
        <f>IF(OR($A231="",I231=""),"",(TODAY()-I231)/365.25)</f>
        <v/>
      </c>
      <c r="Y231" s="70">
        <f>IF($A231="","",SUMIFS('Ordres de travail'!$AA$5:$AA$3004,'Ordres de travail'!$D$5:$D$3004,$A231))</f>
        <v/>
      </c>
      <c r="Z231" s="68">
        <f>IF($A231="","",SUM(COUNTIFS('Ordres de travail'!$D$5:$D$3004,$A231,'Ordres de travail'!$AC$5:$AC$3004,{"Demandé","Planifié","En cours","En attente pièces"})))</f>
        <v/>
      </c>
      <c r="AA231" s="9">
        <f>IF(OR($A231="",M231=""),"",IF(M231&lt;TODAY(),"Expirée",IF(M231-TODAY()&lt;='Paramètres'!$AA$15,"Expire bientôt","Sous garantie")))</f>
        <v/>
      </c>
      <c r="AB231" s="72">
        <f>IF($A231="",-1,N(R231)+ROW()/1000000)</f>
        <v/>
      </c>
    </row>
    <row r="232">
      <c r="A232" s="7" t="n"/>
      <c r="B232" s="7" t="n"/>
      <c r="C232" s="7" t="n"/>
      <c r="D232" s="7" t="n"/>
      <c r="E232" s="7" t="n"/>
      <c r="F232" s="7" t="n"/>
      <c r="G232" s="7" t="n"/>
      <c r="H232" s="7" t="n"/>
      <c r="I232" s="65" t="n"/>
      <c r="J232" s="66" t="n"/>
      <c r="K232" s="7" t="n"/>
      <c r="L232" s="7" t="n"/>
      <c r="M232" s="65" t="n"/>
      <c r="N232" s="7" t="n"/>
      <c r="O232" s="67" t="n"/>
      <c r="P232" s="68">
        <f>IF($A232="","",COUNTIFS('Ordres de travail'!$D$5:$D$3004,$A232,'Ordres de travail'!$H$5:$H$3004,"Correctif",'Ordres de travail'!$AC$5:$AC$3004,"&lt;&gt;Annulé",'Ordres de travail'!$B$5:$B$3004,"&gt;="&amp;'Paramètres'!$AA$6,'Ordres de travail'!$B$5:$B$3004,"&lt;"&amp;('Paramètres'!$AA$7+1)))</f>
        <v/>
      </c>
      <c r="Q232" s="69">
        <f>IF($A232="","",SUMIFS('Ordres de travail'!$S$5:$S$3004,'Ordres de travail'!$D$5:$D$3004,$A232,'Ordres de travail'!$H$5:$H$3004,"Correctif",'Ordres de travail'!$AC$5:$AC$3004,"&lt;&gt;Annulé",'Ordres de travail'!$B$5:$B$3004,"&gt;="&amp;'Paramètres'!$AA$6,'Ordres de travail'!$B$5:$B$3004,"&lt;"&amp;('Paramètres'!$AA$7+1)))</f>
        <v/>
      </c>
      <c r="R232" s="69">
        <f>IF($A232="","",SUMIFS('Ordres de travail'!$S$5:$S$3004,'Ordres de travail'!$D$5:$D$3004,$A232,'Ordres de travail'!$AC$5:$AC$3004,"&lt;&gt;Annulé",'Ordres de travail'!$B$5:$B$3004,"&gt;="&amp;'Paramètres'!$AA$6,'Ordres de travail'!$B$5:$B$3004,"&lt;"&amp;('Paramètres'!$AA$7+1)))</f>
        <v/>
      </c>
      <c r="S232" s="70">
        <f>IF($A232="","",SUMIFS('Ordres de travail'!$AA$5:$AA$3004,'Ordres de travail'!$D$5:$D$3004,$A232,'Ordres de travail'!$B$5:$B$3004,"&gt;="&amp;'Paramètres'!$AA$6,'Ordres de travail'!$B$5:$B$3004,"&lt;"&amp;('Paramètres'!$AA$7+1)))</f>
        <v/>
      </c>
      <c r="T232" s="68">
        <f>IF($A232="","",IF(P232=0,"-",(O232*'Paramètres'!$AA$8-Q232)/P232))</f>
        <v/>
      </c>
      <c r="U232" s="69">
        <f>IF($A232="","",IF(P232=0,"-",Q232/P232))</f>
        <v/>
      </c>
      <c r="V232" s="71">
        <f>IF($A232="","",IF(N(O232)*'Paramètres'!$AA$8=0,"-",MAX(0,1-R232/(O232*'Paramètres'!$AA$8))))</f>
        <v/>
      </c>
      <c r="W232" s="68">
        <f>IF($A232="","",_xlfn.MAXIFS('Relevés compteurs'!$D$5:$D$1504,'Relevés compteurs'!$B$5:$B$1504,$A232))</f>
        <v/>
      </c>
      <c r="X232" s="69">
        <f>IF(OR($A232="",I232=""),"",(TODAY()-I232)/365.25)</f>
        <v/>
      </c>
      <c r="Y232" s="70">
        <f>IF($A232="","",SUMIFS('Ordres de travail'!$AA$5:$AA$3004,'Ordres de travail'!$D$5:$D$3004,$A232))</f>
        <v/>
      </c>
      <c r="Z232" s="68">
        <f>IF($A232="","",SUM(COUNTIFS('Ordres de travail'!$D$5:$D$3004,$A232,'Ordres de travail'!$AC$5:$AC$3004,{"Demandé","Planifié","En cours","En attente pièces"})))</f>
        <v/>
      </c>
      <c r="AA232" s="9">
        <f>IF(OR($A232="",M232=""),"",IF(M232&lt;TODAY(),"Expirée",IF(M232-TODAY()&lt;='Paramètres'!$AA$15,"Expire bientôt","Sous garantie")))</f>
        <v/>
      </c>
      <c r="AB232" s="72">
        <f>IF($A232="",-1,N(R232)+ROW()/1000000)</f>
        <v/>
      </c>
    </row>
    <row r="233">
      <c r="A233" s="7" t="n"/>
      <c r="B233" s="7" t="n"/>
      <c r="C233" s="7" t="n"/>
      <c r="D233" s="7" t="n"/>
      <c r="E233" s="7" t="n"/>
      <c r="F233" s="7" t="n"/>
      <c r="G233" s="7" t="n"/>
      <c r="H233" s="7" t="n"/>
      <c r="I233" s="65" t="n"/>
      <c r="J233" s="66" t="n"/>
      <c r="K233" s="7" t="n"/>
      <c r="L233" s="7" t="n"/>
      <c r="M233" s="65" t="n"/>
      <c r="N233" s="7" t="n"/>
      <c r="O233" s="67" t="n"/>
      <c r="P233" s="68">
        <f>IF($A233="","",COUNTIFS('Ordres de travail'!$D$5:$D$3004,$A233,'Ordres de travail'!$H$5:$H$3004,"Correctif",'Ordres de travail'!$AC$5:$AC$3004,"&lt;&gt;Annulé",'Ordres de travail'!$B$5:$B$3004,"&gt;="&amp;'Paramètres'!$AA$6,'Ordres de travail'!$B$5:$B$3004,"&lt;"&amp;('Paramètres'!$AA$7+1)))</f>
        <v/>
      </c>
      <c r="Q233" s="69">
        <f>IF($A233="","",SUMIFS('Ordres de travail'!$S$5:$S$3004,'Ordres de travail'!$D$5:$D$3004,$A233,'Ordres de travail'!$H$5:$H$3004,"Correctif",'Ordres de travail'!$AC$5:$AC$3004,"&lt;&gt;Annulé",'Ordres de travail'!$B$5:$B$3004,"&gt;="&amp;'Paramètres'!$AA$6,'Ordres de travail'!$B$5:$B$3004,"&lt;"&amp;('Paramètres'!$AA$7+1)))</f>
        <v/>
      </c>
      <c r="R233" s="69">
        <f>IF($A233="","",SUMIFS('Ordres de travail'!$S$5:$S$3004,'Ordres de travail'!$D$5:$D$3004,$A233,'Ordres de travail'!$AC$5:$AC$3004,"&lt;&gt;Annulé",'Ordres de travail'!$B$5:$B$3004,"&gt;="&amp;'Paramètres'!$AA$6,'Ordres de travail'!$B$5:$B$3004,"&lt;"&amp;('Paramètres'!$AA$7+1)))</f>
        <v/>
      </c>
      <c r="S233" s="70">
        <f>IF($A233="","",SUMIFS('Ordres de travail'!$AA$5:$AA$3004,'Ordres de travail'!$D$5:$D$3004,$A233,'Ordres de travail'!$B$5:$B$3004,"&gt;="&amp;'Paramètres'!$AA$6,'Ordres de travail'!$B$5:$B$3004,"&lt;"&amp;('Paramètres'!$AA$7+1)))</f>
        <v/>
      </c>
      <c r="T233" s="68">
        <f>IF($A233="","",IF(P233=0,"-",(O233*'Paramètres'!$AA$8-Q233)/P233))</f>
        <v/>
      </c>
      <c r="U233" s="69">
        <f>IF($A233="","",IF(P233=0,"-",Q233/P233))</f>
        <v/>
      </c>
      <c r="V233" s="71">
        <f>IF($A233="","",IF(N(O233)*'Paramètres'!$AA$8=0,"-",MAX(0,1-R233/(O233*'Paramètres'!$AA$8))))</f>
        <v/>
      </c>
      <c r="W233" s="68">
        <f>IF($A233="","",_xlfn.MAXIFS('Relevés compteurs'!$D$5:$D$1504,'Relevés compteurs'!$B$5:$B$1504,$A233))</f>
        <v/>
      </c>
      <c r="X233" s="69">
        <f>IF(OR($A233="",I233=""),"",(TODAY()-I233)/365.25)</f>
        <v/>
      </c>
      <c r="Y233" s="70">
        <f>IF($A233="","",SUMIFS('Ordres de travail'!$AA$5:$AA$3004,'Ordres de travail'!$D$5:$D$3004,$A233))</f>
        <v/>
      </c>
      <c r="Z233" s="68">
        <f>IF($A233="","",SUM(COUNTIFS('Ordres de travail'!$D$5:$D$3004,$A233,'Ordres de travail'!$AC$5:$AC$3004,{"Demandé","Planifié","En cours","En attente pièces"})))</f>
        <v/>
      </c>
      <c r="AA233" s="9">
        <f>IF(OR($A233="",M233=""),"",IF(M233&lt;TODAY(),"Expirée",IF(M233-TODAY()&lt;='Paramètres'!$AA$15,"Expire bientôt","Sous garantie")))</f>
        <v/>
      </c>
      <c r="AB233" s="72">
        <f>IF($A233="",-1,N(R233)+ROW()/1000000)</f>
        <v/>
      </c>
    </row>
    <row r="234">
      <c r="A234" s="7" t="n"/>
      <c r="B234" s="7" t="n"/>
      <c r="C234" s="7" t="n"/>
      <c r="D234" s="7" t="n"/>
      <c r="E234" s="7" t="n"/>
      <c r="F234" s="7" t="n"/>
      <c r="G234" s="7" t="n"/>
      <c r="H234" s="7" t="n"/>
      <c r="I234" s="65" t="n"/>
      <c r="J234" s="66" t="n"/>
      <c r="K234" s="7" t="n"/>
      <c r="L234" s="7" t="n"/>
      <c r="M234" s="65" t="n"/>
      <c r="N234" s="7" t="n"/>
      <c r="O234" s="67" t="n"/>
      <c r="P234" s="68">
        <f>IF($A234="","",COUNTIFS('Ordres de travail'!$D$5:$D$3004,$A234,'Ordres de travail'!$H$5:$H$3004,"Correctif",'Ordres de travail'!$AC$5:$AC$3004,"&lt;&gt;Annulé",'Ordres de travail'!$B$5:$B$3004,"&gt;="&amp;'Paramètres'!$AA$6,'Ordres de travail'!$B$5:$B$3004,"&lt;"&amp;('Paramètres'!$AA$7+1)))</f>
        <v/>
      </c>
      <c r="Q234" s="69">
        <f>IF($A234="","",SUMIFS('Ordres de travail'!$S$5:$S$3004,'Ordres de travail'!$D$5:$D$3004,$A234,'Ordres de travail'!$H$5:$H$3004,"Correctif",'Ordres de travail'!$AC$5:$AC$3004,"&lt;&gt;Annulé",'Ordres de travail'!$B$5:$B$3004,"&gt;="&amp;'Paramètres'!$AA$6,'Ordres de travail'!$B$5:$B$3004,"&lt;"&amp;('Paramètres'!$AA$7+1)))</f>
        <v/>
      </c>
      <c r="R234" s="69">
        <f>IF($A234="","",SUMIFS('Ordres de travail'!$S$5:$S$3004,'Ordres de travail'!$D$5:$D$3004,$A234,'Ordres de travail'!$AC$5:$AC$3004,"&lt;&gt;Annulé",'Ordres de travail'!$B$5:$B$3004,"&gt;="&amp;'Paramètres'!$AA$6,'Ordres de travail'!$B$5:$B$3004,"&lt;"&amp;('Paramètres'!$AA$7+1)))</f>
        <v/>
      </c>
      <c r="S234" s="70">
        <f>IF($A234="","",SUMIFS('Ordres de travail'!$AA$5:$AA$3004,'Ordres de travail'!$D$5:$D$3004,$A234,'Ordres de travail'!$B$5:$B$3004,"&gt;="&amp;'Paramètres'!$AA$6,'Ordres de travail'!$B$5:$B$3004,"&lt;"&amp;('Paramètres'!$AA$7+1)))</f>
        <v/>
      </c>
      <c r="T234" s="68">
        <f>IF($A234="","",IF(P234=0,"-",(O234*'Paramètres'!$AA$8-Q234)/P234))</f>
        <v/>
      </c>
      <c r="U234" s="69">
        <f>IF($A234="","",IF(P234=0,"-",Q234/P234))</f>
        <v/>
      </c>
      <c r="V234" s="71">
        <f>IF($A234="","",IF(N(O234)*'Paramètres'!$AA$8=0,"-",MAX(0,1-R234/(O234*'Paramètres'!$AA$8))))</f>
        <v/>
      </c>
      <c r="W234" s="68">
        <f>IF($A234="","",_xlfn.MAXIFS('Relevés compteurs'!$D$5:$D$1504,'Relevés compteurs'!$B$5:$B$1504,$A234))</f>
        <v/>
      </c>
      <c r="X234" s="69">
        <f>IF(OR($A234="",I234=""),"",(TODAY()-I234)/365.25)</f>
        <v/>
      </c>
      <c r="Y234" s="70">
        <f>IF($A234="","",SUMIFS('Ordres de travail'!$AA$5:$AA$3004,'Ordres de travail'!$D$5:$D$3004,$A234))</f>
        <v/>
      </c>
      <c r="Z234" s="68">
        <f>IF($A234="","",SUM(COUNTIFS('Ordres de travail'!$D$5:$D$3004,$A234,'Ordres de travail'!$AC$5:$AC$3004,{"Demandé","Planifié","En cours","En attente pièces"})))</f>
        <v/>
      </c>
      <c r="AA234" s="9">
        <f>IF(OR($A234="",M234=""),"",IF(M234&lt;TODAY(),"Expirée",IF(M234-TODAY()&lt;='Paramètres'!$AA$15,"Expire bientôt","Sous garantie")))</f>
        <v/>
      </c>
      <c r="AB234" s="72">
        <f>IF($A234="",-1,N(R234)+ROW()/1000000)</f>
        <v/>
      </c>
    </row>
    <row r="235">
      <c r="A235" s="7" t="n"/>
      <c r="B235" s="7" t="n"/>
      <c r="C235" s="7" t="n"/>
      <c r="D235" s="7" t="n"/>
      <c r="E235" s="7" t="n"/>
      <c r="F235" s="7" t="n"/>
      <c r="G235" s="7" t="n"/>
      <c r="H235" s="7" t="n"/>
      <c r="I235" s="65" t="n"/>
      <c r="J235" s="66" t="n"/>
      <c r="K235" s="7" t="n"/>
      <c r="L235" s="7" t="n"/>
      <c r="M235" s="65" t="n"/>
      <c r="N235" s="7" t="n"/>
      <c r="O235" s="67" t="n"/>
      <c r="P235" s="68">
        <f>IF($A235="","",COUNTIFS('Ordres de travail'!$D$5:$D$3004,$A235,'Ordres de travail'!$H$5:$H$3004,"Correctif",'Ordres de travail'!$AC$5:$AC$3004,"&lt;&gt;Annulé",'Ordres de travail'!$B$5:$B$3004,"&gt;="&amp;'Paramètres'!$AA$6,'Ordres de travail'!$B$5:$B$3004,"&lt;"&amp;('Paramètres'!$AA$7+1)))</f>
        <v/>
      </c>
      <c r="Q235" s="69">
        <f>IF($A235="","",SUMIFS('Ordres de travail'!$S$5:$S$3004,'Ordres de travail'!$D$5:$D$3004,$A235,'Ordres de travail'!$H$5:$H$3004,"Correctif",'Ordres de travail'!$AC$5:$AC$3004,"&lt;&gt;Annulé",'Ordres de travail'!$B$5:$B$3004,"&gt;="&amp;'Paramètres'!$AA$6,'Ordres de travail'!$B$5:$B$3004,"&lt;"&amp;('Paramètres'!$AA$7+1)))</f>
        <v/>
      </c>
      <c r="R235" s="69">
        <f>IF($A235="","",SUMIFS('Ordres de travail'!$S$5:$S$3004,'Ordres de travail'!$D$5:$D$3004,$A235,'Ordres de travail'!$AC$5:$AC$3004,"&lt;&gt;Annulé",'Ordres de travail'!$B$5:$B$3004,"&gt;="&amp;'Paramètres'!$AA$6,'Ordres de travail'!$B$5:$B$3004,"&lt;"&amp;('Paramètres'!$AA$7+1)))</f>
        <v/>
      </c>
      <c r="S235" s="70">
        <f>IF($A235="","",SUMIFS('Ordres de travail'!$AA$5:$AA$3004,'Ordres de travail'!$D$5:$D$3004,$A235,'Ordres de travail'!$B$5:$B$3004,"&gt;="&amp;'Paramètres'!$AA$6,'Ordres de travail'!$B$5:$B$3004,"&lt;"&amp;('Paramètres'!$AA$7+1)))</f>
        <v/>
      </c>
      <c r="T235" s="68">
        <f>IF($A235="","",IF(P235=0,"-",(O235*'Paramètres'!$AA$8-Q235)/P235))</f>
        <v/>
      </c>
      <c r="U235" s="69">
        <f>IF($A235="","",IF(P235=0,"-",Q235/P235))</f>
        <v/>
      </c>
      <c r="V235" s="71">
        <f>IF($A235="","",IF(N(O235)*'Paramètres'!$AA$8=0,"-",MAX(0,1-R235/(O235*'Paramètres'!$AA$8))))</f>
        <v/>
      </c>
      <c r="W235" s="68">
        <f>IF($A235="","",_xlfn.MAXIFS('Relevés compteurs'!$D$5:$D$1504,'Relevés compteurs'!$B$5:$B$1504,$A235))</f>
        <v/>
      </c>
      <c r="X235" s="69">
        <f>IF(OR($A235="",I235=""),"",(TODAY()-I235)/365.25)</f>
        <v/>
      </c>
      <c r="Y235" s="70">
        <f>IF($A235="","",SUMIFS('Ordres de travail'!$AA$5:$AA$3004,'Ordres de travail'!$D$5:$D$3004,$A235))</f>
        <v/>
      </c>
      <c r="Z235" s="68">
        <f>IF($A235="","",SUM(COUNTIFS('Ordres de travail'!$D$5:$D$3004,$A235,'Ordres de travail'!$AC$5:$AC$3004,{"Demandé","Planifié","En cours","En attente pièces"})))</f>
        <v/>
      </c>
      <c r="AA235" s="9">
        <f>IF(OR($A235="",M235=""),"",IF(M235&lt;TODAY(),"Expirée",IF(M235-TODAY()&lt;='Paramètres'!$AA$15,"Expire bientôt","Sous garantie")))</f>
        <v/>
      </c>
      <c r="AB235" s="72">
        <f>IF($A235="",-1,N(R235)+ROW()/1000000)</f>
        <v/>
      </c>
    </row>
    <row r="236">
      <c r="A236" s="7" t="n"/>
      <c r="B236" s="7" t="n"/>
      <c r="C236" s="7" t="n"/>
      <c r="D236" s="7" t="n"/>
      <c r="E236" s="7" t="n"/>
      <c r="F236" s="7" t="n"/>
      <c r="G236" s="7" t="n"/>
      <c r="H236" s="7" t="n"/>
      <c r="I236" s="65" t="n"/>
      <c r="J236" s="66" t="n"/>
      <c r="K236" s="7" t="n"/>
      <c r="L236" s="7" t="n"/>
      <c r="M236" s="65" t="n"/>
      <c r="N236" s="7" t="n"/>
      <c r="O236" s="67" t="n"/>
      <c r="P236" s="68">
        <f>IF($A236="","",COUNTIFS('Ordres de travail'!$D$5:$D$3004,$A236,'Ordres de travail'!$H$5:$H$3004,"Correctif",'Ordres de travail'!$AC$5:$AC$3004,"&lt;&gt;Annulé",'Ordres de travail'!$B$5:$B$3004,"&gt;="&amp;'Paramètres'!$AA$6,'Ordres de travail'!$B$5:$B$3004,"&lt;"&amp;('Paramètres'!$AA$7+1)))</f>
        <v/>
      </c>
      <c r="Q236" s="69">
        <f>IF($A236="","",SUMIFS('Ordres de travail'!$S$5:$S$3004,'Ordres de travail'!$D$5:$D$3004,$A236,'Ordres de travail'!$H$5:$H$3004,"Correctif",'Ordres de travail'!$AC$5:$AC$3004,"&lt;&gt;Annulé",'Ordres de travail'!$B$5:$B$3004,"&gt;="&amp;'Paramètres'!$AA$6,'Ordres de travail'!$B$5:$B$3004,"&lt;"&amp;('Paramètres'!$AA$7+1)))</f>
        <v/>
      </c>
      <c r="R236" s="69">
        <f>IF($A236="","",SUMIFS('Ordres de travail'!$S$5:$S$3004,'Ordres de travail'!$D$5:$D$3004,$A236,'Ordres de travail'!$AC$5:$AC$3004,"&lt;&gt;Annulé",'Ordres de travail'!$B$5:$B$3004,"&gt;="&amp;'Paramètres'!$AA$6,'Ordres de travail'!$B$5:$B$3004,"&lt;"&amp;('Paramètres'!$AA$7+1)))</f>
        <v/>
      </c>
      <c r="S236" s="70">
        <f>IF($A236="","",SUMIFS('Ordres de travail'!$AA$5:$AA$3004,'Ordres de travail'!$D$5:$D$3004,$A236,'Ordres de travail'!$B$5:$B$3004,"&gt;="&amp;'Paramètres'!$AA$6,'Ordres de travail'!$B$5:$B$3004,"&lt;"&amp;('Paramètres'!$AA$7+1)))</f>
        <v/>
      </c>
      <c r="T236" s="68">
        <f>IF($A236="","",IF(P236=0,"-",(O236*'Paramètres'!$AA$8-Q236)/P236))</f>
        <v/>
      </c>
      <c r="U236" s="69">
        <f>IF($A236="","",IF(P236=0,"-",Q236/P236))</f>
        <v/>
      </c>
      <c r="V236" s="71">
        <f>IF($A236="","",IF(N(O236)*'Paramètres'!$AA$8=0,"-",MAX(0,1-R236/(O236*'Paramètres'!$AA$8))))</f>
        <v/>
      </c>
      <c r="W236" s="68">
        <f>IF($A236="","",_xlfn.MAXIFS('Relevés compteurs'!$D$5:$D$1504,'Relevés compteurs'!$B$5:$B$1504,$A236))</f>
        <v/>
      </c>
      <c r="X236" s="69">
        <f>IF(OR($A236="",I236=""),"",(TODAY()-I236)/365.25)</f>
        <v/>
      </c>
      <c r="Y236" s="70">
        <f>IF($A236="","",SUMIFS('Ordres de travail'!$AA$5:$AA$3004,'Ordres de travail'!$D$5:$D$3004,$A236))</f>
        <v/>
      </c>
      <c r="Z236" s="68">
        <f>IF($A236="","",SUM(COUNTIFS('Ordres de travail'!$D$5:$D$3004,$A236,'Ordres de travail'!$AC$5:$AC$3004,{"Demandé","Planifié","En cours","En attente pièces"})))</f>
        <v/>
      </c>
      <c r="AA236" s="9">
        <f>IF(OR($A236="",M236=""),"",IF(M236&lt;TODAY(),"Expirée",IF(M236-TODAY()&lt;='Paramètres'!$AA$15,"Expire bientôt","Sous garantie")))</f>
        <v/>
      </c>
      <c r="AB236" s="72">
        <f>IF($A236="",-1,N(R236)+ROW()/1000000)</f>
        <v/>
      </c>
    </row>
    <row r="237">
      <c r="A237" s="7" t="n"/>
      <c r="B237" s="7" t="n"/>
      <c r="C237" s="7" t="n"/>
      <c r="D237" s="7" t="n"/>
      <c r="E237" s="7" t="n"/>
      <c r="F237" s="7" t="n"/>
      <c r="G237" s="7" t="n"/>
      <c r="H237" s="7" t="n"/>
      <c r="I237" s="65" t="n"/>
      <c r="J237" s="66" t="n"/>
      <c r="K237" s="7" t="n"/>
      <c r="L237" s="7" t="n"/>
      <c r="M237" s="65" t="n"/>
      <c r="N237" s="7" t="n"/>
      <c r="O237" s="67" t="n"/>
      <c r="P237" s="68">
        <f>IF($A237="","",COUNTIFS('Ordres de travail'!$D$5:$D$3004,$A237,'Ordres de travail'!$H$5:$H$3004,"Correctif",'Ordres de travail'!$AC$5:$AC$3004,"&lt;&gt;Annulé",'Ordres de travail'!$B$5:$B$3004,"&gt;="&amp;'Paramètres'!$AA$6,'Ordres de travail'!$B$5:$B$3004,"&lt;"&amp;('Paramètres'!$AA$7+1)))</f>
        <v/>
      </c>
      <c r="Q237" s="69">
        <f>IF($A237="","",SUMIFS('Ordres de travail'!$S$5:$S$3004,'Ordres de travail'!$D$5:$D$3004,$A237,'Ordres de travail'!$H$5:$H$3004,"Correctif",'Ordres de travail'!$AC$5:$AC$3004,"&lt;&gt;Annulé",'Ordres de travail'!$B$5:$B$3004,"&gt;="&amp;'Paramètres'!$AA$6,'Ordres de travail'!$B$5:$B$3004,"&lt;"&amp;('Paramètres'!$AA$7+1)))</f>
        <v/>
      </c>
      <c r="R237" s="69">
        <f>IF($A237="","",SUMIFS('Ordres de travail'!$S$5:$S$3004,'Ordres de travail'!$D$5:$D$3004,$A237,'Ordres de travail'!$AC$5:$AC$3004,"&lt;&gt;Annulé",'Ordres de travail'!$B$5:$B$3004,"&gt;="&amp;'Paramètres'!$AA$6,'Ordres de travail'!$B$5:$B$3004,"&lt;"&amp;('Paramètres'!$AA$7+1)))</f>
        <v/>
      </c>
      <c r="S237" s="70">
        <f>IF($A237="","",SUMIFS('Ordres de travail'!$AA$5:$AA$3004,'Ordres de travail'!$D$5:$D$3004,$A237,'Ordres de travail'!$B$5:$B$3004,"&gt;="&amp;'Paramètres'!$AA$6,'Ordres de travail'!$B$5:$B$3004,"&lt;"&amp;('Paramètres'!$AA$7+1)))</f>
        <v/>
      </c>
      <c r="T237" s="68">
        <f>IF($A237="","",IF(P237=0,"-",(O237*'Paramètres'!$AA$8-Q237)/P237))</f>
        <v/>
      </c>
      <c r="U237" s="69">
        <f>IF($A237="","",IF(P237=0,"-",Q237/P237))</f>
        <v/>
      </c>
      <c r="V237" s="71">
        <f>IF($A237="","",IF(N(O237)*'Paramètres'!$AA$8=0,"-",MAX(0,1-R237/(O237*'Paramètres'!$AA$8))))</f>
        <v/>
      </c>
      <c r="W237" s="68">
        <f>IF($A237="","",_xlfn.MAXIFS('Relevés compteurs'!$D$5:$D$1504,'Relevés compteurs'!$B$5:$B$1504,$A237))</f>
        <v/>
      </c>
      <c r="X237" s="69">
        <f>IF(OR($A237="",I237=""),"",(TODAY()-I237)/365.25)</f>
        <v/>
      </c>
      <c r="Y237" s="70">
        <f>IF($A237="","",SUMIFS('Ordres de travail'!$AA$5:$AA$3004,'Ordres de travail'!$D$5:$D$3004,$A237))</f>
        <v/>
      </c>
      <c r="Z237" s="68">
        <f>IF($A237="","",SUM(COUNTIFS('Ordres de travail'!$D$5:$D$3004,$A237,'Ordres de travail'!$AC$5:$AC$3004,{"Demandé","Planifié","En cours","En attente pièces"})))</f>
        <v/>
      </c>
      <c r="AA237" s="9">
        <f>IF(OR($A237="",M237=""),"",IF(M237&lt;TODAY(),"Expirée",IF(M237-TODAY()&lt;='Paramètres'!$AA$15,"Expire bientôt","Sous garantie")))</f>
        <v/>
      </c>
      <c r="AB237" s="72">
        <f>IF($A237="",-1,N(R237)+ROW()/1000000)</f>
        <v/>
      </c>
    </row>
    <row r="238">
      <c r="A238" s="7" t="n"/>
      <c r="B238" s="7" t="n"/>
      <c r="C238" s="7" t="n"/>
      <c r="D238" s="7" t="n"/>
      <c r="E238" s="7" t="n"/>
      <c r="F238" s="7" t="n"/>
      <c r="G238" s="7" t="n"/>
      <c r="H238" s="7" t="n"/>
      <c r="I238" s="65" t="n"/>
      <c r="J238" s="66" t="n"/>
      <c r="K238" s="7" t="n"/>
      <c r="L238" s="7" t="n"/>
      <c r="M238" s="65" t="n"/>
      <c r="N238" s="7" t="n"/>
      <c r="O238" s="67" t="n"/>
      <c r="P238" s="68">
        <f>IF($A238="","",COUNTIFS('Ordres de travail'!$D$5:$D$3004,$A238,'Ordres de travail'!$H$5:$H$3004,"Correctif",'Ordres de travail'!$AC$5:$AC$3004,"&lt;&gt;Annulé",'Ordres de travail'!$B$5:$B$3004,"&gt;="&amp;'Paramètres'!$AA$6,'Ordres de travail'!$B$5:$B$3004,"&lt;"&amp;('Paramètres'!$AA$7+1)))</f>
        <v/>
      </c>
      <c r="Q238" s="69">
        <f>IF($A238="","",SUMIFS('Ordres de travail'!$S$5:$S$3004,'Ordres de travail'!$D$5:$D$3004,$A238,'Ordres de travail'!$H$5:$H$3004,"Correctif",'Ordres de travail'!$AC$5:$AC$3004,"&lt;&gt;Annulé",'Ordres de travail'!$B$5:$B$3004,"&gt;="&amp;'Paramètres'!$AA$6,'Ordres de travail'!$B$5:$B$3004,"&lt;"&amp;('Paramètres'!$AA$7+1)))</f>
        <v/>
      </c>
      <c r="R238" s="69">
        <f>IF($A238="","",SUMIFS('Ordres de travail'!$S$5:$S$3004,'Ordres de travail'!$D$5:$D$3004,$A238,'Ordres de travail'!$AC$5:$AC$3004,"&lt;&gt;Annulé",'Ordres de travail'!$B$5:$B$3004,"&gt;="&amp;'Paramètres'!$AA$6,'Ordres de travail'!$B$5:$B$3004,"&lt;"&amp;('Paramètres'!$AA$7+1)))</f>
        <v/>
      </c>
      <c r="S238" s="70">
        <f>IF($A238="","",SUMIFS('Ordres de travail'!$AA$5:$AA$3004,'Ordres de travail'!$D$5:$D$3004,$A238,'Ordres de travail'!$B$5:$B$3004,"&gt;="&amp;'Paramètres'!$AA$6,'Ordres de travail'!$B$5:$B$3004,"&lt;"&amp;('Paramètres'!$AA$7+1)))</f>
        <v/>
      </c>
      <c r="T238" s="68">
        <f>IF($A238="","",IF(P238=0,"-",(O238*'Paramètres'!$AA$8-Q238)/P238))</f>
        <v/>
      </c>
      <c r="U238" s="69">
        <f>IF($A238="","",IF(P238=0,"-",Q238/P238))</f>
        <v/>
      </c>
      <c r="V238" s="71">
        <f>IF($A238="","",IF(N(O238)*'Paramètres'!$AA$8=0,"-",MAX(0,1-R238/(O238*'Paramètres'!$AA$8))))</f>
        <v/>
      </c>
      <c r="W238" s="68">
        <f>IF($A238="","",_xlfn.MAXIFS('Relevés compteurs'!$D$5:$D$1504,'Relevés compteurs'!$B$5:$B$1504,$A238))</f>
        <v/>
      </c>
      <c r="X238" s="69">
        <f>IF(OR($A238="",I238=""),"",(TODAY()-I238)/365.25)</f>
        <v/>
      </c>
      <c r="Y238" s="70">
        <f>IF($A238="","",SUMIFS('Ordres de travail'!$AA$5:$AA$3004,'Ordres de travail'!$D$5:$D$3004,$A238))</f>
        <v/>
      </c>
      <c r="Z238" s="68">
        <f>IF($A238="","",SUM(COUNTIFS('Ordres de travail'!$D$5:$D$3004,$A238,'Ordres de travail'!$AC$5:$AC$3004,{"Demandé","Planifié","En cours","En attente pièces"})))</f>
        <v/>
      </c>
      <c r="AA238" s="9">
        <f>IF(OR($A238="",M238=""),"",IF(M238&lt;TODAY(),"Expirée",IF(M238-TODAY()&lt;='Paramètres'!$AA$15,"Expire bientôt","Sous garantie")))</f>
        <v/>
      </c>
      <c r="AB238" s="72">
        <f>IF($A238="",-1,N(R238)+ROW()/1000000)</f>
        <v/>
      </c>
    </row>
    <row r="239">
      <c r="A239" s="7" t="n"/>
      <c r="B239" s="7" t="n"/>
      <c r="C239" s="7" t="n"/>
      <c r="D239" s="7" t="n"/>
      <c r="E239" s="7" t="n"/>
      <c r="F239" s="7" t="n"/>
      <c r="G239" s="7" t="n"/>
      <c r="H239" s="7" t="n"/>
      <c r="I239" s="65" t="n"/>
      <c r="J239" s="66" t="n"/>
      <c r="K239" s="7" t="n"/>
      <c r="L239" s="7" t="n"/>
      <c r="M239" s="65" t="n"/>
      <c r="N239" s="7" t="n"/>
      <c r="O239" s="67" t="n"/>
      <c r="P239" s="68">
        <f>IF($A239="","",COUNTIFS('Ordres de travail'!$D$5:$D$3004,$A239,'Ordres de travail'!$H$5:$H$3004,"Correctif",'Ordres de travail'!$AC$5:$AC$3004,"&lt;&gt;Annulé",'Ordres de travail'!$B$5:$B$3004,"&gt;="&amp;'Paramètres'!$AA$6,'Ordres de travail'!$B$5:$B$3004,"&lt;"&amp;('Paramètres'!$AA$7+1)))</f>
        <v/>
      </c>
      <c r="Q239" s="69">
        <f>IF($A239="","",SUMIFS('Ordres de travail'!$S$5:$S$3004,'Ordres de travail'!$D$5:$D$3004,$A239,'Ordres de travail'!$H$5:$H$3004,"Correctif",'Ordres de travail'!$AC$5:$AC$3004,"&lt;&gt;Annulé",'Ordres de travail'!$B$5:$B$3004,"&gt;="&amp;'Paramètres'!$AA$6,'Ordres de travail'!$B$5:$B$3004,"&lt;"&amp;('Paramètres'!$AA$7+1)))</f>
        <v/>
      </c>
      <c r="R239" s="69">
        <f>IF($A239="","",SUMIFS('Ordres de travail'!$S$5:$S$3004,'Ordres de travail'!$D$5:$D$3004,$A239,'Ordres de travail'!$AC$5:$AC$3004,"&lt;&gt;Annulé",'Ordres de travail'!$B$5:$B$3004,"&gt;="&amp;'Paramètres'!$AA$6,'Ordres de travail'!$B$5:$B$3004,"&lt;"&amp;('Paramètres'!$AA$7+1)))</f>
        <v/>
      </c>
      <c r="S239" s="70">
        <f>IF($A239="","",SUMIFS('Ordres de travail'!$AA$5:$AA$3004,'Ordres de travail'!$D$5:$D$3004,$A239,'Ordres de travail'!$B$5:$B$3004,"&gt;="&amp;'Paramètres'!$AA$6,'Ordres de travail'!$B$5:$B$3004,"&lt;"&amp;('Paramètres'!$AA$7+1)))</f>
        <v/>
      </c>
      <c r="T239" s="68">
        <f>IF($A239="","",IF(P239=0,"-",(O239*'Paramètres'!$AA$8-Q239)/P239))</f>
        <v/>
      </c>
      <c r="U239" s="69">
        <f>IF($A239="","",IF(P239=0,"-",Q239/P239))</f>
        <v/>
      </c>
      <c r="V239" s="71">
        <f>IF($A239="","",IF(N(O239)*'Paramètres'!$AA$8=0,"-",MAX(0,1-R239/(O239*'Paramètres'!$AA$8))))</f>
        <v/>
      </c>
      <c r="W239" s="68">
        <f>IF($A239="","",_xlfn.MAXIFS('Relevés compteurs'!$D$5:$D$1504,'Relevés compteurs'!$B$5:$B$1504,$A239))</f>
        <v/>
      </c>
      <c r="X239" s="69">
        <f>IF(OR($A239="",I239=""),"",(TODAY()-I239)/365.25)</f>
        <v/>
      </c>
      <c r="Y239" s="70">
        <f>IF($A239="","",SUMIFS('Ordres de travail'!$AA$5:$AA$3004,'Ordres de travail'!$D$5:$D$3004,$A239))</f>
        <v/>
      </c>
      <c r="Z239" s="68">
        <f>IF($A239="","",SUM(COUNTIFS('Ordres de travail'!$D$5:$D$3004,$A239,'Ordres de travail'!$AC$5:$AC$3004,{"Demandé","Planifié","En cours","En attente pièces"})))</f>
        <v/>
      </c>
      <c r="AA239" s="9">
        <f>IF(OR($A239="",M239=""),"",IF(M239&lt;TODAY(),"Expirée",IF(M239-TODAY()&lt;='Paramètres'!$AA$15,"Expire bientôt","Sous garantie")))</f>
        <v/>
      </c>
      <c r="AB239" s="72">
        <f>IF($A239="",-1,N(R239)+ROW()/1000000)</f>
        <v/>
      </c>
    </row>
    <row r="240">
      <c r="A240" s="7" t="n"/>
      <c r="B240" s="7" t="n"/>
      <c r="C240" s="7" t="n"/>
      <c r="D240" s="7" t="n"/>
      <c r="E240" s="7" t="n"/>
      <c r="F240" s="7" t="n"/>
      <c r="G240" s="7" t="n"/>
      <c r="H240" s="7" t="n"/>
      <c r="I240" s="65" t="n"/>
      <c r="J240" s="66" t="n"/>
      <c r="K240" s="7" t="n"/>
      <c r="L240" s="7" t="n"/>
      <c r="M240" s="65" t="n"/>
      <c r="N240" s="7" t="n"/>
      <c r="O240" s="67" t="n"/>
      <c r="P240" s="68">
        <f>IF($A240="","",COUNTIFS('Ordres de travail'!$D$5:$D$3004,$A240,'Ordres de travail'!$H$5:$H$3004,"Correctif",'Ordres de travail'!$AC$5:$AC$3004,"&lt;&gt;Annulé",'Ordres de travail'!$B$5:$B$3004,"&gt;="&amp;'Paramètres'!$AA$6,'Ordres de travail'!$B$5:$B$3004,"&lt;"&amp;('Paramètres'!$AA$7+1)))</f>
        <v/>
      </c>
      <c r="Q240" s="69">
        <f>IF($A240="","",SUMIFS('Ordres de travail'!$S$5:$S$3004,'Ordres de travail'!$D$5:$D$3004,$A240,'Ordres de travail'!$H$5:$H$3004,"Correctif",'Ordres de travail'!$AC$5:$AC$3004,"&lt;&gt;Annulé",'Ordres de travail'!$B$5:$B$3004,"&gt;="&amp;'Paramètres'!$AA$6,'Ordres de travail'!$B$5:$B$3004,"&lt;"&amp;('Paramètres'!$AA$7+1)))</f>
        <v/>
      </c>
      <c r="R240" s="69">
        <f>IF($A240="","",SUMIFS('Ordres de travail'!$S$5:$S$3004,'Ordres de travail'!$D$5:$D$3004,$A240,'Ordres de travail'!$AC$5:$AC$3004,"&lt;&gt;Annulé",'Ordres de travail'!$B$5:$B$3004,"&gt;="&amp;'Paramètres'!$AA$6,'Ordres de travail'!$B$5:$B$3004,"&lt;"&amp;('Paramètres'!$AA$7+1)))</f>
        <v/>
      </c>
      <c r="S240" s="70">
        <f>IF($A240="","",SUMIFS('Ordres de travail'!$AA$5:$AA$3004,'Ordres de travail'!$D$5:$D$3004,$A240,'Ordres de travail'!$B$5:$B$3004,"&gt;="&amp;'Paramètres'!$AA$6,'Ordres de travail'!$B$5:$B$3004,"&lt;"&amp;('Paramètres'!$AA$7+1)))</f>
        <v/>
      </c>
      <c r="T240" s="68">
        <f>IF($A240="","",IF(P240=0,"-",(O240*'Paramètres'!$AA$8-Q240)/P240))</f>
        <v/>
      </c>
      <c r="U240" s="69">
        <f>IF($A240="","",IF(P240=0,"-",Q240/P240))</f>
        <v/>
      </c>
      <c r="V240" s="71">
        <f>IF($A240="","",IF(N(O240)*'Paramètres'!$AA$8=0,"-",MAX(0,1-R240/(O240*'Paramètres'!$AA$8))))</f>
        <v/>
      </c>
      <c r="W240" s="68">
        <f>IF($A240="","",_xlfn.MAXIFS('Relevés compteurs'!$D$5:$D$1504,'Relevés compteurs'!$B$5:$B$1504,$A240))</f>
        <v/>
      </c>
      <c r="X240" s="69">
        <f>IF(OR($A240="",I240=""),"",(TODAY()-I240)/365.25)</f>
        <v/>
      </c>
      <c r="Y240" s="70">
        <f>IF($A240="","",SUMIFS('Ordres de travail'!$AA$5:$AA$3004,'Ordres de travail'!$D$5:$D$3004,$A240))</f>
        <v/>
      </c>
      <c r="Z240" s="68">
        <f>IF($A240="","",SUM(COUNTIFS('Ordres de travail'!$D$5:$D$3004,$A240,'Ordres de travail'!$AC$5:$AC$3004,{"Demandé","Planifié","En cours","En attente pièces"})))</f>
        <v/>
      </c>
      <c r="AA240" s="9">
        <f>IF(OR($A240="",M240=""),"",IF(M240&lt;TODAY(),"Expirée",IF(M240-TODAY()&lt;='Paramètres'!$AA$15,"Expire bientôt","Sous garantie")))</f>
        <v/>
      </c>
      <c r="AB240" s="72">
        <f>IF($A240="",-1,N(R240)+ROW()/1000000)</f>
        <v/>
      </c>
    </row>
    <row r="241">
      <c r="A241" s="7" t="n"/>
      <c r="B241" s="7" t="n"/>
      <c r="C241" s="7" t="n"/>
      <c r="D241" s="7" t="n"/>
      <c r="E241" s="7" t="n"/>
      <c r="F241" s="7" t="n"/>
      <c r="G241" s="7" t="n"/>
      <c r="H241" s="7" t="n"/>
      <c r="I241" s="65" t="n"/>
      <c r="J241" s="66" t="n"/>
      <c r="K241" s="7" t="n"/>
      <c r="L241" s="7" t="n"/>
      <c r="M241" s="65" t="n"/>
      <c r="N241" s="7" t="n"/>
      <c r="O241" s="67" t="n"/>
      <c r="P241" s="68">
        <f>IF($A241="","",COUNTIFS('Ordres de travail'!$D$5:$D$3004,$A241,'Ordres de travail'!$H$5:$H$3004,"Correctif",'Ordres de travail'!$AC$5:$AC$3004,"&lt;&gt;Annulé",'Ordres de travail'!$B$5:$B$3004,"&gt;="&amp;'Paramètres'!$AA$6,'Ordres de travail'!$B$5:$B$3004,"&lt;"&amp;('Paramètres'!$AA$7+1)))</f>
        <v/>
      </c>
      <c r="Q241" s="69">
        <f>IF($A241="","",SUMIFS('Ordres de travail'!$S$5:$S$3004,'Ordres de travail'!$D$5:$D$3004,$A241,'Ordres de travail'!$H$5:$H$3004,"Correctif",'Ordres de travail'!$AC$5:$AC$3004,"&lt;&gt;Annulé",'Ordres de travail'!$B$5:$B$3004,"&gt;="&amp;'Paramètres'!$AA$6,'Ordres de travail'!$B$5:$B$3004,"&lt;"&amp;('Paramètres'!$AA$7+1)))</f>
        <v/>
      </c>
      <c r="R241" s="69">
        <f>IF($A241="","",SUMIFS('Ordres de travail'!$S$5:$S$3004,'Ordres de travail'!$D$5:$D$3004,$A241,'Ordres de travail'!$AC$5:$AC$3004,"&lt;&gt;Annulé",'Ordres de travail'!$B$5:$B$3004,"&gt;="&amp;'Paramètres'!$AA$6,'Ordres de travail'!$B$5:$B$3004,"&lt;"&amp;('Paramètres'!$AA$7+1)))</f>
        <v/>
      </c>
      <c r="S241" s="70">
        <f>IF($A241="","",SUMIFS('Ordres de travail'!$AA$5:$AA$3004,'Ordres de travail'!$D$5:$D$3004,$A241,'Ordres de travail'!$B$5:$B$3004,"&gt;="&amp;'Paramètres'!$AA$6,'Ordres de travail'!$B$5:$B$3004,"&lt;"&amp;('Paramètres'!$AA$7+1)))</f>
        <v/>
      </c>
      <c r="T241" s="68">
        <f>IF($A241="","",IF(P241=0,"-",(O241*'Paramètres'!$AA$8-Q241)/P241))</f>
        <v/>
      </c>
      <c r="U241" s="69">
        <f>IF($A241="","",IF(P241=0,"-",Q241/P241))</f>
        <v/>
      </c>
      <c r="V241" s="71">
        <f>IF($A241="","",IF(N(O241)*'Paramètres'!$AA$8=0,"-",MAX(0,1-R241/(O241*'Paramètres'!$AA$8))))</f>
        <v/>
      </c>
      <c r="W241" s="68">
        <f>IF($A241="","",_xlfn.MAXIFS('Relevés compteurs'!$D$5:$D$1504,'Relevés compteurs'!$B$5:$B$1504,$A241))</f>
        <v/>
      </c>
      <c r="X241" s="69">
        <f>IF(OR($A241="",I241=""),"",(TODAY()-I241)/365.25)</f>
        <v/>
      </c>
      <c r="Y241" s="70">
        <f>IF($A241="","",SUMIFS('Ordres de travail'!$AA$5:$AA$3004,'Ordres de travail'!$D$5:$D$3004,$A241))</f>
        <v/>
      </c>
      <c r="Z241" s="68">
        <f>IF($A241="","",SUM(COUNTIFS('Ordres de travail'!$D$5:$D$3004,$A241,'Ordres de travail'!$AC$5:$AC$3004,{"Demandé","Planifié","En cours","En attente pièces"})))</f>
        <v/>
      </c>
      <c r="AA241" s="9">
        <f>IF(OR($A241="",M241=""),"",IF(M241&lt;TODAY(),"Expirée",IF(M241-TODAY()&lt;='Paramètres'!$AA$15,"Expire bientôt","Sous garantie")))</f>
        <v/>
      </c>
      <c r="AB241" s="72">
        <f>IF($A241="",-1,N(R241)+ROW()/1000000)</f>
        <v/>
      </c>
    </row>
    <row r="242">
      <c r="A242" s="7" t="n"/>
      <c r="B242" s="7" t="n"/>
      <c r="C242" s="7" t="n"/>
      <c r="D242" s="7" t="n"/>
      <c r="E242" s="7" t="n"/>
      <c r="F242" s="7" t="n"/>
      <c r="G242" s="7" t="n"/>
      <c r="H242" s="7" t="n"/>
      <c r="I242" s="65" t="n"/>
      <c r="J242" s="66" t="n"/>
      <c r="K242" s="7" t="n"/>
      <c r="L242" s="7" t="n"/>
      <c r="M242" s="65" t="n"/>
      <c r="N242" s="7" t="n"/>
      <c r="O242" s="67" t="n"/>
      <c r="P242" s="68">
        <f>IF($A242="","",COUNTIFS('Ordres de travail'!$D$5:$D$3004,$A242,'Ordres de travail'!$H$5:$H$3004,"Correctif",'Ordres de travail'!$AC$5:$AC$3004,"&lt;&gt;Annulé",'Ordres de travail'!$B$5:$B$3004,"&gt;="&amp;'Paramètres'!$AA$6,'Ordres de travail'!$B$5:$B$3004,"&lt;"&amp;('Paramètres'!$AA$7+1)))</f>
        <v/>
      </c>
      <c r="Q242" s="69">
        <f>IF($A242="","",SUMIFS('Ordres de travail'!$S$5:$S$3004,'Ordres de travail'!$D$5:$D$3004,$A242,'Ordres de travail'!$H$5:$H$3004,"Correctif",'Ordres de travail'!$AC$5:$AC$3004,"&lt;&gt;Annulé",'Ordres de travail'!$B$5:$B$3004,"&gt;="&amp;'Paramètres'!$AA$6,'Ordres de travail'!$B$5:$B$3004,"&lt;"&amp;('Paramètres'!$AA$7+1)))</f>
        <v/>
      </c>
      <c r="R242" s="69">
        <f>IF($A242="","",SUMIFS('Ordres de travail'!$S$5:$S$3004,'Ordres de travail'!$D$5:$D$3004,$A242,'Ordres de travail'!$AC$5:$AC$3004,"&lt;&gt;Annulé",'Ordres de travail'!$B$5:$B$3004,"&gt;="&amp;'Paramètres'!$AA$6,'Ordres de travail'!$B$5:$B$3004,"&lt;"&amp;('Paramètres'!$AA$7+1)))</f>
        <v/>
      </c>
      <c r="S242" s="70">
        <f>IF($A242="","",SUMIFS('Ordres de travail'!$AA$5:$AA$3004,'Ordres de travail'!$D$5:$D$3004,$A242,'Ordres de travail'!$B$5:$B$3004,"&gt;="&amp;'Paramètres'!$AA$6,'Ordres de travail'!$B$5:$B$3004,"&lt;"&amp;('Paramètres'!$AA$7+1)))</f>
        <v/>
      </c>
      <c r="T242" s="68">
        <f>IF($A242="","",IF(P242=0,"-",(O242*'Paramètres'!$AA$8-Q242)/P242))</f>
        <v/>
      </c>
      <c r="U242" s="69">
        <f>IF($A242="","",IF(P242=0,"-",Q242/P242))</f>
        <v/>
      </c>
      <c r="V242" s="71">
        <f>IF($A242="","",IF(N(O242)*'Paramètres'!$AA$8=0,"-",MAX(0,1-R242/(O242*'Paramètres'!$AA$8))))</f>
        <v/>
      </c>
      <c r="W242" s="68">
        <f>IF($A242="","",_xlfn.MAXIFS('Relevés compteurs'!$D$5:$D$1504,'Relevés compteurs'!$B$5:$B$1504,$A242))</f>
        <v/>
      </c>
      <c r="X242" s="69">
        <f>IF(OR($A242="",I242=""),"",(TODAY()-I242)/365.25)</f>
        <v/>
      </c>
      <c r="Y242" s="70">
        <f>IF($A242="","",SUMIFS('Ordres de travail'!$AA$5:$AA$3004,'Ordres de travail'!$D$5:$D$3004,$A242))</f>
        <v/>
      </c>
      <c r="Z242" s="68">
        <f>IF($A242="","",SUM(COUNTIFS('Ordres de travail'!$D$5:$D$3004,$A242,'Ordres de travail'!$AC$5:$AC$3004,{"Demandé","Planifié","En cours","En attente pièces"})))</f>
        <v/>
      </c>
      <c r="AA242" s="9">
        <f>IF(OR($A242="",M242=""),"",IF(M242&lt;TODAY(),"Expirée",IF(M242-TODAY()&lt;='Paramètres'!$AA$15,"Expire bientôt","Sous garantie")))</f>
        <v/>
      </c>
      <c r="AB242" s="72">
        <f>IF($A242="",-1,N(R242)+ROW()/1000000)</f>
        <v/>
      </c>
    </row>
    <row r="243">
      <c r="A243" s="7" t="n"/>
      <c r="B243" s="7" t="n"/>
      <c r="C243" s="7" t="n"/>
      <c r="D243" s="7" t="n"/>
      <c r="E243" s="7" t="n"/>
      <c r="F243" s="7" t="n"/>
      <c r="G243" s="7" t="n"/>
      <c r="H243" s="7" t="n"/>
      <c r="I243" s="65" t="n"/>
      <c r="J243" s="66" t="n"/>
      <c r="K243" s="7" t="n"/>
      <c r="L243" s="7" t="n"/>
      <c r="M243" s="65" t="n"/>
      <c r="N243" s="7" t="n"/>
      <c r="O243" s="67" t="n"/>
      <c r="P243" s="68">
        <f>IF($A243="","",COUNTIFS('Ordres de travail'!$D$5:$D$3004,$A243,'Ordres de travail'!$H$5:$H$3004,"Correctif",'Ordres de travail'!$AC$5:$AC$3004,"&lt;&gt;Annulé",'Ordres de travail'!$B$5:$B$3004,"&gt;="&amp;'Paramètres'!$AA$6,'Ordres de travail'!$B$5:$B$3004,"&lt;"&amp;('Paramètres'!$AA$7+1)))</f>
        <v/>
      </c>
      <c r="Q243" s="69">
        <f>IF($A243="","",SUMIFS('Ordres de travail'!$S$5:$S$3004,'Ordres de travail'!$D$5:$D$3004,$A243,'Ordres de travail'!$H$5:$H$3004,"Correctif",'Ordres de travail'!$AC$5:$AC$3004,"&lt;&gt;Annulé",'Ordres de travail'!$B$5:$B$3004,"&gt;="&amp;'Paramètres'!$AA$6,'Ordres de travail'!$B$5:$B$3004,"&lt;"&amp;('Paramètres'!$AA$7+1)))</f>
        <v/>
      </c>
      <c r="R243" s="69">
        <f>IF($A243="","",SUMIFS('Ordres de travail'!$S$5:$S$3004,'Ordres de travail'!$D$5:$D$3004,$A243,'Ordres de travail'!$AC$5:$AC$3004,"&lt;&gt;Annulé",'Ordres de travail'!$B$5:$B$3004,"&gt;="&amp;'Paramètres'!$AA$6,'Ordres de travail'!$B$5:$B$3004,"&lt;"&amp;('Paramètres'!$AA$7+1)))</f>
        <v/>
      </c>
      <c r="S243" s="70">
        <f>IF($A243="","",SUMIFS('Ordres de travail'!$AA$5:$AA$3004,'Ordres de travail'!$D$5:$D$3004,$A243,'Ordres de travail'!$B$5:$B$3004,"&gt;="&amp;'Paramètres'!$AA$6,'Ordres de travail'!$B$5:$B$3004,"&lt;"&amp;('Paramètres'!$AA$7+1)))</f>
        <v/>
      </c>
      <c r="T243" s="68">
        <f>IF($A243="","",IF(P243=0,"-",(O243*'Paramètres'!$AA$8-Q243)/P243))</f>
        <v/>
      </c>
      <c r="U243" s="69">
        <f>IF($A243="","",IF(P243=0,"-",Q243/P243))</f>
        <v/>
      </c>
      <c r="V243" s="71">
        <f>IF($A243="","",IF(N(O243)*'Paramètres'!$AA$8=0,"-",MAX(0,1-R243/(O243*'Paramètres'!$AA$8))))</f>
        <v/>
      </c>
      <c r="W243" s="68">
        <f>IF($A243="","",_xlfn.MAXIFS('Relevés compteurs'!$D$5:$D$1504,'Relevés compteurs'!$B$5:$B$1504,$A243))</f>
        <v/>
      </c>
      <c r="X243" s="69">
        <f>IF(OR($A243="",I243=""),"",(TODAY()-I243)/365.25)</f>
        <v/>
      </c>
      <c r="Y243" s="70">
        <f>IF($A243="","",SUMIFS('Ordres de travail'!$AA$5:$AA$3004,'Ordres de travail'!$D$5:$D$3004,$A243))</f>
        <v/>
      </c>
      <c r="Z243" s="68">
        <f>IF($A243="","",SUM(COUNTIFS('Ordres de travail'!$D$5:$D$3004,$A243,'Ordres de travail'!$AC$5:$AC$3004,{"Demandé","Planifié","En cours","En attente pièces"})))</f>
        <v/>
      </c>
      <c r="AA243" s="9">
        <f>IF(OR($A243="",M243=""),"",IF(M243&lt;TODAY(),"Expirée",IF(M243-TODAY()&lt;='Paramètres'!$AA$15,"Expire bientôt","Sous garantie")))</f>
        <v/>
      </c>
      <c r="AB243" s="72">
        <f>IF($A243="",-1,N(R243)+ROW()/1000000)</f>
        <v/>
      </c>
    </row>
    <row r="244">
      <c r="A244" s="7" t="n"/>
      <c r="B244" s="7" t="n"/>
      <c r="C244" s="7" t="n"/>
      <c r="D244" s="7" t="n"/>
      <c r="E244" s="7" t="n"/>
      <c r="F244" s="7" t="n"/>
      <c r="G244" s="7" t="n"/>
      <c r="H244" s="7" t="n"/>
      <c r="I244" s="65" t="n"/>
      <c r="J244" s="66" t="n"/>
      <c r="K244" s="7" t="n"/>
      <c r="L244" s="7" t="n"/>
      <c r="M244" s="65" t="n"/>
      <c r="N244" s="7" t="n"/>
      <c r="O244" s="67" t="n"/>
      <c r="P244" s="68">
        <f>IF($A244="","",COUNTIFS('Ordres de travail'!$D$5:$D$3004,$A244,'Ordres de travail'!$H$5:$H$3004,"Correctif",'Ordres de travail'!$AC$5:$AC$3004,"&lt;&gt;Annulé",'Ordres de travail'!$B$5:$B$3004,"&gt;="&amp;'Paramètres'!$AA$6,'Ordres de travail'!$B$5:$B$3004,"&lt;"&amp;('Paramètres'!$AA$7+1)))</f>
        <v/>
      </c>
      <c r="Q244" s="69">
        <f>IF($A244="","",SUMIFS('Ordres de travail'!$S$5:$S$3004,'Ordres de travail'!$D$5:$D$3004,$A244,'Ordres de travail'!$H$5:$H$3004,"Correctif",'Ordres de travail'!$AC$5:$AC$3004,"&lt;&gt;Annulé",'Ordres de travail'!$B$5:$B$3004,"&gt;="&amp;'Paramètres'!$AA$6,'Ordres de travail'!$B$5:$B$3004,"&lt;"&amp;('Paramètres'!$AA$7+1)))</f>
        <v/>
      </c>
      <c r="R244" s="69">
        <f>IF($A244="","",SUMIFS('Ordres de travail'!$S$5:$S$3004,'Ordres de travail'!$D$5:$D$3004,$A244,'Ordres de travail'!$AC$5:$AC$3004,"&lt;&gt;Annulé",'Ordres de travail'!$B$5:$B$3004,"&gt;="&amp;'Paramètres'!$AA$6,'Ordres de travail'!$B$5:$B$3004,"&lt;"&amp;('Paramètres'!$AA$7+1)))</f>
        <v/>
      </c>
      <c r="S244" s="70">
        <f>IF($A244="","",SUMIFS('Ordres de travail'!$AA$5:$AA$3004,'Ordres de travail'!$D$5:$D$3004,$A244,'Ordres de travail'!$B$5:$B$3004,"&gt;="&amp;'Paramètres'!$AA$6,'Ordres de travail'!$B$5:$B$3004,"&lt;"&amp;('Paramètres'!$AA$7+1)))</f>
        <v/>
      </c>
      <c r="T244" s="68">
        <f>IF($A244="","",IF(P244=0,"-",(O244*'Paramètres'!$AA$8-Q244)/P244))</f>
        <v/>
      </c>
      <c r="U244" s="69">
        <f>IF($A244="","",IF(P244=0,"-",Q244/P244))</f>
        <v/>
      </c>
      <c r="V244" s="71">
        <f>IF($A244="","",IF(N(O244)*'Paramètres'!$AA$8=0,"-",MAX(0,1-R244/(O244*'Paramètres'!$AA$8))))</f>
        <v/>
      </c>
      <c r="W244" s="68">
        <f>IF($A244="","",_xlfn.MAXIFS('Relevés compteurs'!$D$5:$D$1504,'Relevés compteurs'!$B$5:$B$1504,$A244))</f>
        <v/>
      </c>
      <c r="X244" s="69">
        <f>IF(OR($A244="",I244=""),"",(TODAY()-I244)/365.25)</f>
        <v/>
      </c>
      <c r="Y244" s="70">
        <f>IF($A244="","",SUMIFS('Ordres de travail'!$AA$5:$AA$3004,'Ordres de travail'!$D$5:$D$3004,$A244))</f>
        <v/>
      </c>
      <c r="Z244" s="68">
        <f>IF($A244="","",SUM(COUNTIFS('Ordres de travail'!$D$5:$D$3004,$A244,'Ordres de travail'!$AC$5:$AC$3004,{"Demandé","Planifié","En cours","En attente pièces"})))</f>
        <v/>
      </c>
      <c r="AA244" s="9">
        <f>IF(OR($A244="",M244=""),"",IF(M244&lt;TODAY(),"Expirée",IF(M244-TODAY()&lt;='Paramètres'!$AA$15,"Expire bientôt","Sous garantie")))</f>
        <v/>
      </c>
      <c r="AB244" s="72">
        <f>IF($A244="",-1,N(R244)+ROW()/1000000)</f>
        <v/>
      </c>
    </row>
    <row r="245">
      <c r="A245" s="7" t="n"/>
      <c r="B245" s="7" t="n"/>
      <c r="C245" s="7" t="n"/>
      <c r="D245" s="7" t="n"/>
      <c r="E245" s="7" t="n"/>
      <c r="F245" s="7" t="n"/>
      <c r="G245" s="7" t="n"/>
      <c r="H245" s="7" t="n"/>
      <c r="I245" s="65" t="n"/>
      <c r="J245" s="66" t="n"/>
      <c r="K245" s="7" t="n"/>
      <c r="L245" s="7" t="n"/>
      <c r="M245" s="65" t="n"/>
      <c r="N245" s="7" t="n"/>
      <c r="O245" s="67" t="n"/>
      <c r="P245" s="68">
        <f>IF($A245="","",COUNTIFS('Ordres de travail'!$D$5:$D$3004,$A245,'Ordres de travail'!$H$5:$H$3004,"Correctif",'Ordres de travail'!$AC$5:$AC$3004,"&lt;&gt;Annulé",'Ordres de travail'!$B$5:$B$3004,"&gt;="&amp;'Paramètres'!$AA$6,'Ordres de travail'!$B$5:$B$3004,"&lt;"&amp;('Paramètres'!$AA$7+1)))</f>
        <v/>
      </c>
      <c r="Q245" s="69">
        <f>IF($A245="","",SUMIFS('Ordres de travail'!$S$5:$S$3004,'Ordres de travail'!$D$5:$D$3004,$A245,'Ordres de travail'!$H$5:$H$3004,"Correctif",'Ordres de travail'!$AC$5:$AC$3004,"&lt;&gt;Annulé",'Ordres de travail'!$B$5:$B$3004,"&gt;="&amp;'Paramètres'!$AA$6,'Ordres de travail'!$B$5:$B$3004,"&lt;"&amp;('Paramètres'!$AA$7+1)))</f>
        <v/>
      </c>
      <c r="R245" s="69">
        <f>IF($A245="","",SUMIFS('Ordres de travail'!$S$5:$S$3004,'Ordres de travail'!$D$5:$D$3004,$A245,'Ordres de travail'!$AC$5:$AC$3004,"&lt;&gt;Annulé",'Ordres de travail'!$B$5:$B$3004,"&gt;="&amp;'Paramètres'!$AA$6,'Ordres de travail'!$B$5:$B$3004,"&lt;"&amp;('Paramètres'!$AA$7+1)))</f>
        <v/>
      </c>
      <c r="S245" s="70">
        <f>IF($A245="","",SUMIFS('Ordres de travail'!$AA$5:$AA$3004,'Ordres de travail'!$D$5:$D$3004,$A245,'Ordres de travail'!$B$5:$B$3004,"&gt;="&amp;'Paramètres'!$AA$6,'Ordres de travail'!$B$5:$B$3004,"&lt;"&amp;('Paramètres'!$AA$7+1)))</f>
        <v/>
      </c>
      <c r="T245" s="68">
        <f>IF($A245="","",IF(P245=0,"-",(O245*'Paramètres'!$AA$8-Q245)/P245))</f>
        <v/>
      </c>
      <c r="U245" s="69">
        <f>IF($A245="","",IF(P245=0,"-",Q245/P245))</f>
        <v/>
      </c>
      <c r="V245" s="71">
        <f>IF($A245="","",IF(N(O245)*'Paramètres'!$AA$8=0,"-",MAX(0,1-R245/(O245*'Paramètres'!$AA$8))))</f>
        <v/>
      </c>
      <c r="W245" s="68">
        <f>IF($A245="","",_xlfn.MAXIFS('Relevés compteurs'!$D$5:$D$1504,'Relevés compteurs'!$B$5:$B$1504,$A245))</f>
        <v/>
      </c>
      <c r="X245" s="69">
        <f>IF(OR($A245="",I245=""),"",(TODAY()-I245)/365.25)</f>
        <v/>
      </c>
      <c r="Y245" s="70">
        <f>IF($A245="","",SUMIFS('Ordres de travail'!$AA$5:$AA$3004,'Ordres de travail'!$D$5:$D$3004,$A245))</f>
        <v/>
      </c>
      <c r="Z245" s="68">
        <f>IF($A245="","",SUM(COUNTIFS('Ordres de travail'!$D$5:$D$3004,$A245,'Ordres de travail'!$AC$5:$AC$3004,{"Demandé","Planifié","En cours","En attente pièces"})))</f>
        <v/>
      </c>
      <c r="AA245" s="9">
        <f>IF(OR($A245="",M245=""),"",IF(M245&lt;TODAY(),"Expirée",IF(M245-TODAY()&lt;='Paramètres'!$AA$15,"Expire bientôt","Sous garantie")))</f>
        <v/>
      </c>
      <c r="AB245" s="72">
        <f>IF($A245="",-1,N(R245)+ROW()/1000000)</f>
        <v/>
      </c>
    </row>
    <row r="246">
      <c r="A246" s="7" t="n"/>
      <c r="B246" s="7" t="n"/>
      <c r="C246" s="7" t="n"/>
      <c r="D246" s="7" t="n"/>
      <c r="E246" s="7" t="n"/>
      <c r="F246" s="7" t="n"/>
      <c r="G246" s="7" t="n"/>
      <c r="H246" s="7" t="n"/>
      <c r="I246" s="65" t="n"/>
      <c r="J246" s="66" t="n"/>
      <c r="K246" s="7" t="n"/>
      <c r="L246" s="7" t="n"/>
      <c r="M246" s="65" t="n"/>
      <c r="N246" s="7" t="n"/>
      <c r="O246" s="67" t="n"/>
      <c r="P246" s="68">
        <f>IF($A246="","",COUNTIFS('Ordres de travail'!$D$5:$D$3004,$A246,'Ordres de travail'!$H$5:$H$3004,"Correctif",'Ordres de travail'!$AC$5:$AC$3004,"&lt;&gt;Annulé",'Ordres de travail'!$B$5:$B$3004,"&gt;="&amp;'Paramètres'!$AA$6,'Ordres de travail'!$B$5:$B$3004,"&lt;"&amp;('Paramètres'!$AA$7+1)))</f>
        <v/>
      </c>
      <c r="Q246" s="69">
        <f>IF($A246="","",SUMIFS('Ordres de travail'!$S$5:$S$3004,'Ordres de travail'!$D$5:$D$3004,$A246,'Ordres de travail'!$H$5:$H$3004,"Correctif",'Ordres de travail'!$AC$5:$AC$3004,"&lt;&gt;Annulé",'Ordres de travail'!$B$5:$B$3004,"&gt;="&amp;'Paramètres'!$AA$6,'Ordres de travail'!$B$5:$B$3004,"&lt;"&amp;('Paramètres'!$AA$7+1)))</f>
        <v/>
      </c>
      <c r="R246" s="69">
        <f>IF($A246="","",SUMIFS('Ordres de travail'!$S$5:$S$3004,'Ordres de travail'!$D$5:$D$3004,$A246,'Ordres de travail'!$AC$5:$AC$3004,"&lt;&gt;Annulé",'Ordres de travail'!$B$5:$B$3004,"&gt;="&amp;'Paramètres'!$AA$6,'Ordres de travail'!$B$5:$B$3004,"&lt;"&amp;('Paramètres'!$AA$7+1)))</f>
        <v/>
      </c>
      <c r="S246" s="70">
        <f>IF($A246="","",SUMIFS('Ordres de travail'!$AA$5:$AA$3004,'Ordres de travail'!$D$5:$D$3004,$A246,'Ordres de travail'!$B$5:$B$3004,"&gt;="&amp;'Paramètres'!$AA$6,'Ordres de travail'!$B$5:$B$3004,"&lt;"&amp;('Paramètres'!$AA$7+1)))</f>
        <v/>
      </c>
      <c r="T246" s="68">
        <f>IF($A246="","",IF(P246=0,"-",(O246*'Paramètres'!$AA$8-Q246)/P246))</f>
        <v/>
      </c>
      <c r="U246" s="69">
        <f>IF($A246="","",IF(P246=0,"-",Q246/P246))</f>
        <v/>
      </c>
      <c r="V246" s="71">
        <f>IF($A246="","",IF(N(O246)*'Paramètres'!$AA$8=0,"-",MAX(0,1-R246/(O246*'Paramètres'!$AA$8))))</f>
        <v/>
      </c>
      <c r="W246" s="68">
        <f>IF($A246="","",_xlfn.MAXIFS('Relevés compteurs'!$D$5:$D$1504,'Relevés compteurs'!$B$5:$B$1504,$A246))</f>
        <v/>
      </c>
      <c r="X246" s="69">
        <f>IF(OR($A246="",I246=""),"",(TODAY()-I246)/365.25)</f>
        <v/>
      </c>
      <c r="Y246" s="70">
        <f>IF($A246="","",SUMIFS('Ordres de travail'!$AA$5:$AA$3004,'Ordres de travail'!$D$5:$D$3004,$A246))</f>
        <v/>
      </c>
      <c r="Z246" s="68">
        <f>IF($A246="","",SUM(COUNTIFS('Ordres de travail'!$D$5:$D$3004,$A246,'Ordres de travail'!$AC$5:$AC$3004,{"Demandé","Planifié","En cours","En attente pièces"})))</f>
        <v/>
      </c>
      <c r="AA246" s="9">
        <f>IF(OR($A246="",M246=""),"",IF(M246&lt;TODAY(),"Expirée",IF(M246-TODAY()&lt;='Paramètres'!$AA$15,"Expire bientôt","Sous garantie")))</f>
        <v/>
      </c>
      <c r="AB246" s="72">
        <f>IF($A246="",-1,N(R246)+ROW()/1000000)</f>
        <v/>
      </c>
    </row>
    <row r="247">
      <c r="A247" s="7" t="n"/>
      <c r="B247" s="7" t="n"/>
      <c r="C247" s="7" t="n"/>
      <c r="D247" s="7" t="n"/>
      <c r="E247" s="7" t="n"/>
      <c r="F247" s="7" t="n"/>
      <c r="G247" s="7" t="n"/>
      <c r="H247" s="7" t="n"/>
      <c r="I247" s="65" t="n"/>
      <c r="J247" s="66" t="n"/>
      <c r="K247" s="7" t="n"/>
      <c r="L247" s="7" t="n"/>
      <c r="M247" s="65" t="n"/>
      <c r="N247" s="7" t="n"/>
      <c r="O247" s="67" t="n"/>
      <c r="P247" s="68">
        <f>IF($A247="","",COUNTIFS('Ordres de travail'!$D$5:$D$3004,$A247,'Ordres de travail'!$H$5:$H$3004,"Correctif",'Ordres de travail'!$AC$5:$AC$3004,"&lt;&gt;Annulé",'Ordres de travail'!$B$5:$B$3004,"&gt;="&amp;'Paramètres'!$AA$6,'Ordres de travail'!$B$5:$B$3004,"&lt;"&amp;('Paramètres'!$AA$7+1)))</f>
        <v/>
      </c>
      <c r="Q247" s="69">
        <f>IF($A247="","",SUMIFS('Ordres de travail'!$S$5:$S$3004,'Ordres de travail'!$D$5:$D$3004,$A247,'Ordres de travail'!$H$5:$H$3004,"Correctif",'Ordres de travail'!$AC$5:$AC$3004,"&lt;&gt;Annulé",'Ordres de travail'!$B$5:$B$3004,"&gt;="&amp;'Paramètres'!$AA$6,'Ordres de travail'!$B$5:$B$3004,"&lt;"&amp;('Paramètres'!$AA$7+1)))</f>
        <v/>
      </c>
      <c r="R247" s="69">
        <f>IF($A247="","",SUMIFS('Ordres de travail'!$S$5:$S$3004,'Ordres de travail'!$D$5:$D$3004,$A247,'Ordres de travail'!$AC$5:$AC$3004,"&lt;&gt;Annulé",'Ordres de travail'!$B$5:$B$3004,"&gt;="&amp;'Paramètres'!$AA$6,'Ordres de travail'!$B$5:$B$3004,"&lt;"&amp;('Paramètres'!$AA$7+1)))</f>
        <v/>
      </c>
      <c r="S247" s="70">
        <f>IF($A247="","",SUMIFS('Ordres de travail'!$AA$5:$AA$3004,'Ordres de travail'!$D$5:$D$3004,$A247,'Ordres de travail'!$B$5:$B$3004,"&gt;="&amp;'Paramètres'!$AA$6,'Ordres de travail'!$B$5:$B$3004,"&lt;"&amp;('Paramètres'!$AA$7+1)))</f>
        <v/>
      </c>
      <c r="T247" s="68">
        <f>IF($A247="","",IF(P247=0,"-",(O247*'Paramètres'!$AA$8-Q247)/P247))</f>
        <v/>
      </c>
      <c r="U247" s="69">
        <f>IF($A247="","",IF(P247=0,"-",Q247/P247))</f>
        <v/>
      </c>
      <c r="V247" s="71">
        <f>IF($A247="","",IF(N(O247)*'Paramètres'!$AA$8=0,"-",MAX(0,1-R247/(O247*'Paramètres'!$AA$8))))</f>
        <v/>
      </c>
      <c r="W247" s="68">
        <f>IF($A247="","",_xlfn.MAXIFS('Relevés compteurs'!$D$5:$D$1504,'Relevés compteurs'!$B$5:$B$1504,$A247))</f>
        <v/>
      </c>
      <c r="X247" s="69">
        <f>IF(OR($A247="",I247=""),"",(TODAY()-I247)/365.25)</f>
        <v/>
      </c>
      <c r="Y247" s="70">
        <f>IF($A247="","",SUMIFS('Ordres de travail'!$AA$5:$AA$3004,'Ordres de travail'!$D$5:$D$3004,$A247))</f>
        <v/>
      </c>
      <c r="Z247" s="68">
        <f>IF($A247="","",SUM(COUNTIFS('Ordres de travail'!$D$5:$D$3004,$A247,'Ordres de travail'!$AC$5:$AC$3004,{"Demandé","Planifié","En cours","En attente pièces"})))</f>
        <v/>
      </c>
      <c r="AA247" s="9">
        <f>IF(OR($A247="",M247=""),"",IF(M247&lt;TODAY(),"Expirée",IF(M247-TODAY()&lt;='Paramètres'!$AA$15,"Expire bientôt","Sous garantie")))</f>
        <v/>
      </c>
      <c r="AB247" s="72">
        <f>IF($A247="",-1,N(R247)+ROW()/1000000)</f>
        <v/>
      </c>
    </row>
    <row r="248">
      <c r="A248" s="7" t="n"/>
      <c r="B248" s="7" t="n"/>
      <c r="C248" s="7" t="n"/>
      <c r="D248" s="7" t="n"/>
      <c r="E248" s="7" t="n"/>
      <c r="F248" s="7" t="n"/>
      <c r="G248" s="7" t="n"/>
      <c r="H248" s="7" t="n"/>
      <c r="I248" s="65" t="n"/>
      <c r="J248" s="66" t="n"/>
      <c r="K248" s="7" t="n"/>
      <c r="L248" s="7" t="n"/>
      <c r="M248" s="65" t="n"/>
      <c r="N248" s="7" t="n"/>
      <c r="O248" s="67" t="n"/>
      <c r="P248" s="68">
        <f>IF($A248="","",COUNTIFS('Ordres de travail'!$D$5:$D$3004,$A248,'Ordres de travail'!$H$5:$H$3004,"Correctif",'Ordres de travail'!$AC$5:$AC$3004,"&lt;&gt;Annulé",'Ordres de travail'!$B$5:$B$3004,"&gt;="&amp;'Paramètres'!$AA$6,'Ordres de travail'!$B$5:$B$3004,"&lt;"&amp;('Paramètres'!$AA$7+1)))</f>
        <v/>
      </c>
      <c r="Q248" s="69">
        <f>IF($A248="","",SUMIFS('Ordres de travail'!$S$5:$S$3004,'Ordres de travail'!$D$5:$D$3004,$A248,'Ordres de travail'!$H$5:$H$3004,"Correctif",'Ordres de travail'!$AC$5:$AC$3004,"&lt;&gt;Annulé",'Ordres de travail'!$B$5:$B$3004,"&gt;="&amp;'Paramètres'!$AA$6,'Ordres de travail'!$B$5:$B$3004,"&lt;"&amp;('Paramètres'!$AA$7+1)))</f>
        <v/>
      </c>
      <c r="R248" s="69">
        <f>IF($A248="","",SUMIFS('Ordres de travail'!$S$5:$S$3004,'Ordres de travail'!$D$5:$D$3004,$A248,'Ordres de travail'!$AC$5:$AC$3004,"&lt;&gt;Annulé",'Ordres de travail'!$B$5:$B$3004,"&gt;="&amp;'Paramètres'!$AA$6,'Ordres de travail'!$B$5:$B$3004,"&lt;"&amp;('Paramètres'!$AA$7+1)))</f>
        <v/>
      </c>
      <c r="S248" s="70">
        <f>IF($A248="","",SUMIFS('Ordres de travail'!$AA$5:$AA$3004,'Ordres de travail'!$D$5:$D$3004,$A248,'Ordres de travail'!$B$5:$B$3004,"&gt;="&amp;'Paramètres'!$AA$6,'Ordres de travail'!$B$5:$B$3004,"&lt;"&amp;('Paramètres'!$AA$7+1)))</f>
        <v/>
      </c>
      <c r="T248" s="68">
        <f>IF($A248="","",IF(P248=0,"-",(O248*'Paramètres'!$AA$8-Q248)/P248))</f>
        <v/>
      </c>
      <c r="U248" s="69">
        <f>IF($A248="","",IF(P248=0,"-",Q248/P248))</f>
        <v/>
      </c>
      <c r="V248" s="71">
        <f>IF($A248="","",IF(N(O248)*'Paramètres'!$AA$8=0,"-",MAX(0,1-R248/(O248*'Paramètres'!$AA$8))))</f>
        <v/>
      </c>
      <c r="W248" s="68">
        <f>IF($A248="","",_xlfn.MAXIFS('Relevés compteurs'!$D$5:$D$1504,'Relevés compteurs'!$B$5:$B$1504,$A248))</f>
        <v/>
      </c>
      <c r="X248" s="69">
        <f>IF(OR($A248="",I248=""),"",(TODAY()-I248)/365.25)</f>
        <v/>
      </c>
      <c r="Y248" s="70">
        <f>IF($A248="","",SUMIFS('Ordres de travail'!$AA$5:$AA$3004,'Ordres de travail'!$D$5:$D$3004,$A248))</f>
        <v/>
      </c>
      <c r="Z248" s="68">
        <f>IF($A248="","",SUM(COUNTIFS('Ordres de travail'!$D$5:$D$3004,$A248,'Ordres de travail'!$AC$5:$AC$3004,{"Demandé","Planifié","En cours","En attente pièces"})))</f>
        <v/>
      </c>
      <c r="AA248" s="9">
        <f>IF(OR($A248="",M248=""),"",IF(M248&lt;TODAY(),"Expirée",IF(M248-TODAY()&lt;='Paramètres'!$AA$15,"Expire bientôt","Sous garantie")))</f>
        <v/>
      </c>
      <c r="AB248" s="72">
        <f>IF($A248="",-1,N(R248)+ROW()/1000000)</f>
        <v/>
      </c>
    </row>
    <row r="249">
      <c r="A249" s="7" t="n"/>
      <c r="B249" s="7" t="n"/>
      <c r="C249" s="7" t="n"/>
      <c r="D249" s="7" t="n"/>
      <c r="E249" s="7" t="n"/>
      <c r="F249" s="7" t="n"/>
      <c r="G249" s="7" t="n"/>
      <c r="H249" s="7" t="n"/>
      <c r="I249" s="65" t="n"/>
      <c r="J249" s="66" t="n"/>
      <c r="K249" s="7" t="n"/>
      <c r="L249" s="7" t="n"/>
      <c r="M249" s="65" t="n"/>
      <c r="N249" s="7" t="n"/>
      <c r="O249" s="67" t="n"/>
      <c r="P249" s="68">
        <f>IF($A249="","",COUNTIFS('Ordres de travail'!$D$5:$D$3004,$A249,'Ordres de travail'!$H$5:$H$3004,"Correctif",'Ordres de travail'!$AC$5:$AC$3004,"&lt;&gt;Annulé",'Ordres de travail'!$B$5:$B$3004,"&gt;="&amp;'Paramètres'!$AA$6,'Ordres de travail'!$B$5:$B$3004,"&lt;"&amp;('Paramètres'!$AA$7+1)))</f>
        <v/>
      </c>
      <c r="Q249" s="69">
        <f>IF($A249="","",SUMIFS('Ordres de travail'!$S$5:$S$3004,'Ordres de travail'!$D$5:$D$3004,$A249,'Ordres de travail'!$H$5:$H$3004,"Correctif",'Ordres de travail'!$AC$5:$AC$3004,"&lt;&gt;Annulé",'Ordres de travail'!$B$5:$B$3004,"&gt;="&amp;'Paramètres'!$AA$6,'Ordres de travail'!$B$5:$B$3004,"&lt;"&amp;('Paramètres'!$AA$7+1)))</f>
        <v/>
      </c>
      <c r="R249" s="69">
        <f>IF($A249="","",SUMIFS('Ordres de travail'!$S$5:$S$3004,'Ordres de travail'!$D$5:$D$3004,$A249,'Ordres de travail'!$AC$5:$AC$3004,"&lt;&gt;Annulé",'Ordres de travail'!$B$5:$B$3004,"&gt;="&amp;'Paramètres'!$AA$6,'Ordres de travail'!$B$5:$B$3004,"&lt;"&amp;('Paramètres'!$AA$7+1)))</f>
        <v/>
      </c>
      <c r="S249" s="70">
        <f>IF($A249="","",SUMIFS('Ordres de travail'!$AA$5:$AA$3004,'Ordres de travail'!$D$5:$D$3004,$A249,'Ordres de travail'!$B$5:$B$3004,"&gt;="&amp;'Paramètres'!$AA$6,'Ordres de travail'!$B$5:$B$3004,"&lt;"&amp;('Paramètres'!$AA$7+1)))</f>
        <v/>
      </c>
      <c r="T249" s="68">
        <f>IF($A249="","",IF(P249=0,"-",(O249*'Paramètres'!$AA$8-Q249)/P249))</f>
        <v/>
      </c>
      <c r="U249" s="69">
        <f>IF($A249="","",IF(P249=0,"-",Q249/P249))</f>
        <v/>
      </c>
      <c r="V249" s="71">
        <f>IF($A249="","",IF(N(O249)*'Paramètres'!$AA$8=0,"-",MAX(0,1-R249/(O249*'Paramètres'!$AA$8))))</f>
        <v/>
      </c>
      <c r="W249" s="68">
        <f>IF($A249="","",_xlfn.MAXIFS('Relevés compteurs'!$D$5:$D$1504,'Relevés compteurs'!$B$5:$B$1504,$A249))</f>
        <v/>
      </c>
      <c r="X249" s="69">
        <f>IF(OR($A249="",I249=""),"",(TODAY()-I249)/365.25)</f>
        <v/>
      </c>
      <c r="Y249" s="70">
        <f>IF($A249="","",SUMIFS('Ordres de travail'!$AA$5:$AA$3004,'Ordres de travail'!$D$5:$D$3004,$A249))</f>
        <v/>
      </c>
      <c r="Z249" s="68">
        <f>IF($A249="","",SUM(COUNTIFS('Ordres de travail'!$D$5:$D$3004,$A249,'Ordres de travail'!$AC$5:$AC$3004,{"Demandé","Planifié","En cours","En attente pièces"})))</f>
        <v/>
      </c>
      <c r="AA249" s="9">
        <f>IF(OR($A249="",M249=""),"",IF(M249&lt;TODAY(),"Expirée",IF(M249-TODAY()&lt;='Paramètres'!$AA$15,"Expire bientôt","Sous garantie")))</f>
        <v/>
      </c>
      <c r="AB249" s="72">
        <f>IF($A249="",-1,N(R249)+ROW()/1000000)</f>
        <v/>
      </c>
    </row>
    <row r="250">
      <c r="A250" s="7" t="n"/>
      <c r="B250" s="7" t="n"/>
      <c r="C250" s="7" t="n"/>
      <c r="D250" s="7" t="n"/>
      <c r="E250" s="7" t="n"/>
      <c r="F250" s="7" t="n"/>
      <c r="G250" s="7" t="n"/>
      <c r="H250" s="7" t="n"/>
      <c r="I250" s="65" t="n"/>
      <c r="J250" s="66" t="n"/>
      <c r="K250" s="7" t="n"/>
      <c r="L250" s="7" t="n"/>
      <c r="M250" s="65" t="n"/>
      <c r="N250" s="7" t="n"/>
      <c r="O250" s="67" t="n"/>
      <c r="P250" s="68">
        <f>IF($A250="","",COUNTIFS('Ordres de travail'!$D$5:$D$3004,$A250,'Ordres de travail'!$H$5:$H$3004,"Correctif",'Ordres de travail'!$AC$5:$AC$3004,"&lt;&gt;Annulé",'Ordres de travail'!$B$5:$B$3004,"&gt;="&amp;'Paramètres'!$AA$6,'Ordres de travail'!$B$5:$B$3004,"&lt;"&amp;('Paramètres'!$AA$7+1)))</f>
        <v/>
      </c>
      <c r="Q250" s="69">
        <f>IF($A250="","",SUMIFS('Ordres de travail'!$S$5:$S$3004,'Ordres de travail'!$D$5:$D$3004,$A250,'Ordres de travail'!$H$5:$H$3004,"Correctif",'Ordres de travail'!$AC$5:$AC$3004,"&lt;&gt;Annulé",'Ordres de travail'!$B$5:$B$3004,"&gt;="&amp;'Paramètres'!$AA$6,'Ordres de travail'!$B$5:$B$3004,"&lt;"&amp;('Paramètres'!$AA$7+1)))</f>
        <v/>
      </c>
      <c r="R250" s="69">
        <f>IF($A250="","",SUMIFS('Ordres de travail'!$S$5:$S$3004,'Ordres de travail'!$D$5:$D$3004,$A250,'Ordres de travail'!$AC$5:$AC$3004,"&lt;&gt;Annulé",'Ordres de travail'!$B$5:$B$3004,"&gt;="&amp;'Paramètres'!$AA$6,'Ordres de travail'!$B$5:$B$3004,"&lt;"&amp;('Paramètres'!$AA$7+1)))</f>
        <v/>
      </c>
      <c r="S250" s="70">
        <f>IF($A250="","",SUMIFS('Ordres de travail'!$AA$5:$AA$3004,'Ordres de travail'!$D$5:$D$3004,$A250,'Ordres de travail'!$B$5:$B$3004,"&gt;="&amp;'Paramètres'!$AA$6,'Ordres de travail'!$B$5:$B$3004,"&lt;"&amp;('Paramètres'!$AA$7+1)))</f>
        <v/>
      </c>
      <c r="T250" s="68">
        <f>IF($A250="","",IF(P250=0,"-",(O250*'Paramètres'!$AA$8-Q250)/P250))</f>
        <v/>
      </c>
      <c r="U250" s="69">
        <f>IF($A250="","",IF(P250=0,"-",Q250/P250))</f>
        <v/>
      </c>
      <c r="V250" s="71">
        <f>IF($A250="","",IF(N(O250)*'Paramètres'!$AA$8=0,"-",MAX(0,1-R250/(O250*'Paramètres'!$AA$8))))</f>
        <v/>
      </c>
      <c r="W250" s="68">
        <f>IF($A250="","",_xlfn.MAXIFS('Relevés compteurs'!$D$5:$D$1504,'Relevés compteurs'!$B$5:$B$1504,$A250))</f>
        <v/>
      </c>
      <c r="X250" s="69">
        <f>IF(OR($A250="",I250=""),"",(TODAY()-I250)/365.25)</f>
        <v/>
      </c>
      <c r="Y250" s="70">
        <f>IF($A250="","",SUMIFS('Ordres de travail'!$AA$5:$AA$3004,'Ordres de travail'!$D$5:$D$3004,$A250))</f>
        <v/>
      </c>
      <c r="Z250" s="68">
        <f>IF($A250="","",SUM(COUNTIFS('Ordres de travail'!$D$5:$D$3004,$A250,'Ordres de travail'!$AC$5:$AC$3004,{"Demandé","Planifié","En cours","En attente pièces"})))</f>
        <v/>
      </c>
      <c r="AA250" s="9">
        <f>IF(OR($A250="",M250=""),"",IF(M250&lt;TODAY(),"Expirée",IF(M250-TODAY()&lt;='Paramètres'!$AA$15,"Expire bientôt","Sous garantie")))</f>
        <v/>
      </c>
      <c r="AB250" s="72">
        <f>IF($A250="",-1,N(R250)+ROW()/1000000)</f>
        <v/>
      </c>
    </row>
    <row r="251">
      <c r="A251" s="7" t="n"/>
      <c r="B251" s="7" t="n"/>
      <c r="C251" s="7" t="n"/>
      <c r="D251" s="7" t="n"/>
      <c r="E251" s="7" t="n"/>
      <c r="F251" s="7" t="n"/>
      <c r="G251" s="7" t="n"/>
      <c r="H251" s="7" t="n"/>
      <c r="I251" s="65" t="n"/>
      <c r="J251" s="66" t="n"/>
      <c r="K251" s="7" t="n"/>
      <c r="L251" s="7" t="n"/>
      <c r="M251" s="65" t="n"/>
      <c r="N251" s="7" t="n"/>
      <c r="O251" s="67" t="n"/>
      <c r="P251" s="68">
        <f>IF($A251="","",COUNTIFS('Ordres de travail'!$D$5:$D$3004,$A251,'Ordres de travail'!$H$5:$H$3004,"Correctif",'Ordres de travail'!$AC$5:$AC$3004,"&lt;&gt;Annulé",'Ordres de travail'!$B$5:$B$3004,"&gt;="&amp;'Paramètres'!$AA$6,'Ordres de travail'!$B$5:$B$3004,"&lt;"&amp;('Paramètres'!$AA$7+1)))</f>
        <v/>
      </c>
      <c r="Q251" s="69">
        <f>IF($A251="","",SUMIFS('Ordres de travail'!$S$5:$S$3004,'Ordres de travail'!$D$5:$D$3004,$A251,'Ordres de travail'!$H$5:$H$3004,"Correctif",'Ordres de travail'!$AC$5:$AC$3004,"&lt;&gt;Annulé",'Ordres de travail'!$B$5:$B$3004,"&gt;="&amp;'Paramètres'!$AA$6,'Ordres de travail'!$B$5:$B$3004,"&lt;"&amp;('Paramètres'!$AA$7+1)))</f>
        <v/>
      </c>
      <c r="R251" s="69">
        <f>IF($A251="","",SUMIFS('Ordres de travail'!$S$5:$S$3004,'Ordres de travail'!$D$5:$D$3004,$A251,'Ordres de travail'!$AC$5:$AC$3004,"&lt;&gt;Annulé",'Ordres de travail'!$B$5:$B$3004,"&gt;="&amp;'Paramètres'!$AA$6,'Ordres de travail'!$B$5:$B$3004,"&lt;"&amp;('Paramètres'!$AA$7+1)))</f>
        <v/>
      </c>
      <c r="S251" s="70">
        <f>IF($A251="","",SUMIFS('Ordres de travail'!$AA$5:$AA$3004,'Ordres de travail'!$D$5:$D$3004,$A251,'Ordres de travail'!$B$5:$B$3004,"&gt;="&amp;'Paramètres'!$AA$6,'Ordres de travail'!$B$5:$B$3004,"&lt;"&amp;('Paramètres'!$AA$7+1)))</f>
        <v/>
      </c>
      <c r="T251" s="68">
        <f>IF($A251="","",IF(P251=0,"-",(O251*'Paramètres'!$AA$8-Q251)/P251))</f>
        <v/>
      </c>
      <c r="U251" s="69">
        <f>IF($A251="","",IF(P251=0,"-",Q251/P251))</f>
        <v/>
      </c>
      <c r="V251" s="71">
        <f>IF($A251="","",IF(N(O251)*'Paramètres'!$AA$8=0,"-",MAX(0,1-R251/(O251*'Paramètres'!$AA$8))))</f>
        <v/>
      </c>
      <c r="W251" s="68">
        <f>IF($A251="","",_xlfn.MAXIFS('Relevés compteurs'!$D$5:$D$1504,'Relevés compteurs'!$B$5:$B$1504,$A251))</f>
        <v/>
      </c>
      <c r="X251" s="69">
        <f>IF(OR($A251="",I251=""),"",(TODAY()-I251)/365.25)</f>
        <v/>
      </c>
      <c r="Y251" s="70">
        <f>IF($A251="","",SUMIFS('Ordres de travail'!$AA$5:$AA$3004,'Ordres de travail'!$D$5:$D$3004,$A251))</f>
        <v/>
      </c>
      <c r="Z251" s="68">
        <f>IF($A251="","",SUM(COUNTIFS('Ordres de travail'!$D$5:$D$3004,$A251,'Ordres de travail'!$AC$5:$AC$3004,{"Demandé","Planifié","En cours","En attente pièces"})))</f>
        <v/>
      </c>
      <c r="AA251" s="9">
        <f>IF(OR($A251="",M251=""),"",IF(M251&lt;TODAY(),"Expirée",IF(M251-TODAY()&lt;='Paramètres'!$AA$15,"Expire bientôt","Sous garantie")))</f>
        <v/>
      </c>
      <c r="AB251" s="72">
        <f>IF($A251="",-1,N(R251)+ROW()/1000000)</f>
        <v/>
      </c>
    </row>
    <row r="252">
      <c r="A252" s="7" t="n"/>
      <c r="B252" s="7" t="n"/>
      <c r="C252" s="7" t="n"/>
      <c r="D252" s="7" t="n"/>
      <c r="E252" s="7" t="n"/>
      <c r="F252" s="7" t="n"/>
      <c r="G252" s="7" t="n"/>
      <c r="H252" s="7" t="n"/>
      <c r="I252" s="65" t="n"/>
      <c r="J252" s="66" t="n"/>
      <c r="K252" s="7" t="n"/>
      <c r="L252" s="7" t="n"/>
      <c r="M252" s="65" t="n"/>
      <c r="N252" s="7" t="n"/>
      <c r="O252" s="67" t="n"/>
      <c r="P252" s="68">
        <f>IF($A252="","",COUNTIFS('Ordres de travail'!$D$5:$D$3004,$A252,'Ordres de travail'!$H$5:$H$3004,"Correctif",'Ordres de travail'!$AC$5:$AC$3004,"&lt;&gt;Annulé",'Ordres de travail'!$B$5:$B$3004,"&gt;="&amp;'Paramètres'!$AA$6,'Ordres de travail'!$B$5:$B$3004,"&lt;"&amp;('Paramètres'!$AA$7+1)))</f>
        <v/>
      </c>
      <c r="Q252" s="69">
        <f>IF($A252="","",SUMIFS('Ordres de travail'!$S$5:$S$3004,'Ordres de travail'!$D$5:$D$3004,$A252,'Ordres de travail'!$H$5:$H$3004,"Correctif",'Ordres de travail'!$AC$5:$AC$3004,"&lt;&gt;Annulé",'Ordres de travail'!$B$5:$B$3004,"&gt;="&amp;'Paramètres'!$AA$6,'Ordres de travail'!$B$5:$B$3004,"&lt;"&amp;('Paramètres'!$AA$7+1)))</f>
        <v/>
      </c>
      <c r="R252" s="69">
        <f>IF($A252="","",SUMIFS('Ordres de travail'!$S$5:$S$3004,'Ordres de travail'!$D$5:$D$3004,$A252,'Ordres de travail'!$AC$5:$AC$3004,"&lt;&gt;Annulé",'Ordres de travail'!$B$5:$B$3004,"&gt;="&amp;'Paramètres'!$AA$6,'Ordres de travail'!$B$5:$B$3004,"&lt;"&amp;('Paramètres'!$AA$7+1)))</f>
        <v/>
      </c>
      <c r="S252" s="70">
        <f>IF($A252="","",SUMIFS('Ordres de travail'!$AA$5:$AA$3004,'Ordres de travail'!$D$5:$D$3004,$A252,'Ordres de travail'!$B$5:$B$3004,"&gt;="&amp;'Paramètres'!$AA$6,'Ordres de travail'!$B$5:$B$3004,"&lt;"&amp;('Paramètres'!$AA$7+1)))</f>
        <v/>
      </c>
      <c r="T252" s="68">
        <f>IF($A252="","",IF(P252=0,"-",(O252*'Paramètres'!$AA$8-Q252)/P252))</f>
        <v/>
      </c>
      <c r="U252" s="69">
        <f>IF($A252="","",IF(P252=0,"-",Q252/P252))</f>
        <v/>
      </c>
      <c r="V252" s="71">
        <f>IF($A252="","",IF(N(O252)*'Paramètres'!$AA$8=0,"-",MAX(0,1-R252/(O252*'Paramètres'!$AA$8))))</f>
        <v/>
      </c>
      <c r="W252" s="68">
        <f>IF($A252="","",_xlfn.MAXIFS('Relevés compteurs'!$D$5:$D$1504,'Relevés compteurs'!$B$5:$B$1504,$A252))</f>
        <v/>
      </c>
      <c r="X252" s="69">
        <f>IF(OR($A252="",I252=""),"",(TODAY()-I252)/365.25)</f>
        <v/>
      </c>
      <c r="Y252" s="70">
        <f>IF($A252="","",SUMIFS('Ordres de travail'!$AA$5:$AA$3004,'Ordres de travail'!$D$5:$D$3004,$A252))</f>
        <v/>
      </c>
      <c r="Z252" s="68">
        <f>IF($A252="","",SUM(COUNTIFS('Ordres de travail'!$D$5:$D$3004,$A252,'Ordres de travail'!$AC$5:$AC$3004,{"Demandé","Planifié","En cours","En attente pièces"})))</f>
        <v/>
      </c>
      <c r="AA252" s="9">
        <f>IF(OR($A252="",M252=""),"",IF(M252&lt;TODAY(),"Expirée",IF(M252-TODAY()&lt;='Paramètres'!$AA$15,"Expire bientôt","Sous garantie")))</f>
        <v/>
      </c>
      <c r="AB252" s="72">
        <f>IF($A252="",-1,N(R252)+ROW()/1000000)</f>
        <v/>
      </c>
    </row>
    <row r="253">
      <c r="A253" s="7" t="n"/>
      <c r="B253" s="7" t="n"/>
      <c r="C253" s="7" t="n"/>
      <c r="D253" s="7" t="n"/>
      <c r="E253" s="7" t="n"/>
      <c r="F253" s="7" t="n"/>
      <c r="G253" s="7" t="n"/>
      <c r="H253" s="7" t="n"/>
      <c r="I253" s="65" t="n"/>
      <c r="J253" s="66" t="n"/>
      <c r="K253" s="7" t="n"/>
      <c r="L253" s="7" t="n"/>
      <c r="M253" s="65" t="n"/>
      <c r="N253" s="7" t="n"/>
      <c r="O253" s="67" t="n"/>
      <c r="P253" s="68">
        <f>IF($A253="","",COUNTIFS('Ordres de travail'!$D$5:$D$3004,$A253,'Ordres de travail'!$H$5:$H$3004,"Correctif",'Ordres de travail'!$AC$5:$AC$3004,"&lt;&gt;Annulé",'Ordres de travail'!$B$5:$B$3004,"&gt;="&amp;'Paramètres'!$AA$6,'Ordres de travail'!$B$5:$B$3004,"&lt;"&amp;('Paramètres'!$AA$7+1)))</f>
        <v/>
      </c>
      <c r="Q253" s="69">
        <f>IF($A253="","",SUMIFS('Ordres de travail'!$S$5:$S$3004,'Ordres de travail'!$D$5:$D$3004,$A253,'Ordres de travail'!$H$5:$H$3004,"Correctif",'Ordres de travail'!$AC$5:$AC$3004,"&lt;&gt;Annulé",'Ordres de travail'!$B$5:$B$3004,"&gt;="&amp;'Paramètres'!$AA$6,'Ordres de travail'!$B$5:$B$3004,"&lt;"&amp;('Paramètres'!$AA$7+1)))</f>
        <v/>
      </c>
      <c r="R253" s="69">
        <f>IF($A253="","",SUMIFS('Ordres de travail'!$S$5:$S$3004,'Ordres de travail'!$D$5:$D$3004,$A253,'Ordres de travail'!$AC$5:$AC$3004,"&lt;&gt;Annulé",'Ordres de travail'!$B$5:$B$3004,"&gt;="&amp;'Paramètres'!$AA$6,'Ordres de travail'!$B$5:$B$3004,"&lt;"&amp;('Paramètres'!$AA$7+1)))</f>
        <v/>
      </c>
      <c r="S253" s="70">
        <f>IF($A253="","",SUMIFS('Ordres de travail'!$AA$5:$AA$3004,'Ordres de travail'!$D$5:$D$3004,$A253,'Ordres de travail'!$B$5:$B$3004,"&gt;="&amp;'Paramètres'!$AA$6,'Ordres de travail'!$B$5:$B$3004,"&lt;"&amp;('Paramètres'!$AA$7+1)))</f>
        <v/>
      </c>
      <c r="T253" s="68">
        <f>IF($A253="","",IF(P253=0,"-",(O253*'Paramètres'!$AA$8-Q253)/P253))</f>
        <v/>
      </c>
      <c r="U253" s="69">
        <f>IF($A253="","",IF(P253=0,"-",Q253/P253))</f>
        <v/>
      </c>
      <c r="V253" s="71">
        <f>IF($A253="","",IF(N(O253)*'Paramètres'!$AA$8=0,"-",MAX(0,1-R253/(O253*'Paramètres'!$AA$8))))</f>
        <v/>
      </c>
      <c r="W253" s="68">
        <f>IF($A253="","",_xlfn.MAXIFS('Relevés compteurs'!$D$5:$D$1504,'Relevés compteurs'!$B$5:$B$1504,$A253))</f>
        <v/>
      </c>
      <c r="X253" s="69">
        <f>IF(OR($A253="",I253=""),"",(TODAY()-I253)/365.25)</f>
        <v/>
      </c>
      <c r="Y253" s="70">
        <f>IF($A253="","",SUMIFS('Ordres de travail'!$AA$5:$AA$3004,'Ordres de travail'!$D$5:$D$3004,$A253))</f>
        <v/>
      </c>
      <c r="Z253" s="68">
        <f>IF($A253="","",SUM(COUNTIFS('Ordres de travail'!$D$5:$D$3004,$A253,'Ordres de travail'!$AC$5:$AC$3004,{"Demandé","Planifié","En cours","En attente pièces"})))</f>
        <v/>
      </c>
      <c r="AA253" s="9">
        <f>IF(OR($A253="",M253=""),"",IF(M253&lt;TODAY(),"Expirée",IF(M253-TODAY()&lt;='Paramètres'!$AA$15,"Expire bientôt","Sous garantie")))</f>
        <v/>
      </c>
      <c r="AB253" s="72">
        <f>IF($A253="",-1,N(R253)+ROW()/1000000)</f>
        <v/>
      </c>
    </row>
    <row r="254">
      <c r="A254" s="7" t="n"/>
      <c r="B254" s="7" t="n"/>
      <c r="C254" s="7" t="n"/>
      <c r="D254" s="7" t="n"/>
      <c r="E254" s="7" t="n"/>
      <c r="F254" s="7" t="n"/>
      <c r="G254" s="7" t="n"/>
      <c r="H254" s="7" t="n"/>
      <c r="I254" s="65" t="n"/>
      <c r="J254" s="66" t="n"/>
      <c r="K254" s="7" t="n"/>
      <c r="L254" s="7" t="n"/>
      <c r="M254" s="65" t="n"/>
      <c r="N254" s="7" t="n"/>
      <c r="O254" s="67" t="n"/>
      <c r="P254" s="68">
        <f>IF($A254="","",COUNTIFS('Ordres de travail'!$D$5:$D$3004,$A254,'Ordres de travail'!$H$5:$H$3004,"Correctif",'Ordres de travail'!$AC$5:$AC$3004,"&lt;&gt;Annulé",'Ordres de travail'!$B$5:$B$3004,"&gt;="&amp;'Paramètres'!$AA$6,'Ordres de travail'!$B$5:$B$3004,"&lt;"&amp;('Paramètres'!$AA$7+1)))</f>
        <v/>
      </c>
      <c r="Q254" s="69">
        <f>IF($A254="","",SUMIFS('Ordres de travail'!$S$5:$S$3004,'Ordres de travail'!$D$5:$D$3004,$A254,'Ordres de travail'!$H$5:$H$3004,"Correctif",'Ordres de travail'!$AC$5:$AC$3004,"&lt;&gt;Annulé",'Ordres de travail'!$B$5:$B$3004,"&gt;="&amp;'Paramètres'!$AA$6,'Ordres de travail'!$B$5:$B$3004,"&lt;"&amp;('Paramètres'!$AA$7+1)))</f>
        <v/>
      </c>
      <c r="R254" s="69">
        <f>IF($A254="","",SUMIFS('Ordres de travail'!$S$5:$S$3004,'Ordres de travail'!$D$5:$D$3004,$A254,'Ordres de travail'!$AC$5:$AC$3004,"&lt;&gt;Annulé",'Ordres de travail'!$B$5:$B$3004,"&gt;="&amp;'Paramètres'!$AA$6,'Ordres de travail'!$B$5:$B$3004,"&lt;"&amp;('Paramètres'!$AA$7+1)))</f>
        <v/>
      </c>
      <c r="S254" s="70">
        <f>IF($A254="","",SUMIFS('Ordres de travail'!$AA$5:$AA$3004,'Ordres de travail'!$D$5:$D$3004,$A254,'Ordres de travail'!$B$5:$B$3004,"&gt;="&amp;'Paramètres'!$AA$6,'Ordres de travail'!$B$5:$B$3004,"&lt;"&amp;('Paramètres'!$AA$7+1)))</f>
        <v/>
      </c>
      <c r="T254" s="68">
        <f>IF($A254="","",IF(P254=0,"-",(O254*'Paramètres'!$AA$8-Q254)/P254))</f>
        <v/>
      </c>
      <c r="U254" s="69">
        <f>IF($A254="","",IF(P254=0,"-",Q254/P254))</f>
        <v/>
      </c>
      <c r="V254" s="71">
        <f>IF($A254="","",IF(N(O254)*'Paramètres'!$AA$8=0,"-",MAX(0,1-R254/(O254*'Paramètres'!$AA$8))))</f>
        <v/>
      </c>
      <c r="W254" s="68">
        <f>IF($A254="","",_xlfn.MAXIFS('Relevés compteurs'!$D$5:$D$1504,'Relevés compteurs'!$B$5:$B$1504,$A254))</f>
        <v/>
      </c>
      <c r="X254" s="69">
        <f>IF(OR($A254="",I254=""),"",(TODAY()-I254)/365.25)</f>
        <v/>
      </c>
      <c r="Y254" s="70">
        <f>IF($A254="","",SUMIFS('Ordres de travail'!$AA$5:$AA$3004,'Ordres de travail'!$D$5:$D$3004,$A254))</f>
        <v/>
      </c>
      <c r="Z254" s="68">
        <f>IF($A254="","",SUM(COUNTIFS('Ordres de travail'!$D$5:$D$3004,$A254,'Ordres de travail'!$AC$5:$AC$3004,{"Demandé","Planifié","En cours","En attente pièces"})))</f>
        <v/>
      </c>
      <c r="AA254" s="9">
        <f>IF(OR($A254="",M254=""),"",IF(M254&lt;TODAY(),"Expirée",IF(M254-TODAY()&lt;='Paramètres'!$AA$15,"Expire bientôt","Sous garantie")))</f>
        <v/>
      </c>
      <c r="AB254" s="72">
        <f>IF($A254="",-1,N(R254)+ROW()/1000000)</f>
        <v/>
      </c>
    </row>
    <row r="255">
      <c r="A255" s="7" t="n"/>
      <c r="B255" s="7" t="n"/>
      <c r="C255" s="7" t="n"/>
      <c r="D255" s="7" t="n"/>
      <c r="E255" s="7" t="n"/>
      <c r="F255" s="7" t="n"/>
      <c r="G255" s="7" t="n"/>
      <c r="H255" s="7" t="n"/>
      <c r="I255" s="65" t="n"/>
      <c r="J255" s="66" t="n"/>
      <c r="K255" s="7" t="n"/>
      <c r="L255" s="7" t="n"/>
      <c r="M255" s="65" t="n"/>
      <c r="N255" s="7" t="n"/>
      <c r="O255" s="67" t="n"/>
      <c r="P255" s="68">
        <f>IF($A255="","",COUNTIFS('Ordres de travail'!$D$5:$D$3004,$A255,'Ordres de travail'!$H$5:$H$3004,"Correctif",'Ordres de travail'!$AC$5:$AC$3004,"&lt;&gt;Annulé",'Ordres de travail'!$B$5:$B$3004,"&gt;="&amp;'Paramètres'!$AA$6,'Ordres de travail'!$B$5:$B$3004,"&lt;"&amp;('Paramètres'!$AA$7+1)))</f>
        <v/>
      </c>
      <c r="Q255" s="69">
        <f>IF($A255="","",SUMIFS('Ordres de travail'!$S$5:$S$3004,'Ordres de travail'!$D$5:$D$3004,$A255,'Ordres de travail'!$H$5:$H$3004,"Correctif",'Ordres de travail'!$AC$5:$AC$3004,"&lt;&gt;Annulé",'Ordres de travail'!$B$5:$B$3004,"&gt;="&amp;'Paramètres'!$AA$6,'Ordres de travail'!$B$5:$B$3004,"&lt;"&amp;('Paramètres'!$AA$7+1)))</f>
        <v/>
      </c>
      <c r="R255" s="69">
        <f>IF($A255="","",SUMIFS('Ordres de travail'!$S$5:$S$3004,'Ordres de travail'!$D$5:$D$3004,$A255,'Ordres de travail'!$AC$5:$AC$3004,"&lt;&gt;Annulé",'Ordres de travail'!$B$5:$B$3004,"&gt;="&amp;'Paramètres'!$AA$6,'Ordres de travail'!$B$5:$B$3004,"&lt;"&amp;('Paramètres'!$AA$7+1)))</f>
        <v/>
      </c>
      <c r="S255" s="70">
        <f>IF($A255="","",SUMIFS('Ordres de travail'!$AA$5:$AA$3004,'Ordres de travail'!$D$5:$D$3004,$A255,'Ordres de travail'!$B$5:$B$3004,"&gt;="&amp;'Paramètres'!$AA$6,'Ordres de travail'!$B$5:$B$3004,"&lt;"&amp;('Paramètres'!$AA$7+1)))</f>
        <v/>
      </c>
      <c r="T255" s="68">
        <f>IF($A255="","",IF(P255=0,"-",(O255*'Paramètres'!$AA$8-Q255)/P255))</f>
        <v/>
      </c>
      <c r="U255" s="69">
        <f>IF($A255="","",IF(P255=0,"-",Q255/P255))</f>
        <v/>
      </c>
      <c r="V255" s="71">
        <f>IF($A255="","",IF(N(O255)*'Paramètres'!$AA$8=0,"-",MAX(0,1-R255/(O255*'Paramètres'!$AA$8))))</f>
        <v/>
      </c>
      <c r="W255" s="68">
        <f>IF($A255="","",_xlfn.MAXIFS('Relevés compteurs'!$D$5:$D$1504,'Relevés compteurs'!$B$5:$B$1504,$A255))</f>
        <v/>
      </c>
      <c r="X255" s="69">
        <f>IF(OR($A255="",I255=""),"",(TODAY()-I255)/365.25)</f>
        <v/>
      </c>
      <c r="Y255" s="70">
        <f>IF($A255="","",SUMIFS('Ordres de travail'!$AA$5:$AA$3004,'Ordres de travail'!$D$5:$D$3004,$A255))</f>
        <v/>
      </c>
      <c r="Z255" s="68">
        <f>IF($A255="","",SUM(COUNTIFS('Ordres de travail'!$D$5:$D$3004,$A255,'Ordres de travail'!$AC$5:$AC$3004,{"Demandé","Planifié","En cours","En attente pièces"})))</f>
        <v/>
      </c>
      <c r="AA255" s="9">
        <f>IF(OR($A255="",M255=""),"",IF(M255&lt;TODAY(),"Expirée",IF(M255-TODAY()&lt;='Paramètres'!$AA$15,"Expire bientôt","Sous garantie")))</f>
        <v/>
      </c>
      <c r="AB255" s="72">
        <f>IF($A255="",-1,N(R255)+ROW()/1000000)</f>
        <v/>
      </c>
    </row>
    <row r="256">
      <c r="A256" s="7" t="n"/>
      <c r="B256" s="7" t="n"/>
      <c r="C256" s="7" t="n"/>
      <c r="D256" s="7" t="n"/>
      <c r="E256" s="7" t="n"/>
      <c r="F256" s="7" t="n"/>
      <c r="G256" s="7" t="n"/>
      <c r="H256" s="7" t="n"/>
      <c r="I256" s="65" t="n"/>
      <c r="J256" s="66" t="n"/>
      <c r="K256" s="7" t="n"/>
      <c r="L256" s="7" t="n"/>
      <c r="M256" s="65" t="n"/>
      <c r="N256" s="7" t="n"/>
      <c r="O256" s="67" t="n"/>
      <c r="P256" s="68">
        <f>IF($A256="","",COUNTIFS('Ordres de travail'!$D$5:$D$3004,$A256,'Ordres de travail'!$H$5:$H$3004,"Correctif",'Ordres de travail'!$AC$5:$AC$3004,"&lt;&gt;Annulé",'Ordres de travail'!$B$5:$B$3004,"&gt;="&amp;'Paramètres'!$AA$6,'Ordres de travail'!$B$5:$B$3004,"&lt;"&amp;('Paramètres'!$AA$7+1)))</f>
        <v/>
      </c>
      <c r="Q256" s="69">
        <f>IF($A256="","",SUMIFS('Ordres de travail'!$S$5:$S$3004,'Ordres de travail'!$D$5:$D$3004,$A256,'Ordres de travail'!$H$5:$H$3004,"Correctif",'Ordres de travail'!$AC$5:$AC$3004,"&lt;&gt;Annulé",'Ordres de travail'!$B$5:$B$3004,"&gt;="&amp;'Paramètres'!$AA$6,'Ordres de travail'!$B$5:$B$3004,"&lt;"&amp;('Paramètres'!$AA$7+1)))</f>
        <v/>
      </c>
      <c r="R256" s="69">
        <f>IF($A256="","",SUMIFS('Ordres de travail'!$S$5:$S$3004,'Ordres de travail'!$D$5:$D$3004,$A256,'Ordres de travail'!$AC$5:$AC$3004,"&lt;&gt;Annulé",'Ordres de travail'!$B$5:$B$3004,"&gt;="&amp;'Paramètres'!$AA$6,'Ordres de travail'!$B$5:$B$3004,"&lt;"&amp;('Paramètres'!$AA$7+1)))</f>
        <v/>
      </c>
      <c r="S256" s="70">
        <f>IF($A256="","",SUMIFS('Ordres de travail'!$AA$5:$AA$3004,'Ordres de travail'!$D$5:$D$3004,$A256,'Ordres de travail'!$B$5:$B$3004,"&gt;="&amp;'Paramètres'!$AA$6,'Ordres de travail'!$B$5:$B$3004,"&lt;"&amp;('Paramètres'!$AA$7+1)))</f>
        <v/>
      </c>
      <c r="T256" s="68">
        <f>IF($A256="","",IF(P256=0,"-",(O256*'Paramètres'!$AA$8-Q256)/P256))</f>
        <v/>
      </c>
      <c r="U256" s="69">
        <f>IF($A256="","",IF(P256=0,"-",Q256/P256))</f>
        <v/>
      </c>
      <c r="V256" s="71">
        <f>IF($A256="","",IF(N(O256)*'Paramètres'!$AA$8=0,"-",MAX(0,1-R256/(O256*'Paramètres'!$AA$8))))</f>
        <v/>
      </c>
      <c r="W256" s="68">
        <f>IF($A256="","",_xlfn.MAXIFS('Relevés compteurs'!$D$5:$D$1504,'Relevés compteurs'!$B$5:$B$1504,$A256))</f>
        <v/>
      </c>
      <c r="X256" s="69">
        <f>IF(OR($A256="",I256=""),"",(TODAY()-I256)/365.25)</f>
        <v/>
      </c>
      <c r="Y256" s="70">
        <f>IF($A256="","",SUMIFS('Ordres de travail'!$AA$5:$AA$3004,'Ordres de travail'!$D$5:$D$3004,$A256))</f>
        <v/>
      </c>
      <c r="Z256" s="68">
        <f>IF($A256="","",SUM(COUNTIFS('Ordres de travail'!$D$5:$D$3004,$A256,'Ordres de travail'!$AC$5:$AC$3004,{"Demandé","Planifié","En cours","En attente pièces"})))</f>
        <v/>
      </c>
      <c r="AA256" s="9">
        <f>IF(OR($A256="",M256=""),"",IF(M256&lt;TODAY(),"Expirée",IF(M256-TODAY()&lt;='Paramètres'!$AA$15,"Expire bientôt","Sous garantie")))</f>
        <v/>
      </c>
      <c r="AB256" s="72">
        <f>IF($A256="",-1,N(R256)+ROW()/1000000)</f>
        <v/>
      </c>
    </row>
    <row r="257">
      <c r="A257" s="7" t="n"/>
      <c r="B257" s="7" t="n"/>
      <c r="C257" s="7" t="n"/>
      <c r="D257" s="7" t="n"/>
      <c r="E257" s="7" t="n"/>
      <c r="F257" s="7" t="n"/>
      <c r="G257" s="7" t="n"/>
      <c r="H257" s="7" t="n"/>
      <c r="I257" s="65" t="n"/>
      <c r="J257" s="66" t="n"/>
      <c r="K257" s="7" t="n"/>
      <c r="L257" s="7" t="n"/>
      <c r="M257" s="65" t="n"/>
      <c r="N257" s="7" t="n"/>
      <c r="O257" s="67" t="n"/>
      <c r="P257" s="68">
        <f>IF($A257="","",COUNTIFS('Ordres de travail'!$D$5:$D$3004,$A257,'Ordres de travail'!$H$5:$H$3004,"Correctif",'Ordres de travail'!$AC$5:$AC$3004,"&lt;&gt;Annulé",'Ordres de travail'!$B$5:$B$3004,"&gt;="&amp;'Paramètres'!$AA$6,'Ordres de travail'!$B$5:$B$3004,"&lt;"&amp;('Paramètres'!$AA$7+1)))</f>
        <v/>
      </c>
      <c r="Q257" s="69">
        <f>IF($A257="","",SUMIFS('Ordres de travail'!$S$5:$S$3004,'Ordres de travail'!$D$5:$D$3004,$A257,'Ordres de travail'!$H$5:$H$3004,"Correctif",'Ordres de travail'!$AC$5:$AC$3004,"&lt;&gt;Annulé",'Ordres de travail'!$B$5:$B$3004,"&gt;="&amp;'Paramètres'!$AA$6,'Ordres de travail'!$B$5:$B$3004,"&lt;"&amp;('Paramètres'!$AA$7+1)))</f>
        <v/>
      </c>
      <c r="R257" s="69">
        <f>IF($A257="","",SUMIFS('Ordres de travail'!$S$5:$S$3004,'Ordres de travail'!$D$5:$D$3004,$A257,'Ordres de travail'!$AC$5:$AC$3004,"&lt;&gt;Annulé",'Ordres de travail'!$B$5:$B$3004,"&gt;="&amp;'Paramètres'!$AA$6,'Ordres de travail'!$B$5:$B$3004,"&lt;"&amp;('Paramètres'!$AA$7+1)))</f>
        <v/>
      </c>
      <c r="S257" s="70">
        <f>IF($A257="","",SUMIFS('Ordres de travail'!$AA$5:$AA$3004,'Ordres de travail'!$D$5:$D$3004,$A257,'Ordres de travail'!$B$5:$B$3004,"&gt;="&amp;'Paramètres'!$AA$6,'Ordres de travail'!$B$5:$B$3004,"&lt;"&amp;('Paramètres'!$AA$7+1)))</f>
        <v/>
      </c>
      <c r="T257" s="68">
        <f>IF($A257="","",IF(P257=0,"-",(O257*'Paramètres'!$AA$8-Q257)/P257))</f>
        <v/>
      </c>
      <c r="U257" s="69">
        <f>IF($A257="","",IF(P257=0,"-",Q257/P257))</f>
        <v/>
      </c>
      <c r="V257" s="71">
        <f>IF($A257="","",IF(N(O257)*'Paramètres'!$AA$8=0,"-",MAX(0,1-R257/(O257*'Paramètres'!$AA$8))))</f>
        <v/>
      </c>
      <c r="W257" s="68">
        <f>IF($A257="","",_xlfn.MAXIFS('Relevés compteurs'!$D$5:$D$1504,'Relevés compteurs'!$B$5:$B$1504,$A257))</f>
        <v/>
      </c>
      <c r="X257" s="69">
        <f>IF(OR($A257="",I257=""),"",(TODAY()-I257)/365.25)</f>
        <v/>
      </c>
      <c r="Y257" s="70">
        <f>IF($A257="","",SUMIFS('Ordres de travail'!$AA$5:$AA$3004,'Ordres de travail'!$D$5:$D$3004,$A257))</f>
        <v/>
      </c>
      <c r="Z257" s="68">
        <f>IF($A257="","",SUM(COUNTIFS('Ordres de travail'!$D$5:$D$3004,$A257,'Ordres de travail'!$AC$5:$AC$3004,{"Demandé","Planifié","En cours","En attente pièces"})))</f>
        <v/>
      </c>
      <c r="AA257" s="9">
        <f>IF(OR($A257="",M257=""),"",IF(M257&lt;TODAY(),"Expirée",IF(M257-TODAY()&lt;='Paramètres'!$AA$15,"Expire bientôt","Sous garantie")))</f>
        <v/>
      </c>
      <c r="AB257" s="72">
        <f>IF($A257="",-1,N(R257)+ROW()/1000000)</f>
        <v/>
      </c>
    </row>
    <row r="258">
      <c r="A258" s="7" t="n"/>
      <c r="B258" s="7" t="n"/>
      <c r="C258" s="7" t="n"/>
      <c r="D258" s="7" t="n"/>
      <c r="E258" s="7" t="n"/>
      <c r="F258" s="7" t="n"/>
      <c r="G258" s="7" t="n"/>
      <c r="H258" s="7" t="n"/>
      <c r="I258" s="65" t="n"/>
      <c r="J258" s="66" t="n"/>
      <c r="K258" s="7" t="n"/>
      <c r="L258" s="7" t="n"/>
      <c r="M258" s="65" t="n"/>
      <c r="N258" s="7" t="n"/>
      <c r="O258" s="67" t="n"/>
      <c r="P258" s="68">
        <f>IF($A258="","",COUNTIFS('Ordres de travail'!$D$5:$D$3004,$A258,'Ordres de travail'!$H$5:$H$3004,"Correctif",'Ordres de travail'!$AC$5:$AC$3004,"&lt;&gt;Annulé",'Ordres de travail'!$B$5:$B$3004,"&gt;="&amp;'Paramètres'!$AA$6,'Ordres de travail'!$B$5:$B$3004,"&lt;"&amp;('Paramètres'!$AA$7+1)))</f>
        <v/>
      </c>
      <c r="Q258" s="69">
        <f>IF($A258="","",SUMIFS('Ordres de travail'!$S$5:$S$3004,'Ordres de travail'!$D$5:$D$3004,$A258,'Ordres de travail'!$H$5:$H$3004,"Correctif",'Ordres de travail'!$AC$5:$AC$3004,"&lt;&gt;Annulé",'Ordres de travail'!$B$5:$B$3004,"&gt;="&amp;'Paramètres'!$AA$6,'Ordres de travail'!$B$5:$B$3004,"&lt;"&amp;('Paramètres'!$AA$7+1)))</f>
        <v/>
      </c>
      <c r="R258" s="69">
        <f>IF($A258="","",SUMIFS('Ordres de travail'!$S$5:$S$3004,'Ordres de travail'!$D$5:$D$3004,$A258,'Ordres de travail'!$AC$5:$AC$3004,"&lt;&gt;Annulé",'Ordres de travail'!$B$5:$B$3004,"&gt;="&amp;'Paramètres'!$AA$6,'Ordres de travail'!$B$5:$B$3004,"&lt;"&amp;('Paramètres'!$AA$7+1)))</f>
        <v/>
      </c>
      <c r="S258" s="70">
        <f>IF($A258="","",SUMIFS('Ordres de travail'!$AA$5:$AA$3004,'Ordres de travail'!$D$5:$D$3004,$A258,'Ordres de travail'!$B$5:$B$3004,"&gt;="&amp;'Paramètres'!$AA$6,'Ordres de travail'!$B$5:$B$3004,"&lt;"&amp;('Paramètres'!$AA$7+1)))</f>
        <v/>
      </c>
      <c r="T258" s="68">
        <f>IF($A258="","",IF(P258=0,"-",(O258*'Paramètres'!$AA$8-Q258)/P258))</f>
        <v/>
      </c>
      <c r="U258" s="69">
        <f>IF($A258="","",IF(P258=0,"-",Q258/P258))</f>
        <v/>
      </c>
      <c r="V258" s="71">
        <f>IF($A258="","",IF(N(O258)*'Paramètres'!$AA$8=0,"-",MAX(0,1-R258/(O258*'Paramètres'!$AA$8))))</f>
        <v/>
      </c>
      <c r="W258" s="68">
        <f>IF($A258="","",_xlfn.MAXIFS('Relevés compteurs'!$D$5:$D$1504,'Relevés compteurs'!$B$5:$B$1504,$A258))</f>
        <v/>
      </c>
      <c r="X258" s="69">
        <f>IF(OR($A258="",I258=""),"",(TODAY()-I258)/365.25)</f>
        <v/>
      </c>
      <c r="Y258" s="70">
        <f>IF($A258="","",SUMIFS('Ordres de travail'!$AA$5:$AA$3004,'Ordres de travail'!$D$5:$D$3004,$A258))</f>
        <v/>
      </c>
      <c r="Z258" s="68">
        <f>IF($A258="","",SUM(COUNTIFS('Ordres de travail'!$D$5:$D$3004,$A258,'Ordres de travail'!$AC$5:$AC$3004,{"Demandé","Planifié","En cours","En attente pièces"})))</f>
        <v/>
      </c>
      <c r="AA258" s="9">
        <f>IF(OR($A258="",M258=""),"",IF(M258&lt;TODAY(),"Expirée",IF(M258-TODAY()&lt;='Paramètres'!$AA$15,"Expire bientôt","Sous garantie")))</f>
        <v/>
      </c>
      <c r="AB258" s="72">
        <f>IF($A258="",-1,N(R258)+ROW()/1000000)</f>
        <v/>
      </c>
    </row>
    <row r="259">
      <c r="A259" s="7" t="n"/>
      <c r="B259" s="7" t="n"/>
      <c r="C259" s="7" t="n"/>
      <c r="D259" s="7" t="n"/>
      <c r="E259" s="7" t="n"/>
      <c r="F259" s="7" t="n"/>
      <c r="G259" s="7" t="n"/>
      <c r="H259" s="7" t="n"/>
      <c r="I259" s="65" t="n"/>
      <c r="J259" s="66" t="n"/>
      <c r="K259" s="7" t="n"/>
      <c r="L259" s="7" t="n"/>
      <c r="M259" s="65" t="n"/>
      <c r="N259" s="7" t="n"/>
      <c r="O259" s="67" t="n"/>
      <c r="P259" s="68">
        <f>IF($A259="","",COUNTIFS('Ordres de travail'!$D$5:$D$3004,$A259,'Ordres de travail'!$H$5:$H$3004,"Correctif",'Ordres de travail'!$AC$5:$AC$3004,"&lt;&gt;Annulé",'Ordres de travail'!$B$5:$B$3004,"&gt;="&amp;'Paramètres'!$AA$6,'Ordres de travail'!$B$5:$B$3004,"&lt;"&amp;('Paramètres'!$AA$7+1)))</f>
        <v/>
      </c>
      <c r="Q259" s="69">
        <f>IF($A259="","",SUMIFS('Ordres de travail'!$S$5:$S$3004,'Ordres de travail'!$D$5:$D$3004,$A259,'Ordres de travail'!$H$5:$H$3004,"Correctif",'Ordres de travail'!$AC$5:$AC$3004,"&lt;&gt;Annulé",'Ordres de travail'!$B$5:$B$3004,"&gt;="&amp;'Paramètres'!$AA$6,'Ordres de travail'!$B$5:$B$3004,"&lt;"&amp;('Paramètres'!$AA$7+1)))</f>
        <v/>
      </c>
      <c r="R259" s="69">
        <f>IF($A259="","",SUMIFS('Ordres de travail'!$S$5:$S$3004,'Ordres de travail'!$D$5:$D$3004,$A259,'Ordres de travail'!$AC$5:$AC$3004,"&lt;&gt;Annulé",'Ordres de travail'!$B$5:$B$3004,"&gt;="&amp;'Paramètres'!$AA$6,'Ordres de travail'!$B$5:$B$3004,"&lt;"&amp;('Paramètres'!$AA$7+1)))</f>
        <v/>
      </c>
      <c r="S259" s="70">
        <f>IF($A259="","",SUMIFS('Ordres de travail'!$AA$5:$AA$3004,'Ordres de travail'!$D$5:$D$3004,$A259,'Ordres de travail'!$B$5:$B$3004,"&gt;="&amp;'Paramètres'!$AA$6,'Ordres de travail'!$B$5:$B$3004,"&lt;"&amp;('Paramètres'!$AA$7+1)))</f>
        <v/>
      </c>
      <c r="T259" s="68">
        <f>IF($A259="","",IF(P259=0,"-",(O259*'Paramètres'!$AA$8-Q259)/P259))</f>
        <v/>
      </c>
      <c r="U259" s="69">
        <f>IF($A259="","",IF(P259=0,"-",Q259/P259))</f>
        <v/>
      </c>
      <c r="V259" s="71">
        <f>IF($A259="","",IF(N(O259)*'Paramètres'!$AA$8=0,"-",MAX(0,1-R259/(O259*'Paramètres'!$AA$8))))</f>
        <v/>
      </c>
      <c r="W259" s="68">
        <f>IF($A259="","",_xlfn.MAXIFS('Relevés compteurs'!$D$5:$D$1504,'Relevés compteurs'!$B$5:$B$1504,$A259))</f>
        <v/>
      </c>
      <c r="X259" s="69">
        <f>IF(OR($A259="",I259=""),"",(TODAY()-I259)/365.25)</f>
        <v/>
      </c>
      <c r="Y259" s="70">
        <f>IF($A259="","",SUMIFS('Ordres de travail'!$AA$5:$AA$3004,'Ordres de travail'!$D$5:$D$3004,$A259))</f>
        <v/>
      </c>
      <c r="Z259" s="68">
        <f>IF($A259="","",SUM(COUNTIFS('Ordres de travail'!$D$5:$D$3004,$A259,'Ordres de travail'!$AC$5:$AC$3004,{"Demandé","Planifié","En cours","En attente pièces"})))</f>
        <v/>
      </c>
      <c r="AA259" s="9">
        <f>IF(OR($A259="",M259=""),"",IF(M259&lt;TODAY(),"Expirée",IF(M259-TODAY()&lt;='Paramètres'!$AA$15,"Expire bientôt","Sous garantie")))</f>
        <v/>
      </c>
      <c r="AB259" s="72">
        <f>IF($A259="",-1,N(R259)+ROW()/1000000)</f>
        <v/>
      </c>
    </row>
    <row r="260">
      <c r="A260" s="7" t="n"/>
      <c r="B260" s="7" t="n"/>
      <c r="C260" s="7" t="n"/>
      <c r="D260" s="7" t="n"/>
      <c r="E260" s="7" t="n"/>
      <c r="F260" s="7" t="n"/>
      <c r="G260" s="7" t="n"/>
      <c r="H260" s="7" t="n"/>
      <c r="I260" s="65" t="n"/>
      <c r="J260" s="66" t="n"/>
      <c r="K260" s="7" t="n"/>
      <c r="L260" s="7" t="n"/>
      <c r="M260" s="65" t="n"/>
      <c r="N260" s="7" t="n"/>
      <c r="O260" s="67" t="n"/>
      <c r="P260" s="68">
        <f>IF($A260="","",COUNTIFS('Ordres de travail'!$D$5:$D$3004,$A260,'Ordres de travail'!$H$5:$H$3004,"Correctif",'Ordres de travail'!$AC$5:$AC$3004,"&lt;&gt;Annulé",'Ordres de travail'!$B$5:$B$3004,"&gt;="&amp;'Paramètres'!$AA$6,'Ordres de travail'!$B$5:$B$3004,"&lt;"&amp;('Paramètres'!$AA$7+1)))</f>
        <v/>
      </c>
      <c r="Q260" s="69">
        <f>IF($A260="","",SUMIFS('Ordres de travail'!$S$5:$S$3004,'Ordres de travail'!$D$5:$D$3004,$A260,'Ordres de travail'!$H$5:$H$3004,"Correctif",'Ordres de travail'!$AC$5:$AC$3004,"&lt;&gt;Annulé",'Ordres de travail'!$B$5:$B$3004,"&gt;="&amp;'Paramètres'!$AA$6,'Ordres de travail'!$B$5:$B$3004,"&lt;"&amp;('Paramètres'!$AA$7+1)))</f>
        <v/>
      </c>
      <c r="R260" s="69">
        <f>IF($A260="","",SUMIFS('Ordres de travail'!$S$5:$S$3004,'Ordres de travail'!$D$5:$D$3004,$A260,'Ordres de travail'!$AC$5:$AC$3004,"&lt;&gt;Annulé",'Ordres de travail'!$B$5:$B$3004,"&gt;="&amp;'Paramètres'!$AA$6,'Ordres de travail'!$B$5:$B$3004,"&lt;"&amp;('Paramètres'!$AA$7+1)))</f>
        <v/>
      </c>
      <c r="S260" s="70">
        <f>IF($A260="","",SUMIFS('Ordres de travail'!$AA$5:$AA$3004,'Ordres de travail'!$D$5:$D$3004,$A260,'Ordres de travail'!$B$5:$B$3004,"&gt;="&amp;'Paramètres'!$AA$6,'Ordres de travail'!$B$5:$B$3004,"&lt;"&amp;('Paramètres'!$AA$7+1)))</f>
        <v/>
      </c>
      <c r="T260" s="68">
        <f>IF($A260="","",IF(P260=0,"-",(O260*'Paramètres'!$AA$8-Q260)/P260))</f>
        <v/>
      </c>
      <c r="U260" s="69">
        <f>IF($A260="","",IF(P260=0,"-",Q260/P260))</f>
        <v/>
      </c>
      <c r="V260" s="71">
        <f>IF($A260="","",IF(N(O260)*'Paramètres'!$AA$8=0,"-",MAX(0,1-R260/(O260*'Paramètres'!$AA$8))))</f>
        <v/>
      </c>
      <c r="W260" s="68">
        <f>IF($A260="","",_xlfn.MAXIFS('Relevés compteurs'!$D$5:$D$1504,'Relevés compteurs'!$B$5:$B$1504,$A260))</f>
        <v/>
      </c>
      <c r="X260" s="69">
        <f>IF(OR($A260="",I260=""),"",(TODAY()-I260)/365.25)</f>
        <v/>
      </c>
      <c r="Y260" s="70">
        <f>IF($A260="","",SUMIFS('Ordres de travail'!$AA$5:$AA$3004,'Ordres de travail'!$D$5:$D$3004,$A260))</f>
        <v/>
      </c>
      <c r="Z260" s="68">
        <f>IF($A260="","",SUM(COUNTIFS('Ordres de travail'!$D$5:$D$3004,$A260,'Ordres de travail'!$AC$5:$AC$3004,{"Demandé","Planifié","En cours","En attente pièces"})))</f>
        <v/>
      </c>
      <c r="AA260" s="9">
        <f>IF(OR($A260="",M260=""),"",IF(M260&lt;TODAY(),"Expirée",IF(M260-TODAY()&lt;='Paramètres'!$AA$15,"Expire bientôt","Sous garantie")))</f>
        <v/>
      </c>
      <c r="AB260" s="72">
        <f>IF($A260="",-1,N(R260)+ROW()/1000000)</f>
        <v/>
      </c>
    </row>
    <row r="261">
      <c r="A261" s="7" t="n"/>
      <c r="B261" s="7" t="n"/>
      <c r="C261" s="7" t="n"/>
      <c r="D261" s="7" t="n"/>
      <c r="E261" s="7" t="n"/>
      <c r="F261" s="7" t="n"/>
      <c r="G261" s="7" t="n"/>
      <c r="H261" s="7" t="n"/>
      <c r="I261" s="65" t="n"/>
      <c r="J261" s="66" t="n"/>
      <c r="K261" s="7" t="n"/>
      <c r="L261" s="7" t="n"/>
      <c r="M261" s="65" t="n"/>
      <c r="N261" s="7" t="n"/>
      <c r="O261" s="67" t="n"/>
      <c r="P261" s="68">
        <f>IF($A261="","",COUNTIFS('Ordres de travail'!$D$5:$D$3004,$A261,'Ordres de travail'!$H$5:$H$3004,"Correctif",'Ordres de travail'!$AC$5:$AC$3004,"&lt;&gt;Annulé",'Ordres de travail'!$B$5:$B$3004,"&gt;="&amp;'Paramètres'!$AA$6,'Ordres de travail'!$B$5:$B$3004,"&lt;"&amp;('Paramètres'!$AA$7+1)))</f>
        <v/>
      </c>
      <c r="Q261" s="69">
        <f>IF($A261="","",SUMIFS('Ordres de travail'!$S$5:$S$3004,'Ordres de travail'!$D$5:$D$3004,$A261,'Ordres de travail'!$H$5:$H$3004,"Correctif",'Ordres de travail'!$AC$5:$AC$3004,"&lt;&gt;Annulé",'Ordres de travail'!$B$5:$B$3004,"&gt;="&amp;'Paramètres'!$AA$6,'Ordres de travail'!$B$5:$B$3004,"&lt;"&amp;('Paramètres'!$AA$7+1)))</f>
        <v/>
      </c>
      <c r="R261" s="69">
        <f>IF($A261="","",SUMIFS('Ordres de travail'!$S$5:$S$3004,'Ordres de travail'!$D$5:$D$3004,$A261,'Ordres de travail'!$AC$5:$AC$3004,"&lt;&gt;Annulé",'Ordres de travail'!$B$5:$B$3004,"&gt;="&amp;'Paramètres'!$AA$6,'Ordres de travail'!$B$5:$B$3004,"&lt;"&amp;('Paramètres'!$AA$7+1)))</f>
        <v/>
      </c>
      <c r="S261" s="70">
        <f>IF($A261="","",SUMIFS('Ordres de travail'!$AA$5:$AA$3004,'Ordres de travail'!$D$5:$D$3004,$A261,'Ordres de travail'!$B$5:$B$3004,"&gt;="&amp;'Paramètres'!$AA$6,'Ordres de travail'!$B$5:$B$3004,"&lt;"&amp;('Paramètres'!$AA$7+1)))</f>
        <v/>
      </c>
      <c r="T261" s="68">
        <f>IF($A261="","",IF(P261=0,"-",(O261*'Paramètres'!$AA$8-Q261)/P261))</f>
        <v/>
      </c>
      <c r="U261" s="69">
        <f>IF($A261="","",IF(P261=0,"-",Q261/P261))</f>
        <v/>
      </c>
      <c r="V261" s="71">
        <f>IF($A261="","",IF(N(O261)*'Paramètres'!$AA$8=0,"-",MAX(0,1-R261/(O261*'Paramètres'!$AA$8))))</f>
        <v/>
      </c>
      <c r="W261" s="68">
        <f>IF($A261="","",_xlfn.MAXIFS('Relevés compteurs'!$D$5:$D$1504,'Relevés compteurs'!$B$5:$B$1504,$A261))</f>
        <v/>
      </c>
      <c r="X261" s="69">
        <f>IF(OR($A261="",I261=""),"",(TODAY()-I261)/365.25)</f>
        <v/>
      </c>
      <c r="Y261" s="70">
        <f>IF($A261="","",SUMIFS('Ordres de travail'!$AA$5:$AA$3004,'Ordres de travail'!$D$5:$D$3004,$A261))</f>
        <v/>
      </c>
      <c r="Z261" s="68">
        <f>IF($A261="","",SUM(COUNTIFS('Ordres de travail'!$D$5:$D$3004,$A261,'Ordres de travail'!$AC$5:$AC$3004,{"Demandé","Planifié","En cours","En attente pièces"})))</f>
        <v/>
      </c>
      <c r="AA261" s="9">
        <f>IF(OR($A261="",M261=""),"",IF(M261&lt;TODAY(),"Expirée",IF(M261-TODAY()&lt;='Paramètres'!$AA$15,"Expire bientôt","Sous garantie")))</f>
        <v/>
      </c>
      <c r="AB261" s="72">
        <f>IF($A261="",-1,N(R261)+ROW()/1000000)</f>
        <v/>
      </c>
    </row>
    <row r="262">
      <c r="A262" s="7" t="n"/>
      <c r="B262" s="7" t="n"/>
      <c r="C262" s="7" t="n"/>
      <c r="D262" s="7" t="n"/>
      <c r="E262" s="7" t="n"/>
      <c r="F262" s="7" t="n"/>
      <c r="G262" s="7" t="n"/>
      <c r="H262" s="7" t="n"/>
      <c r="I262" s="65" t="n"/>
      <c r="J262" s="66" t="n"/>
      <c r="K262" s="7" t="n"/>
      <c r="L262" s="7" t="n"/>
      <c r="M262" s="65" t="n"/>
      <c r="N262" s="7" t="n"/>
      <c r="O262" s="67" t="n"/>
      <c r="P262" s="68">
        <f>IF($A262="","",COUNTIFS('Ordres de travail'!$D$5:$D$3004,$A262,'Ordres de travail'!$H$5:$H$3004,"Correctif",'Ordres de travail'!$AC$5:$AC$3004,"&lt;&gt;Annulé",'Ordres de travail'!$B$5:$B$3004,"&gt;="&amp;'Paramètres'!$AA$6,'Ordres de travail'!$B$5:$B$3004,"&lt;"&amp;('Paramètres'!$AA$7+1)))</f>
        <v/>
      </c>
      <c r="Q262" s="69">
        <f>IF($A262="","",SUMIFS('Ordres de travail'!$S$5:$S$3004,'Ordres de travail'!$D$5:$D$3004,$A262,'Ordres de travail'!$H$5:$H$3004,"Correctif",'Ordres de travail'!$AC$5:$AC$3004,"&lt;&gt;Annulé",'Ordres de travail'!$B$5:$B$3004,"&gt;="&amp;'Paramètres'!$AA$6,'Ordres de travail'!$B$5:$B$3004,"&lt;"&amp;('Paramètres'!$AA$7+1)))</f>
        <v/>
      </c>
      <c r="R262" s="69">
        <f>IF($A262="","",SUMIFS('Ordres de travail'!$S$5:$S$3004,'Ordres de travail'!$D$5:$D$3004,$A262,'Ordres de travail'!$AC$5:$AC$3004,"&lt;&gt;Annulé",'Ordres de travail'!$B$5:$B$3004,"&gt;="&amp;'Paramètres'!$AA$6,'Ordres de travail'!$B$5:$B$3004,"&lt;"&amp;('Paramètres'!$AA$7+1)))</f>
        <v/>
      </c>
      <c r="S262" s="70">
        <f>IF($A262="","",SUMIFS('Ordres de travail'!$AA$5:$AA$3004,'Ordres de travail'!$D$5:$D$3004,$A262,'Ordres de travail'!$B$5:$B$3004,"&gt;="&amp;'Paramètres'!$AA$6,'Ordres de travail'!$B$5:$B$3004,"&lt;"&amp;('Paramètres'!$AA$7+1)))</f>
        <v/>
      </c>
      <c r="T262" s="68">
        <f>IF($A262="","",IF(P262=0,"-",(O262*'Paramètres'!$AA$8-Q262)/P262))</f>
        <v/>
      </c>
      <c r="U262" s="69">
        <f>IF($A262="","",IF(P262=0,"-",Q262/P262))</f>
        <v/>
      </c>
      <c r="V262" s="71">
        <f>IF($A262="","",IF(N(O262)*'Paramètres'!$AA$8=0,"-",MAX(0,1-R262/(O262*'Paramètres'!$AA$8))))</f>
        <v/>
      </c>
      <c r="W262" s="68">
        <f>IF($A262="","",_xlfn.MAXIFS('Relevés compteurs'!$D$5:$D$1504,'Relevés compteurs'!$B$5:$B$1504,$A262))</f>
        <v/>
      </c>
      <c r="X262" s="69">
        <f>IF(OR($A262="",I262=""),"",(TODAY()-I262)/365.25)</f>
        <v/>
      </c>
      <c r="Y262" s="70">
        <f>IF($A262="","",SUMIFS('Ordres de travail'!$AA$5:$AA$3004,'Ordres de travail'!$D$5:$D$3004,$A262))</f>
        <v/>
      </c>
      <c r="Z262" s="68">
        <f>IF($A262="","",SUM(COUNTIFS('Ordres de travail'!$D$5:$D$3004,$A262,'Ordres de travail'!$AC$5:$AC$3004,{"Demandé","Planifié","En cours","En attente pièces"})))</f>
        <v/>
      </c>
      <c r="AA262" s="9">
        <f>IF(OR($A262="",M262=""),"",IF(M262&lt;TODAY(),"Expirée",IF(M262-TODAY()&lt;='Paramètres'!$AA$15,"Expire bientôt","Sous garantie")))</f>
        <v/>
      </c>
      <c r="AB262" s="72">
        <f>IF($A262="",-1,N(R262)+ROW()/1000000)</f>
        <v/>
      </c>
    </row>
    <row r="263">
      <c r="A263" s="7" t="n"/>
      <c r="B263" s="7" t="n"/>
      <c r="C263" s="7" t="n"/>
      <c r="D263" s="7" t="n"/>
      <c r="E263" s="7" t="n"/>
      <c r="F263" s="7" t="n"/>
      <c r="G263" s="7" t="n"/>
      <c r="H263" s="7" t="n"/>
      <c r="I263" s="65" t="n"/>
      <c r="J263" s="66" t="n"/>
      <c r="K263" s="7" t="n"/>
      <c r="L263" s="7" t="n"/>
      <c r="M263" s="65" t="n"/>
      <c r="N263" s="7" t="n"/>
      <c r="O263" s="67" t="n"/>
      <c r="P263" s="68">
        <f>IF($A263="","",COUNTIFS('Ordres de travail'!$D$5:$D$3004,$A263,'Ordres de travail'!$H$5:$H$3004,"Correctif",'Ordres de travail'!$AC$5:$AC$3004,"&lt;&gt;Annulé",'Ordres de travail'!$B$5:$B$3004,"&gt;="&amp;'Paramètres'!$AA$6,'Ordres de travail'!$B$5:$B$3004,"&lt;"&amp;('Paramètres'!$AA$7+1)))</f>
        <v/>
      </c>
      <c r="Q263" s="69">
        <f>IF($A263="","",SUMIFS('Ordres de travail'!$S$5:$S$3004,'Ordres de travail'!$D$5:$D$3004,$A263,'Ordres de travail'!$H$5:$H$3004,"Correctif",'Ordres de travail'!$AC$5:$AC$3004,"&lt;&gt;Annulé",'Ordres de travail'!$B$5:$B$3004,"&gt;="&amp;'Paramètres'!$AA$6,'Ordres de travail'!$B$5:$B$3004,"&lt;"&amp;('Paramètres'!$AA$7+1)))</f>
        <v/>
      </c>
      <c r="R263" s="69">
        <f>IF($A263="","",SUMIFS('Ordres de travail'!$S$5:$S$3004,'Ordres de travail'!$D$5:$D$3004,$A263,'Ordres de travail'!$AC$5:$AC$3004,"&lt;&gt;Annulé",'Ordres de travail'!$B$5:$B$3004,"&gt;="&amp;'Paramètres'!$AA$6,'Ordres de travail'!$B$5:$B$3004,"&lt;"&amp;('Paramètres'!$AA$7+1)))</f>
        <v/>
      </c>
      <c r="S263" s="70">
        <f>IF($A263="","",SUMIFS('Ordres de travail'!$AA$5:$AA$3004,'Ordres de travail'!$D$5:$D$3004,$A263,'Ordres de travail'!$B$5:$B$3004,"&gt;="&amp;'Paramètres'!$AA$6,'Ordres de travail'!$B$5:$B$3004,"&lt;"&amp;('Paramètres'!$AA$7+1)))</f>
        <v/>
      </c>
      <c r="T263" s="68">
        <f>IF($A263="","",IF(P263=0,"-",(O263*'Paramètres'!$AA$8-Q263)/P263))</f>
        <v/>
      </c>
      <c r="U263" s="69">
        <f>IF($A263="","",IF(P263=0,"-",Q263/P263))</f>
        <v/>
      </c>
      <c r="V263" s="71">
        <f>IF($A263="","",IF(N(O263)*'Paramètres'!$AA$8=0,"-",MAX(0,1-R263/(O263*'Paramètres'!$AA$8))))</f>
        <v/>
      </c>
      <c r="W263" s="68">
        <f>IF($A263="","",_xlfn.MAXIFS('Relevés compteurs'!$D$5:$D$1504,'Relevés compteurs'!$B$5:$B$1504,$A263))</f>
        <v/>
      </c>
      <c r="X263" s="69">
        <f>IF(OR($A263="",I263=""),"",(TODAY()-I263)/365.25)</f>
        <v/>
      </c>
      <c r="Y263" s="70">
        <f>IF($A263="","",SUMIFS('Ordres de travail'!$AA$5:$AA$3004,'Ordres de travail'!$D$5:$D$3004,$A263))</f>
        <v/>
      </c>
      <c r="Z263" s="68">
        <f>IF($A263="","",SUM(COUNTIFS('Ordres de travail'!$D$5:$D$3004,$A263,'Ordres de travail'!$AC$5:$AC$3004,{"Demandé","Planifié","En cours","En attente pièces"})))</f>
        <v/>
      </c>
      <c r="AA263" s="9">
        <f>IF(OR($A263="",M263=""),"",IF(M263&lt;TODAY(),"Expirée",IF(M263-TODAY()&lt;='Paramètres'!$AA$15,"Expire bientôt","Sous garantie")))</f>
        <v/>
      </c>
      <c r="AB263" s="72">
        <f>IF($A263="",-1,N(R263)+ROW()/1000000)</f>
        <v/>
      </c>
    </row>
    <row r="264">
      <c r="A264" s="7" t="n"/>
      <c r="B264" s="7" t="n"/>
      <c r="C264" s="7" t="n"/>
      <c r="D264" s="7" t="n"/>
      <c r="E264" s="7" t="n"/>
      <c r="F264" s="7" t="n"/>
      <c r="G264" s="7" t="n"/>
      <c r="H264" s="7" t="n"/>
      <c r="I264" s="65" t="n"/>
      <c r="J264" s="66" t="n"/>
      <c r="K264" s="7" t="n"/>
      <c r="L264" s="7" t="n"/>
      <c r="M264" s="65" t="n"/>
      <c r="N264" s="7" t="n"/>
      <c r="O264" s="67" t="n"/>
      <c r="P264" s="68">
        <f>IF($A264="","",COUNTIFS('Ordres de travail'!$D$5:$D$3004,$A264,'Ordres de travail'!$H$5:$H$3004,"Correctif",'Ordres de travail'!$AC$5:$AC$3004,"&lt;&gt;Annulé",'Ordres de travail'!$B$5:$B$3004,"&gt;="&amp;'Paramètres'!$AA$6,'Ordres de travail'!$B$5:$B$3004,"&lt;"&amp;('Paramètres'!$AA$7+1)))</f>
        <v/>
      </c>
      <c r="Q264" s="69">
        <f>IF($A264="","",SUMIFS('Ordres de travail'!$S$5:$S$3004,'Ordres de travail'!$D$5:$D$3004,$A264,'Ordres de travail'!$H$5:$H$3004,"Correctif",'Ordres de travail'!$AC$5:$AC$3004,"&lt;&gt;Annulé",'Ordres de travail'!$B$5:$B$3004,"&gt;="&amp;'Paramètres'!$AA$6,'Ordres de travail'!$B$5:$B$3004,"&lt;"&amp;('Paramètres'!$AA$7+1)))</f>
        <v/>
      </c>
      <c r="R264" s="69">
        <f>IF($A264="","",SUMIFS('Ordres de travail'!$S$5:$S$3004,'Ordres de travail'!$D$5:$D$3004,$A264,'Ordres de travail'!$AC$5:$AC$3004,"&lt;&gt;Annulé",'Ordres de travail'!$B$5:$B$3004,"&gt;="&amp;'Paramètres'!$AA$6,'Ordres de travail'!$B$5:$B$3004,"&lt;"&amp;('Paramètres'!$AA$7+1)))</f>
        <v/>
      </c>
      <c r="S264" s="70">
        <f>IF($A264="","",SUMIFS('Ordres de travail'!$AA$5:$AA$3004,'Ordres de travail'!$D$5:$D$3004,$A264,'Ordres de travail'!$B$5:$B$3004,"&gt;="&amp;'Paramètres'!$AA$6,'Ordres de travail'!$B$5:$B$3004,"&lt;"&amp;('Paramètres'!$AA$7+1)))</f>
        <v/>
      </c>
      <c r="T264" s="68">
        <f>IF($A264="","",IF(P264=0,"-",(O264*'Paramètres'!$AA$8-Q264)/P264))</f>
        <v/>
      </c>
      <c r="U264" s="69">
        <f>IF($A264="","",IF(P264=0,"-",Q264/P264))</f>
        <v/>
      </c>
      <c r="V264" s="71">
        <f>IF($A264="","",IF(N(O264)*'Paramètres'!$AA$8=0,"-",MAX(0,1-R264/(O264*'Paramètres'!$AA$8))))</f>
        <v/>
      </c>
      <c r="W264" s="68">
        <f>IF($A264="","",_xlfn.MAXIFS('Relevés compteurs'!$D$5:$D$1504,'Relevés compteurs'!$B$5:$B$1504,$A264))</f>
        <v/>
      </c>
      <c r="X264" s="69">
        <f>IF(OR($A264="",I264=""),"",(TODAY()-I264)/365.25)</f>
        <v/>
      </c>
      <c r="Y264" s="70">
        <f>IF($A264="","",SUMIFS('Ordres de travail'!$AA$5:$AA$3004,'Ordres de travail'!$D$5:$D$3004,$A264))</f>
        <v/>
      </c>
      <c r="Z264" s="68">
        <f>IF($A264="","",SUM(COUNTIFS('Ordres de travail'!$D$5:$D$3004,$A264,'Ordres de travail'!$AC$5:$AC$3004,{"Demandé","Planifié","En cours","En attente pièces"})))</f>
        <v/>
      </c>
      <c r="AA264" s="9">
        <f>IF(OR($A264="",M264=""),"",IF(M264&lt;TODAY(),"Expirée",IF(M264-TODAY()&lt;='Paramètres'!$AA$15,"Expire bientôt","Sous garantie")))</f>
        <v/>
      </c>
      <c r="AB264" s="72">
        <f>IF($A264="",-1,N(R264)+ROW()/1000000)</f>
        <v/>
      </c>
    </row>
    <row r="265">
      <c r="A265" s="7" t="n"/>
      <c r="B265" s="7" t="n"/>
      <c r="C265" s="7" t="n"/>
      <c r="D265" s="7" t="n"/>
      <c r="E265" s="7" t="n"/>
      <c r="F265" s="7" t="n"/>
      <c r="G265" s="7" t="n"/>
      <c r="H265" s="7" t="n"/>
      <c r="I265" s="65" t="n"/>
      <c r="J265" s="66" t="n"/>
      <c r="K265" s="7" t="n"/>
      <c r="L265" s="7" t="n"/>
      <c r="M265" s="65" t="n"/>
      <c r="N265" s="7" t="n"/>
      <c r="O265" s="67" t="n"/>
      <c r="P265" s="68">
        <f>IF($A265="","",COUNTIFS('Ordres de travail'!$D$5:$D$3004,$A265,'Ordres de travail'!$H$5:$H$3004,"Correctif",'Ordres de travail'!$AC$5:$AC$3004,"&lt;&gt;Annulé",'Ordres de travail'!$B$5:$B$3004,"&gt;="&amp;'Paramètres'!$AA$6,'Ordres de travail'!$B$5:$B$3004,"&lt;"&amp;('Paramètres'!$AA$7+1)))</f>
        <v/>
      </c>
      <c r="Q265" s="69">
        <f>IF($A265="","",SUMIFS('Ordres de travail'!$S$5:$S$3004,'Ordres de travail'!$D$5:$D$3004,$A265,'Ordres de travail'!$H$5:$H$3004,"Correctif",'Ordres de travail'!$AC$5:$AC$3004,"&lt;&gt;Annulé",'Ordres de travail'!$B$5:$B$3004,"&gt;="&amp;'Paramètres'!$AA$6,'Ordres de travail'!$B$5:$B$3004,"&lt;"&amp;('Paramètres'!$AA$7+1)))</f>
        <v/>
      </c>
      <c r="R265" s="69">
        <f>IF($A265="","",SUMIFS('Ordres de travail'!$S$5:$S$3004,'Ordres de travail'!$D$5:$D$3004,$A265,'Ordres de travail'!$AC$5:$AC$3004,"&lt;&gt;Annulé",'Ordres de travail'!$B$5:$B$3004,"&gt;="&amp;'Paramètres'!$AA$6,'Ordres de travail'!$B$5:$B$3004,"&lt;"&amp;('Paramètres'!$AA$7+1)))</f>
        <v/>
      </c>
      <c r="S265" s="70">
        <f>IF($A265="","",SUMIFS('Ordres de travail'!$AA$5:$AA$3004,'Ordres de travail'!$D$5:$D$3004,$A265,'Ordres de travail'!$B$5:$B$3004,"&gt;="&amp;'Paramètres'!$AA$6,'Ordres de travail'!$B$5:$B$3004,"&lt;"&amp;('Paramètres'!$AA$7+1)))</f>
        <v/>
      </c>
      <c r="T265" s="68">
        <f>IF($A265="","",IF(P265=0,"-",(O265*'Paramètres'!$AA$8-Q265)/P265))</f>
        <v/>
      </c>
      <c r="U265" s="69">
        <f>IF($A265="","",IF(P265=0,"-",Q265/P265))</f>
        <v/>
      </c>
      <c r="V265" s="71">
        <f>IF($A265="","",IF(N(O265)*'Paramètres'!$AA$8=0,"-",MAX(0,1-R265/(O265*'Paramètres'!$AA$8))))</f>
        <v/>
      </c>
      <c r="W265" s="68">
        <f>IF($A265="","",_xlfn.MAXIFS('Relevés compteurs'!$D$5:$D$1504,'Relevés compteurs'!$B$5:$B$1504,$A265))</f>
        <v/>
      </c>
      <c r="X265" s="69">
        <f>IF(OR($A265="",I265=""),"",(TODAY()-I265)/365.25)</f>
        <v/>
      </c>
      <c r="Y265" s="70">
        <f>IF($A265="","",SUMIFS('Ordres de travail'!$AA$5:$AA$3004,'Ordres de travail'!$D$5:$D$3004,$A265))</f>
        <v/>
      </c>
      <c r="Z265" s="68">
        <f>IF($A265="","",SUM(COUNTIFS('Ordres de travail'!$D$5:$D$3004,$A265,'Ordres de travail'!$AC$5:$AC$3004,{"Demandé","Planifié","En cours","En attente pièces"})))</f>
        <v/>
      </c>
      <c r="AA265" s="9">
        <f>IF(OR($A265="",M265=""),"",IF(M265&lt;TODAY(),"Expirée",IF(M265-TODAY()&lt;='Paramètres'!$AA$15,"Expire bientôt","Sous garantie")))</f>
        <v/>
      </c>
      <c r="AB265" s="72">
        <f>IF($A265="",-1,N(R265)+ROW()/1000000)</f>
        <v/>
      </c>
    </row>
    <row r="266">
      <c r="A266" s="7" t="n"/>
      <c r="B266" s="7" t="n"/>
      <c r="C266" s="7" t="n"/>
      <c r="D266" s="7" t="n"/>
      <c r="E266" s="7" t="n"/>
      <c r="F266" s="7" t="n"/>
      <c r="G266" s="7" t="n"/>
      <c r="H266" s="7" t="n"/>
      <c r="I266" s="65" t="n"/>
      <c r="J266" s="66" t="n"/>
      <c r="K266" s="7" t="n"/>
      <c r="L266" s="7" t="n"/>
      <c r="M266" s="65" t="n"/>
      <c r="N266" s="7" t="n"/>
      <c r="O266" s="67" t="n"/>
      <c r="P266" s="68">
        <f>IF($A266="","",COUNTIFS('Ordres de travail'!$D$5:$D$3004,$A266,'Ordres de travail'!$H$5:$H$3004,"Correctif",'Ordres de travail'!$AC$5:$AC$3004,"&lt;&gt;Annulé",'Ordres de travail'!$B$5:$B$3004,"&gt;="&amp;'Paramètres'!$AA$6,'Ordres de travail'!$B$5:$B$3004,"&lt;"&amp;('Paramètres'!$AA$7+1)))</f>
        <v/>
      </c>
      <c r="Q266" s="69">
        <f>IF($A266="","",SUMIFS('Ordres de travail'!$S$5:$S$3004,'Ordres de travail'!$D$5:$D$3004,$A266,'Ordres de travail'!$H$5:$H$3004,"Correctif",'Ordres de travail'!$AC$5:$AC$3004,"&lt;&gt;Annulé",'Ordres de travail'!$B$5:$B$3004,"&gt;="&amp;'Paramètres'!$AA$6,'Ordres de travail'!$B$5:$B$3004,"&lt;"&amp;('Paramètres'!$AA$7+1)))</f>
        <v/>
      </c>
      <c r="R266" s="69">
        <f>IF($A266="","",SUMIFS('Ordres de travail'!$S$5:$S$3004,'Ordres de travail'!$D$5:$D$3004,$A266,'Ordres de travail'!$AC$5:$AC$3004,"&lt;&gt;Annulé",'Ordres de travail'!$B$5:$B$3004,"&gt;="&amp;'Paramètres'!$AA$6,'Ordres de travail'!$B$5:$B$3004,"&lt;"&amp;('Paramètres'!$AA$7+1)))</f>
        <v/>
      </c>
      <c r="S266" s="70">
        <f>IF($A266="","",SUMIFS('Ordres de travail'!$AA$5:$AA$3004,'Ordres de travail'!$D$5:$D$3004,$A266,'Ordres de travail'!$B$5:$B$3004,"&gt;="&amp;'Paramètres'!$AA$6,'Ordres de travail'!$B$5:$B$3004,"&lt;"&amp;('Paramètres'!$AA$7+1)))</f>
        <v/>
      </c>
      <c r="T266" s="68">
        <f>IF($A266="","",IF(P266=0,"-",(O266*'Paramètres'!$AA$8-Q266)/P266))</f>
        <v/>
      </c>
      <c r="U266" s="69">
        <f>IF($A266="","",IF(P266=0,"-",Q266/P266))</f>
        <v/>
      </c>
      <c r="V266" s="71">
        <f>IF($A266="","",IF(N(O266)*'Paramètres'!$AA$8=0,"-",MAX(0,1-R266/(O266*'Paramètres'!$AA$8))))</f>
        <v/>
      </c>
      <c r="W266" s="68">
        <f>IF($A266="","",_xlfn.MAXIFS('Relevés compteurs'!$D$5:$D$1504,'Relevés compteurs'!$B$5:$B$1504,$A266))</f>
        <v/>
      </c>
      <c r="X266" s="69">
        <f>IF(OR($A266="",I266=""),"",(TODAY()-I266)/365.25)</f>
        <v/>
      </c>
      <c r="Y266" s="70">
        <f>IF($A266="","",SUMIFS('Ordres de travail'!$AA$5:$AA$3004,'Ordres de travail'!$D$5:$D$3004,$A266))</f>
        <v/>
      </c>
      <c r="Z266" s="68">
        <f>IF($A266="","",SUM(COUNTIFS('Ordres de travail'!$D$5:$D$3004,$A266,'Ordres de travail'!$AC$5:$AC$3004,{"Demandé","Planifié","En cours","En attente pièces"})))</f>
        <v/>
      </c>
      <c r="AA266" s="9">
        <f>IF(OR($A266="",M266=""),"",IF(M266&lt;TODAY(),"Expirée",IF(M266-TODAY()&lt;='Paramètres'!$AA$15,"Expire bientôt","Sous garantie")))</f>
        <v/>
      </c>
      <c r="AB266" s="72">
        <f>IF($A266="",-1,N(R266)+ROW()/1000000)</f>
        <v/>
      </c>
    </row>
    <row r="267">
      <c r="A267" s="7" t="n"/>
      <c r="B267" s="7" t="n"/>
      <c r="C267" s="7" t="n"/>
      <c r="D267" s="7" t="n"/>
      <c r="E267" s="7" t="n"/>
      <c r="F267" s="7" t="n"/>
      <c r="G267" s="7" t="n"/>
      <c r="H267" s="7" t="n"/>
      <c r="I267" s="65" t="n"/>
      <c r="J267" s="66" t="n"/>
      <c r="K267" s="7" t="n"/>
      <c r="L267" s="7" t="n"/>
      <c r="M267" s="65" t="n"/>
      <c r="N267" s="7" t="n"/>
      <c r="O267" s="67" t="n"/>
      <c r="P267" s="68">
        <f>IF($A267="","",COUNTIFS('Ordres de travail'!$D$5:$D$3004,$A267,'Ordres de travail'!$H$5:$H$3004,"Correctif",'Ordres de travail'!$AC$5:$AC$3004,"&lt;&gt;Annulé",'Ordres de travail'!$B$5:$B$3004,"&gt;="&amp;'Paramètres'!$AA$6,'Ordres de travail'!$B$5:$B$3004,"&lt;"&amp;('Paramètres'!$AA$7+1)))</f>
        <v/>
      </c>
      <c r="Q267" s="69">
        <f>IF($A267="","",SUMIFS('Ordres de travail'!$S$5:$S$3004,'Ordres de travail'!$D$5:$D$3004,$A267,'Ordres de travail'!$H$5:$H$3004,"Correctif",'Ordres de travail'!$AC$5:$AC$3004,"&lt;&gt;Annulé",'Ordres de travail'!$B$5:$B$3004,"&gt;="&amp;'Paramètres'!$AA$6,'Ordres de travail'!$B$5:$B$3004,"&lt;"&amp;('Paramètres'!$AA$7+1)))</f>
        <v/>
      </c>
      <c r="R267" s="69">
        <f>IF($A267="","",SUMIFS('Ordres de travail'!$S$5:$S$3004,'Ordres de travail'!$D$5:$D$3004,$A267,'Ordres de travail'!$AC$5:$AC$3004,"&lt;&gt;Annulé",'Ordres de travail'!$B$5:$B$3004,"&gt;="&amp;'Paramètres'!$AA$6,'Ordres de travail'!$B$5:$B$3004,"&lt;"&amp;('Paramètres'!$AA$7+1)))</f>
        <v/>
      </c>
      <c r="S267" s="70">
        <f>IF($A267="","",SUMIFS('Ordres de travail'!$AA$5:$AA$3004,'Ordres de travail'!$D$5:$D$3004,$A267,'Ordres de travail'!$B$5:$B$3004,"&gt;="&amp;'Paramètres'!$AA$6,'Ordres de travail'!$B$5:$B$3004,"&lt;"&amp;('Paramètres'!$AA$7+1)))</f>
        <v/>
      </c>
      <c r="T267" s="68">
        <f>IF($A267="","",IF(P267=0,"-",(O267*'Paramètres'!$AA$8-Q267)/P267))</f>
        <v/>
      </c>
      <c r="U267" s="69">
        <f>IF($A267="","",IF(P267=0,"-",Q267/P267))</f>
        <v/>
      </c>
      <c r="V267" s="71">
        <f>IF($A267="","",IF(N(O267)*'Paramètres'!$AA$8=0,"-",MAX(0,1-R267/(O267*'Paramètres'!$AA$8))))</f>
        <v/>
      </c>
      <c r="W267" s="68">
        <f>IF($A267="","",_xlfn.MAXIFS('Relevés compteurs'!$D$5:$D$1504,'Relevés compteurs'!$B$5:$B$1504,$A267))</f>
        <v/>
      </c>
      <c r="X267" s="69">
        <f>IF(OR($A267="",I267=""),"",(TODAY()-I267)/365.25)</f>
        <v/>
      </c>
      <c r="Y267" s="70">
        <f>IF($A267="","",SUMIFS('Ordres de travail'!$AA$5:$AA$3004,'Ordres de travail'!$D$5:$D$3004,$A267))</f>
        <v/>
      </c>
      <c r="Z267" s="68">
        <f>IF($A267="","",SUM(COUNTIFS('Ordres de travail'!$D$5:$D$3004,$A267,'Ordres de travail'!$AC$5:$AC$3004,{"Demandé","Planifié","En cours","En attente pièces"})))</f>
        <v/>
      </c>
      <c r="AA267" s="9">
        <f>IF(OR($A267="",M267=""),"",IF(M267&lt;TODAY(),"Expirée",IF(M267-TODAY()&lt;='Paramètres'!$AA$15,"Expire bientôt","Sous garantie")))</f>
        <v/>
      </c>
      <c r="AB267" s="72">
        <f>IF($A267="",-1,N(R267)+ROW()/1000000)</f>
        <v/>
      </c>
    </row>
    <row r="268">
      <c r="A268" s="7" t="n"/>
      <c r="B268" s="7" t="n"/>
      <c r="C268" s="7" t="n"/>
      <c r="D268" s="7" t="n"/>
      <c r="E268" s="7" t="n"/>
      <c r="F268" s="7" t="n"/>
      <c r="G268" s="7" t="n"/>
      <c r="H268" s="7" t="n"/>
      <c r="I268" s="65" t="n"/>
      <c r="J268" s="66" t="n"/>
      <c r="K268" s="7" t="n"/>
      <c r="L268" s="7" t="n"/>
      <c r="M268" s="65" t="n"/>
      <c r="N268" s="7" t="n"/>
      <c r="O268" s="67" t="n"/>
      <c r="P268" s="68">
        <f>IF($A268="","",COUNTIFS('Ordres de travail'!$D$5:$D$3004,$A268,'Ordres de travail'!$H$5:$H$3004,"Correctif",'Ordres de travail'!$AC$5:$AC$3004,"&lt;&gt;Annulé",'Ordres de travail'!$B$5:$B$3004,"&gt;="&amp;'Paramètres'!$AA$6,'Ordres de travail'!$B$5:$B$3004,"&lt;"&amp;('Paramètres'!$AA$7+1)))</f>
        <v/>
      </c>
      <c r="Q268" s="69">
        <f>IF($A268="","",SUMIFS('Ordres de travail'!$S$5:$S$3004,'Ordres de travail'!$D$5:$D$3004,$A268,'Ordres de travail'!$H$5:$H$3004,"Correctif",'Ordres de travail'!$AC$5:$AC$3004,"&lt;&gt;Annulé",'Ordres de travail'!$B$5:$B$3004,"&gt;="&amp;'Paramètres'!$AA$6,'Ordres de travail'!$B$5:$B$3004,"&lt;"&amp;('Paramètres'!$AA$7+1)))</f>
        <v/>
      </c>
      <c r="R268" s="69">
        <f>IF($A268="","",SUMIFS('Ordres de travail'!$S$5:$S$3004,'Ordres de travail'!$D$5:$D$3004,$A268,'Ordres de travail'!$AC$5:$AC$3004,"&lt;&gt;Annulé",'Ordres de travail'!$B$5:$B$3004,"&gt;="&amp;'Paramètres'!$AA$6,'Ordres de travail'!$B$5:$B$3004,"&lt;"&amp;('Paramètres'!$AA$7+1)))</f>
        <v/>
      </c>
      <c r="S268" s="70">
        <f>IF($A268="","",SUMIFS('Ordres de travail'!$AA$5:$AA$3004,'Ordres de travail'!$D$5:$D$3004,$A268,'Ordres de travail'!$B$5:$B$3004,"&gt;="&amp;'Paramètres'!$AA$6,'Ordres de travail'!$B$5:$B$3004,"&lt;"&amp;('Paramètres'!$AA$7+1)))</f>
        <v/>
      </c>
      <c r="T268" s="68">
        <f>IF($A268="","",IF(P268=0,"-",(O268*'Paramètres'!$AA$8-Q268)/P268))</f>
        <v/>
      </c>
      <c r="U268" s="69">
        <f>IF($A268="","",IF(P268=0,"-",Q268/P268))</f>
        <v/>
      </c>
      <c r="V268" s="71">
        <f>IF($A268="","",IF(N(O268)*'Paramètres'!$AA$8=0,"-",MAX(0,1-R268/(O268*'Paramètres'!$AA$8))))</f>
        <v/>
      </c>
      <c r="W268" s="68">
        <f>IF($A268="","",_xlfn.MAXIFS('Relevés compteurs'!$D$5:$D$1504,'Relevés compteurs'!$B$5:$B$1504,$A268))</f>
        <v/>
      </c>
      <c r="X268" s="69">
        <f>IF(OR($A268="",I268=""),"",(TODAY()-I268)/365.25)</f>
        <v/>
      </c>
      <c r="Y268" s="70">
        <f>IF($A268="","",SUMIFS('Ordres de travail'!$AA$5:$AA$3004,'Ordres de travail'!$D$5:$D$3004,$A268))</f>
        <v/>
      </c>
      <c r="Z268" s="68">
        <f>IF($A268="","",SUM(COUNTIFS('Ordres de travail'!$D$5:$D$3004,$A268,'Ordres de travail'!$AC$5:$AC$3004,{"Demandé","Planifié","En cours","En attente pièces"})))</f>
        <v/>
      </c>
      <c r="AA268" s="9">
        <f>IF(OR($A268="",M268=""),"",IF(M268&lt;TODAY(),"Expirée",IF(M268-TODAY()&lt;='Paramètres'!$AA$15,"Expire bientôt","Sous garantie")))</f>
        <v/>
      </c>
      <c r="AB268" s="72">
        <f>IF($A268="",-1,N(R268)+ROW()/1000000)</f>
        <v/>
      </c>
    </row>
    <row r="269">
      <c r="A269" s="7" t="n"/>
      <c r="B269" s="7" t="n"/>
      <c r="C269" s="7" t="n"/>
      <c r="D269" s="7" t="n"/>
      <c r="E269" s="7" t="n"/>
      <c r="F269" s="7" t="n"/>
      <c r="G269" s="7" t="n"/>
      <c r="H269" s="7" t="n"/>
      <c r="I269" s="65" t="n"/>
      <c r="J269" s="66" t="n"/>
      <c r="K269" s="7" t="n"/>
      <c r="L269" s="7" t="n"/>
      <c r="M269" s="65" t="n"/>
      <c r="N269" s="7" t="n"/>
      <c r="O269" s="67" t="n"/>
      <c r="P269" s="68">
        <f>IF($A269="","",COUNTIFS('Ordres de travail'!$D$5:$D$3004,$A269,'Ordres de travail'!$H$5:$H$3004,"Correctif",'Ordres de travail'!$AC$5:$AC$3004,"&lt;&gt;Annulé",'Ordres de travail'!$B$5:$B$3004,"&gt;="&amp;'Paramètres'!$AA$6,'Ordres de travail'!$B$5:$B$3004,"&lt;"&amp;('Paramètres'!$AA$7+1)))</f>
        <v/>
      </c>
      <c r="Q269" s="69">
        <f>IF($A269="","",SUMIFS('Ordres de travail'!$S$5:$S$3004,'Ordres de travail'!$D$5:$D$3004,$A269,'Ordres de travail'!$H$5:$H$3004,"Correctif",'Ordres de travail'!$AC$5:$AC$3004,"&lt;&gt;Annulé",'Ordres de travail'!$B$5:$B$3004,"&gt;="&amp;'Paramètres'!$AA$6,'Ordres de travail'!$B$5:$B$3004,"&lt;"&amp;('Paramètres'!$AA$7+1)))</f>
        <v/>
      </c>
      <c r="R269" s="69">
        <f>IF($A269="","",SUMIFS('Ordres de travail'!$S$5:$S$3004,'Ordres de travail'!$D$5:$D$3004,$A269,'Ordres de travail'!$AC$5:$AC$3004,"&lt;&gt;Annulé",'Ordres de travail'!$B$5:$B$3004,"&gt;="&amp;'Paramètres'!$AA$6,'Ordres de travail'!$B$5:$B$3004,"&lt;"&amp;('Paramètres'!$AA$7+1)))</f>
        <v/>
      </c>
      <c r="S269" s="70">
        <f>IF($A269="","",SUMIFS('Ordres de travail'!$AA$5:$AA$3004,'Ordres de travail'!$D$5:$D$3004,$A269,'Ordres de travail'!$B$5:$B$3004,"&gt;="&amp;'Paramètres'!$AA$6,'Ordres de travail'!$B$5:$B$3004,"&lt;"&amp;('Paramètres'!$AA$7+1)))</f>
        <v/>
      </c>
      <c r="T269" s="68">
        <f>IF($A269="","",IF(P269=0,"-",(O269*'Paramètres'!$AA$8-Q269)/P269))</f>
        <v/>
      </c>
      <c r="U269" s="69">
        <f>IF($A269="","",IF(P269=0,"-",Q269/P269))</f>
        <v/>
      </c>
      <c r="V269" s="71">
        <f>IF($A269="","",IF(N(O269)*'Paramètres'!$AA$8=0,"-",MAX(0,1-R269/(O269*'Paramètres'!$AA$8))))</f>
        <v/>
      </c>
      <c r="W269" s="68">
        <f>IF($A269="","",_xlfn.MAXIFS('Relevés compteurs'!$D$5:$D$1504,'Relevés compteurs'!$B$5:$B$1504,$A269))</f>
        <v/>
      </c>
      <c r="X269" s="69">
        <f>IF(OR($A269="",I269=""),"",(TODAY()-I269)/365.25)</f>
        <v/>
      </c>
      <c r="Y269" s="70">
        <f>IF($A269="","",SUMIFS('Ordres de travail'!$AA$5:$AA$3004,'Ordres de travail'!$D$5:$D$3004,$A269))</f>
        <v/>
      </c>
      <c r="Z269" s="68">
        <f>IF($A269="","",SUM(COUNTIFS('Ordres de travail'!$D$5:$D$3004,$A269,'Ordres de travail'!$AC$5:$AC$3004,{"Demandé","Planifié","En cours","En attente pièces"})))</f>
        <v/>
      </c>
      <c r="AA269" s="9">
        <f>IF(OR($A269="",M269=""),"",IF(M269&lt;TODAY(),"Expirée",IF(M269-TODAY()&lt;='Paramètres'!$AA$15,"Expire bientôt","Sous garantie")))</f>
        <v/>
      </c>
      <c r="AB269" s="72">
        <f>IF($A269="",-1,N(R269)+ROW()/1000000)</f>
        <v/>
      </c>
    </row>
    <row r="270">
      <c r="A270" s="7" t="n"/>
      <c r="B270" s="7" t="n"/>
      <c r="C270" s="7" t="n"/>
      <c r="D270" s="7" t="n"/>
      <c r="E270" s="7" t="n"/>
      <c r="F270" s="7" t="n"/>
      <c r="G270" s="7" t="n"/>
      <c r="H270" s="7" t="n"/>
      <c r="I270" s="65" t="n"/>
      <c r="J270" s="66" t="n"/>
      <c r="K270" s="7" t="n"/>
      <c r="L270" s="7" t="n"/>
      <c r="M270" s="65" t="n"/>
      <c r="N270" s="7" t="n"/>
      <c r="O270" s="67" t="n"/>
      <c r="P270" s="68">
        <f>IF($A270="","",COUNTIFS('Ordres de travail'!$D$5:$D$3004,$A270,'Ordres de travail'!$H$5:$H$3004,"Correctif",'Ordres de travail'!$AC$5:$AC$3004,"&lt;&gt;Annulé",'Ordres de travail'!$B$5:$B$3004,"&gt;="&amp;'Paramètres'!$AA$6,'Ordres de travail'!$B$5:$B$3004,"&lt;"&amp;('Paramètres'!$AA$7+1)))</f>
        <v/>
      </c>
      <c r="Q270" s="69">
        <f>IF($A270="","",SUMIFS('Ordres de travail'!$S$5:$S$3004,'Ordres de travail'!$D$5:$D$3004,$A270,'Ordres de travail'!$H$5:$H$3004,"Correctif",'Ordres de travail'!$AC$5:$AC$3004,"&lt;&gt;Annulé",'Ordres de travail'!$B$5:$B$3004,"&gt;="&amp;'Paramètres'!$AA$6,'Ordres de travail'!$B$5:$B$3004,"&lt;"&amp;('Paramètres'!$AA$7+1)))</f>
        <v/>
      </c>
      <c r="R270" s="69">
        <f>IF($A270="","",SUMIFS('Ordres de travail'!$S$5:$S$3004,'Ordres de travail'!$D$5:$D$3004,$A270,'Ordres de travail'!$AC$5:$AC$3004,"&lt;&gt;Annulé",'Ordres de travail'!$B$5:$B$3004,"&gt;="&amp;'Paramètres'!$AA$6,'Ordres de travail'!$B$5:$B$3004,"&lt;"&amp;('Paramètres'!$AA$7+1)))</f>
        <v/>
      </c>
      <c r="S270" s="70">
        <f>IF($A270="","",SUMIFS('Ordres de travail'!$AA$5:$AA$3004,'Ordres de travail'!$D$5:$D$3004,$A270,'Ordres de travail'!$B$5:$B$3004,"&gt;="&amp;'Paramètres'!$AA$6,'Ordres de travail'!$B$5:$B$3004,"&lt;"&amp;('Paramètres'!$AA$7+1)))</f>
        <v/>
      </c>
      <c r="T270" s="68">
        <f>IF($A270="","",IF(P270=0,"-",(O270*'Paramètres'!$AA$8-Q270)/P270))</f>
        <v/>
      </c>
      <c r="U270" s="69">
        <f>IF($A270="","",IF(P270=0,"-",Q270/P270))</f>
        <v/>
      </c>
      <c r="V270" s="71">
        <f>IF($A270="","",IF(N(O270)*'Paramètres'!$AA$8=0,"-",MAX(0,1-R270/(O270*'Paramètres'!$AA$8))))</f>
        <v/>
      </c>
      <c r="W270" s="68">
        <f>IF($A270="","",_xlfn.MAXIFS('Relevés compteurs'!$D$5:$D$1504,'Relevés compteurs'!$B$5:$B$1504,$A270))</f>
        <v/>
      </c>
      <c r="X270" s="69">
        <f>IF(OR($A270="",I270=""),"",(TODAY()-I270)/365.25)</f>
        <v/>
      </c>
      <c r="Y270" s="70">
        <f>IF($A270="","",SUMIFS('Ordres de travail'!$AA$5:$AA$3004,'Ordres de travail'!$D$5:$D$3004,$A270))</f>
        <v/>
      </c>
      <c r="Z270" s="68">
        <f>IF($A270="","",SUM(COUNTIFS('Ordres de travail'!$D$5:$D$3004,$A270,'Ordres de travail'!$AC$5:$AC$3004,{"Demandé","Planifié","En cours","En attente pièces"})))</f>
        <v/>
      </c>
      <c r="AA270" s="9">
        <f>IF(OR($A270="",M270=""),"",IF(M270&lt;TODAY(),"Expirée",IF(M270-TODAY()&lt;='Paramètres'!$AA$15,"Expire bientôt","Sous garantie")))</f>
        <v/>
      </c>
      <c r="AB270" s="72">
        <f>IF($A270="",-1,N(R270)+ROW()/1000000)</f>
        <v/>
      </c>
    </row>
    <row r="271">
      <c r="A271" s="7" t="n"/>
      <c r="B271" s="7" t="n"/>
      <c r="C271" s="7" t="n"/>
      <c r="D271" s="7" t="n"/>
      <c r="E271" s="7" t="n"/>
      <c r="F271" s="7" t="n"/>
      <c r="G271" s="7" t="n"/>
      <c r="H271" s="7" t="n"/>
      <c r="I271" s="65" t="n"/>
      <c r="J271" s="66" t="n"/>
      <c r="K271" s="7" t="n"/>
      <c r="L271" s="7" t="n"/>
      <c r="M271" s="65" t="n"/>
      <c r="N271" s="7" t="n"/>
      <c r="O271" s="67" t="n"/>
      <c r="P271" s="68">
        <f>IF($A271="","",COUNTIFS('Ordres de travail'!$D$5:$D$3004,$A271,'Ordres de travail'!$H$5:$H$3004,"Correctif",'Ordres de travail'!$AC$5:$AC$3004,"&lt;&gt;Annulé",'Ordres de travail'!$B$5:$B$3004,"&gt;="&amp;'Paramètres'!$AA$6,'Ordres de travail'!$B$5:$B$3004,"&lt;"&amp;('Paramètres'!$AA$7+1)))</f>
        <v/>
      </c>
      <c r="Q271" s="69">
        <f>IF($A271="","",SUMIFS('Ordres de travail'!$S$5:$S$3004,'Ordres de travail'!$D$5:$D$3004,$A271,'Ordres de travail'!$H$5:$H$3004,"Correctif",'Ordres de travail'!$AC$5:$AC$3004,"&lt;&gt;Annulé",'Ordres de travail'!$B$5:$B$3004,"&gt;="&amp;'Paramètres'!$AA$6,'Ordres de travail'!$B$5:$B$3004,"&lt;"&amp;('Paramètres'!$AA$7+1)))</f>
        <v/>
      </c>
      <c r="R271" s="69">
        <f>IF($A271="","",SUMIFS('Ordres de travail'!$S$5:$S$3004,'Ordres de travail'!$D$5:$D$3004,$A271,'Ordres de travail'!$AC$5:$AC$3004,"&lt;&gt;Annulé",'Ordres de travail'!$B$5:$B$3004,"&gt;="&amp;'Paramètres'!$AA$6,'Ordres de travail'!$B$5:$B$3004,"&lt;"&amp;('Paramètres'!$AA$7+1)))</f>
        <v/>
      </c>
      <c r="S271" s="70">
        <f>IF($A271="","",SUMIFS('Ordres de travail'!$AA$5:$AA$3004,'Ordres de travail'!$D$5:$D$3004,$A271,'Ordres de travail'!$B$5:$B$3004,"&gt;="&amp;'Paramètres'!$AA$6,'Ordres de travail'!$B$5:$B$3004,"&lt;"&amp;('Paramètres'!$AA$7+1)))</f>
        <v/>
      </c>
      <c r="T271" s="68">
        <f>IF($A271="","",IF(P271=0,"-",(O271*'Paramètres'!$AA$8-Q271)/P271))</f>
        <v/>
      </c>
      <c r="U271" s="69">
        <f>IF($A271="","",IF(P271=0,"-",Q271/P271))</f>
        <v/>
      </c>
      <c r="V271" s="71">
        <f>IF($A271="","",IF(N(O271)*'Paramètres'!$AA$8=0,"-",MAX(0,1-R271/(O271*'Paramètres'!$AA$8))))</f>
        <v/>
      </c>
      <c r="W271" s="68">
        <f>IF($A271="","",_xlfn.MAXIFS('Relevés compteurs'!$D$5:$D$1504,'Relevés compteurs'!$B$5:$B$1504,$A271))</f>
        <v/>
      </c>
      <c r="X271" s="69">
        <f>IF(OR($A271="",I271=""),"",(TODAY()-I271)/365.25)</f>
        <v/>
      </c>
      <c r="Y271" s="70">
        <f>IF($A271="","",SUMIFS('Ordres de travail'!$AA$5:$AA$3004,'Ordres de travail'!$D$5:$D$3004,$A271))</f>
        <v/>
      </c>
      <c r="Z271" s="68">
        <f>IF($A271="","",SUM(COUNTIFS('Ordres de travail'!$D$5:$D$3004,$A271,'Ordres de travail'!$AC$5:$AC$3004,{"Demandé","Planifié","En cours","En attente pièces"})))</f>
        <v/>
      </c>
      <c r="AA271" s="9">
        <f>IF(OR($A271="",M271=""),"",IF(M271&lt;TODAY(),"Expirée",IF(M271-TODAY()&lt;='Paramètres'!$AA$15,"Expire bientôt","Sous garantie")))</f>
        <v/>
      </c>
      <c r="AB271" s="72">
        <f>IF($A271="",-1,N(R271)+ROW()/1000000)</f>
        <v/>
      </c>
    </row>
    <row r="272">
      <c r="A272" s="7" t="n"/>
      <c r="B272" s="7" t="n"/>
      <c r="C272" s="7" t="n"/>
      <c r="D272" s="7" t="n"/>
      <c r="E272" s="7" t="n"/>
      <c r="F272" s="7" t="n"/>
      <c r="G272" s="7" t="n"/>
      <c r="H272" s="7" t="n"/>
      <c r="I272" s="65" t="n"/>
      <c r="J272" s="66" t="n"/>
      <c r="K272" s="7" t="n"/>
      <c r="L272" s="7" t="n"/>
      <c r="M272" s="65" t="n"/>
      <c r="N272" s="7" t="n"/>
      <c r="O272" s="67" t="n"/>
      <c r="P272" s="68">
        <f>IF($A272="","",COUNTIFS('Ordres de travail'!$D$5:$D$3004,$A272,'Ordres de travail'!$H$5:$H$3004,"Correctif",'Ordres de travail'!$AC$5:$AC$3004,"&lt;&gt;Annulé",'Ordres de travail'!$B$5:$B$3004,"&gt;="&amp;'Paramètres'!$AA$6,'Ordres de travail'!$B$5:$B$3004,"&lt;"&amp;('Paramètres'!$AA$7+1)))</f>
        <v/>
      </c>
      <c r="Q272" s="69">
        <f>IF($A272="","",SUMIFS('Ordres de travail'!$S$5:$S$3004,'Ordres de travail'!$D$5:$D$3004,$A272,'Ordres de travail'!$H$5:$H$3004,"Correctif",'Ordres de travail'!$AC$5:$AC$3004,"&lt;&gt;Annulé",'Ordres de travail'!$B$5:$B$3004,"&gt;="&amp;'Paramètres'!$AA$6,'Ordres de travail'!$B$5:$B$3004,"&lt;"&amp;('Paramètres'!$AA$7+1)))</f>
        <v/>
      </c>
      <c r="R272" s="69">
        <f>IF($A272="","",SUMIFS('Ordres de travail'!$S$5:$S$3004,'Ordres de travail'!$D$5:$D$3004,$A272,'Ordres de travail'!$AC$5:$AC$3004,"&lt;&gt;Annulé",'Ordres de travail'!$B$5:$B$3004,"&gt;="&amp;'Paramètres'!$AA$6,'Ordres de travail'!$B$5:$B$3004,"&lt;"&amp;('Paramètres'!$AA$7+1)))</f>
        <v/>
      </c>
      <c r="S272" s="70">
        <f>IF($A272="","",SUMIFS('Ordres de travail'!$AA$5:$AA$3004,'Ordres de travail'!$D$5:$D$3004,$A272,'Ordres de travail'!$B$5:$B$3004,"&gt;="&amp;'Paramètres'!$AA$6,'Ordres de travail'!$B$5:$B$3004,"&lt;"&amp;('Paramètres'!$AA$7+1)))</f>
        <v/>
      </c>
      <c r="T272" s="68">
        <f>IF($A272="","",IF(P272=0,"-",(O272*'Paramètres'!$AA$8-Q272)/P272))</f>
        <v/>
      </c>
      <c r="U272" s="69">
        <f>IF($A272="","",IF(P272=0,"-",Q272/P272))</f>
        <v/>
      </c>
      <c r="V272" s="71">
        <f>IF($A272="","",IF(N(O272)*'Paramètres'!$AA$8=0,"-",MAX(0,1-R272/(O272*'Paramètres'!$AA$8))))</f>
        <v/>
      </c>
      <c r="W272" s="68">
        <f>IF($A272="","",_xlfn.MAXIFS('Relevés compteurs'!$D$5:$D$1504,'Relevés compteurs'!$B$5:$B$1504,$A272))</f>
        <v/>
      </c>
      <c r="X272" s="69">
        <f>IF(OR($A272="",I272=""),"",(TODAY()-I272)/365.25)</f>
        <v/>
      </c>
      <c r="Y272" s="70">
        <f>IF($A272="","",SUMIFS('Ordres de travail'!$AA$5:$AA$3004,'Ordres de travail'!$D$5:$D$3004,$A272))</f>
        <v/>
      </c>
      <c r="Z272" s="68">
        <f>IF($A272="","",SUM(COUNTIFS('Ordres de travail'!$D$5:$D$3004,$A272,'Ordres de travail'!$AC$5:$AC$3004,{"Demandé","Planifié","En cours","En attente pièces"})))</f>
        <v/>
      </c>
      <c r="AA272" s="9">
        <f>IF(OR($A272="",M272=""),"",IF(M272&lt;TODAY(),"Expirée",IF(M272-TODAY()&lt;='Paramètres'!$AA$15,"Expire bientôt","Sous garantie")))</f>
        <v/>
      </c>
      <c r="AB272" s="72">
        <f>IF($A272="",-1,N(R272)+ROW()/1000000)</f>
        <v/>
      </c>
    </row>
    <row r="273">
      <c r="A273" s="7" t="n"/>
      <c r="B273" s="7" t="n"/>
      <c r="C273" s="7" t="n"/>
      <c r="D273" s="7" t="n"/>
      <c r="E273" s="7" t="n"/>
      <c r="F273" s="7" t="n"/>
      <c r="G273" s="7" t="n"/>
      <c r="H273" s="7" t="n"/>
      <c r="I273" s="65" t="n"/>
      <c r="J273" s="66" t="n"/>
      <c r="K273" s="7" t="n"/>
      <c r="L273" s="7" t="n"/>
      <c r="M273" s="65" t="n"/>
      <c r="N273" s="7" t="n"/>
      <c r="O273" s="67" t="n"/>
      <c r="P273" s="68">
        <f>IF($A273="","",COUNTIFS('Ordres de travail'!$D$5:$D$3004,$A273,'Ordres de travail'!$H$5:$H$3004,"Correctif",'Ordres de travail'!$AC$5:$AC$3004,"&lt;&gt;Annulé",'Ordres de travail'!$B$5:$B$3004,"&gt;="&amp;'Paramètres'!$AA$6,'Ordres de travail'!$B$5:$B$3004,"&lt;"&amp;('Paramètres'!$AA$7+1)))</f>
        <v/>
      </c>
      <c r="Q273" s="69">
        <f>IF($A273="","",SUMIFS('Ordres de travail'!$S$5:$S$3004,'Ordres de travail'!$D$5:$D$3004,$A273,'Ordres de travail'!$H$5:$H$3004,"Correctif",'Ordres de travail'!$AC$5:$AC$3004,"&lt;&gt;Annulé",'Ordres de travail'!$B$5:$B$3004,"&gt;="&amp;'Paramètres'!$AA$6,'Ordres de travail'!$B$5:$B$3004,"&lt;"&amp;('Paramètres'!$AA$7+1)))</f>
        <v/>
      </c>
      <c r="R273" s="69">
        <f>IF($A273="","",SUMIFS('Ordres de travail'!$S$5:$S$3004,'Ordres de travail'!$D$5:$D$3004,$A273,'Ordres de travail'!$AC$5:$AC$3004,"&lt;&gt;Annulé",'Ordres de travail'!$B$5:$B$3004,"&gt;="&amp;'Paramètres'!$AA$6,'Ordres de travail'!$B$5:$B$3004,"&lt;"&amp;('Paramètres'!$AA$7+1)))</f>
        <v/>
      </c>
      <c r="S273" s="70">
        <f>IF($A273="","",SUMIFS('Ordres de travail'!$AA$5:$AA$3004,'Ordres de travail'!$D$5:$D$3004,$A273,'Ordres de travail'!$B$5:$B$3004,"&gt;="&amp;'Paramètres'!$AA$6,'Ordres de travail'!$B$5:$B$3004,"&lt;"&amp;('Paramètres'!$AA$7+1)))</f>
        <v/>
      </c>
      <c r="T273" s="68">
        <f>IF($A273="","",IF(P273=0,"-",(O273*'Paramètres'!$AA$8-Q273)/P273))</f>
        <v/>
      </c>
      <c r="U273" s="69">
        <f>IF($A273="","",IF(P273=0,"-",Q273/P273))</f>
        <v/>
      </c>
      <c r="V273" s="71">
        <f>IF($A273="","",IF(N(O273)*'Paramètres'!$AA$8=0,"-",MAX(0,1-R273/(O273*'Paramètres'!$AA$8))))</f>
        <v/>
      </c>
      <c r="W273" s="68">
        <f>IF($A273="","",_xlfn.MAXIFS('Relevés compteurs'!$D$5:$D$1504,'Relevés compteurs'!$B$5:$B$1504,$A273))</f>
        <v/>
      </c>
      <c r="X273" s="69">
        <f>IF(OR($A273="",I273=""),"",(TODAY()-I273)/365.25)</f>
        <v/>
      </c>
      <c r="Y273" s="70">
        <f>IF($A273="","",SUMIFS('Ordres de travail'!$AA$5:$AA$3004,'Ordres de travail'!$D$5:$D$3004,$A273))</f>
        <v/>
      </c>
      <c r="Z273" s="68">
        <f>IF($A273="","",SUM(COUNTIFS('Ordres de travail'!$D$5:$D$3004,$A273,'Ordres de travail'!$AC$5:$AC$3004,{"Demandé","Planifié","En cours","En attente pièces"})))</f>
        <v/>
      </c>
      <c r="AA273" s="9">
        <f>IF(OR($A273="",M273=""),"",IF(M273&lt;TODAY(),"Expirée",IF(M273-TODAY()&lt;='Paramètres'!$AA$15,"Expire bientôt","Sous garantie")))</f>
        <v/>
      </c>
      <c r="AB273" s="72">
        <f>IF($A273="",-1,N(R273)+ROW()/1000000)</f>
        <v/>
      </c>
    </row>
    <row r="274">
      <c r="A274" s="7" t="n"/>
      <c r="B274" s="7" t="n"/>
      <c r="C274" s="7" t="n"/>
      <c r="D274" s="7" t="n"/>
      <c r="E274" s="7" t="n"/>
      <c r="F274" s="7" t="n"/>
      <c r="G274" s="7" t="n"/>
      <c r="H274" s="7" t="n"/>
      <c r="I274" s="65" t="n"/>
      <c r="J274" s="66" t="n"/>
      <c r="K274" s="7" t="n"/>
      <c r="L274" s="7" t="n"/>
      <c r="M274" s="65" t="n"/>
      <c r="N274" s="7" t="n"/>
      <c r="O274" s="67" t="n"/>
      <c r="P274" s="68">
        <f>IF($A274="","",COUNTIFS('Ordres de travail'!$D$5:$D$3004,$A274,'Ordres de travail'!$H$5:$H$3004,"Correctif",'Ordres de travail'!$AC$5:$AC$3004,"&lt;&gt;Annulé",'Ordres de travail'!$B$5:$B$3004,"&gt;="&amp;'Paramètres'!$AA$6,'Ordres de travail'!$B$5:$B$3004,"&lt;"&amp;('Paramètres'!$AA$7+1)))</f>
        <v/>
      </c>
      <c r="Q274" s="69">
        <f>IF($A274="","",SUMIFS('Ordres de travail'!$S$5:$S$3004,'Ordres de travail'!$D$5:$D$3004,$A274,'Ordres de travail'!$H$5:$H$3004,"Correctif",'Ordres de travail'!$AC$5:$AC$3004,"&lt;&gt;Annulé",'Ordres de travail'!$B$5:$B$3004,"&gt;="&amp;'Paramètres'!$AA$6,'Ordres de travail'!$B$5:$B$3004,"&lt;"&amp;('Paramètres'!$AA$7+1)))</f>
        <v/>
      </c>
      <c r="R274" s="69">
        <f>IF($A274="","",SUMIFS('Ordres de travail'!$S$5:$S$3004,'Ordres de travail'!$D$5:$D$3004,$A274,'Ordres de travail'!$AC$5:$AC$3004,"&lt;&gt;Annulé",'Ordres de travail'!$B$5:$B$3004,"&gt;="&amp;'Paramètres'!$AA$6,'Ordres de travail'!$B$5:$B$3004,"&lt;"&amp;('Paramètres'!$AA$7+1)))</f>
        <v/>
      </c>
      <c r="S274" s="70">
        <f>IF($A274="","",SUMIFS('Ordres de travail'!$AA$5:$AA$3004,'Ordres de travail'!$D$5:$D$3004,$A274,'Ordres de travail'!$B$5:$B$3004,"&gt;="&amp;'Paramètres'!$AA$6,'Ordres de travail'!$B$5:$B$3004,"&lt;"&amp;('Paramètres'!$AA$7+1)))</f>
        <v/>
      </c>
      <c r="T274" s="68">
        <f>IF($A274="","",IF(P274=0,"-",(O274*'Paramètres'!$AA$8-Q274)/P274))</f>
        <v/>
      </c>
      <c r="U274" s="69">
        <f>IF($A274="","",IF(P274=0,"-",Q274/P274))</f>
        <v/>
      </c>
      <c r="V274" s="71">
        <f>IF($A274="","",IF(N(O274)*'Paramètres'!$AA$8=0,"-",MAX(0,1-R274/(O274*'Paramètres'!$AA$8))))</f>
        <v/>
      </c>
      <c r="W274" s="68">
        <f>IF($A274="","",_xlfn.MAXIFS('Relevés compteurs'!$D$5:$D$1504,'Relevés compteurs'!$B$5:$B$1504,$A274))</f>
        <v/>
      </c>
      <c r="X274" s="69">
        <f>IF(OR($A274="",I274=""),"",(TODAY()-I274)/365.25)</f>
        <v/>
      </c>
      <c r="Y274" s="70">
        <f>IF($A274="","",SUMIFS('Ordres de travail'!$AA$5:$AA$3004,'Ordres de travail'!$D$5:$D$3004,$A274))</f>
        <v/>
      </c>
      <c r="Z274" s="68">
        <f>IF($A274="","",SUM(COUNTIFS('Ordres de travail'!$D$5:$D$3004,$A274,'Ordres de travail'!$AC$5:$AC$3004,{"Demandé","Planifié","En cours","En attente pièces"})))</f>
        <v/>
      </c>
      <c r="AA274" s="9">
        <f>IF(OR($A274="",M274=""),"",IF(M274&lt;TODAY(),"Expirée",IF(M274-TODAY()&lt;='Paramètres'!$AA$15,"Expire bientôt","Sous garantie")))</f>
        <v/>
      </c>
      <c r="AB274" s="72">
        <f>IF($A274="",-1,N(R274)+ROW()/1000000)</f>
        <v/>
      </c>
    </row>
    <row r="275">
      <c r="A275" s="7" t="n"/>
      <c r="B275" s="7" t="n"/>
      <c r="C275" s="7" t="n"/>
      <c r="D275" s="7" t="n"/>
      <c r="E275" s="7" t="n"/>
      <c r="F275" s="7" t="n"/>
      <c r="G275" s="7" t="n"/>
      <c r="H275" s="7" t="n"/>
      <c r="I275" s="65" t="n"/>
      <c r="J275" s="66" t="n"/>
      <c r="K275" s="7" t="n"/>
      <c r="L275" s="7" t="n"/>
      <c r="M275" s="65" t="n"/>
      <c r="N275" s="7" t="n"/>
      <c r="O275" s="67" t="n"/>
      <c r="P275" s="68">
        <f>IF($A275="","",COUNTIFS('Ordres de travail'!$D$5:$D$3004,$A275,'Ordres de travail'!$H$5:$H$3004,"Correctif",'Ordres de travail'!$AC$5:$AC$3004,"&lt;&gt;Annulé",'Ordres de travail'!$B$5:$B$3004,"&gt;="&amp;'Paramètres'!$AA$6,'Ordres de travail'!$B$5:$B$3004,"&lt;"&amp;('Paramètres'!$AA$7+1)))</f>
        <v/>
      </c>
      <c r="Q275" s="69">
        <f>IF($A275="","",SUMIFS('Ordres de travail'!$S$5:$S$3004,'Ordres de travail'!$D$5:$D$3004,$A275,'Ordres de travail'!$H$5:$H$3004,"Correctif",'Ordres de travail'!$AC$5:$AC$3004,"&lt;&gt;Annulé",'Ordres de travail'!$B$5:$B$3004,"&gt;="&amp;'Paramètres'!$AA$6,'Ordres de travail'!$B$5:$B$3004,"&lt;"&amp;('Paramètres'!$AA$7+1)))</f>
        <v/>
      </c>
      <c r="R275" s="69">
        <f>IF($A275="","",SUMIFS('Ordres de travail'!$S$5:$S$3004,'Ordres de travail'!$D$5:$D$3004,$A275,'Ordres de travail'!$AC$5:$AC$3004,"&lt;&gt;Annulé",'Ordres de travail'!$B$5:$B$3004,"&gt;="&amp;'Paramètres'!$AA$6,'Ordres de travail'!$B$5:$B$3004,"&lt;"&amp;('Paramètres'!$AA$7+1)))</f>
        <v/>
      </c>
      <c r="S275" s="70">
        <f>IF($A275="","",SUMIFS('Ordres de travail'!$AA$5:$AA$3004,'Ordres de travail'!$D$5:$D$3004,$A275,'Ordres de travail'!$B$5:$B$3004,"&gt;="&amp;'Paramètres'!$AA$6,'Ordres de travail'!$B$5:$B$3004,"&lt;"&amp;('Paramètres'!$AA$7+1)))</f>
        <v/>
      </c>
      <c r="T275" s="68">
        <f>IF($A275="","",IF(P275=0,"-",(O275*'Paramètres'!$AA$8-Q275)/P275))</f>
        <v/>
      </c>
      <c r="U275" s="69">
        <f>IF($A275="","",IF(P275=0,"-",Q275/P275))</f>
        <v/>
      </c>
      <c r="V275" s="71">
        <f>IF($A275="","",IF(N(O275)*'Paramètres'!$AA$8=0,"-",MAX(0,1-R275/(O275*'Paramètres'!$AA$8))))</f>
        <v/>
      </c>
      <c r="W275" s="68">
        <f>IF($A275="","",_xlfn.MAXIFS('Relevés compteurs'!$D$5:$D$1504,'Relevés compteurs'!$B$5:$B$1504,$A275))</f>
        <v/>
      </c>
      <c r="X275" s="69">
        <f>IF(OR($A275="",I275=""),"",(TODAY()-I275)/365.25)</f>
        <v/>
      </c>
      <c r="Y275" s="70">
        <f>IF($A275="","",SUMIFS('Ordres de travail'!$AA$5:$AA$3004,'Ordres de travail'!$D$5:$D$3004,$A275))</f>
        <v/>
      </c>
      <c r="Z275" s="68">
        <f>IF($A275="","",SUM(COUNTIFS('Ordres de travail'!$D$5:$D$3004,$A275,'Ordres de travail'!$AC$5:$AC$3004,{"Demandé","Planifié","En cours","En attente pièces"})))</f>
        <v/>
      </c>
      <c r="AA275" s="9">
        <f>IF(OR($A275="",M275=""),"",IF(M275&lt;TODAY(),"Expirée",IF(M275-TODAY()&lt;='Paramètres'!$AA$15,"Expire bientôt","Sous garantie")))</f>
        <v/>
      </c>
      <c r="AB275" s="72">
        <f>IF($A275="",-1,N(R275)+ROW()/1000000)</f>
        <v/>
      </c>
    </row>
    <row r="276">
      <c r="A276" s="7" t="n"/>
      <c r="B276" s="7" t="n"/>
      <c r="C276" s="7" t="n"/>
      <c r="D276" s="7" t="n"/>
      <c r="E276" s="7" t="n"/>
      <c r="F276" s="7" t="n"/>
      <c r="G276" s="7" t="n"/>
      <c r="H276" s="7" t="n"/>
      <c r="I276" s="65" t="n"/>
      <c r="J276" s="66" t="n"/>
      <c r="K276" s="7" t="n"/>
      <c r="L276" s="7" t="n"/>
      <c r="M276" s="65" t="n"/>
      <c r="N276" s="7" t="n"/>
      <c r="O276" s="67" t="n"/>
      <c r="P276" s="68">
        <f>IF($A276="","",COUNTIFS('Ordres de travail'!$D$5:$D$3004,$A276,'Ordres de travail'!$H$5:$H$3004,"Correctif",'Ordres de travail'!$AC$5:$AC$3004,"&lt;&gt;Annulé",'Ordres de travail'!$B$5:$B$3004,"&gt;="&amp;'Paramètres'!$AA$6,'Ordres de travail'!$B$5:$B$3004,"&lt;"&amp;('Paramètres'!$AA$7+1)))</f>
        <v/>
      </c>
      <c r="Q276" s="69">
        <f>IF($A276="","",SUMIFS('Ordres de travail'!$S$5:$S$3004,'Ordres de travail'!$D$5:$D$3004,$A276,'Ordres de travail'!$H$5:$H$3004,"Correctif",'Ordres de travail'!$AC$5:$AC$3004,"&lt;&gt;Annulé",'Ordres de travail'!$B$5:$B$3004,"&gt;="&amp;'Paramètres'!$AA$6,'Ordres de travail'!$B$5:$B$3004,"&lt;"&amp;('Paramètres'!$AA$7+1)))</f>
        <v/>
      </c>
      <c r="R276" s="69">
        <f>IF($A276="","",SUMIFS('Ordres de travail'!$S$5:$S$3004,'Ordres de travail'!$D$5:$D$3004,$A276,'Ordres de travail'!$AC$5:$AC$3004,"&lt;&gt;Annulé",'Ordres de travail'!$B$5:$B$3004,"&gt;="&amp;'Paramètres'!$AA$6,'Ordres de travail'!$B$5:$B$3004,"&lt;"&amp;('Paramètres'!$AA$7+1)))</f>
        <v/>
      </c>
      <c r="S276" s="70">
        <f>IF($A276="","",SUMIFS('Ordres de travail'!$AA$5:$AA$3004,'Ordres de travail'!$D$5:$D$3004,$A276,'Ordres de travail'!$B$5:$B$3004,"&gt;="&amp;'Paramètres'!$AA$6,'Ordres de travail'!$B$5:$B$3004,"&lt;"&amp;('Paramètres'!$AA$7+1)))</f>
        <v/>
      </c>
      <c r="T276" s="68">
        <f>IF($A276="","",IF(P276=0,"-",(O276*'Paramètres'!$AA$8-Q276)/P276))</f>
        <v/>
      </c>
      <c r="U276" s="69">
        <f>IF($A276="","",IF(P276=0,"-",Q276/P276))</f>
        <v/>
      </c>
      <c r="V276" s="71">
        <f>IF($A276="","",IF(N(O276)*'Paramètres'!$AA$8=0,"-",MAX(0,1-R276/(O276*'Paramètres'!$AA$8))))</f>
        <v/>
      </c>
      <c r="W276" s="68">
        <f>IF($A276="","",_xlfn.MAXIFS('Relevés compteurs'!$D$5:$D$1504,'Relevés compteurs'!$B$5:$B$1504,$A276))</f>
        <v/>
      </c>
      <c r="X276" s="69">
        <f>IF(OR($A276="",I276=""),"",(TODAY()-I276)/365.25)</f>
        <v/>
      </c>
      <c r="Y276" s="70">
        <f>IF($A276="","",SUMIFS('Ordres de travail'!$AA$5:$AA$3004,'Ordres de travail'!$D$5:$D$3004,$A276))</f>
        <v/>
      </c>
      <c r="Z276" s="68">
        <f>IF($A276="","",SUM(COUNTIFS('Ordres de travail'!$D$5:$D$3004,$A276,'Ordres de travail'!$AC$5:$AC$3004,{"Demandé","Planifié","En cours","En attente pièces"})))</f>
        <v/>
      </c>
      <c r="AA276" s="9">
        <f>IF(OR($A276="",M276=""),"",IF(M276&lt;TODAY(),"Expirée",IF(M276-TODAY()&lt;='Paramètres'!$AA$15,"Expire bientôt","Sous garantie")))</f>
        <v/>
      </c>
      <c r="AB276" s="72">
        <f>IF($A276="",-1,N(R276)+ROW()/1000000)</f>
        <v/>
      </c>
    </row>
    <row r="277">
      <c r="A277" s="7" t="n"/>
      <c r="B277" s="7" t="n"/>
      <c r="C277" s="7" t="n"/>
      <c r="D277" s="7" t="n"/>
      <c r="E277" s="7" t="n"/>
      <c r="F277" s="7" t="n"/>
      <c r="G277" s="7" t="n"/>
      <c r="H277" s="7" t="n"/>
      <c r="I277" s="65" t="n"/>
      <c r="J277" s="66" t="n"/>
      <c r="K277" s="7" t="n"/>
      <c r="L277" s="7" t="n"/>
      <c r="M277" s="65" t="n"/>
      <c r="N277" s="7" t="n"/>
      <c r="O277" s="67" t="n"/>
      <c r="P277" s="68">
        <f>IF($A277="","",COUNTIFS('Ordres de travail'!$D$5:$D$3004,$A277,'Ordres de travail'!$H$5:$H$3004,"Correctif",'Ordres de travail'!$AC$5:$AC$3004,"&lt;&gt;Annulé",'Ordres de travail'!$B$5:$B$3004,"&gt;="&amp;'Paramètres'!$AA$6,'Ordres de travail'!$B$5:$B$3004,"&lt;"&amp;('Paramètres'!$AA$7+1)))</f>
        <v/>
      </c>
      <c r="Q277" s="69">
        <f>IF($A277="","",SUMIFS('Ordres de travail'!$S$5:$S$3004,'Ordres de travail'!$D$5:$D$3004,$A277,'Ordres de travail'!$H$5:$H$3004,"Correctif",'Ordres de travail'!$AC$5:$AC$3004,"&lt;&gt;Annulé",'Ordres de travail'!$B$5:$B$3004,"&gt;="&amp;'Paramètres'!$AA$6,'Ordres de travail'!$B$5:$B$3004,"&lt;"&amp;('Paramètres'!$AA$7+1)))</f>
        <v/>
      </c>
      <c r="R277" s="69">
        <f>IF($A277="","",SUMIFS('Ordres de travail'!$S$5:$S$3004,'Ordres de travail'!$D$5:$D$3004,$A277,'Ordres de travail'!$AC$5:$AC$3004,"&lt;&gt;Annulé",'Ordres de travail'!$B$5:$B$3004,"&gt;="&amp;'Paramètres'!$AA$6,'Ordres de travail'!$B$5:$B$3004,"&lt;"&amp;('Paramètres'!$AA$7+1)))</f>
        <v/>
      </c>
      <c r="S277" s="70">
        <f>IF($A277="","",SUMIFS('Ordres de travail'!$AA$5:$AA$3004,'Ordres de travail'!$D$5:$D$3004,$A277,'Ordres de travail'!$B$5:$B$3004,"&gt;="&amp;'Paramètres'!$AA$6,'Ordres de travail'!$B$5:$B$3004,"&lt;"&amp;('Paramètres'!$AA$7+1)))</f>
        <v/>
      </c>
      <c r="T277" s="68">
        <f>IF($A277="","",IF(P277=0,"-",(O277*'Paramètres'!$AA$8-Q277)/P277))</f>
        <v/>
      </c>
      <c r="U277" s="69">
        <f>IF($A277="","",IF(P277=0,"-",Q277/P277))</f>
        <v/>
      </c>
      <c r="V277" s="71">
        <f>IF($A277="","",IF(N(O277)*'Paramètres'!$AA$8=0,"-",MAX(0,1-R277/(O277*'Paramètres'!$AA$8))))</f>
        <v/>
      </c>
      <c r="W277" s="68">
        <f>IF($A277="","",_xlfn.MAXIFS('Relevés compteurs'!$D$5:$D$1504,'Relevés compteurs'!$B$5:$B$1504,$A277))</f>
        <v/>
      </c>
      <c r="X277" s="69">
        <f>IF(OR($A277="",I277=""),"",(TODAY()-I277)/365.25)</f>
        <v/>
      </c>
      <c r="Y277" s="70">
        <f>IF($A277="","",SUMIFS('Ordres de travail'!$AA$5:$AA$3004,'Ordres de travail'!$D$5:$D$3004,$A277))</f>
        <v/>
      </c>
      <c r="Z277" s="68">
        <f>IF($A277="","",SUM(COUNTIFS('Ordres de travail'!$D$5:$D$3004,$A277,'Ordres de travail'!$AC$5:$AC$3004,{"Demandé","Planifié","En cours","En attente pièces"})))</f>
        <v/>
      </c>
      <c r="AA277" s="9">
        <f>IF(OR($A277="",M277=""),"",IF(M277&lt;TODAY(),"Expirée",IF(M277-TODAY()&lt;='Paramètres'!$AA$15,"Expire bientôt","Sous garantie")))</f>
        <v/>
      </c>
      <c r="AB277" s="72">
        <f>IF($A277="",-1,N(R277)+ROW()/1000000)</f>
        <v/>
      </c>
    </row>
    <row r="278">
      <c r="A278" s="7" t="n"/>
      <c r="B278" s="7" t="n"/>
      <c r="C278" s="7" t="n"/>
      <c r="D278" s="7" t="n"/>
      <c r="E278" s="7" t="n"/>
      <c r="F278" s="7" t="n"/>
      <c r="G278" s="7" t="n"/>
      <c r="H278" s="7" t="n"/>
      <c r="I278" s="65" t="n"/>
      <c r="J278" s="66" t="n"/>
      <c r="K278" s="7" t="n"/>
      <c r="L278" s="7" t="n"/>
      <c r="M278" s="65" t="n"/>
      <c r="N278" s="7" t="n"/>
      <c r="O278" s="67" t="n"/>
      <c r="P278" s="68">
        <f>IF($A278="","",COUNTIFS('Ordres de travail'!$D$5:$D$3004,$A278,'Ordres de travail'!$H$5:$H$3004,"Correctif",'Ordres de travail'!$AC$5:$AC$3004,"&lt;&gt;Annulé",'Ordres de travail'!$B$5:$B$3004,"&gt;="&amp;'Paramètres'!$AA$6,'Ordres de travail'!$B$5:$B$3004,"&lt;"&amp;('Paramètres'!$AA$7+1)))</f>
        <v/>
      </c>
      <c r="Q278" s="69">
        <f>IF($A278="","",SUMIFS('Ordres de travail'!$S$5:$S$3004,'Ordres de travail'!$D$5:$D$3004,$A278,'Ordres de travail'!$H$5:$H$3004,"Correctif",'Ordres de travail'!$AC$5:$AC$3004,"&lt;&gt;Annulé",'Ordres de travail'!$B$5:$B$3004,"&gt;="&amp;'Paramètres'!$AA$6,'Ordres de travail'!$B$5:$B$3004,"&lt;"&amp;('Paramètres'!$AA$7+1)))</f>
        <v/>
      </c>
      <c r="R278" s="69">
        <f>IF($A278="","",SUMIFS('Ordres de travail'!$S$5:$S$3004,'Ordres de travail'!$D$5:$D$3004,$A278,'Ordres de travail'!$AC$5:$AC$3004,"&lt;&gt;Annulé",'Ordres de travail'!$B$5:$B$3004,"&gt;="&amp;'Paramètres'!$AA$6,'Ordres de travail'!$B$5:$B$3004,"&lt;"&amp;('Paramètres'!$AA$7+1)))</f>
        <v/>
      </c>
      <c r="S278" s="70">
        <f>IF($A278="","",SUMIFS('Ordres de travail'!$AA$5:$AA$3004,'Ordres de travail'!$D$5:$D$3004,$A278,'Ordres de travail'!$B$5:$B$3004,"&gt;="&amp;'Paramètres'!$AA$6,'Ordres de travail'!$B$5:$B$3004,"&lt;"&amp;('Paramètres'!$AA$7+1)))</f>
        <v/>
      </c>
      <c r="T278" s="68">
        <f>IF($A278="","",IF(P278=0,"-",(O278*'Paramètres'!$AA$8-Q278)/P278))</f>
        <v/>
      </c>
      <c r="U278" s="69">
        <f>IF($A278="","",IF(P278=0,"-",Q278/P278))</f>
        <v/>
      </c>
      <c r="V278" s="71">
        <f>IF($A278="","",IF(N(O278)*'Paramètres'!$AA$8=0,"-",MAX(0,1-R278/(O278*'Paramètres'!$AA$8))))</f>
        <v/>
      </c>
      <c r="W278" s="68">
        <f>IF($A278="","",_xlfn.MAXIFS('Relevés compteurs'!$D$5:$D$1504,'Relevés compteurs'!$B$5:$B$1504,$A278))</f>
        <v/>
      </c>
      <c r="X278" s="69">
        <f>IF(OR($A278="",I278=""),"",(TODAY()-I278)/365.25)</f>
        <v/>
      </c>
      <c r="Y278" s="70">
        <f>IF($A278="","",SUMIFS('Ordres de travail'!$AA$5:$AA$3004,'Ordres de travail'!$D$5:$D$3004,$A278))</f>
        <v/>
      </c>
      <c r="Z278" s="68">
        <f>IF($A278="","",SUM(COUNTIFS('Ordres de travail'!$D$5:$D$3004,$A278,'Ordres de travail'!$AC$5:$AC$3004,{"Demandé","Planifié","En cours","En attente pièces"})))</f>
        <v/>
      </c>
      <c r="AA278" s="9">
        <f>IF(OR($A278="",M278=""),"",IF(M278&lt;TODAY(),"Expirée",IF(M278-TODAY()&lt;='Paramètres'!$AA$15,"Expire bientôt","Sous garantie")))</f>
        <v/>
      </c>
      <c r="AB278" s="72">
        <f>IF($A278="",-1,N(R278)+ROW()/1000000)</f>
        <v/>
      </c>
    </row>
    <row r="279">
      <c r="A279" s="7" t="n"/>
      <c r="B279" s="7" t="n"/>
      <c r="C279" s="7" t="n"/>
      <c r="D279" s="7" t="n"/>
      <c r="E279" s="7" t="n"/>
      <c r="F279" s="7" t="n"/>
      <c r="G279" s="7" t="n"/>
      <c r="H279" s="7" t="n"/>
      <c r="I279" s="65" t="n"/>
      <c r="J279" s="66" t="n"/>
      <c r="K279" s="7" t="n"/>
      <c r="L279" s="7" t="n"/>
      <c r="M279" s="65" t="n"/>
      <c r="N279" s="7" t="n"/>
      <c r="O279" s="67" t="n"/>
      <c r="P279" s="68">
        <f>IF($A279="","",COUNTIFS('Ordres de travail'!$D$5:$D$3004,$A279,'Ordres de travail'!$H$5:$H$3004,"Correctif",'Ordres de travail'!$AC$5:$AC$3004,"&lt;&gt;Annulé",'Ordres de travail'!$B$5:$B$3004,"&gt;="&amp;'Paramètres'!$AA$6,'Ordres de travail'!$B$5:$B$3004,"&lt;"&amp;('Paramètres'!$AA$7+1)))</f>
        <v/>
      </c>
      <c r="Q279" s="69">
        <f>IF($A279="","",SUMIFS('Ordres de travail'!$S$5:$S$3004,'Ordres de travail'!$D$5:$D$3004,$A279,'Ordres de travail'!$H$5:$H$3004,"Correctif",'Ordres de travail'!$AC$5:$AC$3004,"&lt;&gt;Annulé",'Ordres de travail'!$B$5:$B$3004,"&gt;="&amp;'Paramètres'!$AA$6,'Ordres de travail'!$B$5:$B$3004,"&lt;"&amp;('Paramètres'!$AA$7+1)))</f>
        <v/>
      </c>
      <c r="R279" s="69">
        <f>IF($A279="","",SUMIFS('Ordres de travail'!$S$5:$S$3004,'Ordres de travail'!$D$5:$D$3004,$A279,'Ordres de travail'!$AC$5:$AC$3004,"&lt;&gt;Annulé",'Ordres de travail'!$B$5:$B$3004,"&gt;="&amp;'Paramètres'!$AA$6,'Ordres de travail'!$B$5:$B$3004,"&lt;"&amp;('Paramètres'!$AA$7+1)))</f>
        <v/>
      </c>
      <c r="S279" s="70">
        <f>IF($A279="","",SUMIFS('Ordres de travail'!$AA$5:$AA$3004,'Ordres de travail'!$D$5:$D$3004,$A279,'Ordres de travail'!$B$5:$B$3004,"&gt;="&amp;'Paramètres'!$AA$6,'Ordres de travail'!$B$5:$B$3004,"&lt;"&amp;('Paramètres'!$AA$7+1)))</f>
        <v/>
      </c>
      <c r="T279" s="68">
        <f>IF($A279="","",IF(P279=0,"-",(O279*'Paramètres'!$AA$8-Q279)/P279))</f>
        <v/>
      </c>
      <c r="U279" s="69">
        <f>IF($A279="","",IF(P279=0,"-",Q279/P279))</f>
        <v/>
      </c>
      <c r="V279" s="71">
        <f>IF($A279="","",IF(N(O279)*'Paramètres'!$AA$8=0,"-",MAX(0,1-R279/(O279*'Paramètres'!$AA$8))))</f>
        <v/>
      </c>
      <c r="W279" s="68">
        <f>IF($A279="","",_xlfn.MAXIFS('Relevés compteurs'!$D$5:$D$1504,'Relevés compteurs'!$B$5:$B$1504,$A279))</f>
        <v/>
      </c>
      <c r="X279" s="69">
        <f>IF(OR($A279="",I279=""),"",(TODAY()-I279)/365.25)</f>
        <v/>
      </c>
      <c r="Y279" s="70">
        <f>IF($A279="","",SUMIFS('Ordres de travail'!$AA$5:$AA$3004,'Ordres de travail'!$D$5:$D$3004,$A279))</f>
        <v/>
      </c>
      <c r="Z279" s="68">
        <f>IF($A279="","",SUM(COUNTIFS('Ordres de travail'!$D$5:$D$3004,$A279,'Ordres de travail'!$AC$5:$AC$3004,{"Demandé","Planifié","En cours","En attente pièces"})))</f>
        <v/>
      </c>
      <c r="AA279" s="9">
        <f>IF(OR($A279="",M279=""),"",IF(M279&lt;TODAY(),"Expirée",IF(M279-TODAY()&lt;='Paramètres'!$AA$15,"Expire bientôt","Sous garantie")))</f>
        <v/>
      </c>
      <c r="AB279" s="72">
        <f>IF($A279="",-1,N(R279)+ROW()/1000000)</f>
        <v/>
      </c>
    </row>
    <row r="280">
      <c r="A280" s="7" t="n"/>
      <c r="B280" s="7" t="n"/>
      <c r="C280" s="7" t="n"/>
      <c r="D280" s="7" t="n"/>
      <c r="E280" s="7" t="n"/>
      <c r="F280" s="7" t="n"/>
      <c r="G280" s="7" t="n"/>
      <c r="H280" s="7" t="n"/>
      <c r="I280" s="65" t="n"/>
      <c r="J280" s="66" t="n"/>
      <c r="K280" s="7" t="n"/>
      <c r="L280" s="7" t="n"/>
      <c r="M280" s="65" t="n"/>
      <c r="N280" s="7" t="n"/>
      <c r="O280" s="67" t="n"/>
      <c r="P280" s="68">
        <f>IF($A280="","",COUNTIFS('Ordres de travail'!$D$5:$D$3004,$A280,'Ordres de travail'!$H$5:$H$3004,"Correctif",'Ordres de travail'!$AC$5:$AC$3004,"&lt;&gt;Annulé",'Ordres de travail'!$B$5:$B$3004,"&gt;="&amp;'Paramètres'!$AA$6,'Ordres de travail'!$B$5:$B$3004,"&lt;"&amp;('Paramètres'!$AA$7+1)))</f>
        <v/>
      </c>
      <c r="Q280" s="69">
        <f>IF($A280="","",SUMIFS('Ordres de travail'!$S$5:$S$3004,'Ordres de travail'!$D$5:$D$3004,$A280,'Ordres de travail'!$H$5:$H$3004,"Correctif",'Ordres de travail'!$AC$5:$AC$3004,"&lt;&gt;Annulé",'Ordres de travail'!$B$5:$B$3004,"&gt;="&amp;'Paramètres'!$AA$6,'Ordres de travail'!$B$5:$B$3004,"&lt;"&amp;('Paramètres'!$AA$7+1)))</f>
        <v/>
      </c>
      <c r="R280" s="69">
        <f>IF($A280="","",SUMIFS('Ordres de travail'!$S$5:$S$3004,'Ordres de travail'!$D$5:$D$3004,$A280,'Ordres de travail'!$AC$5:$AC$3004,"&lt;&gt;Annulé",'Ordres de travail'!$B$5:$B$3004,"&gt;="&amp;'Paramètres'!$AA$6,'Ordres de travail'!$B$5:$B$3004,"&lt;"&amp;('Paramètres'!$AA$7+1)))</f>
        <v/>
      </c>
      <c r="S280" s="70">
        <f>IF($A280="","",SUMIFS('Ordres de travail'!$AA$5:$AA$3004,'Ordres de travail'!$D$5:$D$3004,$A280,'Ordres de travail'!$B$5:$B$3004,"&gt;="&amp;'Paramètres'!$AA$6,'Ordres de travail'!$B$5:$B$3004,"&lt;"&amp;('Paramètres'!$AA$7+1)))</f>
        <v/>
      </c>
      <c r="T280" s="68">
        <f>IF($A280="","",IF(P280=0,"-",(O280*'Paramètres'!$AA$8-Q280)/P280))</f>
        <v/>
      </c>
      <c r="U280" s="69">
        <f>IF($A280="","",IF(P280=0,"-",Q280/P280))</f>
        <v/>
      </c>
      <c r="V280" s="71">
        <f>IF($A280="","",IF(N(O280)*'Paramètres'!$AA$8=0,"-",MAX(0,1-R280/(O280*'Paramètres'!$AA$8))))</f>
        <v/>
      </c>
      <c r="W280" s="68">
        <f>IF($A280="","",_xlfn.MAXIFS('Relevés compteurs'!$D$5:$D$1504,'Relevés compteurs'!$B$5:$B$1504,$A280))</f>
        <v/>
      </c>
      <c r="X280" s="69">
        <f>IF(OR($A280="",I280=""),"",(TODAY()-I280)/365.25)</f>
        <v/>
      </c>
      <c r="Y280" s="70">
        <f>IF($A280="","",SUMIFS('Ordres de travail'!$AA$5:$AA$3004,'Ordres de travail'!$D$5:$D$3004,$A280))</f>
        <v/>
      </c>
      <c r="Z280" s="68">
        <f>IF($A280="","",SUM(COUNTIFS('Ordres de travail'!$D$5:$D$3004,$A280,'Ordres de travail'!$AC$5:$AC$3004,{"Demandé","Planifié","En cours","En attente pièces"})))</f>
        <v/>
      </c>
      <c r="AA280" s="9">
        <f>IF(OR($A280="",M280=""),"",IF(M280&lt;TODAY(),"Expirée",IF(M280-TODAY()&lt;='Paramètres'!$AA$15,"Expire bientôt","Sous garantie")))</f>
        <v/>
      </c>
      <c r="AB280" s="72">
        <f>IF($A280="",-1,N(R280)+ROW()/1000000)</f>
        <v/>
      </c>
    </row>
    <row r="281">
      <c r="A281" s="7" t="n"/>
      <c r="B281" s="7" t="n"/>
      <c r="C281" s="7" t="n"/>
      <c r="D281" s="7" t="n"/>
      <c r="E281" s="7" t="n"/>
      <c r="F281" s="7" t="n"/>
      <c r="G281" s="7" t="n"/>
      <c r="H281" s="7" t="n"/>
      <c r="I281" s="65" t="n"/>
      <c r="J281" s="66" t="n"/>
      <c r="K281" s="7" t="n"/>
      <c r="L281" s="7" t="n"/>
      <c r="M281" s="65" t="n"/>
      <c r="N281" s="7" t="n"/>
      <c r="O281" s="67" t="n"/>
      <c r="P281" s="68">
        <f>IF($A281="","",COUNTIFS('Ordres de travail'!$D$5:$D$3004,$A281,'Ordres de travail'!$H$5:$H$3004,"Correctif",'Ordres de travail'!$AC$5:$AC$3004,"&lt;&gt;Annulé",'Ordres de travail'!$B$5:$B$3004,"&gt;="&amp;'Paramètres'!$AA$6,'Ordres de travail'!$B$5:$B$3004,"&lt;"&amp;('Paramètres'!$AA$7+1)))</f>
        <v/>
      </c>
      <c r="Q281" s="69">
        <f>IF($A281="","",SUMIFS('Ordres de travail'!$S$5:$S$3004,'Ordres de travail'!$D$5:$D$3004,$A281,'Ordres de travail'!$H$5:$H$3004,"Correctif",'Ordres de travail'!$AC$5:$AC$3004,"&lt;&gt;Annulé",'Ordres de travail'!$B$5:$B$3004,"&gt;="&amp;'Paramètres'!$AA$6,'Ordres de travail'!$B$5:$B$3004,"&lt;"&amp;('Paramètres'!$AA$7+1)))</f>
        <v/>
      </c>
      <c r="R281" s="69">
        <f>IF($A281="","",SUMIFS('Ordres de travail'!$S$5:$S$3004,'Ordres de travail'!$D$5:$D$3004,$A281,'Ordres de travail'!$AC$5:$AC$3004,"&lt;&gt;Annulé",'Ordres de travail'!$B$5:$B$3004,"&gt;="&amp;'Paramètres'!$AA$6,'Ordres de travail'!$B$5:$B$3004,"&lt;"&amp;('Paramètres'!$AA$7+1)))</f>
        <v/>
      </c>
      <c r="S281" s="70">
        <f>IF($A281="","",SUMIFS('Ordres de travail'!$AA$5:$AA$3004,'Ordres de travail'!$D$5:$D$3004,$A281,'Ordres de travail'!$B$5:$B$3004,"&gt;="&amp;'Paramètres'!$AA$6,'Ordres de travail'!$B$5:$B$3004,"&lt;"&amp;('Paramètres'!$AA$7+1)))</f>
        <v/>
      </c>
      <c r="T281" s="68">
        <f>IF($A281="","",IF(P281=0,"-",(O281*'Paramètres'!$AA$8-Q281)/P281))</f>
        <v/>
      </c>
      <c r="U281" s="69">
        <f>IF($A281="","",IF(P281=0,"-",Q281/P281))</f>
        <v/>
      </c>
      <c r="V281" s="71">
        <f>IF($A281="","",IF(N(O281)*'Paramètres'!$AA$8=0,"-",MAX(0,1-R281/(O281*'Paramètres'!$AA$8))))</f>
        <v/>
      </c>
      <c r="W281" s="68">
        <f>IF($A281="","",_xlfn.MAXIFS('Relevés compteurs'!$D$5:$D$1504,'Relevés compteurs'!$B$5:$B$1504,$A281))</f>
        <v/>
      </c>
      <c r="X281" s="69">
        <f>IF(OR($A281="",I281=""),"",(TODAY()-I281)/365.25)</f>
        <v/>
      </c>
      <c r="Y281" s="70">
        <f>IF($A281="","",SUMIFS('Ordres de travail'!$AA$5:$AA$3004,'Ordres de travail'!$D$5:$D$3004,$A281))</f>
        <v/>
      </c>
      <c r="Z281" s="68">
        <f>IF($A281="","",SUM(COUNTIFS('Ordres de travail'!$D$5:$D$3004,$A281,'Ordres de travail'!$AC$5:$AC$3004,{"Demandé","Planifié","En cours","En attente pièces"})))</f>
        <v/>
      </c>
      <c r="AA281" s="9">
        <f>IF(OR($A281="",M281=""),"",IF(M281&lt;TODAY(),"Expirée",IF(M281-TODAY()&lt;='Paramètres'!$AA$15,"Expire bientôt","Sous garantie")))</f>
        <v/>
      </c>
      <c r="AB281" s="72">
        <f>IF($A281="",-1,N(R281)+ROW()/1000000)</f>
        <v/>
      </c>
    </row>
    <row r="282">
      <c r="A282" s="7" t="n"/>
      <c r="B282" s="7" t="n"/>
      <c r="C282" s="7" t="n"/>
      <c r="D282" s="7" t="n"/>
      <c r="E282" s="7" t="n"/>
      <c r="F282" s="7" t="n"/>
      <c r="G282" s="7" t="n"/>
      <c r="H282" s="7" t="n"/>
      <c r="I282" s="65" t="n"/>
      <c r="J282" s="66" t="n"/>
      <c r="K282" s="7" t="n"/>
      <c r="L282" s="7" t="n"/>
      <c r="M282" s="65" t="n"/>
      <c r="N282" s="7" t="n"/>
      <c r="O282" s="67" t="n"/>
      <c r="P282" s="68">
        <f>IF($A282="","",COUNTIFS('Ordres de travail'!$D$5:$D$3004,$A282,'Ordres de travail'!$H$5:$H$3004,"Correctif",'Ordres de travail'!$AC$5:$AC$3004,"&lt;&gt;Annulé",'Ordres de travail'!$B$5:$B$3004,"&gt;="&amp;'Paramètres'!$AA$6,'Ordres de travail'!$B$5:$B$3004,"&lt;"&amp;('Paramètres'!$AA$7+1)))</f>
        <v/>
      </c>
      <c r="Q282" s="69">
        <f>IF($A282="","",SUMIFS('Ordres de travail'!$S$5:$S$3004,'Ordres de travail'!$D$5:$D$3004,$A282,'Ordres de travail'!$H$5:$H$3004,"Correctif",'Ordres de travail'!$AC$5:$AC$3004,"&lt;&gt;Annulé",'Ordres de travail'!$B$5:$B$3004,"&gt;="&amp;'Paramètres'!$AA$6,'Ordres de travail'!$B$5:$B$3004,"&lt;"&amp;('Paramètres'!$AA$7+1)))</f>
        <v/>
      </c>
      <c r="R282" s="69">
        <f>IF($A282="","",SUMIFS('Ordres de travail'!$S$5:$S$3004,'Ordres de travail'!$D$5:$D$3004,$A282,'Ordres de travail'!$AC$5:$AC$3004,"&lt;&gt;Annulé",'Ordres de travail'!$B$5:$B$3004,"&gt;="&amp;'Paramètres'!$AA$6,'Ordres de travail'!$B$5:$B$3004,"&lt;"&amp;('Paramètres'!$AA$7+1)))</f>
        <v/>
      </c>
      <c r="S282" s="70">
        <f>IF($A282="","",SUMIFS('Ordres de travail'!$AA$5:$AA$3004,'Ordres de travail'!$D$5:$D$3004,$A282,'Ordres de travail'!$B$5:$B$3004,"&gt;="&amp;'Paramètres'!$AA$6,'Ordres de travail'!$B$5:$B$3004,"&lt;"&amp;('Paramètres'!$AA$7+1)))</f>
        <v/>
      </c>
      <c r="T282" s="68">
        <f>IF($A282="","",IF(P282=0,"-",(O282*'Paramètres'!$AA$8-Q282)/P282))</f>
        <v/>
      </c>
      <c r="U282" s="69">
        <f>IF($A282="","",IF(P282=0,"-",Q282/P282))</f>
        <v/>
      </c>
      <c r="V282" s="71">
        <f>IF($A282="","",IF(N(O282)*'Paramètres'!$AA$8=0,"-",MAX(0,1-R282/(O282*'Paramètres'!$AA$8))))</f>
        <v/>
      </c>
      <c r="W282" s="68">
        <f>IF($A282="","",_xlfn.MAXIFS('Relevés compteurs'!$D$5:$D$1504,'Relevés compteurs'!$B$5:$B$1504,$A282))</f>
        <v/>
      </c>
      <c r="X282" s="69">
        <f>IF(OR($A282="",I282=""),"",(TODAY()-I282)/365.25)</f>
        <v/>
      </c>
      <c r="Y282" s="70">
        <f>IF($A282="","",SUMIFS('Ordres de travail'!$AA$5:$AA$3004,'Ordres de travail'!$D$5:$D$3004,$A282))</f>
        <v/>
      </c>
      <c r="Z282" s="68">
        <f>IF($A282="","",SUM(COUNTIFS('Ordres de travail'!$D$5:$D$3004,$A282,'Ordres de travail'!$AC$5:$AC$3004,{"Demandé","Planifié","En cours","En attente pièces"})))</f>
        <v/>
      </c>
      <c r="AA282" s="9">
        <f>IF(OR($A282="",M282=""),"",IF(M282&lt;TODAY(),"Expirée",IF(M282-TODAY()&lt;='Paramètres'!$AA$15,"Expire bientôt","Sous garantie")))</f>
        <v/>
      </c>
      <c r="AB282" s="72">
        <f>IF($A282="",-1,N(R282)+ROW()/1000000)</f>
        <v/>
      </c>
    </row>
    <row r="283">
      <c r="A283" s="7" t="n"/>
      <c r="B283" s="7" t="n"/>
      <c r="C283" s="7" t="n"/>
      <c r="D283" s="7" t="n"/>
      <c r="E283" s="7" t="n"/>
      <c r="F283" s="7" t="n"/>
      <c r="G283" s="7" t="n"/>
      <c r="H283" s="7" t="n"/>
      <c r="I283" s="65" t="n"/>
      <c r="J283" s="66" t="n"/>
      <c r="K283" s="7" t="n"/>
      <c r="L283" s="7" t="n"/>
      <c r="M283" s="65" t="n"/>
      <c r="N283" s="7" t="n"/>
      <c r="O283" s="67" t="n"/>
      <c r="P283" s="68">
        <f>IF($A283="","",COUNTIFS('Ordres de travail'!$D$5:$D$3004,$A283,'Ordres de travail'!$H$5:$H$3004,"Correctif",'Ordres de travail'!$AC$5:$AC$3004,"&lt;&gt;Annulé",'Ordres de travail'!$B$5:$B$3004,"&gt;="&amp;'Paramètres'!$AA$6,'Ordres de travail'!$B$5:$B$3004,"&lt;"&amp;('Paramètres'!$AA$7+1)))</f>
        <v/>
      </c>
      <c r="Q283" s="69">
        <f>IF($A283="","",SUMIFS('Ordres de travail'!$S$5:$S$3004,'Ordres de travail'!$D$5:$D$3004,$A283,'Ordres de travail'!$H$5:$H$3004,"Correctif",'Ordres de travail'!$AC$5:$AC$3004,"&lt;&gt;Annulé",'Ordres de travail'!$B$5:$B$3004,"&gt;="&amp;'Paramètres'!$AA$6,'Ordres de travail'!$B$5:$B$3004,"&lt;"&amp;('Paramètres'!$AA$7+1)))</f>
        <v/>
      </c>
      <c r="R283" s="69">
        <f>IF($A283="","",SUMIFS('Ordres de travail'!$S$5:$S$3004,'Ordres de travail'!$D$5:$D$3004,$A283,'Ordres de travail'!$AC$5:$AC$3004,"&lt;&gt;Annulé",'Ordres de travail'!$B$5:$B$3004,"&gt;="&amp;'Paramètres'!$AA$6,'Ordres de travail'!$B$5:$B$3004,"&lt;"&amp;('Paramètres'!$AA$7+1)))</f>
        <v/>
      </c>
      <c r="S283" s="70">
        <f>IF($A283="","",SUMIFS('Ordres de travail'!$AA$5:$AA$3004,'Ordres de travail'!$D$5:$D$3004,$A283,'Ordres de travail'!$B$5:$B$3004,"&gt;="&amp;'Paramètres'!$AA$6,'Ordres de travail'!$B$5:$B$3004,"&lt;"&amp;('Paramètres'!$AA$7+1)))</f>
        <v/>
      </c>
      <c r="T283" s="68">
        <f>IF($A283="","",IF(P283=0,"-",(O283*'Paramètres'!$AA$8-Q283)/P283))</f>
        <v/>
      </c>
      <c r="U283" s="69">
        <f>IF($A283="","",IF(P283=0,"-",Q283/P283))</f>
        <v/>
      </c>
      <c r="V283" s="71">
        <f>IF($A283="","",IF(N(O283)*'Paramètres'!$AA$8=0,"-",MAX(0,1-R283/(O283*'Paramètres'!$AA$8))))</f>
        <v/>
      </c>
      <c r="W283" s="68">
        <f>IF($A283="","",_xlfn.MAXIFS('Relevés compteurs'!$D$5:$D$1504,'Relevés compteurs'!$B$5:$B$1504,$A283))</f>
        <v/>
      </c>
      <c r="X283" s="69">
        <f>IF(OR($A283="",I283=""),"",(TODAY()-I283)/365.25)</f>
        <v/>
      </c>
      <c r="Y283" s="70">
        <f>IF($A283="","",SUMIFS('Ordres de travail'!$AA$5:$AA$3004,'Ordres de travail'!$D$5:$D$3004,$A283))</f>
        <v/>
      </c>
      <c r="Z283" s="68">
        <f>IF($A283="","",SUM(COUNTIFS('Ordres de travail'!$D$5:$D$3004,$A283,'Ordres de travail'!$AC$5:$AC$3004,{"Demandé","Planifié","En cours","En attente pièces"})))</f>
        <v/>
      </c>
      <c r="AA283" s="9">
        <f>IF(OR($A283="",M283=""),"",IF(M283&lt;TODAY(),"Expirée",IF(M283-TODAY()&lt;='Paramètres'!$AA$15,"Expire bientôt","Sous garantie")))</f>
        <v/>
      </c>
      <c r="AB283" s="72">
        <f>IF($A283="",-1,N(R283)+ROW()/1000000)</f>
        <v/>
      </c>
    </row>
    <row r="284">
      <c r="A284" s="7" t="n"/>
      <c r="B284" s="7" t="n"/>
      <c r="C284" s="7" t="n"/>
      <c r="D284" s="7" t="n"/>
      <c r="E284" s="7" t="n"/>
      <c r="F284" s="7" t="n"/>
      <c r="G284" s="7" t="n"/>
      <c r="H284" s="7" t="n"/>
      <c r="I284" s="65" t="n"/>
      <c r="J284" s="66" t="n"/>
      <c r="K284" s="7" t="n"/>
      <c r="L284" s="7" t="n"/>
      <c r="M284" s="65" t="n"/>
      <c r="N284" s="7" t="n"/>
      <c r="O284" s="67" t="n"/>
      <c r="P284" s="68">
        <f>IF($A284="","",COUNTIFS('Ordres de travail'!$D$5:$D$3004,$A284,'Ordres de travail'!$H$5:$H$3004,"Correctif",'Ordres de travail'!$AC$5:$AC$3004,"&lt;&gt;Annulé",'Ordres de travail'!$B$5:$B$3004,"&gt;="&amp;'Paramètres'!$AA$6,'Ordres de travail'!$B$5:$B$3004,"&lt;"&amp;('Paramètres'!$AA$7+1)))</f>
        <v/>
      </c>
      <c r="Q284" s="69">
        <f>IF($A284="","",SUMIFS('Ordres de travail'!$S$5:$S$3004,'Ordres de travail'!$D$5:$D$3004,$A284,'Ordres de travail'!$H$5:$H$3004,"Correctif",'Ordres de travail'!$AC$5:$AC$3004,"&lt;&gt;Annulé",'Ordres de travail'!$B$5:$B$3004,"&gt;="&amp;'Paramètres'!$AA$6,'Ordres de travail'!$B$5:$B$3004,"&lt;"&amp;('Paramètres'!$AA$7+1)))</f>
        <v/>
      </c>
      <c r="R284" s="69">
        <f>IF($A284="","",SUMIFS('Ordres de travail'!$S$5:$S$3004,'Ordres de travail'!$D$5:$D$3004,$A284,'Ordres de travail'!$AC$5:$AC$3004,"&lt;&gt;Annulé",'Ordres de travail'!$B$5:$B$3004,"&gt;="&amp;'Paramètres'!$AA$6,'Ordres de travail'!$B$5:$B$3004,"&lt;"&amp;('Paramètres'!$AA$7+1)))</f>
        <v/>
      </c>
      <c r="S284" s="70">
        <f>IF($A284="","",SUMIFS('Ordres de travail'!$AA$5:$AA$3004,'Ordres de travail'!$D$5:$D$3004,$A284,'Ordres de travail'!$B$5:$B$3004,"&gt;="&amp;'Paramètres'!$AA$6,'Ordres de travail'!$B$5:$B$3004,"&lt;"&amp;('Paramètres'!$AA$7+1)))</f>
        <v/>
      </c>
      <c r="T284" s="68">
        <f>IF($A284="","",IF(P284=0,"-",(O284*'Paramètres'!$AA$8-Q284)/P284))</f>
        <v/>
      </c>
      <c r="U284" s="69">
        <f>IF($A284="","",IF(P284=0,"-",Q284/P284))</f>
        <v/>
      </c>
      <c r="V284" s="71">
        <f>IF($A284="","",IF(N(O284)*'Paramètres'!$AA$8=0,"-",MAX(0,1-R284/(O284*'Paramètres'!$AA$8))))</f>
        <v/>
      </c>
      <c r="W284" s="68">
        <f>IF($A284="","",_xlfn.MAXIFS('Relevés compteurs'!$D$5:$D$1504,'Relevés compteurs'!$B$5:$B$1504,$A284))</f>
        <v/>
      </c>
      <c r="X284" s="69">
        <f>IF(OR($A284="",I284=""),"",(TODAY()-I284)/365.25)</f>
        <v/>
      </c>
      <c r="Y284" s="70">
        <f>IF($A284="","",SUMIFS('Ordres de travail'!$AA$5:$AA$3004,'Ordres de travail'!$D$5:$D$3004,$A284))</f>
        <v/>
      </c>
      <c r="Z284" s="68">
        <f>IF($A284="","",SUM(COUNTIFS('Ordres de travail'!$D$5:$D$3004,$A284,'Ordres de travail'!$AC$5:$AC$3004,{"Demandé","Planifié","En cours","En attente pièces"})))</f>
        <v/>
      </c>
      <c r="AA284" s="9">
        <f>IF(OR($A284="",M284=""),"",IF(M284&lt;TODAY(),"Expirée",IF(M284-TODAY()&lt;='Paramètres'!$AA$15,"Expire bientôt","Sous garantie")))</f>
        <v/>
      </c>
      <c r="AB284" s="72">
        <f>IF($A284="",-1,N(R284)+ROW()/1000000)</f>
        <v/>
      </c>
    </row>
    <row r="285">
      <c r="A285" s="7" t="n"/>
      <c r="B285" s="7" t="n"/>
      <c r="C285" s="7" t="n"/>
      <c r="D285" s="7" t="n"/>
      <c r="E285" s="7" t="n"/>
      <c r="F285" s="7" t="n"/>
      <c r="G285" s="7" t="n"/>
      <c r="H285" s="7" t="n"/>
      <c r="I285" s="65" t="n"/>
      <c r="J285" s="66" t="n"/>
      <c r="K285" s="7" t="n"/>
      <c r="L285" s="7" t="n"/>
      <c r="M285" s="65" t="n"/>
      <c r="N285" s="7" t="n"/>
      <c r="O285" s="67" t="n"/>
      <c r="P285" s="68">
        <f>IF($A285="","",COUNTIFS('Ordres de travail'!$D$5:$D$3004,$A285,'Ordres de travail'!$H$5:$H$3004,"Correctif",'Ordres de travail'!$AC$5:$AC$3004,"&lt;&gt;Annulé",'Ordres de travail'!$B$5:$B$3004,"&gt;="&amp;'Paramètres'!$AA$6,'Ordres de travail'!$B$5:$B$3004,"&lt;"&amp;('Paramètres'!$AA$7+1)))</f>
        <v/>
      </c>
      <c r="Q285" s="69">
        <f>IF($A285="","",SUMIFS('Ordres de travail'!$S$5:$S$3004,'Ordres de travail'!$D$5:$D$3004,$A285,'Ordres de travail'!$H$5:$H$3004,"Correctif",'Ordres de travail'!$AC$5:$AC$3004,"&lt;&gt;Annulé",'Ordres de travail'!$B$5:$B$3004,"&gt;="&amp;'Paramètres'!$AA$6,'Ordres de travail'!$B$5:$B$3004,"&lt;"&amp;('Paramètres'!$AA$7+1)))</f>
        <v/>
      </c>
      <c r="R285" s="69">
        <f>IF($A285="","",SUMIFS('Ordres de travail'!$S$5:$S$3004,'Ordres de travail'!$D$5:$D$3004,$A285,'Ordres de travail'!$AC$5:$AC$3004,"&lt;&gt;Annulé",'Ordres de travail'!$B$5:$B$3004,"&gt;="&amp;'Paramètres'!$AA$6,'Ordres de travail'!$B$5:$B$3004,"&lt;"&amp;('Paramètres'!$AA$7+1)))</f>
        <v/>
      </c>
      <c r="S285" s="70">
        <f>IF($A285="","",SUMIFS('Ordres de travail'!$AA$5:$AA$3004,'Ordres de travail'!$D$5:$D$3004,$A285,'Ordres de travail'!$B$5:$B$3004,"&gt;="&amp;'Paramètres'!$AA$6,'Ordres de travail'!$B$5:$B$3004,"&lt;"&amp;('Paramètres'!$AA$7+1)))</f>
        <v/>
      </c>
      <c r="T285" s="68">
        <f>IF($A285="","",IF(P285=0,"-",(O285*'Paramètres'!$AA$8-Q285)/P285))</f>
        <v/>
      </c>
      <c r="U285" s="69">
        <f>IF($A285="","",IF(P285=0,"-",Q285/P285))</f>
        <v/>
      </c>
      <c r="V285" s="71">
        <f>IF($A285="","",IF(N(O285)*'Paramètres'!$AA$8=0,"-",MAX(0,1-R285/(O285*'Paramètres'!$AA$8))))</f>
        <v/>
      </c>
      <c r="W285" s="68">
        <f>IF($A285="","",_xlfn.MAXIFS('Relevés compteurs'!$D$5:$D$1504,'Relevés compteurs'!$B$5:$B$1504,$A285))</f>
        <v/>
      </c>
      <c r="X285" s="69">
        <f>IF(OR($A285="",I285=""),"",(TODAY()-I285)/365.25)</f>
        <v/>
      </c>
      <c r="Y285" s="70">
        <f>IF($A285="","",SUMIFS('Ordres de travail'!$AA$5:$AA$3004,'Ordres de travail'!$D$5:$D$3004,$A285))</f>
        <v/>
      </c>
      <c r="Z285" s="68">
        <f>IF($A285="","",SUM(COUNTIFS('Ordres de travail'!$D$5:$D$3004,$A285,'Ordres de travail'!$AC$5:$AC$3004,{"Demandé","Planifié","En cours","En attente pièces"})))</f>
        <v/>
      </c>
      <c r="AA285" s="9">
        <f>IF(OR($A285="",M285=""),"",IF(M285&lt;TODAY(),"Expirée",IF(M285-TODAY()&lt;='Paramètres'!$AA$15,"Expire bientôt","Sous garantie")))</f>
        <v/>
      </c>
      <c r="AB285" s="72">
        <f>IF($A285="",-1,N(R285)+ROW()/1000000)</f>
        <v/>
      </c>
    </row>
    <row r="286">
      <c r="A286" s="7" t="n"/>
      <c r="B286" s="7" t="n"/>
      <c r="C286" s="7" t="n"/>
      <c r="D286" s="7" t="n"/>
      <c r="E286" s="7" t="n"/>
      <c r="F286" s="7" t="n"/>
      <c r="G286" s="7" t="n"/>
      <c r="H286" s="7" t="n"/>
      <c r="I286" s="65" t="n"/>
      <c r="J286" s="66" t="n"/>
      <c r="K286" s="7" t="n"/>
      <c r="L286" s="7" t="n"/>
      <c r="M286" s="65" t="n"/>
      <c r="N286" s="7" t="n"/>
      <c r="O286" s="67" t="n"/>
      <c r="P286" s="68">
        <f>IF($A286="","",COUNTIFS('Ordres de travail'!$D$5:$D$3004,$A286,'Ordres de travail'!$H$5:$H$3004,"Correctif",'Ordres de travail'!$AC$5:$AC$3004,"&lt;&gt;Annulé",'Ordres de travail'!$B$5:$B$3004,"&gt;="&amp;'Paramètres'!$AA$6,'Ordres de travail'!$B$5:$B$3004,"&lt;"&amp;('Paramètres'!$AA$7+1)))</f>
        <v/>
      </c>
      <c r="Q286" s="69">
        <f>IF($A286="","",SUMIFS('Ordres de travail'!$S$5:$S$3004,'Ordres de travail'!$D$5:$D$3004,$A286,'Ordres de travail'!$H$5:$H$3004,"Correctif",'Ordres de travail'!$AC$5:$AC$3004,"&lt;&gt;Annulé",'Ordres de travail'!$B$5:$B$3004,"&gt;="&amp;'Paramètres'!$AA$6,'Ordres de travail'!$B$5:$B$3004,"&lt;"&amp;('Paramètres'!$AA$7+1)))</f>
        <v/>
      </c>
      <c r="R286" s="69">
        <f>IF($A286="","",SUMIFS('Ordres de travail'!$S$5:$S$3004,'Ordres de travail'!$D$5:$D$3004,$A286,'Ordres de travail'!$AC$5:$AC$3004,"&lt;&gt;Annulé",'Ordres de travail'!$B$5:$B$3004,"&gt;="&amp;'Paramètres'!$AA$6,'Ordres de travail'!$B$5:$B$3004,"&lt;"&amp;('Paramètres'!$AA$7+1)))</f>
        <v/>
      </c>
      <c r="S286" s="70">
        <f>IF($A286="","",SUMIFS('Ordres de travail'!$AA$5:$AA$3004,'Ordres de travail'!$D$5:$D$3004,$A286,'Ordres de travail'!$B$5:$B$3004,"&gt;="&amp;'Paramètres'!$AA$6,'Ordres de travail'!$B$5:$B$3004,"&lt;"&amp;('Paramètres'!$AA$7+1)))</f>
        <v/>
      </c>
      <c r="T286" s="68">
        <f>IF($A286="","",IF(P286=0,"-",(O286*'Paramètres'!$AA$8-Q286)/P286))</f>
        <v/>
      </c>
      <c r="U286" s="69">
        <f>IF($A286="","",IF(P286=0,"-",Q286/P286))</f>
        <v/>
      </c>
      <c r="V286" s="71">
        <f>IF($A286="","",IF(N(O286)*'Paramètres'!$AA$8=0,"-",MAX(0,1-R286/(O286*'Paramètres'!$AA$8))))</f>
        <v/>
      </c>
      <c r="W286" s="68">
        <f>IF($A286="","",_xlfn.MAXIFS('Relevés compteurs'!$D$5:$D$1504,'Relevés compteurs'!$B$5:$B$1504,$A286))</f>
        <v/>
      </c>
      <c r="X286" s="69">
        <f>IF(OR($A286="",I286=""),"",(TODAY()-I286)/365.25)</f>
        <v/>
      </c>
      <c r="Y286" s="70">
        <f>IF($A286="","",SUMIFS('Ordres de travail'!$AA$5:$AA$3004,'Ordres de travail'!$D$5:$D$3004,$A286))</f>
        <v/>
      </c>
      <c r="Z286" s="68">
        <f>IF($A286="","",SUM(COUNTIFS('Ordres de travail'!$D$5:$D$3004,$A286,'Ordres de travail'!$AC$5:$AC$3004,{"Demandé","Planifié","En cours","En attente pièces"})))</f>
        <v/>
      </c>
      <c r="AA286" s="9">
        <f>IF(OR($A286="",M286=""),"",IF(M286&lt;TODAY(),"Expirée",IF(M286-TODAY()&lt;='Paramètres'!$AA$15,"Expire bientôt","Sous garantie")))</f>
        <v/>
      </c>
      <c r="AB286" s="72">
        <f>IF($A286="",-1,N(R286)+ROW()/1000000)</f>
        <v/>
      </c>
    </row>
    <row r="287">
      <c r="A287" s="7" t="n"/>
      <c r="B287" s="7" t="n"/>
      <c r="C287" s="7" t="n"/>
      <c r="D287" s="7" t="n"/>
      <c r="E287" s="7" t="n"/>
      <c r="F287" s="7" t="n"/>
      <c r="G287" s="7" t="n"/>
      <c r="H287" s="7" t="n"/>
      <c r="I287" s="65" t="n"/>
      <c r="J287" s="66" t="n"/>
      <c r="K287" s="7" t="n"/>
      <c r="L287" s="7" t="n"/>
      <c r="M287" s="65" t="n"/>
      <c r="N287" s="7" t="n"/>
      <c r="O287" s="67" t="n"/>
      <c r="P287" s="68">
        <f>IF($A287="","",COUNTIFS('Ordres de travail'!$D$5:$D$3004,$A287,'Ordres de travail'!$H$5:$H$3004,"Correctif",'Ordres de travail'!$AC$5:$AC$3004,"&lt;&gt;Annulé",'Ordres de travail'!$B$5:$B$3004,"&gt;="&amp;'Paramètres'!$AA$6,'Ordres de travail'!$B$5:$B$3004,"&lt;"&amp;('Paramètres'!$AA$7+1)))</f>
        <v/>
      </c>
      <c r="Q287" s="69">
        <f>IF($A287="","",SUMIFS('Ordres de travail'!$S$5:$S$3004,'Ordres de travail'!$D$5:$D$3004,$A287,'Ordres de travail'!$H$5:$H$3004,"Correctif",'Ordres de travail'!$AC$5:$AC$3004,"&lt;&gt;Annulé",'Ordres de travail'!$B$5:$B$3004,"&gt;="&amp;'Paramètres'!$AA$6,'Ordres de travail'!$B$5:$B$3004,"&lt;"&amp;('Paramètres'!$AA$7+1)))</f>
        <v/>
      </c>
      <c r="R287" s="69">
        <f>IF($A287="","",SUMIFS('Ordres de travail'!$S$5:$S$3004,'Ordres de travail'!$D$5:$D$3004,$A287,'Ordres de travail'!$AC$5:$AC$3004,"&lt;&gt;Annulé",'Ordres de travail'!$B$5:$B$3004,"&gt;="&amp;'Paramètres'!$AA$6,'Ordres de travail'!$B$5:$B$3004,"&lt;"&amp;('Paramètres'!$AA$7+1)))</f>
        <v/>
      </c>
      <c r="S287" s="70">
        <f>IF($A287="","",SUMIFS('Ordres de travail'!$AA$5:$AA$3004,'Ordres de travail'!$D$5:$D$3004,$A287,'Ordres de travail'!$B$5:$B$3004,"&gt;="&amp;'Paramètres'!$AA$6,'Ordres de travail'!$B$5:$B$3004,"&lt;"&amp;('Paramètres'!$AA$7+1)))</f>
        <v/>
      </c>
      <c r="T287" s="68">
        <f>IF($A287="","",IF(P287=0,"-",(O287*'Paramètres'!$AA$8-Q287)/P287))</f>
        <v/>
      </c>
      <c r="U287" s="69">
        <f>IF($A287="","",IF(P287=0,"-",Q287/P287))</f>
        <v/>
      </c>
      <c r="V287" s="71">
        <f>IF($A287="","",IF(N(O287)*'Paramètres'!$AA$8=0,"-",MAX(0,1-R287/(O287*'Paramètres'!$AA$8))))</f>
        <v/>
      </c>
      <c r="W287" s="68">
        <f>IF($A287="","",_xlfn.MAXIFS('Relevés compteurs'!$D$5:$D$1504,'Relevés compteurs'!$B$5:$B$1504,$A287))</f>
        <v/>
      </c>
      <c r="X287" s="69">
        <f>IF(OR($A287="",I287=""),"",(TODAY()-I287)/365.25)</f>
        <v/>
      </c>
      <c r="Y287" s="70">
        <f>IF($A287="","",SUMIFS('Ordres de travail'!$AA$5:$AA$3004,'Ordres de travail'!$D$5:$D$3004,$A287))</f>
        <v/>
      </c>
      <c r="Z287" s="68">
        <f>IF($A287="","",SUM(COUNTIFS('Ordres de travail'!$D$5:$D$3004,$A287,'Ordres de travail'!$AC$5:$AC$3004,{"Demandé","Planifié","En cours","En attente pièces"})))</f>
        <v/>
      </c>
      <c r="AA287" s="9">
        <f>IF(OR($A287="",M287=""),"",IF(M287&lt;TODAY(),"Expirée",IF(M287-TODAY()&lt;='Paramètres'!$AA$15,"Expire bientôt","Sous garantie")))</f>
        <v/>
      </c>
      <c r="AB287" s="72">
        <f>IF($A287="",-1,N(R287)+ROW()/1000000)</f>
        <v/>
      </c>
    </row>
    <row r="288">
      <c r="A288" s="7" t="n"/>
      <c r="B288" s="7" t="n"/>
      <c r="C288" s="7" t="n"/>
      <c r="D288" s="7" t="n"/>
      <c r="E288" s="7" t="n"/>
      <c r="F288" s="7" t="n"/>
      <c r="G288" s="7" t="n"/>
      <c r="H288" s="7" t="n"/>
      <c r="I288" s="65" t="n"/>
      <c r="J288" s="66" t="n"/>
      <c r="K288" s="7" t="n"/>
      <c r="L288" s="7" t="n"/>
      <c r="M288" s="65" t="n"/>
      <c r="N288" s="7" t="n"/>
      <c r="O288" s="67" t="n"/>
      <c r="P288" s="68">
        <f>IF($A288="","",COUNTIFS('Ordres de travail'!$D$5:$D$3004,$A288,'Ordres de travail'!$H$5:$H$3004,"Correctif",'Ordres de travail'!$AC$5:$AC$3004,"&lt;&gt;Annulé",'Ordres de travail'!$B$5:$B$3004,"&gt;="&amp;'Paramètres'!$AA$6,'Ordres de travail'!$B$5:$B$3004,"&lt;"&amp;('Paramètres'!$AA$7+1)))</f>
        <v/>
      </c>
      <c r="Q288" s="69">
        <f>IF($A288="","",SUMIFS('Ordres de travail'!$S$5:$S$3004,'Ordres de travail'!$D$5:$D$3004,$A288,'Ordres de travail'!$H$5:$H$3004,"Correctif",'Ordres de travail'!$AC$5:$AC$3004,"&lt;&gt;Annulé",'Ordres de travail'!$B$5:$B$3004,"&gt;="&amp;'Paramètres'!$AA$6,'Ordres de travail'!$B$5:$B$3004,"&lt;"&amp;('Paramètres'!$AA$7+1)))</f>
        <v/>
      </c>
      <c r="R288" s="69">
        <f>IF($A288="","",SUMIFS('Ordres de travail'!$S$5:$S$3004,'Ordres de travail'!$D$5:$D$3004,$A288,'Ordres de travail'!$AC$5:$AC$3004,"&lt;&gt;Annulé",'Ordres de travail'!$B$5:$B$3004,"&gt;="&amp;'Paramètres'!$AA$6,'Ordres de travail'!$B$5:$B$3004,"&lt;"&amp;('Paramètres'!$AA$7+1)))</f>
        <v/>
      </c>
      <c r="S288" s="70">
        <f>IF($A288="","",SUMIFS('Ordres de travail'!$AA$5:$AA$3004,'Ordres de travail'!$D$5:$D$3004,$A288,'Ordres de travail'!$B$5:$B$3004,"&gt;="&amp;'Paramètres'!$AA$6,'Ordres de travail'!$B$5:$B$3004,"&lt;"&amp;('Paramètres'!$AA$7+1)))</f>
        <v/>
      </c>
      <c r="T288" s="68">
        <f>IF($A288="","",IF(P288=0,"-",(O288*'Paramètres'!$AA$8-Q288)/P288))</f>
        <v/>
      </c>
      <c r="U288" s="69">
        <f>IF($A288="","",IF(P288=0,"-",Q288/P288))</f>
        <v/>
      </c>
      <c r="V288" s="71">
        <f>IF($A288="","",IF(N(O288)*'Paramètres'!$AA$8=0,"-",MAX(0,1-R288/(O288*'Paramètres'!$AA$8))))</f>
        <v/>
      </c>
      <c r="W288" s="68">
        <f>IF($A288="","",_xlfn.MAXIFS('Relevés compteurs'!$D$5:$D$1504,'Relevés compteurs'!$B$5:$B$1504,$A288))</f>
        <v/>
      </c>
      <c r="X288" s="69">
        <f>IF(OR($A288="",I288=""),"",(TODAY()-I288)/365.25)</f>
        <v/>
      </c>
      <c r="Y288" s="70">
        <f>IF($A288="","",SUMIFS('Ordres de travail'!$AA$5:$AA$3004,'Ordres de travail'!$D$5:$D$3004,$A288))</f>
        <v/>
      </c>
      <c r="Z288" s="68">
        <f>IF($A288="","",SUM(COUNTIFS('Ordres de travail'!$D$5:$D$3004,$A288,'Ordres de travail'!$AC$5:$AC$3004,{"Demandé","Planifié","En cours","En attente pièces"})))</f>
        <v/>
      </c>
      <c r="AA288" s="9">
        <f>IF(OR($A288="",M288=""),"",IF(M288&lt;TODAY(),"Expirée",IF(M288-TODAY()&lt;='Paramètres'!$AA$15,"Expire bientôt","Sous garantie")))</f>
        <v/>
      </c>
      <c r="AB288" s="72">
        <f>IF($A288="",-1,N(R288)+ROW()/1000000)</f>
        <v/>
      </c>
    </row>
    <row r="289">
      <c r="A289" s="7" t="n"/>
      <c r="B289" s="7" t="n"/>
      <c r="C289" s="7" t="n"/>
      <c r="D289" s="7" t="n"/>
      <c r="E289" s="7" t="n"/>
      <c r="F289" s="7" t="n"/>
      <c r="G289" s="7" t="n"/>
      <c r="H289" s="7" t="n"/>
      <c r="I289" s="65" t="n"/>
      <c r="J289" s="66" t="n"/>
      <c r="K289" s="7" t="n"/>
      <c r="L289" s="7" t="n"/>
      <c r="M289" s="65" t="n"/>
      <c r="N289" s="7" t="n"/>
      <c r="O289" s="67" t="n"/>
      <c r="P289" s="68">
        <f>IF($A289="","",COUNTIFS('Ordres de travail'!$D$5:$D$3004,$A289,'Ordres de travail'!$H$5:$H$3004,"Correctif",'Ordres de travail'!$AC$5:$AC$3004,"&lt;&gt;Annulé",'Ordres de travail'!$B$5:$B$3004,"&gt;="&amp;'Paramètres'!$AA$6,'Ordres de travail'!$B$5:$B$3004,"&lt;"&amp;('Paramètres'!$AA$7+1)))</f>
        <v/>
      </c>
      <c r="Q289" s="69">
        <f>IF($A289="","",SUMIFS('Ordres de travail'!$S$5:$S$3004,'Ordres de travail'!$D$5:$D$3004,$A289,'Ordres de travail'!$H$5:$H$3004,"Correctif",'Ordres de travail'!$AC$5:$AC$3004,"&lt;&gt;Annulé",'Ordres de travail'!$B$5:$B$3004,"&gt;="&amp;'Paramètres'!$AA$6,'Ordres de travail'!$B$5:$B$3004,"&lt;"&amp;('Paramètres'!$AA$7+1)))</f>
        <v/>
      </c>
      <c r="R289" s="69">
        <f>IF($A289="","",SUMIFS('Ordres de travail'!$S$5:$S$3004,'Ordres de travail'!$D$5:$D$3004,$A289,'Ordres de travail'!$AC$5:$AC$3004,"&lt;&gt;Annulé",'Ordres de travail'!$B$5:$B$3004,"&gt;="&amp;'Paramètres'!$AA$6,'Ordres de travail'!$B$5:$B$3004,"&lt;"&amp;('Paramètres'!$AA$7+1)))</f>
        <v/>
      </c>
      <c r="S289" s="70">
        <f>IF($A289="","",SUMIFS('Ordres de travail'!$AA$5:$AA$3004,'Ordres de travail'!$D$5:$D$3004,$A289,'Ordres de travail'!$B$5:$B$3004,"&gt;="&amp;'Paramètres'!$AA$6,'Ordres de travail'!$B$5:$B$3004,"&lt;"&amp;('Paramètres'!$AA$7+1)))</f>
        <v/>
      </c>
      <c r="T289" s="68">
        <f>IF($A289="","",IF(P289=0,"-",(O289*'Paramètres'!$AA$8-Q289)/P289))</f>
        <v/>
      </c>
      <c r="U289" s="69">
        <f>IF($A289="","",IF(P289=0,"-",Q289/P289))</f>
        <v/>
      </c>
      <c r="V289" s="71">
        <f>IF($A289="","",IF(N(O289)*'Paramètres'!$AA$8=0,"-",MAX(0,1-R289/(O289*'Paramètres'!$AA$8))))</f>
        <v/>
      </c>
      <c r="W289" s="68">
        <f>IF($A289="","",_xlfn.MAXIFS('Relevés compteurs'!$D$5:$D$1504,'Relevés compteurs'!$B$5:$B$1504,$A289))</f>
        <v/>
      </c>
      <c r="X289" s="69">
        <f>IF(OR($A289="",I289=""),"",(TODAY()-I289)/365.25)</f>
        <v/>
      </c>
      <c r="Y289" s="70">
        <f>IF($A289="","",SUMIFS('Ordres de travail'!$AA$5:$AA$3004,'Ordres de travail'!$D$5:$D$3004,$A289))</f>
        <v/>
      </c>
      <c r="Z289" s="68">
        <f>IF($A289="","",SUM(COUNTIFS('Ordres de travail'!$D$5:$D$3004,$A289,'Ordres de travail'!$AC$5:$AC$3004,{"Demandé","Planifié","En cours","En attente pièces"})))</f>
        <v/>
      </c>
      <c r="AA289" s="9">
        <f>IF(OR($A289="",M289=""),"",IF(M289&lt;TODAY(),"Expirée",IF(M289-TODAY()&lt;='Paramètres'!$AA$15,"Expire bientôt","Sous garantie")))</f>
        <v/>
      </c>
      <c r="AB289" s="72">
        <f>IF($A289="",-1,N(R289)+ROW()/1000000)</f>
        <v/>
      </c>
    </row>
    <row r="290">
      <c r="A290" s="7" t="n"/>
      <c r="B290" s="7" t="n"/>
      <c r="C290" s="7" t="n"/>
      <c r="D290" s="7" t="n"/>
      <c r="E290" s="7" t="n"/>
      <c r="F290" s="7" t="n"/>
      <c r="G290" s="7" t="n"/>
      <c r="H290" s="7" t="n"/>
      <c r="I290" s="65" t="n"/>
      <c r="J290" s="66" t="n"/>
      <c r="K290" s="7" t="n"/>
      <c r="L290" s="7" t="n"/>
      <c r="M290" s="65" t="n"/>
      <c r="N290" s="7" t="n"/>
      <c r="O290" s="67" t="n"/>
      <c r="P290" s="68">
        <f>IF($A290="","",COUNTIFS('Ordres de travail'!$D$5:$D$3004,$A290,'Ordres de travail'!$H$5:$H$3004,"Correctif",'Ordres de travail'!$AC$5:$AC$3004,"&lt;&gt;Annulé",'Ordres de travail'!$B$5:$B$3004,"&gt;="&amp;'Paramètres'!$AA$6,'Ordres de travail'!$B$5:$B$3004,"&lt;"&amp;('Paramètres'!$AA$7+1)))</f>
        <v/>
      </c>
      <c r="Q290" s="69">
        <f>IF($A290="","",SUMIFS('Ordres de travail'!$S$5:$S$3004,'Ordres de travail'!$D$5:$D$3004,$A290,'Ordres de travail'!$H$5:$H$3004,"Correctif",'Ordres de travail'!$AC$5:$AC$3004,"&lt;&gt;Annulé",'Ordres de travail'!$B$5:$B$3004,"&gt;="&amp;'Paramètres'!$AA$6,'Ordres de travail'!$B$5:$B$3004,"&lt;"&amp;('Paramètres'!$AA$7+1)))</f>
        <v/>
      </c>
      <c r="R290" s="69">
        <f>IF($A290="","",SUMIFS('Ordres de travail'!$S$5:$S$3004,'Ordres de travail'!$D$5:$D$3004,$A290,'Ordres de travail'!$AC$5:$AC$3004,"&lt;&gt;Annulé",'Ordres de travail'!$B$5:$B$3004,"&gt;="&amp;'Paramètres'!$AA$6,'Ordres de travail'!$B$5:$B$3004,"&lt;"&amp;('Paramètres'!$AA$7+1)))</f>
        <v/>
      </c>
      <c r="S290" s="70">
        <f>IF($A290="","",SUMIFS('Ordres de travail'!$AA$5:$AA$3004,'Ordres de travail'!$D$5:$D$3004,$A290,'Ordres de travail'!$B$5:$B$3004,"&gt;="&amp;'Paramètres'!$AA$6,'Ordres de travail'!$B$5:$B$3004,"&lt;"&amp;('Paramètres'!$AA$7+1)))</f>
        <v/>
      </c>
      <c r="T290" s="68">
        <f>IF($A290="","",IF(P290=0,"-",(O290*'Paramètres'!$AA$8-Q290)/P290))</f>
        <v/>
      </c>
      <c r="U290" s="69">
        <f>IF($A290="","",IF(P290=0,"-",Q290/P290))</f>
        <v/>
      </c>
      <c r="V290" s="71">
        <f>IF($A290="","",IF(N(O290)*'Paramètres'!$AA$8=0,"-",MAX(0,1-R290/(O290*'Paramètres'!$AA$8))))</f>
        <v/>
      </c>
      <c r="W290" s="68">
        <f>IF($A290="","",_xlfn.MAXIFS('Relevés compteurs'!$D$5:$D$1504,'Relevés compteurs'!$B$5:$B$1504,$A290))</f>
        <v/>
      </c>
      <c r="X290" s="69">
        <f>IF(OR($A290="",I290=""),"",(TODAY()-I290)/365.25)</f>
        <v/>
      </c>
      <c r="Y290" s="70">
        <f>IF($A290="","",SUMIFS('Ordres de travail'!$AA$5:$AA$3004,'Ordres de travail'!$D$5:$D$3004,$A290))</f>
        <v/>
      </c>
      <c r="Z290" s="68">
        <f>IF($A290="","",SUM(COUNTIFS('Ordres de travail'!$D$5:$D$3004,$A290,'Ordres de travail'!$AC$5:$AC$3004,{"Demandé","Planifié","En cours","En attente pièces"})))</f>
        <v/>
      </c>
      <c r="AA290" s="9">
        <f>IF(OR($A290="",M290=""),"",IF(M290&lt;TODAY(),"Expirée",IF(M290-TODAY()&lt;='Paramètres'!$AA$15,"Expire bientôt","Sous garantie")))</f>
        <v/>
      </c>
      <c r="AB290" s="72">
        <f>IF($A290="",-1,N(R290)+ROW()/1000000)</f>
        <v/>
      </c>
    </row>
    <row r="291">
      <c r="A291" s="7" t="n"/>
      <c r="B291" s="7" t="n"/>
      <c r="C291" s="7" t="n"/>
      <c r="D291" s="7" t="n"/>
      <c r="E291" s="7" t="n"/>
      <c r="F291" s="7" t="n"/>
      <c r="G291" s="7" t="n"/>
      <c r="H291" s="7" t="n"/>
      <c r="I291" s="65" t="n"/>
      <c r="J291" s="66" t="n"/>
      <c r="K291" s="7" t="n"/>
      <c r="L291" s="7" t="n"/>
      <c r="M291" s="65" t="n"/>
      <c r="N291" s="7" t="n"/>
      <c r="O291" s="67" t="n"/>
      <c r="P291" s="68">
        <f>IF($A291="","",COUNTIFS('Ordres de travail'!$D$5:$D$3004,$A291,'Ordres de travail'!$H$5:$H$3004,"Correctif",'Ordres de travail'!$AC$5:$AC$3004,"&lt;&gt;Annulé",'Ordres de travail'!$B$5:$B$3004,"&gt;="&amp;'Paramètres'!$AA$6,'Ordres de travail'!$B$5:$B$3004,"&lt;"&amp;('Paramètres'!$AA$7+1)))</f>
        <v/>
      </c>
      <c r="Q291" s="69">
        <f>IF($A291="","",SUMIFS('Ordres de travail'!$S$5:$S$3004,'Ordres de travail'!$D$5:$D$3004,$A291,'Ordres de travail'!$H$5:$H$3004,"Correctif",'Ordres de travail'!$AC$5:$AC$3004,"&lt;&gt;Annulé",'Ordres de travail'!$B$5:$B$3004,"&gt;="&amp;'Paramètres'!$AA$6,'Ordres de travail'!$B$5:$B$3004,"&lt;"&amp;('Paramètres'!$AA$7+1)))</f>
        <v/>
      </c>
      <c r="R291" s="69">
        <f>IF($A291="","",SUMIFS('Ordres de travail'!$S$5:$S$3004,'Ordres de travail'!$D$5:$D$3004,$A291,'Ordres de travail'!$AC$5:$AC$3004,"&lt;&gt;Annulé",'Ordres de travail'!$B$5:$B$3004,"&gt;="&amp;'Paramètres'!$AA$6,'Ordres de travail'!$B$5:$B$3004,"&lt;"&amp;('Paramètres'!$AA$7+1)))</f>
        <v/>
      </c>
      <c r="S291" s="70">
        <f>IF($A291="","",SUMIFS('Ordres de travail'!$AA$5:$AA$3004,'Ordres de travail'!$D$5:$D$3004,$A291,'Ordres de travail'!$B$5:$B$3004,"&gt;="&amp;'Paramètres'!$AA$6,'Ordres de travail'!$B$5:$B$3004,"&lt;"&amp;('Paramètres'!$AA$7+1)))</f>
        <v/>
      </c>
      <c r="T291" s="68">
        <f>IF($A291="","",IF(P291=0,"-",(O291*'Paramètres'!$AA$8-Q291)/P291))</f>
        <v/>
      </c>
      <c r="U291" s="69">
        <f>IF($A291="","",IF(P291=0,"-",Q291/P291))</f>
        <v/>
      </c>
      <c r="V291" s="71">
        <f>IF($A291="","",IF(N(O291)*'Paramètres'!$AA$8=0,"-",MAX(0,1-R291/(O291*'Paramètres'!$AA$8))))</f>
        <v/>
      </c>
      <c r="W291" s="68">
        <f>IF($A291="","",_xlfn.MAXIFS('Relevés compteurs'!$D$5:$D$1504,'Relevés compteurs'!$B$5:$B$1504,$A291))</f>
        <v/>
      </c>
      <c r="X291" s="69">
        <f>IF(OR($A291="",I291=""),"",(TODAY()-I291)/365.25)</f>
        <v/>
      </c>
      <c r="Y291" s="70">
        <f>IF($A291="","",SUMIFS('Ordres de travail'!$AA$5:$AA$3004,'Ordres de travail'!$D$5:$D$3004,$A291))</f>
        <v/>
      </c>
      <c r="Z291" s="68">
        <f>IF($A291="","",SUM(COUNTIFS('Ordres de travail'!$D$5:$D$3004,$A291,'Ordres de travail'!$AC$5:$AC$3004,{"Demandé","Planifié","En cours","En attente pièces"})))</f>
        <v/>
      </c>
      <c r="AA291" s="9">
        <f>IF(OR($A291="",M291=""),"",IF(M291&lt;TODAY(),"Expirée",IF(M291-TODAY()&lt;='Paramètres'!$AA$15,"Expire bientôt","Sous garantie")))</f>
        <v/>
      </c>
      <c r="AB291" s="72">
        <f>IF($A291="",-1,N(R291)+ROW()/1000000)</f>
        <v/>
      </c>
    </row>
    <row r="292">
      <c r="A292" s="7" t="n"/>
      <c r="B292" s="7" t="n"/>
      <c r="C292" s="7" t="n"/>
      <c r="D292" s="7" t="n"/>
      <c r="E292" s="7" t="n"/>
      <c r="F292" s="7" t="n"/>
      <c r="G292" s="7" t="n"/>
      <c r="H292" s="7" t="n"/>
      <c r="I292" s="65" t="n"/>
      <c r="J292" s="66" t="n"/>
      <c r="K292" s="7" t="n"/>
      <c r="L292" s="7" t="n"/>
      <c r="M292" s="65" t="n"/>
      <c r="N292" s="7" t="n"/>
      <c r="O292" s="67" t="n"/>
      <c r="P292" s="68">
        <f>IF($A292="","",COUNTIFS('Ordres de travail'!$D$5:$D$3004,$A292,'Ordres de travail'!$H$5:$H$3004,"Correctif",'Ordres de travail'!$AC$5:$AC$3004,"&lt;&gt;Annulé",'Ordres de travail'!$B$5:$B$3004,"&gt;="&amp;'Paramètres'!$AA$6,'Ordres de travail'!$B$5:$B$3004,"&lt;"&amp;('Paramètres'!$AA$7+1)))</f>
        <v/>
      </c>
      <c r="Q292" s="69">
        <f>IF($A292="","",SUMIFS('Ordres de travail'!$S$5:$S$3004,'Ordres de travail'!$D$5:$D$3004,$A292,'Ordres de travail'!$H$5:$H$3004,"Correctif",'Ordres de travail'!$AC$5:$AC$3004,"&lt;&gt;Annulé",'Ordres de travail'!$B$5:$B$3004,"&gt;="&amp;'Paramètres'!$AA$6,'Ordres de travail'!$B$5:$B$3004,"&lt;"&amp;('Paramètres'!$AA$7+1)))</f>
        <v/>
      </c>
      <c r="R292" s="69">
        <f>IF($A292="","",SUMIFS('Ordres de travail'!$S$5:$S$3004,'Ordres de travail'!$D$5:$D$3004,$A292,'Ordres de travail'!$AC$5:$AC$3004,"&lt;&gt;Annulé",'Ordres de travail'!$B$5:$B$3004,"&gt;="&amp;'Paramètres'!$AA$6,'Ordres de travail'!$B$5:$B$3004,"&lt;"&amp;('Paramètres'!$AA$7+1)))</f>
        <v/>
      </c>
      <c r="S292" s="70">
        <f>IF($A292="","",SUMIFS('Ordres de travail'!$AA$5:$AA$3004,'Ordres de travail'!$D$5:$D$3004,$A292,'Ordres de travail'!$B$5:$B$3004,"&gt;="&amp;'Paramètres'!$AA$6,'Ordres de travail'!$B$5:$B$3004,"&lt;"&amp;('Paramètres'!$AA$7+1)))</f>
        <v/>
      </c>
      <c r="T292" s="68">
        <f>IF($A292="","",IF(P292=0,"-",(O292*'Paramètres'!$AA$8-Q292)/P292))</f>
        <v/>
      </c>
      <c r="U292" s="69">
        <f>IF($A292="","",IF(P292=0,"-",Q292/P292))</f>
        <v/>
      </c>
      <c r="V292" s="71">
        <f>IF($A292="","",IF(N(O292)*'Paramètres'!$AA$8=0,"-",MAX(0,1-R292/(O292*'Paramètres'!$AA$8))))</f>
        <v/>
      </c>
      <c r="W292" s="68">
        <f>IF($A292="","",_xlfn.MAXIFS('Relevés compteurs'!$D$5:$D$1504,'Relevés compteurs'!$B$5:$B$1504,$A292))</f>
        <v/>
      </c>
      <c r="X292" s="69">
        <f>IF(OR($A292="",I292=""),"",(TODAY()-I292)/365.25)</f>
        <v/>
      </c>
      <c r="Y292" s="70">
        <f>IF($A292="","",SUMIFS('Ordres de travail'!$AA$5:$AA$3004,'Ordres de travail'!$D$5:$D$3004,$A292))</f>
        <v/>
      </c>
      <c r="Z292" s="68">
        <f>IF($A292="","",SUM(COUNTIFS('Ordres de travail'!$D$5:$D$3004,$A292,'Ordres de travail'!$AC$5:$AC$3004,{"Demandé","Planifié","En cours","En attente pièces"})))</f>
        <v/>
      </c>
      <c r="AA292" s="9">
        <f>IF(OR($A292="",M292=""),"",IF(M292&lt;TODAY(),"Expirée",IF(M292-TODAY()&lt;='Paramètres'!$AA$15,"Expire bientôt","Sous garantie")))</f>
        <v/>
      </c>
      <c r="AB292" s="72">
        <f>IF($A292="",-1,N(R292)+ROW()/1000000)</f>
        <v/>
      </c>
    </row>
    <row r="293">
      <c r="A293" s="7" t="n"/>
      <c r="B293" s="7" t="n"/>
      <c r="C293" s="7" t="n"/>
      <c r="D293" s="7" t="n"/>
      <c r="E293" s="7" t="n"/>
      <c r="F293" s="7" t="n"/>
      <c r="G293" s="7" t="n"/>
      <c r="H293" s="7" t="n"/>
      <c r="I293" s="65" t="n"/>
      <c r="J293" s="66" t="n"/>
      <c r="K293" s="7" t="n"/>
      <c r="L293" s="7" t="n"/>
      <c r="M293" s="65" t="n"/>
      <c r="N293" s="7" t="n"/>
      <c r="O293" s="67" t="n"/>
      <c r="P293" s="68">
        <f>IF($A293="","",COUNTIFS('Ordres de travail'!$D$5:$D$3004,$A293,'Ordres de travail'!$H$5:$H$3004,"Correctif",'Ordres de travail'!$AC$5:$AC$3004,"&lt;&gt;Annulé",'Ordres de travail'!$B$5:$B$3004,"&gt;="&amp;'Paramètres'!$AA$6,'Ordres de travail'!$B$5:$B$3004,"&lt;"&amp;('Paramètres'!$AA$7+1)))</f>
        <v/>
      </c>
      <c r="Q293" s="69">
        <f>IF($A293="","",SUMIFS('Ordres de travail'!$S$5:$S$3004,'Ordres de travail'!$D$5:$D$3004,$A293,'Ordres de travail'!$H$5:$H$3004,"Correctif",'Ordres de travail'!$AC$5:$AC$3004,"&lt;&gt;Annulé",'Ordres de travail'!$B$5:$B$3004,"&gt;="&amp;'Paramètres'!$AA$6,'Ordres de travail'!$B$5:$B$3004,"&lt;"&amp;('Paramètres'!$AA$7+1)))</f>
        <v/>
      </c>
      <c r="R293" s="69">
        <f>IF($A293="","",SUMIFS('Ordres de travail'!$S$5:$S$3004,'Ordres de travail'!$D$5:$D$3004,$A293,'Ordres de travail'!$AC$5:$AC$3004,"&lt;&gt;Annulé",'Ordres de travail'!$B$5:$B$3004,"&gt;="&amp;'Paramètres'!$AA$6,'Ordres de travail'!$B$5:$B$3004,"&lt;"&amp;('Paramètres'!$AA$7+1)))</f>
        <v/>
      </c>
      <c r="S293" s="70">
        <f>IF($A293="","",SUMIFS('Ordres de travail'!$AA$5:$AA$3004,'Ordres de travail'!$D$5:$D$3004,$A293,'Ordres de travail'!$B$5:$B$3004,"&gt;="&amp;'Paramètres'!$AA$6,'Ordres de travail'!$B$5:$B$3004,"&lt;"&amp;('Paramètres'!$AA$7+1)))</f>
        <v/>
      </c>
      <c r="T293" s="68">
        <f>IF($A293="","",IF(P293=0,"-",(O293*'Paramètres'!$AA$8-Q293)/P293))</f>
        <v/>
      </c>
      <c r="U293" s="69">
        <f>IF($A293="","",IF(P293=0,"-",Q293/P293))</f>
        <v/>
      </c>
      <c r="V293" s="71">
        <f>IF($A293="","",IF(N(O293)*'Paramètres'!$AA$8=0,"-",MAX(0,1-R293/(O293*'Paramètres'!$AA$8))))</f>
        <v/>
      </c>
      <c r="W293" s="68">
        <f>IF($A293="","",_xlfn.MAXIFS('Relevés compteurs'!$D$5:$D$1504,'Relevés compteurs'!$B$5:$B$1504,$A293))</f>
        <v/>
      </c>
      <c r="X293" s="69">
        <f>IF(OR($A293="",I293=""),"",(TODAY()-I293)/365.25)</f>
        <v/>
      </c>
      <c r="Y293" s="70">
        <f>IF($A293="","",SUMIFS('Ordres de travail'!$AA$5:$AA$3004,'Ordres de travail'!$D$5:$D$3004,$A293))</f>
        <v/>
      </c>
      <c r="Z293" s="68">
        <f>IF($A293="","",SUM(COUNTIFS('Ordres de travail'!$D$5:$D$3004,$A293,'Ordres de travail'!$AC$5:$AC$3004,{"Demandé","Planifié","En cours","En attente pièces"})))</f>
        <v/>
      </c>
      <c r="AA293" s="9">
        <f>IF(OR($A293="",M293=""),"",IF(M293&lt;TODAY(),"Expirée",IF(M293-TODAY()&lt;='Paramètres'!$AA$15,"Expire bientôt","Sous garantie")))</f>
        <v/>
      </c>
      <c r="AB293" s="72">
        <f>IF($A293="",-1,N(R293)+ROW()/1000000)</f>
        <v/>
      </c>
    </row>
    <row r="294">
      <c r="A294" s="7" t="n"/>
      <c r="B294" s="7" t="n"/>
      <c r="C294" s="7" t="n"/>
      <c r="D294" s="7" t="n"/>
      <c r="E294" s="7" t="n"/>
      <c r="F294" s="7" t="n"/>
      <c r="G294" s="7" t="n"/>
      <c r="H294" s="7" t="n"/>
      <c r="I294" s="65" t="n"/>
      <c r="J294" s="66" t="n"/>
      <c r="K294" s="7" t="n"/>
      <c r="L294" s="7" t="n"/>
      <c r="M294" s="65" t="n"/>
      <c r="N294" s="7" t="n"/>
      <c r="O294" s="67" t="n"/>
      <c r="P294" s="68">
        <f>IF($A294="","",COUNTIFS('Ordres de travail'!$D$5:$D$3004,$A294,'Ordres de travail'!$H$5:$H$3004,"Correctif",'Ordres de travail'!$AC$5:$AC$3004,"&lt;&gt;Annulé",'Ordres de travail'!$B$5:$B$3004,"&gt;="&amp;'Paramètres'!$AA$6,'Ordres de travail'!$B$5:$B$3004,"&lt;"&amp;('Paramètres'!$AA$7+1)))</f>
        <v/>
      </c>
      <c r="Q294" s="69">
        <f>IF($A294="","",SUMIFS('Ordres de travail'!$S$5:$S$3004,'Ordres de travail'!$D$5:$D$3004,$A294,'Ordres de travail'!$H$5:$H$3004,"Correctif",'Ordres de travail'!$AC$5:$AC$3004,"&lt;&gt;Annulé",'Ordres de travail'!$B$5:$B$3004,"&gt;="&amp;'Paramètres'!$AA$6,'Ordres de travail'!$B$5:$B$3004,"&lt;"&amp;('Paramètres'!$AA$7+1)))</f>
        <v/>
      </c>
      <c r="R294" s="69">
        <f>IF($A294="","",SUMIFS('Ordres de travail'!$S$5:$S$3004,'Ordres de travail'!$D$5:$D$3004,$A294,'Ordres de travail'!$AC$5:$AC$3004,"&lt;&gt;Annulé",'Ordres de travail'!$B$5:$B$3004,"&gt;="&amp;'Paramètres'!$AA$6,'Ordres de travail'!$B$5:$B$3004,"&lt;"&amp;('Paramètres'!$AA$7+1)))</f>
        <v/>
      </c>
      <c r="S294" s="70">
        <f>IF($A294="","",SUMIFS('Ordres de travail'!$AA$5:$AA$3004,'Ordres de travail'!$D$5:$D$3004,$A294,'Ordres de travail'!$B$5:$B$3004,"&gt;="&amp;'Paramètres'!$AA$6,'Ordres de travail'!$B$5:$B$3004,"&lt;"&amp;('Paramètres'!$AA$7+1)))</f>
        <v/>
      </c>
      <c r="T294" s="68">
        <f>IF($A294="","",IF(P294=0,"-",(O294*'Paramètres'!$AA$8-Q294)/P294))</f>
        <v/>
      </c>
      <c r="U294" s="69">
        <f>IF($A294="","",IF(P294=0,"-",Q294/P294))</f>
        <v/>
      </c>
      <c r="V294" s="71">
        <f>IF($A294="","",IF(N(O294)*'Paramètres'!$AA$8=0,"-",MAX(0,1-R294/(O294*'Paramètres'!$AA$8))))</f>
        <v/>
      </c>
      <c r="W294" s="68">
        <f>IF($A294="","",_xlfn.MAXIFS('Relevés compteurs'!$D$5:$D$1504,'Relevés compteurs'!$B$5:$B$1504,$A294))</f>
        <v/>
      </c>
      <c r="X294" s="69">
        <f>IF(OR($A294="",I294=""),"",(TODAY()-I294)/365.25)</f>
        <v/>
      </c>
      <c r="Y294" s="70">
        <f>IF($A294="","",SUMIFS('Ordres de travail'!$AA$5:$AA$3004,'Ordres de travail'!$D$5:$D$3004,$A294))</f>
        <v/>
      </c>
      <c r="Z294" s="68">
        <f>IF($A294="","",SUM(COUNTIFS('Ordres de travail'!$D$5:$D$3004,$A294,'Ordres de travail'!$AC$5:$AC$3004,{"Demandé","Planifié","En cours","En attente pièces"})))</f>
        <v/>
      </c>
      <c r="AA294" s="9">
        <f>IF(OR($A294="",M294=""),"",IF(M294&lt;TODAY(),"Expirée",IF(M294-TODAY()&lt;='Paramètres'!$AA$15,"Expire bientôt","Sous garantie")))</f>
        <v/>
      </c>
      <c r="AB294" s="72">
        <f>IF($A294="",-1,N(R294)+ROW()/1000000)</f>
        <v/>
      </c>
    </row>
    <row r="295">
      <c r="A295" s="7" t="n"/>
      <c r="B295" s="7" t="n"/>
      <c r="C295" s="7" t="n"/>
      <c r="D295" s="7" t="n"/>
      <c r="E295" s="7" t="n"/>
      <c r="F295" s="7" t="n"/>
      <c r="G295" s="7" t="n"/>
      <c r="H295" s="7" t="n"/>
      <c r="I295" s="65" t="n"/>
      <c r="J295" s="66" t="n"/>
      <c r="K295" s="7" t="n"/>
      <c r="L295" s="7" t="n"/>
      <c r="M295" s="65" t="n"/>
      <c r="N295" s="7" t="n"/>
      <c r="O295" s="67" t="n"/>
      <c r="P295" s="68">
        <f>IF($A295="","",COUNTIFS('Ordres de travail'!$D$5:$D$3004,$A295,'Ordres de travail'!$H$5:$H$3004,"Correctif",'Ordres de travail'!$AC$5:$AC$3004,"&lt;&gt;Annulé",'Ordres de travail'!$B$5:$B$3004,"&gt;="&amp;'Paramètres'!$AA$6,'Ordres de travail'!$B$5:$B$3004,"&lt;"&amp;('Paramètres'!$AA$7+1)))</f>
        <v/>
      </c>
      <c r="Q295" s="69">
        <f>IF($A295="","",SUMIFS('Ordres de travail'!$S$5:$S$3004,'Ordres de travail'!$D$5:$D$3004,$A295,'Ordres de travail'!$H$5:$H$3004,"Correctif",'Ordres de travail'!$AC$5:$AC$3004,"&lt;&gt;Annulé",'Ordres de travail'!$B$5:$B$3004,"&gt;="&amp;'Paramètres'!$AA$6,'Ordres de travail'!$B$5:$B$3004,"&lt;"&amp;('Paramètres'!$AA$7+1)))</f>
        <v/>
      </c>
      <c r="R295" s="69">
        <f>IF($A295="","",SUMIFS('Ordres de travail'!$S$5:$S$3004,'Ordres de travail'!$D$5:$D$3004,$A295,'Ordres de travail'!$AC$5:$AC$3004,"&lt;&gt;Annulé",'Ordres de travail'!$B$5:$B$3004,"&gt;="&amp;'Paramètres'!$AA$6,'Ordres de travail'!$B$5:$B$3004,"&lt;"&amp;('Paramètres'!$AA$7+1)))</f>
        <v/>
      </c>
      <c r="S295" s="70">
        <f>IF($A295="","",SUMIFS('Ordres de travail'!$AA$5:$AA$3004,'Ordres de travail'!$D$5:$D$3004,$A295,'Ordres de travail'!$B$5:$B$3004,"&gt;="&amp;'Paramètres'!$AA$6,'Ordres de travail'!$B$5:$B$3004,"&lt;"&amp;('Paramètres'!$AA$7+1)))</f>
        <v/>
      </c>
      <c r="T295" s="68">
        <f>IF($A295="","",IF(P295=0,"-",(O295*'Paramètres'!$AA$8-Q295)/P295))</f>
        <v/>
      </c>
      <c r="U295" s="69">
        <f>IF($A295="","",IF(P295=0,"-",Q295/P295))</f>
        <v/>
      </c>
      <c r="V295" s="71">
        <f>IF($A295="","",IF(N(O295)*'Paramètres'!$AA$8=0,"-",MAX(0,1-R295/(O295*'Paramètres'!$AA$8))))</f>
        <v/>
      </c>
      <c r="W295" s="68">
        <f>IF($A295="","",_xlfn.MAXIFS('Relevés compteurs'!$D$5:$D$1504,'Relevés compteurs'!$B$5:$B$1504,$A295))</f>
        <v/>
      </c>
      <c r="X295" s="69">
        <f>IF(OR($A295="",I295=""),"",(TODAY()-I295)/365.25)</f>
        <v/>
      </c>
      <c r="Y295" s="70">
        <f>IF($A295="","",SUMIFS('Ordres de travail'!$AA$5:$AA$3004,'Ordres de travail'!$D$5:$D$3004,$A295))</f>
        <v/>
      </c>
      <c r="Z295" s="68">
        <f>IF($A295="","",SUM(COUNTIFS('Ordres de travail'!$D$5:$D$3004,$A295,'Ordres de travail'!$AC$5:$AC$3004,{"Demandé","Planifié","En cours","En attente pièces"})))</f>
        <v/>
      </c>
      <c r="AA295" s="9">
        <f>IF(OR($A295="",M295=""),"",IF(M295&lt;TODAY(),"Expirée",IF(M295-TODAY()&lt;='Paramètres'!$AA$15,"Expire bientôt","Sous garantie")))</f>
        <v/>
      </c>
      <c r="AB295" s="72">
        <f>IF($A295="",-1,N(R295)+ROW()/1000000)</f>
        <v/>
      </c>
    </row>
    <row r="296">
      <c r="A296" s="7" t="n"/>
      <c r="B296" s="7" t="n"/>
      <c r="C296" s="7" t="n"/>
      <c r="D296" s="7" t="n"/>
      <c r="E296" s="7" t="n"/>
      <c r="F296" s="7" t="n"/>
      <c r="G296" s="7" t="n"/>
      <c r="H296" s="7" t="n"/>
      <c r="I296" s="65" t="n"/>
      <c r="J296" s="66" t="n"/>
      <c r="K296" s="7" t="n"/>
      <c r="L296" s="7" t="n"/>
      <c r="M296" s="65" t="n"/>
      <c r="N296" s="7" t="n"/>
      <c r="O296" s="67" t="n"/>
      <c r="P296" s="68">
        <f>IF($A296="","",COUNTIFS('Ordres de travail'!$D$5:$D$3004,$A296,'Ordres de travail'!$H$5:$H$3004,"Correctif",'Ordres de travail'!$AC$5:$AC$3004,"&lt;&gt;Annulé",'Ordres de travail'!$B$5:$B$3004,"&gt;="&amp;'Paramètres'!$AA$6,'Ordres de travail'!$B$5:$B$3004,"&lt;"&amp;('Paramètres'!$AA$7+1)))</f>
        <v/>
      </c>
      <c r="Q296" s="69">
        <f>IF($A296="","",SUMIFS('Ordres de travail'!$S$5:$S$3004,'Ordres de travail'!$D$5:$D$3004,$A296,'Ordres de travail'!$H$5:$H$3004,"Correctif",'Ordres de travail'!$AC$5:$AC$3004,"&lt;&gt;Annulé",'Ordres de travail'!$B$5:$B$3004,"&gt;="&amp;'Paramètres'!$AA$6,'Ordres de travail'!$B$5:$B$3004,"&lt;"&amp;('Paramètres'!$AA$7+1)))</f>
        <v/>
      </c>
      <c r="R296" s="69">
        <f>IF($A296="","",SUMIFS('Ordres de travail'!$S$5:$S$3004,'Ordres de travail'!$D$5:$D$3004,$A296,'Ordres de travail'!$AC$5:$AC$3004,"&lt;&gt;Annulé",'Ordres de travail'!$B$5:$B$3004,"&gt;="&amp;'Paramètres'!$AA$6,'Ordres de travail'!$B$5:$B$3004,"&lt;"&amp;('Paramètres'!$AA$7+1)))</f>
        <v/>
      </c>
      <c r="S296" s="70">
        <f>IF($A296="","",SUMIFS('Ordres de travail'!$AA$5:$AA$3004,'Ordres de travail'!$D$5:$D$3004,$A296,'Ordres de travail'!$B$5:$B$3004,"&gt;="&amp;'Paramètres'!$AA$6,'Ordres de travail'!$B$5:$B$3004,"&lt;"&amp;('Paramètres'!$AA$7+1)))</f>
        <v/>
      </c>
      <c r="T296" s="68">
        <f>IF($A296="","",IF(P296=0,"-",(O296*'Paramètres'!$AA$8-Q296)/P296))</f>
        <v/>
      </c>
      <c r="U296" s="69">
        <f>IF($A296="","",IF(P296=0,"-",Q296/P296))</f>
        <v/>
      </c>
      <c r="V296" s="71">
        <f>IF($A296="","",IF(N(O296)*'Paramètres'!$AA$8=0,"-",MAX(0,1-R296/(O296*'Paramètres'!$AA$8))))</f>
        <v/>
      </c>
      <c r="W296" s="68">
        <f>IF($A296="","",_xlfn.MAXIFS('Relevés compteurs'!$D$5:$D$1504,'Relevés compteurs'!$B$5:$B$1504,$A296))</f>
        <v/>
      </c>
      <c r="X296" s="69">
        <f>IF(OR($A296="",I296=""),"",(TODAY()-I296)/365.25)</f>
        <v/>
      </c>
      <c r="Y296" s="70">
        <f>IF($A296="","",SUMIFS('Ordres de travail'!$AA$5:$AA$3004,'Ordres de travail'!$D$5:$D$3004,$A296))</f>
        <v/>
      </c>
      <c r="Z296" s="68">
        <f>IF($A296="","",SUM(COUNTIFS('Ordres de travail'!$D$5:$D$3004,$A296,'Ordres de travail'!$AC$5:$AC$3004,{"Demandé","Planifié","En cours","En attente pièces"})))</f>
        <v/>
      </c>
      <c r="AA296" s="9">
        <f>IF(OR($A296="",M296=""),"",IF(M296&lt;TODAY(),"Expirée",IF(M296-TODAY()&lt;='Paramètres'!$AA$15,"Expire bientôt","Sous garantie")))</f>
        <v/>
      </c>
      <c r="AB296" s="72">
        <f>IF($A296="",-1,N(R296)+ROW()/1000000)</f>
        <v/>
      </c>
    </row>
    <row r="297">
      <c r="A297" s="7" t="n"/>
      <c r="B297" s="7" t="n"/>
      <c r="C297" s="7" t="n"/>
      <c r="D297" s="7" t="n"/>
      <c r="E297" s="7" t="n"/>
      <c r="F297" s="7" t="n"/>
      <c r="G297" s="7" t="n"/>
      <c r="H297" s="7" t="n"/>
      <c r="I297" s="65" t="n"/>
      <c r="J297" s="66" t="n"/>
      <c r="K297" s="7" t="n"/>
      <c r="L297" s="7" t="n"/>
      <c r="M297" s="65" t="n"/>
      <c r="N297" s="7" t="n"/>
      <c r="O297" s="67" t="n"/>
      <c r="P297" s="68">
        <f>IF($A297="","",COUNTIFS('Ordres de travail'!$D$5:$D$3004,$A297,'Ordres de travail'!$H$5:$H$3004,"Correctif",'Ordres de travail'!$AC$5:$AC$3004,"&lt;&gt;Annulé",'Ordres de travail'!$B$5:$B$3004,"&gt;="&amp;'Paramètres'!$AA$6,'Ordres de travail'!$B$5:$B$3004,"&lt;"&amp;('Paramètres'!$AA$7+1)))</f>
        <v/>
      </c>
      <c r="Q297" s="69">
        <f>IF($A297="","",SUMIFS('Ordres de travail'!$S$5:$S$3004,'Ordres de travail'!$D$5:$D$3004,$A297,'Ordres de travail'!$H$5:$H$3004,"Correctif",'Ordres de travail'!$AC$5:$AC$3004,"&lt;&gt;Annulé",'Ordres de travail'!$B$5:$B$3004,"&gt;="&amp;'Paramètres'!$AA$6,'Ordres de travail'!$B$5:$B$3004,"&lt;"&amp;('Paramètres'!$AA$7+1)))</f>
        <v/>
      </c>
      <c r="R297" s="69">
        <f>IF($A297="","",SUMIFS('Ordres de travail'!$S$5:$S$3004,'Ordres de travail'!$D$5:$D$3004,$A297,'Ordres de travail'!$AC$5:$AC$3004,"&lt;&gt;Annulé",'Ordres de travail'!$B$5:$B$3004,"&gt;="&amp;'Paramètres'!$AA$6,'Ordres de travail'!$B$5:$B$3004,"&lt;"&amp;('Paramètres'!$AA$7+1)))</f>
        <v/>
      </c>
      <c r="S297" s="70">
        <f>IF($A297="","",SUMIFS('Ordres de travail'!$AA$5:$AA$3004,'Ordres de travail'!$D$5:$D$3004,$A297,'Ordres de travail'!$B$5:$B$3004,"&gt;="&amp;'Paramètres'!$AA$6,'Ordres de travail'!$B$5:$B$3004,"&lt;"&amp;('Paramètres'!$AA$7+1)))</f>
        <v/>
      </c>
      <c r="T297" s="68">
        <f>IF($A297="","",IF(P297=0,"-",(O297*'Paramètres'!$AA$8-Q297)/P297))</f>
        <v/>
      </c>
      <c r="U297" s="69">
        <f>IF($A297="","",IF(P297=0,"-",Q297/P297))</f>
        <v/>
      </c>
      <c r="V297" s="71">
        <f>IF($A297="","",IF(N(O297)*'Paramètres'!$AA$8=0,"-",MAX(0,1-R297/(O297*'Paramètres'!$AA$8))))</f>
        <v/>
      </c>
      <c r="W297" s="68">
        <f>IF($A297="","",_xlfn.MAXIFS('Relevés compteurs'!$D$5:$D$1504,'Relevés compteurs'!$B$5:$B$1504,$A297))</f>
        <v/>
      </c>
      <c r="X297" s="69">
        <f>IF(OR($A297="",I297=""),"",(TODAY()-I297)/365.25)</f>
        <v/>
      </c>
      <c r="Y297" s="70">
        <f>IF($A297="","",SUMIFS('Ordres de travail'!$AA$5:$AA$3004,'Ordres de travail'!$D$5:$D$3004,$A297))</f>
        <v/>
      </c>
      <c r="Z297" s="68">
        <f>IF($A297="","",SUM(COUNTIFS('Ordres de travail'!$D$5:$D$3004,$A297,'Ordres de travail'!$AC$5:$AC$3004,{"Demandé","Planifié","En cours","En attente pièces"})))</f>
        <v/>
      </c>
      <c r="AA297" s="9">
        <f>IF(OR($A297="",M297=""),"",IF(M297&lt;TODAY(),"Expirée",IF(M297-TODAY()&lt;='Paramètres'!$AA$15,"Expire bientôt","Sous garantie")))</f>
        <v/>
      </c>
      <c r="AB297" s="72">
        <f>IF($A297="",-1,N(R297)+ROW()/1000000)</f>
        <v/>
      </c>
    </row>
    <row r="298">
      <c r="A298" s="7" t="n"/>
      <c r="B298" s="7" t="n"/>
      <c r="C298" s="7" t="n"/>
      <c r="D298" s="7" t="n"/>
      <c r="E298" s="7" t="n"/>
      <c r="F298" s="7" t="n"/>
      <c r="G298" s="7" t="n"/>
      <c r="H298" s="7" t="n"/>
      <c r="I298" s="65" t="n"/>
      <c r="J298" s="66" t="n"/>
      <c r="K298" s="7" t="n"/>
      <c r="L298" s="7" t="n"/>
      <c r="M298" s="65" t="n"/>
      <c r="N298" s="7" t="n"/>
      <c r="O298" s="67" t="n"/>
      <c r="P298" s="68">
        <f>IF($A298="","",COUNTIFS('Ordres de travail'!$D$5:$D$3004,$A298,'Ordres de travail'!$H$5:$H$3004,"Correctif",'Ordres de travail'!$AC$5:$AC$3004,"&lt;&gt;Annulé",'Ordres de travail'!$B$5:$B$3004,"&gt;="&amp;'Paramètres'!$AA$6,'Ordres de travail'!$B$5:$B$3004,"&lt;"&amp;('Paramètres'!$AA$7+1)))</f>
        <v/>
      </c>
      <c r="Q298" s="69">
        <f>IF($A298="","",SUMIFS('Ordres de travail'!$S$5:$S$3004,'Ordres de travail'!$D$5:$D$3004,$A298,'Ordres de travail'!$H$5:$H$3004,"Correctif",'Ordres de travail'!$AC$5:$AC$3004,"&lt;&gt;Annulé",'Ordres de travail'!$B$5:$B$3004,"&gt;="&amp;'Paramètres'!$AA$6,'Ordres de travail'!$B$5:$B$3004,"&lt;"&amp;('Paramètres'!$AA$7+1)))</f>
        <v/>
      </c>
      <c r="R298" s="69">
        <f>IF($A298="","",SUMIFS('Ordres de travail'!$S$5:$S$3004,'Ordres de travail'!$D$5:$D$3004,$A298,'Ordres de travail'!$AC$5:$AC$3004,"&lt;&gt;Annulé",'Ordres de travail'!$B$5:$B$3004,"&gt;="&amp;'Paramètres'!$AA$6,'Ordres de travail'!$B$5:$B$3004,"&lt;"&amp;('Paramètres'!$AA$7+1)))</f>
        <v/>
      </c>
      <c r="S298" s="70">
        <f>IF($A298="","",SUMIFS('Ordres de travail'!$AA$5:$AA$3004,'Ordres de travail'!$D$5:$D$3004,$A298,'Ordres de travail'!$B$5:$B$3004,"&gt;="&amp;'Paramètres'!$AA$6,'Ordres de travail'!$B$5:$B$3004,"&lt;"&amp;('Paramètres'!$AA$7+1)))</f>
        <v/>
      </c>
      <c r="T298" s="68">
        <f>IF($A298="","",IF(P298=0,"-",(O298*'Paramètres'!$AA$8-Q298)/P298))</f>
        <v/>
      </c>
      <c r="U298" s="69">
        <f>IF($A298="","",IF(P298=0,"-",Q298/P298))</f>
        <v/>
      </c>
      <c r="V298" s="71">
        <f>IF($A298="","",IF(N(O298)*'Paramètres'!$AA$8=0,"-",MAX(0,1-R298/(O298*'Paramètres'!$AA$8))))</f>
        <v/>
      </c>
      <c r="W298" s="68">
        <f>IF($A298="","",_xlfn.MAXIFS('Relevés compteurs'!$D$5:$D$1504,'Relevés compteurs'!$B$5:$B$1504,$A298))</f>
        <v/>
      </c>
      <c r="X298" s="69">
        <f>IF(OR($A298="",I298=""),"",(TODAY()-I298)/365.25)</f>
        <v/>
      </c>
      <c r="Y298" s="70">
        <f>IF($A298="","",SUMIFS('Ordres de travail'!$AA$5:$AA$3004,'Ordres de travail'!$D$5:$D$3004,$A298))</f>
        <v/>
      </c>
      <c r="Z298" s="68">
        <f>IF($A298="","",SUM(COUNTIFS('Ordres de travail'!$D$5:$D$3004,$A298,'Ordres de travail'!$AC$5:$AC$3004,{"Demandé","Planifié","En cours","En attente pièces"})))</f>
        <v/>
      </c>
      <c r="AA298" s="9">
        <f>IF(OR($A298="",M298=""),"",IF(M298&lt;TODAY(),"Expirée",IF(M298-TODAY()&lt;='Paramètres'!$AA$15,"Expire bientôt","Sous garantie")))</f>
        <v/>
      </c>
      <c r="AB298" s="72">
        <f>IF($A298="",-1,N(R298)+ROW()/1000000)</f>
        <v/>
      </c>
    </row>
    <row r="299">
      <c r="A299" s="7" t="n"/>
      <c r="B299" s="7" t="n"/>
      <c r="C299" s="7" t="n"/>
      <c r="D299" s="7" t="n"/>
      <c r="E299" s="7" t="n"/>
      <c r="F299" s="7" t="n"/>
      <c r="G299" s="7" t="n"/>
      <c r="H299" s="7" t="n"/>
      <c r="I299" s="65" t="n"/>
      <c r="J299" s="66" t="n"/>
      <c r="K299" s="7" t="n"/>
      <c r="L299" s="7" t="n"/>
      <c r="M299" s="65" t="n"/>
      <c r="N299" s="7" t="n"/>
      <c r="O299" s="67" t="n"/>
      <c r="P299" s="68">
        <f>IF($A299="","",COUNTIFS('Ordres de travail'!$D$5:$D$3004,$A299,'Ordres de travail'!$H$5:$H$3004,"Correctif",'Ordres de travail'!$AC$5:$AC$3004,"&lt;&gt;Annulé",'Ordres de travail'!$B$5:$B$3004,"&gt;="&amp;'Paramètres'!$AA$6,'Ordres de travail'!$B$5:$B$3004,"&lt;"&amp;('Paramètres'!$AA$7+1)))</f>
        <v/>
      </c>
      <c r="Q299" s="69">
        <f>IF($A299="","",SUMIFS('Ordres de travail'!$S$5:$S$3004,'Ordres de travail'!$D$5:$D$3004,$A299,'Ordres de travail'!$H$5:$H$3004,"Correctif",'Ordres de travail'!$AC$5:$AC$3004,"&lt;&gt;Annulé",'Ordres de travail'!$B$5:$B$3004,"&gt;="&amp;'Paramètres'!$AA$6,'Ordres de travail'!$B$5:$B$3004,"&lt;"&amp;('Paramètres'!$AA$7+1)))</f>
        <v/>
      </c>
      <c r="R299" s="69">
        <f>IF($A299="","",SUMIFS('Ordres de travail'!$S$5:$S$3004,'Ordres de travail'!$D$5:$D$3004,$A299,'Ordres de travail'!$AC$5:$AC$3004,"&lt;&gt;Annulé",'Ordres de travail'!$B$5:$B$3004,"&gt;="&amp;'Paramètres'!$AA$6,'Ordres de travail'!$B$5:$B$3004,"&lt;"&amp;('Paramètres'!$AA$7+1)))</f>
        <v/>
      </c>
      <c r="S299" s="70">
        <f>IF($A299="","",SUMIFS('Ordres de travail'!$AA$5:$AA$3004,'Ordres de travail'!$D$5:$D$3004,$A299,'Ordres de travail'!$B$5:$B$3004,"&gt;="&amp;'Paramètres'!$AA$6,'Ordres de travail'!$B$5:$B$3004,"&lt;"&amp;('Paramètres'!$AA$7+1)))</f>
        <v/>
      </c>
      <c r="T299" s="68">
        <f>IF($A299="","",IF(P299=0,"-",(O299*'Paramètres'!$AA$8-Q299)/P299))</f>
        <v/>
      </c>
      <c r="U299" s="69">
        <f>IF($A299="","",IF(P299=0,"-",Q299/P299))</f>
        <v/>
      </c>
      <c r="V299" s="71">
        <f>IF($A299="","",IF(N(O299)*'Paramètres'!$AA$8=0,"-",MAX(0,1-R299/(O299*'Paramètres'!$AA$8))))</f>
        <v/>
      </c>
      <c r="W299" s="68">
        <f>IF($A299="","",_xlfn.MAXIFS('Relevés compteurs'!$D$5:$D$1504,'Relevés compteurs'!$B$5:$B$1504,$A299))</f>
        <v/>
      </c>
      <c r="X299" s="69">
        <f>IF(OR($A299="",I299=""),"",(TODAY()-I299)/365.25)</f>
        <v/>
      </c>
      <c r="Y299" s="70">
        <f>IF($A299="","",SUMIFS('Ordres de travail'!$AA$5:$AA$3004,'Ordres de travail'!$D$5:$D$3004,$A299))</f>
        <v/>
      </c>
      <c r="Z299" s="68">
        <f>IF($A299="","",SUM(COUNTIFS('Ordres de travail'!$D$5:$D$3004,$A299,'Ordres de travail'!$AC$5:$AC$3004,{"Demandé","Planifié","En cours","En attente pièces"})))</f>
        <v/>
      </c>
      <c r="AA299" s="9">
        <f>IF(OR($A299="",M299=""),"",IF(M299&lt;TODAY(),"Expirée",IF(M299-TODAY()&lt;='Paramètres'!$AA$15,"Expire bientôt","Sous garantie")))</f>
        <v/>
      </c>
      <c r="AB299" s="72">
        <f>IF($A299="",-1,N(R299)+ROW()/1000000)</f>
        <v/>
      </c>
    </row>
    <row r="300">
      <c r="A300" s="7" t="n"/>
      <c r="B300" s="7" t="n"/>
      <c r="C300" s="7" t="n"/>
      <c r="D300" s="7" t="n"/>
      <c r="E300" s="7" t="n"/>
      <c r="F300" s="7" t="n"/>
      <c r="G300" s="7" t="n"/>
      <c r="H300" s="7" t="n"/>
      <c r="I300" s="65" t="n"/>
      <c r="J300" s="66" t="n"/>
      <c r="K300" s="7" t="n"/>
      <c r="L300" s="7" t="n"/>
      <c r="M300" s="65" t="n"/>
      <c r="N300" s="7" t="n"/>
      <c r="O300" s="67" t="n"/>
      <c r="P300" s="68">
        <f>IF($A300="","",COUNTIFS('Ordres de travail'!$D$5:$D$3004,$A300,'Ordres de travail'!$H$5:$H$3004,"Correctif",'Ordres de travail'!$AC$5:$AC$3004,"&lt;&gt;Annulé",'Ordres de travail'!$B$5:$B$3004,"&gt;="&amp;'Paramètres'!$AA$6,'Ordres de travail'!$B$5:$B$3004,"&lt;"&amp;('Paramètres'!$AA$7+1)))</f>
        <v/>
      </c>
      <c r="Q300" s="69">
        <f>IF($A300="","",SUMIFS('Ordres de travail'!$S$5:$S$3004,'Ordres de travail'!$D$5:$D$3004,$A300,'Ordres de travail'!$H$5:$H$3004,"Correctif",'Ordres de travail'!$AC$5:$AC$3004,"&lt;&gt;Annulé",'Ordres de travail'!$B$5:$B$3004,"&gt;="&amp;'Paramètres'!$AA$6,'Ordres de travail'!$B$5:$B$3004,"&lt;"&amp;('Paramètres'!$AA$7+1)))</f>
        <v/>
      </c>
      <c r="R300" s="69">
        <f>IF($A300="","",SUMIFS('Ordres de travail'!$S$5:$S$3004,'Ordres de travail'!$D$5:$D$3004,$A300,'Ordres de travail'!$AC$5:$AC$3004,"&lt;&gt;Annulé",'Ordres de travail'!$B$5:$B$3004,"&gt;="&amp;'Paramètres'!$AA$6,'Ordres de travail'!$B$5:$B$3004,"&lt;"&amp;('Paramètres'!$AA$7+1)))</f>
        <v/>
      </c>
      <c r="S300" s="70">
        <f>IF($A300="","",SUMIFS('Ordres de travail'!$AA$5:$AA$3004,'Ordres de travail'!$D$5:$D$3004,$A300,'Ordres de travail'!$B$5:$B$3004,"&gt;="&amp;'Paramètres'!$AA$6,'Ordres de travail'!$B$5:$B$3004,"&lt;"&amp;('Paramètres'!$AA$7+1)))</f>
        <v/>
      </c>
      <c r="T300" s="68">
        <f>IF($A300="","",IF(P300=0,"-",(O300*'Paramètres'!$AA$8-Q300)/P300))</f>
        <v/>
      </c>
      <c r="U300" s="69">
        <f>IF($A300="","",IF(P300=0,"-",Q300/P300))</f>
        <v/>
      </c>
      <c r="V300" s="71">
        <f>IF($A300="","",IF(N(O300)*'Paramètres'!$AA$8=0,"-",MAX(0,1-R300/(O300*'Paramètres'!$AA$8))))</f>
        <v/>
      </c>
      <c r="W300" s="68">
        <f>IF($A300="","",_xlfn.MAXIFS('Relevés compteurs'!$D$5:$D$1504,'Relevés compteurs'!$B$5:$B$1504,$A300))</f>
        <v/>
      </c>
      <c r="X300" s="69">
        <f>IF(OR($A300="",I300=""),"",(TODAY()-I300)/365.25)</f>
        <v/>
      </c>
      <c r="Y300" s="70">
        <f>IF($A300="","",SUMIFS('Ordres de travail'!$AA$5:$AA$3004,'Ordres de travail'!$D$5:$D$3004,$A300))</f>
        <v/>
      </c>
      <c r="Z300" s="68">
        <f>IF($A300="","",SUM(COUNTIFS('Ordres de travail'!$D$5:$D$3004,$A300,'Ordres de travail'!$AC$5:$AC$3004,{"Demandé","Planifié","En cours","En attente pièces"})))</f>
        <v/>
      </c>
      <c r="AA300" s="9">
        <f>IF(OR($A300="",M300=""),"",IF(M300&lt;TODAY(),"Expirée",IF(M300-TODAY()&lt;='Paramètres'!$AA$15,"Expire bientôt","Sous garantie")))</f>
        <v/>
      </c>
      <c r="AB300" s="72">
        <f>IF($A300="",-1,N(R300)+ROW()/1000000)</f>
        <v/>
      </c>
    </row>
    <row r="301">
      <c r="A301" s="7" t="n"/>
      <c r="B301" s="7" t="n"/>
      <c r="C301" s="7" t="n"/>
      <c r="D301" s="7" t="n"/>
      <c r="E301" s="7" t="n"/>
      <c r="F301" s="7" t="n"/>
      <c r="G301" s="7" t="n"/>
      <c r="H301" s="7" t="n"/>
      <c r="I301" s="65" t="n"/>
      <c r="J301" s="66" t="n"/>
      <c r="K301" s="7" t="n"/>
      <c r="L301" s="7" t="n"/>
      <c r="M301" s="65" t="n"/>
      <c r="N301" s="7" t="n"/>
      <c r="O301" s="67" t="n"/>
      <c r="P301" s="68">
        <f>IF($A301="","",COUNTIFS('Ordres de travail'!$D$5:$D$3004,$A301,'Ordres de travail'!$H$5:$H$3004,"Correctif",'Ordres de travail'!$AC$5:$AC$3004,"&lt;&gt;Annulé",'Ordres de travail'!$B$5:$B$3004,"&gt;="&amp;'Paramètres'!$AA$6,'Ordres de travail'!$B$5:$B$3004,"&lt;"&amp;('Paramètres'!$AA$7+1)))</f>
        <v/>
      </c>
      <c r="Q301" s="69">
        <f>IF($A301="","",SUMIFS('Ordres de travail'!$S$5:$S$3004,'Ordres de travail'!$D$5:$D$3004,$A301,'Ordres de travail'!$H$5:$H$3004,"Correctif",'Ordres de travail'!$AC$5:$AC$3004,"&lt;&gt;Annulé",'Ordres de travail'!$B$5:$B$3004,"&gt;="&amp;'Paramètres'!$AA$6,'Ordres de travail'!$B$5:$B$3004,"&lt;"&amp;('Paramètres'!$AA$7+1)))</f>
        <v/>
      </c>
      <c r="R301" s="69">
        <f>IF($A301="","",SUMIFS('Ordres de travail'!$S$5:$S$3004,'Ordres de travail'!$D$5:$D$3004,$A301,'Ordres de travail'!$AC$5:$AC$3004,"&lt;&gt;Annulé",'Ordres de travail'!$B$5:$B$3004,"&gt;="&amp;'Paramètres'!$AA$6,'Ordres de travail'!$B$5:$B$3004,"&lt;"&amp;('Paramètres'!$AA$7+1)))</f>
        <v/>
      </c>
      <c r="S301" s="70">
        <f>IF($A301="","",SUMIFS('Ordres de travail'!$AA$5:$AA$3004,'Ordres de travail'!$D$5:$D$3004,$A301,'Ordres de travail'!$B$5:$B$3004,"&gt;="&amp;'Paramètres'!$AA$6,'Ordres de travail'!$B$5:$B$3004,"&lt;"&amp;('Paramètres'!$AA$7+1)))</f>
        <v/>
      </c>
      <c r="T301" s="68">
        <f>IF($A301="","",IF(P301=0,"-",(O301*'Paramètres'!$AA$8-Q301)/P301))</f>
        <v/>
      </c>
      <c r="U301" s="69">
        <f>IF($A301="","",IF(P301=0,"-",Q301/P301))</f>
        <v/>
      </c>
      <c r="V301" s="71">
        <f>IF($A301="","",IF(N(O301)*'Paramètres'!$AA$8=0,"-",MAX(0,1-R301/(O301*'Paramètres'!$AA$8))))</f>
        <v/>
      </c>
      <c r="W301" s="68">
        <f>IF($A301="","",_xlfn.MAXIFS('Relevés compteurs'!$D$5:$D$1504,'Relevés compteurs'!$B$5:$B$1504,$A301))</f>
        <v/>
      </c>
      <c r="X301" s="69">
        <f>IF(OR($A301="",I301=""),"",(TODAY()-I301)/365.25)</f>
        <v/>
      </c>
      <c r="Y301" s="70">
        <f>IF($A301="","",SUMIFS('Ordres de travail'!$AA$5:$AA$3004,'Ordres de travail'!$D$5:$D$3004,$A301))</f>
        <v/>
      </c>
      <c r="Z301" s="68">
        <f>IF($A301="","",SUM(COUNTIFS('Ordres de travail'!$D$5:$D$3004,$A301,'Ordres de travail'!$AC$5:$AC$3004,{"Demandé","Planifié","En cours","En attente pièces"})))</f>
        <v/>
      </c>
      <c r="AA301" s="9">
        <f>IF(OR($A301="",M301=""),"",IF(M301&lt;TODAY(),"Expirée",IF(M301-TODAY()&lt;='Paramètres'!$AA$15,"Expire bientôt","Sous garantie")))</f>
        <v/>
      </c>
      <c r="AB301" s="72">
        <f>IF($A301="",-1,N(R301)+ROW()/1000000)</f>
        <v/>
      </c>
    </row>
    <row r="302">
      <c r="A302" s="7" t="n"/>
      <c r="B302" s="7" t="n"/>
      <c r="C302" s="7" t="n"/>
      <c r="D302" s="7" t="n"/>
      <c r="E302" s="7" t="n"/>
      <c r="F302" s="7" t="n"/>
      <c r="G302" s="7" t="n"/>
      <c r="H302" s="7" t="n"/>
      <c r="I302" s="65" t="n"/>
      <c r="J302" s="66" t="n"/>
      <c r="K302" s="7" t="n"/>
      <c r="L302" s="7" t="n"/>
      <c r="M302" s="65" t="n"/>
      <c r="N302" s="7" t="n"/>
      <c r="O302" s="67" t="n"/>
      <c r="P302" s="68">
        <f>IF($A302="","",COUNTIFS('Ordres de travail'!$D$5:$D$3004,$A302,'Ordres de travail'!$H$5:$H$3004,"Correctif",'Ordres de travail'!$AC$5:$AC$3004,"&lt;&gt;Annulé",'Ordres de travail'!$B$5:$B$3004,"&gt;="&amp;'Paramètres'!$AA$6,'Ordres de travail'!$B$5:$B$3004,"&lt;"&amp;('Paramètres'!$AA$7+1)))</f>
        <v/>
      </c>
      <c r="Q302" s="69">
        <f>IF($A302="","",SUMIFS('Ordres de travail'!$S$5:$S$3004,'Ordres de travail'!$D$5:$D$3004,$A302,'Ordres de travail'!$H$5:$H$3004,"Correctif",'Ordres de travail'!$AC$5:$AC$3004,"&lt;&gt;Annulé",'Ordres de travail'!$B$5:$B$3004,"&gt;="&amp;'Paramètres'!$AA$6,'Ordres de travail'!$B$5:$B$3004,"&lt;"&amp;('Paramètres'!$AA$7+1)))</f>
        <v/>
      </c>
      <c r="R302" s="69">
        <f>IF($A302="","",SUMIFS('Ordres de travail'!$S$5:$S$3004,'Ordres de travail'!$D$5:$D$3004,$A302,'Ordres de travail'!$AC$5:$AC$3004,"&lt;&gt;Annulé",'Ordres de travail'!$B$5:$B$3004,"&gt;="&amp;'Paramètres'!$AA$6,'Ordres de travail'!$B$5:$B$3004,"&lt;"&amp;('Paramètres'!$AA$7+1)))</f>
        <v/>
      </c>
      <c r="S302" s="70">
        <f>IF($A302="","",SUMIFS('Ordres de travail'!$AA$5:$AA$3004,'Ordres de travail'!$D$5:$D$3004,$A302,'Ordres de travail'!$B$5:$B$3004,"&gt;="&amp;'Paramètres'!$AA$6,'Ordres de travail'!$B$5:$B$3004,"&lt;"&amp;('Paramètres'!$AA$7+1)))</f>
        <v/>
      </c>
      <c r="T302" s="68">
        <f>IF($A302="","",IF(P302=0,"-",(O302*'Paramètres'!$AA$8-Q302)/P302))</f>
        <v/>
      </c>
      <c r="U302" s="69">
        <f>IF($A302="","",IF(P302=0,"-",Q302/P302))</f>
        <v/>
      </c>
      <c r="V302" s="71">
        <f>IF($A302="","",IF(N(O302)*'Paramètres'!$AA$8=0,"-",MAX(0,1-R302/(O302*'Paramètres'!$AA$8))))</f>
        <v/>
      </c>
      <c r="W302" s="68">
        <f>IF($A302="","",_xlfn.MAXIFS('Relevés compteurs'!$D$5:$D$1504,'Relevés compteurs'!$B$5:$B$1504,$A302))</f>
        <v/>
      </c>
      <c r="X302" s="69">
        <f>IF(OR($A302="",I302=""),"",(TODAY()-I302)/365.25)</f>
        <v/>
      </c>
      <c r="Y302" s="70">
        <f>IF($A302="","",SUMIFS('Ordres de travail'!$AA$5:$AA$3004,'Ordres de travail'!$D$5:$D$3004,$A302))</f>
        <v/>
      </c>
      <c r="Z302" s="68">
        <f>IF($A302="","",SUM(COUNTIFS('Ordres de travail'!$D$5:$D$3004,$A302,'Ordres de travail'!$AC$5:$AC$3004,{"Demandé","Planifié","En cours","En attente pièces"})))</f>
        <v/>
      </c>
      <c r="AA302" s="9">
        <f>IF(OR($A302="",M302=""),"",IF(M302&lt;TODAY(),"Expirée",IF(M302-TODAY()&lt;='Paramètres'!$AA$15,"Expire bientôt","Sous garantie")))</f>
        <v/>
      </c>
      <c r="AB302" s="72">
        <f>IF($A302="",-1,N(R302)+ROW()/1000000)</f>
        <v/>
      </c>
    </row>
    <row r="303">
      <c r="A303" s="7" t="n"/>
      <c r="B303" s="7" t="n"/>
      <c r="C303" s="7" t="n"/>
      <c r="D303" s="7" t="n"/>
      <c r="E303" s="7" t="n"/>
      <c r="F303" s="7" t="n"/>
      <c r="G303" s="7" t="n"/>
      <c r="H303" s="7" t="n"/>
      <c r="I303" s="65" t="n"/>
      <c r="J303" s="66" t="n"/>
      <c r="K303" s="7" t="n"/>
      <c r="L303" s="7" t="n"/>
      <c r="M303" s="65" t="n"/>
      <c r="N303" s="7" t="n"/>
      <c r="O303" s="67" t="n"/>
      <c r="P303" s="68">
        <f>IF($A303="","",COUNTIFS('Ordres de travail'!$D$5:$D$3004,$A303,'Ordres de travail'!$H$5:$H$3004,"Correctif",'Ordres de travail'!$AC$5:$AC$3004,"&lt;&gt;Annulé",'Ordres de travail'!$B$5:$B$3004,"&gt;="&amp;'Paramètres'!$AA$6,'Ordres de travail'!$B$5:$B$3004,"&lt;"&amp;('Paramètres'!$AA$7+1)))</f>
        <v/>
      </c>
      <c r="Q303" s="69">
        <f>IF($A303="","",SUMIFS('Ordres de travail'!$S$5:$S$3004,'Ordres de travail'!$D$5:$D$3004,$A303,'Ordres de travail'!$H$5:$H$3004,"Correctif",'Ordres de travail'!$AC$5:$AC$3004,"&lt;&gt;Annulé",'Ordres de travail'!$B$5:$B$3004,"&gt;="&amp;'Paramètres'!$AA$6,'Ordres de travail'!$B$5:$B$3004,"&lt;"&amp;('Paramètres'!$AA$7+1)))</f>
        <v/>
      </c>
      <c r="R303" s="69">
        <f>IF($A303="","",SUMIFS('Ordres de travail'!$S$5:$S$3004,'Ordres de travail'!$D$5:$D$3004,$A303,'Ordres de travail'!$AC$5:$AC$3004,"&lt;&gt;Annulé",'Ordres de travail'!$B$5:$B$3004,"&gt;="&amp;'Paramètres'!$AA$6,'Ordres de travail'!$B$5:$B$3004,"&lt;"&amp;('Paramètres'!$AA$7+1)))</f>
        <v/>
      </c>
      <c r="S303" s="70">
        <f>IF($A303="","",SUMIFS('Ordres de travail'!$AA$5:$AA$3004,'Ordres de travail'!$D$5:$D$3004,$A303,'Ordres de travail'!$B$5:$B$3004,"&gt;="&amp;'Paramètres'!$AA$6,'Ordres de travail'!$B$5:$B$3004,"&lt;"&amp;('Paramètres'!$AA$7+1)))</f>
        <v/>
      </c>
      <c r="T303" s="68">
        <f>IF($A303="","",IF(P303=0,"-",(O303*'Paramètres'!$AA$8-Q303)/P303))</f>
        <v/>
      </c>
      <c r="U303" s="69">
        <f>IF($A303="","",IF(P303=0,"-",Q303/P303))</f>
        <v/>
      </c>
      <c r="V303" s="71">
        <f>IF($A303="","",IF(N(O303)*'Paramètres'!$AA$8=0,"-",MAX(0,1-R303/(O303*'Paramètres'!$AA$8))))</f>
        <v/>
      </c>
      <c r="W303" s="68">
        <f>IF($A303="","",_xlfn.MAXIFS('Relevés compteurs'!$D$5:$D$1504,'Relevés compteurs'!$B$5:$B$1504,$A303))</f>
        <v/>
      </c>
      <c r="X303" s="69">
        <f>IF(OR($A303="",I303=""),"",(TODAY()-I303)/365.25)</f>
        <v/>
      </c>
      <c r="Y303" s="70">
        <f>IF($A303="","",SUMIFS('Ordres de travail'!$AA$5:$AA$3004,'Ordres de travail'!$D$5:$D$3004,$A303))</f>
        <v/>
      </c>
      <c r="Z303" s="68">
        <f>IF($A303="","",SUM(COUNTIFS('Ordres de travail'!$D$5:$D$3004,$A303,'Ordres de travail'!$AC$5:$AC$3004,{"Demandé","Planifié","En cours","En attente pièces"})))</f>
        <v/>
      </c>
      <c r="AA303" s="9">
        <f>IF(OR($A303="",M303=""),"",IF(M303&lt;TODAY(),"Expirée",IF(M303-TODAY()&lt;='Paramètres'!$AA$15,"Expire bientôt","Sous garantie")))</f>
        <v/>
      </c>
      <c r="AB303" s="72">
        <f>IF($A303="",-1,N(R303)+ROW()/1000000)</f>
        <v/>
      </c>
    </row>
    <row r="304">
      <c r="A304" s="7" t="n"/>
      <c r="B304" s="7" t="n"/>
      <c r="C304" s="7" t="n"/>
      <c r="D304" s="7" t="n"/>
      <c r="E304" s="7" t="n"/>
      <c r="F304" s="7" t="n"/>
      <c r="G304" s="7" t="n"/>
      <c r="H304" s="7" t="n"/>
      <c r="I304" s="65" t="n"/>
      <c r="J304" s="66" t="n"/>
      <c r="K304" s="7" t="n"/>
      <c r="L304" s="7" t="n"/>
      <c r="M304" s="65" t="n"/>
      <c r="N304" s="7" t="n"/>
      <c r="O304" s="67" t="n"/>
      <c r="P304" s="68">
        <f>IF($A304="","",COUNTIFS('Ordres de travail'!$D$5:$D$3004,$A304,'Ordres de travail'!$H$5:$H$3004,"Correctif",'Ordres de travail'!$AC$5:$AC$3004,"&lt;&gt;Annulé",'Ordres de travail'!$B$5:$B$3004,"&gt;="&amp;'Paramètres'!$AA$6,'Ordres de travail'!$B$5:$B$3004,"&lt;"&amp;('Paramètres'!$AA$7+1)))</f>
        <v/>
      </c>
      <c r="Q304" s="69">
        <f>IF($A304="","",SUMIFS('Ordres de travail'!$S$5:$S$3004,'Ordres de travail'!$D$5:$D$3004,$A304,'Ordres de travail'!$H$5:$H$3004,"Correctif",'Ordres de travail'!$AC$5:$AC$3004,"&lt;&gt;Annulé",'Ordres de travail'!$B$5:$B$3004,"&gt;="&amp;'Paramètres'!$AA$6,'Ordres de travail'!$B$5:$B$3004,"&lt;"&amp;('Paramètres'!$AA$7+1)))</f>
        <v/>
      </c>
      <c r="R304" s="69">
        <f>IF($A304="","",SUMIFS('Ordres de travail'!$S$5:$S$3004,'Ordres de travail'!$D$5:$D$3004,$A304,'Ordres de travail'!$AC$5:$AC$3004,"&lt;&gt;Annulé",'Ordres de travail'!$B$5:$B$3004,"&gt;="&amp;'Paramètres'!$AA$6,'Ordres de travail'!$B$5:$B$3004,"&lt;"&amp;('Paramètres'!$AA$7+1)))</f>
        <v/>
      </c>
      <c r="S304" s="70">
        <f>IF($A304="","",SUMIFS('Ordres de travail'!$AA$5:$AA$3004,'Ordres de travail'!$D$5:$D$3004,$A304,'Ordres de travail'!$B$5:$B$3004,"&gt;="&amp;'Paramètres'!$AA$6,'Ordres de travail'!$B$5:$B$3004,"&lt;"&amp;('Paramètres'!$AA$7+1)))</f>
        <v/>
      </c>
      <c r="T304" s="68">
        <f>IF($A304="","",IF(P304=0,"-",(O304*'Paramètres'!$AA$8-Q304)/P304))</f>
        <v/>
      </c>
      <c r="U304" s="69">
        <f>IF($A304="","",IF(P304=0,"-",Q304/P304))</f>
        <v/>
      </c>
      <c r="V304" s="71">
        <f>IF($A304="","",IF(N(O304)*'Paramètres'!$AA$8=0,"-",MAX(0,1-R304/(O304*'Paramètres'!$AA$8))))</f>
        <v/>
      </c>
      <c r="W304" s="68">
        <f>IF($A304="","",_xlfn.MAXIFS('Relevés compteurs'!$D$5:$D$1504,'Relevés compteurs'!$B$5:$B$1504,$A304))</f>
        <v/>
      </c>
      <c r="X304" s="69">
        <f>IF(OR($A304="",I304=""),"",(TODAY()-I304)/365.25)</f>
        <v/>
      </c>
      <c r="Y304" s="70">
        <f>IF($A304="","",SUMIFS('Ordres de travail'!$AA$5:$AA$3004,'Ordres de travail'!$D$5:$D$3004,$A304))</f>
        <v/>
      </c>
      <c r="Z304" s="68">
        <f>IF($A304="","",SUM(COUNTIFS('Ordres de travail'!$D$5:$D$3004,$A304,'Ordres de travail'!$AC$5:$AC$3004,{"Demandé","Planifié","En cours","En attente pièces"})))</f>
        <v/>
      </c>
      <c r="AA304" s="9">
        <f>IF(OR($A304="",M304=""),"",IF(M304&lt;TODAY(),"Expirée",IF(M304-TODAY()&lt;='Paramètres'!$AA$15,"Expire bientôt","Sous garantie")))</f>
        <v/>
      </c>
      <c r="AB304" s="72">
        <f>IF($A304="",-1,N(R304)+ROW()/1000000)</f>
        <v/>
      </c>
    </row>
  </sheetData>
  <autoFilter ref="A4:AB304"/>
  <conditionalFormatting sqref="K5:K304">
    <cfRule type="expression" priority="1" dxfId="0">
      <formula>K5="A"</formula>
    </cfRule>
    <cfRule type="expression" priority="2" dxfId="4">
      <formula>K5="B"</formula>
    </cfRule>
    <cfRule type="expression" priority="3" dxfId="5">
      <formula>K5="C"</formula>
    </cfRule>
  </conditionalFormatting>
  <conditionalFormatting sqref="AA5:AA304">
    <cfRule type="expression" priority="4" dxfId="4">
      <formula>AA5="Expire bientôt"</formula>
    </cfRule>
    <cfRule type="expression" priority="5" dxfId="5">
      <formula>AA5="Sous garantie"</formula>
    </cfRule>
  </conditionalFormatting>
  <conditionalFormatting sqref="L5:L304">
    <cfRule type="expression" priority="6" dxfId="0">
      <formula>L5="À l'arrêt"</formula>
    </cfRule>
    <cfRule type="expression" priority="7" dxfId="6">
      <formula>L5="En réserve"</formula>
    </cfRule>
    <cfRule type="expression" priority="8" dxfId="7">
      <formula>L5="Réformé"</formula>
    </cfRule>
  </conditionalFormatting>
  <conditionalFormatting sqref="V5:V304">
    <cfRule type="expression" priority="9" dxfId="1">
      <formula>AND(ISNUMBER(V5),V5&lt;'Paramètres'!$AA$16)</formula>
    </cfRule>
  </conditionalFormatting>
  <dataValidations count="5">
    <dataValidation sqref="C5:C304" showDropDown="0" showInputMessage="0" showErrorMessage="0" allowBlank="1" type="list">
      <formula1>='Paramètres'!$AD$5:$AD$25</formula1>
    </dataValidation>
    <dataValidation sqref="D5:D304" showDropDown="0" showInputMessage="0" showErrorMessage="0" allowBlank="1" type="list">
      <formula1>='Paramètres'!$B$5:$B$19</formula1>
    </dataValidation>
    <dataValidation sqref="K5:K304" showDropDown="0" showInputMessage="0" showErrorMessage="0" allowBlank="1" type="list">
      <formula1>='Paramètres'!$N$5:$N$7</formula1>
    </dataValidation>
    <dataValidation sqref="L5:L304" showDropDown="0" showInputMessage="0" showErrorMessage="0" allowBlank="1" type="list">
      <formula1>='Paramètres'!$R$5:$R$10</formula1>
    </dataValidation>
    <dataValidation sqref="N5:N304" showDropDown="0" showInputMessage="0" showErrorMessage="0" allowBlank="1" type="list">
      <formula1>='Fournisseurs'!$B$5:$B$84</formula1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2F5597"/>
    <outlinePr summaryBelow="1" summaryRight="1"/>
    <pageSetUpPr fitToPage="1"/>
  </sheetPr>
  <dimension ref="A1:AG3004"/>
  <sheetViews>
    <sheetView zoomScale="9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5" customWidth="1" min="2" max="2"/>
    <col width="20" customWidth="1" min="3" max="3"/>
    <col width="13" customWidth="1" min="4" max="4"/>
    <col width="30" customWidth="1" min="5" max="5"/>
    <col width="11" customWidth="1" min="6" max="6"/>
    <col width="6" customWidth="1" min="7" max="7"/>
    <col width="19" customWidth="1" min="8" max="8"/>
    <col width="11" customWidth="1" min="9" max="9"/>
    <col width="13" customWidth="1" min="10" max="10"/>
    <col width="13" customWidth="1" min="11" max="11"/>
    <col width="40" customWidth="1" min="12" max="12"/>
    <col width="18" customWidth="1" min="13" max="13"/>
    <col width="42" customWidth="1" min="14" max="14"/>
    <col width="16" customWidth="1" min="15" max="15"/>
    <col width="11" customWidth="1" min="16" max="16"/>
    <col width="15" customWidth="1" min="17" max="17"/>
    <col width="15" customWidth="1" min="18" max="18"/>
    <col width="10" customWidth="1" min="19" max="19"/>
    <col width="9" customWidth="1" min="20" max="20"/>
    <col width="9" customWidth="1" min="21" max="21"/>
    <col width="10" customWidth="1" min="22" max="22"/>
    <col width="10" customWidth="1" min="23" max="23"/>
    <col width="10" customWidth="1" min="24" max="24"/>
    <col width="11" customWidth="1" min="25" max="25"/>
    <col width="26" customWidth="1" min="26" max="26"/>
    <col width="11" customWidth="1" min="27" max="27"/>
    <col width="12" customWidth="1" min="28" max="28"/>
    <col width="15" customWidth="1" min="29" max="29"/>
    <col width="10" customWidth="1" min="30" max="30"/>
    <col width="10" customWidth="1" min="31" max="31"/>
    <col width="7" customWidth="1" min="32" max="32"/>
    <col width="6" customWidth="1" min="33" max="33"/>
  </cols>
  <sheetData>
    <row r="1">
      <c r="A1" s="62" t="inlineStr">
        <is>
          <t>Ordres de travail (OT)</t>
        </is>
      </c>
      <c r="N1" s="73" t="inlineStr">
        <is>
          <t>Prochain N° OT :</t>
        </is>
      </c>
      <c r="O1" s="74">
        <f>"OT-"&amp;YEAR(TODAY())&amp;"-"&amp;TEXT(COUNTIF('Ordres de travail'!$A$5:$A$3004,"OT-"&amp;YEAR(TODAY())&amp;"-*")+1,"0000")</f>
        <v/>
      </c>
    </row>
    <row r="2">
      <c r="A2" s="3" t="inlineStr">
        <is>
          <t>Journal de toutes les interventions : demandes, correctifs, préventifs, réglementaires, améliorations. Une ligne = un OT.</t>
        </is>
      </c>
    </row>
    <row r="3">
      <c r="A3" s="63" t="inlineStr">
        <is>
          <t>Saisie : texte bleu   |   Calcul automatique : fond gris (ne pas modifier)   |   Les listes déroulantes proviennent de l'onglet Paramètres.</t>
        </is>
      </c>
    </row>
    <row r="4" ht="42" customHeight="1">
      <c r="A4" s="48" t="inlineStr">
        <is>
          <t>N° OT</t>
        </is>
      </c>
      <c r="B4" s="48" t="inlineStr">
        <is>
          <t>Date demande</t>
        </is>
      </c>
      <c r="C4" s="48" t="inlineStr">
        <is>
          <t>Demandeur</t>
        </is>
      </c>
      <c r="D4" s="48" t="inlineStr">
        <is>
          <t>Code équipement</t>
        </is>
      </c>
      <c r="E4" s="64" t="inlineStr">
        <is>
          <t>Désignation équipement</t>
        </is>
      </c>
      <c r="F4" s="64" t="inlineStr">
        <is>
          <t>Atelier</t>
        </is>
      </c>
      <c r="G4" s="64" t="inlineStr">
        <is>
          <t>Crit.</t>
        </is>
      </c>
      <c r="H4" s="48" t="inlineStr">
        <is>
          <t>Type d'intervention</t>
        </is>
      </c>
      <c r="I4" s="48" t="inlineStr">
        <is>
          <t>Réf. gamme / contrôle</t>
        </is>
      </c>
      <c r="J4" s="48" t="inlineStr">
        <is>
          <t>Nature</t>
        </is>
      </c>
      <c r="K4" s="48" t="inlineStr">
        <is>
          <t>Priorité</t>
        </is>
      </c>
      <c r="L4" s="48" t="inlineStr">
        <is>
          <t>Description / symptôme</t>
        </is>
      </c>
      <c r="M4" s="48" t="inlineStr">
        <is>
          <t>Cause</t>
        </is>
      </c>
      <c r="N4" s="48" t="inlineStr">
        <is>
          <t>Travaux réalisés / rapport</t>
        </is>
      </c>
      <c r="O4" s="48" t="inlineStr">
        <is>
          <t>Intervenant</t>
        </is>
      </c>
      <c r="P4" s="48" t="inlineStr">
        <is>
          <t>Date prévue</t>
        </is>
      </c>
      <c r="Q4" s="48" t="inlineStr">
        <is>
          <t>Début intervention</t>
        </is>
      </c>
      <c r="R4" s="48" t="inlineStr">
        <is>
          <t>Fin intervention</t>
        </is>
      </c>
      <c r="S4" s="48" t="inlineStr">
        <is>
          <t>Arrêt production (h)</t>
        </is>
      </c>
      <c r="T4" s="48" t="inlineStr">
        <is>
          <t>Temps MO (h)</t>
        </is>
      </c>
      <c r="U4" s="64" t="inlineStr">
        <is>
          <t>Taux horaire (€/h)</t>
        </is>
      </c>
      <c r="V4" s="64" t="inlineStr">
        <is>
          <t>Coût MO (€)</t>
        </is>
      </c>
      <c r="W4" s="64" t="inlineStr">
        <is>
          <t>Pièces stock (€)</t>
        </is>
      </c>
      <c r="X4" s="48" t="inlineStr">
        <is>
          <t>Achats directs (€)</t>
        </is>
      </c>
      <c r="Y4" s="48" t="inlineStr">
        <is>
          <t>Sous-traitance (€)</t>
        </is>
      </c>
      <c r="Z4" s="48" t="inlineStr">
        <is>
          <t>Prestataire</t>
        </is>
      </c>
      <c r="AA4" s="64" t="inlineStr">
        <is>
          <t>Coût total (€)</t>
        </is>
      </c>
      <c r="AB4" s="64" t="inlineStr">
        <is>
          <t>Coût indisponibilité (€)</t>
        </is>
      </c>
      <c r="AC4" s="48" t="inlineStr">
        <is>
          <t>Statut</t>
        </is>
      </c>
      <c r="AD4" s="64" t="inlineStr">
        <is>
          <t>Délai prise en charge (h)</t>
        </is>
      </c>
      <c r="AE4" s="64" t="inlineStr">
        <is>
          <t>Durée intervention (h)</t>
        </is>
      </c>
      <c r="AF4" s="64" t="inlineStr">
        <is>
          <t>Année</t>
        </is>
      </c>
      <c r="AG4" s="64" t="inlineStr">
        <is>
          <t>Mois</t>
        </is>
      </c>
    </row>
    <row r="5">
      <c r="A5" s="7" t="inlineStr">
        <is>
          <t>OT-2025-0001</t>
        </is>
      </c>
      <c r="B5" s="75" t="n">
        <v>45658.51041666666</v>
      </c>
      <c r="C5" s="7" t="inlineStr">
        <is>
          <t>Direction industrielle</t>
        </is>
      </c>
      <c r="D5" s="7" t="inlineStr">
        <is>
          <t>EQ-USI-001</t>
        </is>
      </c>
      <c r="E5" s="9">
        <f>IF(D5="","",IFERROR(INDEX('Équipements'!$B$5:$B$304,MATCH(D5,'Équipements'!$A$5:$A$304,0)),"Code inconnu"))</f>
        <v/>
      </c>
      <c r="F5" s="9">
        <f>IF(D5="","",IFERROR(INDEX('Équipements'!$D$5:$D$304,MATCH(D5,'Équipements'!$A$5:$A$304,0)),""))</f>
        <v/>
      </c>
      <c r="G5" s="9">
        <f>IF(D5="","",IFERROR(INDEX('Équipements'!$K$5:$K$304,MATCH(D5,'Équipements'!$A$5:$A$304,0)),""))</f>
        <v/>
      </c>
      <c r="H5" s="7" t="inlineStr">
        <is>
          <t>Amélioratif</t>
        </is>
      </c>
      <c r="I5" s="7" t="n"/>
      <c r="J5" s="7" t="inlineStr">
        <is>
          <t>Automatisme</t>
        </is>
      </c>
      <c r="K5" s="7" t="inlineStr">
        <is>
          <t>P4 - Basse</t>
        </is>
      </c>
      <c r="L5" s="7" t="inlineStr">
        <is>
          <t>Installation capteur de vibrations sur broche (surveillance)</t>
        </is>
      </c>
      <c r="M5" s="7" t="n"/>
      <c r="N5" s="7" t="inlineStr">
        <is>
          <t>Réalisé conformément au devis / dossier technique</t>
        </is>
      </c>
      <c r="O5" s="7" t="inlineStr">
        <is>
          <t>Nadia Rousseau</t>
        </is>
      </c>
      <c r="P5" s="65" t="n">
        <v>45691</v>
      </c>
      <c r="Q5" s="75" t="n">
        <v>45691.32638888889</v>
      </c>
      <c r="R5" s="75" t="n">
        <v>45691.90972222222</v>
      </c>
      <c r="S5" s="76" t="n">
        <v>5</v>
      </c>
      <c r="T5" s="76" t="n">
        <v>10</v>
      </c>
      <c r="U5" s="70">
        <f>IF($A5="","",IFERROR(INDEX('Techniciens'!$F$5:$F$44,MATCH(O5,'Techniciens'!$B$5:$B$44,0)),'Paramètres'!$AA$10))</f>
        <v/>
      </c>
      <c r="V5" s="70">
        <f>IF($A5="","",IF(OR(AC5="Demandé",AC5="Planifié",AC5="Annulé"),0,N(T5)*N(U5)))</f>
        <v/>
      </c>
      <c r="W5" s="70">
        <f>IF($A5="","",SUMIFS('Mouvements stock'!$H$5:$H$3004,'Mouvements stock'!$I$5:$I$3004,$A5,'Mouvements stock'!$C$5:$C$3004,"Sortie")-SUMIFS('Mouvements stock'!$H$5:$H$3004,'Mouvements stock'!$I$5:$I$3004,$A5,'Mouvements stock'!$C$5:$C$3004,"Retour"))</f>
        <v/>
      </c>
      <c r="X5" s="66" t="n">
        <v>1800</v>
      </c>
      <c r="Y5" s="66" t="n">
        <v>0</v>
      </c>
      <c r="Z5" s="7" t="n"/>
      <c r="AA5" s="70">
        <f>IF($A5="","",N(V5)+N(W5)+N(X5)+N(Y5))</f>
        <v/>
      </c>
      <c r="AB5" s="70">
        <f>IF($A5="","",N(S5)*'Paramètres'!$AA$9*IFERROR(INDEX('Paramètres'!$O$5:$O$7,MATCH(G5,'Paramètres'!$N$5:$N$7,0)),0))</f>
        <v/>
      </c>
      <c r="AC5" s="7" t="inlineStr">
        <is>
          <t>Clôturé</t>
        </is>
      </c>
      <c r="AD5" s="69">
        <f>IF(OR($A5="",Q5=""),"",(Q5-B5)*24)</f>
        <v/>
      </c>
      <c r="AE5" s="69">
        <f>IF(OR(Q5="",R5=""),"",(R5-Q5)*24)</f>
        <v/>
      </c>
      <c r="AF5" s="77">
        <f>IF(OR($A5="",B5=""),"",YEAR(B5))</f>
        <v/>
      </c>
      <c r="AG5" s="77">
        <f>IF(OR($A5="",B5=""),"",MONTH(B5))</f>
        <v/>
      </c>
    </row>
    <row r="6">
      <c r="A6" s="7" t="inlineStr">
        <is>
          <t>OT-2025-0002</t>
        </is>
      </c>
      <c r="B6" s="75" t="n">
        <v>45659.33333333334</v>
      </c>
      <c r="C6" s="7" t="inlineStr">
        <is>
          <t>Plan préventif</t>
        </is>
      </c>
      <c r="D6" s="7" t="inlineStr">
        <is>
          <t>EQ-USI-002</t>
        </is>
      </c>
      <c r="E6" s="9">
        <f>IF(D6="","",IFERROR(INDEX('Équipements'!$B$5:$B$304,MATCH(D6,'Équipements'!$A$5:$A$304,0)),"Code inconnu"))</f>
        <v/>
      </c>
      <c r="F6" s="9">
        <f>IF(D6="","",IFERROR(INDEX('Équipements'!$D$5:$D$304,MATCH(D6,'Équipements'!$A$5:$A$304,0)),""))</f>
        <v/>
      </c>
      <c r="G6" s="9">
        <f>IF(D6="","",IFERROR(INDEX('Équipements'!$K$5:$K$304,MATCH(D6,'Équipements'!$A$5:$A$304,0)),""))</f>
        <v/>
      </c>
      <c r="H6" s="7" t="inlineStr">
        <is>
          <t>Préventif systématique</t>
        </is>
      </c>
      <c r="I6" s="7" t="inlineStr">
        <is>
          <t>GP-007</t>
        </is>
      </c>
      <c r="J6" s="7" t="inlineStr">
        <is>
          <t>Hydraulique</t>
        </is>
      </c>
      <c r="K6" s="7" t="inlineStr">
        <is>
          <t>P3 - Normale</t>
        </is>
      </c>
      <c r="L6" s="7" t="inlineStr">
        <is>
          <t>Vidange groupe hydraulique et remplacement filtres</t>
        </is>
      </c>
      <c r="M6" s="7" t="n"/>
      <c r="N6" s="7" t="inlineStr">
        <is>
          <t>Gamme réalisée - RAS</t>
        </is>
      </c>
      <c r="O6" s="7" t="inlineStr">
        <is>
          <t>Antoine Mercier</t>
        </is>
      </c>
      <c r="P6" s="65" t="n">
        <v>45659</v>
      </c>
      <c r="Q6" s="75" t="n">
        <v>45659.36805555555</v>
      </c>
      <c r="R6" s="75" t="n">
        <v>45659.53472222222</v>
      </c>
      <c r="S6" s="76" t="n">
        <v>0</v>
      </c>
      <c r="T6" s="76" t="n">
        <v>4</v>
      </c>
      <c r="U6" s="70">
        <f>IF($A6="","",IFERROR(INDEX('Techniciens'!$F$5:$F$44,MATCH(O6,'Techniciens'!$B$5:$B$44,0)),'Paramètres'!$AA$10))</f>
        <v/>
      </c>
      <c r="V6" s="70">
        <f>IF($A6="","",IF(OR(AC6="Demandé",AC6="Planifié",AC6="Annulé"),0,N(T6)*N(U6)))</f>
        <v/>
      </c>
      <c r="W6" s="70">
        <f>IF($A6="","",SUMIFS('Mouvements stock'!$H$5:$H$3004,'Mouvements stock'!$I$5:$I$3004,$A6,'Mouvements stock'!$C$5:$C$3004,"Sortie")-SUMIFS('Mouvements stock'!$H$5:$H$3004,'Mouvements stock'!$I$5:$I$3004,$A6,'Mouvements stock'!$C$5:$C$3004,"Retour"))</f>
        <v/>
      </c>
      <c r="X6" s="66" t="n">
        <v>0</v>
      </c>
      <c r="Y6" s="66" t="n">
        <v>0</v>
      </c>
      <c r="Z6" s="7" t="n"/>
      <c r="AA6" s="70">
        <f>IF($A6="","",N(V6)+N(W6)+N(X6)+N(Y6))</f>
        <v/>
      </c>
      <c r="AB6" s="70">
        <f>IF($A6="","",N(S6)*'Paramètres'!$AA$9*IFERROR(INDEX('Paramètres'!$O$5:$O$7,MATCH(G6,'Paramètres'!$N$5:$N$7,0)),0))</f>
        <v/>
      </c>
      <c r="AC6" s="7" t="inlineStr">
        <is>
          <t>Clôturé</t>
        </is>
      </c>
      <c r="AD6" s="69">
        <f>IF(OR($A6="",Q6=""),"",(Q6-B6)*24)</f>
        <v/>
      </c>
      <c r="AE6" s="69">
        <f>IF(OR(Q6="",R6=""),"",(R6-Q6)*24)</f>
        <v/>
      </c>
      <c r="AF6" s="77">
        <f>IF(OR($A6="",B6=""),"",YEAR(B6))</f>
        <v/>
      </c>
      <c r="AG6" s="77">
        <f>IF(OR($A6="",B6=""),"",MONTH(B6))</f>
        <v/>
      </c>
    </row>
    <row r="7">
      <c r="A7" s="7" t="inlineStr">
        <is>
          <t>OT-2025-0003</t>
        </is>
      </c>
      <c r="B7" s="75" t="n">
        <v>45659.33333333334</v>
      </c>
      <c r="C7" s="7" t="inlineStr">
        <is>
          <t>Plan préventif</t>
        </is>
      </c>
      <c r="D7" s="7" t="inlineStr">
        <is>
          <t>EQ-USI-003</t>
        </is>
      </c>
      <c r="E7" s="9">
        <f>IF(D7="","",IFERROR(INDEX('Équipements'!$B$5:$B$304,MATCH(D7,'Équipements'!$A$5:$A$304,0)),"Code inconnu"))</f>
        <v/>
      </c>
      <c r="F7" s="9">
        <f>IF(D7="","",IFERROR(INDEX('Équipements'!$D$5:$D$304,MATCH(D7,'Équipements'!$A$5:$A$304,0)),""))</f>
        <v/>
      </c>
      <c r="G7" s="9">
        <f>IF(D7="","",IFERROR(INDEX('Équipements'!$K$5:$K$304,MATCH(D7,'Équipements'!$A$5:$A$304,0)),""))</f>
        <v/>
      </c>
      <c r="H7" s="7" t="inlineStr">
        <is>
          <t>Préventif systématique</t>
        </is>
      </c>
      <c r="I7" s="7" t="inlineStr">
        <is>
          <t>GP-009</t>
        </is>
      </c>
      <c r="J7" s="7" t="inlineStr">
        <is>
          <t>Mécanique</t>
        </is>
      </c>
      <c r="K7" s="7" t="inlineStr">
        <is>
          <t>P3 - Normale</t>
        </is>
      </c>
      <c r="L7" s="7" t="inlineStr">
        <is>
          <t>Contrôle niveaux, nettoyage filtres et bac à copeaux</t>
        </is>
      </c>
      <c r="M7" s="7" t="n"/>
      <c r="N7" s="7" t="inlineStr">
        <is>
          <t>Gamme réalisée - RAS</t>
        </is>
      </c>
      <c r="O7" s="7" t="inlineStr">
        <is>
          <t>Lucas Fontaine</t>
        </is>
      </c>
      <c r="P7" s="65" t="n">
        <v>45664</v>
      </c>
      <c r="Q7" s="75" t="n">
        <v>45664.375</v>
      </c>
      <c r="R7" s="75" t="n">
        <v>45664.42708333334</v>
      </c>
      <c r="S7" s="76" t="n">
        <v>1.2</v>
      </c>
      <c r="T7" s="76" t="n">
        <v>1.25</v>
      </c>
      <c r="U7" s="70">
        <f>IF($A7="","",IFERROR(INDEX('Techniciens'!$F$5:$F$44,MATCH(O7,'Techniciens'!$B$5:$B$44,0)),'Paramètres'!$AA$10))</f>
        <v/>
      </c>
      <c r="V7" s="70">
        <f>IF($A7="","",IF(OR(AC7="Demandé",AC7="Planifié",AC7="Annulé"),0,N(T7)*N(U7)))</f>
        <v/>
      </c>
      <c r="W7" s="70">
        <f>IF($A7="","",SUMIFS('Mouvements stock'!$H$5:$H$3004,'Mouvements stock'!$I$5:$I$3004,$A7,'Mouvements stock'!$C$5:$C$3004,"Sortie")-SUMIFS('Mouvements stock'!$H$5:$H$3004,'Mouvements stock'!$I$5:$I$3004,$A7,'Mouvements stock'!$C$5:$C$3004,"Retour"))</f>
        <v/>
      </c>
      <c r="X7" s="66" t="n">
        <v>0</v>
      </c>
      <c r="Y7" s="66" t="n">
        <v>0</v>
      </c>
      <c r="Z7" s="7" t="n"/>
      <c r="AA7" s="70">
        <f>IF($A7="","",N(V7)+N(W7)+N(X7)+N(Y7))</f>
        <v/>
      </c>
      <c r="AB7" s="70">
        <f>IF($A7="","",N(S7)*'Paramètres'!$AA$9*IFERROR(INDEX('Paramètres'!$O$5:$O$7,MATCH(G7,'Paramètres'!$N$5:$N$7,0)),0))</f>
        <v/>
      </c>
      <c r="AC7" s="7" t="inlineStr">
        <is>
          <t>Clôturé</t>
        </is>
      </c>
      <c r="AD7" s="69">
        <f>IF(OR($A7="",Q7=""),"",(Q7-B7)*24)</f>
        <v/>
      </c>
      <c r="AE7" s="69">
        <f>IF(OR(Q7="",R7=""),"",(R7-Q7)*24)</f>
        <v/>
      </c>
      <c r="AF7" s="77">
        <f>IF(OR($A7="",B7=""),"",YEAR(B7))</f>
        <v/>
      </c>
      <c r="AG7" s="77">
        <f>IF(OR($A7="",B7=""),"",MONTH(B7))</f>
        <v/>
      </c>
    </row>
    <row r="8">
      <c r="A8" s="7" t="inlineStr">
        <is>
          <t>OT-2025-0004</t>
        </is>
      </c>
      <c r="B8" s="75" t="n">
        <v>45659.33333333334</v>
      </c>
      <c r="C8" s="7" t="inlineStr">
        <is>
          <t>Plan préventif</t>
        </is>
      </c>
      <c r="D8" s="7" t="inlineStr">
        <is>
          <t>EQ-USI-003</t>
        </is>
      </c>
      <c r="E8" s="9">
        <f>IF(D8="","",IFERROR(INDEX('Équipements'!$B$5:$B$304,MATCH(D8,'Équipements'!$A$5:$A$304,0)),"Code inconnu"))</f>
        <v/>
      </c>
      <c r="F8" s="9">
        <f>IF(D8="","",IFERROR(INDEX('Équipements'!$D$5:$D$304,MATCH(D8,'Équipements'!$A$5:$A$304,0)),""))</f>
        <v/>
      </c>
      <c r="G8" s="9">
        <f>IF(D8="","",IFERROR(INDEX('Équipements'!$K$5:$K$304,MATCH(D8,'Équipements'!$A$5:$A$304,0)),""))</f>
        <v/>
      </c>
      <c r="H8" s="7" t="inlineStr">
        <is>
          <t>Préventif systématique</t>
        </is>
      </c>
      <c r="I8" s="7" t="inlineStr">
        <is>
          <t>GP-011</t>
        </is>
      </c>
      <c r="J8" s="7" t="inlineStr">
        <is>
          <t>Hydraulique</t>
        </is>
      </c>
      <c r="K8" s="7" t="inlineStr">
        <is>
          <t>P3 - Normale</t>
        </is>
      </c>
      <c r="L8" s="7" t="inlineStr">
        <is>
          <t>Vidange groupe hydraulique et remplacement filtres</t>
        </is>
      </c>
      <c r="M8" s="7" t="n"/>
      <c r="N8" s="7" t="inlineStr">
        <is>
          <t>Gamme réalisée - RAS</t>
        </is>
      </c>
      <c r="O8" s="7" t="inlineStr">
        <is>
          <t>Antoine Mercier</t>
        </is>
      </c>
      <c r="P8" s="65" t="n">
        <v>45659</v>
      </c>
      <c r="Q8" s="75" t="n">
        <v>45659.53472222222</v>
      </c>
      <c r="R8" s="75" t="n">
        <v>45659.72222222222</v>
      </c>
      <c r="S8" s="76" t="n">
        <v>4.5</v>
      </c>
      <c r="T8" s="76" t="n">
        <v>4.5</v>
      </c>
      <c r="U8" s="70">
        <f>IF($A8="","",IFERROR(INDEX('Techniciens'!$F$5:$F$44,MATCH(O8,'Techniciens'!$B$5:$B$44,0)),'Paramètres'!$AA$10))</f>
        <v/>
      </c>
      <c r="V8" s="70">
        <f>IF($A8="","",IF(OR(AC8="Demandé",AC8="Planifié",AC8="Annulé"),0,N(T8)*N(U8)))</f>
        <v/>
      </c>
      <c r="W8" s="70">
        <f>IF($A8="","",SUMIFS('Mouvements stock'!$H$5:$H$3004,'Mouvements stock'!$I$5:$I$3004,$A8,'Mouvements stock'!$C$5:$C$3004,"Sortie")-SUMIFS('Mouvements stock'!$H$5:$H$3004,'Mouvements stock'!$I$5:$I$3004,$A8,'Mouvements stock'!$C$5:$C$3004,"Retour"))</f>
        <v/>
      </c>
      <c r="X8" s="66" t="n">
        <v>0</v>
      </c>
      <c r="Y8" s="66" t="n">
        <v>0</v>
      </c>
      <c r="Z8" s="7" t="n"/>
      <c r="AA8" s="70">
        <f>IF($A8="","",N(V8)+N(W8)+N(X8)+N(Y8))</f>
        <v/>
      </c>
      <c r="AB8" s="70">
        <f>IF($A8="","",N(S8)*'Paramètres'!$AA$9*IFERROR(INDEX('Paramètres'!$O$5:$O$7,MATCH(G8,'Paramètres'!$N$5:$N$7,0)),0))</f>
        <v/>
      </c>
      <c r="AC8" s="7" t="inlineStr">
        <is>
          <t>Clôturé</t>
        </is>
      </c>
      <c r="AD8" s="69">
        <f>IF(OR($A8="",Q8=""),"",(Q8-B8)*24)</f>
        <v/>
      </c>
      <c r="AE8" s="69">
        <f>IF(OR(Q8="",R8=""),"",(R8-Q8)*24)</f>
        <v/>
      </c>
      <c r="AF8" s="77">
        <f>IF(OR($A8="",B8=""),"",YEAR(B8))</f>
        <v/>
      </c>
      <c r="AG8" s="77">
        <f>IF(OR($A8="",B8=""),"",MONTH(B8))</f>
        <v/>
      </c>
    </row>
    <row r="9">
      <c r="A9" s="7" t="inlineStr">
        <is>
          <t>OT-2025-0005</t>
        </is>
      </c>
      <c r="B9" s="75" t="n">
        <v>45659.33333333334</v>
      </c>
      <c r="C9" s="7" t="inlineStr">
        <is>
          <t>Plan préventif</t>
        </is>
      </c>
      <c r="D9" s="7" t="inlineStr">
        <is>
          <t>EQ-TOL-002</t>
        </is>
      </c>
      <c r="E9" s="9">
        <f>IF(D9="","",IFERROR(INDEX('Équipements'!$B$5:$B$304,MATCH(D9,'Équipements'!$A$5:$A$304,0)),"Code inconnu"))</f>
        <v/>
      </c>
      <c r="F9" s="9">
        <f>IF(D9="","",IFERROR(INDEX('Équipements'!$D$5:$D$304,MATCH(D9,'Équipements'!$A$5:$A$304,0)),""))</f>
        <v/>
      </c>
      <c r="G9" s="9">
        <f>IF(D9="","",IFERROR(INDEX('Équipements'!$K$5:$K$304,MATCH(D9,'Équipements'!$A$5:$A$304,0)),""))</f>
        <v/>
      </c>
      <c r="H9" s="7" t="inlineStr">
        <is>
          <t>Préventif systématique</t>
        </is>
      </c>
      <c r="I9" s="7" t="inlineStr">
        <is>
          <t>GP-041</t>
        </is>
      </c>
      <c r="J9" s="7" t="inlineStr">
        <is>
          <t>Hydraulique</t>
        </is>
      </c>
      <c r="K9" s="7" t="inlineStr">
        <is>
          <t>P3 - Normale</t>
        </is>
      </c>
      <c r="L9" s="7" t="inlineStr">
        <is>
          <t>Contrôle hydraulique : fuites, niveaux, pressions</t>
        </is>
      </c>
      <c r="M9" s="7" t="n"/>
      <c r="N9" s="7" t="inlineStr">
        <is>
          <t>Gamme réalisée - petite fuite corrigée</t>
        </is>
      </c>
      <c r="O9" s="7" t="inlineStr">
        <is>
          <t>Antoine Mercier</t>
        </is>
      </c>
      <c r="P9" s="65" t="n">
        <v>45663</v>
      </c>
      <c r="Q9" s="75" t="n">
        <v>45663.26041666666</v>
      </c>
      <c r="R9" s="75" t="n">
        <v>45663.34375</v>
      </c>
      <c r="S9" s="76" t="n">
        <v>2</v>
      </c>
      <c r="T9" s="76" t="n">
        <v>2</v>
      </c>
      <c r="U9" s="70">
        <f>IF($A9="","",IFERROR(INDEX('Techniciens'!$F$5:$F$44,MATCH(O9,'Techniciens'!$B$5:$B$44,0)),'Paramètres'!$AA$10))</f>
        <v/>
      </c>
      <c r="V9" s="70">
        <f>IF($A9="","",IF(OR(AC9="Demandé",AC9="Planifié",AC9="Annulé"),0,N(T9)*N(U9)))</f>
        <v/>
      </c>
      <c r="W9" s="70">
        <f>IF($A9="","",SUMIFS('Mouvements stock'!$H$5:$H$3004,'Mouvements stock'!$I$5:$I$3004,$A9,'Mouvements stock'!$C$5:$C$3004,"Sortie")-SUMIFS('Mouvements stock'!$H$5:$H$3004,'Mouvements stock'!$I$5:$I$3004,$A9,'Mouvements stock'!$C$5:$C$3004,"Retour"))</f>
        <v/>
      </c>
      <c r="X9" s="66" t="n">
        <v>0</v>
      </c>
      <c r="Y9" s="66" t="n">
        <v>0</v>
      </c>
      <c r="Z9" s="7" t="n"/>
      <c r="AA9" s="70">
        <f>IF($A9="","",N(V9)+N(W9)+N(X9)+N(Y9))</f>
        <v/>
      </c>
      <c r="AB9" s="70">
        <f>IF($A9="","",N(S9)*'Paramètres'!$AA$9*IFERROR(INDEX('Paramètres'!$O$5:$O$7,MATCH(G9,'Paramètres'!$N$5:$N$7,0)),0))</f>
        <v/>
      </c>
      <c r="AC9" s="7" t="inlineStr">
        <is>
          <t>Clôturé</t>
        </is>
      </c>
      <c r="AD9" s="69">
        <f>IF(OR($A9="",Q9=""),"",(Q9-B9)*24)</f>
        <v/>
      </c>
      <c r="AE9" s="69">
        <f>IF(OR(Q9="",R9=""),"",(R9-Q9)*24)</f>
        <v/>
      </c>
      <c r="AF9" s="77">
        <f>IF(OR($A9="",B9=""),"",YEAR(B9))</f>
        <v/>
      </c>
      <c r="AG9" s="77">
        <f>IF(OR($A9="",B9=""),"",MONTH(B9))</f>
        <v/>
      </c>
    </row>
    <row r="10">
      <c r="A10" s="7" t="inlineStr">
        <is>
          <t>OT-2025-0006</t>
        </is>
      </c>
      <c r="B10" s="75" t="n">
        <v>45659.33333333334</v>
      </c>
      <c r="C10" s="7" t="inlineStr">
        <is>
          <t>Plan préventif</t>
        </is>
      </c>
      <c r="D10" s="7" t="inlineStr">
        <is>
          <t>EQ-SOU-001</t>
        </is>
      </c>
      <c r="E10" s="9">
        <f>IF(D10="","",IFERROR(INDEX('Équipements'!$B$5:$B$304,MATCH(D10,'Équipements'!$A$5:$A$304,0)),"Code inconnu"))</f>
        <v/>
      </c>
      <c r="F10" s="9">
        <f>IF(D10="","",IFERROR(INDEX('Équipements'!$D$5:$D$304,MATCH(D10,'Équipements'!$A$5:$A$304,0)),""))</f>
        <v/>
      </c>
      <c r="G10" s="9">
        <f>IF(D10="","",IFERROR(INDEX('Équipements'!$K$5:$K$304,MATCH(D10,'Équipements'!$A$5:$A$304,0)),""))</f>
        <v/>
      </c>
      <c r="H10" s="7" t="inlineStr">
        <is>
          <t>Préventif systématique</t>
        </is>
      </c>
      <c r="I10" s="7" t="inlineStr">
        <is>
          <t>GP-058</t>
        </is>
      </c>
      <c r="J10" s="7" t="inlineStr">
        <is>
          <t>Mécanique</t>
        </is>
      </c>
      <c r="K10" s="7" t="inlineStr">
        <is>
          <t>P3 - Normale</t>
        </is>
      </c>
      <c r="L10" s="7" t="inlineStr">
        <is>
          <t>Nettoyage torche et contrôle faisceau</t>
        </is>
      </c>
      <c r="M10" s="7" t="n"/>
      <c r="N10" s="7" t="inlineStr">
        <is>
          <t>Gamme réalisée - RAS</t>
        </is>
      </c>
      <c r="O10" s="7" t="inlineStr">
        <is>
          <t>Lucas Fontaine</t>
        </is>
      </c>
      <c r="P10" s="65" t="n">
        <v>45663</v>
      </c>
      <c r="Q10" s="75" t="n">
        <v>45663.36805555555</v>
      </c>
      <c r="R10" s="75" t="n">
        <v>45663.39930555555</v>
      </c>
      <c r="S10" s="76" t="n">
        <v>0.8</v>
      </c>
      <c r="T10" s="76" t="n">
        <v>0.75</v>
      </c>
      <c r="U10" s="70">
        <f>IF($A10="","",IFERROR(INDEX('Techniciens'!$F$5:$F$44,MATCH(O10,'Techniciens'!$B$5:$B$44,0)),'Paramètres'!$AA$10))</f>
        <v/>
      </c>
      <c r="V10" s="70">
        <f>IF($A10="","",IF(OR(AC10="Demandé",AC10="Planifié",AC10="Annulé"),0,N(T10)*N(U10)))</f>
        <v/>
      </c>
      <c r="W10" s="70">
        <f>IF($A10="","",SUMIFS('Mouvements stock'!$H$5:$H$3004,'Mouvements stock'!$I$5:$I$3004,$A10,'Mouvements stock'!$C$5:$C$3004,"Sortie")-SUMIFS('Mouvements stock'!$H$5:$H$3004,'Mouvements stock'!$I$5:$I$3004,$A10,'Mouvements stock'!$C$5:$C$3004,"Retour"))</f>
        <v/>
      </c>
      <c r="X10" s="66" t="n">
        <v>0</v>
      </c>
      <c r="Y10" s="66" t="n">
        <v>0</v>
      </c>
      <c r="Z10" s="7" t="n"/>
      <c r="AA10" s="70">
        <f>IF($A10="","",N(V10)+N(W10)+N(X10)+N(Y10))</f>
        <v/>
      </c>
      <c r="AB10" s="70">
        <f>IF($A10="","",N(S10)*'Paramètres'!$AA$9*IFERROR(INDEX('Paramètres'!$O$5:$O$7,MATCH(G10,'Paramètres'!$N$5:$N$7,0)),0))</f>
        <v/>
      </c>
      <c r="AC10" s="7" t="inlineStr">
        <is>
          <t>Clôturé</t>
        </is>
      </c>
      <c r="AD10" s="69">
        <f>IF(OR($A10="",Q10=""),"",(Q10-B10)*24)</f>
        <v/>
      </c>
      <c r="AE10" s="69">
        <f>IF(OR(Q10="",R10=""),"",(R10-Q10)*24)</f>
        <v/>
      </c>
      <c r="AF10" s="77">
        <f>IF(OR($A10="",B10=""),"",YEAR(B10))</f>
        <v/>
      </c>
      <c r="AG10" s="77">
        <f>IF(OR($A10="",B10=""),"",MONTH(B10))</f>
        <v/>
      </c>
    </row>
    <row r="11">
      <c r="A11" s="7" t="inlineStr">
        <is>
          <t>OT-2025-0007</t>
        </is>
      </c>
      <c r="B11" s="75" t="n">
        <v>45659.33333333334</v>
      </c>
      <c r="C11" s="7" t="inlineStr">
        <is>
          <t>Plan préventif</t>
        </is>
      </c>
      <c r="D11" s="7" t="inlineStr">
        <is>
          <t>EQ-PEI-001</t>
        </is>
      </c>
      <c r="E11" s="9">
        <f>IF(D11="","",IFERROR(INDEX('Équipements'!$B$5:$B$304,MATCH(D11,'Équipements'!$A$5:$A$304,0)),"Code inconnu"))</f>
        <v/>
      </c>
      <c r="F11" s="9">
        <f>IF(D11="","",IFERROR(INDEX('Équipements'!$D$5:$D$304,MATCH(D11,'Équipements'!$A$5:$A$304,0)),""))</f>
        <v/>
      </c>
      <c r="G11" s="9">
        <f>IF(D11="","",IFERROR(INDEX('Équipements'!$K$5:$K$304,MATCH(D11,'Équipements'!$A$5:$A$304,0)),""))</f>
        <v/>
      </c>
      <c r="H11" s="7" t="inlineStr">
        <is>
          <t>Préventif systématique</t>
        </is>
      </c>
      <c r="I11" s="7" t="inlineStr">
        <is>
          <t>GP-066</t>
        </is>
      </c>
      <c r="J11" s="7" t="inlineStr">
        <is>
          <t>Mécanique</t>
        </is>
      </c>
      <c r="K11" s="7" t="inlineStr">
        <is>
          <t>P3 - Normale</t>
        </is>
      </c>
      <c r="L11" s="7" t="inlineStr">
        <is>
          <t>Nettoyage et remplacement des filtres</t>
        </is>
      </c>
      <c r="M11" s="7" t="n"/>
      <c r="N11" s="7" t="inlineStr">
        <is>
          <t>Gamme réalisée - serrages repris</t>
        </is>
      </c>
      <c r="O11" s="7" t="inlineStr">
        <is>
          <t>Lucas Fontaine</t>
        </is>
      </c>
      <c r="P11" s="65" t="n">
        <v>45665</v>
      </c>
      <c r="Q11" s="75" t="n">
        <v>45665.40972222222</v>
      </c>
      <c r="R11" s="75" t="n">
        <v>45665.54513888889</v>
      </c>
      <c r="S11" s="76" t="n">
        <v>1.6</v>
      </c>
      <c r="T11" s="76" t="n">
        <v>3.25</v>
      </c>
      <c r="U11" s="70">
        <f>IF($A11="","",IFERROR(INDEX('Techniciens'!$F$5:$F$44,MATCH(O11,'Techniciens'!$B$5:$B$44,0)),'Paramètres'!$AA$10))</f>
        <v/>
      </c>
      <c r="V11" s="70">
        <f>IF($A11="","",IF(OR(AC11="Demandé",AC11="Planifié",AC11="Annulé"),0,N(T11)*N(U11)))</f>
        <v/>
      </c>
      <c r="W11" s="70">
        <f>IF($A11="","",SUMIFS('Mouvements stock'!$H$5:$H$3004,'Mouvements stock'!$I$5:$I$3004,$A11,'Mouvements stock'!$C$5:$C$3004,"Sortie")-SUMIFS('Mouvements stock'!$H$5:$H$3004,'Mouvements stock'!$I$5:$I$3004,$A11,'Mouvements stock'!$C$5:$C$3004,"Retour"))</f>
        <v/>
      </c>
      <c r="X11" s="66" t="n">
        <v>0</v>
      </c>
      <c r="Y11" s="66" t="n">
        <v>0</v>
      </c>
      <c r="Z11" s="7" t="n"/>
      <c r="AA11" s="70">
        <f>IF($A11="","",N(V11)+N(W11)+N(X11)+N(Y11))</f>
        <v/>
      </c>
      <c r="AB11" s="70">
        <f>IF($A11="","",N(S11)*'Paramètres'!$AA$9*IFERROR(INDEX('Paramètres'!$O$5:$O$7,MATCH(G11,'Paramètres'!$N$5:$N$7,0)),0))</f>
        <v/>
      </c>
      <c r="AC11" s="7" t="inlineStr">
        <is>
          <t>Clôturé</t>
        </is>
      </c>
      <c r="AD11" s="69">
        <f>IF(OR($A11="",Q11=""),"",(Q11-B11)*24)</f>
        <v/>
      </c>
      <c r="AE11" s="69">
        <f>IF(OR(Q11="",R11=""),"",(R11-Q11)*24)</f>
        <v/>
      </c>
      <c r="AF11" s="77">
        <f>IF(OR($A11="",B11=""),"",YEAR(B11))</f>
        <v/>
      </c>
      <c r="AG11" s="77">
        <f>IF(OR($A11="",B11=""),"",MONTH(B11))</f>
        <v/>
      </c>
    </row>
    <row r="12">
      <c r="A12" s="7" t="inlineStr">
        <is>
          <t>OT-2025-0008</t>
        </is>
      </c>
      <c r="B12" s="75" t="n">
        <v>45659.33333333334</v>
      </c>
      <c r="C12" s="7" t="inlineStr">
        <is>
          <t>Plan préventif</t>
        </is>
      </c>
      <c r="D12" s="7" t="inlineStr">
        <is>
          <t>EQ-ASS-006</t>
        </is>
      </c>
      <c r="E12" s="9">
        <f>IF(D12="","",IFERROR(INDEX('Équipements'!$B$5:$B$304,MATCH(D12,'Équipements'!$A$5:$A$304,0)),"Code inconnu"))</f>
        <v/>
      </c>
      <c r="F12" s="9">
        <f>IF(D12="","",IFERROR(INDEX('Équipements'!$D$5:$D$304,MATCH(D12,'Équipements'!$A$5:$A$304,0)),""))</f>
        <v/>
      </c>
      <c r="G12" s="9">
        <f>IF(D12="","",IFERROR(INDEX('Équipements'!$K$5:$K$304,MATCH(D12,'Équipements'!$A$5:$A$304,0)),""))</f>
        <v/>
      </c>
      <c r="H12" s="7" t="inlineStr">
        <is>
          <t>Préventif systématique</t>
        </is>
      </c>
      <c r="I12" s="7" t="inlineStr">
        <is>
          <t>GP-086</t>
        </is>
      </c>
      <c r="J12" s="7" t="inlineStr">
        <is>
          <t>Mécanique</t>
        </is>
      </c>
      <c r="K12" s="7" t="inlineStr">
        <is>
          <t>P3 - Normale</t>
        </is>
      </c>
      <c r="L12" s="7" t="inlineStr">
        <is>
          <t>Contrôle motoréducteurs et usure</t>
        </is>
      </c>
      <c r="M12" s="7" t="n"/>
      <c r="N12" s="7" t="inlineStr">
        <is>
          <t>Gamme réalisée - petite fuite corrigée</t>
        </is>
      </c>
      <c r="O12" s="7" t="inlineStr">
        <is>
          <t>Karim Benali</t>
        </is>
      </c>
      <c r="P12" s="65" t="n">
        <v>45659</v>
      </c>
      <c r="Q12" s="75" t="n">
        <v>45659.59375</v>
      </c>
      <c r="R12" s="75" t="n">
        <v>45659.77083333334</v>
      </c>
      <c r="S12" s="76" t="n">
        <v>4.2</v>
      </c>
      <c r="T12" s="76" t="n">
        <v>4.25</v>
      </c>
      <c r="U12" s="70">
        <f>IF($A12="","",IFERROR(INDEX('Techniciens'!$F$5:$F$44,MATCH(O12,'Techniciens'!$B$5:$B$44,0)),'Paramètres'!$AA$10))</f>
        <v/>
      </c>
      <c r="V12" s="70">
        <f>IF($A12="","",IF(OR(AC12="Demandé",AC12="Planifié",AC12="Annulé"),0,N(T12)*N(U12)))</f>
        <v/>
      </c>
      <c r="W12" s="70">
        <f>IF($A12="","",SUMIFS('Mouvements stock'!$H$5:$H$3004,'Mouvements stock'!$I$5:$I$3004,$A12,'Mouvements stock'!$C$5:$C$3004,"Sortie")-SUMIFS('Mouvements stock'!$H$5:$H$3004,'Mouvements stock'!$I$5:$I$3004,$A12,'Mouvements stock'!$C$5:$C$3004,"Retour"))</f>
        <v/>
      </c>
      <c r="X12" s="66" t="n">
        <v>0</v>
      </c>
      <c r="Y12" s="66" t="n">
        <v>0</v>
      </c>
      <c r="Z12" s="7" t="n"/>
      <c r="AA12" s="70">
        <f>IF($A12="","",N(V12)+N(W12)+N(X12)+N(Y12))</f>
        <v/>
      </c>
      <c r="AB12" s="70">
        <f>IF($A12="","",N(S12)*'Paramètres'!$AA$9*IFERROR(INDEX('Paramètres'!$O$5:$O$7,MATCH(G12,'Paramètres'!$N$5:$N$7,0)),0))</f>
        <v/>
      </c>
      <c r="AC12" s="7" t="inlineStr">
        <is>
          <t>Clôturé</t>
        </is>
      </c>
      <c r="AD12" s="69">
        <f>IF(OR($A12="",Q12=""),"",(Q12-B12)*24)</f>
        <v/>
      </c>
      <c r="AE12" s="69">
        <f>IF(OR(Q12="",R12=""),"",(R12-Q12)*24)</f>
        <v/>
      </c>
      <c r="AF12" s="77">
        <f>IF(OR($A12="",B12=""),"",YEAR(B12))</f>
        <v/>
      </c>
      <c r="AG12" s="77">
        <f>IF(OR($A12="",B12=""),"",MONTH(B12))</f>
        <v/>
      </c>
    </row>
    <row r="13">
      <c r="A13" s="7" t="inlineStr">
        <is>
          <t>OT-2025-0009</t>
        </is>
      </c>
      <c r="B13" s="75" t="n">
        <v>45659.33333333334</v>
      </c>
      <c r="C13" s="7" t="inlineStr">
        <is>
          <t>Plan préventif</t>
        </is>
      </c>
      <c r="D13" s="7" t="inlineStr">
        <is>
          <t>EQ-UTI-001</t>
        </is>
      </c>
      <c r="E13" s="9">
        <f>IF(D13="","",IFERROR(INDEX('Équipements'!$B$5:$B$304,MATCH(D13,'Équipements'!$A$5:$A$304,0)),"Code inconnu"))</f>
        <v/>
      </c>
      <c r="F13" s="9">
        <f>IF(D13="","",IFERROR(INDEX('Équipements'!$D$5:$D$304,MATCH(D13,'Équipements'!$A$5:$A$304,0)),""))</f>
        <v/>
      </c>
      <c r="G13" s="9">
        <f>IF(D13="","",IFERROR(INDEX('Équipements'!$K$5:$K$304,MATCH(D13,'Équipements'!$A$5:$A$304,0)),""))</f>
        <v/>
      </c>
      <c r="H13" s="7" t="inlineStr">
        <is>
          <t>Préventif conditionnel</t>
        </is>
      </c>
      <c r="I13" s="7" t="inlineStr">
        <is>
          <t>GP-087</t>
        </is>
      </c>
      <c r="J13" s="7" t="inlineStr">
        <is>
          <t>Mécanique</t>
        </is>
      </c>
      <c r="K13" s="7" t="inlineStr">
        <is>
          <t>P3 - Normale</t>
        </is>
      </c>
      <c r="L13" s="7" t="inlineStr">
        <is>
          <t>Entretien 2000 h : filtres air/huile, séparateur</t>
        </is>
      </c>
      <c r="M13" s="7" t="n"/>
      <c r="N13" s="7" t="inlineStr">
        <is>
          <t>Gamme réalisée - RAS</t>
        </is>
      </c>
      <c r="O13" s="7" t="inlineStr">
        <is>
          <t>Lucas Fontaine</t>
        </is>
      </c>
      <c r="P13" s="65" t="n">
        <v>45659</v>
      </c>
      <c r="Q13" s="75" t="n">
        <v>45659.51041666666</v>
      </c>
      <c r="R13" s="75" t="n">
        <v>45659.69791666666</v>
      </c>
      <c r="S13" s="76" t="n">
        <v>0</v>
      </c>
      <c r="T13" s="76" t="n">
        <v>4.5</v>
      </c>
      <c r="U13" s="70">
        <f>IF($A13="","",IFERROR(INDEX('Techniciens'!$F$5:$F$44,MATCH(O13,'Techniciens'!$B$5:$B$44,0)),'Paramètres'!$AA$10))</f>
        <v/>
      </c>
      <c r="V13" s="70">
        <f>IF($A13="","",IF(OR(AC13="Demandé",AC13="Planifié",AC13="Annulé"),0,N(T13)*N(U13)))</f>
        <v/>
      </c>
      <c r="W13" s="70">
        <f>IF($A13="","",SUMIFS('Mouvements stock'!$H$5:$H$3004,'Mouvements stock'!$I$5:$I$3004,$A13,'Mouvements stock'!$C$5:$C$3004,"Sortie")-SUMIFS('Mouvements stock'!$H$5:$H$3004,'Mouvements stock'!$I$5:$I$3004,$A13,'Mouvements stock'!$C$5:$C$3004,"Retour"))</f>
        <v/>
      </c>
      <c r="X13" s="66" t="n">
        <v>0</v>
      </c>
      <c r="Y13" s="66" t="n">
        <v>0</v>
      </c>
      <c r="Z13" s="7" t="n"/>
      <c r="AA13" s="70">
        <f>IF($A13="","",N(V13)+N(W13)+N(X13)+N(Y13))</f>
        <v/>
      </c>
      <c r="AB13" s="70">
        <f>IF($A13="","",N(S13)*'Paramètres'!$AA$9*IFERROR(INDEX('Paramètres'!$O$5:$O$7,MATCH(G13,'Paramètres'!$N$5:$N$7,0)),0))</f>
        <v/>
      </c>
      <c r="AC13" s="7" t="inlineStr">
        <is>
          <t>Clôturé</t>
        </is>
      </c>
      <c r="AD13" s="69">
        <f>IF(OR($A13="",Q13=""),"",(Q13-B13)*24)</f>
        <v/>
      </c>
      <c r="AE13" s="69">
        <f>IF(OR(Q13="",R13=""),"",(R13-Q13)*24)</f>
        <v/>
      </c>
      <c r="AF13" s="77">
        <f>IF(OR($A13="",B13=""),"",YEAR(B13))</f>
        <v/>
      </c>
      <c r="AG13" s="77">
        <f>IF(OR($A13="",B13=""),"",MONTH(B13))</f>
        <v/>
      </c>
    </row>
    <row r="14">
      <c r="A14" s="7" t="inlineStr">
        <is>
          <t>OT-2025-0010</t>
        </is>
      </c>
      <c r="B14" s="75" t="n">
        <v>45659.33333333334</v>
      </c>
      <c r="C14" s="7" t="inlineStr">
        <is>
          <t>Plan préventif</t>
        </is>
      </c>
      <c r="D14" s="7" t="inlineStr">
        <is>
          <t>EQ-UTI-003</t>
        </is>
      </c>
      <c r="E14" s="9">
        <f>IF(D14="","",IFERROR(INDEX('Équipements'!$B$5:$B$304,MATCH(D14,'Équipements'!$A$5:$A$304,0)),"Code inconnu"))</f>
        <v/>
      </c>
      <c r="F14" s="9">
        <f>IF(D14="","",IFERROR(INDEX('Équipements'!$D$5:$D$304,MATCH(D14,'Équipements'!$A$5:$A$304,0)),""))</f>
        <v/>
      </c>
      <c r="G14" s="9">
        <f>IF(D14="","",IFERROR(INDEX('Équipements'!$K$5:$K$304,MATCH(D14,'Équipements'!$A$5:$A$304,0)),""))</f>
        <v/>
      </c>
      <c r="H14" s="7" t="inlineStr">
        <is>
          <t>Préventif systématique</t>
        </is>
      </c>
      <c r="I14" s="7" t="inlineStr">
        <is>
          <t>GP-092</t>
        </is>
      </c>
      <c r="J14" s="7" t="inlineStr">
        <is>
          <t>Pneumatique</t>
        </is>
      </c>
      <c r="K14" s="7" t="inlineStr">
        <is>
          <t>P3 - Normale</t>
        </is>
      </c>
      <c r="L14" s="7" t="inlineStr">
        <is>
          <t>Purge, contrôle fuites et point de rosée</t>
        </is>
      </c>
      <c r="M14" s="7" t="n"/>
      <c r="N14" s="7" t="inlineStr">
        <is>
          <t>Gamme réalisée - RAS</t>
        </is>
      </c>
      <c r="O14" s="7" t="inlineStr">
        <is>
          <t>Julien Moreau</t>
        </is>
      </c>
      <c r="P14" s="65" t="n">
        <v>45665</v>
      </c>
      <c r="Q14" s="75" t="n">
        <v>45665.30208333334</v>
      </c>
      <c r="R14" s="75" t="n">
        <v>45665.35416666666</v>
      </c>
      <c r="S14" s="76" t="n">
        <v>0</v>
      </c>
      <c r="T14" s="76" t="n">
        <v>1.25</v>
      </c>
      <c r="U14" s="70">
        <f>IF($A14="","",IFERROR(INDEX('Techniciens'!$F$5:$F$44,MATCH(O14,'Techniciens'!$B$5:$B$44,0)),'Paramètres'!$AA$10))</f>
        <v/>
      </c>
      <c r="V14" s="70">
        <f>IF($A14="","",IF(OR(AC14="Demandé",AC14="Planifié",AC14="Annulé"),0,N(T14)*N(U14)))</f>
        <v/>
      </c>
      <c r="W14" s="70">
        <f>IF($A14="","",SUMIFS('Mouvements stock'!$H$5:$H$3004,'Mouvements stock'!$I$5:$I$3004,$A14,'Mouvements stock'!$C$5:$C$3004,"Sortie")-SUMIFS('Mouvements stock'!$H$5:$H$3004,'Mouvements stock'!$I$5:$I$3004,$A14,'Mouvements stock'!$C$5:$C$3004,"Retour"))</f>
        <v/>
      </c>
      <c r="X14" s="66" t="n">
        <v>0</v>
      </c>
      <c r="Y14" s="66" t="n">
        <v>0</v>
      </c>
      <c r="Z14" s="7" t="n"/>
      <c r="AA14" s="70">
        <f>IF($A14="","",N(V14)+N(W14)+N(X14)+N(Y14))</f>
        <v/>
      </c>
      <c r="AB14" s="70">
        <f>IF($A14="","",N(S14)*'Paramètres'!$AA$9*IFERROR(INDEX('Paramètres'!$O$5:$O$7,MATCH(G14,'Paramètres'!$N$5:$N$7,0)),0))</f>
        <v/>
      </c>
      <c r="AC14" s="7" t="inlineStr">
        <is>
          <t>Clôturé</t>
        </is>
      </c>
      <c r="AD14" s="69">
        <f>IF(OR($A14="",Q14=""),"",(Q14-B14)*24)</f>
        <v/>
      </c>
      <c r="AE14" s="69">
        <f>IF(OR(Q14="",R14=""),"",(R14-Q14)*24)</f>
        <v/>
      </c>
      <c r="AF14" s="77">
        <f>IF(OR($A14="",B14=""),"",YEAR(B14))</f>
        <v/>
      </c>
      <c r="AG14" s="77">
        <f>IF(OR($A14="",B14=""),"",MONTH(B14))</f>
        <v/>
      </c>
    </row>
    <row r="15">
      <c r="A15" s="7" t="inlineStr">
        <is>
          <t>OT-2025-0011</t>
        </is>
      </c>
      <c r="B15" s="75" t="n">
        <v>45659.33333333334</v>
      </c>
      <c r="C15" s="7" t="inlineStr">
        <is>
          <t>Plan préventif</t>
        </is>
      </c>
      <c r="D15" s="7" t="inlineStr">
        <is>
          <t>EQ-LOG-004</t>
        </is>
      </c>
      <c r="E15" s="9">
        <f>IF(D15="","",IFERROR(INDEX('Équipements'!$B$5:$B$304,MATCH(D15,'Équipements'!$A$5:$A$304,0)),"Code inconnu"))</f>
        <v/>
      </c>
      <c r="F15" s="9">
        <f>IF(D15="","",IFERROR(INDEX('Équipements'!$D$5:$D$304,MATCH(D15,'Équipements'!$A$5:$A$304,0)),""))</f>
        <v/>
      </c>
      <c r="G15" s="9">
        <f>IF(D15="","",IFERROR(INDEX('Équipements'!$K$5:$K$304,MATCH(D15,'Équipements'!$A$5:$A$304,0)),""))</f>
        <v/>
      </c>
      <c r="H15" s="7" t="inlineStr">
        <is>
          <t>Préventif systématique</t>
        </is>
      </c>
      <c r="I15" s="7" t="inlineStr">
        <is>
          <t>GP-112</t>
        </is>
      </c>
      <c r="J15" s="7" t="inlineStr">
        <is>
          <t>Mécanique</t>
        </is>
      </c>
      <c r="K15" s="7" t="inlineStr">
        <is>
          <t>P3 - Normale</t>
        </is>
      </c>
      <c r="L15" s="7" t="inlineStr">
        <is>
          <t>Contrôle batterie, niveaux et bandages</t>
        </is>
      </c>
      <c r="M15" s="7" t="n"/>
      <c r="N15" s="7" t="inlineStr">
        <is>
          <t>Gamme réalisée - RAS</t>
        </is>
      </c>
      <c r="O15" s="7" t="inlineStr">
        <is>
          <t>Karim Benali</t>
        </is>
      </c>
      <c r="P15" s="65" t="n">
        <v>45663</v>
      </c>
      <c r="Q15" s="75" t="n">
        <v>45663.38541666666</v>
      </c>
      <c r="R15" s="75" t="n">
        <v>45663.42708333334</v>
      </c>
      <c r="S15" s="76" t="n">
        <v>0</v>
      </c>
      <c r="T15" s="76" t="n">
        <v>1</v>
      </c>
      <c r="U15" s="70">
        <f>IF($A15="","",IFERROR(INDEX('Techniciens'!$F$5:$F$44,MATCH(O15,'Techniciens'!$B$5:$B$44,0)),'Paramètres'!$AA$10))</f>
        <v/>
      </c>
      <c r="V15" s="70">
        <f>IF($A15="","",IF(OR(AC15="Demandé",AC15="Planifié",AC15="Annulé"),0,N(T15)*N(U15)))</f>
        <v/>
      </c>
      <c r="W15" s="70">
        <f>IF($A15="","",SUMIFS('Mouvements stock'!$H$5:$H$3004,'Mouvements stock'!$I$5:$I$3004,$A15,'Mouvements stock'!$C$5:$C$3004,"Sortie")-SUMIFS('Mouvements stock'!$H$5:$H$3004,'Mouvements stock'!$I$5:$I$3004,$A15,'Mouvements stock'!$C$5:$C$3004,"Retour"))</f>
        <v/>
      </c>
      <c r="X15" s="66" t="n">
        <v>0</v>
      </c>
      <c r="Y15" s="66" t="n">
        <v>0</v>
      </c>
      <c r="Z15" s="7" t="n"/>
      <c r="AA15" s="70">
        <f>IF($A15="","",N(V15)+N(W15)+N(X15)+N(Y15))</f>
        <v/>
      </c>
      <c r="AB15" s="70">
        <f>IF($A15="","",N(S15)*'Paramètres'!$AA$9*IFERROR(INDEX('Paramètres'!$O$5:$O$7,MATCH(G15,'Paramètres'!$N$5:$N$7,0)),0))</f>
        <v/>
      </c>
      <c r="AC15" s="7" t="inlineStr">
        <is>
          <t>Clôturé</t>
        </is>
      </c>
      <c r="AD15" s="69">
        <f>IF(OR($A15="",Q15=""),"",(Q15-B15)*24)</f>
        <v/>
      </c>
      <c r="AE15" s="69">
        <f>IF(OR(Q15="",R15=""),"",(R15-Q15)*24)</f>
        <v/>
      </c>
      <c r="AF15" s="77">
        <f>IF(OR($A15="",B15=""),"",YEAR(B15))</f>
        <v/>
      </c>
      <c r="AG15" s="77">
        <f>IF(OR($A15="",B15=""),"",MONTH(B15))</f>
        <v/>
      </c>
    </row>
    <row r="16">
      <c r="A16" s="7" t="inlineStr">
        <is>
          <t>OT-2025-0012</t>
        </is>
      </c>
      <c r="B16" s="75" t="n">
        <v>45659.33333333334</v>
      </c>
      <c r="C16" s="7" t="inlineStr">
        <is>
          <t>Planning réglementaire</t>
        </is>
      </c>
      <c r="D16" s="7" t="inlineStr">
        <is>
          <t>EQ-LOG-002</t>
        </is>
      </c>
      <c r="E16" s="9">
        <f>IF(D16="","",IFERROR(INDEX('Équipements'!$B$5:$B$304,MATCH(D16,'Équipements'!$A$5:$A$304,0)),"Code inconnu"))</f>
        <v/>
      </c>
      <c r="F16" s="9">
        <f>IF(D16="","",IFERROR(INDEX('Équipements'!$D$5:$D$304,MATCH(D16,'Équipements'!$A$5:$A$304,0)),""))</f>
        <v/>
      </c>
      <c r="G16" s="9">
        <f>IF(D16="","",IFERROR(INDEX('Équipements'!$K$5:$K$304,MATCH(D16,'Équipements'!$A$5:$A$304,0)),""))</f>
        <v/>
      </c>
      <c r="H16" s="7" t="inlineStr">
        <is>
          <t>Réglementaire</t>
        </is>
      </c>
      <c r="I16" s="7" t="inlineStr">
        <is>
          <t>CR-005</t>
        </is>
      </c>
      <c r="J16" s="7" t="inlineStr">
        <is>
          <t>Multi-technique</t>
        </is>
      </c>
      <c r="K16" s="7" t="inlineStr">
        <is>
          <t>P2 - Haute</t>
        </is>
      </c>
      <c r="L16" s="7" t="inlineStr">
        <is>
          <t>VGP chariot automoteur</t>
        </is>
      </c>
      <c r="M16" s="7" t="n"/>
      <c r="N16" s="7" t="inlineStr">
        <is>
          <t>Contrôle réalisé - rapport reçu</t>
        </is>
      </c>
      <c r="O16" s="7" t="inlineStr">
        <is>
          <t>Marc Lefèvre</t>
        </is>
      </c>
      <c r="P16" s="65" t="n">
        <v>45663</v>
      </c>
      <c r="Q16" s="75" t="n">
        <v>45663.44791666666</v>
      </c>
      <c r="R16" s="75" t="n">
        <v>45663.46875</v>
      </c>
      <c r="S16" s="76" t="n">
        <v>0</v>
      </c>
      <c r="T16" s="76" t="n">
        <v>0.5</v>
      </c>
      <c r="U16" s="70">
        <f>IF($A16="","",IFERROR(INDEX('Techniciens'!$F$5:$F$44,MATCH(O16,'Techniciens'!$B$5:$B$44,0)),'Paramètres'!$AA$10))</f>
        <v/>
      </c>
      <c r="V16" s="70">
        <f>IF($A16="","",IF(OR(AC16="Demandé",AC16="Planifié",AC16="Annulé"),0,N(T16)*N(U16)))</f>
        <v/>
      </c>
      <c r="W16" s="70">
        <f>IF($A16="","",SUMIFS('Mouvements stock'!$H$5:$H$3004,'Mouvements stock'!$I$5:$I$3004,$A16,'Mouvements stock'!$C$5:$C$3004,"Sortie")-SUMIFS('Mouvements stock'!$H$5:$H$3004,'Mouvements stock'!$I$5:$I$3004,$A16,'Mouvements stock'!$C$5:$C$3004,"Retour"))</f>
        <v/>
      </c>
      <c r="X16" s="66" t="n">
        <v>0</v>
      </c>
      <c r="Y16" s="66" t="n">
        <v>120</v>
      </c>
      <c r="Z16" s="7" t="inlineStr">
        <is>
          <t>CONTROLIS (organisme fictif)</t>
        </is>
      </c>
      <c r="AA16" s="70">
        <f>IF($A16="","",N(V16)+N(W16)+N(X16)+N(Y16))</f>
        <v/>
      </c>
      <c r="AB16" s="70">
        <f>IF($A16="","",N(S16)*'Paramètres'!$AA$9*IFERROR(INDEX('Paramètres'!$O$5:$O$7,MATCH(G16,'Paramètres'!$N$5:$N$7,0)),0))</f>
        <v/>
      </c>
      <c r="AC16" s="7" t="inlineStr">
        <is>
          <t>Clôturé</t>
        </is>
      </c>
      <c r="AD16" s="69">
        <f>IF(OR($A16="",Q16=""),"",(Q16-B16)*24)</f>
        <v/>
      </c>
      <c r="AE16" s="69">
        <f>IF(OR(Q16="",R16=""),"",(R16-Q16)*24)</f>
        <v/>
      </c>
      <c r="AF16" s="77">
        <f>IF(OR($A16="",B16=""),"",YEAR(B16))</f>
        <v/>
      </c>
      <c r="AG16" s="77">
        <f>IF(OR($A16="",B16=""),"",MONTH(B16))</f>
        <v/>
      </c>
    </row>
    <row r="17">
      <c r="A17" s="7" t="inlineStr">
        <is>
          <t>OT-2025-0013</t>
        </is>
      </c>
      <c r="B17" s="75" t="n">
        <v>45659.33333333334</v>
      </c>
      <c r="C17" s="7" t="inlineStr">
        <is>
          <t>Planning réglementaire</t>
        </is>
      </c>
      <c r="D17" s="7" t="inlineStr">
        <is>
          <t>EQ-BAT-004</t>
        </is>
      </c>
      <c r="E17" s="9">
        <f>IF(D17="","",IFERROR(INDEX('Équipements'!$B$5:$B$304,MATCH(D17,'Équipements'!$A$5:$A$304,0)),"Code inconnu"))</f>
        <v/>
      </c>
      <c r="F17" s="9">
        <f>IF(D17="","",IFERROR(INDEX('Équipements'!$D$5:$D$304,MATCH(D17,'Équipements'!$A$5:$A$304,0)),""))</f>
        <v/>
      </c>
      <c r="G17" s="9">
        <f>IF(D17="","",IFERROR(INDEX('Équipements'!$K$5:$K$304,MATCH(D17,'Équipements'!$A$5:$A$304,0)),""))</f>
        <v/>
      </c>
      <c r="H17" s="7" t="inlineStr">
        <is>
          <t>Réglementaire</t>
        </is>
      </c>
      <c r="I17" s="7" t="inlineStr">
        <is>
          <t>CR-018</t>
        </is>
      </c>
      <c r="J17" s="7" t="inlineStr">
        <is>
          <t>Multi-technique</t>
        </is>
      </c>
      <c r="K17" s="7" t="inlineStr">
        <is>
          <t>P2 - Haute</t>
        </is>
      </c>
      <c r="L17" s="7" t="inlineStr">
        <is>
          <t>Vérification semestrielle installation sprinklers</t>
        </is>
      </c>
      <c r="M17" s="7" t="n"/>
      <c r="N17" s="7" t="inlineStr">
        <is>
          <t>Contrôle réalisé - observations mineures au rapport</t>
        </is>
      </c>
      <c r="O17" s="7" t="inlineStr">
        <is>
          <t>Marc Lefèvre</t>
        </is>
      </c>
      <c r="P17" s="65" t="n">
        <v>45663</v>
      </c>
      <c r="Q17" s="75" t="n">
        <v>45663.51388888889</v>
      </c>
      <c r="R17" s="75" t="n">
        <v>45663.57638888889</v>
      </c>
      <c r="S17" s="76" t="n">
        <v>0</v>
      </c>
      <c r="T17" s="76" t="n">
        <v>1.5</v>
      </c>
      <c r="U17" s="70">
        <f>IF($A17="","",IFERROR(INDEX('Techniciens'!$F$5:$F$44,MATCH(O17,'Techniciens'!$B$5:$B$44,0)),'Paramètres'!$AA$10))</f>
        <v/>
      </c>
      <c r="V17" s="70">
        <f>IF($A17="","",IF(OR(AC17="Demandé",AC17="Planifié",AC17="Annulé"),0,N(T17)*N(U17)))</f>
        <v/>
      </c>
      <c r="W17" s="70">
        <f>IF($A17="","",SUMIFS('Mouvements stock'!$H$5:$H$3004,'Mouvements stock'!$I$5:$I$3004,$A17,'Mouvements stock'!$C$5:$C$3004,"Sortie")-SUMIFS('Mouvements stock'!$H$5:$H$3004,'Mouvements stock'!$I$5:$I$3004,$A17,'Mouvements stock'!$C$5:$C$3004,"Retour"))</f>
        <v/>
      </c>
      <c r="X17" s="66" t="n">
        <v>0</v>
      </c>
      <c r="Y17" s="66" t="n">
        <v>950</v>
      </c>
      <c r="Z17" s="7" t="inlineStr">
        <is>
          <t>Sécurité Incendie Ouest</t>
        </is>
      </c>
      <c r="AA17" s="70">
        <f>IF($A17="","",N(V17)+N(W17)+N(X17)+N(Y17))</f>
        <v/>
      </c>
      <c r="AB17" s="70">
        <f>IF($A17="","",N(S17)*'Paramètres'!$AA$9*IFERROR(INDEX('Paramètres'!$O$5:$O$7,MATCH(G17,'Paramètres'!$N$5:$N$7,0)),0))</f>
        <v/>
      </c>
      <c r="AC17" s="7" t="inlineStr">
        <is>
          <t>Clôturé</t>
        </is>
      </c>
      <c r="AD17" s="69">
        <f>IF(OR($A17="",Q17=""),"",(Q17-B17)*24)</f>
        <v/>
      </c>
      <c r="AE17" s="69">
        <f>IF(OR(Q17="",R17=""),"",(R17-Q17)*24)</f>
        <v/>
      </c>
      <c r="AF17" s="77">
        <f>IF(OR($A17="",B17=""),"",YEAR(B17))</f>
        <v/>
      </c>
      <c r="AG17" s="77">
        <f>IF(OR($A17="",B17=""),"",MONTH(B17))</f>
        <v/>
      </c>
    </row>
    <row r="18">
      <c r="A18" s="7" t="inlineStr">
        <is>
          <t>OT-2025-0014</t>
        </is>
      </c>
      <c r="B18" s="75" t="n">
        <v>45659.35416666666</v>
      </c>
      <c r="C18" s="7" t="inlineStr">
        <is>
          <t>Plan préventif</t>
        </is>
      </c>
      <c r="D18" s="7" t="inlineStr">
        <is>
          <t>EQ-TOL-001</t>
        </is>
      </c>
      <c r="E18" s="9">
        <f>IF(D18="","",IFERROR(INDEX('Équipements'!$B$5:$B$304,MATCH(D18,'Équipements'!$A$5:$A$304,0)),"Code inconnu"))</f>
        <v/>
      </c>
      <c r="F18" s="9">
        <f>IF(D18="","",IFERROR(INDEX('Équipements'!$D$5:$D$304,MATCH(D18,'Équipements'!$A$5:$A$304,0)),""))</f>
        <v/>
      </c>
      <c r="G18" s="9">
        <f>IF(D18="","",IFERROR(INDEX('Équipements'!$K$5:$K$304,MATCH(D18,'Équipements'!$A$5:$A$304,0)),""))</f>
        <v/>
      </c>
      <c r="H18" s="7" t="inlineStr">
        <is>
          <t>Préventif systématique</t>
        </is>
      </c>
      <c r="I18" s="7" t="inlineStr">
        <is>
          <t>GP-038</t>
        </is>
      </c>
      <c r="J18" s="7" t="inlineStr">
        <is>
          <t>Mécanique</t>
        </is>
      </c>
      <c r="K18" s="7" t="inlineStr">
        <is>
          <t>P3 - Normale</t>
        </is>
      </c>
      <c r="L18" s="7" t="inlineStr">
        <is>
          <t>Nettoyage optique, contrôle buse et lentille</t>
        </is>
      </c>
      <c r="M18" s="7" t="n"/>
      <c r="N18" s="7" t="inlineStr">
        <is>
          <t>Gamme réalisée - usure constatée, à surveiller</t>
        </is>
      </c>
      <c r="O18" s="7" t="inlineStr">
        <is>
          <t>Karim Benali</t>
        </is>
      </c>
      <c r="P18" s="65" t="n">
        <v>45666</v>
      </c>
      <c r="Q18" s="75" t="n">
        <v>45666.32291666666</v>
      </c>
      <c r="R18" s="75" t="n">
        <v>45666.42708333334</v>
      </c>
      <c r="S18" s="76" t="n">
        <v>0</v>
      </c>
      <c r="T18" s="76" t="n">
        <v>2.5</v>
      </c>
      <c r="U18" s="70">
        <f>IF($A18="","",IFERROR(INDEX('Techniciens'!$F$5:$F$44,MATCH(O18,'Techniciens'!$B$5:$B$44,0)),'Paramètres'!$AA$10))</f>
        <v/>
      </c>
      <c r="V18" s="70">
        <f>IF($A18="","",IF(OR(AC18="Demandé",AC18="Planifié",AC18="Annulé"),0,N(T18)*N(U18)))</f>
        <v/>
      </c>
      <c r="W18" s="70">
        <f>IF($A18="","",SUMIFS('Mouvements stock'!$H$5:$H$3004,'Mouvements stock'!$I$5:$I$3004,$A18,'Mouvements stock'!$C$5:$C$3004,"Sortie")-SUMIFS('Mouvements stock'!$H$5:$H$3004,'Mouvements stock'!$I$5:$I$3004,$A18,'Mouvements stock'!$C$5:$C$3004,"Retour"))</f>
        <v/>
      </c>
      <c r="X18" s="66" t="n">
        <v>0</v>
      </c>
      <c r="Y18" s="66" t="n">
        <v>0</v>
      </c>
      <c r="Z18" s="7" t="n"/>
      <c r="AA18" s="70">
        <f>IF($A18="","",N(V18)+N(W18)+N(X18)+N(Y18))</f>
        <v/>
      </c>
      <c r="AB18" s="70">
        <f>IF($A18="","",N(S18)*'Paramètres'!$AA$9*IFERROR(INDEX('Paramètres'!$O$5:$O$7,MATCH(G18,'Paramètres'!$N$5:$N$7,0)),0))</f>
        <v/>
      </c>
      <c r="AC18" s="7" t="inlineStr">
        <is>
          <t>Clôturé</t>
        </is>
      </c>
      <c r="AD18" s="69">
        <f>IF(OR($A18="",Q18=""),"",(Q18-B18)*24)</f>
        <v/>
      </c>
      <c r="AE18" s="69">
        <f>IF(OR(Q18="",R18=""),"",(R18-Q18)*24)</f>
        <v/>
      </c>
      <c r="AF18" s="77">
        <f>IF(OR($A18="",B18=""),"",YEAR(B18))</f>
        <v/>
      </c>
      <c r="AG18" s="77">
        <f>IF(OR($A18="",B18=""),"",MONTH(B18))</f>
        <v/>
      </c>
    </row>
    <row r="19">
      <c r="A19" s="7" t="inlineStr">
        <is>
          <t>OT-2025-0015</t>
        </is>
      </c>
      <c r="B19" s="75" t="n">
        <v>45659.38541666666</v>
      </c>
      <c r="C19" s="7" t="inlineStr">
        <is>
          <t>Plan préventif</t>
        </is>
      </c>
      <c r="D19" s="7" t="inlineStr">
        <is>
          <t>EQ-TOL-003</t>
        </is>
      </c>
      <c r="E19" s="9">
        <f>IF(D19="","",IFERROR(INDEX('Équipements'!$B$5:$B$304,MATCH(D19,'Équipements'!$A$5:$A$304,0)),"Code inconnu"))</f>
        <v/>
      </c>
      <c r="F19" s="9">
        <f>IF(D19="","",IFERROR(INDEX('Équipements'!$D$5:$D$304,MATCH(D19,'Équipements'!$A$5:$A$304,0)),""))</f>
        <v/>
      </c>
      <c r="G19" s="9">
        <f>IF(D19="","",IFERROR(INDEX('Équipements'!$K$5:$K$304,MATCH(D19,'Équipements'!$A$5:$A$304,0)),""))</f>
        <v/>
      </c>
      <c r="H19" s="7" t="inlineStr">
        <is>
          <t>Préventif systématique</t>
        </is>
      </c>
      <c r="I19" s="7" t="inlineStr">
        <is>
          <t>GP-044</t>
        </is>
      </c>
      <c r="J19" s="7" t="inlineStr">
        <is>
          <t>Hydraulique</t>
        </is>
      </c>
      <c r="K19" s="7" t="inlineStr">
        <is>
          <t>P3 - Normale</t>
        </is>
      </c>
      <c r="L19" s="7" t="inlineStr">
        <is>
          <t>Contrôle hydraulique : fuites, niveaux, pressions</t>
        </is>
      </c>
      <c r="M19" s="7" t="n"/>
      <c r="N19" s="7" t="inlineStr">
        <is>
          <t>Gamme réalisée - RAS</t>
        </is>
      </c>
      <c r="O19" s="7" t="inlineStr">
        <is>
          <t>Karim Benali</t>
        </is>
      </c>
      <c r="P19" s="65" t="n">
        <v>45666</v>
      </c>
      <c r="Q19" s="75" t="n">
        <v>45666.36805555555</v>
      </c>
      <c r="R19" s="75" t="n">
        <v>45666.48263888889</v>
      </c>
      <c r="S19" s="76" t="n">
        <v>2.8</v>
      </c>
      <c r="T19" s="76" t="n">
        <v>2.75</v>
      </c>
      <c r="U19" s="70">
        <f>IF($A19="","",IFERROR(INDEX('Techniciens'!$F$5:$F$44,MATCH(O19,'Techniciens'!$B$5:$B$44,0)),'Paramètres'!$AA$10))</f>
        <v/>
      </c>
      <c r="V19" s="70">
        <f>IF($A19="","",IF(OR(AC19="Demandé",AC19="Planifié",AC19="Annulé"),0,N(T19)*N(U19)))</f>
        <v/>
      </c>
      <c r="W19" s="70">
        <f>IF($A19="","",SUMIFS('Mouvements stock'!$H$5:$H$3004,'Mouvements stock'!$I$5:$I$3004,$A19,'Mouvements stock'!$C$5:$C$3004,"Sortie")-SUMIFS('Mouvements stock'!$H$5:$H$3004,'Mouvements stock'!$I$5:$I$3004,$A19,'Mouvements stock'!$C$5:$C$3004,"Retour"))</f>
        <v/>
      </c>
      <c r="X19" s="66" t="n">
        <v>0</v>
      </c>
      <c r="Y19" s="66" t="n">
        <v>0</v>
      </c>
      <c r="Z19" s="7" t="n"/>
      <c r="AA19" s="70">
        <f>IF($A19="","",N(V19)+N(W19)+N(X19)+N(Y19))</f>
        <v/>
      </c>
      <c r="AB19" s="70">
        <f>IF($A19="","",N(S19)*'Paramètres'!$AA$9*IFERROR(INDEX('Paramètres'!$O$5:$O$7,MATCH(G19,'Paramètres'!$N$5:$N$7,0)),0))</f>
        <v/>
      </c>
      <c r="AC19" s="7" t="inlineStr">
        <is>
          <t>Clôturé</t>
        </is>
      </c>
      <c r="AD19" s="69">
        <f>IF(OR($A19="",Q19=""),"",(Q19-B19)*24)</f>
        <v/>
      </c>
      <c r="AE19" s="69">
        <f>IF(OR(Q19="",R19=""),"",(R19-Q19)*24)</f>
        <v/>
      </c>
      <c r="AF19" s="77">
        <f>IF(OR($A19="",B19=""),"",YEAR(B19))</f>
        <v/>
      </c>
      <c r="AG19" s="77">
        <f>IF(OR($A19="",B19=""),"",MONTH(B19))</f>
        <v/>
      </c>
    </row>
    <row r="20">
      <c r="A20" s="7" t="inlineStr">
        <is>
          <t>OT-2025-0016</t>
        </is>
      </c>
      <c r="B20" s="75" t="n">
        <v>45659.42361111111</v>
      </c>
      <c r="C20" s="7" t="inlineStr">
        <is>
          <t>Plan préventif</t>
        </is>
      </c>
      <c r="D20" s="7" t="inlineStr">
        <is>
          <t>EQ-UTI-001</t>
        </is>
      </c>
      <c r="E20" s="9">
        <f>IF(D20="","",IFERROR(INDEX('Équipements'!$B$5:$B$304,MATCH(D20,'Équipements'!$A$5:$A$304,0)),"Code inconnu"))</f>
        <v/>
      </c>
      <c r="F20" s="9">
        <f>IF(D20="","",IFERROR(INDEX('Équipements'!$D$5:$D$304,MATCH(D20,'Équipements'!$A$5:$A$304,0)),""))</f>
        <v/>
      </c>
      <c r="G20" s="9">
        <f>IF(D20="","",IFERROR(INDEX('Équipements'!$K$5:$K$304,MATCH(D20,'Équipements'!$A$5:$A$304,0)),""))</f>
        <v/>
      </c>
      <c r="H20" s="7" t="inlineStr">
        <is>
          <t>Préventif systématique</t>
        </is>
      </c>
      <c r="I20" s="7" t="inlineStr">
        <is>
          <t>GP-088</t>
        </is>
      </c>
      <c r="J20" s="7" t="inlineStr">
        <is>
          <t>Pneumatique</t>
        </is>
      </c>
      <c r="K20" s="7" t="inlineStr">
        <is>
          <t>P3 - Normale</t>
        </is>
      </c>
      <c r="L20" s="7" t="inlineStr">
        <is>
          <t>Purge, contrôle fuites et point de rosée</t>
        </is>
      </c>
      <c r="M20" s="7" t="n"/>
      <c r="N20" s="7" t="inlineStr">
        <is>
          <t>Gamme réalisée - RAS</t>
        </is>
      </c>
      <c r="O20" s="7" t="inlineStr">
        <is>
          <t>Julien Moreau</t>
        </is>
      </c>
      <c r="P20" s="65" t="n">
        <v>45666</v>
      </c>
      <c r="Q20" s="75" t="n">
        <v>45666.25</v>
      </c>
      <c r="R20" s="75" t="n">
        <v>45666.3125</v>
      </c>
      <c r="S20" s="76" t="n">
        <v>0</v>
      </c>
      <c r="T20" s="76" t="n">
        <v>1.5</v>
      </c>
      <c r="U20" s="70">
        <f>IF($A20="","",IFERROR(INDEX('Techniciens'!$F$5:$F$44,MATCH(O20,'Techniciens'!$B$5:$B$44,0)),'Paramètres'!$AA$10))</f>
        <v/>
      </c>
      <c r="V20" s="70">
        <f>IF($A20="","",IF(OR(AC20="Demandé",AC20="Planifié",AC20="Annulé"),0,N(T20)*N(U20)))</f>
        <v/>
      </c>
      <c r="W20" s="70">
        <f>IF($A20="","",SUMIFS('Mouvements stock'!$H$5:$H$3004,'Mouvements stock'!$I$5:$I$3004,$A20,'Mouvements stock'!$C$5:$C$3004,"Sortie")-SUMIFS('Mouvements stock'!$H$5:$H$3004,'Mouvements stock'!$I$5:$I$3004,$A20,'Mouvements stock'!$C$5:$C$3004,"Retour"))</f>
        <v/>
      </c>
      <c r="X20" s="66" t="n">
        <v>0</v>
      </c>
      <c r="Y20" s="66" t="n">
        <v>0</v>
      </c>
      <c r="Z20" s="7" t="n"/>
      <c r="AA20" s="70">
        <f>IF($A20="","",N(V20)+N(W20)+N(X20)+N(Y20))</f>
        <v/>
      </c>
      <c r="AB20" s="70">
        <f>IF($A20="","",N(S20)*'Paramètres'!$AA$9*IFERROR(INDEX('Paramètres'!$O$5:$O$7,MATCH(G20,'Paramètres'!$N$5:$N$7,0)),0))</f>
        <v/>
      </c>
      <c r="AC20" s="7" t="inlineStr">
        <is>
          <t>Clôturé</t>
        </is>
      </c>
      <c r="AD20" s="69">
        <f>IF(OR($A20="",Q20=""),"",(Q20-B20)*24)</f>
        <v/>
      </c>
      <c r="AE20" s="69">
        <f>IF(OR(Q20="",R20=""),"",(R20-Q20)*24)</f>
        <v/>
      </c>
      <c r="AF20" s="77">
        <f>IF(OR($A20="",B20=""),"",YEAR(B20))</f>
        <v/>
      </c>
      <c r="AG20" s="77">
        <f>IF(OR($A20="",B20=""),"",MONTH(B20))</f>
        <v/>
      </c>
    </row>
    <row r="21">
      <c r="A21" s="7" t="inlineStr">
        <is>
          <t>OT-2025-0017</t>
        </is>
      </c>
      <c r="B21" s="75" t="n">
        <v>45660.48611111111</v>
      </c>
      <c r="C21" s="7" t="inlineStr">
        <is>
          <t>Plan préventif</t>
        </is>
      </c>
      <c r="D21" s="7" t="inlineStr">
        <is>
          <t>EQ-ASS-002</t>
        </is>
      </c>
      <c r="E21" s="9">
        <f>IF(D21="","",IFERROR(INDEX('Équipements'!$B$5:$B$304,MATCH(D21,'Équipements'!$A$5:$A$304,0)),"Code inconnu"))</f>
        <v/>
      </c>
      <c r="F21" s="9">
        <f>IF(D21="","",IFERROR(INDEX('Équipements'!$D$5:$D$304,MATCH(D21,'Équipements'!$A$5:$A$304,0)),""))</f>
        <v/>
      </c>
      <c r="G21" s="9">
        <f>IF(D21="","",IFERROR(INDEX('Équipements'!$K$5:$K$304,MATCH(D21,'Équipements'!$A$5:$A$304,0)),""))</f>
        <v/>
      </c>
      <c r="H21" s="7" t="inlineStr">
        <is>
          <t>Préventif systématique</t>
        </is>
      </c>
      <c r="I21" s="7" t="inlineStr">
        <is>
          <t>GP-078</t>
        </is>
      </c>
      <c r="J21" s="7" t="inlineStr">
        <is>
          <t>Hydraulique</t>
        </is>
      </c>
      <c r="K21" s="7" t="inlineStr">
        <is>
          <t>P3 - Normale</t>
        </is>
      </c>
      <c r="L21" s="7" t="inlineStr">
        <is>
          <t>Contrôle hydraulique : fuites, niveaux, pressions</t>
        </is>
      </c>
      <c r="M21" s="7" t="n"/>
      <c r="N21" s="7" t="inlineStr">
        <is>
          <t>Gamme réalisée - RAS</t>
        </is>
      </c>
      <c r="O21" s="7" t="inlineStr">
        <is>
          <t>Karim Benali</t>
        </is>
      </c>
      <c r="P21" s="65" t="n">
        <v>45667</v>
      </c>
      <c r="Q21" s="75" t="n">
        <v>45667.52083333334</v>
      </c>
      <c r="R21" s="75" t="n">
        <v>45667.60416666666</v>
      </c>
      <c r="S21" s="76" t="n">
        <v>0</v>
      </c>
      <c r="T21" s="76" t="n">
        <v>2</v>
      </c>
      <c r="U21" s="70">
        <f>IF($A21="","",IFERROR(INDEX('Techniciens'!$F$5:$F$44,MATCH(O21,'Techniciens'!$B$5:$B$44,0)),'Paramètres'!$AA$10))</f>
        <v/>
      </c>
      <c r="V21" s="70">
        <f>IF($A21="","",IF(OR(AC21="Demandé",AC21="Planifié",AC21="Annulé"),0,N(T21)*N(U21)))</f>
        <v/>
      </c>
      <c r="W21" s="70">
        <f>IF($A21="","",SUMIFS('Mouvements stock'!$H$5:$H$3004,'Mouvements stock'!$I$5:$I$3004,$A21,'Mouvements stock'!$C$5:$C$3004,"Sortie")-SUMIFS('Mouvements stock'!$H$5:$H$3004,'Mouvements stock'!$I$5:$I$3004,$A21,'Mouvements stock'!$C$5:$C$3004,"Retour"))</f>
        <v/>
      </c>
      <c r="X21" s="66" t="n">
        <v>0</v>
      </c>
      <c r="Y21" s="66" t="n">
        <v>0</v>
      </c>
      <c r="Z21" s="7" t="n"/>
      <c r="AA21" s="70">
        <f>IF($A21="","",N(V21)+N(W21)+N(X21)+N(Y21))</f>
        <v/>
      </c>
      <c r="AB21" s="70">
        <f>IF($A21="","",N(S21)*'Paramètres'!$AA$9*IFERROR(INDEX('Paramètres'!$O$5:$O$7,MATCH(G21,'Paramètres'!$N$5:$N$7,0)),0))</f>
        <v/>
      </c>
      <c r="AC21" s="7" t="inlineStr">
        <is>
          <t>Clôturé</t>
        </is>
      </c>
      <c r="AD21" s="69">
        <f>IF(OR($A21="",Q21=""),"",(Q21-B21)*24)</f>
        <v/>
      </c>
      <c r="AE21" s="69">
        <f>IF(OR(Q21="",R21=""),"",(R21-Q21)*24)</f>
        <v/>
      </c>
      <c r="AF21" s="77">
        <f>IF(OR($A21="",B21=""),"",YEAR(B21))</f>
        <v/>
      </c>
      <c r="AG21" s="77">
        <f>IF(OR($A21="",B21=""),"",MONTH(B21))</f>
        <v/>
      </c>
    </row>
    <row r="22">
      <c r="A22" s="7" t="inlineStr">
        <is>
          <t>OT-2025-0018</t>
        </is>
      </c>
      <c r="B22" s="75" t="n">
        <v>45660.49305555555</v>
      </c>
      <c r="C22" s="7" t="inlineStr">
        <is>
          <t>Plan préventif</t>
        </is>
      </c>
      <c r="D22" s="7" t="inlineStr">
        <is>
          <t>EQ-USI-007</t>
        </is>
      </c>
      <c r="E22" s="9">
        <f>IF(D22="","",IFERROR(INDEX('Équipements'!$B$5:$B$304,MATCH(D22,'Équipements'!$A$5:$A$304,0)),"Code inconnu"))</f>
        <v/>
      </c>
      <c r="F22" s="9">
        <f>IF(D22="","",IFERROR(INDEX('Équipements'!$D$5:$D$304,MATCH(D22,'Équipements'!$A$5:$A$304,0)),""))</f>
        <v/>
      </c>
      <c r="G22" s="9">
        <f>IF(D22="","",IFERROR(INDEX('Équipements'!$K$5:$K$304,MATCH(D22,'Équipements'!$A$5:$A$304,0)),""))</f>
        <v/>
      </c>
      <c r="H22" s="7" t="inlineStr">
        <is>
          <t>Préventif systématique</t>
        </is>
      </c>
      <c r="I22" s="7" t="inlineStr">
        <is>
          <t>GP-025</t>
        </is>
      </c>
      <c r="J22" s="7" t="inlineStr">
        <is>
          <t>Mécanique</t>
        </is>
      </c>
      <c r="K22" s="7" t="inlineStr">
        <is>
          <t>P3 - Normale</t>
        </is>
      </c>
      <c r="L22" s="7" t="inlineStr">
        <is>
          <t>Contrôle niveaux, nettoyage filtres et bac à copeaux</t>
        </is>
      </c>
      <c r="M22" s="7" t="n"/>
      <c r="N22" s="7" t="inlineStr">
        <is>
          <t>Gamme réalisée - RAS</t>
        </is>
      </c>
      <c r="O22" s="7" t="inlineStr">
        <is>
          <t>Lucas Fontaine</t>
        </is>
      </c>
      <c r="P22" s="65" t="n">
        <v>45667</v>
      </c>
      <c r="Q22" s="75" t="n">
        <v>45667.45138888889</v>
      </c>
      <c r="R22" s="75" t="n">
        <v>45667.52430555555</v>
      </c>
      <c r="S22" s="76" t="n">
        <v>0</v>
      </c>
      <c r="T22" s="76" t="n">
        <v>1.75</v>
      </c>
      <c r="U22" s="70">
        <f>IF($A22="","",IFERROR(INDEX('Techniciens'!$F$5:$F$44,MATCH(O22,'Techniciens'!$B$5:$B$44,0)),'Paramètres'!$AA$10))</f>
        <v/>
      </c>
      <c r="V22" s="70">
        <f>IF($A22="","",IF(OR(AC22="Demandé",AC22="Planifié",AC22="Annulé"),0,N(T22)*N(U22)))</f>
        <v/>
      </c>
      <c r="W22" s="70">
        <f>IF($A22="","",SUMIFS('Mouvements stock'!$H$5:$H$3004,'Mouvements stock'!$I$5:$I$3004,$A22,'Mouvements stock'!$C$5:$C$3004,"Sortie")-SUMIFS('Mouvements stock'!$H$5:$H$3004,'Mouvements stock'!$I$5:$I$3004,$A22,'Mouvements stock'!$C$5:$C$3004,"Retour"))</f>
        <v/>
      </c>
      <c r="X22" s="66" t="n">
        <v>0</v>
      </c>
      <c r="Y22" s="66" t="n">
        <v>0</v>
      </c>
      <c r="Z22" s="7" t="n"/>
      <c r="AA22" s="70">
        <f>IF($A22="","",N(V22)+N(W22)+N(X22)+N(Y22))</f>
        <v/>
      </c>
      <c r="AB22" s="70">
        <f>IF($A22="","",N(S22)*'Paramètres'!$AA$9*IFERROR(INDEX('Paramètres'!$O$5:$O$7,MATCH(G22,'Paramètres'!$N$5:$N$7,0)),0))</f>
        <v/>
      </c>
      <c r="AC22" s="7" t="inlineStr">
        <is>
          <t>Clôturé</t>
        </is>
      </c>
      <c r="AD22" s="69">
        <f>IF(OR($A22="",Q22=""),"",(Q22-B22)*24)</f>
        <v/>
      </c>
      <c r="AE22" s="69">
        <f>IF(OR(Q22="",R22=""),"",(R22-Q22)*24)</f>
        <v/>
      </c>
      <c r="AF22" s="77">
        <f>IF(OR($A22="",B22=""),"",YEAR(B22))</f>
        <v/>
      </c>
      <c r="AG22" s="77">
        <f>IF(OR($A22="",B22=""),"",MONTH(B22))</f>
        <v/>
      </c>
    </row>
    <row r="23">
      <c r="A23" s="7" t="inlineStr">
        <is>
          <t>OT-2025-0019</t>
        </is>
      </c>
      <c r="B23" s="75" t="n">
        <v>45661.61319444444</v>
      </c>
      <c r="C23" s="7" t="inlineStr">
        <is>
          <t>Opérateur usinage</t>
        </is>
      </c>
      <c r="D23" s="7" t="inlineStr">
        <is>
          <t>EQ-USI-003</t>
        </is>
      </c>
      <c r="E23" s="9">
        <f>IF(D23="","",IFERROR(INDEX('Équipements'!$B$5:$B$304,MATCH(D23,'Équipements'!$A$5:$A$304,0)),"Code inconnu"))</f>
        <v/>
      </c>
      <c r="F23" s="9">
        <f>IF(D23="","",IFERROR(INDEX('Équipements'!$D$5:$D$304,MATCH(D23,'Équipements'!$A$5:$A$304,0)),""))</f>
        <v/>
      </c>
      <c r="G23" s="9">
        <f>IF(D23="","",IFERROR(INDEX('Équipements'!$K$5:$K$304,MATCH(D23,'Équipements'!$A$5:$A$304,0)),""))</f>
        <v/>
      </c>
      <c r="H23" s="7" t="inlineStr">
        <is>
          <t>Correctif</t>
        </is>
      </c>
      <c r="I23" s="7" t="n"/>
      <c r="J23" s="7" t="inlineStr">
        <is>
          <t>Électrique</t>
        </is>
      </c>
      <c r="K23" s="7" t="inlineStr">
        <is>
          <t>P2 - Haute</t>
        </is>
      </c>
      <c r="L23" s="7" t="inlineStr">
        <is>
          <t>Alarme codeur axe X</t>
        </is>
      </c>
      <c r="M23" s="7" t="inlineStr">
        <is>
          <t>Défaut capteur</t>
        </is>
      </c>
      <c r="N23" s="7" t="inlineStr">
        <is>
          <t>Contrôle câblage, remplacement codeur</t>
        </is>
      </c>
      <c r="O23" s="7" t="inlineStr">
        <is>
          <t>Antoine Mercier</t>
        </is>
      </c>
      <c r="P23" s="65" t="n"/>
      <c r="Q23" s="75" t="n">
        <v>45661.73680555556</v>
      </c>
      <c r="R23" s="75" t="n">
        <v>45661.88263888889</v>
      </c>
      <c r="S23" s="76" t="n">
        <v>6.5</v>
      </c>
      <c r="T23" s="76" t="n">
        <v>3.5</v>
      </c>
      <c r="U23" s="70">
        <f>IF($A23="","",IFERROR(INDEX('Techniciens'!$F$5:$F$44,MATCH(O23,'Techniciens'!$B$5:$B$44,0)),'Paramètres'!$AA$10))</f>
        <v/>
      </c>
      <c r="V23" s="70">
        <f>IF($A23="","",IF(OR(AC23="Demandé",AC23="Planifié",AC23="Annulé"),0,N(T23)*N(U23)))</f>
        <v/>
      </c>
      <c r="W23" s="70">
        <f>IF($A23="","",SUMIFS('Mouvements stock'!$H$5:$H$3004,'Mouvements stock'!$I$5:$I$3004,$A23,'Mouvements stock'!$C$5:$C$3004,"Sortie")-SUMIFS('Mouvements stock'!$H$5:$H$3004,'Mouvements stock'!$I$5:$I$3004,$A23,'Mouvements stock'!$C$5:$C$3004,"Retour"))</f>
        <v/>
      </c>
      <c r="X23" s="66" t="n">
        <v>0</v>
      </c>
      <c r="Y23" s="66" t="n">
        <v>0</v>
      </c>
      <c r="Z23" s="7" t="n"/>
      <c r="AA23" s="70">
        <f>IF($A23="","",N(V23)+N(W23)+N(X23)+N(Y23))</f>
        <v/>
      </c>
      <c r="AB23" s="70">
        <f>IF($A23="","",N(S23)*'Paramètres'!$AA$9*IFERROR(INDEX('Paramètres'!$O$5:$O$7,MATCH(G23,'Paramètres'!$N$5:$N$7,0)),0))</f>
        <v/>
      </c>
      <c r="AC23" s="7" t="inlineStr">
        <is>
          <t>Clôturé</t>
        </is>
      </c>
      <c r="AD23" s="69">
        <f>IF(OR($A23="",Q23=""),"",(Q23-B23)*24)</f>
        <v/>
      </c>
      <c r="AE23" s="69">
        <f>IF(OR(Q23="",R23=""),"",(R23-Q23)*24)</f>
        <v/>
      </c>
      <c r="AF23" s="77">
        <f>IF(OR($A23="",B23=""),"",YEAR(B23))</f>
        <v/>
      </c>
      <c r="AG23" s="77">
        <f>IF(OR($A23="",B23=""),"",MONTH(B23))</f>
        <v/>
      </c>
    </row>
    <row r="24">
      <c r="A24" s="7" t="inlineStr">
        <is>
          <t>OT-2025-0020</t>
        </is>
      </c>
      <c r="B24" s="75" t="n">
        <v>45661.71458333333</v>
      </c>
      <c r="C24" s="7" t="inlineStr">
        <is>
          <t>Opérateur soudure</t>
        </is>
      </c>
      <c r="D24" s="7" t="inlineStr">
        <is>
          <t>EQ-SOU-002</t>
        </is>
      </c>
      <c r="E24" s="9">
        <f>IF(D24="","",IFERROR(INDEX('Équipements'!$B$5:$B$304,MATCH(D24,'Équipements'!$A$5:$A$304,0)),"Code inconnu"))</f>
        <v/>
      </c>
      <c r="F24" s="9">
        <f>IF(D24="","",IFERROR(INDEX('Équipements'!$D$5:$D$304,MATCH(D24,'Équipements'!$A$5:$A$304,0)),""))</f>
        <v/>
      </c>
      <c r="G24" s="9">
        <f>IF(D24="","",IFERROR(INDEX('Équipements'!$K$5:$K$304,MATCH(D24,'Équipements'!$A$5:$A$304,0)),""))</f>
        <v/>
      </c>
      <c r="H24" s="7" t="inlineStr">
        <is>
          <t>Correctif</t>
        </is>
      </c>
      <c r="I24" s="7" t="n"/>
      <c r="J24" s="7" t="inlineStr">
        <is>
          <t>Mécanique</t>
        </is>
      </c>
      <c r="K24" s="7" t="inlineStr">
        <is>
          <t>P3 - Normale</t>
        </is>
      </c>
      <c r="L24" s="7" t="inlineStr">
        <is>
          <t>Torche défectueuse</t>
        </is>
      </c>
      <c r="M24" s="7" t="inlineStr">
        <is>
          <t>Usure</t>
        </is>
      </c>
      <c r="N24" s="7" t="inlineStr">
        <is>
          <t>Réparation torche, remplacement buse</t>
        </is>
      </c>
      <c r="O24" s="7" t="inlineStr">
        <is>
          <t>Lucas Fontaine</t>
        </is>
      </c>
      <c r="P24" s="65" t="n"/>
      <c r="Q24" s="75" t="n">
        <v>45662.22291666667</v>
      </c>
      <c r="R24" s="75" t="n">
        <v>45662.4</v>
      </c>
      <c r="S24" s="76" t="n">
        <v>0</v>
      </c>
      <c r="T24" s="76" t="n">
        <v>4.25</v>
      </c>
      <c r="U24" s="70">
        <f>IF($A24="","",IFERROR(INDEX('Techniciens'!$F$5:$F$44,MATCH(O24,'Techniciens'!$B$5:$B$44,0)),'Paramètres'!$AA$10))</f>
        <v/>
      </c>
      <c r="V24" s="70">
        <f>IF($A24="","",IF(OR(AC24="Demandé",AC24="Planifié",AC24="Annulé"),0,N(T24)*N(U24)))</f>
        <v/>
      </c>
      <c r="W24" s="70">
        <f>IF($A24="","",SUMIFS('Mouvements stock'!$H$5:$H$3004,'Mouvements stock'!$I$5:$I$3004,$A24,'Mouvements stock'!$C$5:$C$3004,"Sortie")-SUMIFS('Mouvements stock'!$H$5:$H$3004,'Mouvements stock'!$I$5:$I$3004,$A24,'Mouvements stock'!$C$5:$C$3004,"Retour"))</f>
        <v/>
      </c>
      <c r="X24" s="66" t="n">
        <v>0</v>
      </c>
      <c r="Y24" s="66" t="n">
        <v>0</v>
      </c>
      <c r="Z24" s="7" t="n"/>
      <c r="AA24" s="70">
        <f>IF($A24="","",N(V24)+N(W24)+N(X24)+N(Y24))</f>
        <v/>
      </c>
      <c r="AB24" s="70">
        <f>IF($A24="","",N(S24)*'Paramètres'!$AA$9*IFERROR(INDEX('Paramètres'!$O$5:$O$7,MATCH(G24,'Paramètres'!$N$5:$N$7,0)),0))</f>
        <v/>
      </c>
      <c r="AC24" s="7" t="inlineStr">
        <is>
          <t>Clôturé</t>
        </is>
      </c>
      <c r="AD24" s="69">
        <f>IF(OR($A24="",Q24=""),"",(Q24-B24)*24)</f>
        <v/>
      </c>
      <c r="AE24" s="69">
        <f>IF(OR(Q24="",R24=""),"",(R24-Q24)*24)</f>
        <v/>
      </c>
      <c r="AF24" s="77">
        <f>IF(OR($A24="",B24=""),"",YEAR(B24))</f>
        <v/>
      </c>
      <c r="AG24" s="77">
        <f>IF(OR($A24="",B24=""),"",MONTH(B24))</f>
        <v/>
      </c>
    </row>
    <row r="25">
      <c r="A25" s="7" t="inlineStr">
        <is>
          <t>OT-2025-0021</t>
        </is>
      </c>
      <c r="B25" s="75" t="n">
        <v>45663.36805555555</v>
      </c>
      <c r="C25" s="7" t="inlineStr">
        <is>
          <t>Plan préventif</t>
        </is>
      </c>
      <c r="D25" s="7" t="inlineStr">
        <is>
          <t>EQ-USI-005</t>
        </is>
      </c>
      <c r="E25" s="9">
        <f>IF(D25="","",IFERROR(INDEX('Équipements'!$B$5:$B$304,MATCH(D25,'Équipements'!$A$5:$A$304,0)),"Code inconnu"))</f>
        <v/>
      </c>
      <c r="F25" s="9">
        <f>IF(D25="","",IFERROR(INDEX('Équipements'!$D$5:$D$304,MATCH(D25,'Équipements'!$A$5:$A$304,0)),""))</f>
        <v/>
      </c>
      <c r="G25" s="9">
        <f>IF(D25="","",IFERROR(INDEX('Équipements'!$K$5:$K$304,MATCH(D25,'Équipements'!$A$5:$A$304,0)),""))</f>
        <v/>
      </c>
      <c r="H25" s="7" t="inlineStr">
        <is>
          <t>Préventif systématique</t>
        </is>
      </c>
      <c r="I25" s="7" t="inlineStr">
        <is>
          <t>GP-019</t>
        </is>
      </c>
      <c r="J25" s="7" t="inlineStr">
        <is>
          <t>Hydraulique</t>
        </is>
      </c>
      <c r="K25" s="7" t="inlineStr">
        <is>
          <t>P3 - Normale</t>
        </is>
      </c>
      <c r="L25" s="7" t="inlineStr">
        <is>
          <t>Vidange groupe hydraulique et remplacement filtres</t>
        </is>
      </c>
      <c r="M25" s="7" t="n"/>
      <c r="N25" s="7" t="inlineStr">
        <is>
          <t>Gamme réalisée - RAS</t>
        </is>
      </c>
      <c r="O25" s="7" t="inlineStr">
        <is>
          <t>Antoine Mercier</t>
        </is>
      </c>
      <c r="P25" s="65" t="n">
        <v>45670</v>
      </c>
      <c r="Q25" s="75" t="n">
        <v>45670.58333333334</v>
      </c>
      <c r="R25" s="75" t="n">
        <v>45670.80208333334</v>
      </c>
      <c r="S25" s="76" t="n">
        <v>0</v>
      </c>
      <c r="T25" s="76" t="n">
        <v>5.25</v>
      </c>
      <c r="U25" s="70">
        <f>IF($A25="","",IFERROR(INDEX('Techniciens'!$F$5:$F$44,MATCH(O25,'Techniciens'!$B$5:$B$44,0)),'Paramètres'!$AA$10))</f>
        <v/>
      </c>
      <c r="V25" s="70">
        <f>IF($A25="","",IF(OR(AC25="Demandé",AC25="Planifié",AC25="Annulé"),0,N(T25)*N(U25)))</f>
        <v/>
      </c>
      <c r="W25" s="70">
        <f>IF($A25="","",SUMIFS('Mouvements stock'!$H$5:$H$3004,'Mouvements stock'!$I$5:$I$3004,$A25,'Mouvements stock'!$C$5:$C$3004,"Sortie")-SUMIFS('Mouvements stock'!$H$5:$H$3004,'Mouvements stock'!$I$5:$I$3004,$A25,'Mouvements stock'!$C$5:$C$3004,"Retour"))</f>
        <v/>
      </c>
      <c r="X25" s="66" t="n">
        <v>0</v>
      </c>
      <c r="Y25" s="66" t="n">
        <v>0</v>
      </c>
      <c r="Z25" s="7" t="n"/>
      <c r="AA25" s="70">
        <f>IF($A25="","",N(V25)+N(W25)+N(X25)+N(Y25))</f>
        <v/>
      </c>
      <c r="AB25" s="70">
        <f>IF($A25="","",N(S25)*'Paramètres'!$AA$9*IFERROR(INDEX('Paramètres'!$O$5:$O$7,MATCH(G25,'Paramètres'!$N$5:$N$7,0)),0))</f>
        <v/>
      </c>
      <c r="AC25" s="7" t="inlineStr">
        <is>
          <t>Clôturé</t>
        </is>
      </c>
      <c r="AD25" s="69">
        <f>IF(OR($A25="",Q25=""),"",(Q25-B25)*24)</f>
        <v/>
      </c>
      <c r="AE25" s="69">
        <f>IF(OR(Q25="",R25=""),"",(R25-Q25)*24)</f>
        <v/>
      </c>
      <c r="AF25" s="77">
        <f>IF(OR($A25="",B25=""),"",YEAR(B25))</f>
        <v/>
      </c>
      <c r="AG25" s="77">
        <f>IF(OR($A25="",B25=""),"",MONTH(B25))</f>
        <v/>
      </c>
    </row>
    <row r="26">
      <c r="A26" s="7" t="inlineStr">
        <is>
          <t>OT-2025-0022</t>
        </is>
      </c>
      <c r="B26" s="75" t="n">
        <v>45663.38541666666</v>
      </c>
      <c r="C26" s="7" t="inlineStr">
        <is>
          <t>Plan préventif</t>
        </is>
      </c>
      <c r="D26" s="7" t="inlineStr">
        <is>
          <t>EQ-BAT-003</t>
        </is>
      </c>
      <c r="E26" s="9">
        <f>IF(D26="","",IFERROR(INDEX('Équipements'!$B$5:$B$304,MATCH(D26,'Équipements'!$A$5:$A$304,0)),"Code inconnu"))</f>
        <v/>
      </c>
      <c r="F26" s="9">
        <f>IF(D26="","",IFERROR(INDEX('Équipements'!$D$5:$D$304,MATCH(D26,'Équipements'!$A$5:$A$304,0)),""))</f>
        <v/>
      </c>
      <c r="G26" s="9">
        <f>IF(D26="","",IFERROR(INDEX('Équipements'!$K$5:$K$304,MATCH(D26,'Équipements'!$A$5:$A$304,0)),""))</f>
        <v/>
      </c>
      <c r="H26" s="7" t="inlineStr">
        <is>
          <t>Préventif systématique</t>
        </is>
      </c>
      <c r="I26" s="7" t="inlineStr">
        <is>
          <t>GP-124</t>
        </is>
      </c>
      <c r="J26" s="7" t="inlineStr">
        <is>
          <t>Mécanique</t>
        </is>
      </c>
      <c r="K26" s="7" t="inlineStr">
        <is>
          <t>P3 - Normale</t>
        </is>
      </c>
      <c r="L26" s="7" t="inlineStr">
        <is>
          <t>Remplacement filtres et nettoyage batteries</t>
        </is>
      </c>
      <c r="M26" s="7" t="n"/>
      <c r="N26" s="7" t="inlineStr">
        <is>
          <t>Gamme réalisée - RAS</t>
        </is>
      </c>
      <c r="O26" s="7" t="inlineStr">
        <is>
          <t>Lucas Fontaine</t>
        </is>
      </c>
      <c r="P26" s="65" t="n">
        <v>45670</v>
      </c>
      <c r="Q26" s="75" t="n">
        <v>45670.42361111111</v>
      </c>
      <c r="R26" s="75" t="n">
        <v>45670.51736111111</v>
      </c>
      <c r="S26" s="76" t="n">
        <v>0</v>
      </c>
      <c r="T26" s="76" t="n">
        <v>2.25</v>
      </c>
      <c r="U26" s="70">
        <f>IF($A26="","",IFERROR(INDEX('Techniciens'!$F$5:$F$44,MATCH(O26,'Techniciens'!$B$5:$B$44,0)),'Paramètres'!$AA$10))</f>
        <v/>
      </c>
      <c r="V26" s="70">
        <f>IF($A26="","",IF(OR(AC26="Demandé",AC26="Planifié",AC26="Annulé"),0,N(T26)*N(U26)))</f>
        <v/>
      </c>
      <c r="W26" s="70">
        <f>IF($A26="","",SUMIFS('Mouvements stock'!$H$5:$H$3004,'Mouvements stock'!$I$5:$I$3004,$A26,'Mouvements stock'!$C$5:$C$3004,"Sortie")-SUMIFS('Mouvements stock'!$H$5:$H$3004,'Mouvements stock'!$I$5:$I$3004,$A26,'Mouvements stock'!$C$5:$C$3004,"Retour"))</f>
        <v/>
      </c>
      <c r="X26" s="66" t="n">
        <v>0</v>
      </c>
      <c r="Y26" s="66" t="n">
        <v>0</v>
      </c>
      <c r="Z26" s="7" t="n"/>
      <c r="AA26" s="70">
        <f>IF($A26="","",N(V26)+N(W26)+N(X26)+N(Y26))</f>
        <v/>
      </c>
      <c r="AB26" s="70">
        <f>IF($A26="","",N(S26)*'Paramètres'!$AA$9*IFERROR(INDEX('Paramètres'!$O$5:$O$7,MATCH(G26,'Paramètres'!$N$5:$N$7,0)),0))</f>
        <v/>
      </c>
      <c r="AC26" s="7" t="inlineStr">
        <is>
          <t>Clôturé</t>
        </is>
      </c>
      <c r="AD26" s="69">
        <f>IF(OR($A26="",Q26=""),"",(Q26-B26)*24)</f>
        <v/>
      </c>
      <c r="AE26" s="69">
        <f>IF(OR(Q26="",R26=""),"",(R26-Q26)*24)</f>
        <v/>
      </c>
      <c r="AF26" s="77">
        <f>IF(OR($A26="",B26=""),"",YEAR(B26))</f>
        <v/>
      </c>
      <c r="AG26" s="77">
        <f>IF(OR($A26="",B26=""),"",MONTH(B26))</f>
        <v/>
      </c>
    </row>
    <row r="27">
      <c r="A27" s="7" t="inlineStr">
        <is>
          <t>OT-2025-0023</t>
        </is>
      </c>
      <c r="B27" s="75" t="n">
        <v>45663.38888888889</v>
      </c>
      <c r="C27" s="7" t="inlineStr">
        <is>
          <t>Planning réglementaire</t>
        </is>
      </c>
      <c r="D27" s="7" t="inlineStr">
        <is>
          <t>EQ-TOL-002</t>
        </is>
      </c>
      <c r="E27" s="9">
        <f>IF(D27="","",IFERROR(INDEX('Équipements'!$B$5:$B$304,MATCH(D27,'Équipements'!$A$5:$A$304,0)),"Code inconnu"))</f>
        <v/>
      </c>
      <c r="F27" s="9">
        <f>IF(D27="","",IFERROR(INDEX('Équipements'!$D$5:$D$304,MATCH(D27,'Équipements'!$A$5:$A$304,0)),""))</f>
        <v/>
      </c>
      <c r="G27" s="9">
        <f>IF(D27="","",IFERROR(INDEX('Équipements'!$K$5:$K$304,MATCH(D27,'Équipements'!$A$5:$A$304,0)),""))</f>
        <v/>
      </c>
      <c r="H27" s="7" t="inlineStr">
        <is>
          <t>Réglementaire</t>
        </is>
      </c>
      <c r="I27" s="7" t="inlineStr">
        <is>
          <t>CR-010</t>
        </is>
      </c>
      <c r="J27" s="7" t="inlineStr">
        <is>
          <t>Multi-technique</t>
        </is>
      </c>
      <c r="K27" s="7" t="inlineStr">
        <is>
          <t>P2 - Haute</t>
        </is>
      </c>
      <c r="L27" s="7" t="inlineStr">
        <is>
          <t>Vérification périodique presse plieuse</t>
        </is>
      </c>
      <c r="M27" s="7" t="n"/>
      <c r="N27" s="7" t="inlineStr">
        <is>
          <t>Contrôle réalisé - observations mineures au rapport</t>
        </is>
      </c>
      <c r="O27" s="7" t="inlineStr">
        <is>
          <t>Nadia Rousseau</t>
        </is>
      </c>
      <c r="P27" s="65" t="n">
        <v>45684</v>
      </c>
      <c r="Q27" s="75" t="n">
        <v>45684.55555555555</v>
      </c>
      <c r="R27" s="75" t="n">
        <v>45684.67013888889</v>
      </c>
      <c r="S27" s="76" t="n">
        <v>1</v>
      </c>
      <c r="T27" s="76" t="n">
        <v>2.75</v>
      </c>
      <c r="U27" s="70">
        <f>IF($A27="","",IFERROR(INDEX('Techniciens'!$F$5:$F$44,MATCH(O27,'Techniciens'!$B$5:$B$44,0)),'Paramètres'!$AA$10))</f>
        <v/>
      </c>
      <c r="V27" s="70">
        <f>IF($A27="","",IF(OR(AC27="Demandé",AC27="Planifié",AC27="Annulé"),0,N(T27)*N(U27)))</f>
        <v/>
      </c>
      <c r="W27" s="70">
        <f>IF($A27="","",SUMIFS('Mouvements stock'!$H$5:$H$3004,'Mouvements stock'!$I$5:$I$3004,$A27,'Mouvements stock'!$C$5:$C$3004,"Sortie")-SUMIFS('Mouvements stock'!$H$5:$H$3004,'Mouvements stock'!$I$5:$I$3004,$A27,'Mouvements stock'!$C$5:$C$3004,"Retour"))</f>
        <v/>
      </c>
      <c r="X27" s="66" t="n">
        <v>0</v>
      </c>
      <c r="Y27" s="66" t="n">
        <v>230</v>
      </c>
      <c r="Z27" s="7" t="inlineStr">
        <is>
          <t>CONTROLIS (organisme fictif)</t>
        </is>
      </c>
      <c r="AA27" s="70">
        <f>IF($A27="","",N(V27)+N(W27)+N(X27)+N(Y27))</f>
        <v/>
      </c>
      <c r="AB27" s="70">
        <f>IF($A27="","",N(S27)*'Paramètres'!$AA$9*IFERROR(INDEX('Paramètres'!$O$5:$O$7,MATCH(G27,'Paramètres'!$N$5:$N$7,0)),0))</f>
        <v/>
      </c>
      <c r="AC27" s="7" t="inlineStr">
        <is>
          <t>Clôturé</t>
        </is>
      </c>
      <c r="AD27" s="69">
        <f>IF(OR($A27="",Q27=""),"",(Q27-B27)*24)</f>
        <v/>
      </c>
      <c r="AE27" s="69">
        <f>IF(OR(Q27="",R27=""),"",(R27-Q27)*24)</f>
        <v/>
      </c>
      <c r="AF27" s="77">
        <f>IF(OR($A27="",B27=""),"",YEAR(B27))</f>
        <v/>
      </c>
      <c r="AG27" s="77">
        <f>IF(OR($A27="",B27=""),"",MONTH(B27))</f>
        <v/>
      </c>
    </row>
    <row r="28">
      <c r="A28" s="7" t="inlineStr">
        <is>
          <t>OT-2025-0024</t>
        </is>
      </c>
      <c r="B28" s="75" t="n">
        <v>45663.4375</v>
      </c>
      <c r="C28" s="7" t="inlineStr">
        <is>
          <t>Plan préventif</t>
        </is>
      </c>
      <c r="D28" s="7" t="inlineStr">
        <is>
          <t>EQ-ASS-001</t>
        </is>
      </c>
      <c r="E28" s="9">
        <f>IF(D28="","",IFERROR(INDEX('Équipements'!$B$5:$B$304,MATCH(D28,'Équipements'!$A$5:$A$304,0)),"Code inconnu"))</f>
        <v/>
      </c>
      <c r="F28" s="9">
        <f>IF(D28="","",IFERROR(INDEX('Équipements'!$D$5:$D$304,MATCH(D28,'Équipements'!$A$5:$A$304,0)),""))</f>
        <v/>
      </c>
      <c r="G28" s="9">
        <f>IF(D28="","",IFERROR(INDEX('Équipements'!$K$5:$K$304,MATCH(D28,'Équipements'!$A$5:$A$304,0)),""))</f>
        <v/>
      </c>
      <c r="H28" s="7" t="inlineStr">
        <is>
          <t>Préventif systématique</t>
        </is>
      </c>
      <c r="I28" s="7" t="inlineStr">
        <is>
          <t>GP-076</t>
        </is>
      </c>
      <c r="J28" s="7" t="inlineStr">
        <is>
          <t>Mécanique</t>
        </is>
      </c>
      <c r="K28" s="7" t="inlineStr">
        <is>
          <t>P3 - Normale</t>
        </is>
      </c>
      <c r="L28" s="7" t="inlineStr">
        <is>
          <t>Graissage chaîne / galets et contrôle tension</t>
        </is>
      </c>
      <c r="M28" s="7" t="n"/>
      <c r="N28" s="7" t="inlineStr">
        <is>
          <t>Gamme réalisée - RAS</t>
        </is>
      </c>
      <c r="O28" s="7" t="inlineStr">
        <is>
          <t>Lucas Fontaine</t>
        </is>
      </c>
      <c r="P28" s="65" t="n">
        <v>45670</v>
      </c>
      <c r="Q28" s="75" t="n">
        <v>45670.42708333334</v>
      </c>
      <c r="R28" s="75" t="n">
        <v>45670.5</v>
      </c>
      <c r="S28" s="76" t="n">
        <v>1.8</v>
      </c>
      <c r="T28" s="76" t="n">
        <v>1.75</v>
      </c>
      <c r="U28" s="70">
        <f>IF($A28="","",IFERROR(INDEX('Techniciens'!$F$5:$F$44,MATCH(O28,'Techniciens'!$B$5:$B$44,0)),'Paramètres'!$AA$10))</f>
        <v/>
      </c>
      <c r="V28" s="70">
        <f>IF($A28="","",IF(OR(AC28="Demandé",AC28="Planifié",AC28="Annulé"),0,N(T28)*N(U28)))</f>
        <v/>
      </c>
      <c r="W28" s="70">
        <f>IF($A28="","",SUMIFS('Mouvements stock'!$H$5:$H$3004,'Mouvements stock'!$I$5:$I$3004,$A28,'Mouvements stock'!$C$5:$C$3004,"Sortie")-SUMIFS('Mouvements stock'!$H$5:$H$3004,'Mouvements stock'!$I$5:$I$3004,$A28,'Mouvements stock'!$C$5:$C$3004,"Retour"))</f>
        <v/>
      </c>
      <c r="X28" s="66" t="n">
        <v>0</v>
      </c>
      <c r="Y28" s="66" t="n">
        <v>0</v>
      </c>
      <c r="Z28" s="7" t="n"/>
      <c r="AA28" s="70">
        <f>IF($A28="","",N(V28)+N(W28)+N(X28)+N(Y28))</f>
        <v/>
      </c>
      <c r="AB28" s="70">
        <f>IF($A28="","",N(S28)*'Paramètres'!$AA$9*IFERROR(INDEX('Paramètres'!$O$5:$O$7,MATCH(G28,'Paramètres'!$N$5:$N$7,0)),0))</f>
        <v/>
      </c>
      <c r="AC28" s="7" t="inlineStr">
        <is>
          <t>Clôturé</t>
        </is>
      </c>
      <c r="AD28" s="69">
        <f>IF(OR($A28="",Q28=""),"",(Q28-B28)*24)</f>
        <v/>
      </c>
      <c r="AE28" s="69">
        <f>IF(OR(Q28="",R28=""),"",(R28-Q28)*24)</f>
        <v/>
      </c>
      <c r="AF28" s="77">
        <f>IF(OR($A28="",B28=""),"",YEAR(B28))</f>
        <v/>
      </c>
      <c r="AG28" s="77">
        <f>IF(OR($A28="",B28=""),"",MONTH(B28))</f>
        <v/>
      </c>
    </row>
    <row r="29">
      <c r="A29" s="7" t="inlineStr">
        <is>
          <t>OT-2025-0025</t>
        </is>
      </c>
      <c r="B29" s="75" t="n">
        <v>45663.44444444445</v>
      </c>
      <c r="C29" s="7" t="inlineStr">
        <is>
          <t>Plan préventif</t>
        </is>
      </c>
      <c r="D29" s="7" t="inlineStr">
        <is>
          <t>EQ-UTI-009</t>
        </is>
      </c>
      <c r="E29" s="9">
        <f>IF(D29="","",IFERROR(INDEX('Équipements'!$B$5:$B$304,MATCH(D29,'Équipements'!$A$5:$A$304,0)),"Code inconnu"))</f>
        <v/>
      </c>
      <c r="F29" s="9">
        <f>IF(D29="","",IFERROR(INDEX('Équipements'!$D$5:$D$304,MATCH(D29,'Équipements'!$A$5:$A$304,0)),""))</f>
        <v/>
      </c>
      <c r="G29" s="9">
        <f>IF(D29="","",IFERROR(INDEX('Équipements'!$K$5:$K$304,MATCH(D29,'Équipements'!$A$5:$A$304,0)),""))</f>
        <v/>
      </c>
      <c r="H29" s="7" t="inlineStr">
        <is>
          <t>Préventif systématique</t>
        </is>
      </c>
      <c r="I29" s="7" t="inlineStr">
        <is>
          <t>GP-101</t>
        </is>
      </c>
      <c r="J29" s="7" t="inlineStr">
        <is>
          <t>Électrique</t>
        </is>
      </c>
      <c r="K29" s="7" t="inlineStr">
        <is>
          <t>P3 - Normale</t>
        </is>
      </c>
      <c r="L29" s="7" t="inlineStr">
        <is>
          <t>Étalonnage des sondes pH / redox</t>
        </is>
      </c>
      <c r="M29" s="7" t="n"/>
      <c r="N29" s="7" t="inlineStr">
        <is>
          <t>Gamme réalisée - serrages repris</t>
        </is>
      </c>
      <c r="O29" s="7" t="inlineStr">
        <is>
          <t>Thomas Petit</t>
        </is>
      </c>
      <c r="P29" s="65" t="n">
        <v>45670</v>
      </c>
      <c r="Q29" s="75" t="n">
        <v>45670.60416666666</v>
      </c>
      <c r="R29" s="75" t="n">
        <v>45670.67708333334</v>
      </c>
      <c r="S29" s="76" t="n">
        <v>0</v>
      </c>
      <c r="T29" s="76" t="n">
        <v>1.75</v>
      </c>
      <c r="U29" s="70">
        <f>IF($A29="","",IFERROR(INDEX('Techniciens'!$F$5:$F$44,MATCH(O29,'Techniciens'!$B$5:$B$44,0)),'Paramètres'!$AA$10))</f>
        <v/>
      </c>
      <c r="V29" s="70">
        <f>IF($A29="","",IF(OR(AC29="Demandé",AC29="Planifié",AC29="Annulé"),0,N(T29)*N(U29)))</f>
        <v/>
      </c>
      <c r="W29" s="70">
        <f>IF($A29="","",SUMIFS('Mouvements stock'!$H$5:$H$3004,'Mouvements stock'!$I$5:$I$3004,$A29,'Mouvements stock'!$C$5:$C$3004,"Sortie")-SUMIFS('Mouvements stock'!$H$5:$H$3004,'Mouvements stock'!$I$5:$I$3004,$A29,'Mouvements stock'!$C$5:$C$3004,"Retour"))</f>
        <v/>
      </c>
      <c r="X29" s="66" t="n">
        <v>0</v>
      </c>
      <c r="Y29" s="66" t="n">
        <v>0</v>
      </c>
      <c r="Z29" s="7" t="n"/>
      <c r="AA29" s="70">
        <f>IF($A29="","",N(V29)+N(W29)+N(X29)+N(Y29))</f>
        <v/>
      </c>
      <c r="AB29" s="70">
        <f>IF($A29="","",N(S29)*'Paramètres'!$AA$9*IFERROR(INDEX('Paramètres'!$O$5:$O$7,MATCH(G29,'Paramètres'!$N$5:$N$7,0)),0))</f>
        <v/>
      </c>
      <c r="AC29" s="7" t="inlineStr">
        <is>
          <t>Clôturé</t>
        </is>
      </c>
      <c r="AD29" s="69">
        <f>IF(OR($A29="",Q29=""),"",(Q29-B29)*24)</f>
        <v/>
      </c>
      <c r="AE29" s="69">
        <f>IF(OR(Q29="",R29=""),"",(R29-Q29)*24)</f>
        <v/>
      </c>
      <c r="AF29" s="77">
        <f>IF(OR($A29="",B29=""),"",YEAR(B29))</f>
        <v/>
      </c>
      <c r="AG29" s="77">
        <f>IF(OR($A29="",B29=""),"",MONTH(B29))</f>
        <v/>
      </c>
    </row>
    <row r="30">
      <c r="A30" s="7" t="inlineStr">
        <is>
          <t>OT-2025-0026</t>
        </is>
      </c>
      <c r="B30" s="75" t="n">
        <v>45663.45138888889</v>
      </c>
      <c r="C30" s="7" t="inlineStr">
        <is>
          <t>Plan préventif</t>
        </is>
      </c>
      <c r="D30" s="7" t="inlineStr">
        <is>
          <t>EQ-LOG-002</t>
        </is>
      </c>
      <c r="E30" s="9">
        <f>IF(D30="","",IFERROR(INDEX('Équipements'!$B$5:$B$304,MATCH(D30,'Équipements'!$A$5:$A$304,0)),"Code inconnu"))</f>
        <v/>
      </c>
      <c r="F30" s="9">
        <f>IF(D30="","",IFERROR(INDEX('Équipements'!$D$5:$D$304,MATCH(D30,'Équipements'!$A$5:$A$304,0)),""))</f>
        <v/>
      </c>
      <c r="G30" s="9">
        <f>IF(D30="","",IFERROR(INDEX('Équipements'!$K$5:$K$304,MATCH(D30,'Équipements'!$A$5:$A$304,0)),""))</f>
        <v/>
      </c>
      <c r="H30" s="7" t="inlineStr">
        <is>
          <t>Préventif systématique</t>
        </is>
      </c>
      <c r="I30" s="7" t="inlineStr">
        <is>
          <t>GP-107</t>
        </is>
      </c>
      <c r="J30" s="7" t="inlineStr">
        <is>
          <t>Multi-technique</t>
        </is>
      </c>
      <c r="K30" s="7" t="inlineStr">
        <is>
          <t>P3 - Normale</t>
        </is>
      </c>
      <c r="L30" s="7" t="inlineStr">
        <is>
          <t>Entretien périodique constructeur</t>
        </is>
      </c>
      <c r="M30" s="7" t="n"/>
      <c r="N30" s="7" t="inlineStr">
        <is>
          <t>Gamme réalisée - RAS</t>
        </is>
      </c>
      <c r="O30" s="7" t="inlineStr">
        <is>
          <t>Antoine Mercier</t>
        </is>
      </c>
      <c r="P30" s="65" t="n">
        <v>45670</v>
      </c>
      <c r="Q30" s="75" t="n">
        <v>45670.54861111111</v>
      </c>
      <c r="R30" s="75" t="n">
        <v>45670.71527777778</v>
      </c>
      <c r="S30" s="76" t="n">
        <v>4</v>
      </c>
      <c r="T30" s="76" t="n">
        <v>2</v>
      </c>
      <c r="U30" s="70">
        <f>IF($A30="","",IFERROR(INDEX('Techniciens'!$F$5:$F$44,MATCH(O30,'Techniciens'!$B$5:$B$44,0)),'Paramètres'!$AA$10))</f>
        <v/>
      </c>
      <c r="V30" s="70">
        <f>IF($A30="","",IF(OR(AC30="Demandé",AC30="Planifié",AC30="Annulé"),0,N(T30)*N(U30)))</f>
        <v/>
      </c>
      <c r="W30" s="70">
        <f>IF($A30="","",SUMIFS('Mouvements stock'!$H$5:$H$3004,'Mouvements stock'!$I$5:$I$3004,$A30,'Mouvements stock'!$C$5:$C$3004,"Sortie")-SUMIFS('Mouvements stock'!$H$5:$H$3004,'Mouvements stock'!$I$5:$I$3004,$A30,'Mouvements stock'!$C$5:$C$3004,"Retour"))</f>
        <v/>
      </c>
      <c r="X30" s="66" t="n">
        <v>0</v>
      </c>
      <c r="Y30" s="66" t="n">
        <v>440</v>
      </c>
      <c r="Z30" s="7" t="inlineStr">
        <is>
          <t>Manutention Services 44</t>
        </is>
      </c>
      <c r="AA30" s="70">
        <f>IF($A30="","",N(V30)+N(W30)+N(X30)+N(Y30))</f>
        <v/>
      </c>
      <c r="AB30" s="70">
        <f>IF($A30="","",N(S30)*'Paramètres'!$AA$9*IFERROR(INDEX('Paramètres'!$O$5:$O$7,MATCH(G30,'Paramètres'!$N$5:$N$7,0)),0))</f>
        <v/>
      </c>
      <c r="AC30" s="7" t="inlineStr">
        <is>
          <t>Clôturé</t>
        </is>
      </c>
      <c r="AD30" s="69">
        <f>IF(OR($A30="",Q30=""),"",(Q30-B30)*24)</f>
        <v/>
      </c>
      <c r="AE30" s="69">
        <f>IF(OR(Q30="",R30=""),"",(R30-Q30)*24)</f>
        <v/>
      </c>
      <c r="AF30" s="77">
        <f>IF(OR($A30="",B30=""),"",YEAR(B30))</f>
        <v/>
      </c>
      <c r="AG30" s="77">
        <f>IF(OR($A30="",B30=""),"",MONTH(B30))</f>
        <v/>
      </c>
    </row>
    <row r="31">
      <c r="A31" s="7" t="inlineStr">
        <is>
          <t>OT-2025-0027</t>
        </is>
      </c>
      <c r="B31" s="75" t="n">
        <v>45663.47222222222</v>
      </c>
      <c r="C31" s="7" t="inlineStr">
        <is>
          <t>Plan préventif</t>
        </is>
      </c>
      <c r="D31" s="7" t="inlineStr">
        <is>
          <t>EQ-PEI-002</t>
        </is>
      </c>
      <c r="E31" s="9">
        <f>IF(D31="","",IFERROR(INDEX('Équipements'!$B$5:$B$304,MATCH(D31,'Équipements'!$A$5:$A$304,0)),"Code inconnu"))</f>
        <v/>
      </c>
      <c r="F31" s="9">
        <f>IF(D31="","",IFERROR(INDEX('Équipements'!$D$5:$D$304,MATCH(D31,'Équipements'!$A$5:$A$304,0)),""))</f>
        <v/>
      </c>
      <c r="G31" s="9">
        <f>IF(D31="","",IFERROR(INDEX('Équipements'!$K$5:$K$304,MATCH(D31,'Équipements'!$A$5:$A$304,0)),""))</f>
        <v/>
      </c>
      <c r="H31" s="7" t="inlineStr">
        <is>
          <t>Préventif systématique</t>
        </is>
      </c>
      <c r="I31" s="7" t="inlineStr">
        <is>
          <t>GP-068</t>
        </is>
      </c>
      <c r="J31" s="7" t="inlineStr">
        <is>
          <t>Mécanique</t>
        </is>
      </c>
      <c r="K31" s="7" t="inlineStr">
        <is>
          <t>P3 - Normale</t>
        </is>
      </c>
      <c r="L31" s="7" t="inlineStr">
        <is>
          <t>Nettoyage et remplacement des filtres</t>
        </is>
      </c>
      <c r="M31" s="7" t="n"/>
      <c r="N31" s="7" t="inlineStr">
        <is>
          <t>Gamme réalisée - RAS</t>
        </is>
      </c>
      <c r="O31" s="7" t="inlineStr">
        <is>
          <t>Karim Benali</t>
        </is>
      </c>
      <c r="P31" s="65" t="n">
        <v>45670</v>
      </c>
      <c r="Q31" s="75" t="n">
        <v>45670.47222222222</v>
      </c>
      <c r="R31" s="75" t="n">
        <v>45670.61805555555</v>
      </c>
      <c r="S31" s="76" t="n">
        <v>3.5</v>
      </c>
      <c r="T31" s="76" t="n">
        <v>3.5</v>
      </c>
      <c r="U31" s="70">
        <f>IF($A31="","",IFERROR(INDEX('Techniciens'!$F$5:$F$44,MATCH(O31,'Techniciens'!$B$5:$B$44,0)),'Paramètres'!$AA$10))</f>
        <v/>
      </c>
      <c r="V31" s="70">
        <f>IF($A31="","",IF(OR(AC31="Demandé",AC31="Planifié",AC31="Annulé"),0,N(T31)*N(U31)))</f>
        <v/>
      </c>
      <c r="W31" s="70">
        <f>IF($A31="","",SUMIFS('Mouvements stock'!$H$5:$H$3004,'Mouvements stock'!$I$5:$I$3004,$A31,'Mouvements stock'!$C$5:$C$3004,"Sortie")-SUMIFS('Mouvements stock'!$H$5:$H$3004,'Mouvements stock'!$I$5:$I$3004,$A31,'Mouvements stock'!$C$5:$C$3004,"Retour"))</f>
        <v/>
      </c>
      <c r="X31" s="66" t="n">
        <v>0</v>
      </c>
      <c r="Y31" s="66" t="n">
        <v>0</v>
      </c>
      <c r="Z31" s="7" t="n"/>
      <c r="AA31" s="70">
        <f>IF($A31="","",N(V31)+N(W31)+N(X31)+N(Y31))</f>
        <v/>
      </c>
      <c r="AB31" s="70">
        <f>IF($A31="","",N(S31)*'Paramètres'!$AA$9*IFERROR(INDEX('Paramètres'!$O$5:$O$7,MATCH(G31,'Paramètres'!$N$5:$N$7,0)),0))</f>
        <v/>
      </c>
      <c r="AC31" s="7" t="inlineStr">
        <is>
          <t>Clôturé</t>
        </is>
      </c>
      <c r="AD31" s="69">
        <f>IF(OR($A31="",Q31=""),"",(Q31-B31)*24)</f>
        <v/>
      </c>
      <c r="AE31" s="69">
        <f>IF(OR(Q31="",R31=""),"",(R31-Q31)*24)</f>
        <v/>
      </c>
      <c r="AF31" s="77">
        <f>IF(OR($A31="",B31=""),"",YEAR(B31))</f>
        <v/>
      </c>
      <c r="AG31" s="77">
        <f>IF(OR($A31="",B31=""),"",MONTH(B31))</f>
        <v/>
      </c>
    </row>
    <row r="32">
      <c r="A32" s="7" t="inlineStr">
        <is>
          <t>OT-2025-0028</t>
        </is>
      </c>
      <c r="B32" s="75" t="n">
        <v>45663.56388888889</v>
      </c>
      <c r="C32" s="7" t="inlineStr">
        <is>
          <t>Opérateur tôlerie</t>
        </is>
      </c>
      <c r="D32" s="7" t="inlineStr">
        <is>
          <t>EQ-TOL-001</t>
        </is>
      </c>
      <c r="E32" s="9">
        <f>IF(D32="","",IFERROR(INDEX('Équipements'!$B$5:$B$304,MATCH(D32,'Équipements'!$A$5:$A$304,0)),"Code inconnu"))</f>
        <v/>
      </c>
      <c r="F32" s="9">
        <f>IF(D32="","",IFERROR(INDEX('Équipements'!$D$5:$D$304,MATCH(D32,'Équipements'!$A$5:$A$304,0)),""))</f>
        <v/>
      </c>
      <c r="G32" s="9">
        <f>IF(D32="","",IFERROR(INDEX('Équipements'!$K$5:$K$304,MATCH(D32,'Équipements'!$A$5:$A$304,0)),""))</f>
        <v/>
      </c>
      <c r="H32" s="7" t="inlineStr">
        <is>
          <t>Correctif</t>
        </is>
      </c>
      <c r="I32" s="7" t="n"/>
      <c r="J32" s="7" t="inlineStr">
        <is>
          <t>Mécanique</t>
        </is>
      </c>
      <c r="K32" s="7" t="inlineStr">
        <is>
          <t>P1 - Urgent</t>
        </is>
      </c>
      <c r="L32" s="7" t="inlineStr">
        <is>
          <t>Collision tête de coupe</t>
        </is>
      </c>
      <c r="M32" s="7" t="inlineStr">
        <is>
          <t>Cause inconnue</t>
        </is>
      </c>
      <c r="N32" s="7" t="inlineStr">
        <is>
          <t>Remplacement céramique et buse, calibration capteur de hauteur</t>
        </is>
      </c>
      <c r="O32" s="7" t="inlineStr">
        <is>
          <t>Lucas Fontaine</t>
        </is>
      </c>
      <c r="P32" s="65" t="n"/>
      <c r="Q32" s="75" t="n">
        <v>45663.60277777778</v>
      </c>
      <c r="R32" s="75" t="n">
        <v>45664.18611111111</v>
      </c>
      <c r="S32" s="76" t="n">
        <v>14.9</v>
      </c>
      <c r="T32" s="76" t="n">
        <v>14</v>
      </c>
      <c r="U32" s="70">
        <f>IF($A32="","",IFERROR(INDEX('Techniciens'!$F$5:$F$44,MATCH(O32,'Techniciens'!$B$5:$B$44,0)),'Paramètres'!$AA$10))</f>
        <v/>
      </c>
      <c r="V32" s="70">
        <f>IF($A32="","",IF(OR(AC32="Demandé",AC32="Planifié",AC32="Annulé"),0,N(T32)*N(U32)))</f>
        <v/>
      </c>
      <c r="W32" s="70">
        <f>IF($A32="","",SUMIFS('Mouvements stock'!$H$5:$H$3004,'Mouvements stock'!$I$5:$I$3004,$A32,'Mouvements stock'!$C$5:$C$3004,"Sortie")-SUMIFS('Mouvements stock'!$H$5:$H$3004,'Mouvements stock'!$I$5:$I$3004,$A32,'Mouvements stock'!$C$5:$C$3004,"Retour"))</f>
        <v/>
      </c>
      <c r="X32" s="66" t="n">
        <v>0</v>
      </c>
      <c r="Y32" s="66" t="n">
        <v>0</v>
      </c>
      <c r="Z32" s="7" t="n"/>
      <c r="AA32" s="70">
        <f>IF($A32="","",N(V32)+N(W32)+N(X32)+N(Y32))</f>
        <v/>
      </c>
      <c r="AB32" s="70">
        <f>IF($A32="","",N(S32)*'Paramètres'!$AA$9*IFERROR(INDEX('Paramètres'!$O$5:$O$7,MATCH(G32,'Paramètres'!$N$5:$N$7,0)),0))</f>
        <v/>
      </c>
      <c r="AC32" s="7" t="inlineStr">
        <is>
          <t>Clôturé</t>
        </is>
      </c>
      <c r="AD32" s="69">
        <f>IF(OR($A32="",Q32=""),"",(Q32-B32)*24)</f>
        <v/>
      </c>
      <c r="AE32" s="69">
        <f>IF(OR(Q32="",R32=""),"",(R32-Q32)*24)</f>
        <v/>
      </c>
      <c r="AF32" s="77">
        <f>IF(OR($A32="",B32=""),"",YEAR(B32))</f>
        <v/>
      </c>
      <c r="AG32" s="77">
        <f>IF(OR($A32="",B32=""),"",MONTH(B32))</f>
        <v/>
      </c>
    </row>
    <row r="33">
      <c r="A33" s="7" t="inlineStr">
        <is>
          <t>OT-2025-0029</t>
        </is>
      </c>
      <c r="B33" s="75" t="n">
        <v>45663.75069444445</v>
      </c>
      <c r="C33" s="7" t="inlineStr">
        <is>
          <t>Éric Laurent (chef d'atelier)</t>
        </is>
      </c>
      <c r="D33" s="7" t="inlineStr">
        <is>
          <t>EQ-USI-002</t>
        </is>
      </c>
      <c r="E33" s="9">
        <f>IF(D33="","",IFERROR(INDEX('Équipements'!$B$5:$B$304,MATCH(D33,'Équipements'!$A$5:$A$304,0)),"Code inconnu"))</f>
        <v/>
      </c>
      <c r="F33" s="9">
        <f>IF(D33="","",IFERROR(INDEX('Équipements'!$D$5:$D$304,MATCH(D33,'Équipements'!$A$5:$A$304,0)),""))</f>
        <v/>
      </c>
      <c r="G33" s="9">
        <f>IF(D33="","",IFERROR(INDEX('Équipements'!$K$5:$K$304,MATCH(D33,'Équipements'!$A$5:$A$304,0)),""))</f>
        <v/>
      </c>
      <c r="H33" s="7" t="inlineStr">
        <is>
          <t>Correctif</t>
        </is>
      </c>
      <c r="I33" s="7" t="n"/>
      <c r="J33" s="7" t="inlineStr">
        <is>
          <t>Électrique</t>
        </is>
      </c>
      <c r="K33" s="7" t="inlineStr">
        <is>
          <t>P1 - Urgent</t>
        </is>
      </c>
      <c r="L33" s="7" t="inlineStr">
        <is>
          <t>Arrêt d'urgence intempestif</t>
        </is>
      </c>
      <c r="M33" s="7" t="inlineStr">
        <is>
          <t>Défaut électrique</t>
        </is>
      </c>
      <c r="N33" s="7" t="inlineStr">
        <is>
          <t>Recherche de panne, remplacement relais de sécurité</t>
        </is>
      </c>
      <c r="O33" s="7" t="inlineStr">
        <is>
          <t>Julien Moreau</t>
        </is>
      </c>
      <c r="P33" s="65" t="n"/>
      <c r="Q33" s="75" t="n">
        <v>45663.77291666667</v>
      </c>
      <c r="R33" s="75" t="n">
        <v>45663.87708333333</v>
      </c>
      <c r="S33" s="76" t="n">
        <v>3</v>
      </c>
      <c r="T33" s="76" t="n">
        <v>2.5</v>
      </c>
      <c r="U33" s="70">
        <f>IF($A33="","",IFERROR(INDEX('Techniciens'!$F$5:$F$44,MATCH(O33,'Techniciens'!$B$5:$B$44,0)),'Paramètres'!$AA$10))</f>
        <v/>
      </c>
      <c r="V33" s="70">
        <f>IF($A33="","",IF(OR(AC33="Demandé",AC33="Planifié",AC33="Annulé"),0,N(T33)*N(U33)))</f>
        <v/>
      </c>
      <c r="W33" s="70">
        <f>IF($A33="","",SUMIFS('Mouvements stock'!$H$5:$H$3004,'Mouvements stock'!$I$5:$I$3004,$A33,'Mouvements stock'!$C$5:$C$3004,"Sortie")-SUMIFS('Mouvements stock'!$H$5:$H$3004,'Mouvements stock'!$I$5:$I$3004,$A33,'Mouvements stock'!$C$5:$C$3004,"Retour"))</f>
        <v/>
      </c>
      <c r="X33" s="66" t="n">
        <v>483</v>
      </c>
      <c r="Y33" s="66" t="n">
        <v>0</v>
      </c>
      <c r="Z33" s="7" t="n"/>
      <c r="AA33" s="70">
        <f>IF($A33="","",N(V33)+N(W33)+N(X33)+N(Y33))</f>
        <v/>
      </c>
      <c r="AB33" s="70">
        <f>IF($A33="","",N(S33)*'Paramètres'!$AA$9*IFERROR(INDEX('Paramètres'!$O$5:$O$7,MATCH(G33,'Paramètres'!$N$5:$N$7,0)),0))</f>
        <v/>
      </c>
      <c r="AC33" s="7" t="inlineStr">
        <is>
          <t>Clôturé</t>
        </is>
      </c>
      <c r="AD33" s="69">
        <f>IF(OR($A33="",Q33=""),"",(Q33-B33)*24)</f>
        <v/>
      </c>
      <c r="AE33" s="69">
        <f>IF(OR(Q33="",R33=""),"",(R33-Q33)*24)</f>
        <v/>
      </c>
      <c r="AF33" s="77">
        <f>IF(OR($A33="",B33=""),"",YEAR(B33))</f>
        <v/>
      </c>
      <c r="AG33" s="77">
        <f>IF(OR($A33="",B33=""),"",MONTH(B33))</f>
        <v/>
      </c>
    </row>
    <row r="34">
      <c r="A34" s="7" t="inlineStr">
        <is>
          <t>OT-2025-0030</t>
        </is>
      </c>
      <c r="B34" s="75" t="n">
        <v>45664.39583333334</v>
      </c>
      <c r="C34" s="7" t="inlineStr">
        <is>
          <t>Plan préventif</t>
        </is>
      </c>
      <c r="D34" s="7" t="inlineStr">
        <is>
          <t>EQ-USI-001</t>
        </is>
      </c>
      <c r="E34" s="9">
        <f>IF(D34="","",IFERROR(INDEX('Équipements'!$B$5:$B$304,MATCH(D34,'Équipements'!$A$5:$A$304,0)),"Code inconnu"))</f>
        <v/>
      </c>
      <c r="F34" s="9">
        <f>IF(D34="","",IFERROR(INDEX('Équipements'!$D$5:$D$304,MATCH(D34,'Équipements'!$A$5:$A$304,0)),""))</f>
        <v/>
      </c>
      <c r="G34" s="9">
        <f>IF(D34="","",IFERROR(INDEX('Équipements'!$K$5:$K$304,MATCH(D34,'Équipements'!$A$5:$A$304,0)),""))</f>
        <v/>
      </c>
      <c r="H34" s="7" t="inlineStr">
        <is>
          <t>Préventif systématique</t>
        </is>
      </c>
      <c r="I34" s="7" t="inlineStr">
        <is>
          <t>GP-001</t>
        </is>
      </c>
      <c r="J34" s="7" t="inlineStr">
        <is>
          <t>Mécanique</t>
        </is>
      </c>
      <c r="K34" s="7" t="inlineStr">
        <is>
          <t>P3 - Normale</t>
        </is>
      </c>
      <c r="L34" s="7" t="inlineStr">
        <is>
          <t>Contrôle niveaux, nettoyage filtres et bac à copeaux</t>
        </is>
      </c>
      <c r="M34" s="7" t="n"/>
      <c r="N34" s="7" t="inlineStr">
        <is>
          <t>Gamme réalisée - RAS</t>
        </is>
      </c>
      <c r="O34" s="7" t="inlineStr">
        <is>
          <t>Antoine Mercier</t>
        </is>
      </c>
      <c r="P34" s="65" t="n">
        <v>45671</v>
      </c>
      <c r="Q34" s="75" t="n">
        <v>45671.53125</v>
      </c>
      <c r="R34" s="75" t="n">
        <v>45671.61458333334</v>
      </c>
      <c r="S34" s="76" t="n">
        <v>2</v>
      </c>
      <c r="T34" s="76" t="n">
        <v>2</v>
      </c>
      <c r="U34" s="70">
        <f>IF($A34="","",IFERROR(INDEX('Techniciens'!$F$5:$F$44,MATCH(O34,'Techniciens'!$B$5:$B$44,0)),'Paramètres'!$AA$10))</f>
        <v/>
      </c>
      <c r="V34" s="70">
        <f>IF($A34="","",IF(OR(AC34="Demandé",AC34="Planifié",AC34="Annulé"),0,N(T34)*N(U34)))</f>
        <v/>
      </c>
      <c r="W34" s="70">
        <f>IF($A34="","",SUMIFS('Mouvements stock'!$H$5:$H$3004,'Mouvements stock'!$I$5:$I$3004,$A34,'Mouvements stock'!$C$5:$C$3004,"Sortie")-SUMIFS('Mouvements stock'!$H$5:$H$3004,'Mouvements stock'!$I$5:$I$3004,$A34,'Mouvements stock'!$C$5:$C$3004,"Retour"))</f>
        <v/>
      </c>
      <c r="X34" s="66" t="n">
        <v>0</v>
      </c>
      <c r="Y34" s="66" t="n">
        <v>0</v>
      </c>
      <c r="Z34" s="7" t="n"/>
      <c r="AA34" s="70">
        <f>IF($A34="","",N(V34)+N(W34)+N(X34)+N(Y34))</f>
        <v/>
      </c>
      <c r="AB34" s="70">
        <f>IF($A34="","",N(S34)*'Paramètres'!$AA$9*IFERROR(INDEX('Paramètres'!$O$5:$O$7,MATCH(G34,'Paramètres'!$N$5:$N$7,0)),0))</f>
        <v/>
      </c>
      <c r="AC34" s="7" t="inlineStr">
        <is>
          <t>Clôturé</t>
        </is>
      </c>
      <c r="AD34" s="69">
        <f>IF(OR($A34="",Q34=""),"",(Q34-B34)*24)</f>
        <v/>
      </c>
      <c r="AE34" s="69">
        <f>IF(OR(Q34="",R34=""),"",(R34-Q34)*24)</f>
        <v/>
      </c>
      <c r="AF34" s="77">
        <f>IF(OR($A34="",B34=""),"",YEAR(B34))</f>
        <v/>
      </c>
      <c r="AG34" s="77">
        <f>IF(OR($A34="",B34=""),"",MONTH(B34))</f>
        <v/>
      </c>
    </row>
    <row r="35">
      <c r="A35" s="7" t="inlineStr">
        <is>
          <t>OT-2025-0031</t>
        </is>
      </c>
      <c r="B35" s="75" t="n">
        <v>45664.45138888889</v>
      </c>
      <c r="C35" s="7" t="inlineStr">
        <is>
          <t>Plan préventif</t>
        </is>
      </c>
      <c r="D35" s="7" t="inlineStr">
        <is>
          <t>EQ-PEI-004</t>
        </is>
      </c>
      <c r="E35" s="9">
        <f>IF(D35="","",IFERROR(INDEX('Équipements'!$B$5:$B$304,MATCH(D35,'Équipements'!$A$5:$A$304,0)),"Code inconnu"))</f>
        <v/>
      </c>
      <c r="F35" s="9">
        <f>IF(D35="","",IFERROR(INDEX('Équipements'!$D$5:$D$304,MATCH(D35,'Équipements'!$A$5:$A$304,0)),""))</f>
        <v/>
      </c>
      <c r="G35" s="9">
        <f>IF(D35="","",IFERROR(INDEX('Équipements'!$K$5:$K$304,MATCH(D35,'Équipements'!$A$5:$A$304,0)),""))</f>
        <v/>
      </c>
      <c r="H35" s="7" t="inlineStr">
        <is>
          <t>Préventif systématique</t>
        </is>
      </c>
      <c r="I35" s="7" t="inlineStr">
        <is>
          <t>GP-072</t>
        </is>
      </c>
      <c r="J35" s="7" t="inlineStr">
        <is>
          <t>Mécanique</t>
        </is>
      </c>
      <c r="K35" s="7" t="inlineStr">
        <is>
          <t>P3 - Normale</t>
        </is>
      </c>
      <c r="L35" s="7" t="inlineStr">
        <is>
          <t>Graissage chaîne / galets et contrôle tension</t>
        </is>
      </c>
      <c r="M35" s="7" t="n"/>
      <c r="N35" s="7" t="inlineStr">
        <is>
          <t>Gamme réalisée - RAS</t>
        </is>
      </c>
      <c r="O35" s="7" t="inlineStr">
        <is>
          <t>Karim Benali</t>
        </is>
      </c>
      <c r="P35" s="65" t="n">
        <v>45671</v>
      </c>
      <c r="Q35" s="75" t="n">
        <v>45671.52777777778</v>
      </c>
      <c r="R35" s="75" t="n">
        <v>45671.64236111111</v>
      </c>
      <c r="S35" s="76" t="n">
        <v>1.4</v>
      </c>
      <c r="T35" s="76" t="n">
        <v>2.75</v>
      </c>
      <c r="U35" s="70">
        <f>IF($A35="","",IFERROR(INDEX('Techniciens'!$F$5:$F$44,MATCH(O35,'Techniciens'!$B$5:$B$44,0)),'Paramètres'!$AA$10))</f>
        <v/>
      </c>
      <c r="V35" s="70">
        <f>IF($A35="","",IF(OR(AC35="Demandé",AC35="Planifié",AC35="Annulé"),0,N(T35)*N(U35)))</f>
        <v/>
      </c>
      <c r="W35" s="70">
        <f>IF($A35="","",SUMIFS('Mouvements stock'!$H$5:$H$3004,'Mouvements stock'!$I$5:$I$3004,$A35,'Mouvements stock'!$C$5:$C$3004,"Sortie")-SUMIFS('Mouvements stock'!$H$5:$H$3004,'Mouvements stock'!$I$5:$I$3004,$A35,'Mouvements stock'!$C$5:$C$3004,"Retour"))</f>
        <v/>
      </c>
      <c r="X35" s="66" t="n">
        <v>0</v>
      </c>
      <c r="Y35" s="66" t="n">
        <v>0</v>
      </c>
      <c r="Z35" s="7" t="n"/>
      <c r="AA35" s="70">
        <f>IF($A35="","",N(V35)+N(W35)+N(X35)+N(Y35))</f>
        <v/>
      </c>
      <c r="AB35" s="70">
        <f>IF($A35="","",N(S35)*'Paramètres'!$AA$9*IFERROR(INDEX('Paramètres'!$O$5:$O$7,MATCH(G35,'Paramètres'!$N$5:$N$7,0)),0))</f>
        <v/>
      </c>
      <c r="AC35" s="7" t="inlineStr">
        <is>
          <t>Clôturé</t>
        </is>
      </c>
      <c r="AD35" s="69">
        <f>IF(OR($A35="",Q35=""),"",(Q35-B35)*24)</f>
        <v/>
      </c>
      <c r="AE35" s="69">
        <f>IF(OR(Q35="",R35=""),"",(R35-Q35)*24)</f>
        <v/>
      </c>
      <c r="AF35" s="77">
        <f>IF(OR($A35="",B35=""),"",YEAR(B35))</f>
        <v/>
      </c>
      <c r="AG35" s="77">
        <f>IF(OR($A35="",B35=""),"",MONTH(B35))</f>
        <v/>
      </c>
    </row>
    <row r="36">
      <c r="A36" s="7" t="inlineStr">
        <is>
          <t>OT-2025-0032</t>
        </is>
      </c>
      <c r="B36" s="75" t="n">
        <v>45664.85277777778</v>
      </c>
      <c r="C36" s="7" t="inlineStr">
        <is>
          <t>Cariste</t>
        </is>
      </c>
      <c r="D36" s="7" t="inlineStr">
        <is>
          <t>EQ-LOG-006</t>
        </is>
      </c>
      <c r="E36" s="9">
        <f>IF(D36="","",IFERROR(INDEX('Équipements'!$B$5:$B$304,MATCH(D36,'Équipements'!$A$5:$A$304,0)),"Code inconnu"))</f>
        <v/>
      </c>
      <c r="F36" s="9">
        <f>IF(D36="","",IFERROR(INDEX('Équipements'!$D$5:$D$304,MATCH(D36,'Équipements'!$A$5:$A$304,0)),""))</f>
        <v/>
      </c>
      <c r="G36" s="9">
        <f>IF(D36="","",IFERROR(INDEX('Équipements'!$K$5:$K$304,MATCH(D36,'Équipements'!$A$5:$A$304,0)),""))</f>
        <v/>
      </c>
      <c r="H36" s="7" t="inlineStr">
        <is>
          <t>Correctif</t>
        </is>
      </c>
      <c r="I36" s="7" t="n"/>
      <c r="J36" s="7" t="inlineStr">
        <is>
          <t>Mécanique</t>
        </is>
      </c>
      <c r="K36" s="7" t="inlineStr">
        <is>
          <t>P3 - Normale</t>
        </is>
      </c>
      <c r="L36" s="7" t="inlineStr">
        <is>
          <t>Frein de levée bruyant</t>
        </is>
      </c>
      <c r="M36" s="7" t="inlineStr">
        <is>
          <t>Usure</t>
        </is>
      </c>
      <c r="N36" s="7" t="inlineStr">
        <is>
          <t>Réglage et remplacement garnitures</t>
        </is>
      </c>
      <c r="O36" s="7" t="inlineStr">
        <is>
          <t>Lucas Fontaine</t>
        </is>
      </c>
      <c r="P36" s="65" t="n"/>
      <c r="Q36" s="75" t="n">
        <v>45665.88541666666</v>
      </c>
      <c r="R36" s="75" t="n">
        <v>45665.95833333334</v>
      </c>
      <c r="S36" s="76" t="n">
        <v>0</v>
      </c>
      <c r="T36" s="76" t="n">
        <v>1.75</v>
      </c>
      <c r="U36" s="70">
        <f>IF($A36="","",IFERROR(INDEX('Techniciens'!$F$5:$F$44,MATCH(O36,'Techniciens'!$B$5:$B$44,0)),'Paramètres'!$AA$10))</f>
        <v/>
      </c>
      <c r="V36" s="70">
        <f>IF($A36="","",IF(OR(AC36="Demandé",AC36="Planifié",AC36="Annulé"),0,N(T36)*N(U36)))</f>
        <v/>
      </c>
      <c r="W36" s="70">
        <f>IF($A36="","",SUMIFS('Mouvements stock'!$H$5:$H$3004,'Mouvements stock'!$I$5:$I$3004,$A36,'Mouvements stock'!$C$5:$C$3004,"Sortie")-SUMIFS('Mouvements stock'!$H$5:$H$3004,'Mouvements stock'!$I$5:$I$3004,$A36,'Mouvements stock'!$C$5:$C$3004,"Retour"))</f>
        <v/>
      </c>
      <c r="X36" s="66" t="n">
        <v>0</v>
      </c>
      <c r="Y36" s="66" t="n">
        <v>0</v>
      </c>
      <c r="Z36" s="7" t="n"/>
      <c r="AA36" s="70">
        <f>IF($A36="","",N(V36)+N(W36)+N(X36)+N(Y36))</f>
        <v/>
      </c>
      <c r="AB36" s="70">
        <f>IF($A36="","",N(S36)*'Paramètres'!$AA$9*IFERROR(INDEX('Paramètres'!$O$5:$O$7,MATCH(G36,'Paramètres'!$N$5:$N$7,0)),0))</f>
        <v/>
      </c>
      <c r="AC36" s="7" t="inlineStr">
        <is>
          <t>Clôturé</t>
        </is>
      </c>
      <c r="AD36" s="69">
        <f>IF(OR($A36="",Q36=""),"",(Q36-B36)*24)</f>
        <v/>
      </c>
      <c r="AE36" s="69">
        <f>IF(OR(Q36="",R36=""),"",(R36-Q36)*24)</f>
        <v/>
      </c>
      <c r="AF36" s="77">
        <f>IF(OR($A36="",B36=""),"",YEAR(B36))</f>
        <v/>
      </c>
      <c r="AG36" s="77">
        <f>IF(OR($A36="",B36=""),"",MONTH(B36))</f>
        <v/>
      </c>
    </row>
    <row r="37">
      <c r="A37" s="7" t="inlineStr">
        <is>
          <t>OT-2025-0033</t>
        </is>
      </c>
      <c r="B37" s="75" t="n">
        <v>45665.43055555555</v>
      </c>
      <c r="C37" s="7" t="inlineStr">
        <is>
          <t>Plan préventif</t>
        </is>
      </c>
      <c r="D37" s="7" t="inlineStr">
        <is>
          <t>EQ-TOL-001</t>
        </is>
      </c>
      <c r="E37" s="9">
        <f>IF(D37="","",IFERROR(INDEX('Équipements'!$B$5:$B$304,MATCH(D37,'Équipements'!$A$5:$A$304,0)),"Code inconnu"))</f>
        <v/>
      </c>
      <c r="F37" s="9">
        <f>IF(D37="","",IFERROR(INDEX('Équipements'!$D$5:$D$304,MATCH(D37,'Équipements'!$A$5:$A$304,0)),""))</f>
        <v/>
      </c>
      <c r="G37" s="9">
        <f>IF(D37="","",IFERROR(INDEX('Équipements'!$K$5:$K$304,MATCH(D37,'Équipements'!$A$5:$A$304,0)),""))</f>
        <v/>
      </c>
      <c r="H37" s="7" t="inlineStr">
        <is>
          <t>Préventif systématique</t>
        </is>
      </c>
      <c r="I37" s="7" t="inlineStr">
        <is>
          <t>GP-039</t>
        </is>
      </c>
      <c r="J37" s="7" t="inlineStr">
        <is>
          <t>Mécanique</t>
        </is>
      </c>
      <c r="K37" s="7" t="inlineStr">
        <is>
          <t>P3 - Normale</t>
        </is>
      </c>
      <c r="L37" s="7" t="inlineStr">
        <is>
          <t>Maintenance groupe froid laser (filtres, eau)</t>
        </is>
      </c>
      <c r="M37" s="7" t="n"/>
      <c r="N37" s="7" t="inlineStr">
        <is>
          <t>Gamme réalisée - RAS</t>
        </is>
      </c>
      <c r="O37" s="7" t="inlineStr">
        <is>
          <t>Antoine Mercier</t>
        </is>
      </c>
      <c r="P37" s="65" t="n">
        <v>45672</v>
      </c>
      <c r="Q37" s="75" t="n">
        <v>45672.39583333334</v>
      </c>
      <c r="R37" s="75" t="n">
        <v>45672.54166666666</v>
      </c>
      <c r="S37" s="76" t="n">
        <v>0</v>
      </c>
      <c r="T37" s="76" t="n">
        <v>3.5</v>
      </c>
      <c r="U37" s="70">
        <f>IF($A37="","",IFERROR(INDEX('Techniciens'!$F$5:$F$44,MATCH(O37,'Techniciens'!$B$5:$B$44,0)),'Paramètres'!$AA$10))</f>
        <v/>
      </c>
      <c r="V37" s="70">
        <f>IF($A37="","",IF(OR(AC37="Demandé",AC37="Planifié",AC37="Annulé"),0,N(T37)*N(U37)))</f>
        <v/>
      </c>
      <c r="W37" s="70">
        <f>IF($A37="","",SUMIFS('Mouvements stock'!$H$5:$H$3004,'Mouvements stock'!$I$5:$I$3004,$A37,'Mouvements stock'!$C$5:$C$3004,"Sortie")-SUMIFS('Mouvements stock'!$H$5:$H$3004,'Mouvements stock'!$I$5:$I$3004,$A37,'Mouvements stock'!$C$5:$C$3004,"Retour"))</f>
        <v/>
      </c>
      <c r="X37" s="66" t="n">
        <v>0</v>
      </c>
      <c r="Y37" s="66" t="n">
        <v>0</v>
      </c>
      <c r="Z37" s="7" t="n"/>
      <c r="AA37" s="70">
        <f>IF($A37="","",N(V37)+N(W37)+N(X37)+N(Y37))</f>
        <v/>
      </c>
      <c r="AB37" s="70">
        <f>IF($A37="","",N(S37)*'Paramètres'!$AA$9*IFERROR(INDEX('Paramètres'!$O$5:$O$7,MATCH(G37,'Paramètres'!$N$5:$N$7,0)),0))</f>
        <v/>
      </c>
      <c r="AC37" s="7" t="inlineStr">
        <is>
          <t>Clôturé</t>
        </is>
      </c>
      <c r="AD37" s="69">
        <f>IF(OR($A37="",Q37=""),"",(Q37-B37)*24)</f>
        <v/>
      </c>
      <c r="AE37" s="69">
        <f>IF(OR(Q37="",R37=""),"",(R37-Q37)*24)</f>
        <v/>
      </c>
      <c r="AF37" s="77">
        <f>IF(OR($A37="",B37=""),"",YEAR(B37))</f>
        <v/>
      </c>
      <c r="AG37" s="77">
        <f>IF(OR($A37="",B37=""),"",MONTH(B37))</f>
        <v/>
      </c>
    </row>
    <row r="38">
      <c r="A38" s="7" t="inlineStr">
        <is>
          <t>OT-2025-0034</t>
        </is>
      </c>
      <c r="B38" s="75" t="n">
        <v>45666.22847222222</v>
      </c>
      <c r="C38" s="7" t="inlineStr">
        <is>
          <t>Marc Lefèvre</t>
        </is>
      </c>
      <c r="D38" s="7" t="inlineStr">
        <is>
          <t>EQ-UTI-004</t>
        </is>
      </c>
      <c r="E38" s="9">
        <f>IF(D38="","",IFERROR(INDEX('Équipements'!$B$5:$B$304,MATCH(D38,'Équipements'!$A$5:$A$304,0)),"Code inconnu"))</f>
        <v/>
      </c>
      <c r="F38" s="9">
        <f>IF(D38="","",IFERROR(INDEX('Équipements'!$D$5:$D$304,MATCH(D38,'Équipements'!$A$5:$A$304,0)),""))</f>
        <v/>
      </c>
      <c r="G38" s="9">
        <f>IF(D38="","",IFERROR(INDEX('Équipements'!$K$5:$K$304,MATCH(D38,'Équipements'!$A$5:$A$304,0)),""))</f>
        <v/>
      </c>
      <c r="H38" s="7" t="inlineStr">
        <is>
          <t>Correctif</t>
        </is>
      </c>
      <c r="I38" s="7" t="n"/>
      <c r="J38" s="7" t="inlineStr">
        <is>
          <t>Mécanique</t>
        </is>
      </c>
      <c r="K38" s="7" t="inlineStr">
        <is>
          <t>P1 - Urgent</t>
        </is>
      </c>
      <c r="L38" s="7" t="inlineStr">
        <is>
          <t>Fuite sur tuyauterie / raccord</t>
        </is>
      </c>
      <c r="M38" s="7" t="inlineStr">
        <is>
          <t>Fuite</t>
        </is>
      </c>
      <c r="N38" s="7" t="inlineStr">
        <is>
          <t>Remplacement raccord et joints</t>
        </is>
      </c>
      <c r="O38" s="7" t="inlineStr">
        <is>
          <t>Antoine Mercier</t>
        </is>
      </c>
      <c r="P38" s="65" t="n"/>
      <c r="Q38" s="75" t="n">
        <v>45666.26111111111</v>
      </c>
      <c r="R38" s="75" t="n">
        <v>45666.43819444445</v>
      </c>
      <c r="S38" s="76" t="n">
        <v>0</v>
      </c>
      <c r="T38" s="76" t="n">
        <v>4.25</v>
      </c>
      <c r="U38" s="70">
        <f>IF($A38="","",IFERROR(INDEX('Techniciens'!$F$5:$F$44,MATCH(O38,'Techniciens'!$B$5:$B$44,0)),'Paramètres'!$AA$10))</f>
        <v/>
      </c>
      <c r="V38" s="70">
        <f>IF($A38="","",IF(OR(AC38="Demandé",AC38="Planifié",AC38="Annulé"),0,N(T38)*N(U38)))</f>
        <v/>
      </c>
      <c r="W38" s="70">
        <f>IF($A38="","",SUMIFS('Mouvements stock'!$H$5:$H$3004,'Mouvements stock'!$I$5:$I$3004,$A38,'Mouvements stock'!$C$5:$C$3004,"Sortie")-SUMIFS('Mouvements stock'!$H$5:$H$3004,'Mouvements stock'!$I$5:$I$3004,$A38,'Mouvements stock'!$C$5:$C$3004,"Retour"))</f>
        <v/>
      </c>
      <c r="X38" s="66" t="n">
        <v>0</v>
      </c>
      <c r="Y38" s="66" t="n">
        <v>0</v>
      </c>
      <c r="Z38" s="7" t="n"/>
      <c r="AA38" s="70">
        <f>IF($A38="","",N(V38)+N(W38)+N(X38)+N(Y38))</f>
        <v/>
      </c>
      <c r="AB38" s="70">
        <f>IF($A38="","",N(S38)*'Paramètres'!$AA$9*IFERROR(INDEX('Paramètres'!$O$5:$O$7,MATCH(G38,'Paramètres'!$N$5:$N$7,0)),0))</f>
        <v/>
      </c>
      <c r="AC38" s="7" t="inlineStr">
        <is>
          <t>Clôturé</t>
        </is>
      </c>
      <c r="AD38" s="69">
        <f>IF(OR($A38="",Q38=""),"",(Q38-B38)*24)</f>
        <v/>
      </c>
      <c r="AE38" s="69">
        <f>IF(OR(Q38="",R38=""),"",(R38-Q38)*24)</f>
        <v/>
      </c>
      <c r="AF38" s="77">
        <f>IF(OR($A38="",B38=""),"",YEAR(B38))</f>
        <v/>
      </c>
      <c r="AG38" s="77">
        <f>IF(OR($A38="",B38=""),"",MONTH(B38))</f>
        <v/>
      </c>
    </row>
    <row r="39">
      <c r="A39" s="7" t="inlineStr">
        <is>
          <t>OT-2025-0035</t>
        </is>
      </c>
      <c r="B39" s="75" t="n">
        <v>45667.34722222222</v>
      </c>
      <c r="C39" s="7" t="inlineStr">
        <is>
          <t>Plan préventif</t>
        </is>
      </c>
      <c r="D39" s="7" t="inlineStr">
        <is>
          <t>EQ-USI-002</t>
        </is>
      </c>
      <c r="E39" s="9">
        <f>IF(D39="","",IFERROR(INDEX('Équipements'!$B$5:$B$304,MATCH(D39,'Équipements'!$A$5:$A$304,0)),"Code inconnu"))</f>
        <v/>
      </c>
      <c r="F39" s="9">
        <f>IF(D39="","",IFERROR(INDEX('Équipements'!$D$5:$D$304,MATCH(D39,'Équipements'!$A$5:$A$304,0)),""))</f>
        <v/>
      </c>
      <c r="G39" s="9">
        <f>IF(D39="","",IFERROR(INDEX('Équipements'!$K$5:$K$304,MATCH(D39,'Équipements'!$A$5:$A$304,0)),""))</f>
        <v/>
      </c>
      <c r="H39" s="7" t="inlineStr">
        <is>
          <t>Préventif systématique</t>
        </is>
      </c>
      <c r="I39" s="7" t="inlineStr">
        <is>
          <t>GP-005</t>
        </is>
      </c>
      <c r="J39" s="7" t="inlineStr">
        <is>
          <t>Mécanique</t>
        </is>
      </c>
      <c r="K39" s="7" t="inlineStr">
        <is>
          <t>P3 - Normale</t>
        </is>
      </c>
      <c r="L39" s="7" t="inlineStr">
        <is>
          <t>Contrôle niveaux, nettoyage filtres et bac à copeaux</t>
        </is>
      </c>
      <c r="M39" s="7" t="n"/>
      <c r="N39" s="7" t="inlineStr">
        <is>
          <t>Gamme réalisée - usure constatée, à surveiller</t>
        </is>
      </c>
      <c r="O39" s="7" t="inlineStr">
        <is>
          <t>Antoine Mercier</t>
        </is>
      </c>
      <c r="P39" s="65" t="n">
        <v>45674</v>
      </c>
      <c r="Q39" s="75" t="n">
        <v>45674.60416666666</v>
      </c>
      <c r="R39" s="75" t="n">
        <v>45674.6875</v>
      </c>
      <c r="S39" s="76" t="n">
        <v>2</v>
      </c>
      <c r="T39" s="76" t="n">
        <v>2</v>
      </c>
      <c r="U39" s="70">
        <f>IF($A39="","",IFERROR(INDEX('Techniciens'!$F$5:$F$44,MATCH(O39,'Techniciens'!$B$5:$B$44,0)),'Paramètres'!$AA$10))</f>
        <v/>
      </c>
      <c r="V39" s="70">
        <f>IF($A39="","",IF(OR(AC39="Demandé",AC39="Planifié",AC39="Annulé"),0,N(T39)*N(U39)))</f>
        <v/>
      </c>
      <c r="W39" s="70">
        <f>IF($A39="","",SUMIFS('Mouvements stock'!$H$5:$H$3004,'Mouvements stock'!$I$5:$I$3004,$A39,'Mouvements stock'!$C$5:$C$3004,"Sortie")-SUMIFS('Mouvements stock'!$H$5:$H$3004,'Mouvements stock'!$I$5:$I$3004,$A39,'Mouvements stock'!$C$5:$C$3004,"Retour"))</f>
        <v/>
      </c>
      <c r="X39" s="66" t="n">
        <v>0</v>
      </c>
      <c r="Y39" s="66" t="n">
        <v>0</v>
      </c>
      <c r="Z39" s="7" t="n"/>
      <c r="AA39" s="70">
        <f>IF($A39="","",N(V39)+N(W39)+N(X39)+N(Y39))</f>
        <v/>
      </c>
      <c r="AB39" s="70">
        <f>IF($A39="","",N(S39)*'Paramètres'!$AA$9*IFERROR(INDEX('Paramètres'!$O$5:$O$7,MATCH(G39,'Paramètres'!$N$5:$N$7,0)),0))</f>
        <v/>
      </c>
      <c r="AC39" s="7" t="inlineStr">
        <is>
          <t>Clôturé</t>
        </is>
      </c>
      <c r="AD39" s="69">
        <f>IF(OR($A39="",Q39=""),"",(Q39-B39)*24)</f>
        <v/>
      </c>
      <c r="AE39" s="69">
        <f>IF(OR(Q39="",R39=""),"",(R39-Q39)*24)</f>
        <v/>
      </c>
      <c r="AF39" s="77">
        <f>IF(OR($A39="",B39=""),"",YEAR(B39))</f>
        <v/>
      </c>
      <c r="AG39" s="77">
        <f>IF(OR($A39="",B39=""),"",MONTH(B39))</f>
        <v/>
      </c>
    </row>
    <row r="40">
      <c r="A40" s="7" t="inlineStr">
        <is>
          <t>OT-2025-0036</t>
        </is>
      </c>
      <c r="B40" s="75" t="n">
        <v>45667.41319444445</v>
      </c>
      <c r="C40" s="7" t="inlineStr">
        <is>
          <t>Éric Laurent (chef d'atelier)</t>
        </is>
      </c>
      <c r="D40" s="7" t="inlineStr">
        <is>
          <t>EQ-USI-001</t>
        </is>
      </c>
      <c r="E40" s="9">
        <f>IF(D40="","",IFERROR(INDEX('Équipements'!$B$5:$B$304,MATCH(D40,'Équipements'!$A$5:$A$304,0)),"Code inconnu"))</f>
        <v/>
      </c>
      <c r="F40" s="9">
        <f>IF(D40="","",IFERROR(INDEX('Équipements'!$D$5:$D$304,MATCH(D40,'Équipements'!$A$5:$A$304,0)),""))</f>
        <v/>
      </c>
      <c r="G40" s="9">
        <f>IF(D40="","",IFERROR(INDEX('Équipements'!$K$5:$K$304,MATCH(D40,'Équipements'!$A$5:$A$304,0)),""))</f>
        <v/>
      </c>
      <c r="H40" s="7" t="inlineStr">
        <is>
          <t>Correctif</t>
        </is>
      </c>
      <c r="I40" s="7" t="n"/>
      <c r="J40" s="7" t="inlineStr">
        <is>
          <t>Automatisme</t>
        </is>
      </c>
      <c r="K40" s="7" t="inlineStr">
        <is>
          <t>P2 - Haute</t>
        </is>
      </c>
      <c r="L40" s="7" t="inlineStr">
        <is>
          <t>Perte des origines machine après coupure</t>
        </is>
      </c>
      <c r="M40" s="7" t="inlineStr">
        <is>
          <t>Défaut logiciel/automate</t>
        </is>
      </c>
      <c r="N40" s="7" t="inlineStr">
        <is>
          <t>Reprise des origines, remplacement pile de sauvegarde CN</t>
        </is>
      </c>
      <c r="O40" s="7" t="inlineStr">
        <is>
          <t>Sophie Garnier</t>
        </is>
      </c>
      <c r="P40" s="65" t="n"/>
      <c r="Q40" s="75" t="n">
        <v>45667.59027777778</v>
      </c>
      <c r="R40" s="75" t="n">
        <v>45668.07986111111</v>
      </c>
      <c r="S40" s="76" t="n">
        <v>0</v>
      </c>
      <c r="T40" s="76" t="n">
        <v>11.75</v>
      </c>
      <c r="U40" s="70">
        <f>IF($A40="","",IFERROR(INDEX('Techniciens'!$F$5:$F$44,MATCH(O40,'Techniciens'!$B$5:$B$44,0)),'Paramètres'!$AA$10))</f>
        <v/>
      </c>
      <c r="V40" s="70">
        <f>IF($A40="","",IF(OR(AC40="Demandé",AC40="Planifié",AC40="Annulé"),0,N(T40)*N(U40)))</f>
        <v/>
      </c>
      <c r="W40" s="70">
        <f>IF($A40="","",SUMIFS('Mouvements stock'!$H$5:$H$3004,'Mouvements stock'!$I$5:$I$3004,$A40,'Mouvements stock'!$C$5:$C$3004,"Sortie")-SUMIFS('Mouvements stock'!$H$5:$H$3004,'Mouvements stock'!$I$5:$I$3004,$A40,'Mouvements stock'!$C$5:$C$3004,"Retour"))</f>
        <v/>
      </c>
      <c r="X40" s="66" t="n">
        <v>0</v>
      </c>
      <c r="Y40" s="66" t="n">
        <v>0</v>
      </c>
      <c r="Z40" s="7" t="n"/>
      <c r="AA40" s="70">
        <f>IF($A40="","",N(V40)+N(W40)+N(X40)+N(Y40))</f>
        <v/>
      </c>
      <c r="AB40" s="70">
        <f>IF($A40="","",N(S40)*'Paramètres'!$AA$9*IFERROR(INDEX('Paramètres'!$O$5:$O$7,MATCH(G40,'Paramètres'!$N$5:$N$7,0)),0))</f>
        <v/>
      </c>
      <c r="AC40" s="7" t="inlineStr">
        <is>
          <t>Clôturé</t>
        </is>
      </c>
      <c r="AD40" s="69">
        <f>IF(OR($A40="",Q40=""),"",(Q40-B40)*24)</f>
        <v/>
      </c>
      <c r="AE40" s="69">
        <f>IF(OR(Q40="",R40=""),"",(R40-Q40)*24)</f>
        <v/>
      </c>
      <c r="AF40" s="77">
        <f>IF(OR($A40="",B40=""),"",YEAR(B40))</f>
        <v/>
      </c>
      <c r="AG40" s="77">
        <f>IF(OR($A40="",B40=""),"",MONTH(B40))</f>
        <v/>
      </c>
    </row>
    <row r="41">
      <c r="A41" s="7" t="inlineStr">
        <is>
          <t>OT-2025-0037</t>
        </is>
      </c>
      <c r="B41" s="75" t="n">
        <v>45667.41666666666</v>
      </c>
      <c r="C41" s="7" t="inlineStr">
        <is>
          <t>Plan préventif</t>
        </is>
      </c>
      <c r="D41" s="7" t="inlineStr">
        <is>
          <t>EQ-USI-004</t>
        </is>
      </c>
      <c r="E41" s="9">
        <f>IF(D41="","",IFERROR(INDEX('Équipements'!$B$5:$B$304,MATCH(D41,'Équipements'!$A$5:$A$304,0)),"Code inconnu"))</f>
        <v/>
      </c>
      <c r="F41" s="9">
        <f>IF(D41="","",IFERROR(INDEX('Équipements'!$D$5:$D$304,MATCH(D41,'Équipements'!$A$5:$A$304,0)),""))</f>
        <v/>
      </c>
      <c r="G41" s="9">
        <f>IF(D41="","",IFERROR(INDEX('Équipements'!$K$5:$K$304,MATCH(D41,'Équipements'!$A$5:$A$304,0)),""))</f>
        <v/>
      </c>
      <c r="H41" s="7" t="inlineStr">
        <is>
          <t>Préventif systématique</t>
        </is>
      </c>
      <c r="I41" s="7" t="inlineStr">
        <is>
          <t>GP-013</t>
        </is>
      </c>
      <c r="J41" s="7" t="inlineStr">
        <is>
          <t>Mécanique</t>
        </is>
      </c>
      <c r="K41" s="7" t="inlineStr">
        <is>
          <t>P3 - Normale</t>
        </is>
      </c>
      <c r="L41" s="7" t="inlineStr">
        <is>
          <t>Contrôle niveaux, nettoyage filtres et bac à copeaux</t>
        </is>
      </c>
      <c r="M41" s="7" t="n"/>
      <c r="N41" s="7" t="inlineStr">
        <is>
          <t>Gamme réalisée - RAS</t>
        </is>
      </c>
      <c r="O41" s="7" t="inlineStr">
        <is>
          <t>Lucas Fontaine</t>
        </is>
      </c>
      <c r="P41" s="65" t="n">
        <v>45674</v>
      </c>
      <c r="Q41" s="75" t="n">
        <v>45674.29861111111</v>
      </c>
      <c r="R41" s="75" t="n">
        <v>45674.35069444445</v>
      </c>
      <c r="S41" s="76" t="n">
        <v>0</v>
      </c>
      <c r="T41" s="76" t="n">
        <v>1.25</v>
      </c>
      <c r="U41" s="70">
        <f>IF($A41="","",IFERROR(INDEX('Techniciens'!$F$5:$F$44,MATCH(O41,'Techniciens'!$B$5:$B$44,0)),'Paramètres'!$AA$10))</f>
        <v/>
      </c>
      <c r="V41" s="70">
        <f>IF($A41="","",IF(OR(AC41="Demandé",AC41="Planifié",AC41="Annulé"),0,N(T41)*N(U41)))</f>
        <v/>
      </c>
      <c r="W41" s="70">
        <f>IF($A41="","",SUMIFS('Mouvements stock'!$H$5:$H$3004,'Mouvements stock'!$I$5:$I$3004,$A41,'Mouvements stock'!$C$5:$C$3004,"Sortie")-SUMIFS('Mouvements stock'!$H$5:$H$3004,'Mouvements stock'!$I$5:$I$3004,$A41,'Mouvements stock'!$C$5:$C$3004,"Retour"))</f>
        <v/>
      </c>
      <c r="X41" s="66" t="n">
        <v>0</v>
      </c>
      <c r="Y41" s="66" t="n">
        <v>0</v>
      </c>
      <c r="Z41" s="7" t="n"/>
      <c r="AA41" s="70">
        <f>IF($A41="","",N(V41)+N(W41)+N(X41)+N(Y41))</f>
        <v/>
      </c>
      <c r="AB41" s="70">
        <f>IF($A41="","",N(S41)*'Paramètres'!$AA$9*IFERROR(INDEX('Paramètres'!$O$5:$O$7,MATCH(G41,'Paramètres'!$N$5:$N$7,0)),0))</f>
        <v/>
      </c>
      <c r="AC41" s="7" t="inlineStr">
        <is>
          <t>Clôturé</t>
        </is>
      </c>
      <c r="AD41" s="69">
        <f>IF(OR($A41="",Q41=""),"",(Q41-B41)*24)</f>
        <v/>
      </c>
      <c r="AE41" s="69">
        <f>IF(OR(Q41="",R41=""),"",(R41-Q41)*24)</f>
        <v/>
      </c>
      <c r="AF41" s="77">
        <f>IF(OR($A41="",B41=""),"",YEAR(B41))</f>
        <v/>
      </c>
      <c r="AG41" s="77">
        <f>IF(OR($A41="",B41=""),"",MONTH(B41))</f>
        <v/>
      </c>
    </row>
    <row r="42">
      <c r="A42" s="7" t="inlineStr">
        <is>
          <t>OT-2025-0038</t>
        </is>
      </c>
      <c r="B42" s="75" t="n">
        <v>45668.36180555556</v>
      </c>
      <c r="C42" s="7" t="inlineStr">
        <is>
          <t>Paul Roux (chef d'atelier)</t>
        </is>
      </c>
      <c r="D42" s="7" t="inlineStr">
        <is>
          <t>EQ-ASS-001</t>
        </is>
      </c>
      <c r="E42" s="9">
        <f>IF(D42="","",IFERROR(INDEX('Équipements'!$B$5:$B$304,MATCH(D42,'Équipements'!$A$5:$A$304,0)),"Code inconnu"))</f>
        <v/>
      </c>
      <c r="F42" s="9">
        <f>IF(D42="","",IFERROR(INDEX('Équipements'!$D$5:$D$304,MATCH(D42,'Équipements'!$A$5:$A$304,0)),""))</f>
        <v/>
      </c>
      <c r="G42" s="9">
        <f>IF(D42="","",IFERROR(INDEX('Équipements'!$K$5:$K$304,MATCH(D42,'Équipements'!$A$5:$A$304,0)),""))</f>
        <v/>
      </c>
      <c r="H42" s="7" t="inlineStr">
        <is>
          <t>Correctif</t>
        </is>
      </c>
      <c r="I42" s="7" t="n"/>
      <c r="J42" s="7" t="inlineStr">
        <is>
          <t>Électrique</t>
        </is>
      </c>
      <c r="K42" s="7" t="inlineStr">
        <is>
          <t>P1 - Urgent</t>
        </is>
      </c>
      <c r="L42" s="7" t="inlineStr">
        <is>
          <t>Moteur d'entraînement en défaut thermique</t>
        </is>
      </c>
      <c r="M42" s="7" t="inlineStr">
        <is>
          <t>Défaut électrique</t>
        </is>
      </c>
      <c r="N42" s="7" t="inlineStr">
        <is>
          <t>Remplacement motoréducteur / disjoncteur moteur</t>
        </is>
      </c>
      <c r="O42" s="7" t="inlineStr">
        <is>
          <t>Antoine Mercier</t>
        </is>
      </c>
      <c r="P42" s="65" t="n"/>
      <c r="Q42" s="75" t="n">
        <v>45668.37222222222</v>
      </c>
      <c r="R42" s="75" t="n">
        <v>45668.47638888889</v>
      </c>
      <c r="S42" s="76" t="n">
        <v>2.8</v>
      </c>
      <c r="T42" s="76" t="n">
        <v>2.5</v>
      </c>
      <c r="U42" s="70">
        <f>IF($A42="","",IFERROR(INDEX('Techniciens'!$F$5:$F$44,MATCH(O42,'Techniciens'!$B$5:$B$44,0)),'Paramètres'!$AA$10))</f>
        <v/>
      </c>
      <c r="V42" s="70">
        <f>IF($A42="","",IF(OR(AC42="Demandé",AC42="Planifié",AC42="Annulé"),0,N(T42)*N(U42)))</f>
        <v/>
      </c>
      <c r="W42" s="70">
        <f>IF($A42="","",SUMIFS('Mouvements stock'!$H$5:$H$3004,'Mouvements stock'!$I$5:$I$3004,$A42,'Mouvements stock'!$C$5:$C$3004,"Sortie")-SUMIFS('Mouvements stock'!$H$5:$H$3004,'Mouvements stock'!$I$5:$I$3004,$A42,'Mouvements stock'!$C$5:$C$3004,"Retour"))</f>
        <v/>
      </c>
      <c r="X42" s="66" t="n">
        <v>0</v>
      </c>
      <c r="Y42" s="66" t="n">
        <v>0</v>
      </c>
      <c r="Z42" s="7" t="n"/>
      <c r="AA42" s="70">
        <f>IF($A42="","",N(V42)+N(W42)+N(X42)+N(Y42))</f>
        <v/>
      </c>
      <c r="AB42" s="70">
        <f>IF($A42="","",N(S42)*'Paramètres'!$AA$9*IFERROR(INDEX('Paramètres'!$O$5:$O$7,MATCH(G42,'Paramètres'!$N$5:$N$7,0)),0))</f>
        <v/>
      </c>
      <c r="AC42" s="7" t="inlineStr">
        <is>
          <t>Clôturé</t>
        </is>
      </c>
      <c r="AD42" s="69">
        <f>IF(OR($A42="",Q42=""),"",(Q42-B42)*24)</f>
        <v/>
      </c>
      <c r="AE42" s="69">
        <f>IF(OR(Q42="",R42=""),"",(R42-Q42)*24)</f>
        <v/>
      </c>
      <c r="AF42" s="77">
        <f>IF(OR($A42="",B42=""),"",YEAR(B42))</f>
        <v/>
      </c>
      <c r="AG42" s="77">
        <f>IF(OR($A42="",B42=""),"",MONTH(B42))</f>
        <v/>
      </c>
    </row>
    <row r="43">
      <c r="A43" s="7" t="inlineStr">
        <is>
          <t>OT-2025-0039</t>
        </is>
      </c>
      <c r="B43" s="75" t="n">
        <v>45668.41666666666</v>
      </c>
      <c r="C43" s="7" t="inlineStr">
        <is>
          <t>Opérateur tôlerie</t>
        </is>
      </c>
      <c r="D43" s="7" t="inlineStr">
        <is>
          <t>EQ-TOL-005</t>
        </is>
      </c>
      <c r="E43" s="9">
        <f>IF(D43="","",IFERROR(INDEX('Équipements'!$B$5:$B$304,MATCH(D43,'Équipements'!$A$5:$A$304,0)),"Code inconnu"))</f>
        <v/>
      </c>
      <c r="F43" s="9">
        <f>IF(D43="","",IFERROR(INDEX('Équipements'!$D$5:$D$304,MATCH(D43,'Équipements'!$A$5:$A$304,0)),""))</f>
        <v/>
      </c>
      <c r="G43" s="9">
        <f>IF(D43="","",IFERROR(INDEX('Équipements'!$K$5:$K$304,MATCH(D43,'Équipements'!$A$5:$A$304,0)),""))</f>
        <v/>
      </c>
      <c r="H43" s="7" t="inlineStr">
        <is>
          <t>Correctif</t>
        </is>
      </c>
      <c r="I43" s="7" t="n"/>
      <c r="J43" s="7" t="inlineStr">
        <is>
          <t>Hydraulique</t>
        </is>
      </c>
      <c r="K43" s="7" t="inlineStr">
        <is>
          <t>P2 - Haute</t>
        </is>
      </c>
      <c r="L43" s="7" t="inlineStr">
        <is>
          <t>Fuite d'huile vérin principal</t>
        </is>
      </c>
      <c r="M43" s="7" t="n"/>
      <c r="N43" s="7" t="inlineStr">
        <is>
          <t>Doublon de demande - annulé</t>
        </is>
      </c>
      <c r="O43" s="7" t="inlineStr">
        <is>
          <t>Antoine Mercier</t>
        </is>
      </c>
      <c r="P43" s="65" t="n"/>
      <c r="Q43" s="75" t="n"/>
      <c r="R43" s="75" t="n"/>
      <c r="S43" s="76" t="n">
        <v>0</v>
      </c>
      <c r="T43" s="76" t="n">
        <v>0</v>
      </c>
      <c r="U43" s="70">
        <f>IF($A43="","",IFERROR(INDEX('Techniciens'!$F$5:$F$44,MATCH(O43,'Techniciens'!$B$5:$B$44,0)),'Paramètres'!$AA$10))</f>
        <v/>
      </c>
      <c r="V43" s="70">
        <f>IF($A43="","",IF(OR(AC43="Demandé",AC43="Planifié",AC43="Annulé"),0,N(T43)*N(U43)))</f>
        <v/>
      </c>
      <c r="W43" s="70">
        <f>IF($A43="","",SUMIFS('Mouvements stock'!$H$5:$H$3004,'Mouvements stock'!$I$5:$I$3004,$A43,'Mouvements stock'!$C$5:$C$3004,"Sortie")-SUMIFS('Mouvements stock'!$H$5:$H$3004,'Mouvements stock'!$I$5:$I$3004,$A43,'Mouvements stock'!$C$5:$C$3004,"Retour"))</f>
        <v/>
      </c>
      <c r="X43" s="66" t="n">
        <v>0</v>
      </c>
      <c r="Y43" s="66" t="n">
        <v>0</v>
      </c>
      <c r="Z43" s="7" t="n"/>
      <c r="AA43" s="70">
        <f>IF($A43="","",N(V43)+N(W43)+N(X43)+N(Y43))</f>
        <v/>
      </c>
      <c r="AB43" s="70">
        <f>IF($A43="","",N(S43)*'Paramètres'!$AA$9*IFERROR(INDEX('Paramètres'!$O$5:$O$7,MATCH(G43,'Paramètres'!$N$5:$N$7,0)),0))</f>
        <v/>
      </c>
      <c r="AC43" s="7" t="inlineStr">
        <is>
          <t>Annulé</t>
        </is>
      </c>
      <c r="AD43" s="69">
        <f>IF(OR($A43="",Q43=""),"",(Q43-B43)*24)</f>
        <v/>
      </c>
      <c r="AE43" s="69">
        <f>IF(OR(Q43="",R43=""),"",(R43-Q43)*24)</f>
        <v/>
      </c>
      <c r="AF43" s="77">
        <f>IF(OR($A43="",B43=""),"",YEAR(B43))</f>
        <v/>
      </c>
      <c r="AG43" s="77">
        <f>IF(OR($A43="",B43=""),"",MONTH(B43))</f>
        <v/>
      </c>
    </row>
    <row r="44">
      <c r="A44" s="7" t="inlineStr">
        <is>
          <t>OT-2025-0040</t>
        </is>
      </c>
      <c r="B44" s="75" t="n">
        <v>45670.375</v>
      </c>
      <c r="C44" s="7" t="inlineStr">
        <is>
          <t>Plan préventif</t>
        </is>
      </c>
      <c r="D44" s="7" t="inlineStr">
        <is>
          <t>EQ-USI-009</t>
        </is>
      </c>
      <c r="E44" s="9">
        <f>IF(D44="","",IFERROR(INDEX('Équipements'!$B$5:$B$304,MATCH(D44,'Équipements'!$A$5:$A$304,0)),"Code inconnu"))</f>
        <v/>
      </c>
      <c r="F44" s="9">
        <f>IF(D44="","",IFERROR(INDEX('Équipements'!$D$5:$D$304,MATCH(D44,'Équipements'!$A$5:$A$304,0)),""))</f>
        <v/>
      </c>
      <c r="G44" s="9">
        <f>IF(D44="","",IFERROR(INDEX('Équipements'!$K$5:$K$304,MATCH(D44,'Équipements'!$A$5:$A$304,0)),""))</f>
        <v/>
      </c>
      <c r="H44" s="7" t="inlineStr">
        <is>
          <t>Préventif systématique</t>
        </is>
      </c>
      <c r="I44" s="7" t="inlineStr">
        <is>
          <t>GP-030</t>
        </is>
      </c>
      <c r="J44" s="7" t="inlineStr">
        <is>
          <t>Mécanique</t>
        </is>
      </c>
      <c r="K44" s="7" t="inlineStr">
        <is>
          <t>P3 - Normale</t>
        </is>
      </c>
      <c r="L44" s="7" t="inlineStr">
        <is>
          <t>Contrôle lame, guides et liquide de coupe</t>
        </is>
      </c>
      <c r="M44" s="7" t="n"/>
      <c r="N44" s="7" t="inlineStr">
        <is>
          <t>Gamme réalisée - usure constatée, à surveiller</t>
        </is>
      </c>
      <c r="O44" s="7" t="inlineStr">
        <is>
          <t>Karim Benali</t>
        </is>
      </c>
      <c r="P44" s="65" t="n">
        <v>45677</v>
      </c>
      <c r="Q44" s="75" t="n">
        <v>45677.55555555555</v>
      </c>
      <c r="R44" s="75" t="n">
        <v>45677.58680555555</v>
      </c>
      <c r="S44" s="76" t="n">
        <v>0</v>
      </c>
      <c r="T44" s="76" t="n">
        <v>0.75</v>
      </c>
      <c r="U44" s="70">
        <f>IF($A44="","",IFERROR(INDEX('Techniciens'!$F$5:$F$44,MATCH(O44,'Techniciens'!$B$5:$B$44,0)),'Paramètres'!$AA$10))</f>
        <v/>
      </c>
      <c r="V44" s="70">
        <f>IF($A44="","",IF(OR(AC44="Demandé",AC44="Planifié",AC44="Annulé"),0,N(T44)*N(U44)))</f>
        <v/>
      </c>
      <c r="W44" s="70">
        <f>IF($A44="","",SUMIFS('Mouvements stock'!$H$5:$H$3004,'Mouvements stock'!$I$5:$I$3004,$A44,'Mouvements stock'!$C$5:$C$3004,"Sortie")-SUMIFS('Mouvements stock'!$H$5:$H$3004,'Mouvements stock'!$I$5:$I$3004,$A44,'Mouvements stock'!$C$5:$C$3004,"Retour"))</f>
        <v/>
      </c>
      <c r="X44" s="66" t="n">
        <v>0</v>
      </c>
      <c r="Y44" s="66" t="n">
        <v>0</v>
      </c>
      <c r="Z44" s="7" t="n"/>
      <c r="AA44" s="70">
        <f>IF($A44="","",N(V44)+N(W44)+N(X44)+N(Y44))</f>
        <v/>
      </c>
      <c r="AB44" s="70">
        <f>IF($A44="","",N(S44)*'Paramètres'!$AA$9*IFERROR(INDEX('Paramètres'!$O$5:$O$7,MATCH(G44,'Paramètres'!$N$5:$N$7,0)),0))</f>
        <v/>
      </c>
      <c r="AC44" s="7" t="inlineStr">
        <is>
          <t>Clôturé</t>
        </is>
      </c>
      <c r="AD44" s="69">
        <f>IF(OR($A44="",Q44=""),"",(Q44-B44)*24)</f>
        <v/>
      </c>
      <c r="AE44" s="69">
        <f>IF(OR(Q44="",R44=""),"",(R44-Q44)*24)</f>
        <v/>
      </c>
      <c r="AF44" s="77">
        <f>IF(OR($A44="",B44=""),"",YEAR(B44))</f>
        <v/>
      </c>
      <c r="AG44" s="77">
        <f>IF(OR($A44="",B44=""),"",MONTH(B44))</f>
        <v/>
      </c>
    </row>
    <row r="45">
      <c r="A45" s="7" t="inlineStr">
        <is>
          <t>OT-2025-0041</t>
        </is>
      </c>
      <c r="B45" s="75" t="n">
        <v>45670.48958333334</v>
      </c>
      <c r="C45" s="7" t="inlineStr">
        <is>
          <t>Plan préventif</t>
        </is>
      </c>
      <c r="D45" s="7" t="inlineStr">
        <is>
          <t>EQ-LOG-008</t>
        </is>
      </c>
      <c r="E45" s="9">
        <f>IF(D45="","",IFERROR(INDEX('Équipements'!$B$5:$B$304,MATCH(D45,'Équipements'!$A$5:$A$304,0)),"Code inconnu"))</f>
        <v/>
      </c>
      <c r="F45" s="9">
        <f>IF(D45="","",IFERROR(INDEX('Équipements'!$D$5:$D$304,MATCH(D45,'Équipements'!$A$5:$A$304,0)),""))</f>
        <v/>
      </c>
      <c r="G45" s="9">
        <f>IF(D45="","",IFERROR(INDEX('Équipements'!$K$5:$K$304,MATCH(D45,'Équipements'!$A$5:$A$304,0)),""))</f>
        <v/>
      </c>
      <c r="H45" s="7" t="inlineStr">
        <is>
          <t>Préventif systématique</t>
        </is>
      </c>
      <c r="I45" s="7" t="inlineStr">
        <is>
          <t>GP-119</t>
        </is>
      </c>
      <c r="J45" s="7" t="inlineStr">
        <is>
          <t>Mécanique</t>
        </is>
      </c>
      <c r="K45" s="7" t="inlineStr">
        <is>
          <t>P3 - Normale</t>
        </is>
      </c>
      <c r="L45" s="7" t="inlineStr">
        <is>
          <t>Contrôle câbles, crochets, freins et fins de course</t>
        </is>
      </c>
      <c r="M45" s="7" t="n"/>
      <c r="N45" s="7" t="inlineStr">
        <is>
          <t>Gamme réalisée - RAS</t>
        </is>
      </c>
      <c r="O45" s="7" t="inlineStr">
        <is>
          <t>Karim Benali</t>
        </is>
      </c>
      <c r="P45" s="65" t="n">
        <v>45677</v>
      </c>
      <c r="Q45" s="75" t="n">
        <v>45677.40625</v>
      </c>
      <c r="R45" s="75" t="n">
        <v>45677.5625</v>
      </c>
      <c r="S45" s="76" t="n">
        <v>0</v>
      </c>
      <c r="T45" s="76" t="n">
        <v>3.75</v>
      </c>
      <c r="U45" s="70">
        <f>IF($A45="","",IFERROR(INDEX('Techniciens'!$F$5:$F$44,MATCH(O45,'Techniciens'!$B$5:$B$44,0)),'Paramètres'!$AA$10))</f>
        <v/>
      </c>
      <c r="V45" s="70">
        <f>IF($A45="","",IF(OR(AC45="Demandé",AC45="Planifié",AC45="Annulé"),0,N(T45)*N(U45)))</f>
        <v/>
      </c>
      <c r="W45" s="70">
        <f>IF($A45="","",SUMIFS('Mouvements stock'!$H$5:$H$3004,'Mouvements stock'!$I$5:$I$3004,$A45,'Mouvements stock'!$C$5:$C$3004,"Sortie")-SUMIFS('Mouvements stock'!$H$5:$H$3004,'Mouvements stock'!$I$5:$I$3004,$A45,'Mouvements stock'!$C$5:$C$3004,"Retour"))</f>
        <v/>
      </c>
      <c r="X45" s="66" t="n">
        <v>0</v>
      </c>
      <c r="Y45" s="66" t="n">
        <v>0</v>
      </c>
      <c r="Z45" s="7" t="n"/>
      <c r="AA45" s="70">
        <f>IF($A45="","",N(V45)+N(W45)+N(X45)+N(Y45))</f>
        <v/>
      </c>
      <c r="AB45" s="70">
        <f>IF($A45="","",N(S45)*'Paramètres'!$AA$9*IFERROR(INDEX('Paramètres'!$O$5:$O$7,MATCH(G45,'Paramètres'!$N$5:$N$7,0)),0))</f>
        <v/>
      </c>
      <c r="AC45" s="7" t="inlineStr">
        <is>
          <t>Clôturé</t>
        </is>
      </c>
      <c r="AD45" s="69">
        <f>IF(OR($A45="",Q45=""),"",(Q45-B45)*24)</f>
        <v/>
      </c>
      <c r="AE45" s="69">
        <f>IF(OR(Q45="",R45=""),"",(R45-Q45)*24)</f>
        <v/>
      </c>
      <c r="AF45" s="77">
        <f>IF(OR($A45="",B45=""),"",YEAR(B45))</f>
        <v/>
      </c>
      <c r="AG45" s="77">
        <f>IF(OR($A45="",B45=""),"",MONTH(B45))</f>
        <v/>
      </c>
    </row>
    <row r="46">
      <c r="A46" s="7" t="inlineStr">
        <is>
          <t>OT-2025-0042</t>
        </is>
      </c>
      <c r="B46" s="75" t="n">
        <v>45670.75347222222</v>
      </c>
      <c r="C46" s="7" t="inlineStr">
        <is>
          <t>Ronde maintenance</t>
        </is>
      </c>
      <c r="D46" s="7" t="inlineStr">
        <is>
          <t>EQ-UTI-001</t>
        </is>
      </c>
      <c r="E46" s="9">
        <f>IF(D46="","",IFERROR(INDEX('Équipements'!$B$5:$B$304,MATCH(D46,'Équipements'!$A$5:$A$304,0)),"Code inconnu"))</f>
        <v/>
      </c>
      <c r="F46" s="9">
        <f>IF(D46="","",IFERROR(INDEX('Équipements'!$D$5:$D$304,MATCH(D46,'Équipements'!$A$5:$A$304,0)),""))</f>
        <v/>
      </c>
      <c r="G46" s="9">
        <f>IF(D46="","",IFERROR(INDEX('Équipements'!$K$5:$K$304,MATCH(D46,'Équipements'!$A$5:$A$304,0)),""))</f>
        <v/>
      </c>
      <c r="H46" s="7" t="inlineStr">
        <is>
          <t>Correctif</t>
        </is>
      </c>
      <c r="I46" s="7" t="n"/>
      <c r="J46" s="7" t="inlineStr">
        <is>
          <t>Mécanique</t>
        </is>
      </c>
      <c r="K46" s="7" t="inlineStr">
        <is>
          <t>P1 - Urgent</t>
        </is>
      </c>
      <c r="L46" s="7" t="inlineStr">
        <is>
          <t>Arrêt sur température haute</t>
        </is>
      </c>
      <c r="M46" s="7" t="inlineStr">
        <is>
          <t>Encrassement</t>
        </is>
      </c>
      <c r="N46" s="7" t="inlineStr">
        <is>
          <t>Nettoyage refroidisseur, remplacement filtre à huile</t>
        </is>
      </c>
      <c r="O46" s="7" t="inlineStr">
        <is>
          <t>Antoine Mercier</t>
        </is>
      </c>
      <c r="P46" s="65" t="n"/>
      <c r="Q46" s="75" t="n">
        <v>45670.77430555555</v>
      </c>
      <c r="R46" s="75" t="n">
        <v>45672.75509748959</v>
      </c>
      <c r="S46" s="76" t="n">
        <v>26.2</v>
      </c>
      <c r="T46" s="76" t="n">
        <v>3.75</v>
      </c>
      <c r="U46" s="70">
        <f>IF($A46="","",IFERROR(INDEX('Techniciens'!$F$5:$F$44,MATCH(O46,'Techniciens'!$B$5:$B$44,0)),'Paramètres'!$AA$10))</f>
        <v/>
      </c>
      <c r="V46" s="70">
        <f>IF($A46="","",IF(OR(AC46="Demandé",AC46="Planifié",AC46="Annulé"),0,N(T46)*N(U46)))</f>
        <v/>
      </c>
      <c r="W46" s="70">
        <f>IF($A46="","",SUMIFS('Mouvements stock'!$H$5:$H$3004,'Mouvements stock'!$I$5:$I$3004,$A46,'Mouvements stock'!$C$5:$C$3004,"Sortie")-SUMIFS('Mouvements stock'!$H$5:$H$3004,'Mouvements stock'!$I$5:$I$3004,$A46,'Mouvements stock'!$C$5:$C$3004,"Retour"))</f>
        <v/>
      </c>
      <c r="X46" s="66" t="n">
        <v>0</v>
      </c>
      <c r="Y46" s="66" t="n">
        <v>0</v>
      </c>
      <c r="Z46" s="7" t="n"/>
      <c r="AA46" s="70">
        <f>IF($A46="","",N(V46)+N(W46)+N(X46)+N(Y46))</f>
        <v/>
      </c>
      <c r="AB46" s="70">
        <f>IF($A46="","",N(S46)*'Paramètres'!$AA$9*IFERROR(INDEX('Paramètres'!$O$5:$O$7,MATCH(G46,'Paramètres'!$N$5:$N$7,0)),0))</f>
        <v/>
      </c>
      <c r="AC46" s="7" t="inlineStr">
        <is>
          <t>Clôturé</t>
        </is>
      </c>
      <c r="AD46" s="69">
        <f>IF(OR($A46="",Q46=""),"",(Q46-B46)*24)</f>
        <v/>
      </c>
      <c r="AE46" s="69">
        <f>IF(OR(Q46="",R46=""),"",(R46-Q46)*24)</f>
        <v/>
      </c>
      <c r="AF46" s="77">
        <f>IF(OR($A46="",B46=""),"",YEAR(B46))</f>
        <v/>
      </c>
      <c r="AG46" s="77">
        <f>IF(OR($A46="",B46=""),"",MONTH(B46))</f>
        <v/>
      </c>
    </row>
    <row r="47">
      <c r="A47" s="7" t="inlineStr">
        <is>
          <t>OT-2025-0043</t>
        </is>
      </c>
      <c r="B47" s="75" t="n">
        <v>45670.76319444444</v>
      </c>
      <c r="C47" s="7" t="inlineStr">
        <is>
          <t>Inès Girard (cheffe d'équipe)</t>
        </is>
      </c>
      <c r="D47" s="7" t="inlineStr">
        <is>
          <t>EQ-PEI-005</t>
        </is>
      </c>
      <c r="E47" s="9">
        <f>IF(D47="","",IFERROR(INDEX('Équipements'!$B$5:$B$304,MATCH(D47,'Équipements'!$A$5:$A$304,0)),"Code inconnu"))</f>
        <v/>
      </c>
      <c r="F47" s="9">
        <f>IF(D47="","",IFERROR(INDEX('Équipements'!$D$5:$D$304,MATCH(D47,'Équipements'!$A$5:$A$304,0)),""))</f>
        <v/>
      </c>
      <c r="G47" s="9">
        <f>IF(D47="","",IFERROR(INDEX('Équipements'!$K$5:$K$304,MATCH(D47,'Équipements'!$A$5:$A$304,0)),""))</f>
        <v/>
      </c>
      <c r="H47" s="7" t="inlineStr">
        <is>
          <t>Correctif</t>
        </is>
      </c>
      <c r="I47" s="7" t="n"/>
      <c r="J47" s="7" t="inlineStr">
        <is>
          <t>Électrique</t>
        </is>
      </c>
      <c r="K47" s="7" t="inlineStr">
        <is>
          <t>P4 - Basse</t>
        </is>
      </c>
      <c r="L47" s="7" t="inlineStr">
        <is>
          <t>Ventilateur d'extraction en défaut</t>
        </is>
      </c>
      <c r="M47" s="7" t="inlineStr">
        <is>
          <t>Défaut électrique</t>
        </is>
      </c>
      <c r="N47" s="7" t="inlineStr">
        <is>
          <t>Remplacement contacteur et courroie</t>
        </is>
      </c>
      <c r="O47" s="7" t="inlineStr">
        <is>
          <t>Antoine Mercier</t>
        </is>
      </c>
      <c r="P47" s="65" t="n"/>
      <c r="Q47" s="75" t="n">
        <v>45676.84027777778</v>
      </c>
      <c r="R47" s="75" t="n">
        <v>45677.09027777778</v>
      </c>
      <c r="S47" s="76" t="n">
        <v>0</v>
      </c>
      <c r="T47" s="76" t="n">
        <v>6</v>
      </c>
      <c r="U47" s="70">
        <f>IF($A47="","",IFERROR(INDEX('Techniciens'!$F$5:$F$44,MATCH(O47,'Techniciens'!$B$5:$B$44,0)),'Paramètres'!$AA$10))</f>
        <v/>
      </c>
      <c r="V47" s="70">
        <f>IF($A47="","",IF(OR(AC47="Demandé",AC47="Planifié",AC47="Annulé"),0,N(T47)*N(U47)))</f>
        <v/>
      </c>
      <c r="W47" s="70">
        <f>IF($A47="","",SUMIFS('Mouvements stock'!$H$5:$H$3004,'Mouvements stock'!$I$5:$I$3004,$A47,'Mouvements stock'!$C$5:$C$3004,"Sortie")-SUMIFS('Mouvements stock'!$H$5:$H$3004,'Mouvements stock'!$I$5:$I$3004,$A47,'Mouvements stock'!$C$5:$C$3004,"Retour"))</f>
        <v/>
      </c>
      <c r="X47" s="66" t="n">
        <v>0</v>
      </c>
      <c r="Y47" s="66" t="n">
        <v>0</v>
      </c>
      <c r="Z47" s="7" t="n"/>
      <c r="AA47" s="70">
        <f>IF($A47="","",N(V47)+N(W47)+N(X47)+N(Y47))</f>
        <v/>
      </c>
      <c r="AB47" s="70">
        <f>IF($A47="","",N(S47)*'Paramètres'!$AA$9*IFERROR(INDEX('Paramètres'!$O$5:$O$7,MATCH(G47,'Paramètres'!$N$5:$N$7,0)),0))</f>
        <v/>
      </c>
      <c r="AC47" s="7" t="inlineStr">
        <is>
          <t>Clôturé</t>
        </is>
      </c>
      <c r="AD47" s="69">
        <f>IF(OR($A47="",Q47=""),"",(Q47-B47)*24)</f>
        <v/>
      </c>
      <c r="AE47" s="69">
        <f>IF(OR(Q47="",R47=""),"",(R47-Q47)*24)</f>
        <v/>
      </c>
      <c r="AF47" s="77">
        <f>IF(OR($A47="",B47=""),"",YEAR(B47))</f>
        <v/>
      </c>
      <c r="AG47" s="77">
        <f>IF(OR($A47="",B47=""),"",MONTH(B47))</f>
        <v/>
      </c>
    </row>
    <row r="48">
      <c r="A48" s="7" t="inlineStr">
        <is>
          <t>OT-2025-0044</t>
        </is>
      </c>
      <c r="B48" s="75" t="n">
        <v>45670.87777777778</v>
      </c>
      <c r="C48" s="7" t="inlineStr">
        <is>
          <t>Sylvie Mathieu (resp. logistique)</t>
        </is>
      </c>
      <c r="D48" s="7" t="inlineStr">
        <is>
          <t>EQ-LOG-006</t>
        </is>
      </c>
      <c r="E48" s="9">
        <f>IF(D48="","",IFERROR(INDEX('Équipements'!$B$5:$B$304,MATCH(D48,'Équipements'!$A$5:$A$304,0)),"Code inconnu"))</f>
        <v/>
      </c>
      <c r="F48" s="9">
        <f>IF(D48="","",IFERROR(INDEX('Équipements'!$D$5:$D$304,MATCH(D48,'Équipements'!$A$5:$A$304,0)),""))</f>
        <v/>
      </c>
      <c r="G48" s="9">
        <f>IF(D48="","",IFERROR(INDEX('Équipements'!$K$5:$K$304,MATCH(D48,'Équipements'!$A$5:$A$304,0)),""))</f>
        <v/>
      </c>
      <c r="H48" s="7" t="inlineStr">
        <is>
          <t>Correctif</t>
        </is>
      </c>
      <c r="I48" s="7" t="n"/>
      <c r="J48" s="7" t="inlineStr">
        <is>
          <t>Électrique</t>
        </is>
      </c>
      <c r="K48" s="7" t="inlineStr">
        <is>
          <t>P2 - Haute</t>
        </is>
      </c>
      <c r="L48" s="7" t="inlineStr">
        <is>
          <t>Défaut boîte à boutons de commande</t>
        </is>
      </c>
      <c r="M48" s="7" t="inlineStr">
        <is>
          <t>Défaut électrique</t>
        </is>
      </c>
      <c r="N48" s="7" t="inlineStr">
        <is>
          <t>Remplacement contacteur de boîte à boutons</t>
        </is>
      </c>
      <c r="O48" s="7" t="inlineStr">
        <is>
          <t>Antoine Mercier</t>
        </is>
      </c>
      <c r="P48" s="65" t="n"/>
      <c r="Q48" s="75" t="n">
        <v>45671.05763888889</v>
      </c>
      <c r="R48" s="75" t="n">
        <v>45671.26597222222</v>
      </c>
      <c r="S48" s="76" t="n">
        <v>9.300000000000001</v>
      </c>
      <c r="T48" s="76" t="n">
        <v>5</v>
      </c>
      <c r="U48" s="70">
        <f>IF($A48="","",IFERROR(INDEX('Techniciens'!$F$5:$F$44,MATCH(O48,'Techniciens'!$B$5:$B$44,0)),'Paramètres'!$AA$10))</f>
        <v/>
      </c>
      <c r="V48" s="70">
        <f>IF($A48="","",IF(OR(AC48="Demandé",AC48="Planifié",AC48="Annulé"),0,N(T48)*N(U48)))</f>
        <v/>
      </c>
      <c r="W48" s="70">
        <f>IF($A48="","",SUMIFS('Mouvements stock'!$H$5:$H$3004,'Mouvements stock'!$I$5:$I$3004,$A48,'Mouvements stock'!$C$5:$C$3004,"Sortie")-SUMIFS('Mouvements stock'!$H$5:$H$3004,'Mouvements stock'!$I$5:$I$3004,$A48,'Mouvements stock'!$C$5:$C$3004,"Retour"))</f>
        <v/>
      </c>
      <c r="X48" s="66" t="n">
        <v>0</v>
      </c>
      <c r="Y48" s="66" t="n">
        <v>0</v>
      </c>
      <c r="Z48" s="7" t="n"/>
      <c r="AA48" s="70">
        <f>IF($A48="","",N(V48)+N(W48)+N(X48)+N(Y48))</f>
        <v/>
      </c>
      <c r="AB48" s="70">
        <f>IF($A48="","",N(S48)*'Paramètres'!$AA$9*IFERROR(INDEX('Paramètres'!$O$5:$O$7,MATCH(G48,'Paramètres'!$N$5:$N$7,0)),0))</f>
        <v/>
      </c>
      <c r="AC48" s="7" t="inlineStr">
        <is>
          <t>Clôturé</t>
        </is>
      </c>
      <c r="AD48" s="69">
        <f>IF(OR($A48="",Q48=""),"",(Q48-B48)*24)</f>
        <v/>
      </c>
      <c r="AE48" s="69">
        <f>IF(OR(Q48="",R48=""),"",(R48-Q48)*24)</f>
        <v/>
      </c>
      <c r="AF48" s="77">
        <f>IF(OR($A48="",B48=""),"",YEAR(B48))</f>
        <v/>
      </c>
      <c r="AG48" s="77">
        <f>IF(OR($A48="",B48=""),"",MONTH(B48))</f>
        <v/>
      </c>
    </row>
    <row r="49">
      <c r="A49" s="7" t="inlineStr">
        <is>
          <t>OT-2025-0045</t>
        </is>
      </c>
      <c r="B49" s="75" t="n">
        <v>45671.56875</v>
      </c>
      <c r="C49" s="7" t="inlineStr">
        <is>
          <t>Inès Girard (cheffe d'équipe)</t>
        </is>
      </c>
      <c r="D49" s="7" t="inlineStr">
        <is>
          <t>EQ-PEI-004</t>
        </is>
      </c>
      <c r="E49" s="9">
        <f>IF(D49="","",IFERROR(INDEX('Équipements'!$B$5:$B$304,MATCH(D49,'Équipements'!$A$5:$A$304,0)),"Code inconnu"))</f>
        <v/>
      </c>
      <c r="F49" s="9">
        <f>IF(D49="","",IFERROR(INDEX('Équipements'!$D$5:$D$304,MATCH(D49,'Équipements'!$A$5:$A$304,0)),""))</f>
        <v/>
      </c>
      <c r="G49" s="9">
        <f>IF(D49="","",IFERROR(INDEX('Équipements'!$K$5:$K$304,MATCH(D49,'Équipements'!$A$5:$A$304,0)),""))</f>
        <v/>
      </c>
      <c r="H49" s="7" t="inlineStr">
        <is>
          <t>Correctif</t>
        </is>
      </c>
      <c r="I49" s="7" t="n"/>
      <c r="J49" s="7" t="inlineStr">
        <is>
          <t>Électrique</t>
        </is>
      </c>
      <c r="K49" s="7" t="inlineStr">
        <is>
          <t>P1 - Urgent</t>
        </is>
      </c>
      <c r="L49" s="7" t="inlineStr">
        <is>
          <t>Défaut variateur de vitesse</t>
        </is>
      </c>
      <c r="M49" s="7" t="n"/>
      <c r="N49" s="7" t="inlineStr">
        <is>
          <t>Doublon de demande - annulé</t>
        </is>
      </c>
      <c r="O49" s="7" t="inlineStr">
        <is>
          <t>Thomas Petit</t>
        </is>
      </c>
      <c r="P49" s="65" t="n"/>
      <c r="Q49" s="75" t="n"/>
      <c r="R49" s="75" t="n"/>
      <c r="S49" s="76" t="n">
        <v>0</v>
      </c>
      <c r="T49" s="76" t="n">
        <v>0</v>
      </c>
      <c r="U49" s="70">
        <f>IF($A49="","",IFERROR(INDEX('Techniciens'!$F$5:$F$44,MATCH(O49,'Techniciens'!$B$5:$B$44,0)),'Paramètres'!$AA$10))</f>
        <v/>
      </c>
      <c r="V49" s="70">
        <f>IF($A49="","",IF(OR(AC49="Demandé",AC49="Planifié",AC49="Annulé"),0,N(T49)*N(U49)))</f>
        <v/>
      </c>
      <c r="W49" s="70">
        <f>IF($A49="","",SUMIFS('Mouvements stock'!$H$5:$H$3004,'Mouvements stock'!$I$5:$I$3004,$A49,'Mouvements stock'!$C$5:$C$3004,"Sortie")-SUMIFS('Mouvements stock'!$H$5:$H$3004,'Mouvements stock'!$I$5:$I$3004,$A49,'Mouvements stock'!$C$5:$C$3004,"Retour"))</f>
        <v/>
      </c>
      <c r="X49" s="66" t="n">
        <v>0</v>
      </c>
      <c r="Y49" s="66" t="n">
        <v>0</v>
      </c>
      <c r="Z49" s="7" t="n"/>
      <c r="AA49" s="70">
        <f>IF($A49="","",N(V49)+N(W49)+N(X49)+N(Y49))</f>
        <v/>
      </c>
      <c r="AB49" s="70">
        <f>IF($A49="","",N(S49)*'Paramètres'!$AA$9*IFERROR(INDEX('Paramètres'!$O$5:$O$7,MATCH(G49,'Paramètres'!$N$5:$N$7,0)),0))</f>
        <v/>
      </c>
      <c r="AC49" s="7" t="inlineStr">
        <is>
          <t>Annulé</t>
        </is>
      </c>
      <c r="AD49" s="69">
        <f>IF(OR($A49="",Q49=""),"",(Q49-B49)*24)</f>
        <v/>
      </c>
      <c r="AE49" s="69">
        <f>IF(OR(Q49="",R49=""),"",(R49-Q49)*24)</f>
        <v/>
      </c>
      <c r="AF49" s="77">
        <f>IF(OR($A49="",B49=""),"",YEAR(B49))</f>
        <v/>
      </c>
      <c r="AG49" s="77">
        <f>IF(OR($A49="",B49=""),"",MONTH(B49))</f>
        <v/>
      </c>
    </row>
    <row r="50">
      <c r="A50" s="7" t="inlineStr">
        <is>
          <t>OT-2025-0046</t>
        </is>
      </c>
      <c r="B50" s="75" t="n">
        <v>45672.35416666666</v>
      </c>
      <c r="C50" s="7" t="inlineStr">
        <is>
          <t>Plan préventif</t>
        </is>
      </c>
      <c r="D50" s="7" t="inlineStr">
        <is>
          <t>EQ-PEI-003</t>
        </is>
      </c>
      <c r="E50" s="9">
        <f>IF(D50="","",IFERROR(INDEX('Équipements'!$B$5:$B$304,MATCH(D50,'Équipements'!$A$5:$A$304,0)),"Code inconnu"))</f>
        <v/>
      </c>
      <c r="F50" s="9">
        <f>IF(D50="","",IFERROR(INDEX('Équipements'!$D$5:$D$304,MATCH(D50,'Équipements'!$A$5:$A$304,0)),""))</f>
        <v/>
      </c>
      <c r="G50" s="9">
        <f>IF(D50="","",IFERROR(INDEX('Équipements'!$K$5:$K$304,MATCH(D50,'Équipements'!$A$5:$A$304,0)),""))</f>
        <v/>
      </c>
      <c r="H50" s="7" t="inlineStr">
        <is>
          <t>Préventif systématique</t>
        </is>
      </c>
      <c r="I50" s="7" t="inlineStr">
        <is>
          <t>GP-070</t>
        </is>
      </c>
      <c r="J50" s="7" t="inlineStr">
        <is>
          <t>Mécanique</t>
        </is>
      </c>
      <c r="K50" s="7" t="inlineStr">
        <is>
          <t>P3 - Normale</t>
        </is>
      </c>
      <c r="L50" s="7" t="inlineStr">
        <is>
          <t>Nettoyage et remplacement des filtres</t>
        </is>
      </c>
      <c r="M50" s="7" t="n"/>
      <c r="N50" s="7" t="inlineStr">
        <is>
          <t>Gamme réalisée - RAS</t>
        </is>
      </c>
      <c r="O50" s="7" t="inlineStr">
        <is>
          <t>Antoine Mercier</t>
        </is>
      </c>
      <c r="P50" s="65" t="n">
        <v>45679</v>
      </c>
      <c r="Q50" s="75" t="n">
        <v>45679.5625</v>
      </c>
      <c r="R50" s="75" t="n">
        <v>45679.69791666666</v>
      </c>
      <c r="S50" s="76" t="n">
        <v>1.6</v>
      </c>
      <c r="T50" s="76" t="n">
        <v>3.25</v>
      </c>
      <c r="U50" s="70">
        <f>IF($A50="","",IFERROR(INDEX('Techniciens'!$F$5:$F$44,MATCH(O50,'Techniciens'!$B$5:$B$44,0)),'Paramètres'!$AA$10))</f>
        <v/>
      </c>
      <c r="V50" s="70">
        <f>IF($A50="","",IF(OR(AC50="Demandé",AC50="Planifié",AC50="Annulé"),0,N(T50)*N(U50)))</f>
        <v/>
      </c>
      <c r="W50" s="70">
        <f>IF($A50="","",SUMIFS('Mouvements stock'!$H$5:$H$3004,'Mouvements stock'!$I$5:$I$3004,$A50,'Mouvements stock'!$C$5:$C$3004,"Sortie")-SUMIFS('Mouvements stock'!$H$5:$H$3004,'Mouvements stock'!$I$5:$I$3004,$A50,'Mouvements stock'!$C$5:$C$3004,"Retour"))</f>
        <v/>
      </c>
      <c r="X50" s="66" t="n">
        <v>0</v>
      </c>
      <c r="Y50" s="66" t="n">
        <v>0</v>
      </c>
      <c r="Z50" s="7" t="n"/>
      <c r="AA50" s="70">
        <f>IF($A50="","",N(V50)+N(W50)+N(X50)+N(Y50))</f>
        <v/>
      </c>
      <c r="AB50" s="70">
        <f>IF($A50="","",N(S50)*'Paramètres'!$AA$9*IFERROR(INDEX('Paramètres'!$O$5:$O$7,MATCH(G50,'Paramètres'!$N$5:$N$7,0)),0))</f>
        <v/>
      </c>
      <c r="AC50" s="7" t="inlineStr">
        <is>
          <t>Clôturé</t>
        </is>
      </c>
      <c r="AD50" s="69">
        <f>IF(OR($A50="",Q50=""),"",(Q50-B50)*24)</f>
        <v/>
      </c>
      <c r="AE50" s="69">
        <f>IF(OR(Q50="",R50=""),"",(R50-Q50)*24)</f>
        <v/>
      </c>
      <c r="AF50" s="77">
        <f>IF(OR($A50="",B50=""),"",YEAR(B50))</f>
        <v/>
      </c>
      <c r="AG50" s="77">
        <f>IF(OR($A50="",B50=""),"",MONTH(B50))</f>
        <v/>
      </c>
    </row>
    <row r="51">
      <c r="A51" s="7" t="inlineStr">
        <is>
          <t>OT-2025-0047</t>
        </is>
      </c>
      <c r="B51" s="75" t="n">
        <v>45672.39583333334</v>
      </c>
      <c r="C51" s="7" t="inlineStr">
        <is>
          <t>Plan préventif</t>
        </is>
      </c>
      <c r="D51" s="7" t="inlineStr">
        <is>
          <t>EQ-ASS-006</t>
        </is>
      </c>
      <c r="E51" s="9">
        <f>IF(D51="","",IFERROR(INDEX('Équipements'!$B$5:$B$304,MATCH(D51,'Équipements'!$A$5:$A$304,0)),"Code inconnu"))</f>
        <v/>
      </c>
      <c r="F51" s="9">
        <f>IF(D51="","",IFERROR(INDEX('Équipements'!$D$5:$D$304,MATCH(D51,'Équipements'!$A$5:$A$304,0)),""))</f>
        <v/>
      </c>
      <c r="G51" s="9">
        <f>IF(D51="","",IFERROR(INDEX('Équipements'!$K$5:$K$304,MATCH(D51,'Équipements'!$A$5:$A$304,0)),""))</f>
        <v/>
      </c>
      <c r="H51" s="7" t="inlineStr">
        <is>
          <t>Préventif systématique</t>
        </is>
      </c>
      <c r="I51" s="7" t="inlineStr">
        <is>
          <t>GP-085</t>
        </is>
      </c>
      <c r="J51" s="7" t="inlineStr">
        <is>
          <t>Mécanique</t>
        </is>
      </c>
      <c r="K51" s="7" t="inlineStr">
        <is>
          <t>P3 - Normale</t>
        </is>
      </c>
      <c r="L51" s="7" t="inlineStr">
        <is>
          <t>Graissage chaîne / galets et contrôle tension</t>
        </is>
      </c>
      <c r="M51" s="7" t="n"/>
      <c r="N51" s="7" t="inlineStr">
        <is>
          <t>Gamme réalisée - RAS</t>
        </is>
      </c>
      <c r="O51" s="7" t="inlineStr">
        <is>
          <t>Lucas Fontaine</t>
        </is>
      </c>
      <c r="P51" s="65" t="n">
        <v>45679</v>
      </c>
      <c r="Q51" s="75" t="n">
        <v>45679.55208333334</v>
      </c>
      <c r="R51" s="75" t="n">
        <v>45679.63541666666</v>
      </c>
      <c r="S51" s="76" t="n">
        <v>2</v>
      </c>
      <c r="T51" s="76" t="n">
        <v>2</v>
      </c>
      <c r="U51" s="70">
        <f>IF($A51="","",IFERROR(INDEX('Techniciens'!$F$5:$F$44,MATCH(O51,'Techniciens'!$B$5:$B$44,0)),'Paramètres'!$AA$10))</f>
        <v/>
      </c>
      <c r="V51" s="70">
        <f>IF($A51="","",IF(OR(AC51="Demandé",AC51="Planifié",AC51="Annulé"),0,N(T51)*N(U51)))</f>
        <v/>
      </c>
      <c r="W51" s="70">
        <f>IF($A51="","",SUMIFS('Mouvements stock'!$H$5:$H$3004,'Mouvements stock'!$I$5:$I$3004,$A51,'Mouvements stock'!$C$5:$C$3004,"Sortie")-SUMIFS('Mouvements stock'!$H$5:$H$3004,'Mouvements stock'!$I$5:$I$3004,$A51,'Mouvements stock'!$C$5:$C$3004,"Retour"))</f>
        <v/>
      </c>
      <c r="X51" s="66" t="n">
        <v>0</v>
      </c>
      <c r="Y51" s="66" t="n">
        <v>0</v>
      </c>
      <c r="Z51" s="7" t="n"/>
      <c r="AA51" s="70">
        <f>IF($A51="","",N(V51)+N(W51)+N(X51)+N(Y51))</f>
        <v/>
      </c>
      <c r="AB51" s="70">
        <f>IF($A51="","",N(S51)*'Paramètres'!$AA$9*IFERROR(INDEX('Paramètres'!$O$5:$O$7,MATCH(G51,'Paramètres'!$N$5:$N$7,0)),0))</f>
        <v/>
      </c>
      <c r="AC51" s="7" t="inlineStr">
        <is>
          <t>Clôturé</t>
        </is>
      </c>
      <c r="AD51" s="69">
        <f>IF(OR($A51="",Q51=""),"",(Q51-B51)*24)</f>
        <v/>
      </c>
      <c r="AE51" s="69">
        <f>IF(OR(Q51="",R51=""),"",(R51-Q51)*24)</f>
        <v/>
      </c>
      <c r="AF51" s="77">
        <f>IF(OR($A51="",B51=""),"",YEAR(B51))</f>
        <v/>
      </c>
      <c r="AG51" s="77">
        <f>IF(OR($A51="",B51=""),"",MONTH(B51))</f>
        <v/>
      </c>
    </row>
    <row r="52">
      <c r="A52" s="7" t="inlineStr">
        <is>
          <t>OT-2025-0048</t>
        </is>
      </c>
      <c r="B52" s="75" t="n">
        <v>45673.47222222222</v>
      </c>
      <c r="C52" s="7" t="inlineStr">
        <is>
          <t>Plan préventif</t>
        </is>
      </c>
      <c r="D52" s="7" t="inlineStr">
        <is>
          <t>EQ-TOL-006</t>
        </is>
      </c>
      <c r="E52" s="9">
        <f>IF(D52="","",IFERROR(INDEX('Équipements'!$B$5:$B$304,MATCH(D52,'Équipements'!$A$5:$A$304,0)),"Code inconnu"))</f>
        <v/>
      </c>
      <c r="F52" s="9">
        <f>IF(D52="","",IFERROR(INDEX('Équipements'!$D$5:$D$304,MATCH(D52,'Équipements'!$A$5:$A$304,0)),""))</f>
        <v/>
      </c>
      <c r="G52" s="9">
        <f>IF(D52="","",IFERROR(INDEX('Équipements'!$K$5:$K$304,MATCH(D52,'Équipements'!$A$5:$A$304,0)),""))</f>
        <v/>
      </c>
      <c r="H52" s="7" t="inlineStr">
        <is>
          <t>Préventif systématique</t>
        </is>
      </c>
      <c r="I52" s="7" t="inlineStr">
        <is>
          <t>GP-055</t>
        </is>
      </c>
      <c r="J52" s="7" t="inlineStr">
        <is>
          <t>Électrique</t>
        </is>
      </c>
      <c r="K52" s="7" t="inlineStr">
        <is>
          <t>P3 - Normale</t>
        </is>
      </c>
      <c r="L52" s="7" t="inlineStr">
        <is>
          <t>Contrôle des sécurités (barrages, AU, pédale)</t>
        </is>
      </c>
      <c r="M52" s="7" t="n"/>
      <c r="N52" s="7" t="inlineStr">
        <is>
          <t>Gamme réalisée - RAS</t>
        </is>
      </c>
      <c r="O52" s="7" t="inlineStr">
        <is>
          <t>Thomas Petit</t>
        </is>
      </c>
      <c r="P52" s="65" t="n">
        <v>45680</v>
      </c>
      <c r="Q52" s="75" t="n">
        <v>45680.47916666666</v>
      </c>
      <c r="R52" s="75" t="n">
        <v>45680.54166666666</v>
      </c>
      <c r="S52" s="76" t="n">
        <v>0.8</v>
      </c>
      <c r="T52" s="76" t="n">
        <v>1.5</v>
      </c>
      <c r="U52" s="70">
        <f>IF($A52="","",IFERROR(INDEX('Techniciens'!$F$5:$F$44,MATCH(O52,'Techniciens'!$B$5:$B$44,0)),'Paramètres'!$AA$10))</f>
        <v/>
      </c>
      <c r="V52" s="70">
        <f>IF($A52="","",IF(OR(AC52="Demandé",AC52="Planifié",AC52="Annulé"),0,N(T52)*N(U52)))</f>
        <v/>
      </c>
      <c r="W52" s="70">
        <f>IF($A52="","",SUMIFS('Mouvements stock'!$H$5:$H$3004,'Mouvements stock'!$I$5:$I$3004,$A52,'Mouvements stock'!$C$5:$C$3004,"Sortie")-SUMIFS('Mouvements stock'!$H$5:$H$3004,'Mouvements stock'!$I$5:$I$3004,$A52,'Mouvements stock'!$C$5:$C$3004,"Retour"))</f>
        <v/>
      </c>
      <c r="X52" s="66" t="n">
        <v>0</v>
      </c>
      <c r="Y52" s="66" t="n">
        <v>0</v>
      </c>
      <c r="Z52" s="7" t="n"/>
      <c r="AA52" s="70">
        <f>IF($A52="","",N(V52)+N(W52)+N(X52)+N(Y52))</f>
        <v/>
      </c>
      <c r="AB52" s="70">
        <f>IF($A52="","",N(S52)*'Paramètres'!$AA$9*IFERROR(INDEX('Paramètres'!$O$5:$O$7,MATCH(G52,'Paramètres'!$N$5:$N$7,0)),0))</f>
        <v/>
      </c>
      <c r="AC52" s="7" t="inlineStr">
        <is>
          <t>Clôturé</t>
        </is>
      </c>
      <c r="AD52" s="69">
        <f>IF(OR($A52="",Q52=""),"",(Q52-B52)*24)</f>
        <v/>
      </c>
      <c r="AE52" s="69">
        <f>IF(OR(Q52="",R52=""),"",(R52-Q52)*24)</f>
        <v/>
      </c>
      <c r="AF52" s="77">
        <f>IF(OR($A52="",B52=""),"",YEAR(B52))</f>
        <v/>
      </c>
      <c r="AG52" s="77">
        <f>IF(OR($A52="",B52=""),"",MONTH(B52))</f>
        <v/>
      </c>
    </row>
    <row r="53">
      <c r="A53" s="7" t="inlineStr">
        <is>
          <t>OT-2025-0049</t>
        </is>
      </c>
      <c r="B53" s="75" t="n">
        <v>45674.35833333333</v>
      </c>
      <c r="C53" s="7" t="inlineStr">
        <is>
          <t>Inès Girard (cheffe d'équipe)</t>
        </is>
      </c>
      <c r="D53" s="7" t="inlineStr">
        <is>
          <t>EQ-PEI-003</t>
        </is>
      </c>
      <c r="E53" s="9">
        <f>IF(D53="","",IFERROR(INDEX('Équipements'!$B$5:$B$304,MATCH(D53,'Équipements'!$A$5:$A$304,0)),"Code inconnu"))</f>
        <v/>
      </c>
      <c r="F53" s="9">
        <f>IF(D53="","",IFERROR(INDEX('Équipements'!$D$5:$D$304,MATCH(D53,'Équipements'!$A$5:$A$304,0)),""))</f>
        <v/>
      </c>
      <c r="G53" s="9">
        <f>IF(D53="","",IFERROR(INDEX('Équipements'!$K$5:$K$304,MATCH(D53,'Équipements'!$A$5:$A$304,0)),""))</f>
        <v/>
      </c>
      <c r="H53" s="7" t="inlineStr">
        <is>
          <t>Correctif</t>
        </is>
      </c>
      <c r="I53" s="7" t="n"/>
      <c r="J53" s="7" t="inlineStr">
        <is>
          <t>Mécanique</t>
        </is>
      </c>
      <c r="K53" s="7" t="inlineStr">
        <is>
          <t>P2 - Haute</t>
        </is>
      </c>
      <c r="L53" s="7" t="inlineStr">
        <is>
          <t>Pompe de bain en défaut</t>
        </is>
      </c>
      <c r="M53" s="7" t="inlineStr">
        <is>
          <t>Usure</t>
        </is>
      </c>
      <c r="N53" s="7" t="inlineStr">
        <is>
          <t>Remplacement pompe</t>
        </is>
      </c>
      <c r="O53" s="7" t="inlineStr">
        <is>
          <t>Lucas Fontaine</t>
        </is>
      </c>
      <c r="P53" s="65" t="n"/>
      <c r="Q53" s="75" t="n">
        <v>45674.57708333333</v>
      </c>
      <c r="R53" s="75" t="n">
        <v>45674.82708333333</v>
      </c>
      <c r="S53" s="76" t="n">
        <v>11.3</v>
      </c>
      <c r="T53" s="76" t="n">
        <v>6</v>
      </c>
      <c r="U53" s="70">
        <f>IF($A53="","",IFERROR(INDEX('Techniciens'!$F$5:$F$44,MATCH(O53,'Techniciens'!$B$5:$B$44,0)),'Paramètres'!$AA$10))</f>
        <v/>
      </c>
      <c r="V53" s="70">
        <f>IF($A53="","",IF(OR(AC53="Demandé",AC53="Planifié",AC53="Annulé"),0,N(T53)*N(U53)))</f>
        <v/>
      </c>
      <c r="W53" s="70">
        <f>IF($A53="","",SUMIFS('Mouvements stock'!$H$5:$H$3004,'Mouvements stock'!$I$5:$I$3004,$A53,'Mouvements stock'!$C$5:$C$3004,"Sortie")-SUMIFS('Mouvements stock'!$H$5:$H$3004,'Mouvements stock'!$I$5:$I$3004,$A53,'Mouvements stock'!$C$5:$C$3004,"Retour"))</f>
        <v/>
      </c>
      <c r="X53" s="66" t="n">
        <v>0</v>
      </c>
      <c r="Y53" s="66" t="n">
        <v>0</v>
      </c>
      <c r="Z53" s="7" t="n"/>
      <c r="AA53" s="70">
        <f>IF($A53="","",N(V53)+N(W53)+N(X53)+N(Y53))</f>
        <v/>
      </c>
      <c r="AB53" s="70">
        <f>IF($A53="","",N(S53)*'Paramètres'!$AA$9*IFERROR(INDEX('Paramètres'!$O$5:$O$7,MATCH(G53,'Paramètres'!$N$5:$N$7,0)),0))</f>
        <v/>
      </c>
      <c r="AC53" s="7" t="inlineStr">
        <is>
          <t>Clôturé</t>
        </is>
      </c>
      <c r="AD53" s="69">
        <f>IF(OR($A53="",Q53=""),"",(Q53-B53)*24)</f>
        <v/>
      </c>
      <c r="AE53" s="69">
        <f>IF(OR(Q53="",R53=""),"",(R53-Q53)*24)</f>
        <v/>
      </c>
      <c r="AF53" s="77">
        <f>IF(OR($A53="",B53=""),"",YEAR(B53))</f>
        <v/>
      </c>
      <c r="AG53" s="77">
        <f>IF(OR($A53="",B53=""),"",MONTH(B53))</f>
        <v/>
      </c>
    </row>
    <row r="54">
      <c r="A54" s="7" t="inlineStr">
        <is>
          <t>OT-2025-0050</t>
        </is>
      </c>
      <c r="B54" s="75" t="n">
        <v>45674.41666666666</v>
      </c>
      <c r="C54" s="7" t="inlineStr">
        <is>
          <t>Plan préventif</t>
        </is>
      </c>
      <c r="D54" s="7" t="inlineStr">
        <is>
          <t>EQ-USI-005</t>
        </is>
      </c>
      <c r="E54" s="9">
        <f>IF(D54="","",IFERROR(INDEX('Équipements'!$B$5:$B$304,MATCH(D54,'Équipements'!$A$5:$A$304,0)),"Code inconnu"))</f>
        <v/>
      </c>
      <c r="F54" s="9">
        <f>IF(D54="","",IFERROR(INDEX('Équipements'!$D$5:$D$304,MATCH(D54,'Équipements'!$A$5:$A$304,0)),""))</f>
        <v/>
      </c>
      <c r="G54" s="9">
        <f>IF(D54="","",IFERROR(INDEX('Équipements'!$K$5:$K$304,MATCH(D54,'Équipements'!$A$5:$A$304,0)),""))</f>
        <v/>
      </c>
      <c r="H54" s="7" t="inlineStr">
        <is>
          <t>Préventif systématique</t>
        </is>
      </c>
      <c r="I54" s="7" t="inlineStr">
        <is>
          <t>GP-017</t>
        </is>
      </c>
      <c r="J54" s="7" t="inlineStr">
        <is>
          <t>Mécanique</t>
        </is>
      </c>
      <c r="K54" s="7" t="inlineStr">
        <is>
          <t>P3 - Normale</t>
        </is>
      </c>
      <c r="L54" s="7" t="inlineStr">
        <is>
          <t>Contrôle niveaux, nettoyage filtres et bac à copeaux</t>
        </is>
      </c>
      <c r="M54" s="7" t="n"/>
      <c r="N54" s="7" t="inlineStr">
        <is>
          <t>Gamme réalisée - RAS</t>
        </is>
      </c>
      <c r="O54" s="7" t="inlineStr">
        <is>
          <t>Karim Benali</t>
        </is>
      </c>
      <c r="P54" s="65" t="n">
        <v>45681</v>
      </c>
      <c r="Q54" s="75" t="n">
        <v>45681.34027777778</v>
      </c>
      <c r="R54" s="75" t="n">
        <v>45681.41319444445</v>
      </c>
      <c r="S54" s="76" t="n">
        <v>1.8</v>
      </c>
      <c r="T54" s="76" t="n">
        <v>1.75</v>
      </c>
      <c r="U54" s="70">
        <f>IF($A54="","",IFERROR(INDEX('Techniciens'!$F$5:$F$44,MATCH(O54,'Techniciens'!$B$5:$B$44,0)),'Paramètres'!$AA$10))</f>
        <v/>
      </c>
      <c r="V54" s="70">
        <f>IF($A54="","",IF(OR(AC54="Demandé",AC54="Planifié",AC54="Annulé"),0,N(T54)*N(U54)))</f>
        <v/>
      </c>
      <c r="W54" s="70">
        <f>IF($A54="","",SUMIFS('Mouvements stock'!$H$5:$H$3004,'Mouvements stock'!$I$5:$I$3004,$A54,'Mouvements stock'!$C$5:$C$3004,"Sortie")-SUMIFS('Mouvements stock'!$H$5:$H$3004,'Mouvements stock'!$I$5:$I$3004,$A54,'Mouvements stock'!$C$5:$C$3004,"Retour"))</f>
        <v/>
      </c>
      <c r="X54" s="66" t="n">
        <v>0</v>
      </c>
      <c r="Y54" s="66" t="n">
        <v>0</v>
      </c>
      <c r="Z54" s="7" t="n"/>
      <c r="AA54" s="70">
        <f>IF($A54="","",N(V54)+N(W54)+N(X54)+N(Y54))</f>
        <v/>
      </c>
      <c r="AB54" s="70">
        <f>IF($A54="","",N(S54)*'Paramètres'!$AA$9*IFERROR(INDEX('Paramètres'!$O$5:$O$7,MATCH(G54,'Paramètres'!$N$5:$N$7,0)),0))</f>
        <v/>
      </c>
      <c r="AC54" s="7" t="inlineStr">
        <is>
          <t>Clôturé</t>
        </is>
      </c>
      <c r="AD54" s="69">
        <f>IF(OR($A54="",Q54=""),"",(Q54-B54)*24)</f>
        <v/>
      </c>
      <c r="AE54" s="69">
        <f>IF(OR(Q54="",R54=""),"",(R54-Q54)*24)</f>
        <v/>
      </c>
      <c r="AF54" s="77">
        <f>IF(OR($A54="",B54=""),"",YEAR(B54))</f>
        <v/>
      </c>
      <c r="AG54" s="77">
        <f>IF(OR($A54="",B54=""),"",MONTH(B54))</f>
        <v/>
      </c>
    </row>
    <row r="55">
      <c r="A55" s="7" t="inlineStr">
        <is>
          <t>OT-2025-0051</t>
        </is>
      </c>
      <c r="B55" s="75" t="n">
        <v>45674.46875</v>
      </c>
      <c r="C55" s="7" t="inlineStr">
        <is>
          <t>Plan préventif</t>
        </is>
      </c>
      <c r="D55" s="7" t="inlineStr">
        <is>
          <t>EQ-PEI-005</t>
        </is>
      </c>
      <c r="E55" s="9">
        <f>IF(D55="","",IFERROR(INDEX('Équipements'!$B$5:$B$304,MATCH(D55,'Équipements'!$A$5:$A$304,0)),"Code inconnu"))</f>
        <v/>
      </c>
      <c r="F55" s="9">
        <f>IF(D55="","",IFERROR(INDEX('Équipements'!$D$5:$D$304,MATCH(D55,'Équipements'!$A$5:$A$304,0)),""))</f>
        <v/>
      </c>
      <c r="G55" s="9">
        <f>IF(D55="","",IFERROR(INDEX('Équipements'!$K$5:$K$304,MATCH(D55,'Équipements'!$A$5:$A$304,0)),""))</f>
        <v/>
      </c>
      <c r="H55" s="7" t="inlineStr">
        <is>
          <t>Préventif systématique</t>
        </is>
      </c>
      <c r="I55" s="7" t="inlineStr">
        <is>
          <t>GP-074</t>
        </is>
      </c>
      <c r="J55" s="7" t="inlineStr">
        <is>
          <t>Mécanique</t>
        </is>
      </c>
      <c r="K55" s="7" t="inlineStr">
        <is>
          <t>P3 - Normale</t>
        </is>
      </c>
      <c r="L55" s="7" t="inlineStr">
        <is>
          <t>Nettoyage et remplacement des filtres</t>
        </is>
      </c>
      <c r="M55" s="7" t="n"/>
      <c r="N55" s="7" t="inlineStr">
        <is>
          <t>Gamme réalisée - RAS</t>
        </is>
      </c>
      <c r="O55" s="7" t="inlineStr">
        <is>
          <t>Lucas Fontaine</t>
        </is>
      </c>
      <c r="P55" s="65" t="n">
        <v>45681</v>
      </c>
      <c r="Q55" s="75" t="n">
        <v>45681.34722222222</v>
      </c>
      <c r="R55" s="75" t="n">
        <v>45681.47222222222</v>
      </c>
      <c r="S55" s="76" t="n">
        <v>1.5</v>
      </c>
      <c r="T55" s="76" t="n">
        <v>3</v>
      </c>
      <c r="U55" s="70">
        <f>IF($A55="","",IFERROR(INDEX('Techniciens'!$F$5:$F$44,MATCH(O55,'Techniciens'!$B$5:$B$44,0)),'Paramètres'!$AA$10))</f>
        <v/>
      </c>
      <c r="V55" s="70">
        <f>IF($A55="","",IF(OR(AC55="Demandé",AC55="Planifié",AC55="Annulé"),0,N(T55)*N(U55)))</f>
        <v/>
      </c>
      <c r="W55" s="70">
        <f>IF($A55="","",SUMIFS('Mouvements stock'!$H$5:$H$3004,'Mouvements stock'!$I$5:$I$3004,$A55,'Mouvements stock'!$C$5:$C$3004,"Sortie")-SUMIFS('Mouvements stock'!$H$5:$H$3004,'Mouvements stock'!$I$5:$I$3004,$A55,'Mouvements stock'!$C$5:$C$3004,"Retour"))</f>
        <v/>
      </c>
      <c r="X55" s="66" t="n">
        <v>0</v>
      </c>
      <c r="Y55" s="66" t="n">
        <v>0</v>
      </c>
      <c r="Z55" s="7" t="n"/>
      <c r="AA55" s="70">
        <f>IF($A55="","",N(V55)+N(W55)+N(X55)+N(Y55))</f>
        <v/>
      </c>
      <c r="AB55" s="70">
        <f>IF($A55="","",N(S55)*'Paramètres'!$AA$9*IFERROR(INDEX('Paramètres'!$O$5:$O$7,MATCH(G55,'Paramètres'!$N$5:$N$7,0)),0))</f>
        <v/>
      </c>
      <c r="AC55" s="7" t="inlineStr">
        <is>
          <t>Clôturé</t>
        </is>
      </c>
      <c r="AD55" s="69">
        <f>IF(OR($A55="",Q55=""),"",(Q55-B55)*24)</f>
        <v/>
      </c>
      <c r="AE55" s="69">
        <f>IF(OR(Q55="",R55=""),"",(R55-Q55)*24)</f>
        <v/>
      </c>
      <c r="AF55" s="77">
        <f>IF(OR($A55="",B55=""),"",YEAR(B55))</f>
        <v/>
      </c>
      <c r="AG55" s="77">
        <f>IF(OR($A55="",B55=""),"",MONTH(B55))</f>
        <v/>
      </c>
    </row>
    <row r="56">
      <c r="A56" s="7" t="inlineStr">
        <is>
          <t>OT-2025-0052</t>
        </is>
      </c>
      <c r="B56" s="75" t="n">
        <v>45675.26180555556</v>
      </c>
      <c r="C56" s="7" t="inlineStr">
        <is>
          <t>Éric Laurent (chef d'atelier)</t>
        </is>
      </c>
      <c r="D56" s="7" t="inlineStr">
        <is>
          <t>EQ-USI-003</t>
        </is>
      </c>
      <c r="E56" s="9">
        <f>IF(D56="","",IFERROR(INDEX('Équipements'!$B$5:$B$304,MATCH(D56,'Équipements'!$A$5:$A$304,0)),"Code inconnu"))</f>
        <v/>
      </c>
      <c r="F56" s="9">
        <f>IF(D56="","",IFERROR(INDEX('Équipements'!$D$5:$D$304,MATCH(D56,'Équipements'!$A$5:$A$304,0)),""))</f>
        <v/>
      </c>
      <c r="G56" s="9">
        <f>IF(D56="","",IFERROR(INDEX('Équipements'!$K$5:$K$304,MATCH(D56,'Équipements'!$A$5:$A$304,0)),""))</f>
        <v/>
      </c>
      <c r="H56" s="7" t="inlineStr">
        <is>
          <t>Correctif</t>
        </is>
      </c>
      <c r="I56" s="7" t="n"/>
      <c r="J56" s="7" t="inlineStr">
        <is>
          <t>Hydraulique</t>
        </is>
      </c>
      <c r="K56" s="7" t="inlineStr">
        <is>
          <t>P4 - Basse</t>
        </is>
      </c>
      <c r="L56" s="7" t="inlineStr">
        <is>
          <t>Fuite d'huile hydraulique sous la table</t>
        </is>
      </c>
      <c r="M56" s="7" t="inlineStr">
        <is>
          <t>Fuite</t>
        </is>
      </c>
      <c r="N56" s="7" t="inlineStr">
        <is>
          <t>Remplacement flexible et joints, appoint huile</t>
        </is>
      </c>
      <c r="O56" s="7" t="inlineStr">
        <is>
          <t>Antoine Mercier</t>
        </is>
      </c>
      <c r="P56" s="65" t="n"/>
      <c r="Q56" s="75" t="n">
        <v>45678.85625</v>
      </c>
      <c r="R56" s="75" t="n">
        <v>45679.35625</v>
      </c>
      <c r="S56" s="76" t="n">
        <v>0</v>
      </c>
      <c r="T56" s="76" t="n">
        <v>12</v>
      </c>
      <c r="U56" s="70">
        <f>IF($A56="","",IFERROR(INDEX('Techniciens'!$F$5:$F$44,MATCH(O56,'Techniciens'!$B$5:$B$44,0)),'Paramètres'!$AA$10))</f>
        <v/>
      </c>
      <c r="V56" s="70">
        <f>IF($A56="","",IF(OR(AC56="Demandé",AC56="Planifié",AC56="Annulé"),0,N(T56)*N(U56)))</f>
        <v/>
      </c>
      <c r="W56" s="70">
        <f>IF($A56="","",SUMIFS('Mouvements stock'!$H$5:$H$3004,'Mouvements stock'!$I$5:$I$3004,$A56,'Mouvements stock'!$C$5:$C$3004,"Sortie")-SUMIFS('Mouvements stock'!$H$5:$H$3004,'Mouvements stock'!$I$5:$I$3004,$A56,'Mouvements stock'!$C$5:$C$3004,"Retour"))</f>
        <v/>
      </c>
      <c r="X56" s="66" t="n">
        <v>0</v>
      </c>
      <c r="Y56" s="66" t="n">
        <v>0</v>
      </c>
      <c r="Z56" s="7" t="n"/>
      <c r="AA56" s="70">
        <f>IF($A56="","",N(V56)+N(W56)+N(X56)+N(Y56))</f>
        <v/>
      </c>
      <c r="AB56" s="70">
        <f>IF($A56="","",N(S56)*'Paramètres'!$AA$9*IFERROR(INDEX('Paramètres'!$O$5:$O$7,MATCH(G56,'Paramètres'!$N$5:$N$7,0)),0))</f>
        <v/>
      </c>
      <c r="AC56" s="7" t="inlineStr">
        <is>
          <t>Clôturé</t>
        </is>
      </c>
      <c r="AD56" s="69">
        <f>IF(OR($A56="",Q56=""),"",(Q56-B56)*24)</f>
        <v/>
      </c>
      <c r="AE56" s="69">
        <f>IF(OR(Q56="",R56=""),"",(R56-Q56)*24)</f>
        <v/>
      </c>
      <c r="AF56" s="77">
        <f>IF(OR($A56="",B56=""),"",YEAR(B56))</f>
        <v/>
      </c>
      <c r="AG56" s="77">
        <f>IF(OR($A56="",B56=""),"",MONTH(B56))</f>
        <v/>
      </c>
    </row>
    <row r="57">
      <c r="A57" s="7" t="inlineStr">
        <is>
          <t>OT-2025-0053</t>
        </is>
      </c>
      <c r="B57" s="75" t="n">
        <v>45677.36805555555</v>
      </c>
      <c r="C57" s="7" t="inlineStr">
        <is>
          <t>Planning réglementaire</t>
        </is>
      </c>
      <c r="D57" s="7" t="inlineStr">
        <is>
          <t>EQ-ASS-002</t>
        </is>
      </c>
      <c r="E57" s="9">
        <f>IF(D57="","",IFERROR(INDEX('Équipements'!$B$5:$B$304,MATCH(D57,'Équipements'!$A$5:$A$304,0)),"Code inconnu"))</f>
        <v/>
      </c>
      <c r="F57" s="9">
        <f>IF(D57="","",IFERROR(INDEX('Équipements'!$D$5:$D$304,MATCH(D57,'Équipements'!$A$5:$A$304,0)),""))</f>
        <v/>
      </c>
      <c r="G57" s="9">
        <f>IF(D57="","",IFERROR(INDEX('Équipements'!$K$5:$K$304,MATCH(D57,'Équipements'!$A$5:$A$304,0)),""))</f>
        <v/>
      </c>
      <c r="H57" s="7" t="inlineStr">
        <is>
          <t>Réglementaire</t>
        </is>
      </c>
      <c r="I57" s="7" t="inlineStr">
        <is>
          <t>CR-012</t>
        </is>
      </c>
      <c r="J57" s="7" t="inlineStr">
        <is>
          <t>Multi-technique</t>
        </is>
      </c>
      <c r="K57" s="7" t="inlineStr">
        <is>
          <t>P2 - Haute</t>
        </is>
      </c>
      <c r="L57" s="7" t="inlineStr">
        <is>
          <t>Vérification périodique presse hydraulique</t>
        </is>
      </c>
      <c r="M57" s="7" t="n"/>
      <c r="N57" s="7" t="inlineStr">
        <is>
          <t>Contrôle réalisé - observations mineures au rapport</t>
        </is>
      </c>
      <c r="O57" s="7" t="inlineStr">
        <is>
          <t>Nadia Rousseau</t>
        </is>
      </c>
      <c r="P57" s="65" t="n">
        <v>45698</v>
      </c>
      <c r="Q57" s="75" t="n">
        <v>45698.39583333334</v>
      </c>
      <c r="R57" s="75" t="n">
        <v>45698.45833333334</v>
      </c>
      <c r="S57" s="76" t="n">
        <v>1</v>
      </c>
      <c r="T57" s="76" t="n">
        <v>1.5</v>
      </c>
      <c r="U57" s="70">
        <f>IF($A57="","",IFERROR(INDEX('Techniciens'!$F$5:$F$44,MATCH(O57,'Techniciens'!$B$5:$B$44,0)),'Paramètres'!$AA$10))</f>
        <v/>
      </c>
      <c r="V57" s="70">
        <f>IF($A57="","",IF(OR(AC57="Demandé",AC57="Planifié",AC57="Annulé"),0,N(T57)*N(U57)))</f>
        <v/>
      </c>
      <c r="W57" s="70">
        <f>IF($A57="","",SUMIFS('Mouvements stock'!$H$5:$H$3004,'Mouvements stock'!$I$5:$I$3004,$A57,'Mouvements stock'!$C$5:$C$3004,"Sortie")-SUMIFS('Mouvements stock'!$H$5:$H$3004,'Mouvements stock'!$I$5:$I$3004,$A57,'Mouvements stock'!$C$5:$C$3004,"Retour"))</f>
        <v/>
      </c>
      <c r="X57" s="66" t="n">
        <v>0</v>
      </c>
      <c r="Y57" s="66" t="n">
        <v>180</v>
      </c>
      <c r="Z57" s="7" t="inlineStr">
        <is>
          <t>CONTROLIS (organisme fictif)</t>
        </is>
      </c>
      <c r="AA57" s="70">
        <f>IF($A57="","",N(V57)+N(W57)+N(X57)+N(Y57))</f>
        <v/>
      </c>
      <c r="AB57" s="70">
        <f>IF($A57="","",N(S57)*'Paramètres'!$AA$9*IFERROR(INDEX('Paramètres'!$O$5:$O$7,MATCH(G57,'Paramètres'!$N$5:$N$7,0)),0))</f>
        <v/>
      </c>
      <c r="AC57" s="7" t="inlineStr">
        <is>
          <t>Clôturé</t>
        </is>
      </c>
      <c r="AD57" s="69">
        <f>IF(OR($A57="",Q57=""),"",(Q57-B57)*24)</f>
        <v/>
      </c>
      <c r="AE57" s="69">
        <f>IF(OR(Q57="",R57=""),"",(R57-Q57)*24)</f>
        <v/>
      </c>
      <c r="AF57" s="77">
        <f>IF(OR($A57="",B57=""),"",YEAR(B57))</f>
        <v/>
      </c>
      <c r="AG57" s="77">
        <f>IF(OR($A57="",B57=""),"",MONTH(B57))</f>
        <v/>
      </c>
    </row>
    <row r="58">
      <c r="A58" s="7" t="inlineStr">
        <is>
          <t>OT-2025-0054</t>
        </is>
      </c>
      <c r="B58" s="75" t="n">
        <v>45677.38194444445</v>
      </c>
      <c r="C58" s="7" t="inlineStr">
        <is>
          <t>Plan préventif</t>
        </is>
      </c>
      <c r="D58" s="7" t="inlineStr">
        <is>
          <t>EQ-TOL-007</t>
        </is>
      </c>
      <c r="E58" s="9">
        <f>IF(D58="","",IFERROR(INDEX('Équipements'!$B$5:$B$304,MATCH(D58,'Équipements'!$A$5:$A$304,0)),"Code inconnu"))</f>
        <v/>
      </c>
      <c r="F58" s="9">
        <f>IF(D58="","",IFERROR(INDEX('Équipements'!$D$5:$D$304,MATCH(D58,'Équipements'!$A$5:$A$304,0)),""))</f>
        <v/>
      </c>
      <c r="G58" s="9">
        <f>IF(D58="","",IFERROR(INDEX('Équipements'!$K$5:$K$304,MATCH(D58,'Équipements'!$A$5:$A$304,0)),""))</f>
        <v/>
      </c>
      <c r="H58" s="7" t="inlineStr">
        <is>
          <t>Préventif systématique</t>
        </is>
      </c>
      <c r="I58" s="7" t="inlineStr">
        <is>
          <t>GP-056</t>
        </is>
      </c>
      <c r="J58" s="7" t="inlineStr">
        <is>
          <t>Mécanique</t>
        </is>
      </c>
      <c r="K58" s="7" t="inlineStr">
        <is>
          <t>P3 - Normale</t>
        </is>
      </c>
      <c r="L58" s="7" t="inlineStr">
        <is>
          <t>Graissage chaîne / galets et contrôle tension</t>
        </is>
      </c>
      <c r="M58" s="7" t="n"/>
      <c r="N58" s="7" t="inlineStr">
        <is>
          <t>Gamme réalisée - RAS</t>
        </is>
      </c>
      <c r="O58" s="7" t="inlineStr">
        <is>
          <t>Antoine Mercier</t>
        </is>
      </c>
      <c r="P58" s="65" t="n">
        <v>45684</v>
      </c>
      <c r="Q58" s="75" t="n">
        <v>45684.40625</v>
      </c>
      <c r="R58" s="75" t="n">
        <v>45684.48958333334</v>
      </c>
      <c r="S58" s="76" t="n">
        <v>1</v>
      </c>
      <c r="T58" s="76" t="n">
        <v>2</v>
      </c>
      <c r="U58" s="70">
        <f>IF($A58="","",IFERROR(INDEX('Techniciens'!$F$5:$F$44,MATCH(O58,'Techniciens'!$B$5:$B$44,0)),'Paramètres'!$AA$10))</f>
        <v/>
      </c>
      <c r="V58" s="70">
        <f>IF($A58="","",IF(OR(AC58="Demandé",AC58="Planifié",AC58="Annulé"),0,N(T58)*N(U58)))</f>
        <v/>
      </c>
      <c r="W58" s="70">
        <f>IF($A58="","",SUMIFS('Mouvements stock'!$H$5:$H$3004,'Mouvements stock'!$I$5:$I$3004,$A58,'Mouvements stock'!$C$5:$C$3004,"Sortie")-SUMIFS('Mouvements stock'!$H$5:$H$3004,'Mouvements stock'!$I$5:$I$3004,$A58,'Mouvements stock'!$C$5:$C$3004,"Retour"))</f>
        <v/>
      </c>
      <c r="X58" s="66" t="n">
        <v>0</v>
      </c>
      <c r="Y58" s="66" t="n">
        <v>0</v>
      </c>
      <c r="Z58" s="7" t="n"/>
      <c r="AA58" s="70">
        <f>IF($A58="","",N(V58)+N(W58)+N(X58)+N(Y58))</f>
        <v/>
      </c>
      <c r="AB58" s="70">
        <f>IF($A58="","",N(S58)*'Paramètres'!$AA$9*IFERROR(INDEX('Paramètres'!$O$5:$O$7,MATCH(G58,'Paramètres'!$N$5:$N$7,0)),0))</f>
        <v/>
      </c>
      <c r="AC58" s="7" t="inlineStr">
        <is>
          <t>Clôturé</t>
        </is>
      </c>
      <c r="AD58" s="69">
        <f>IF(OR($A58="",Q58=""),"",(Q58-B58)*24)</f>
        <v/>
      </c>
      <c r="AE58" s="69">
        <f>IF(OR(Q58="",R58=""),"",(R58-Q58)*24)</f>
        <v/>
      </c>
      <c r="AF58" s="77">
        <f>IF(OR($A58="",B58=""),"",YEAR(B58))</f>
        <v/>
      </c>
      <c r="AG58" s="77">
        <f>IF(OR($A58="",B58=""),"",MONTH(B58))</f>
        <v/>
      </c>
    </row>
    <row r="59">
      <c r="A59" s="7" t="inlineStr">
        <is>
          <t>OT-2025-0055</t>
        </is>
      </c>
      <c r="B59" s="75" t="n">
        <v>45677.45833333334</v>
      </c>
      <c r="C59" s="7" t="inlineStr">
        <is>
          <t>Plan préventif</t>
        </is>
      </c>
      <c r="D59" s="7" t="inlineStr">
        <is>
          <t>EQ-BAT-006</t>
        </is>
      </c>
      <c r="E59" s="9">
        <f>IF(D59="","",IFERROR(INDEX('Équipements'!$B$5:$B$304,MATCH(D59,'Équipements'!$A$5:$A$304,0)),"Code inconnu"))</f>
        <v/>
      </c>
      <c r="F59" s="9">
        <f>IF(D59="","",IFERROR(INDEX('Équipements'!$D$5:$D$304,MATCH(D59,'Équipements'!$A$5:$A$304,0)),""))</f>
        <v/>
      </c>
      <c r="G59" s="9">
        <f>IF(D59="","",IFERROR(INDEX('Équipements'!$K$5:$K$304,MATCH(D59,'Équipements'!$A$5:$A$304,0)),""))</f>
        <v/>
      </c>
      <c r="H59" s="7" t="inlineStr">
        <is>
          <t>Préventif systématique</t>
        </is>
      </c>
      <c r="I59" s="7" t="inlineStr">
        <is>
          <t>GP-127</t>
        </is>
      </c>
      <c r="J59" s="7" t="inlineStr">
        <is>
          <t>Électrique</t>
        </is>
      </c>
      <c r="K59" s="7" t="inlineStr">
        <is>
          <t>P3 - Normale</t>
        </is>
      </c>
      <c r="L59" s="7" t="inlineStr">
        <is>
          <t>Essai de fonctionnement / contrôle visuel</t>
        </is>
      </c>
      <c r="M59" s="7" t="n"/>
      <c r="N59" s="7" t="inlineStr">
        <is>
          <t>Gamme réalisée - RAS</t>
        </is>
      </c>
      <c r="O59" s="7" t="inlineStr">
        <is>
          <t>Julien Moreau</t>
        </is>
      </c>
      <c r="P59" s="65" t="n">
        <v>45684</v>
      </c>
      <c r="Q59" s="75" t="n">
        <v>45684.48611111111</v>
      </c>
      <c r="R59" s="75" t="n">
        <v>45684.55902777778</v>
      </c>
      <c r="S59" s="76" t="n">
        <v>0</v>
      </c>
      <c r="T59" s="76" t="n">
        <v>1.75</v>
      </c>
      <c r="U59" s="70">
        <f>IF($A59="","",IFERROR(INDEX('Techniciens'!$F$5:$F$44,MATCH(O59,'Techniciens'!$B$5:$B$44,0)),'Paramètres'!$AA$10))</f>
        <v/>
      </c>
      <c r="V59" s="70">
        <f>IF($A59="","",IF(OR(AC59="Demandé",AC59="Planifié",AC59="Annulé"),0,N(T59)*N(U59)))</f>
        <v/>
      </c>
      <c r="W59" s="70">
        <f>IF($A59="","",SUMIFS('Mouvements stock'!$H$5:$H$3004,'Mouvements stock'!$I$5:$I$3004,$A59,'Mouvements stock'!$C$5:$C$3004,"Sortie")-SUMIFS('Mouvements stock'!$H$5:$H$3004,'Mouvements stock'!$I$5:$I$3004,$A59,'Mouvements stock'!$C$5:$C$3004,"Retour"))</f>
        <v/>
      </c>
      <c r="X59" s="66" t="n">
        <v>0</v>
      </c>
      <c r="Y59" s="66" t="n">
        <v>0</v>
      </c>
      <c r="Z59" s="7" t="n"/>
      <c r="AA59" s="70">
        <f>IF($A59="","",N(V59)+N(W59)+N(X59)+N(Y59))</f>
        <v/>
      </c>
      <c r="AB59" s="70">
        <f>IF($A59="","",N(S59)*'Paramètres'!$AA$9*IFERROR(INDEX('Paramètres'!$O$5:$O$7,MATCH(G59,'Paramètres'!$N$5:$N$7,0)),0))</f>
        <v/>
      </c>
      <c r="AC59" s="7" t="inlineStr">
        <is>
          <t>Clôturé</t>
        </is>
      </c>
      <c r="AD59" s="69">
        <f>IF(OR($A59="",Q59=""),"",(Q59-B59)*24)</f>
        <v/>
      </c>
      <c r="AE59" s="69">
        <f>IF(OR(Q59="",R59=""),"",(R59-Q59)*24)</f>
        <v/>
      </c>
      <c r="AF59" s="77">
        <f>IF(OR($A59="",B59=""),"",YEAR(B59))</f>
        <v/>
      </c>
      <c r="AG59" s="77">
        <f>IF(OR($A59="",B59=""),"",MONTH(B59))</f>
        <v/>
      </c>
    </row>
    <row r="60">
      <c r="A60" s="7" t="inlineStr">
        <is>
          <t>OT-2025-0056</t>
        </is>
      </c>
      <c r="B60" s="75" t="n">
        <v>45677.49305555555</v>
      </c>
      <c r="C60" s="7" t="inlineStr">
        <is>
          <t>Plan préventif</t>
        </is>
      </c>
      <c r="D60" s="7" t="inlineStr">
        <is>
          <t>EQ-UTI-002</t>
        </is>
      </c>
      <c r="E60" s="9">
        <f>IF(D60="","",IFERROR(INDEX('Équipements'!$B$5:$B$304,MATCH(D60,'Équipements'!$A$5:$A$304,0)),"Code inconnu"))</f>
        <v/>
      </c>
      <c r="F60" s="9">
        <f>IF(D60="","",IFERROR(INDEX('Équipements'!$D$5:$D$304,MATCH(D60,'Équipements'!$A$5:$A$304,0)),""))</f>
        <v/>
      </c>
      <c r="G60" s="9">
        <f>IF(D60="","",IFERROR(INDEX('Équipements'!$K$5:$K$304,MATCH(D60,'Équipements'!$A$5:$A$304,0)),""))</f>
        <v/>
      </c>
      <c r="H60" s="7" t="inlineStr">
        <is>
          <t>Préventif systématique</t>
        </is>
      </c>
      <c r="I60" s="7" t="inlineStr">
        <is>
          <t>GP-090</t>
        </is>
      </c>
      <c r="J60" s="7" t="inlineStr">
        <is>
          <t>Pneumatique</t>
        </is>
      </c>
      <c r="K60" s="7" t="inlineStr">
        <is>
          <t>P3 - Normale</t>
        </is>
      </c>
      <c r="L60" s="7" t="inlineStr">
        <is>
          <t>Purge, contrôle fuites et point de rosée</t>
        </is>
      </c>
      <c r="M60" s="7" t="n"/>
      <c r="N60" s="7" t="inlineStr">
        <is>
          <t>Gamme réalisée - RAS</t>
        </is>
      </c>
      <c r="O60" s="7" t="inlineStr">
        <is>
          <t>Lucas Fontaine</t>
        </is>
      </c>
      <c r="P60" s="65" t="n">
        <v>45684</v>
      </c>
      <c r="Q60" s="75" t="n">
        <v>45684.27083333334</v>
      </c>
      <c r="R60" s="75" t="n">
        <v>45684.34375</v>
      </c>
      <c r="S60" s="76" t="n">
        <v>0</v>
      </c>
      <c r="T60" s="76" t="n">
        <v>1.75</v>
      </c>
      <c r="U60" s="70">
        <f>IF($A60="","",IFERROR(INDEX('Techniciens'!$F$5:$F$44,MATCH(O60,'Techniciens'!$B$5:$B$44,0)),'Paramètres'!$AA$10))</f>
        <v/>
      </c>
      <c r="V60" s="70">
        <f>IF($A60="","",IF(OR(AC60="Demandé",AC60="Planifié",AC60="Annulé"),0,N(T60)*N(U60)))</f>
        <v/>
      </c>
      <c r="W60" s="70">
        <f>IF($A60="","",SUMIFS('Mouvements stock'!$H$5:$H$3004,'Mouvements stock'!$I$5:$I$3004,$A60,'Mouvements stock'!$C$5:$C$3004,"Sortie")-SUMIFS('Mouvements stock'!$H$5:$H$3004,'Mouvements stock'!$I$5:$I$3004,$A60,'Mouvements stock'!$C$5:$C$3004,"Retour"))</f>
        <v/>
      </c>
      <c r="X60" s="66" t="n">
        <v>0</v>
      </c>
      <c r="Y60" s="66" t="n">
        <v>0</v>
      </c>
      <c r="Z60" s="7" t="n"/>
      <c r="AA60" s="70">
        <f>IF($A60="","",N(V60)+N(W60)+N(X60)+N(Y60))</f>
        <v/>
      </c>
      <c r="AB60" s="70">
        <f>IF($A60="","",N(S60)*'Paramètres'!$AA$9*IFERROR(INDEX('Paramètres'!$O$5:$O$7,MATCH(G60,'Paramètres'!$N$5:$N$7,0)),0))</f>
        <v/>
      </c>
      <c r="AC60" s="7" t="inlineStr">
        <is>
          <t>Clôturé</t>
        </is>
      </c>
      <c r="AD60" s="69">
        <f>IF(OR($A60="",Q60=""),"",(Q60-B60)*24)</f>
        <v/>
      </c>
      <c r="AE60" s="69">
        <f>IF(OR(Q60="",R60=""),"",(R60-Q60)*24)</f>
        <v/>
      </c>
      <c r="AF60" s="77">
        <f>IF(OR($A60="",B60=""),"",YEAR(B60))</f>
        <v/>
      </c>
      <c r="AG60" s="77">
        <f>IF(OR($A60="",B60=""),"",MONTH(B60))</f>
        <v/>
      </c>
    </row>
    <row r="61">
      <c r="A61" s="7" t="inlineStr">
        <is>
          <t>OT-2025-0057</t>
        </is>
      </c>
      <c r="B61" s="75" t="n">
        <v>45677.69444444445</v>
      </c>
      <c r="C61" s="7" t="inlineStr">
        <is>
          <t>Cariste</t>
        </is>
      </c>
      <c r="D61" s="7" t="inlineStr">
        <is>
          <t>EQ-LOG-001</t>
        </is>
      </c>
      <c r="E61" s="9">
        <f>IF(D61="","",IFERROR(INDEX('Équipements'!$B$5:$B$304,MATCH(D61,'Équipements'!$A$5:$A$304,0)),"Code inconnu"))</f>
        <v/>
      </c>
      <c r="F61" s="9">
        <f>IF(D61="","",IFERROR(INDEX('Équipements'!$D$5:$D$304,MATCH(D61,'Équipements'!$A$5:$A$304,0)),""))</f>
        <v/>
      </c>
      <c r="G61" s="9">
        <f>IF(D61="","",IFERROR(INDEX('Équipements'!$K$5:$K$304,MATCH(D61,'Équipements'!$A$5:$A$304,0)),""))</f>
        <v/>
      </c>
      <c r="H61" s="7" t="inlineStr">
        <is>
          <t>Correctif</t>
        </is>
      </c>
      <c r="I61" s="7" t="n"/>
      <c r="J61" s="7" t="inlineStr">
        <is>
          <t>Électrique</t>
        </is>
      </c>
      <c r="K61" s="7" t="inlineStr">
        <is>
          <t>P2 - Haute</t>
        </is>
      </c>
      <c r="L61" s="7" t="inlineStr">
        <is>
          <t>Avertisseur / feux défectueux</t>
        </is>
      </c>
      <c r="M61" s="7" t="inlineStr">
        <is>
          <t>Défaut électrique</t>
        </is>
      </c>
      <c r="N61" s="7" t="inlineStr">
        <is>
          <t>Remplacement contacteur</t>
        </is>
      </c>
      <c r="O61" s="7" t="inlineStr">
        <is>
          <t>Julien Moreau</t>
        </is>
      </c>
      <c r="P61" s="65" t="n"/>
      <c r="Q61" s="75" t="n">
        <v>45677.87916666667</v>
      </c>
      <c r="R61" s="75" t="n">
        <v>45678.01458333333</v>
      </c>
      <c r="S61" s="76" t="n">
        <v>0</v>
      </c>
      <c r="T61" s="76" t="n">
        <v>3.25</v>
      </c>
      <c r="U61" s="70">
        <f>IF($A61="","",IFERROR(INDEX('Techniciens'!$F$5:$F$44,MATCH(O61,'Techniciens'!$B$5:$B$44,0)),'Paramètres'!$AA$10))</f>
        <v/>
      </c>
      <c r="V61" s="70">
        <f>IF($A61="","",IF(OR(AC61="Demandé",AC61="Planifié",AC61="Annulé"),0,N(T61)*N(U61)))</f>
        <v/>
      </c>
      <c r="W61" s="70">
        <f>IF($A61="","",SUMIFS('Mouvements stock'!$H$5:$H$3004,'Mouvements stock'!$I$5:$I$3004,$A61,'Mouvements stock'!$C$5:$C$3004,"Sortie")-SUMIFS('Mouvements stock'!$H$5:$H$3004,'Mouvements stock'!$I$5:$I$3004,$A61,'Mouvements stock'!$C$5:$C$3004,"Retour"))</f>
        <v/>
      </c>
      <c r="X61" s="66" t="n">
        <v>0</v>
      </c>
      <c r="Y61" s="66" t="n">
        <v>0</v>
      </c>
      <c r="Z61" s="7" t="n"/>
      <c r="AA61" s="70">
        <f>IF($A61="","",N(V61)+N(W61)+N(X61)+N(Y61))</f>
        <v/>
      </c>
      <c r="AB61" s="70">
        <f>IF($A61="","",N(S61)*'Paramètres'!$AA$9*IFERROR(INDEX('Paramètres'!$O$5:$O$7,MATCH(G61,'Paramètres'!$N$5:$N$7,0)),0))</f>
        <v/>
      </c>
      <c r="AC61" s="7" t="inlineStr">
        <is>
          <t>Clôturé</t>
        </is>
      </c>
      <c r="AD61" s="69">
        <f>IF(OR($A61="",Q61=""),"",(Q61-B61)*24)</f>
        <v/>
      </c>
      <c r="AE61" s="69">
        <f>IF(OR(Q61="",R61=""),"",(R61-Q61)*24)</f>
        <v/>
      </c>
      <c r="AF61" s="77">
        <f>IF(OR($A61="",B61=""),"",YEAR(B61))</f>
        <v/>
      </c>
      <c r="AG61" s="77">
        <f>IF(OR($A61="",B61=""),"",MONTH(B61))</f>
        <v/>
      </c>
    </row>
    <row r="62">
      <c r="A62" s="7" t="inlineStr">
        <is>
          <t>OT-2025-0058</t>
        </is>
      </c>
      <c r="B62" s="75" t="n">
        <v>45678.22152777778</v>
      </c>
      <c r="C62" s="7" t="inlineStr">
        <is>
          <t>Opérateur tôlerie</t>
        </is>
      </c>
      <c r="D62" s="7" t="inlineStr">
        <is>
          <t>EQ-TOL-002</t>
        </is>
      </c>
      <c r="E62" s="9">
        <f>IF(D62="","",IFERROR(INDEX('Équipements'!$B$5:$B$304,MATCH(D62,'Équipements'!$A$5:$A$304,0)),"Code inconnu"))</f>
        <v/>
      </c>
      <c r="F62" s="9">
        <f>IF(D62="","",IFERROR(INDEX('Équipements'!$D$5:$D$304,MATCH(D62,'Équipements'!$A$5:$A$304,0)),""))</f>
        <v/>
      </c>
      <c r="G62" s="9">
        <f>IF(D62="","",IFERROR(INDEX('Équipements'!$K$5:$K$304,MATCH(D62,'Équipements'!$A$5:$A$304,0)),""))</f>
        <v/>
      </c>
      <c r="H62" s="7" t="inlineStr">
        <is>
          <t>Correctif</t>
        </is>
      </c>
      <c r="I62" s="7" t="n"/>
      <c r="J62" s="7" t="inlineStr">
        <is>
          <t>Hydraulique</t>
        </is>
      </c>
      <c r="K62" s="7" t="inlineStr">
        <is>
          <t>P2 - Haute</t>
        </is>
      </c>
      <c r="L62" s="7" t="inlineStr">
        <is>
          <t>Pompe hydraulique bruyante</t>
        </is>
      </c>
      <c r="M62" s="7" t="inlineStr">
        <is>
          <t>Usure</t>
        </is>
      </c>
      <c r="N62" s="7" t="inlineStr">
        <is>
          <t>Remplacement accouplement, contrôle débit pompe</t>
        </is>
      </c>
      <c r="O62" s="7" t="inlineStr">
        <is>
          <t>Antoine Mercier</t>
        </is>
      </c>
      <c r="P62" s="65" t="n"/>
      <c r="Q62" s="75" t="n">
        <v>45678.42638888889</v>
      </c>
      <c r="R62" s="75" t="n">
        <v>45678.73888888889</v>
      </c>
      <c r="S62" s="76" t="n">
        <v>0</v>
      </c>
      <c r="T62" s="76" t="n">
        <v>7.5</v>
      </c>
      <c r="U62" s="70">
        <f>IF($A62="","",IFERROR(INDEX('Techniciens'!$F$5:$F$44,MATCH(O62,'Techniciens'!$B$5:$B$44,0)),'Paramètres'!$AA$10))</f>
        <v/>
      </c>
      <c r="V62" s="70">
        <f>IF($A62="","",IF(OR(AC62="Demandé",AC62="Planifié",AC62="Annulé"),0,N(T62)*N(U62)))</f>
        <v/>
      </c>
      <c r="W62" s="70">
        <f>IF($A62="","",SUMIFS('Mouvements stock'!$H$5:$H$3004,'Mouvements stock'!$I$5:$I$3004,$A62,'Mouvements stock'!$C$5:$C$3004,"Sortie")-SUMIFS('Mouvements stock'!$H$5:$H$3004,'Mouvements stock'!$I$5:$I$3004,$A62,'Mouvements stock'!$C$5:$C$3004,"Retour"))</f>
        <v/>
      </c>
      <c r="X62" s="66" t="n">
        <v>0</v>
      </c>
      <c r="Y62" s="66" t="n">
        <v>0</v>
      </c>
      <c r="Z62" s="7" t="n"/>
      <c r="AA62" s="70">
        <f>IF($A62="","",N(V62)+N(W62)+N(X62)+N(Y62))</f>
        <v/>
      </c>
      <c r="AB62" s="70">
        <f>IF($A62="","",N(S62)*'Paramètres'!$AA$9*IFERROR(INDEX('Paramètres'!$O$5:$O$7,MATCH(G62,'Paramètres'!$N$5:$N$7,0)),0))</f>
        <v/>
      </c>
      <c r="AC62" s="7" t="inlineStr">
        <is>
          <t>Clôturé</t>
        </is>
      </c>
      <c r="AD62" s="69">
        <f>IF(OR($A62="",Q62=""),"",(Q62-B62)*24)</f>
        <v/>
      </c>
      <c r="AE62" s="69">
        <f>IF(OR(Q62="",R62=""),"",(R62-Q62)*24)</f>
        <v/>
      </c>
      <c r="AF62" s="77">
        <f>IF(OR($A62="",B62=""),"",YEAR(B62))</f>
        <v/>
      </c>
      <c r="AG62" s="77">
        <f>IF(OR($A62="",B62=""),"",MONTH(B62))</f>
        <v/>
      </c>
    </row>
    <row r="63">
      <c r="A63" s="7" t="inlineStr">
        <is>
          <t>OT-2025-0059</t>
        </is>
      </c>
      <c r="B63" s="75" t="n">
        <v>45680.33333333334</v>
      </c>
      <c r="C63" s="7" t="inlineStr">
        <is>
          <t>Plan préventif</t>
        </is>
      </c>
      <c r="D63" s="7" t="inlineStr">
        <is>
          <t>EQ-UTI-005</t>
        </is>
      </c>
      <c r="E63" s="9">
        <f>IF(D63="","",IFERROR(INDEX('Équipements'!$B$5:$B$304,MATCH(D63,'Équipements'!$A$5:$A$304,0)),"Code inconnu"))</f>
        <v/>
      </c>
      <c r="F63" s="9">
        <f>IF(D63="","",IFERROR(INDEX('Équipements'!$D$5:$D$304,MATCH(D63,'Équipements'!$A$5:$A$304,0)),""))</f>
        <v/>
      </c>
      <c r="G63" s="9">
        <f>IF(D63="","",IFERROR(INDEX('Équipements'!$K$5:$K$304,MATCH(D63,'Équipements'!$A$5:$A$304,0)),""))</f>
        <v/>
      </c>
      <c r="H63" s="7" t="inlineStr">
        <is>
          <t>Préventif systématique</t>
        </is>
      </c>
      <c r="I63" s="7" t="inlineStr">
        <is>
          <t>GP-093</t>
        </is>
      </c>
      <c r="J63" s="7" t="inlineStr">
        <is>
          <t>Mécanique</t>
        </is>
      </c>
      <c r="K63" s="7" t="inlineStr">
        <is>
          <t>P3 - Normale</t>
        </is>
      </c>
      <c r="L63" s="7" t="inlineStr">
        <is>
          <t>Remplacement filtres et nettoyage batteries</t>
        </is>
      </c>
      <c r="M63" s="7" t="n"/>
      <c r="N63" s="7" t="inlineStr">
        <is>
          <t>Gamme réalisée - RAS</t>
        </is>
      </c>
      <c r="O63" s="7" t="inlineStr">
        <is>
          <t>Lucas Fontaine</t>
        </is>
      </c>
      <c r="P63" s="65" t="n">
        <v>45687</v>
      </c>
      <c r="Q63" s="75" t="n">
        <v>45687.375</v>
      </c>
      <c r="R63" s="75" t="n">
        <v>45687.46875</v>
      </c>
      <c r="S63" s="76" t="n">
        <v>0</v>
      </c>
      <c r="T63" s="76" t="n">
        <v>2.25</v>
      </c>
      <c r="U63" s="70">
        <f>IF($A63="","",IFERROR(INDEX('Techniciens'!$F$5:$F$44,MATCH(O63,'Techniciens'!$B$5:$B$44,0)),'Paramètres'!$AA$10))</f>
        <v/>
      </c>
      <c r="V63" s="70">
        <f>IF($A63="","",IF(OR(AC63="Demandé",AC63="Planifié",AC63="Annulé"),0,N(T63)*N(U63)))</f>
        <v/>
      </c>
      <c r="W63" s="70">
        <f>IF($A63="","",SUMIFS('Mouvements stock'!$H$5:$H$3004,'Mouvements stock'!$I$5:$I$3004,$A63,'Mouvements stock'!$C$5:$C$3004,"Sortie")-SUMIFS('Mouvements stock'!$H$5:$H$3004,'Mouvements stock'!$I$5:$I$3004,$A63,'Mouvements stock'!$C$5:$C$3004,"Retour"))</f>
        <v/>
      </c>
      <c r="X63" s="66" t="n">
        <v>0</v>
      </c>
      <c r="Y63" s="66" t="n">
        <v>0</v>
      </c>
      <c r="Z63" s="7" t="n"/>
      <c r="AA63" s="70">
        <f>IF($A63="","",N(V63)+N(W63)+N(X63)+N(Y63))</f>
        <v/>
      </c>
      <c r="AB63" s="70">
        <f>IF($A63="","",N(S63)*'Paramètres'!$AA$9*IFERROR(INDEX('Paramètres'!$O$5:$O$7,MATCH(G63,'Paramètres'!$N$5:$N$7,0)),0))</f>
        <v/>
      </c>
      <c r="AC63" s="7" t="inlineStr">
        <is>
          <t>Clôturé</t>
        </is>
      </c>
      <c r="AD63" s="69">
        <f>IF(OR($A63="",Q63=""),"",(Q63-B63)*24)</f>
        <v/>
      </c>
      <c r="AE63" s="69">
        <f>IF(OR(Q63="",R63=""),"",(R63-Q63)*24)</f>
        <v/>
      </c>
      <c r="AF63" s="77">
        <f>IF(OR($A63="",B63=""),"",YEAR(B63))</f>
        <v/>
      </c>
      <c r="AG63" s="77">
        <f>IF(OR($A63="",B63=""),"",MONTH(B63))</f>
        <v/>
      </c>
    </row>
    <row r="64">
      <c r="A64" s="7" t="inlineStr">
        <is>
          <t>OT-2025-0060</t>
        </is>
      </c>
      <c r="B64" s="75" t="n">
        <v>45680.36597222222</v>
      </c>
      <c r="C64" s="7" t="inlineStr">
        <is>
          <t>Opérateur peinture</t>
        </is>
      </c>
      <c r="D64" s="7" t="inlineStr">
        <is>
          <t>EQ-PEI-005</t>
        </is>
      </c>
      <c r="E64" s="9">
        <f>IF(D64="","",IFERROR(INDEX('Équipements'!$B$5:$B$304,MATCH(D64,'Équipements'!$A$5:$A$304,0)),"Code inconnu"))</f>
        <v/>
      </c>
      <c r="F64" s="9">
        <f>IF(D64="","",IFERROR(INDEX('Équipements'!$D$5:$D$304,MATCH(D64,'Équipements'!$A$5:$A$304,0)),""))</f>
        <v/>
      </c>
      <c r="G64" s="9">
        <f>IF(D64="","",IFERROR(INDEX('Équipements'!$K$5:$K$304,MATCH(D64,'Équipements'!$A$5:$A$304,0)),""))</f>
        <v/>
      </c>
      <c r="H64" s="7" t="inlineStr">
        <is>
          <t>Correctif</t>
        </is>
      </c>
      <c r="I64" s="7" t="n"/>
      <c r="J64" s="7" t="inlineStr">
        <is>
          <t>Électrique</t>
        </is>
      </c>
      <c r="K64" s="7" t="inlineStr">
        <is>
          <t>P2 - Haute</t>
        </is>
      </c>
      <c r="L64" s="7" t="inlineStr">
        <is>
          <t>Température de bain hors tolérance</t>
        </is>
      </c>
      <c r="M64" s="7" t="inlineStr">
        <is>
          <t>Défaut capteur</t>
        </is>
      </c>
      <c r="N64" s="7" t="inlineStr">
        <is>
          <t>Remplacement sonde PT100</t>
        </is>
      </c>
      <c r="O64" s="7" t="inlineStr">
        <is>
          <t>Antoine Mercier</t>
        </is>
      </c>
      <c r="P64" s="65" t="n"/>
      <c r="Q64" s="75" t="n">
        <v>45680.40902777778</v>
      </c>
      <c r="R64" s="75" t="n">
        <v>45680.49236111111</v>
      </c>
      <c r="S64" s="76" t="n">
        <v>0</v>
      </c>
      <c r="T64" s="76" t="n">
        <v>2</v>
      </c>
      <c r="U64" s="70">
        <f>IF($A64="","",IFERROR(INDEX('Techniciens'!$F$5:$F$44,MATCH(O64,'Techniciens'!$B$5:$B$44,0)),'Paramètres'!$AA$10))</f>
        <v/>
      </c>
      <c r="V64" s="70">
        <f>IF($A64="","",IF(OR(AC64="Demandé",AC64="Planifié",AC64="Annulé"),0,N(T64)*N(U64)))</f>
        <v/>
      </c>
      <c r="W64" s="70">
        <f>IF($A64="","",SUMIFS('Mouvements stock'!$H$5:$H$3004,'Mouvements stock'!$I$5:$I$3004,$A64,'Mouvements stock'!$C$5:$C$3004,"Sortie")-SUMIFS('Mouvements stock'!$H$5:$H$3004,'Mouvements stock'!$I$5:$I$3004,$A64,'Mouvements stock'!$C$5:$C$3004,"Retour"))</f>
        <v/>
      </c>
      <c r="X64" s="66" t="n">
        <v>0</v>
      </c>
      <c r="Y64" s="66" t="n">
        <v>0</v>
      </c>
      <c r="Z64" s="7" t="n"/>
      <c r="AA64" s="70">
        <f>IF($A64="","",N(V64)+N(W64)+N(X64)+N(Y64))</f>
        <v/>
      </c>
      <c r="AB64" s="70">
        <f>IF($A64="","",N(S64)*'Paramètres'!$AA$9*IFERROR(INDEX('Paramètres'!$O$5:$O$7,MATCH(G64,'Paramètres'!$N$5:$N$7,0)),0))</f>
        <v/>
      </c>
      <c r="AC64" s="7" t="inlineStr">
        <is>
          <t>Clôturé</t>
        </is>
      </c>
      <c r="AD64" s="69">
        <f>IF(OR($A64="",Q64=""),"",(Q64-B64)*24)</f>
        <v/>
      </c>
      <c r="AE64" s="69">
        <f>IF(OR(Q64="",R64=""),"",(R64-Q64)*24)</f>
        <v/>
      </c>
      <c r="AF64" s="77">
        <f>IF(OR($A64="",B64=""),"",YEAR(B64))</f>
        <v/>
      </c>
      <c r="AG64" s="77">
        <f>IF(OR($A64="",B64=""),"",MONTH(B64))</f>
        <v/>
      </c>
    </row>
    <row r="65">
      <c r="A65" s="7" t="inlineStr">
        <is>
          <t>OT-2025-0061</t>
        </is>
      </c>
      <c r="B65" s="75" t="n">
        <v>45680.60138888889</v>
      </c>
      <c r="C65" s="7" t="inlineStr">
        <is>
          <t>Opérateur assemblage</t>
        </is>
      </c>
      <c r="D65" s="7" t="inlineStr">
        <is>
          <t>EQ-ASS-002</t>
        </is>
      </c>
      <c r="E65" s="9">
        <f>IF(D65="","",IFERROR(INDEX('Équipements'!$B$5:$B$304,MATCH(D65,'Équipements'!$A$5:$A$304,0)),"Code inconnu"))</f>
        <v/>
      </c>
      <c r="F65" s="9">
        <f>IF(D65="","",IFERROR(INDEX('Équipements'!$D$5:$D$304,MATCH(D65,'Équipements'!$A$5:$A$304,0)),""))</f>
        <v/>
      </c>
      <c r="G65" s="9">
        <f>IF(D65="","",IFERROR(INDEX('Équipements'!$K$5:$K$304,MATCH(D65,'Équipements'!$A$5:$A$304,0)),""))</f>
        <v/>
      </c>
      <c r="H65" s="7" t="inlineStr">
        <is>
          <t>Correctif</t>
        </is>
      </c>
      <c r="I65" s="7" t="n"/>
      <c r="J65" s="7" t="inlineStr">
        <is>
          <t>Électrique</t>
        </is>
      </c>
      <c r="K65" s="7" t="inlineStr">
        <is>
          <t>P2 - Haute</t>
        </is>
      </c>
      <c r="L65" s="7" t="inlineStr">
        <is>
          <t>Défaut barrage immatériel</t>
        </is>
      </c>
      <c r="M65" s="7" t="inlineStr">
        <is>
          <t>Défaut capteur</t>
        </is>
      </c>
      <c r="N65" s="7" t="inlineStr">
        <is>
          <t>Nettoyage / réalignement, remplacement émetteur</t>
        </is>
      </c>
      <c r="O65" s="7" t="inlineStr">
        <is>
          <t>Julien Moreau</t>
        </is>
      </c>
      <c r="P65" s="65" t="n"/>
      <c r="Q65" s="75" t="n">
        <v>45680.68194444444</v>
      </c>
      <c r="R65" s="75" t="n">
        <v>45680.83819444444</v>
      </c>
      <c r="S65" s="76" t="n">
        <v>5.7</v>
      </c>
      <c r="T65" s="76" t="n">
        <v>3.75</v>
      </c>
      <c r="U65" s="70">
        <f>IF($A65="","",IFERROR(INDEX('Techniciens'!$F$5:$F$44,MATCH(O65,'Techniciens'!$B$5:$B$44,0)),'Paramètres'!$AA$10))</f>
        <v/>
      </c>
      <c r="V65" s="70">
        <f>IF($A65="","",IF(OR(AC65="Demandé",AC65="Planifié",AC65="Annulé"),0,N(T65)*N(U65)))</f>
        <v/>
      </c>
      <c r="W65" s="70">
        <f>IF($A65="","",SUMIFS('Mouvements stock'!$H$5:$H$3004,'Mouvements stock'!$I$5:$I$3004,$A65,'Mouvements stock'!$C$5:$C$3004,"Sortie")-SUMIFS('Mouvements stock'!$H$5:$H$3004,'Mouvements stock'!$I$5:$I$3004,$A65,'Mouvements stock'!$C$5:$C$3004,"Retour"))</f>
        <v/>
      </c>
      <c r="X65" s="66" t="n">
        <v>319</v>
      </c>
      <c r="Y65" s="66" t="n">
        <v>0</v>
      </c>
      <c r="Z65" s="7" t="n"/>
      <c r="AA65" s="70">
        <f>IF($A65="","",N(V65)+N(W65)+N(X65)+N(Y65))</f>
        <v/>
      </c>
      <c r="AB65" s="70">
        <f>IF($A65="","",N(S65)*'Paramètres'!$AA$9*IFERROR(INDEX('Paramètres'!$O$5:$O$7,MATCH(G65,'Paramètres'!$N$5:$N$7,0)),0))</f>
        <v/>
      </c>
      <c r="AC65" s="7" t="inlineStr">
        <is>
          <t>Clôturé</t>
        </is>
      </c>
      <c r="AD65" s="69">
        <f>IF(OR($A65="",Q65=""),"",(Q65-B65)*24)</f>
        <v/>
      </c>
      <c r="AE65" s="69">
        <f>IF(OR(Q65="",R65=""),"",(R65-Q65)*24)</f>
        <v/>
      </c>
      <c r="AF65" s="77">
        <f>IF(OR($A65="",B65=""),"",YEAR(B65))</f>
        <v/>
      </c>
      <c r="AG65" s="77">
        <f>IF(OR($A65="",B65=""),"",MONTH(B65))</f>
        <v/>
      </c>
    </row>
    <row r="66">
      <c r="A66" s="7" t="inlineStr">
        <is>
          <t>OT-2025-0062</t>
        </is>
      </c>
      <c r="B66" s="75" t="n">
        <v>45681.46875</v>
      </c>
      <c r="C66" s="7" t="inlineStr">
        <is>
          <t>Plan préventif</t>
        </is>
      </c>
      <c r="D66" s="7" t="inlineStr">
        <is>
          <t>EQ-ASS-004</t>
        </is>
      </c>
      <c r="E66" s="9">
        <f>IF(D66="","",IFERROR(INDEX('Équipements'!$B$5:$B$304,MATCH(D66,'Équipements'!$A$5:$A$304,0)),"Code inconnu"))</f>
        <v/>
      </c>
      <c r="F66" s="9">
        <f>IF(D66="","",IFERROR(INDEX('Équipements'!$D$5:$D$304,MATCH(D66,'Équipements'!$A$5:$A$304,0)),""))</f>
        <v/>
      </c>
      <c r="G66" s="9">
        <f>IF(D66="","",IFERROR(INDEX('Équipements'!$K$5:$K$304,MATCH(D66,'Équipements'!$A$5:$A$304,0)),""))</f>
        <v/>
      </c>
      <c r="H66" s="7" t="inlineStr">
        <is>
          <t>Préventif systématique</t>
        </is>
      </c>
      <c r="I66" s="7" t="inlineStr">
        <is>
          <t>GP-083</t>
        </is>
      </c>
      <c r="J66" s="7" t="inlineStr">
        <is>
          <t>Mécanique</t>
        </is>
      </c>
      <c r="K66" s="7" t="inlineStr">
        <is>
          <t>P3 - Normale</t>
        </is>
      </c>
      <c r="L66" s="7" t="inlineStr">
        <is>
          <t>Nettoyage et contrôle général</t>
        </is>
      </c>
      <c r="M66" s="7" t="n"/>
      <c r="N66" s="7" t="inlineStr">
        <is>
          <t>Gamme réalisée - RAS</t>
        </is>
      </c>
      <c r="O66" s="7" t="inlineStr">
        <is>
          <t>Antoine Mercier</t>
        </is>
      </c>
      <c r="P66" s="65" t="n">
        <v>45688</v>
      </c>
      <c r="Q66" s="75" t="n">
        <v>45688.25</v>
      </c>
      <c r="R66" s="75" t="n">
        <v>45688.27083333334</v>
      </c>
      <c r="S66" s="76" t="n">
        <v>0</v>
      </c>
      <c r="T66" s="76" t="n">
        <v>0.5</v>
      </c>
      <c r="U66" s="70">
        <f>IF($A66="","",IFERROR(INDEX('Techniciens'!$F$5:$F$44,MATCH(O66,'Techniciens'!$B$5:$B$44,0)),'Paramètres'!$AA$10))</f>
        <v/>
      </c>
      <c r="V66" s="70">
        <f>IF($A66="","",IF(OR(AC66="Demandé",AC66="Planifié",AC66="Annulé"),0,N(T66)*N(U66)))</f>
        <v/>
      </c>
      <c r="W66" s="70">
        <f>IF($A66="","",SUMIFS('Mouvements stock'!$H$5:$H$3004,'Mouvements stock'!$I$5:$I$3004,$A66,'Mouvements stock'!$C$5:$C$3004,"Sortie")-SUMIFS('Mouvements stock'!$H$5:$H$3004,'Mouvements stock'!$I$5:$I$3004,$A66,'Mouvements stock'!$C$5:$C$3004,"Retour"))</f>
        <v/>
      </c>
      <c r="X66" s="66" t="n">
        <v>0</v>
      </c>
      <c r="Y66" s="66" t="n">
        <v>0</v>
      </c>
      <c r="Z66" s="7" t="n"/>
      <c r="AA66" s="70">
        <f>IF($A66="","",N(V66)+N(W66)+N(X66)+N(Y66))</f>
        <v/>
      </c>
      <c r="AB66" s="70">
        <f>IF($A66="","",N(S66)*'Paramètres'!$AA$9*IFERROR(INDEX('Paramètres'!$O$5:$O$7,MATCH(G66,'Paramètres'!$N$5:$N$7,0)),0))</f>
        <v/>
      </c>
      <c r="AC66" s="7" t="inlineStr">
        <is>
          <t>Clôturé</t>
        </is>
      </c>
      <c r="AD66" s="69">
        <f>IF(OR($A66="",Q66=""),"",(Q66-B66)*24)</f>
        <v/>
      </c>
      <c r="AE66" s="69">
        <f>IF(OR(Q66="",R66=""),"",(R66-Q66)*24)</f>
        <v/>
      </c>
      <c r="AF66" s="77">
        <f>IF(OR($A66="",B66=""),"",YEAR(B66))</f>
        <v/>
      </c>
      <c r="AG66" s="77">
        <f>IF(OR($A66="",B66=""),"",MONTH(B66))</f>
        <v/>
      </c>
    </row>
    <row r="67">
      <c r="A67" s="7" t="inlineStr">
        <is>
          <t>OT-2025-0063</t>
        </is>
      </c>
      <c r="B67" s="75" t="n">
        <v>45684.34722222222</v>
      </c>
      <c r="C67" s="7" t="inlineStr">
        <is>
          <t>Planning réglementaire</t>
        </is>
      </c>
      <c r="D67" s="7" t="inlineStr">
        <is>
          <t>EQ-PEI-003</t>
        </is>
      </c>
      <c r="E67" s="9">
        <f>IF(D67="","",IFERROR(INDEX('Équipements'!$B$5:$B$304,MATCH(D67,'Équipements'!$A$5:$A$304,0)),"Code inconnu"))</f>
        <v/>
      </c>
      <c r="F67" s="9">
        <f>IF(D67="","",IFERROR(INDEX('Équipements'!$D$5:$D$304,MATCH(D67,'Équipements'!$A$5:$A$304,0)),""))</f>
        <v/>
      </c>
      <c r="G67" s="9">
        <f>IF(D67="","",IFERROR(INDEX('Équipements'!$K$5:$K$304,MATCH(D67,'Équipements'!$A$5:$A$304,0)),""))</f>
        <v/>
      </c>
      <c r="H67" s="7" t="inlineStr">
        <is>
          <t>Réglementaire</t>
        </is>
      </c>
      <c r="I67" s="7" t="inlineStr">
        <is>
          <t>CR-025</t>
        </is>
      </c>
      <c r="J67" s="7" t="inlineStr">
        <is>
          <t>Multi-technique</t>
        </is>
      </c>
      <c r="K67" s="7" t="inlineStr">
        <is>
          <t>P2 - Haute</t>
        </is>
      </c>
      <c r="L67" s="7" t="inlineStr">
        <is>
          <t>Contrôle installation gaz du four</t>
        </is>
      </c>
      <c r="M67" s="7" t="n"/>
      <c r="N67" s="7" t="inlineStr">
        <is>
          <t>Contrôle réalisé - observations mineures au rapport</t>
        </is>
      </c>
      <c r="O67" s="7" t="inlineStr">
        <is>
          <t>Nadia Rousseau</t>
        </is>
      </c>
      <c r="P67" s="65" t="n">
        <v>45705</v>
      </c>
      <c r="Q67" s="75" t="n">
        <v>45705.45138888889</v>
      </c>
      <c r="R67" s="75" t="n">
        <v>45705.57638888889</v>
      </c>
      <c r="S67" s="76" t="n">
        <v>3</v>
      </c>
      <c r="T67" s="76" t="n">
        <v>1.25</v>
      </c>
      <c r="U67" s="70">
        <f>IF($A67="","",IFERROR(INDEX('Techniciens'!$F$5:$F$44,MATCH(O67,'Techniciens'!$B$5:$B$44,0)),'Paramètres'!$AA$10))</f>
        <v/>
      </c>
      <c r="V67" s="70">
        <f>IF($A67="","",IF(OR(AC67="Demandé",AC67="Planifié",AC67="Annulé"),0,N(T67)*N(U67)))</f>
        <v/>
      </c>
      <c r="W67" s="70">
        <f>IF($A67="","",SUMIFS('Mouvements stock'!$H$5:$H$3004,'Mouvements stock'!$I$5:$I$3004,$A67,'Mouvements stock'!$C$5:$C$3004,"Sortie")-SUMIFS('Mouvements stock'!$H$5:$H$3004,'Mouvements stock'!$I$5:$I$3004,$A67,'Mouvements stock'!$C$5:$C$3004,"Retour"))</f>
        <v/>
      </c>
      <c r="X67" s="66" t="n">
        <v>0</v>
      </c>
      <c r="Y67" s="66" t="n">
        <v>450</v>
      </c>
      <c r="Z67" s="7" t="inlineStr">
        <is>
          <t>Thermique &amp; Clim Services</t>
        </is>
      </c>
      <c r="AA67" s="70">
        <f>IF($A67="","",N(V67)+N(W67)+N(X67)+N(Y67))</f>
        <v/>
      </c>
      <c r="AB67" s="70">
        <f>IF($A67="","",N(S67)*'Paramètres'!$AA$9*IFERROR(INDEX('Paramètres'!$O$5:$O$7,MATCH(G67,'Paramètres'!$N$5:$N$7,0)),0))</f>
        <v/>
      </c>
      <c r="AC67" s="7" t="inlineStr">
        <is>
          <t>Clôturé</t>
        </is>
      </c>
      <c r="AD67" s="69">
        <f>IF(OR($A67="",Q67=""),"",(Q67-B67)*24)</f>
        <v/>
      </c>
      <c r="AE67" s="69">
        <f>IF(OR(Q67="",R67=""),"",(R67-Q67)*24)</f>
        <v/>
      </c>
      <c r="AF67" s="77">
        <f>IF(OR($A67="",B67=""),"",YEAR(B67))</f>
        <v/>
      </c>
      <c r="AG67" s="77">
        <f>IF(OR($A67="",B67=""),"",MONTH(B67))</f>
        <v/>
      </c>
    </row>
    <row r="68">
      <c r="A68" s="7" t="inlineStr">
        <is>
          <t>OT-2025-0064</t>
        </is>
      </c>
      <c r="B68" s="75" t="n">
        <v>45684.36458333334</v>
      </c>
      <c r="C68" s="7" t="inlineStr">
        <is>
          <t>Plan préventif</t>
        </is>
      </c>
      <c r="D68" s="7" t="inlineStr">
        <is>
          <t>EQ-LOG-003</t>
        </is>
      </c>
      <c r="E68" s="9">
        <f>IF(D68="","",IFERROR(INDEX('Équipements'!$B$5:$B$304,MATCH(D68,'Équipements'!$A$5:$A$304,0)),"Code inconnu"))</f>
        <v/>
      </c>
      <c r="F68" s="9">
        <f>IF(D68="","",IFERROR(INDEX('Équipements'!$D$5:$D$304,MATCH(D68,'Équipements'!$A$5:$A$304,0)),""))</f>
        <v/>
      </c>
      <c r="G68" s="9">
        <f>IF(D68="","",IFERROR(INDEX('Équipements'!$K$5:$K$304,MATCH(D68,'Équipements'!$A$5:$A$304,0)),""))</f>
        <v/>
      </c>
      <c r="H68" s="7" t="inlineStr">
        <is>
          <t>Préventif systématique</t>
        </is>
      </c>
      <c r="I68" s="7" t="inlineStr">
        <is>
          <t>GP-109</t>
        </is>
      </c>
      <c r="J68" s="7" t="inlineStr">
        <is>
          <t>Multi-technique</t>
        </is>
      </c>
      <c r="K68" s="7" t="inlineStr">
        <is>
          <t>P3 - Normale</t>
        </is>
      </c>
      <c r="L68" s="7" t="inlineStr">
        <is>
          <t>Entretien périodique constructeur</t>
        </is>
      </c>
      <c r="M68" s="7" t="n"/>
      <c r="N68" s="7" t="inlineStr">
        <is>
          <t>Gamme réalisée - RAS</t>
        </is>
      </c>
      <c r="O68" s="7" t="inlineStr">
        <is>
          <t>Antoine Mercier</t>
        </is>
      </c>
      <c r="P68" s="65" t="n">
        <v>45691</v>
      </c>
      <c r="Q68" s="75" t="n">
        <v>45691.59375</v>
      </c>
      <c r="R68" s="75" t="n">
        <v>45691.76041666666</v>
      </c>
      <c r="S68" s="76" t="n">
        <v>0</v>
      </c>
      <c r="T68" s="76" t="n">
        <v>2</v>
      </c>
      <c r="U68" s="70">
        <f>IF($A68="","",IFERROR(INDEX('Techniciens'!$F$5:$F$44,MATCH(O68,'Techniciens'!$B$5:$B$44,0)),'Paramètres'!$AA$10))</f>
        <v/>
      </c>
      <c r="V68" s="70">
        <f>IF($A68="","",IF(OR(AC68="Demandé",AC68="Planifié",AC68="Annulé"),0,N(T68)*N(U68)))</f>
        <v/>
      </c>
      <c r="W68" s="70">
        <f>IF($A68="","",SUMIFS('Mouvements stock'!$H$5:$H$3004,'Mouvements stock'!$I$5:$I$3004,$A68,'Mouvements stock'!$C$5:$C$3004,"Sortie")-SUMIFS('Mouvements stock'!$H$5:$H$3004,'Mouvements stock'!$I$5:$I$3004,$A68,'Mouvements stock'!$C$5:$C$3004,"Retour"))</f>
        <v/>
      </c>
      <c r="X68" s="66" t="n">
        <v>0</v>
      </c>
      <c r="Y68" s="66" t="n">
        <v>410</v>
      </c>
      <c r="Z68" s="7" t="inlineStr">
        <is>
          <t>Manutention Services 44</t>
        </is>
      </c>
      <c r="AA68" s="70">
        <f>IF($A68="","",N(V68)+N(W68)+N(X68)+N(Y68))</f>
        <v/>
      </c>
      <c r="AB68" s="70">
        <f>IF($A68="","",N(S68)*'Paramètres'!$AA$9*IFERROR(INDEX('Paramètres'!$O$5:$O$7,MATCH(G68,'Paramètres'!$N$5:$N$7,0)),0))</f>
        <v/>
      </c>
      <c r="AC68" s="7" t="inlineStr">
        <is>
          <t>Clôturé</t>
        </is>
      </c>
      <c r="AD68" s="69">
        <f>IF(OR($A68="",Q68=""),"",(Q68-B68)*24)</f>
        <v/>
      </c>
      <c r="AE68" s="69">
        <f>IF(OR(Q68="",R68=""),"",(R68-Q68)*24)</f>
        <v/>
      </c>
      <c r="AF68" s="77">
        <f>IF(OR($A68="",B68=""),"",YEAR(B68))</f>
        <v/>
      </c>
      <c r="AG68" s="77">
        <f>IF(OR($A68="",B68=""),"",MONTH(B68))</f>
        <v/>
      </c>
    </row>
    <row r="69">
      <c r="A69" s="7" t="inlineStr">
        <is>
          <t>OT-2025-0065</t>
        </is>
      </c>
      <c r="B69" s="75" t="n">
        <v>45684.37916666667</v>
      </c>
      <c r="C69" s="7" t="inlineStr">
        <is>
          <t>Éric Laurent (chef d'atelier)</t>
        </is>
      </c>
      <c r="D69" s="7" t="inlineStr">
        <is>
          <t>EQ-USI-006</t>
        </is>
      </c>
      <c r="E69" s="9">
        <f>IF(D69="","",IFERROR(INDEX('Équipements'!$B$5:$B$304,MATCH(D69,'Équipements'!$A$5:$A$304,0)),"Code inconnu"))</f>
        <v/>
      </c>
      <c r="F69" s="9">
        <f>IF(D69="","",IFERROR(INDEX('Équipements'!$D$5:$D$304,MATCH(D69,'Équipements'!$A$5:$A$304,0)),""))</f>
        <v/>
      </c>
      <c r="G69" s="9">
        <f>IF(D69="","",IFERROR(INDEX('Équipements'!$K$5:$K$304,MATCH(D69,'Équipements'!$A$5:$A$304,0)),""))</f>
        <v/>
      </c>
      <c r="H69" s="7" t="inlineStr">
        <is>
          <t>Correctif</t>
        </is>
      </c>
      <c r="I69" s="7" t="n"/>
      <c r="J69" s="7" t="inlineStr">
        <is>
          <t>Électrique</t>
        </is>
      </c>
      <c r="K69" s="7" t="inlineStr">
        <is>
          <t>P2 - Haute</t>
        </is>
      </c>
      <c r="L69" s="7" t="inlineStr">
        <is>
          <t>Arrêt d'urgence intempestif</t>
        </is>
      </c>
      <c r="M69" s="7" t="inlineStr">
        <is>
          <t>Défaut électrique</t>
        </is>
      </c>
      <c r="N69" s="7" t="inlineStr">
        <is>
          <t>Recherche de panne, remplacement relais de sécurité</t>
        </is>
      </c>
      <c r="O69" s="7" t="inlineStr">
        <is>
          <t>Julien Moreau</t>
        </is>
      </c>
      <c r="P69" s="65" t="n"/>
      <c r="Q69" s="75" t="n">
        <v>45684.48472222222</v>
      </c>
      <c r="R69" s="75" t="n">
        <v>45684.60972222222</v>
      </c>
      <c r="S69" s="76" t="n">
        <v>5.5</v>
      </c>
      <c r="T69" s="76" t="n">
        <v>3</v>
      </c>
      <c r="U69" s="70">
        <f>IF($A69="","",IFERROR(INDEX('Techniciens'!$F$5:$F$44,MATCH(O69,'Techniciens'!$B$5:$B$44,0)),'Paramètres'!$AA$10))</f>
        <v/>
      </c>
      <c r="V69" s="70">
        <f>IF($A69="","",IF(OR(AC69="Demandé",AC69="Planifié",AC69="Annulé"),0,N(T69)*N(U69)))</f>
        <v/>
      </c>
      <c r="W69" s="70">
        <f>IF($A69="","",SUMIFS('Mouvements stock'!$H$5:$H$3004,'Mouvements stock'!$I$5:$I$3004,$A69,'Mouvements stock'!$C$5:$C$3004,"Sortie")-SUMIFS('Mouvements stock'!$H$5:$H$3004,'Mouvements stock'!$I$5:$I$3004,$A69,'Mouvements stock'!$C$5:$C$3004,"Retour"))</f>
        <v/>
      </c>
      <c r="X69" s="66" t="n">
        <v>0</v>
      </c>
      <c r="Y69" s="66" t="n">
        <v>0</v>
      </c>
      <c r="Z69" s="7" t="n"/>
      <c r="AA69" s="70">
        <f>IF($A69="","",N(V69)+N(W69)+N(X69)+N(Y69))</f>
        <v/>
      </c>
      <c r="AB69" s="70">
        <f>IF($A69="","",N(S69)*'Paramètres'!$AA$9*IFERROR(INDEX('Paramètres'!$O$5:$O$7,MATCH(G69,'Paramètres'!$N$5:$N$7,0)),0))</f>
        <v/>
      </c>
      <c r="AC69" s="7" t="inlineStr">
        <is>
          <t>Clôturé</t>
        </is>
      </c>
      <c r="AD69" s="69">
        <f>IF(OR($A69="",Q69=""),"",(Q69-B69)*24)</f>
        <v/>
      </c>
      <c r="AE69" s="69">
        <f>IF(OR(Q69="",R69=""),"",(R69-Q69)*24)</f>
        <v/>
      </c>
      <c r="AF69" s="77">
        <f>IF(OR($A69="",B69=""),"",YEAR(B69))</f>
        <v/>
      </c>
      <c r="AG69" s="77">
        <f>IF(OR($A69="",B69=""),"",MONTH(B69))</f>
        <v/>
      </c>
    </row>
    <row r="70">
      <c r="A70" s="7" t="inlineStr">
        <is>
          <t>OT-2025-0066</t>
        </is>
      </c>
      <c r="B70" s="75" t="n">
        <v>45684.41666666666</v>
      </c>
      <c r="C70" s="7" t="inlineStr">
        <is>
          <t>Plan préventif</t>
        </is>
      </c>
      <c r="D70" s="7" t="inlineStr">
        <is>
          <t>EQ-BAT-002</t>
        </is>
      </c>
      <c r="E70" s="9">
        <f>IF(D70="","",IFERROR(INDEX('Équipements'!$B$5:$B$304,MATCH(D70,'Équipements'!$A$5:$A$304,0)),"Code inconnu"))</f>
        <v/>
      </c>
      <c r="F70" s="9">
        <f>IF(D70="","",IFERROR(INDEX('Équipements'!$D$5:$D$304,MATCH(D70,'Équipements'!$A$5:$A$304,0)),""))</f>
        <v/>
      </c>
      <c r="G70" s="9">
        <f>IF(D70="","",IFERROR(INDEX('Équipements'!$K$5:$K$304,MATCH(D70,'Équipements'!$A$5:$A$304,0)),""))</f>
        <v/>
      </c>
      <c r="H70" s="7" t="inlineStr">
        <is>
          <t>Préventif systématique</t>
        </is>
      </c>
      <c r="I70" s="7" t="inlineStr">
        <is>
          <t>GP-123</t>
        </is>
      </c>
      <c r="J70" s="7" t="inlineStr">
        <is>
          <t>Bâtiment</t>
        </is>
      </c>
      <c r="K70" s="7" t="inlineStr">
        <is>
          <t>P3 - Normale</t>
        </is>
      </c>
      <c r="L70" s="7" t="inlineStr">
        <is>
          <t>Graissage et contrôle des sécurités</t>
        </is>
      </c>
      <c r="M70" s="7" t="n"/>
      <c r="N70" s="7" t="inlineStr">
        <is>
          <t>Gamme réalisée - RAS</t>
        </is>
      </c>
      <c r="O70" s="7" t="inlineStr">
        <is>
          <t>Lucas Fontaine</t>
        </is>
      </c>
      <c r="P70" s="65" t="n">
        <v>45691</v>
      </c>
      <c r="Q70" s="75" t="n">
        <v>45691.46875</v>
      </c>
      <c r="R70" s="75" t="n">
        <v>45691.53125</v>
      </c>
      <c r="S70" s="76" t="n">
        <v>0</v>
      </c>
      <c r="T70" s="76" t="n">
        <v>1.5</v>
      </c>
      <c r="U70" s="70">
        <f>IF($A70="","",IFERROR(INDEX('Techniciens'!$F$5:$F$44,MATCH(O70,'Techniciens'!$B$5:$B$44,0)),'Paramètres'!$AA$10))</f>
        <v/>
      </c>
      <c r="V70" s="70">
        <f>IF($A70="","",IF(OR(AC70="Demandé",AC70="Planifié",AC70="Annulé"),0,N(T70)*N(U70)))</f>
        <v/>
      </c>
      <c r="W70" s="70">
        <f>IF($A70="","",SUMIFS('Mouvements stock'!$H$5:$H$3004,'Mouvements stock'!$I$5:$I$3004,$A70,'Mouvements stock'!$C$5:$C$3004,"Sortie")-SUMIFS('Mouvements stock'!$H$5:$H$3004,'Mouvements stock'!$I$5:$I$3004,$A70,'Mouvements stock'!$C$5:$C$3004,"Retour"))</f>
        <v/>
      </c>
      <c r="X70" s="66" t="n">
        <v>0</v>
      </c>
      <c r="Y70" s="66" t="n">
        <v>0</v>
      </c>
      <c r="Z70" s="7" t="n"/>
      <c r="AA70" s="70">
        <f>IF($A70="","",N(V70)+N(W70)+N(X70)+N(Y70))</f>
        <v/>
      </c>
      <c r="AB70" s="70">
        <f>IF($A70="","",N(S70)*'Paramètres'!$AA$9*IFERROR(INDEX('Paramètres'!$O$5:$O$7,MATCH(G70,'Paramètres'!$N$5:$N$7,0)),0))</f>
        <v/>
      </c>
      <c r="AC70" s="7" t="inlineStr">
        <is>
          <t>Clôturé</t>
        </is>
      </c>
      <c r="AD70" s="69">
        <f>IF(OR($A70="",Q70=""),"",(Q70-B70)*24)</f>
        <v/>
      </c>
      <c r="AE70" s="69">
        <f>IF(OR(Q70="",R70=""),"",(R70-Q70)*24)</f>
        <v/>
      </c>
      <c r="AF70" s="77">
        <f>IF(OR($A70="",B70=""),"",YEAR(B70))</f>
        <v/>
      </c>
      <c r="AG70" s="77">
        <f>IF(OR($A70="",B70=""),"",MONTH(B70))</f>
        <v/>
      </c>
    </row>
    <row r="71">
      <c r="A71" s="7" t="inlineStr">
        <is>
          <t>OT-2025-0067</t>
        </is>
      </c>
      <c r="B71" s="75" t="n">
        <v>45684.4375</v>
      </c>
      <c r="C71" s="7" t="inlineStr">
        <is>
          <t>Plan préventif</t>
        </is>
      </c>
      <c r="D71" s="7" t="inlineStr">
        <is>
          <t>EQ-LOG-005</t>
        </is>
      </c>
      <c r="E71" s="9">
        <f>IF(D71="","",IFERROR(INDEX('Équipements'!$B$5:$B$304,MATCH(D71,'Équipements'!$A$5:$A$304,0)),"Code inconnu"))</f>
        <v/>
      </c>
      <c r="F71" s="9">
        <f>IF(D71="","",IFERROR(INDEX('Équipements'!$D$5:$D$304,MATCH(D71,'Équipements'!$A$5:$A$304,0)),""))</f>
        <v/>
      </c>
      <c r="G71" s="9">
        <f>IF(D71="","",IFERROR(INDEX('Équipements'!$K$5:$K$304,MATCH(D71,'Équipements'!$A$5:$A$304,0)),""))</f>
        <v/>
      </c>
      <c r="H71" s="7" t="inlineStr">
        <is>
          <t>Préventif systématique</t>
        </is>
      </c>
      <c r="I71" s="7" t="inlineStr">
        <is>
          <t>GP-114</t>
        </is>
      </c>
      <c r="J71" s="7" t="inlineStr">
        <is>
          <t>Mécanique</t>
        </is>
      </c>
      <c r="K71" s="7" t="inlineStr">
        <is>
          <t>P3 - Normale</t>
        </is>
      </c>
      <c r="L71" s="7" t="inlineStr">
        <is>
          <t>Contrôle batterie, niveaux et bandages</t>
        </is>
      </c>
      <c r="M71" s="7" t="n"/>
      <c r="N71" s="7" t="inlineStr">
        <is>
          <t>Gamme réalisée - RAS</t>
        </is>
      </c>
      <c r="O71" s="7" t="inlineStr">
        <is>
          <t>Antoine Mercier</t>
        </is>
      </c>
      <c r="P71" s="65" t="n">
        <v>45691</v>
      </c>
      <c r="Q71" s="75" t="n">
        <v>45691.51041666666</v>
      </c>
      <c r="R71" s="75" t="n">
        <v>45691.55208333334</v>
      </c>
      <c r="S71" s="76" t="n">
        <v>1</v>
      </c>
      <c r="T71" s="76" t="n">
        <v>1</v>
      </c>
      <c r="U71" s="70">
        <f>IF($A71="","",IFERROR(INDEX('Techniciens'!$F$5:$F$44,MATCH(O71,'Techniciens'!$B$5:$B$44,0)),'Paramètres'!$AA$10))</f>
        <v/>
      </c>
      <c r="V71" s="70">
        <f>IF($A71="","",IF(OR(AC71="Demandé",AC71="Planifié",AC71="Annulé"),0,N(T71)*N(U71)))</f>
        <v/>
      </c>
      <c r="W71" s="70">
        <f>IF($A71="","",SUMIFS('Mouvements stock'!$H$5:$H$3004,'Mouvements stock'!$I$5:$I$3004,$A71,'Mouvements stock'!$C$5:$C$3004,"Sortie")-SUMIFS('Mouvements stock'!$H$5:$H$3004,'Mouvements stock'!$I$5:$I$3004,$A71,'Mouvements stock'!$C$5:$C$3004,"Retour"))</f>
        <v/>
      </c>
      <c r="X71" s="66" t="n">
        <v>0</v>
      </c>
      <c r="Y71" s="66" t="n">
        <v>0</v>
      </c>
      <c r="Z71" s="7" t="n"/>
      <c r="AA71" s="70">
        <f>IF($A71="","",N(V71)+N(W71)+N(X71)+N(Y71))</f>
        <v/>
      </c>
      <c r="AB71" s="70">
        <f>IF($A71="","",N(S71)*'Paramètres'!$AA$9*IFERROR(INDEX('Paramètres'!$O$5:$O$7,MATCH(G71,'Paramètres'!$N$5:$N$7,0)),0))</f>
        <v/>
      </c>
      <c r="AC71" s="7" t="inlineStr">
        <is>
          <t>Clôturé</t>
        </is>
      </c>
      <c r="AD71" s="69">
        <f>IF(OR($A71="",Q71=""),"",(Q71-B71)*24)</f>
        <v/>
      </c>
      <c r="AE71" s="69">
        <f>IF(OR(Q71="",R71=""),"",(R71-Q71)*24)</f>
        <v/>
      </c>
      <c r="AF71" s="77">
        <f>IF(OR($A71="",B71=""),"",YEAR(B71))</f>
        <v/>
      </c>
      <c r="AG71" s="77">
        <f>IF(OR($A71="",B71=""),"",MONTH(B71))</f>
        <v/>
      </c>
    </row>
    <row r="72">
      <c r="A72" s="7" t="inlineStr">
        <is>
          <t>OT-2025-0068</t>
        </is>
      </c>
      <c r="B72" s="75" t="n">
        <v>45684.45138888889</v>
      </c>
      <c r="C72" s="7" t="inlineStr">
        <is>
          <t>Plan préventif</t>
        </is>
      </c>
      <c r="D72" s="7" t="inlineStr">
        <is>
          <t>EQ-LOG-003</t>
        </is>
      </c>
      <c r="E72" s="9">
        <f>IF(D72="","",IFERROR(INDEX('Équipements'!$B$5:$B$304,MATCH(D72,'Équipements'!$A$5:$A$304,0)),"Code inconnu"))</f>
        <v/>
      </c>
      <c r="F72" s="9">
        <f>IF(D72="","",IFERROR(INDEX('Équipements'!$D$5:$D$304,MATCH(D72,'Équipements'!$A$5:$A$304,0)),""))</f>
        <v/>
      </c>
      <c r="G72" s="9">
        <f>IF(D72="","",IFERROR(INDEX('Équipements'!$K$5:$K$304,MATCH(D72,'Équipements'!$A$5:$A$304,0)),""))</f>
        <v/>
      </c>
      <c r="H72" s="7" t="inlineStr">
        <is>
          <t>Préventif systématique</t>
        </is>
      </c>
      <c r="I72" s="7" t="inlineStr">
        <is>
          <t>GP-110</t>
        </is>
      </c>
      <c r="J72" s="7" t="inlineStr">
        <is>
          <t>Mécanique</t>
        </is>
      </c>
      <c r="K72" s="7" t="inlineStr">
        <is>
          <t>P3 - Normale</t>
        </is>
      </c>
      <c r="L72" s="7" t="inlineStr">
        <is>
          <t>Contrôle batterie, niveaux et bandages</t>
        </is>
      </c>
      <c r="M72" s="7" t="n"/>
      <c r="N72" s="7" t="inlineStr">
        <is>
          <t>Gamme réalisée - RAS</t>
        </is>
      </c>
      <c r="O72" s="7" t="inlineStr">
        <is>
          <t>Lucas Fontaine</t>
        </is>
      </c>
      <c r="P72" s="65" t="n">
        <v>45691</v>
      </c>
      <c r="Q72" s="75" t="n">
        <v>45691.43055555555</v>
      </c>
      <c r="R72" s="75" t="n">
        <v>45691.47222222222</v>
      </c>
      <c r="S72" s="76" t="n">
        <v>1</v>
      </c>
      <c r="T72" s="76" t="n">
        <v>1</v>
      </c>
      <c r="U72" s="70">
        <f>IF($A72="","",IFERROR(INDEX('Techniciens'!$F$5:$F$44,MATCH(O72,'Techniciens'!$B$5:$B$44,0)),'Paramètres'!$AA$10))</f>
        <v/>
      </c>
      <c r="V72" s="70">
        <f>IF($A72="","",IF(OR(AC72="Demandé",AC72="Planifié",AC72="Annulé"),0,N(T72)*N(U72)))</f>
        <v/>
      </c>
      <c r="W72" s="70">
        <f>IF($A72="","",SUMIFS('Mouvements stock'!$H$5:$H$3004,'Mouvements stock'!$I$5:$I$3004,$A72,'Mouvements stock'!$C$5:$C$3004,"Sortie")-SUMIFS('Mouvements stock'!$H$5:$H$3004,'Mouvements stock'!$I$5:$I$3004,$A72,'Mouvements stock'!$C$5:$C$3004,"Retour"))</f>
        <v/>
      </c>
      <c r="X72" s="66" t="n">
        <v>0</v>
      </c>
      <c r="Y72" s="66" t="n">
        <v>0</v>
      </c>
      <c r="Z72" s="7" t="n"/>
      <c r="AA72" s="70">
        <f>IF($A72="","",N(V72)+N(W72)+N(X72)+N(Y72))</f>
        <v/>
      </c>
      <c r="AB72" s="70">
        <f>IF($A72="","",N(S72)*'Paramètres'!$AA$9*IFERROR(INDEX('Paramètres'!$O$5:$O$7,MATCH(G72,'Paramètres'!$N$5:$N$7,0)),0))</f>
        <v/>
      </c>
      <c r="AC72" s="7" t="inlineStr">
        <is>
          <t>Clôturé</t>
        </is>
      </c>
      <c r="AD72" s="69">
        <f>IF(OR($A72="",Q72=""),"",(Q72-B72)*24)</f>
        <v/>
      </c>
      <c r="AE72" s="69">
        <f>IF(OR(Q72="",R72=""),"",(R72-Q72)*24)</f>
        <v/>
      </c>
      <c r="AF72" s="77">
        <f>IF(OR($A72="",B72=""),"",YEAR(B72))</f>
        <v/>
      </c>
      <c r="AG72" s="77">
        <f>IF(OR($A72="",B72=""),"",MONTH(B72))</f>
        <v/>
      </c>
    </row>
    <row r="73">
      <c r="A73" s="7" t="inlineStr">
        <is>
          <t>OT-2025-0069</t>
        </is>
      </c>
      <c r="B73" s="75" t="n">
        <v>45684.48958333334</v>
      </c>
      <c r="C73" s="7" t="inlineStr">
        <is>
          <t>Plan préventif</t>
        </is>
      </c>
      <c r="D73" s="7" t="inlineStr">
        <is>
          <t>EQ-LOG-002</t>
        </is>
      </c>
      <c r="E73" s="9">
        <f>IF(D73="","",IFERROR(INDEX('Équipements'!$B$5:$B$304,MATCH(D73,'Équipements'!$A$5:$A$304,0)),"Code inconnu"))</f>
        <v/>
      </c>
      <c r="F73" s="9">
        <f>IF(D73="","",IFERROR(INDEX('Équipements'!$D$5:$D$304,MATCH(D73,'Équipements'!$A$5:$A$304,0)),""))</f>
        <v/>
      </c>
      <c r="G73" s="9">
        <f>IF(D73="","",IFERROR(INDEX('Équipements'!$K$5:$K$304,MATCH(D73,'Équipements'!$A$5:$A$304,0)),""))</f>
        <v/>
      </c>
      <c r="H73" s="7" t="inlineStr">
        <is>
          <t>Préventif systématique</t>
        </is>
      </c>
      <c r="I73" s="7" t="inlineStr">
        <is>
          <t>GP-108</t>
        </is>
      </c>
      <c r="J73" s="7" t="inlineStr">
        <is>
          <t>Mécanique</t>
        </is>
      </c>
      <c r="K73" s="7" t="inlineStr">
        <is>
          <t>P3 - Normale</t>
        </is>
      </c>
      <c r="L73" s="7" t="inlineStr">
        <is>
          <t>Contrôle batterie, niveaux et bandages</t>
        </is>
      </c>
      <c r="M73" s="7" t="n"/>
      <c r="N73" s="7" t="inlineStr">
        <is>
          <t>Gamme réalisée - RAS</t>
        </is>
      </c>
      <c r="O73" s="7" t="inlineStr">
        <is>
          <t>Antoine Mercier</t>
        </is>
      </c>
      <c r="P73" s="65" t="n">
        <v>45691</v>
      </c>
      <c r="Q73" s="75" t="n">
        <v>45691.36805555555</v>
      </c>
      <c r="R73" s="75" t="n">
        <v>45691.39930555555</v>
      </c>
      <c r="S73" s="76" t="n">
        <v>0</v>
      </c>
      <c r="T73" s="76" t="n">
        <v>0.75</v>
      </c>
      <c r="U73" s="70">
        <f>IF($A73="","",IFERROR(INDEX('Techniciens'!$F$5:$F$44,MATCH(O73,'Techniciens'!$B$5:$B$44,0)),'Paramètres'!$AA$10))</f>
        <v/>
      </c>
      <c r="V73" s="70">
        <f>IF($A73="","",IF(OR(AC73="Demandé",AC73="Planifié",AC73="Annulé"),0,N(T73)*N(U73)))</f>
        <v/>
      </c>
      <c r="W73" s="70">
        <f>IF($A73="","",SUMIFS('Mouvements stock'!$H$5:$H$3004,'Mouvements stock'!$I$5:$I$3004,$A73,'Mouvements stock'!$C$5:$C$3004,"Sortie")-SUMIFS('Mouvements stock'!$H$5:$H$3004,'Mouvements stock'!$I$5:$I$3004,$A73,'Mouvements stock'!$C$5:$C$3004,"Retour"))</f>
        <v/>
      </c>
      <c r="X73" s="66" t="n">
        <v>0</v>
      </c>
      <c r="Y73" s="66" t="n">
        <v>0</v>
      </c>
      <c r="Z73" s="7" t="n"/>
      <c r="AA73" s="70">
        <f>IF($A73="","",N(V73)+N(W73)+N(X73)+N(Y73))</f>
        <v/>
      </c>
      <c r="AB73" s="70">
        <f>IF($A73="","",N(S73)*'Paramètres'!$AA$9*IFERROR(INDEX('Paramètres'!$O$5:$O$7,MATCH(G73,'Paramètres'!$N$5:$N$7,0)),0))</f>
        <v/>
      </c>
      <c r="AC73" s="7" t="inlineStr">
        <is>
          <t>Clôturé</t>
        </is>
      </c>
      <c r="AD73" s="69">
        <f>IF(OR($A73="",Q73=""),"",(Q73-B73)*24)</f>
        <v/>
      </c>
      <c r="AE73" s="69">
        <f>IF(OR(Q73="",R73=""),"",(R73-Q73)*24)</f>
        <v/>
      </c>
      <c r="AF73" s="77">
        <f>IF(OR($A73="",B73=""),"",YEAR(B73))</f>
        <v/>
      </c>
      <c r="AG73" s="77">
        <f>IF(OR($A73="",B73=""),"",MONTH(B73))</f>
        <v/>
      </c>
    </row>
    <row r="74">
      <c r="A74" s="7" t="inlineStr">
        <is>
          <t>OT-2025-0070</t>
        </is>
      </c>
      <c r="B74" s="75" t="n">
        <v>45684.49305555555</v>
      </c>
      <c r="C74" s="7" t="inlineStr">
        <is>
          <t>Plan préventif</t>
        </is>
      </c>
      <c r="D74" s="7" t="inlineStr">
        <is>
          <t>EQ-UTI-010</t>
        </is>
      </c>
      <c r="E74" s="9">
        <f>IF(D74="","",IFERROR(INDEX('Équipements'!$B$5:$B$304,MATCH(D74,'Équipements'!$A$5:$A$304,0)),"Code inconnu"))</f>
        <v/>
      </c>
      <c r="F74" s="9">
        <f>IF(D74="","",IFERROR(INDEX('Équipements'!$D$5:$D$304,MATCH(D74,'Équipements'!$A$5:$A$304,0)),""))</f>
        <v/>
      </c>
      <c r="G74" s="9">
        <f>IF(D74="","",IFERROR(INDEX('Équipements'!$K$5:$K$304,MATCH(D74,'Équipements'!$A$5:$A$304,0)),""))</f>
        <v/>
      </c>
      <c r="H74" s="7" t="inlineStr">
        <is>
          <t>Préventif systématique</t>
        </is>
      </c>
      <c r="I74" s="7" t="inlineStr">
        <is>
          <t>GP-104</t>
        </is>
      </c>
      <c r="J74" s="7" t="inlineStr">
        <is>
          <t>Électrique</t>
        </is>
      </c>
      <c r="K74" s="7" t="inlineStr">
        <is>
          <t>P3 - Normale</t>
        </is>
      </c>
      <c r="L74" s="7" t="inlineStr">
        <is>
          <t>Essai mensuel à charge du groupe électrogène</t>
        </is>
      </c>
      <c r="M74" s="7" t="n"/>
      <c r="N74" s="7" t="inlineStr">
        <is>
          <t>Gamme réalisée - RAS</t>
        </is>
      </c>
      <c r="O74" s="7" t="inlineStr">
        <is>
          <t>Julien Moreau</t>
        </is>
      </c>
      <c r="P74" s="65" t="n">
        <v>45691</v>
      </c>
      <c r="Q74" s="75" t="n">
        <v>45691.32291666666</v>
      </c>
      <c r="R74" s="75" t="n">
        <v>45691.38541666666</v>
      </c>
      <c r="S74" s="76" t="n">
        <v>0</v>
      </c>
      <c r="T74" s="76" t="n">
        <v>1.5</v>
      </c>
      <c r="U74" s="70">
        <f>IF($A74="","",IFERROR(INDEX('Techniciens'!$F$5:$F$44,MATCH(O74,'Techniciens'!$B$5:$B$44,0)),'Paramètres'!$AA$10))</f>
        <v/>
      </c>
      <c r="V74" s="70">
        <f>IF($A74="","",IF(OR(AC74="Demandé",AC74="Planifié",AC74="Annulé"),0,N(T74)*N(U74)))</f>
        <v/>
      </c>
      <c r="W74" s="70">
        <f>IF($A74="","",SUMIFS('Mouvements stock'!$H$5:$H$3004,'Mouvements stock'!$I$5:$I$3004,$A74,'Mouvements stock'!$C$5:$C$3004,"Sortie")-SUMIFS('Mouvements stock'!$H$5:$H$3004,'Mouvements stock'!$I$5:$I$3004,$A74,'Mouvements stock'!$C$5:$C$3004,"Retour"))</f>
        <v/>
      </c>
      <c r="X74" s="66" t="n">
        <v>0</v>
      </c>
      <c r="Y74" s="66" t="n">
        <v>0</v>
      </c>
      <c r="Z74" s="7" t="n"/>
      <c r="AA74" s="70">
        <f>IF($A74="","",N(V74)+N(W74)+N(X74)+N(Y74))</f>
        <v/>
      </c>
      <c r="AB74" s="70">
        <f>IF($A74="","",N(S74)*'Paramètres'!$AA$9*IFERROR(INDEX('Paramètres'!$O$5:$O$7,MATCH(G74,'Paramètres'!$N$5:$N$7,0)),0))</f>
        <v/>
      </c>
      <c r="AC74" s="7" t="inlineStr">
        <is>
          <t>Clôturé</t>
        </is>
      </c>
      <c r="AD74" s="69">
        <f>IF(OR($A74="",Q74=""),"",(Q74-B74)*24)</f>
        <v/>
      </c>
      <c r="AE74" s="69">
        <f>IF(OR(Q74="",R74=""),"",(R74-Q74)*24)</f>
        <v/>
      </c>
      <c r="AF74" s="77">
        <f>IF(OR($A74="",B74=""),"",YEAR(B74))</f>
        <v/>
      </c>
      <c r="AG74" s="77">
        <f>IF(OR($A74="",B74=""),"",MONTH(B74))</f>
        <v/>
      </c>
    </row>
    <row r="75">
      <c r="A75" s="7" t="inlineStr">
        <is>
          <t>OT-2025-0071</t>
        </is>
      </c>
      <c r="B75" s="75" t="n">
        <v>45685.62152777778</v>
      </c>
      <c r="C75" s="7" t="inlineStr">
        <is>
          <t>Opérateur peinture</t>
        </is>
      </c>
      <c r="D75" s="7" t="inlineStr">
        <is>
          <t>EQ-PEI-003</t>
        </is>
      </c>
      <c r="E75" s="9">
        <f>IF(D75="","",IFERROR(INDEX('Équipements'!$B$5:$B$304,MATCH(D75,'Équipements'!$A$5:$A$304,0)),"Code inconnu"))</f>
        <v/>
      </c>
      <c r="F75" s="9">
        <f>IF(D75="","",IFERROR(INDEX('Équipements'!$D$5:$D$304,MATCH(D75,'Équipements'!$A$5:$A$304,0)),""))</f>
        <v/>
      </c>
      <c r="G75" s="9">
        <f>IF(D75="","",IFERROR(INDEX('Équipements'!$K$5:$K$304,MATCH(D75,'Équipements'!$A$5:$A$304,0)),""))</f>
        <v/>
      </c>
      <c r="H75" s="7" t="inlineStr">
        <is>
          <t>Correctif</t>
        </is>
      </c>
      <c r="I75" s="7" t="n"/>
      <c r="J75" s="7" t="inlineStr">
        <is>
          <t>Électrique</t>
        </is>
      </c>
      <c r="K75" s="7" t="inlineStr">
        <is>
          <t>P3 - Normale</t>
        </is>
      </c>
      <c r="L75" s="7" t="inlineStr">
        <is>
          <t>Brûleur en sécurité (défaut flamme)</t>
        </is>
      </c>
      <c r="M75" s="7" t="inlineStr">
        <is>
          <t>Défaut capteur</t>
        </is>
      </c>
      <c r="N75" s="7" t="inlineStr">
        <is>
          <t>Remplacement sonde, réglage brûleur</t>
        </is>
      </c>
      <c r="O75" s="7" t="inlineStr">
        <is>
          <t>Julien Moreau</t>
        </is>
      </c>
      <c r="P75" s="65" t="n"/>
      <c r="Q75" s="75" t="n">
        <v>45686.22638888889</v>
      </c>
      <c r="R75" s="75" t="n">
        <v>45686.49722222222</v>
      </c>
      <c r="S75" s="76" t="n">
        <v>0</v>
      </c>
      <c r="T75" s="76" t="n">
        <v>6.5</v>
      </c>
      <c r="U75" s="70">
        <f>IF($A75="","",IFERROR(INDEX('Techniciens'!$F$5:$F$44,MATCH(O75,'Techniciens'!$B$5:$B$44,0)),'Paramètres'!$AA$10))</f>
        <v/>
      </c>
      <c r="V75" s="70">
        <f>IF($A75="","",IF(OR(AC75="Demandé",AC75="Planifié",AC75="Annulé"),0,N(T75)*N(U75)))</f>
        <v/>
      </c>
      <c r="W75" s="70">
        <f>IF($A75="","",SUMIFS('Mouvements stock'!$H$5:$H$3004,'Mouvements stock'!$I$5:$I$3004,$A75,'Mouvements stock'!$C$5:$C$3004,"Sortie")-SUMIFS('Mouvements stock'!$H$5:$H$3004,'Mouvements stock'!$I$5:$I$3004,$A75,'Mouvements stock'!$C$5:$C$3004,"Retour"))</f>
        <v/>
      </c>
      <c r="X75" s="66" t="n">
        <v>0</v>
      </c>
      <c r="Y75" s="66" t="n">
        <v>0</v>
      </c>
      <c r="Z75" s="7" t="n"/>
      <c r="AA75" s="70">
        <f>IF($A75="","",N(V75)+N(W75)+N(X75)+N(Y75))</f>
        <v/>
      </c>
      <c r="AB75" s="70">
        <f>IF($A75="","",N(S75)*'Paramètres'!$AA$9*IFERROR(INDEX('Paramètres'!$O$5:$O$7,MATCH(G75,'Paramètres'!$N$5:$N$7,0)),0))</f>
        <v/>
      </c>
      <c r="AC75" s="7" t="inlineStr">
        <is>
          <t>Clôturé</t>
        </is>
      </c>
      <c r="AD75" s="69">
        <f>IF(OR($A75="",Q75=""),"",(Q75-B75)*24)</f>
        <v/>
      </c>
      <c r="AE75" s="69">
        <f>IF(OR(Q75="",R75=""),"",(R75-Q75)*24)</f>
        <v/>
      </c>
      <c r="AF75" s="77">
        <f>IF(OR($A75="",B75=""),"",YEAR(B75))</f>
        <v/>
      </c>
      <c r="AG75" s="77">
        <f>IF(OR($A75="",B75=""),"",MONTH(B75))</f>
        <v/>
      </c>
    </row>
    <row r="76">
      <c r="A76" s="7" t="inlineStr">
        <is>
          <t>OT-2025-0072</t>
        </is>
      </c>
      <c r="B76" s="75" t="n">
        <v>45686.38888888889</v>
      </c>
      <c r="C76" s="7" t="inlineStr">
        <is>
          <t>Planning réglementaire</t>
        </is>
      </c>
      <c r="D76" s="7" t="inlineStr">
        <is>
          <t>EQ-LOG-005</t>
        </is>
      </c>
      <c r="E76" s="9">
        <f>IF(D76="","",IFERROR(INDEX('Équipements'!$B$5:$B$304,MATCH(D76,'Équipements'!$A$5:$A$304,0)),"Code inconnu"))</f>
        <v/>
      </c>
      <c r="F76" s="9">
        <f>IF(D76="","",IFERROR(INDEX('Équipements'!$D$5:$D$304,MATCH(D76,'Équipements'!$A$5:$A$304,0)),""))</f>
        <v/>
      </c>
      <c r="G76" s="9">
        <f>IF(D76="","",IFERROR(INDEX('Équipements'!$K$5:$K$304,MATCH(D76,'Équipements'!$A$5:$A$304,0)),""))</f>
        <v/>
      </c>
      <c r="H76" s="7" t="inlineStr">
        <is>
          <t>Réglementaire</t>
        </is>
      </c>
      <c r="I76" s="7" t="inlineStr">
        <is>
          <t>CR-008</t>
        </is>
      </c>
      <c r="J76" s="7" t="inlineStr">
        <is>
          <t>Multi-technique</t>
        </is>
      </c>
      <c r="K76" s="7" t="inlineStr">
        <is>
          <t>P2 - Haute</t>
        </is>
      </c>
      <c r="L76" s="7" t="inlineStr">
        <is>
          <t>VGP plateforme élévatrice mobile de personnes</t>
        </is>
      </c>
      <c r="M76" s="7" t="n"/>
      <c r="N76" s="7" t="inlineStr">
        <is>
          <t>Contrôle réalisé - observations mineures au rapport</t>
        </is>
      </c>
      <c r="O76" s="7" t="inlineStr">
        <is>
          <t>Marc Lefèvre</t>
        </is>
      </c>
      <c r="P76" s="65" t="n">
        <v>45707</v>
      </c>
      <c r="Q76" s="75" t="n">
        <v>45707.48958333334</v>
      </c>
      <c r="R76" s="75" t="n">
        <v>45707.52083333334</v>
      </c>
      <c r="S76" s="76" t="n">
        <v>0</v>
      </c>
      <c r="T76" s="76" t="n">
        <v>0.75</v>
      </c>
      <c r="U76" s="70">
        <f>IF($A76="","",IFERROR(INDEX('Techniciens'!$F$5:$F$44,MATCH(O76,'Techniciens'!$B$5:$B$44,0)),'Paramètres'!$AA$10))</f>
        <v/>
      </c>
      <c r="V76" s="70">
        <f>IF($A76="","",IF(OR(AC76="Demandé",AC76="Planifié",AC76="Annulé"),0,N(T76)*N(U76)))</f>
        <v/>
      </c>
      <c r="W76" s="70">
        <f>IF($A76="","",SUMIFS('Mouvements stock'!$H$5:$H$3004,'Mouvements stock'!$I$5:$I$3004,$A76,'Mouvements stock'!$C$5:$C$3004,"Sortie")-SUMIFS('Mouvements stock'!$H$5:$H$3004,'Mouvements stock'!$I$5:$I$3004,$A76,'Mouvements stock'!$C$5:$C$3004,"Retour"))</f>
        <v/>
      </c>
      <c r="X76" s="66" t="n">
        <v>0</v>
      </c>
      <c r="Y76" s="66" t="n">
        <v>140</v>
      </c>
      <c r="Z76" s="7" t="inlineStr">
        <is>
          <t>CONTROLIS (organisme fictif)</t>
        </is>
      </c>
      <c r="AA76" s="70">
        <f>IF($A76="","",N(V76)+N(W76)+N(X76)+N(Y76))</f>
        <v/>
      </c>
      <c r="AB76" s="70">
        <f>IF($A76="","",N(S76)*'Paramètres'!$AA$9*IFERROR(INDEX('Paramètres'!$O$5:$O$7,MATCH(G76,'Paramètres'!$N$5:$N$7,0)),0))</f>
        <v/>
      </c>
      <c r="AC76" s="7" t="inlineStr">
        <is>
          <t>Clôturé</t>
        </is>
      </c>
      <c r="AD76" s="69">
        <f>IF(OR($A76="",Q76=""),"",(Q76-B76)*24)</f>
        <v/>
      </c>
      <c r="AE76" s="69">
        <f>IF(OR(Q76="",R76=""),"",(R76-Q76)*24)</f>
        <v/>
      </c>
      <c r="AF76" s="77">
        <f>IF(OR($A76="",B76=""),"",YEAR(B76))</f>
        <v/>
      </c>
      <c r="AG76" s="77">
        <f>IF(OR($A76="",B76=""),"",MONTH(B76))</f>
        <v/>
      </c>
    </row>
    <row r="77">
      <c r="A77" s="7" t="inlineStr">
        <is>
          <t>OT-2025-0073</t>
        </is>
      </c>
      <c r="B77" s="75" t="n">
        <v>45686.42361111111</v>
      </c>
      <c r="C77" s="7" t="inlineStr">
        <is>
          <t>Plan préventif</t>
        </is>
      </c>
      <c r="D77" s="7" t="inlineStr">
        <is>
          <t>EQ-LOG-008</t>
        </is>
      </c>
      <c r="E77" s="9">
        <f>IF(D77="","",IFERROR(INDEX('Équipements'!$B$5:$B$304,MATCH(D77,'Équipements'!$A$5:$A$304,0)),"Code inconnu"))</f>
        <v/>
      </c>
      <c r="F77" s="9">
        <f>IF(D77="","",IFERROR(INDEX('Équipements'!$D$5:$D$304,MATCH(D77,'Équipements'!$A$5:$A$304,0)),""))</f>
        <v/>
      </c>
      <c r="G77" s="9">
        <f>IF(D77="","",IFERROR(INDEX('Équipements'!$K$5:$K$304,MATCH(D77,'Équipements'!$A$5:$A$304,0)),""))</f>
        <v/>
      </c>
      <c r="H77" s="7" t="inlineStr">
        <is>
          <t>Préventif systématique</t>
        </is>
      </c>
      <c r="I77" s="7" t="inlineStr">
        <is>
          <t>GP-120</t>
        </is>
      </c>
      <c r="J77" s="7" t="inlineStr">
        <is>
          <t>Mécanique</t>
        </is>
      </c>
      <c r="K77" s="7" t="inlineStr">
        <is>
          <t>P3 - Normale</t>
        </is>
      </c>
      <c r="L77" s="7" t="inlineStr">
        <is>
          <t>Graissage et entretien annuel</t>
        </is>
      </c>
      <c r="M77" s="7" t="n"/>
      <c r="N77" s="7" t="inlineStr">
        <is>
          <t>Gamme réalisée - RAS</t>
        </is>
      </c>
      <c r="O77" s="7" t="inlineStr">
        <is>
          <t>Karim Benali</t>
        </is>
      </c>
      <c r="P77" s="65" t="n">
        <v>45693</v>
      </c>
      <c r="Q77" s="75" t="n">
        <v>45693.45138888889</v>
      </c>
      <c r="R77" s="75" t="n">
        <v>45693.74305555555</v>
      </c>
      <c r="S77" s="76" t="n">
        <v>0</v>
      </c>
      <c r="T77" s="76" t="n">
        <v>2</v>
      </c>
      <c r="U77" s="70">
        <f>IF($A77="","",IFERROR(INDEX('Techniciens'!$F$5:$F$44,MATCH(O77,'Techniciens'!$B$5:$B$44,0)),'Paramètres'!$AA$10))</f>
        <v/>
      </c>
      <c r="V77" s="70">
        <f>IF($A77="","",IF(OR(AC77="Demandé",AC77="Planifié",AC77="Annulé"),0,N(T77)*N(U77)))</f>
        <v/>
      </c>
      <c r="W77" s="70">
        <f>IF($A77="","",SUMIFS('Mouvements stock'!$H$5:$H$3004,'Mouvements stock'!$I$5:$I$3004,$A77,'Mouvements stock'!$C$5:$C$3004,"Sortie")-SUMIFS('Mouvements stock'!$H$5:$H$3004,'Mouvements stock'!$I$5:$I$3004,$A77,'Mouvements stock'!$C$5:$C$3004,"Retour"))</f>
        <v/>
      </c>
      <c r="X77" s="66" t="n">
        <v>0</v>
      </c>
      <c r="Y77" s="66" t="n">
        <v>940</v>
      </c>
      <c r="Z77" s="7" t="inlineStr">
        <is>
          <t>Levage Expertise Ouest</t>
        </is>
      </c>
      <c r="AA77" s="70">
        <f>IF($A77="","",N(V77)+N(W77)+N(X77)+N(Y77))</f>
        <v/>
      </c>
      <c r="AB77" s="70">
        <f>IF($A77="","",N(S77)*'Paramètres'!$AA$9*IFERROR(INDEX('Paramètres'!$O$5:$O$7,MATCH(G77,'Paramètres'!$N$5:$N$7,0)),0))</f>
        <v/>
      </c>
      <c r="AC77" s="7" t="inlineStr">
        <is>
          <t>Clôturé</t>
        </is>
      </c>
      <c r="AD77" s="69">
        <f>IF(OR($A77="",Q77=""),"",(Q77-B77)*24)</f>
        <v/>
      </c>
      <c r="AE77" s="69">
        <f>IF(OR(Q77="",R77=""),"",(R77-Q77)*24)</f>
        <v/>
      </c>
      <c r="AF77" s="77">
        <f>IF(OR($A77="",B77=""),"",YEAR(B77))</f>
        <v/>
      </c>
      <c r="AG77" s="77">
        <f>IF(OR($A77="",B77=""),"",MONTH(B77))</f>
        <v/>
      </c>
    </row>
    <row r="78">
      <c r="A78" s="7" t="inlineStr">
        <is>
          <t>OT-2025-0074</t>
        </is>
      </c>
      <c r="B78" s="75" t="n">
        <v>45686.49305555555</v>
      </c>
      <c r="C78" s="7" t="inlineStr">
        <is>
          <t>Plan préventif</t>
        </is>
      </c>
      <c r="D78" s="7" t="inlineStr">
        <is>
          <t>EQ-PEI-001</t>
        </is>
      </c>
      <c r="E78" s="9">
        <f>IF(D78="","",IFERROR(INDEX('Équipements'!$B$5:$B$304,MATCH(D78,'Équipements'!$A$5:$A$304,0)),"Code inconnu"))</f>
        <v/>
      </c>
      <c r="F78" s="9">
        <f>IF(D78="","",IFERROR(INDEX('Équipements'!$D$5:$D$304,MATCH(D78,'Équipements'!$A$5:$A$304,0)),""))</f>
        <v/>
      </c>
      <c r="G78" s="9">
        <f>IF(D78="","",IFERROR(INDEX('Équipements'!$K$5:$K$304,MATCH(D78,'Équipements'!$A$5:$A$304,0)),""))</f>
        <v/>
      </c>
      <c r="H78" s="7" t="inlineStr">
        <is>
          <t>Préventif systématique</t>
        </is>
      </c>
      <c r="I78" s="7" t="inlineStr">
        <is>
          <t>GP-066</t>
        </is>
      </c>
      <c r="J78" s="7" t="inlineStr">
        <is>
          <t>Mécanique</t>
        </is>
      </c>
      <c r="K78" s="7" t="inlineStr">
        <is>
          <t>P3 - Normale</t>
        </is>
      </c>
      <c r="L78" s="7" t="inlineStr">
        <is>
          <t>Nettoyage et remplacement des filtres</t>
        </is>
      </c>
      <c r="M78" s="7" t="n"/>
      <c r="N78" s="7" t="inlineStr">
        <is>
          <t>Gamme réalisée - petite fuite corrigée</t>
        </is>
      </c>
      <c r="O78" s="7" t="inlineStr">
        <is>
          <t>Lucas Fontaine</t>
        </is>
      </c>
      <c r="P78" s="65" t="n">
        <v>45693.54513888889</v>
      </c>
      <c r="Q78" s="75" t="n">
        <v>45693.55555555555</v>
      </c>
      <c r="R78" s="75" t="n">
        <v>45693.71180555555</v>
      </c>
      <c r="S78" s="76" t="n">
        <v>3.8</v>
      </c>
      <c r="T78" s="76" t="n">
        <v>3.75</v>
      </c>
      <c r="U78" s="70">
        <f>IF($A78="","",IFERROR(INDEX('Techniciens'!$F$5:$F$44,MATCH(O78,'Techniciens'!$B$5:$B$44,0)),'Paramètres'!$AA$10))</f>
        <v/>
      </c>
      <c r="V78" s="70">
        <f>IF($A78="","",IF(OR(AC78="Demandé",AC78="Planifié",AC78="Annulé"),0,N(T78)*N(U78)))</f>
        <v/>
      </c>
      <c r="W78" s="70">
        <f>IF($A78="","",SUMIFS('Mouvements stock'!$H$5:$H$3004,'Mouvements stock'!$I$5:$I$3004,$A78,'Mouvements stock'!$C$5:$C$3004,"Sortie")-SUMIFS('Mouvements stock'!$H$5:$H$3004,'Mouvements stock'!$I$5:$I$3004,$A78,'Mouvements stock'!$C$5:$C$3004,"Retour"))</f>
        <v/>
      </c>
      <c r="X78" s="66" t="n">
        <v>0</v>
      </c>
      <c r="Y78" s="66" t="n">
        <v>0</v>
      </c>
      <c r="Z78" s="7" t="n"/>
      <c r="AA78" s="70">
        <f>IF($A78="","",N(V78)+N(W78)+N(X78)+N(Y78))</f>
        <v/>
      </c>
      <c r="AB78" s="70">
        <f>IF($A78="","",N(S78)*'Paramètres'!$AA$9*IFERROR(INDEX('Paramètres'!$O$5:$O$7,MATCH(G78,'Paramètres'!$N$5:$N$7,0)),0))</f>
        <v/>
      </c>
      <c r="AC78" s="7" t="inlineStr">
        <is>
          <t>Clôturé</t>
        </is>
      </c>
      <c r="AD78" s="69">
        <f>IF(OR($A78="",Q78=""),"",(Q78-B78)*24)</f>
        <v/>
      </c>
      <c r="AE78" s="69">
        <f>IF(OR(Q78="",R78=""),"",(R78-Q78)*24)</f>
        <v/>
      </c>
      <c r="AF78" s="77">
        <f>IF(OR($A78="",B78=""),"",YEAR(B78))</f>
        <v/>
      </c>
      <c r="AG78" s="77">
        <f>IF(OR($A78="",B78=""),"",MONTH(B78))</f>
        <v/>
      </c>
    </row>
    <row r="79">
      <c r="A79" s="7" t="inlineStr">
        <is>
          <t>OT-2025-0075</t>
        </is>
      </c>
      <c r="B79" s="75" t="n">
        <v>45687.55902777778</v>
      </c>
      <c r="C79" s="7" t="inlineStr">
        <is>
          <t>Éric Laurent (chef d'atelier)</t>
        </is>
      </c>
      <c r="D79" s="7" t="inlineStr">
        <is>
          <t>EQ-USI-002</t>
        </is>
      </c>
      <c r="E79" s="9">
        <f>IF(D79="","",IFERROR(INDEX('Équipements'!$B$5:$B$304,MATCH(D79,'Équipements'!$A$5:$A$304,0)),"Code inconnu"))</f>
        <v/>
      </c>
      <c r="F79" s="9">
        <f>IF(D79="","",IFERROR(INDEX('Équipements'!$D$5:$D$304,MATCH(D79,'Équipements'!$A$5:$A$304,0)),""))</f>
        <v/>
      </c>
      <c r="G79" s="9">
        <f>IF(D79="","",IFERROR(INDEX('Équipements'!$K$5:$K$304,MATCH(D79,'Équipements'!$A$5:$A$304,0)),""))</f>
        <v/>
      </c>
      <c r="H79" s="7" t="inlineStr">
        <is>
          <t>Correctif</t>
        </is>
      </c>
      <c r="I79" s="7" t="n"/>
      <c r="J79" s="7" t="inlineStr">
        <is>
          <t>Électrique</t>
        </is>
      </c>
      <c r="K79" s="7" t="inlineStr">
        <is>
          <t>P1 - Urgent</t>
        </is>
      </c>
      <c r="L79" s="7" t="inlineStr">
        <is>
          <t>Arrêt d'urgence intempestif</t>
        </is>
      </c>
      <c r="M79" s="7" t="inlineStr">
        <is>
          <t>Défaut électrique</t>
        </is>
      </c>
      <c r="N79" s="7" t="inlineStr">
        <is>
          <t>Recherche de panne, remplacement relais de sécurité</t>
        </is>
      </c>
      <c r="O79" s="7" t="inlineStr">
        <is>
          <t>Julien Moreau</t>
        </is>
      </c>
      <c r="P79" s="65" t="n"/>
      <c r="Q79" s="75" t="n">
        <v>45687.58958333333</v>
      </c>
      <c r="R79" s="75" t="n">
        <v>45687.7875</v>
      </c>
      <c r="S79" s="76" t="n">
        <v>5.5</v>
      </c>
      <c r="T79" s="76" t="n">
        <v>4.75</v>
      </c>
      <c r="U79" s="70">
        <f>IF($A79="","",IFERROR(INDEX('Techniciens'!$F$5:$F$44,MATCH(O79,'Techniciens'!$B$5:$B$44,0)),'Paramètres'!$AA$10))</f>
        <v/>
      </c>
      <c r="V79" s="70">
        <f>IF($A79="","",IF(OR(AC79="Demandé",AC79="Planifié",AC79="Annulé"),0,N(T79)*N(U79)))</f>
        <v/>
      </c>
      <c r="W79" s="70">
        <f>IF($A79="","",SUMIFS('Mouvements stock'!$H$5:$H$3004,'Mouvements stock'!$I$5:$I$3004,$A79,'Mouvements stock'!$C$5:$C$3004,"Sortie")-SUMIFS('Mouvements stock'!$H$5:$H$3004,'Mouvements stock'!$I$5:$I$3004,$A79,'Mouvements stock'!$C$5:$C$3004,"Retour"))</f>
        <v/>
      </c>
      <c r="X79" s="66" t="n">
        <v>0</v>
      </c>
      <c r="Y79" s="66" t="n">
        <v>0</v>
      </c>
      <c r="Z79" s="7" t="n"/>
      <c r="AA79" s="70">
        <f>IF($A79="","",N(V79)+N(W79)+N(X79)+N(Y79))</f>
        <v/>
      </c>
      <c r="AB79" s="70">
        <f>IF($A79="","",N(S79)*'Paramètres'!$AA$9*IFERROR(INDEX('Paramètres'!$O$5:$O$7,MATCH(G79,'Paramètres'!$N$5:$N$7,0)),0))</f>
        <v/>
      </c>
      <c r="AC79" s="7" t="inlineStr">
        <is>
          <t>Clôturé</t>
        </is>
      </c>
      <c r="AD79" s="69">
        <f>IF(OR($A79="",Q79=""),"",(Q79-B79)*24)</f>
        <v/>
      </c>
      <c r="AE79" s="69">
        <f>IF(OR(Q79="",R79=""),"",(R79-Q79)*24)</f>
        <v/>
      </c>
      <c r="AF79" s="77">
        <f>IF(OR($A79="",B79=""),"",YEAR(B79))</f>
        <v/>
      </c>
      <c r="AG79" s="77">
        <f>IF(OR($A79="",B79=""),"",MONTH(B79))</f>
        <v/>
      </c>
    </row>
    <row r="80">
      <c r="A80" s="7" t="inlineStr">
        <is>
          <t>OT-2025-0076</t>
        </is>
      </c>
      <c r="B80" s="75" t="n">
        <v>45688.34722222222</v>
      </c>
      <c r="C80" s="7" t="inlineStr">
        <is>
          <t>Plan préventif</t>
        </is>
      </c>
      <c r="D80" s="7" t="inlineStr">
        <is>
          <t>EQ-LOG-007</t>
        </is>
      </c>
      <c r="E80" s="9">
        <f>IF(D80="","",IFERROR(INDEX('Équipements'!$B$5:$B$304,MATCH(D80,'Équipements'!$A$5:$A$304,0)),"Code inconnu"))</f>
        <v/>
      </c>
      <c r="F80" s="9">
        <f>IF(D80="","",IFERROR(INDEX('Équipements'!$D$5:$D$304,MATCH(D80,'Équipements'!$A$5:$A$304,0)),""))</f>
        <v/>
      </c>
      <c r="G80" s="9">
        <f>IF(D80="","",IFERROR(INDEX('Équipements'!$K$5:$K$304,MATCH(D80,'Équipements'!$A$5:$A$304,0)),""))</f>
        <v/>
      </c>
      <c r="H80" s="7" t="inlineStr">
        <is>
          <t>Préventif systématique</t>
        </is>
      </c>
      <c r="I80" s="7" t="inlineStr">
        <is>
          <t>GP-117</t>
        </is>
      </c>
      <c r="J80" s="7" t="inlineStr">
        <is>
          <t>Mécanique</t>
        </is>
      </c>
      <c r="K80" s="7" t="inlineStr">
        <is>
          <t>P3 - Normale</t>
        </is>
      </c>
      <c r="L80" s="7" t="inlineStr">
        <is>
          <t>Contrôle câbles, crochets, freins et fins de course</t>
        </is>
      </c>
      <c r="M80" s="7" t="n"/>
      <c r="N80" s="7" t="inlineStr">
        <is>
          <t>Gamme réalisée - RAS</t>
        </is>
      </c>
      <c r="O80" s="7" t="inlineStr">
        <is>
          <t>Karim Benali</t>
        </is>
      </c>
      <c r="P80" s="65" t="n">
        <v>45695</v>
      </c>
      <c r="Q80" s="75" t="n">
        <v>45695.375</v>
      </c>
      <c r="R80" s="75" t="n">
        <v>45695.48958333334</v>
      </c>
      <c r="S80" s="76" t="n">
        <v>0</v>
      </c>
      <c r="T80" s="76" t="n">
        <v>2.75</v>
      </c>
      <c r="U80" s="70">
        <f>IF($A80="","",IFERROR(INDEX('Techniciens'!$F$5:$F$44,MATCH(O80,'Techniciens'!$B$5:$B$44,0)),'Paramètres'!$AA$10))</f>
        <v/>
      </c>
      <c r="V80" s="70">
        <f>IF($A80="","",IF(OR(AC80="Demandé",AC80="Planifié",AC80="Annulé"),0,N(T80)*N(U80)))</f>
        <v/>
      </c>
      <c r="W80" s="70">
        <f>IF($A80="","",SUMIFS('Mouvements stock'!$H$5:$H$3004,'Mouvements stock'!$I$5:$I$3004,$A80,'Mouvements stock'!$C$5:$C$3004,"Sortie")-SUMIFS('Mouvements stock'!$H$5:$H$3004,'Mouvements stock'!$I$5:$I$3004,$A80,'Mouvements stock'!$C$5:$C$3004,"Retour"))</f>
        <v/>
      </c>
      <c r="X80" s="66" t="n">
        <v>0</v>
      </c>
      <c r="Y80" s="66" t="n">
        <v>0</v>
      </c>
      <c r="Z80" s="7" t="n"/>
      <c r="AA80" s="70">
        <f>IF($A80="","",N(V80)+N(W80)+N(X80)+N(Y80))</f>
        <v/>
      </c>
      <c r="AB80" s="70">
        <f>IF($A80="","",N(S80)*'Paramètres'!$AA$9*IFERROR(INDEX('Paramètres'!$O$5:$O$7,MATCH(G80,'Paramètres'!$N$5:$N$7,0)),0))</f>
        <v/>
      </c>
      <c r="AC80" s="7" t="inlineStr">
        <is>
          <t>Clôturé</t>
        </is>
      </c>
      <c r="AD80" s="69">
        <f>IF(OR($A80="",Q80=""),"",(Q80-B80)*24)</f>
        <v/>
      </c>
      <c r="AE80" s="69">
        <f>IF(OR(Q80="",R80=""),"",(R80-Q80)*24)</f>
        <v/>
      </c>
      <c r="AF80" s="77">
        <f>IF(OR($A80="",B80=""),"",YEAR(B80))</f>
        <v/>
      </c>
      <c r="AG80" s="77">
        <f>IF(OR($A80="",B80=""),"",MONTH(B80))</f>
        <v/>
      </c>
    </row>
    <row r="81">
      <c r="A81" s="7" t="inlineStr">
        <is>
          <t>OT-2025-0077</t>
        </is>
      </c>
      <c r="B81" s="75" t="n">
        <v>45688.35833333333</v>
      </c>
      <c r="C81" s="7" t="inlineStr">
        <is>
          <t>Éric Laurent (chef d'atelier)</t>
        </is>
      </c>
      <c r="D81" s="7" t="inlineStr">
        <is>
          <t>EQ-USI-004</t>
        </is>
      </c>
      <c r="E81" s="9">
        <f>IF(D81="","",IFERROR(INDEX('Équipements'!$B$5:$B$304,MATCH(D81,'Équipements'!$A$5:$A$304,0)),"Code inconnu"))</f>
        <v/>
      </c>
      <c r="F81" s="9">
        <f>IF(D81="","",IFERROR(INDEX('Équipements'!$D$5:$D$304,MATCH(D81,'Équipements'!$A$5:$A$304,0)),""))</f>
        <v/>
      </c>
      <c r="G81" s="9">
        <f>IF(D81="","",IFERROR(INDEX('Équipements'!$K$5:$K$304,MATCH(D81,'Équipements'!$A$5:$A$304,0)),""))</f>
        <v/>
      </c>
      <c r="H81" s="7" t="inlineStr">
        <is>
          <t>Correctif</t>
        </is>
      </c>
      <c r="I81" s="7" t="n"/>
      <c r="J81" s="7" t="inlineStr">
        <is>
          <t>Mécanique</t>
        </is>
      </c>
      <c r="K81" s="7" t="inlineStr">
        <is>
          <t>P1 - Urgent</t>
        </is>
      </c>
      <c r="L81" s="7" t="inlineStr">
        <is>
          <t>Défaut pression graissage centralisé</t>
        </is>
      </c>
      <c r="M81" s="7" t="inlineStr">
        <is>
          <t>Défaut lubrification</t>
        </is>
      </c>
      <c r="N81" s="7" t="inlineStr">
        <is>
          <t>Nettoyage pompe de graissage, remplacement doseurs</t>
        </is>
      </c>
      <c r="O81" s="7" t="inlineStr">
        <is>
          <t>Lucas Fontaine</t>
        </is>
      </c>
      <c r="P81" s="65" t="n"/>
      <c r="Q81" s="75" t="n">
        <v>45688.39375</v>
      </c>
      <c r="R81" s="75" t="n">
        <v>45688.53958333333</v>
      </c>
      <c r="S81" s="76" t="n">
        <v>4.4</v>
      </c>
      <c r="T81" s="76" t="n">
        <v>3.5</v>
      </c>
      <c r="U81" s="70">
        <f>IF($A81="","",IFERROR(INDEX('Techniciens'!$F$5:$F$44,MATCH(O81,'Techniciens'!$B$5:$B$44,0)),'Paramètres'!$AA$10))</f>
        <v/>
      </c>
      <c r="V81" s="70">
        <f>IF($A81="","",IF(OR(AC81="Demandé",AC81="Planifié",AC81="Annulé"),0,N(T81)*N(U81)))</f>
        <v/>
      </c>
      <c r="W81" s="70">
        <f>IF($A81="","",SUMIFS('Mouvements stock'!$H$5:$H$3004,'Mouvements stock'!$I$5:$I$3004,$A81,'Mouvements stock'!$C$5:$C$3004,"Sortie")-SUMIFS('Mouvements stock'!$H$5:$H$3004,'Mouvements stock'!$I$5:$I$3004,$A81,'Mouvements stock'!$C$5:$C$3004,"Retour"))</f>
        <v/>
      </c>
      <c r="X81" s="66" t="n">
        <v>0</v>
      </c>
      <c r="Y81" s="66" t="n">
        <v>0</v>
      </c>
      <c r="Z81" s="7" t="n"/>
      <c r="AA81" s="70">
        <f>IF($A81="","",N(V81)+N(W81)+N(X81)+N(Y81))</f>
        <v/>
      </c>
      <c r="AB81" s="70">
        <f>IF($A81="","",N(S81)*'Paramètres'!$AA$9*IFERROR(INDEX('Paramètres'!$O$5:$O$7,MATCH(G81,'Paramètres'!$N$5:$N$7,0)),0))</f>
        <v/>
      </c>
      <c r="AC81" s="7" t="inlineStr">
        <is>
          <t>Clôturé</t>
        </is>
      </c>
      <c r="AD81" s="69">
        <f>IF(OR($A81="",Q81=""),"",(Q81-B81)*24)</f>
        <v/>
      </c>
      <c r="AE81" s="69">
        <f>IF(OR(Q81="",R81=""),"",(R81-Q81)*24)</f>
        <v/>
      </c>
      <c r="AF81" s="77">
        <f>IF(OR($A81="",B81=""),"",YEAR(B81))</f>
        <v/>
      </c>
      <c r="AG81" s="77">
        <f>IF(OR($A81="",B81=""),"",MONTH(B81))</f>
        <v/>
      </c>
    </row>
    <row r="82">
      <c r="A82" s="7" t="inlineStr">
        <is>
          <t>OT-2025-0078</t>
        </is>
      </c>
      <c r="B82" s="75" t="n">
        <v>45688.38194444445</v>
      </c>
      <c r="C82" s="7" t="inlineStr">
        <is>
          <t>Plan préventif</t>
        </is>
      </c>
      <c r="D82" s="7" t="inlineStr">
        <is>
          <t>EQ-LOG-006</t>
        </is>
      </c>
      <c r="E82" s="9">
        <f>IF(D82="","",IFERROR(INDEX('Équipements'!$B$5:$B$304,MATCH(D82,'Équipements'!$A$5:$A$304,0)),"Code inconnu"))</f>
        <v/>
      </c>
      <c r="F82" s="9">
        <f>IF(D82="","",IFERROR(INDEX('Équipements'!$D$5:$D$304,MATCH(D82,'Équipements'!$A$5:$A$304,0)),""))</f>
        <v/>
      </c>
      <c r="G82" s="9">
        <f>IF(D82="","",IFERROR(INDEX('Équipements'!$K$5:$K$304,MATCH(D82,'Équipements'!$A$5:$A$304,0)),""))</f>
        <v/>
      </c>
      <c r="H82" s="7" t="inlineStr">
        <is>
          <t>Préventif systématique</t>
        </is>
      </c>
      <c r="I82" s="7" t="inlineStr">
        <is>
          <t>GP-115</t>
        </is>
      </c>
      <c r="J82" s="7" t="inlineStr">
        <is>
          <t>Mécanique</t>
        </is>
      </c>
      <c r="K82" s="7" t="inlineStr">
        <is>
          <t>P3 - Normale</t>
        </is>
      </c>
      <c r="L82" s="7" t="inlineStr">
        <is>
          <t>Contrôle câbles, crochets, freins et fins de course</t>
        </is>
      </c>
      <c r="M82" s="7" t="n"/>
      <c r="N82" s="7" t="inlineStr">
        <is>
          <t>Gamme réalisée - RAS</t>
        </is>
      </c>
      <c r="O82" s="7" t="inlineStr">
        <is>
          <t>Karim Benali</t>
        </is>
      </c>
      <c r="P82" s="65" t="n">
        <v>45695</v>
      </c>
      <c r="Q82" s="75" t="n">
        <v>45695.40625</v>
      </c>
      <c r="R82" s="75" t="n">
        <v>45695.5625</v>
      </c>
      <c r="S82" s="76" t="n">
        <v>1.9</v>
      </c>
      <c r="T82" s="76" t="n">
        <v>3.75</v>
      </c>
      <c r="U82" s="70">
        <f>IF($A82="","",IFERROR(INDEX('Techniciens'!$F$5:$F$44,MATCH(O82,'Techniciens'!$B$5:$B$44,0)),'Paramètres'!$AA$10))</f>
        <v/>
      </c>
      <c r="V82" s="70">
        <f>IF($A82="","",IF(OR(AC82="Demandé",AC82="Planifié",AC82="Annulé"),0,N(T82)*N(U82)))</f>
        <v/>
      </c>
      <c r="W82" s="70">
        <f>IF($A82="","",SUMIFS('Mouvements stock'!$H$5:$H$3004,'Mouvements stock'!$I$5:$I$3004,$A82,'Mouvements stock'!$C$5:$C$3004,"Sortie")-SUMIFS('Mouvements stock'!$H$5:$H$3004,'Mouvements stock'!$I$5:$I$3004,$A82,'Mouvements stock'!$C$5:$C$3004,"Retour"))</f>
        <v/>
      </c>
      <c r="X82" s="66" t="n">
        <v>0</v>
      </c>
      <c r="Y82" s="66" t="n">
        <v>0</v>
      </c>
      <c r="Z82" s="7" t="n"/>
      <c r="AA82" s="70">
        <f>IF($A82="","",N(V82)+N(W82)+N(X82)+N(Y82))</f>
        <v/>
      </c>
      <c r="AB82" s="70">
        <f>IF($A82="","",N(S82)*'Paramètres'!$AA$9*IFERROR(INDEX('Paramètres'!$O$5:$O$7,MATCH(G82,'Paramètres'!$N$5:$N$7,0)),0))</f>
        <v/>
      </c>
      <c r="AC82" s="7" t="inlineStr">
        <is>
          <t>Clôturé</t>
        </is>
      </c>
      <c r="AD82" s="69">
        <f>IF(OR($A82="",Q82=""),"",(Q82-B82)*24)</f>
        <v/>
      </c>
      <c r="AE82" s="69">
        <f>IF(OR(Q82="",R82=""),"",(R82-Q82)*24)</f>
        <v/>
      </c>
      <c r="AF82" s="77">
        <f>IF(OR($A82="",B82=""),"",YEAR(B82))</f>
        <v/>
      </c>
      <c r="AG82" s="77">
        <f>IF(OR($A82="",B82=""),"",MONTH(B82))</f>
        <v/>
      </c>
    </row>
    <row r="83">
      <c r="A83" s="7" t="inlineStr">
        <is>
          <t>OT-2025-0079</t>
        </is>
      </c>
      <c r="B83" s="75" t="n">
        <v>45689.60763888889</v>
      </c>
      <c r="C83" s="7" t="inlineStr">
        <is>
          <t>Céline Morel (cheffe d'atelier)</t>
        </is>
      </c>
      <c r="D83" s="7" t="inlineStr">
        <is>
          <t>EQ-TOL-003</t>
        </is>
      </c>
      <c r="E83" s="9">
        <f>IF(D83="","",IFERROR(INDEX('Équipements'!$B$5:$B$304,MATCH(D83,'Équipements'!$A$5:$A$304,0)),"Code inconnu"))</f>
        <v/>
      </c>
      <c r="F83" s="9">
        <f>IF(D83="","",IFERROR(INDEX('Équipements'!$D$5:$D$304,MATCH(D83,'Équipements'!$A$5:$A$304,0)),""))</f>
        <v/>
      </c>
      <c r="G83" s="9">
        <f>IF(D83="","",IFERROR(INDEX('Équipements'!$K$5:$K$304,MATCH(D83,'Équipements'!$A$5:$A$304,0)),""))</f>
        <v/>
      </c>
      <c r="H83" s="7" t="inlineStr">
        <is>
          <t>Correctif</t>
        </is>
      </c>
      <c r="I83" s="7" t="n"/>
      <c r="J83" s="7" t="inlineStr">
        <is>
          <t>Mécanique</t>
        </is>
      </c>
      <c r="K83" s="7" t="inlineStr">
        <is>
          <t>P2 - Haute</t>
        </is>
      </c>
      <c r="L83" s="7" t="inlineStr">
        <is>
          <t>Butée arrière bloquée</t>
        </is>
      </c>
      <c r="M83" s="7" t="inlineStr">
        <is>
          <t>Casse mécanique</t>
        </is>
      </c>
      <c r="N83" s="7" t="inlineStr">
        <is>
          <t>Remplacement courroie et réglage butée</t>
        </is>
      </c>
      <c r="O83" s="7" t="inlineStr">
        <is>
          <t>Lucas Fontaine</t>
        </is>
      </c>
      <c r="P83" s="65" t="n"/>
      <c r="Q83" s="75" t="n">
        <v>45689.67083333333</v>
      </c>
      <c r="R83" s="75" t="n">
        <v>45689.87916666667</v>
      </c>
      <c r="S83" s="76" t="n">
        <v>0</v>
      </c>
      <c r="T83" s="76" t="n">
        <v>5</v>
      </c>
      <c r="U83" s="70">
        <f>IF($A83="","",IFERROR(INDEX('Techniciens'!$F$5:$F$44,MATCH(O83,'Techniciens'!$B$5:$B$44,0)),'Paramètres'!$AA$10))</f>
        <v/>
      </c>
      <c r="V83" s="70">
        <f>IF($A83="","",IF(OR(AC83="Demandé",AC83="Planifié",AC83="Annulé"),0,N(T83)*N(U83)))</f>
        <v/>
      </c>
      <c r="W83" s="70">
        <f>IF($A83="","",SUMIFS('Mouvements stock'!$H$5:$H$3004,'Mouvements stock'!$I$5:$I$3004,$A83,'Mouvements stock'!$C$5:$C$3004,"Sortie")-SUMIFS('Mouvements stock'!$H$5:$H$3004,'Mouvements stock'!$I$5:$I$3004,$A83,'Mouvements stock'!$C$5:$C$3004,"Retour"))</f>
        <v/>
      </c>
      <c r="X83" s="66" t="n">
        <v>0</v>
      </c>
      <c r="Y83" s="66" t="n">
        <v>0</v>
      </c>
      <c r="Z83" s="7" t="n"/>
      <c r="AA83" s="70">
        <f>IF($A83="","",N(V83)+N(W83)+N(X83)+N(Y83))</f>
        <v/>
      </c>
      <c r="AB83" s="70">
        <f>IF($A83="","",N(S83)*'Paramètres'!$AA$9*IFERROR(INDEX('Paramètres'!$O$5:$O$7,MATCH(G83,'Paramètres'!$N$5:$N$7,0)),0))</f>
        <v/>
      </c>
      <c r="AC83" s="7" t="inlineStr">
        <is>
          <t>Clôturé</t>
        </is>
      </c>
      <c r="AD83" s="69">
        <f>IF(OR($A83="",Q83=""),"",(Q83-B83)*24)</f>
        <v/>
      </c>
      <c r="AE83" s="69">
        <f>IF(OR(Q83="",R83=""),"",(R83-Q83)*24)</f>
        <v/>
      </c>
      <c r="AF83" s="77">
        <f>IF(OR($A83="",B83=""),"",YEAR(B83))</f>
        <v/>
      </c>
      <c r="AG83" s="77">
        <f>IF(OR($A83="",B83=""),"",MONTH(B83))</f>
        <v/>
      </c>
    </row>
    <row r="84">
      <c r="A84" s="7" t="inlineStr">
        <is>
          <t>OT-2025-0080</t>
        </is>
      </c>
      <c r="B84" s="75" t="n">
        <v>45691.36805555555</v>
      </c>
      <c r="C84" s="7" t="inlineStr">
        <is>
          <t>Plan préventif</t>
        </is>
      </c>
      <c r="D84" s="7" t="inlineStr">
        <is>
          <t>EQ-LOG-001</t>
        </is>
      </c>
      <c r="E84" s="9">
        <f>IF(D84="","",IFERROR(INDEX('Équipements'!$B$5:$B$304,MATCH(D84,'Équipements'!$A$5:$A$304,0)),"Code inconnu"))</f>
        <v/>
      </c>
      <c r="F84" s="9">
        <f>IF(D84="","",IFERROR(INDEX('Équipements'!$D$5:$D$304,MATCH(D84,'Équipements'!$A$5:$A$304,0)),""))</f>
        <v/>
      </c>
      <c r="G84" s="9">
        <f>IF(D84="","",IFERROR(INDEX('Équipements'!$K$5:$K$304,MATCH(D84,'Équipements'!$A$5:$A$304,0)),""))</f>
        <v/>
      </c>
      <c r="H84" s="7" t="inlineStr">
        <is>
          <t>Préventif systématique</t>
        </is>
      </c>
      <c r="I84" s="7" t="inlineStr">
        <is>
          <t>GP-106</t>
        </is>
      </c>
      <c r="J84" s="7" t="inlineStr">
        <is>
          <t>Mécanique</t>
        </is>
      </c>
      <c r="K84" s="7" t="inlineStr">
        <is>
          <t>P3 - Normale</t>
        </is>
      </c>
      <c r="L84" s="7" t="inlineStr">
        <is>
          <t>Contrôle batterie, niveaux et bandages</t>
        </is>
      </c>
      <c r="M84" s="7" t="n"/>
      <c r="N84" s="7" t="inlineStr">
        <is>
          <t>Gamme réalisée - RAS</t>
        </is>
      </c>
      <c r="O84" s="7" t="inlineStr">
        <is>
          <t>Lucas Fontaine</t>
        </is>
      </c>
      <c r="P84" s="65" t="n">
        <v>45698</v>
      </c>
      <c r="Q84" s="75" t="n">
        <v>45698.59722222222</v>
      </c>
      <c r="R84" s="75" t="n">
        <v>45698.62847222222</v>
      </c>
      <c r="S84" s="76" t="n">
        <v>0.4</v>
      </c>
      <c r="T84" s="76" t="n">
        <v>0.75</v>
      </c>
      <c r="U84" s="70">
        <f>IF($A84="","",IFERROR(INDEX('Techniciens'!$F$5:$F$44,MATCH(O84,'Techniciens'!$B$5:$B$44,0)),'Paramètres'!$AA$10))</f>
        <v/>
      </c>
      <c r="V84" s="70">
        <f>IF($A84="","",IF(OR(AC84="Demandé",AC84="Planifié",AC84="Annulé"),0,N(T84)*N(U84)))</f>
        <v/>
      </c>
      <c r="W84" s="70">
        <f>IF($A84="","",SUMIFS('Mouvements stock'!$H$5:$H$3004,'Mouvements stock'!$I$5:$I$3004,$A84,'Mouvements stock'!$C$5:$C$3004,"Sortie")-SUMIFS('Mouvements stock'!$H$5:$H$3004,'Mouvements stock'!$I$5:$I$3004,$A84,'Mouvements stock'!$C$5:$C$3004,"Retour"))</f>
        <v/>
      </c>
      <c r="X84" s="66" t="n">
        <v>0</v>
      </c>
      <c r="Y84" s="66" t="n">
        <v>0</v>
      </c>
      <c r="Z84" s="7" t="n"/>
      <c r="AA84" s="70">
        <f>IF($A84="","",N(V84)+N(W84)+N(X84)+N(Y84))</f>
        <v/>
      </c>
      <c r="AB84" s="70">
        <f>IF($A84="","",N(S84)*'Paramètres'!$AA$9*IFERROR(INDEX('Paramètres'!$O$5:$O$7,MATCH(G84,'Paramètres'!$N$5:$N$7,0)),0))</f>
        <v/>
      </c>
      <c r="AC84" s="7" t="inlineStr">
        <is>
          <t>Clôturé</t>
        </is>
      </c>
      <c r="AD84" s="69">
        <f>IF(OR($A84="",Q84=""),"",(Q84-B84)*24)</f>
        <v/>
      </c>
      <c r="AE84" s="69">
        <f>IF(OR(Q84="",R84=""),"",(R84-Q84)*24)</f>
        <v/>
      </c>
      <c r="AF84" s="77">
        <f>IF(OR($A84="",B84=""),"",YEAR(B84))</f>
        <v/>
      </c>
      <c r="AG84" s="77">
        <f>IF(OR($A84="",B84=""),"",MONTH(B84))</f>
        <v/>
      </c>
    </row>
    <row r="85">
      <c r="A85" s="7" t="inlineStr">
        <is>
          <t>OT-2025-0081</t>
        </is>
      </c>
      <c r="B85" s="75" t="n">
        <v>45691.38541666666</v>
      </c>
      <c r="C85" s="7" t="inlineStr">
        <is>
          <t>Plan préventif</t>
        </is>
      </c>
      <c r="D85" s="7" t="inlineStr">
        <is>
          <t>EQ-UTI-001</t>
        </is>
      </c>
      <c r="E85" s="9">
        <f>IF(D85="","",IFERROR(INDEX('Équipements'!$B$5:$B$304,MATCH(D85,'Équipements'!$A$5:$A$304,0)),"Code inconnu"))</f>
        <v/>
      </c>
      <c r="F85" s="9">
        <f>IF(D85="","",IFERROR(INDEX('Équipements'!$D$5:$D$304,MATCH(D85,'Équipements'!$A$5:$A$304,0)),""))</f>
        <v/>
      </c>
      <c r="G85" s="9">
        <f>IF(D85="","",IFERROR(INDEX('Équipements'!$K$5:$K$304,MATCH(D85,'Équipements'!$A$5:$A$304,0)),""))</f>
        <v/>
      </c>
      <c r="H85" s="7" t="inlineStr">
        <is>
          <t>Préventif systématique</t>
        </is>
      </c>
      <c r="I85" s="7" t="inlineStr">
        <is>
          <t>GP-088</t>
        </is>
      </c>
      <c r="J85" s="7" t="inlineStr">
        <is>
          <t>Pneumatique</t>
        </is>
      </c>
      <c r="K85" s="7" t="inlineStr">
        <is>
          <t>P3 - Normale</t>
        </is>
      </c>
      <c r="L85" s="7" t="inlineStr">
        <is>
          <t>Purge, contrôle fuites et point de rosée</t>
        </is>
      </c>
      <c r="M85" s="7" t="n"/>
      <c r="N85" s="7" t="inlineStr">
        <is>
          <t>Gamme réalisée - RAS</t>
        </is>
      </c>
      <c r="O85" s="7" t="inlineStr">
        <is>
          <t>Julien Moreau</t>
        </is>
      </c>
      <c r="P85" s="65" t="n">
        <v>45698.3125</v>
      </c>
      <c r="Q85" s="75" t="n">
        <v>45698.34375</v>
      </c>
      <c r="R85" s="75" t="n">
        <v>45698.40625</v>
      </c>
      <c r="S85" s="76" t="n">
        <v>0</v>
      </c>
      <c r="T85" s="76" t="n">
        <v>1.5</v>
      </c>
      <c r="U85" s="70">
        <f>IF($A85="","",IFERROR(INDEX('Techniciens'!$F$5:$F$44,MATCH(O85,'Techniciens'!$B$5:$B$44,0)),'Paramètres'!$AA$10))</f>
        <v/>
      </c>
      <c r="V85" s="70">
        <f>IF($A85="","",IF(OR(AC85="Demandé",AC85="Planifié",AC85="Annulé"),0,N(T85)*N(U85)))</f>
        <v/>
      </c>
      <c r="W85" s="70">
        <f>IF($A85="","",SUMIFS('Mouvements stock'!$H$5:$H$3004,'Mouvements stock'!$I$5:$I$3004,$A85,'Mouvements stock'!$C$5:$C$3004,"Sortie")-SUMIFS('Mouvements stock'!$H$5:$H$3004,'Mouvements stock'!$I$5:$I$3004,$A85,'Mouvements stock'!$C$5:$C$3004,"Retour"))</f>
        <v/>
      </c>
      <c r="X85" s="66" t="n">
        <v>0</v>
      </c>
      <c r="Y85" s="66" t="n">
        <v>0</v>
      </c>
      <c r="Z85" s="7" t="n"/>
      <c r="AA85" s="70">
        <f>IF($A85="","",N(V85)+N(W85)+N(X85)+N(Y85))</f>
        <v/>
      </c>
      <c r="AB85" s="70">
        <f>IF($A85="","",N(S85)*'Paramètres'!$AA$9*IFERROR(INDEX('Paramètres'!$O$5:$O$7,MATCH(G85,'Paramètres'!$N$5:$N$7,0)),0))</f>
        <v/>
      </c>
      <c r="AC85" s="7" t="inlineStr">
        <is>
          <t>Clôturé</t>
        </is>
      </c>
      <c r="AD85" s="69">
        <f>IF(OR($A85="",Q85=""),"",(Q85-B85)*24)</f>
        <v/>
      </c>
      <c r="AE85" s="69">
        <f>IF(OR(Q85="",R85=""),"",(R85-Q85)*24)</f>
        <v/>
      </c>
      <c r="AF85" s="77">
        <f>IF(OR($A85="",B85=""),"",YEAR(B85))</f>
        <v/>
      </c>
      <c r="AG85" s="77">
        <f>IF(OR($A85="",B85=""),"",MONTH(B85))</f>
        <v/>
      </c>
    </row>
    <row r="86">
      <c r="A86" s="7" t="inlineStr">
        <is>
          <t>OT-2025-0082</t>
        </is>
      </c>
      <c r="B86" s="75" t="n">
        <v>45691.42361111111</v>
      </c>
      <c r="C86" s="7" t="inlineStr">
        <is>
          <t>Plan préventif</t>
        </is>
      </c>
      <c r="D86" s="7" t="inlineStr">
        <is>
          <t>EQ-UTI-003</t>
        </is>
      </c>
      <c r="E86" s="9">
        <f>IF(D86="","",IFERROR(INDEX('Équipements'!$B$5:$B$304,MATCH(D86,'Équipements'!$A$5:$A$304,0)),"Code inconnu"))</f>
        <v/>
      </c>
      <c r="F86" s="9">
        <f>IF(D86="","",IFERROR(INDEX('Équipements'!$D$5:$D$304,MATCH(D86,'Équipements'!$A$5:$A$304,0)),""))</f>
        <v/>
      </c>
      <c r="G86" s="9">
        <f>IF(D86="","",IFERROR(INDEX('Équipements'!$K$5:$K$304,MATCH(D86,'Équipements'!$A$5:$A$304,0)),""))</f>
        <v/>
      </c>
      <c r="H86" s="7" t="inlineStr">
        <is>
          <t>Préventif systématique</t>
        </is>
      </c>
      <c r="I86" s="7" t="inlineStr">
        <is>
          <t>GP-092</t>
        </is>
      </c>
      <c r="J86" s="7" t="inlineStr">
        <is>
          <t>Pneumatique</t>
        </is>
      </c>
      <c r="K86" s="7" t="inlineStr">
        <is>
          <t>P3 - Normale</t>
        </is>
      </c>
      <c r="L86" s="7" t="inlineStr">
        <is>
          <t>Purge, contrôle fuites et point de rosée</t>
        </is>
      </c>
      <c r="M86" s="7" t="n"/>
      <c r="N86" s="7" t="inlineStr">
        <is>
          <t>Gamme réalisée - RAS</t>
        </is>
      </c>
      <c r="O86" s="7" t="inlineStr">
        <is>
          <t>Julien Moreau</t>
        </is>
      </c>
      <c r="P86" s="65" t="n">
        <v>45698.35416666666</v>
      </c>
      <c r="Q86" s="75" t="n">
        <v>45698.36111111111</v>
      </c>
      <c r="R86" s="75" t="n">
        <v>45698.41319444445</v>
      </c>
      <c r="S86" s="76" t="n">
        <v>0</v>
      </c>
      <c r="T86" s="76" t="n">
        <v>1.25</v>
      </c>
      <c r="U86" s="70">
        <f>IF($A86="","",IFERROR(INDEX('Techniciens'!$F$5:$F$44,MATCH(O86,'Techniciens'!$B$5:$B$44,0)),'Paramètres'!$AA$10))</f>
        <v/>
      </c>
      <c r="V86" s="70">
        <f>IF($A86="","",IF(OR(AC86="Demandé",AC86="Planifié",AC86="Annulé"),0,N(T86)*N(U86)))</f>
        <v/>
      </c>
      <c r="W86" s="70">
        <f>IF($A86="","",SUMIFS('Mouvements stock'!$H$5:$H$3004,'Mouvements stock'!$I$5:$I$3004,$A86,'Mouvements stock'!$C$5:$C$3004,"Sortie")-SUMIFS('Mouvements stock'!$H$5:$H$3004,'Mouvements stock'!$I$5:$I$3004,$A86,'Mouvements stock'!$C$5:$C$3004,"Retour"))</f>
        <v/>
      </c>
      <c r="X86" s="66" t="n">
        <v>0</v>
      </c>
      <c r="Y86" s="66" t="n">
        <v>0</v>
      </c>
      <c r="Z86" s="7" t="n"/>
      <c r="AA86" s="70">
        <f>IF($A86="","",N(V86)+N(W86)+N(X86)+N(Y86))</f>
        <v/>
      </c>
      <c r="AB86" s="70">
        <f>IF($A86="","",N(S86)*'Paramètres'!$AA$9*IFERROR(INDEX('Paramètres'!$O$5:$O$7,MATCH(G86,'Paramètres'!$N$5:$N$7,0)),0))</f>
        <v/>
      </c>
      <c r="AC86" s="7" t="inlineStr">
        <is>
          <t>Clôturé</t>
        </is>
      </c>
      <c r="AD86" s="69">
        <f>IF(OR($A86="",Q86=""),"",(Q86-B86)*24)</f>
        <v/>
      </c>
      <c r="AE86" s="69">
        <f>IF(OR(Q86="",R86=""),"",(R86-Q86)*24)</f>
        <v/>
      </c>
      <c r="AF86" s="77">
        <f>IF(OR($A86="",B86=""),"",YEAR(B86))</f>
        <v/>
      </c>
      <c r="AG86" s="77">
        <f>IF(OR($A86="",B86=""),"",MONTH(B86))</f>
        <v/>
      </c>
    </row>
    <row r="87">
      <c r="A87" s="7" t="inlineStr">
        <is>
          <t>OT-2025-0083</t>
        </is>
      </c>
      <c r="B87" s="75" t="n">
        <v>45691.45138888889</v>
      </c>
      <c r="C87" s="7" t="inlineStr">
        <is>
          <t>Plan préventif</t>
        </is>
      </c>
      <c r="D87" s="7" t="inlineStr">
        <is>
          <t>EQ-PEI-002</t>
        </is>
      </c>
      <c r="E87" s="9">
        <f>IF(D87="","",IFERROR(INDEX('Équipements'!$B$5:$B$304,MATCH(D87,'Équipements'!$A$5:$A$304,0)),"Code inconnu"))</f>
        <v/>
      </c>
      <c r="F87" s="9">
        <f>IF(D87="","",IFERROR(INDEX('Équipements'!$D$5:$D$304,MATCH(D87,'Équipements'!$A$5:$A$304,0)),""))</f>
        <v/>
      </c>
      <c r="G87" s="9">
        <f>IF(D87="","",IFERROR(INDEX('Équipements'!$K$5:$K$304,MATCH(D87,'Équipements'!$A$5:$A$304,0)),""))</f>
        <v/>
      </c>
      <c r="H87" s="7" t="inlineStr">
        <is>
          <t>Préventif systématique</t>
        </is>
      </c>
      <c r="I87" s="7" t="inlineStr">
        <is>
          <t>GP-068</t>
        </is>
      </c>
      <c r="J87" s="7" t="inlineStr">
        <is>
          <t>Mécanique</t>
        </is>
      </c>
      <c r="K87" s="7" t="inlineStr">
        <is>
          <t>P3 - Normale</t>
        </is>
      </c>
      <c r="L87" s="7" t="inlineStr">
        <is>
          <t>Nettoyage et remplacement des filtres</t>
        </is>
      </c>
      <c r="M87" s="7" t="n"/>
      <c r="N87" s="7" t="inlineStr">
        <is>
          <t>Gamme réalisée - RAS</t>
        </is>
      </c>
      <c r="O87" s="7" t="inlineStr">
        <is>
          <t>Karim Benali</t>
        </is>
      </c>
      <c r="P87" s="65" t="n">
        <v>45698.61805555555</v>
      </c>
      <c r="Q87" s="75" t="n">
        <v>45698.40625</v>
      </c>
      <c r="R87" s="75" t="n">
        <v>45698.54166666666</v>
      </c>
      <c r="S87" s="76" t="n">
        <v>3.2</v>
      </c>
      <c r="T87" s="76" t="n">
        <v>3.25</v>
      </c>
      <c r="U87" s="70">
        <f>IF($A87="","",IFERROR(INDEX('Techniciens'!$F$5:$F$44,MATCH(O87,'Techniciens'!$B$5:$B$44,0)),'Paramètres'!$AA$10))</f>
        <v/>
      </c>
      <c r="V87" s="70">
        <f>IF($A87="","",IF(OR(AC87="Demandé",AC87="Planifié",AC87="Annulé"),0,N(T87)*N(U87)))</f>
        <v/>
      </c>
      <c r="W87" s="70">
        <f>IF($A87="","",SUMIFS('Mouvements stock'!$H$5:$H$3004,'Mouvements stock'!$I$5:$I$3004,$A87,'Mouvements stock'!$C$5:$C$3004,"Sortie")-SUMIFS('Mouvements stock'!$H$5:$H$3004,'Mouvements stock'!$I$5:$I$3004,$A87,'Mouvements stock'!$C$5:$C$3004,"Retour"))</f>
        <v/>
      </c>
      <c r="X87" s="66" t="n">
        <v>0</v>
      </c>
      <c r="Y87" s="66" t="n">
        <v>0</v>
      </c>
      <c r="Z87" s="7" t="n"/>
      <c r="AA87" s="70">
        <f>IF($A87="","",N(V87)+N(W87)+N(X87)+N(Y87))</f>
        <v/>
      </c>
      <c r="AB87" s="70">
        <f>IF($A87="","",N(S87)*'Paramètres'!$AA$9*IFERROR(INDEX('Paramètres'!$O$5:$O$7,MATCH(G87,'Paramètres'!$N$5:$N$7,0)),0))</f>
        <v/>
      </c>
      <c r="AC87" s="7" t="inlineStr">
        <is>
          <t>Clôturé</t>
        </is>
      </c>
      <c r="AD87" s="69">
        <f>IF(OR($A87="",Q87=""),"",(Q87-B87)*24)</f>
        <v/>
      </c>
      <c r="AE87" s="69">
        <f>IF(OR(Q87="",R87=""),"",(R87-Q87)*24)</f>
        <v/>
      </c>
      <c r="AF87" s="77">
        <f>IF(OR($A87="",B87=""),"",YEAR(B87))</f>
        <v/>
      </c>
      <c r="AG87" s="77">
        <f>IF(OR($A87="",B87=""),"",MONTH(B87))</f>
        <v/>
      </c>
    </row>
    <row r="88">
      <c r="A88" s="7" t="inlineStr">
        <is>
          <t>OT-2025-0084</t>
        </is>
      </c>
      <c r="B88" s="75" t="n">
        <v>45691.48611111111</v>
      </c>
      <c r="C88" s="7" t="inlineStr">
        <is>
          <t>Plan préventif</t>
        </is>
      </c>
      <c r="D88" s="7" t="inlineStr">
        <is>
          <t>EQ-SOU-001</t>
        </is>
      </c>
      <c r="E88" s="9">
        <f>IF(D88="","",IFERROR(INDEX('Équipements'!$B$5:$B$304,MATCH(D88,'Équipements'!$A$5:$A$304,0)),"Code inconnu"))</f>
        <v/>
      </c>
      <c r="F88" s="9">
        <f>IF(D88="","",IFERROR(INDEX('Équipements'!$D$5:$D$304,MATCH(D88,'Équipements'!$A$5:$A$304,0)),""))</f>
        <v/>
      </c>
      <c r="G88" s="9">
        <f>IF(D88="","",IFERROR(INDEX('Équipements'!$K$5:$K$304,MATCH(D88,'Équipements'!$A$5:$A$304,0)),""))</f>
        <v/>
      </c>
      <c r="H88" s="7" t="inlineStr">
        <is>
          <t>Préventif systématique</t>
        </is>
      </c>
      <c r="I88" s="7" t="inlineStr">
        <is>
          <t>GP-058</t>
        </is>
      </c>
      <c r="J88" s="7" t="inlineStr">
        <is>
          <t>Mécanique</t>
        </is>
      </c>
      <c r="K88" s="7" t="inlineStr">
        <is>
          <t>P3 - Normale</t>
        </is>
      </c>
      <c r="L88" s="7" t="inlineStr">
        <is>
          <t>Nettoyage torche et contrôle faisceau</t>
        </is>
      </c>
      <c r="M88" s="7" t="n"/>
      <c r="N88" s="7" t="inlineStr">
        <is>
          <t>Gamme réalisée - serrages repris</t>
        </is>
      </c>
      <c r="O88" s="7" t="inlineStr">
        <is>
          <t>Lucas Fontaine</t>
        </is>
      </c>
      <c r="P88" s="65" t="n">
        <v>45698.39930555555</v>
      </c>
      <c r="Q88" s="75" t="n">
        <v>45698.38194444445</v>
      </c>
      <c r="R88" s="75" t="n">
        <v>45698.42361111111</v>
      </c>
      <c r="S88" s="76" t="n">
        <v>1</v>
      </c>
      <c r="T88" s="76" t="n">
        <v>1</v>
      </c>
      <c r="U88" s="70">
        <f>IF($A88="","",IFERROR(INDEX('Techniciens'!$F$5:$F$44,MATCH(O88,'Techniciens'!$B$5:$B$44,0)),'Paramètres'!$AA$10))</f>
        <v/>
      </c>
      <c r="V88" s="70">
        <f>IF($A88="","",IF(OR(AC88="Demandé",AC88="Planifié",AC88="Annulé"),0,N(T88)*N(U88)))</f>
        <v/>
      </c>
      <c r="W88" s="70">
        <f>IF($A88="","",SUMIFS('Mouvements stock'!$H$5:$H$3004,'Mouvements stock'!$I$5:$I$3004,$A88,'Mouvements stock'!$C$5:$C$3004,"Sortie")-SUMIFS('Mouvements stock'!$H$5:$H$3004,'Mouvements stock'!$I$5:$I$3004,$A88,'Mouvements stock'!$C$5:$C$3004,"Retour"))</f>
        <v/>
      </c>
      <c r="X88" s="66" t="n">
        <v>0</v>
      </c>
      <c r="Y88" s="66" t="n">
        <v>0</v>
      </c>
      <c r="Z88" s="7" t="n"/>
      <c r="AA88" s="70">
        <f>IF($A88="","",N(V88)+N(W88)+N(X88)+N(Y88))</f>
        <v/>
      </c>
      <c r="AB88" s="70">
        <f>IF($A88="","",N(S88)*'Paramètres'!$AA$9*IFERROR(INDEX('Paramètres'!$O$5:$O$7,MATCH(G88,'Paramètres'!$N$5:$N$7,0)),0))</f>
        <v/>
      </c>
      <c r="AC88" s="7" t="inlineStr">
        <is>
          <t>Clôturé</t>
        </is>
      </c>
      <c r="AD88" s="69">
        <f>IF(OR($A88="",Q88=""),"",(Q88-B88)*24)</f>
        <v/>
      </c>
      <c r="AE88" s="69">
        <f>IF(OR(Q88="",R88=""),"",(R88-Q88)*24)</f>
        <v/>
      </c>
      <c r="AF88" s="77">
        <f>IF(OR($A88="",B88=""),"",YEAR(B88))</f>
        <v/>
      </c>
      <c r="AG88" s="77">
        <f>IF(OR($A88="",B88=""),"",MONTH(B88))</f>
        <v/>
      </c>
    </row>
    <row r="89">
      <c r="A89" s="7" t="inlineStr">
        <is>
          <t>OT-2025-0085</t>
        </is>
      </c>
      <c r="B89" s="75" t="n">
        <v>45691.57013888889</v>
      </c>
      <c r="C89" s="7" t="inlineStr">
        <is>
          <t>Éric Laurent (chef d'atelier)</t>
        </is>
      </c>
      <c r="D89" s="7" t="inlineStr">
        <is>
          <t>EQ-USI-003</t>
        </is>
      </c>
      <c r="E89" s="9">
        <f>IF(D89="","",IFERROR(INDEX('Équipements'!$B$5:$B$304,MATCH(D89,'Équipements'!$A$5:$A$304,0)),"Code inconnu"))</f>
        <v/>
      </c>
      <c r="F89" s="9">
        <f>IF(D89="","",IFERROR(INDEX('Équipements'!$D$5:$D$304,MATCH(D89,'Équipements'!$A$5:$A$304,0)),""))</f>
        <v/>
      </c>
      <c r="G89" s="9">
        <f>IF(D89="","",IFERROR(INDEX('Équipements'!$K$5:$K$304,MATCH(D89,'Équipements'!$A$5:$A$304,0)),""))</f>
        <v/>
      </c>
      <c r="H89" s="7" t="inlineStr">
        <is>
          <t>Correctif</t>
        </is>
      </c>
      <c r="I89" s="7" t="n"/>
      <c r="J89" s="7" t="inlineStr">
        <is>
          <t>Électrique</t>
        </is>
      </c>
      <c r="K89" s="7" t="inlineStr">
        <is>
          <t>P1 - Urgent</t>
        </is>
      </c>
      <c r="L89" s="7" t="inlineStr">
        <is>
          <t>Alarme codeur axe X</t>
        </is>
      </c>
      <c r="M89" s="7" t="inlineStr">
        <is>
          <t>Défaut capteur</t>
        </is>
      </c>
      <c r="N89" s="7" t="inlineStr">
        <is>
          <t>Contrôle câblage, remplacement codeur</t>
        </is>
      </c>
      <c r="O89" s="7" t="inlineStr">
        <is>
          <t>Thomas Petit</t>
        </is>
      </c>
      <c r="P89" s="65" t="n"/>
      <c r="Q89" s="75" t="n">
        <v>45691.60416666666</v>
      </c>
      <c r="R89" s="75" t="n">
        <v>45692.03125</v>
      </c>
      <c r="S89" s="76" t="n">
        <v>11.1</v>
      </c>
      <c r="T89" s="76" t="n">
        <v>10.25</v>
      </c>
      <c r="U89" s="70">
        <f>IF($A89="","",IFERROR(INDEX('Techniciens'!$F$5:$F$44,MATCH(O89,'Techniciens'!$B$5:$B$44,0)),'Paramètres'!$AA$10))</f>
        <v/>
      </c>
      <c r="V89" s="70">
        <f>IF($A89="","",IF(OR(AC89="Demandé",AC89="Planifié",AC89="Annulé"),0,N(T89)*N(U89)))</f>
        <v/>
      </c>
      <c r="W89" s="70">
        <f>IF($A89="","",SUMIFS('Mouvements stock'!$H$5:$H$3004,'Mouvements stock'!$I$5:$I$3004,$A89,'Mouvements stock'!$C$5:$C$3004,"Sortie")-SUMIFS('Mouvements stock'!$H$5:$H$3004,'Mouvements stock'!$I$5:$I$3004,$A89,'Mouvements stock'!$C$5:$C$3004,"Retour"))</f>
        <v/>
      </c>
      <c r="X89" s="66" t="n">
        <v>334</v>
      </c>
      <c r="Y89" s="66" t="n">
        <v>380</v>
      </c>
      <c r="Z89" s="7" t="inlineStr">
        <is>
          <t>SAV Machines-Outils Atlantique</t>
        </is>
      </c>
      <c r="AA89" s="70">
        <f>IF($A89="","",N(V89)+N(W89)+N(X89)+N(Y89))</f>
        <v/>
      </c>
      <c r="AB89" s="70">
        <f>IF($A89="","",N(S89)*'Paramètres'!$AA$9*IFERROR(INDEX('Paramètres'!$O$5:$O$7,MATCH(G89,'Paramètres'!$N$5:$N$7,0)),0))</f>
        <v/>
      </c>
      <c r="AC89" s="7" t="inlineStr">
        <is>
          <t>Clôturé</t>
        </is>
      </c>
      <c r="AD89" s="69">
        <f>IF(OR($A89="",Q89=""),"",(Q89-B89)*24)</f>
        <v/>
      </c>
      <c r="AE89" s="69">
        <f>IF(OR(Q89="",R89=""),"",(R89-Q89)*24)</f>
        <v/>
      </c>
      <c r="AF89" s="77">
        <f>IF(OR($A89="",B89=""),"",YEAR(B89))</f>
        <v/>
      </c>
      <c r="AG89" s="77">
        <f>IF(OR($A89="",B89=""),"",MONTH(B89))</f>
        <v/>
      </c>
    </row>
    <row r="90">
      <c r="A90" s="7" t="inlineStr">
        <is>
          <t>OT-2025-0086</t>
        </is>
      </c>
      <c r="B90" s="75" t="n">
        <v>45692.2875</v>
      </c>
      <c r="C90" s="7" t="inlineStr">
        <is>
          <t>Céline Morel (cheffe d'atelier)</t>
        </is>
      </c>
      <c r="D90" s="7" t="inlineStr">
        <is>
          <t>EQ-TOL-004</t>
        </is>
      </c>
      <c r="E90" s="9">
        <f>IF(D90="","",IFERROR(INDEX('Équipements'!$B$5:$B$304,MATCH(D90,'Équipements'!$A$5:$A$304,0)),"Code inconnu"))</f>
        <v/>
      </c>
      <c r="F90" s="9">
        <f>IF(D90="","",IFERROR(INDEX('Équipements'!$D$5:$D$304,MATCH(D90,'Équipements'!$A$5:$A$304,0)),""))</f>
        <v/>
      </c>
      <c r="G90" s="9">
        <f>IF(D90="","",IFERROR(INDEX('Équipements'!$K$5:$K$304,MATCH(D90,'Équipements'!$A$5:$A$304,0)),""))</f>
        <v/>
      </c>
      <c r="H90" s="7" t="inlineStr">
        <is>
          <t>Correctif</t>
        </is>
      </c>
      <c r="I90" s="7" t="n"/>
      <c r="J90" s="7" t="inlineStr">
        <is>
          <t>Électrique</t>
        </is>
      </c>
      <c r="K90" s="7" t="inlineStr">
        <is>
          <t>P2 - Haute</t>
        </is>
      </c>
      <c r="L90" s="7" t="inlineStr">
        <is>
          <t>Défaut barrage immatériel</t>
        </is>
      </c>
      <c r="M90" s="7" t="inlineStr">
        <is>
          <t>Défaut capteur</t>
        </is>
      </c>
      <c r="N90" s="7" t="inlineStr">
        <is>
          <t>Nettoyage / réalignement, remplacement émetteur</t>
        </is>
      </c>
      <c r="O90" s="7" t="inlineStr">
        <is>
          <t>Thomas Petit</t>
        </is>
      </c>
      <c r="P90" s="65" t="n"/>
      <c r="Q90" s="75" t="n">
        <v>45692.42430555556</v>
      </c>
      <c r="R90" s="75" t="n">
        <v>45692.64305555556</v>
      </c>
      <c r="S90" s="76" t="n">
        <v>8.5</v>
      </c>
      <c r="T90" s="76" t="n">
        <v>5.25</v>
      </c>
      <c r="U90" s="70">
        <f>IF($A90="","",IFERROR(INDEX('Techniciens'!$F$5:$F$44,MATCH(O90,'Techniciens'!$B$5:$B$44,0)),'Paramètres'!$AA$10))</f>
        <v/>
      </c>
      <c r="V90" s="70">
        <f>IF($A90="","",IF(OR(AC90="Demandé",AC90="Planifié",AC90="Annulé"),0,N(T90)*N(U90)))</f>
        <v/>
      </c>
      <c r="W90" s="70">
        <f>IF($A90="","",SUMIFS('Mouvements stock'!$H$5:$H$3004,'Mouvements stock'!$I$5:$I$3004,$A90,'Mouvements stock'!$C$5:$C$3004,"Sortie")-SUMIFS('Mouvements stock'!$H$5:$H$3004,'Mouvements stock'!$I$5:$I$3004,$A90,'Mouvements stock'!$C$5:$C$3004,"Retour"))</f>
        <v/>
      </c>
      <c r="X90" s="66" t="n">
        <v>0</v>
      </c>
      <c r="Y90" s="66" t="n">
        <v>0</v>
      </c>
      <c r="Z90" s="7" t="n"/>
      <c r="AA90" s="70">
        <f>IF($A90="","",N(V90)+N(W90)+N(X90)+N(Y90))</f>
        <v/>
      </c>
      <c r="AB90" s="70">
        <f>IF($A90="","",N(S90)*'Paramètres'!$AA$9*IFERROR(INDEX('Paramètres'!$O$5:$O$7,MATCH(G90,'Paramètres'!$N$5:$N$7,0)),0))</f>
        <v/>
      </c>
      <c r="AC90" s="7" t="inlineStr">
        <is>
          <t>Clôturé</t>
        </is>
      </c>
      <c r="AD90" s="69">
        <f>IF(OR($A90="",Q90=""),"",(Q90-B90)*24)</f>
        <v/>
      </c>
      <c r="AE90" s="69">
        <f>IF(OR(Q90="",R90=""),"",(R90-Q90)*24)</f>
        <v/>
      </c>
      <c r="AF90" s="77">
        <f>IF(OR($A90="",B90=""),"",YEAR(B90))</f>
        <v/>
      </c>
      <c r="AG90" s="77">
        <f>IF(OR($A90="",B90=""),"",MONTH(B90))</f>
        <v/>
      </c>
    </row>
    <row r="91">
      <c r="A91" s="7" t="inlineStr">
        <is>
          <t>OT-2025-0087</t>
        </is>
      </c>
      <c r="B91" s="75" t="n">
        <v>45692.38888888889</v>
      </c>
      <c r="C91" s="7" t="inlineStr">
        <is>
          <t>Plan préventif</t>
        </is>
      </c>
      <c r="D91" s="7" t="inlineStr">
        <is>
          <t>EQ-PEI-004</t>
        </is>
      </c>
      <c r="E91" s="9">
        <f>IF(D91="","",IFERROR(INDEX('Équipements'!$B$5:$B$304,MATCH(D91,'Équipements'!$A$5:$A$304,0)),"Code inconnu"))</f>
        <v/>
      </c>
      <c r="F91" s="9">
        <f>IF(D91="","",IFERROR(INDEX('Équipements'!$D$5:$D$304,MATCH(D91,'Équipements'!$A$5:$A$304,0)),""))</f>
        <v/>
      </c>
      <c r="G91" s="9">
        <f>IF(D91="","",IFERROR(INDEX('Équipements'!$K$5:$K$304,MATCH(D91,'Équipements'!$A$5:$A$304,0)),""))</f>
        <v/>
      </c>
      <c r="H91" s="7" t="inlineStr">
        <is>
          <t>Préventif systématique</t>
        </is>
      </c>
      <c r="I91" s="7" t="inlineStr">
        <is>
          <t>GP-072</t>
        </is>
      </c>
      <c r="J91" s="7" t="inlineStr">
        <is>
          <t>Mécanique</t>
        </is>
      </c>
      <c r="K91" s="7" t="inlineStr">
        <is>
          <t>P3 - Normale</t>
        </is>
      </c>
      <c r="L91" s="7" t="inlineStr">
        <is>
          <t>Graissage chaîne / galets et contrôle tension</t>
        </is>
      </c>
      <c r="M91" s="7" t="n"/>
      <c r="N91" s="7" t="inlineStr">
        <is>
          <t>Gamme réalisée - RAS</t>
        </is>
      </c>
      <c r="O91" s="7" t="inlineStr">
        <is>
          <t>Karim Benali</t>
        </is>
      </c>
      <c r="P91" s="65" t="n">
        <v>45699.64236111111</v>
      </c>
      <c r="Q91" s="75" t="n">
        <v>45699.40277777778</v>
      </c>
      <c r="R91" s="75" t="n">
        <v>45699.48611111111</v>
      </c>
      <c r="S91" s="76" t="n">
        <v>1</v>
      </c>
      <c r="T91" s="76" t="n">
        <v>2</v>
      </c>
      <c r="U91" s="70">
        <f>IF($A91="","",IFERROR(INDEX('Techniciens'!$F$5:$F$44,MATCH(O91,'Techniciens'!$B$5:$B$44,0)),'Paramètres'!$AA$10))</f>
        <v/>
      </c>
      <c r="V91" s="70">
        <f>IF($A91="","",IF(OR(AC91="Demandé",AC91="Planifié",AC91="Annulé"),0,N(T91)*N(U91)))</f>
        <v/>
      </c>
      <c r="W91" s="70">
        <f>IF($A91="","",SUMIFS('Mouvements stock'!$H$5:$H$3004,'Mouvements stock'!$I$5:$I$3004,$A91,'Mouvements stock'!$C$5:$C$3004,"Sortie")-SUMIFS('Mouvements stock'!$H$5:$H$3004,'Mouvements stock'!$I$5:$I$3004,$A91,'Mouvements stock'!$C$5:$C$3004,"Retour"))</f>
        <v/>
      </c>
      <c r="X91" s="66" t="n">
        <v>0</v>
      </c>
      <c r="Y91" s="66" t="n">
        <v>0</v>
      </c>
      <c r="Z91" s="7" t="n"/>
      <c r="AA91" s="70">
        <f>IF($A91="","",N(V91)+N(W91)+N(X91)+N(Y91))</f>
        <v/>
      </c>
      <c r="AB91" s="70">
        <f>IF($A91="","",N(S91)*'Paramètres'!$AA$9*IFERROR(INDEX('Paramètres'!$O$5:$O$7,MATCH(G91,'Paramètres'!$N$5:$N$7,0)),0))</f>
        <v/>
      </c>
      <c r="AC91" s="7" t="inlineStr">
        <is>
          <t>Clôturé</t>
        </is>
      </c>
      <c r="AD91" s="69">
        <f>IF(OR($A91="",Q91=""),"",(Q91-B91)*24)</f>
        <v/>
      </c>
      <c r="AE91" s="69">
        <f>IF(OR(Q91="",R91=""),"",(R91-Q91)*24)</f>
        <v/>
      </c>
      <c r="AF91" s="77">
        <f>IF(OR($A91="",B91=""),"",YEAR(B91))</f>
        <v/>
      </c>
      <c r="AG91" s="77">
        <f>IF(OR($A91="",B91=""),"",MONTH(B91))</f>
        <v/>
      </c>
    </row>
    <row r="92">
      <c r="A92" s="7" t="inlineStr">
        <is>
          <t>OT-2025-0088</t>
        </is>
      </c>
      <c r="B92" s="75" t="n">
        <v>45692.45069444444</v>
      </c>
      <c r="C92" s="7" t="inlineStr">
        <is>
          <t>Céline Morel (cheffe d'atelier)</t>
        </is>
      </c>
      <c r="D92" s="7" t="inlineStr">
        <is>
          <t>EQ-TOL-001</t>
        </is>
      </c>
      <c r="E92" s="9">
        <f>IF(D92="","",IFERROR(INDEX('Équipements'!$B$5:$B$304,MATCH(D92,'Équipements'!$A$5:$A$304,0)),"Code inconnu"))</f>
        <v/>
      </c>
      <c r="F92" s="9">
        <f>IF(D92="","",IFERROR(INDEX('Équipements'!$D$5:$D$304,MATCH(D92,'Équipements'!$A$5:$A$304,0)),""))</f>
        <v/>
      </c>
      <c r="G92" s="9">
        <f>IF(D92="","",IFERROR(INDEX('Équipements'!$K$5:$K$304,MATCH(D92,'Équipements'!$A$5:$A$304,0)),""))</f>
        <v/>
      </c>
      <c r="H92" s="7" t="inlineStr">
        <is>
          <t>Correctif</t>
        </is>
      </c>
      <c r="I92" s="7" t="n"/>
      <c r="J92" s="7" t="inlineStr">
        <is>
          <t>Mécanique</t>
        </is>
      </c>
      <c r="K92" s="7" t="inlineStr">
        <is>
          <t>P2 - Haute</t>
        </is>
      </c>
      <c r="L92" s="7" t="inlineStr">
        <is>
          <t>Défaut changeur de palettes</t>
        </is>
      </c>
      <c r="M92" s="7" t="inlineStr">
        <is>
          <t>Usure</t>
        </is>
      </c>
      <c r="N92" s="7" t="inlineStr">
        <is>
          <t>Remplacement détecteur et réglage chaîne</t>
        </is>
      </c>
      <c r="O92" s="7" t="inlineStr">
        <is>
          <t>Karim Benali</t>
        </is>
      </c>
      <c r="P92" s="65" t="n"/>
      <c r="Q92" s="75" t="n">
        <v>45692.63819444444</v>
      </c>
      <c r="R92" s="75" t="n">
        <v>45693.03402777778</v>
      </c>
      <c r="S92" s="76" t="n">
        <v>14</v>
      </c>
      <c r="T92" s="76" t="n">
        <v>9.5</v>
      </c>
      <c r="U92" s="70">
        <f>IF($A92="","",IFERROR(INDEX('Techniciens'!$F$5:$F$44,MATCH(O92,'Techniciens'!$B$5:$B$44,0)),'Paramètres'!$AA$10))</f>
        <v/>
      </c>
      <c r="V92" s="70">
        <f>IF($A92="","",IF(OR(AC92="Demandé",AC92="Planifié",AC92="Annulé"),0,N(T92)*N(U92)))</f>
        <v/>
      </c>
      <c r="W92" s="70">
        <f>IF($A92="","",SUMIFS('Mouvements stock'!$H$5:$H$3004,'Mouvements stock'!$I$5:$I$3004,$A92,'Mouvements stock'!$C$5:$C$3004,"Sortie")-SUMIFS('Mouvements stock'!$H$5:$H$3004,'Mouvements stock'!$I$5:$I$3004,$A92,'Mouvements stock'!$C$5:$C$3004,"Retour"))</f>
        <v/>
      </c>
      <c r="X92" s="66" t="n">
        <v>0</v>
      </c>
      <c r="Y92" s="66" t="n">
        <v>0</v>
      </c>
      <c r="Z92" s="7" t="n"/>
      <c r="AA92" s="70">
        <f>IF($A92="","",N(V92)+N(W92)+N(X92)+N(Y92))</f>
        <v/>
      </c>
      <c r="AB92" s="70">
        <f>IF($A92="","",N(S92)*'Paramètres'!$AA$9*IFERROR(INDEX('Paramètres'!$O$5:$O$7,MATCH(G92,'Paramètres'!$N$5:$N$7,0)),0))</f>
        <v/>
      </c>
      <c r="AC92" s="7" t="inlineStr">
        <is>
          <t>Clôturé</t>
        </is>
      </c>
      <c r="AD92" s="69">
        <f>IF(OR($A92="",Q92=""),"",(Q92-B92)*24)</f>
        <v/>
      </c>
      <c r="AE92" s="69">
        <f>IF(OR(Q92="",R92=""),"",(R92-Q92)*24)</f>
        <v/>
      </c>
      <c r="AF92" s="77">
        <f>IF(OR($A92="",B92=""),"",YEAR(B92))</f>
        <v/>
      </c>
      <c r="AG92" s="77">
        <f>IF(OR($A92="",B92=""),"",MONTH(B92))</f>
        <v/>
      </c>
    </row>
    <row r="93">
      <c r="A93" s="7" t="inlineStr">
        <is>
          <t>OT-2025-0089</t>
        </is>
      </c>
      <c r="B93" s="75" t="n">
        <v>45692.48958333334</v>
      </c>
      <c r="C93" s="7" t="inlineStr">
        <is>
          <t>Plan préventif</t>
        </is>
      </c>
      <c r="D93" s="7" t="inlineStr">
        <is>
          <t>EQ-BAT-001</t>
        </is>
      </c>
      <c r="E93" s="9">
        <f>IF(D93="","",IFERROR(INDEX('Équipements'!$B$5:$B$304,MATCH(D93,'Équipements'!$A$5:$A$304,0)),"Code inconnu"))</f>
        <v/>
      </c>
      <c r="F93" s="9">
        <f>IF(D93="","",IFERROR(INDEX('Équipements'!$D$5:$D$304,MATCH(D93,'Équipements'!$A$5:$A$304,0)),""))</f>
        <v/>
      </c>
      <c r="G93" s="9">
        <f>IF(D93="","",IFERROR(INDEX('Équipements'!$K$5:$K$304,MATCH(D93,'Équipements'!$A$5:$A$304,0)),""))</f>
        <v/>
      </c>
      <c r="H93" s="7" t="inlineStr">
        <is>
          <t>Préventif systématique</t>
        </is>
      </c>
      <c r="I93" s="7" t="inlineStr">
        <is>
          <t>GP-122</t>
        </is>
      </c>
      <c r="J93" s="7" t="inlineStr">
        <is>
          <t>Bâtiment</t>
        </is>
      </c>
      <c r="K93" s="7" t="inlineStr">
        <is>
          <t>P3 - Normale</t>
        </is>
      </c>
      <c r="L93" s="7" t="inlineStr">
        <is>
          <t>Graissage et contrôle des sécurités</t>
        </is>
      </c>
      <c r="M93" s="7" t="n"/>
      <c r="N93" s="7" t="inlineStr">
        <is>
          <t>Gamme réalisée - RAS</t>
        </is>
      </c>
      <c r="O93" s="7" t="inlineStr">
        <is>
          <t>Karim Benali</t>
        </is>
      </c>
      <c r="P93" s="65" t="n">
        <v>45699</v>
      </c>
      <c r="Q93" s="75" t="n">
        <v>45699.48611111111</v>
      </c>
      <c r="R93" s="75" t="n">
        <v>45699.54861111111</v>
      </c>
      <c r="S93" s="76" t="n">
        <v>0</v>
      </c>
      <c r="T93" s="76" t="n">
        <v>1.5</v>
      </c>
      <c r="U93" s="70">
        <f>IF($A93="","",IFERROR(INDEX('Techniciens'!$F$5:$F$44,MATCH(O93,'Techniciens'!$B$5:$B$44,0)),'Paramètres'!$AA$10))</f>
        <v/>
      </c>
      <c r="V93" s="70">
        <f>IF($A93="","",IF(OR(AC93="Demandé",AC93="Planifié",AC93="Annulé"),0,N(T93)*N(U93)))</f>
        <v/>
      </c>
      <c r="W93" s="70">
        <f>IF($A93="","",SUMIFS('Mouvements stock'!$H$5:$H$3004,'Mouvements stock'!$I$5:$I$3004,$A93,'Mouvements stock'!$C$5:$C$3004,"Sortie")-SUMIFS('Mouvements stock'!$H$5:$H$3004,'Mouvements stock'!$I$5:$I$3004,$A93,'Mouvements stock'!$C$5:$C$3004,"Retour"))</f>
        <v/>
      </c>
      <c r="X93" s="66" t="n">
        <v>0</v>
      </c>
      <c r="Y93" s="66" t="n">
        <v>0</v>
      </c>
      <c r="Z93" s="7" t="n"/>
      <c r="AA93" s="70">
        <f>IF($A93="","",N(V93)+N(W93)+N(X93)+N(Y93))</f>
        <v/>
      </c>
      <c r="AB93" s="70">
        <f>IF($A93="","",N(S93)*'Paramètres'!$AA$9*IFERROR(INDEX('Paramètres'!$O$5:$O$7,MATCH(G93,'Paramètres'!$N$5:$N$7,0)),0))</f>
        <v/>
      </c>
      <c r="AC93" s="7" t="inlineStr">
        <is>
          <t>Clôturé</t>
        </is>
      </c>
      <c r="AD93" s="69">
        <f>IF(OR($A93="",Q93=""),"",(Q93-B93)*24)</f>
        <v/>
      </c>
      <c r="AE93" s="69">
        <f>IF(OR(Q93="",R93=""),"",(R93-Q93)*24)</f>
        <v/>
      </c>
      <c r="AF93" s="77">
        <f>IF(OR($A93="",B93=""),"",YEAR(B93))</f>
        <v/>
      </c>
      <c r="AG93" s="77">
        <f>IF(OR($A93="",B93=""),"",MONTH(B93))</f>
        <v/>
      </c>
    </row>
    <row r="94">
      <c r="A94" s="7" t="inlineStr">
        <is>
          <t>OT-2025-0090</t>
        </is>
      </c>
      <c r="B94" s="75" t="n">
        <v>45692.87291666667</v>
      </c>
      <c r="C94" s="7" t="inlineStr">
        <is>
          <t>Paul Roux (chef d'atelier)</t>
        </is>
      </c>
      <c r="D94" s="7" t="inlineStr">
        <is>
          <t>EQ-ASS-004</t>
        </is>
      </c>
      <c r="E94" s="9">
        <f>IF(D94="","",IFERROR(INDEX('Équipements'!$B$5:$B$304,MATCH(D94,'Équipements'!$A$5:$A$304,0)),"Code inconnu"))</f>
        <v/>
      </c>
      <c r="F94" s="9">
        <f>IF(D94="","",IFERROR(INDEX('Équipements'!$D$5:$D$304,MATCH(D94,'Équipements'!$A$5:$A$304,0)),""))</f>
        <v/>
      </c>
      <c r="G94" s="9">
        <f>IF(D94="","",IFERROR(INDEX('Équipements'!$K$5:$K$304,MATCH(D94,'Équipements'!$A$5:$A$304,0)),""))</f>
        <v/>
      </c>
      <c r="H94" s="7" t="inlineStr">
        <is>
          <t>Correctif</t>
        </is>
      </c>
      <c r="I94" s="7" t="n"/>
      <c r="J94" s="7" t="inlineStr">
        <is>
          <t>Pneumatique</t>
        </is>
      </c>
      <c r="K94" s="7" t="inlineStr">
        <is>
          <t>P1 - Urgent</t>
        </is>
      </c>
      <c r="L94" s="7" t="inlineStr">
        <is>
          <t>Fuite circuit d'air</t>
        </is>
      </c>
      <c r="M94" s="7" t="inlineStr">
        <is>
          <t>Fuite</t>
        </is>
      </c>
      <c r="N94" s="7" t="inlineStr">
        <is>
          <t>Remplacement raccords et tube</t>
        </is>
      </c>
      <c r="O94" s="7" t="inlineStr">
        <is>
          <t>Lucas Fontaine</t>
        </is>
      </c>
      <c r="P94" s="65" t="n"/>
      <c r="Q94" s="75" t="n">
        <v>45692.89027777778</v>
      </c>
      <c r="R94" s="75" t="n">
        <v>45693.16111111111</v>
      </c>
      <c r="S94" s="76" t="n">
        <v>6.9</v>
      </c>
      <c r="T94" s="76" t="n">
        <v>6.5</v>
      </c>
      <c r="U94" s="70">
        <f>IF($A94="","",IFERROR(INDEX('Techniciens'!$F$5:$F$44,MATCH(O94,'Techniciens'!$B$5:$B$44,0)),'Paramètres'!$AA$10))</f>
        <v/>
      </c>
      <c r="V94" s="70">
        <f>IF($A94="","",IF(OR(AC94="Demandé",AC94="Planifié",AC94="Annulé"),0,N(T94)*N(U94)))</f>
        <v/>
      </c>
      <c r="W94" s="70">
        <f>IF($A94="","",SUMIFS('Mouvements stock'!$H$5:$H$3004,'Mouvements stock'!$I$5:$I$3004,$A94,'Mouvements stock'!$C$5:$C$3004,"Sortie")-SUMIFS('Mouvements stock'!$H$5:$H$3004,'Mouvements stock'!$I$5:$I$3004,$A94,'Mouvements stock'!$C$5:$C$3004,"Retour"))</f>
        <v/>
      </c>
      <c r="X94" s="66" t="n">
        <v>0</v>
      </c>
      <c r="Y94" s="66" t="n">
        <v>0</v>
      </c>
      <c r="Z94" s="7" t="n"/>
      <c r="AA94" s="70">
        <f>IF($A94="","",N(V94)+N(W94)+N(X94)+N(Y94))</f>
        <v/>
      </c>
      <c r="AB94" s="70">
        <f>IF($A94="","",N(S94)*'Paramètres'!$AA$9*IFERROR(INDEX('Paramètres'!$O$5:$O$7,MATCH(G94,'Paramètres'!$N$5:$N$7,0)),0))</f>
        <v/>
      </c>
      <c r="AC94" s="7" t="inlineStr">
        <is>
          <t>Clôturé</t>
        </is>
      </c>
      <c r="AD94" s="69">
        <f>IF(OR($A94="",Q94=""),"",(Q94-B94)*24)</f>
        <v/>
      </c>
      <c r="AE94" s="69">
        <f>IF(OR(Q94="",R94=""),"",(R94-Q94)*24)</f>
        <v/>
      </c>
      <c r="AF94" s="77">
        <f>IF(OR($A94="",B94=""),"",YEAR(B94))</f>
        <v/>
      </c>
      <c r="AG94" s="77">
        <f>IF(OR($A94="",B94=""),"",MONTH(B94))</f>
        <v/>
      </c>
    </row>
    <row r="95">
      <c r="A95" s="7" t="inlineStr">
        <is>
          <t>OT-2025-0091</t>
        </is>
      </c>
      <c r="B95" s="75" t="n">
        <v>45693.48958333334</v>
      </c>
      <c r="C95" s="7" t="inlineStr">
        <is>
          <t>Plan préventif</t>
        </is>
      </c>
      <c r="D95" s="7" t="inlineStr">
        <is>
          <t>EQ-USI-002</t>
        </is>
      </c>
      <c r="E95" s="9">
        <f>IF(D95="","",IFERROR(INDEX('Équipements'!$B$5:$B$304,MATCH(D95,'Équipements'!$A$5:$A$304,0)),"Code inconnu"))</f>
        <v/>
      </c>
      <c r="F95" s="9">
        <f>IF(D95="","",IFERROR(INDEX('Équipements'!$D$5:$D$304,MATCH(D95,'Équipements'!$A$5:$A$304,0)),""))</f>
        <v/>
      </c>
      <c r="G95" s="9">
        <f>IF(D95="","",IFERROR(INDEX('Équipements'!$K$5:$K$304,MATCH(D95,'Équipements'!$A$5:$A$304,0)),""))</f>
        <v/>
      </c>
      <c r="H95" s="7" t="inlineStr">
        <is>
          <t>Préventif systématique</t>
        </is>
      </c>
      <c r="I95" s="7" t="inlineStr">
        <is>
          <t>GP-005</t>
        </is>
      </c>
      <c r="J95" s="7" t="inlineStr">
        <is>
          <t>Mécanique</t>
        </is>
      </c>
      <c r="K95" s="7" t="inlineStr">
        <is>
          <t>P3 - Normale</t>
        </is>
      </c>
      <c r="L95" s="7" t="inlineStr">
        <is>
          <t>Contrôle niveaux, nettoyage filtres et bac à copeaux</t>
        </is>
      </c>
      <c r="M95" s="7" t="n"/>
      <c r="N95" s="7" t="inlineStr">
        <is>
          <t>Gamme réalisée - RAS</t>
        </is>
      </c>
      <c r="O95" s="7" t="inlineStr">
        <is>
          <t>Antoine Mercier</t>
        </is>
      </c>
      <c r="P95" s="65" t="n">
        <v>45700.6875</v>
      </c>
      <c r="Q95" s="75" t="n">
        <v>45700.34722222222</v>
      </c>
      <c r="R95" s="75" t="n">
        <v>45700.42013888889</v>
      </c>
      <c r="S95" s="76" t="n">
        <v>1.8</v>
      </c>
      <c r="T95" s="76" t="n">
        <v>1.75</v>
      </c>
      <c r="U95" s="70">
        <f>IF($A95="","",IFERROR(INDEX('Techniciens'!$F$5:$F$44,MATCH(O95,'Techniciens'!$B$5:$B$44,0)),'Paramètres'!$AA$10))</f>
        <v/>
      </c>
      <c r="V95" s="70">
        <f>IF($A95="","",IF(OR(AC95="Demandé",AC95="Planifié",AC95="Annulé"),0,N(T95)*N(U95)))</f>
        <v/>
      </c>
      <c r="W95" s="70">
        <f>IF($A95="","",SUMIFS('Mouvements stock'!$H$5:$H$3004,'Mouvements stock'!$I$5:$I$3004,$A95,'Mouvements stock'!$C$5:$C$3004,"Sortie")-SUMIFS('Mouvements stock'!$H$5:$H$3004,'Mouvements stock'!$I$5:$I$3004,$A95,'Mouvements stock'!$C$5:$C$3004,"Retour"))</f>
        <v/>
      </c>
      <c r="X95" s="66" t="n">
        <v>0</v>
      </c>
      <c r="Y95" s="66" t="n">
        <v>0</v>
      </c>
      <c r="Z95" s="7" t="n"/>
      <c r="AA95" s="70">
        <f>IF($A95="","",N(V95)+N(W95)+N(X95)+N(Y95))</f>
        <v/>
      </c>
      <c r="AB95" s="70">
        <f>IF($A95="","",N(S95)*'Paramètres'!$AA$9*IFERROR(INDEX('Paramètres'!$O$5:$O$7,MATCH(G95,'Paramètres'!$N$5:$N$7,0)),0))</f>
        <v/>
      </c>
      <c r="AC95" s="7" t="inlineStr">
        <is>
          <t>Clôturé</t>
        </is>
      </c>
      <c r="AD95" s="69">
        <f>IF(OR($A95="",Q95=""),"",(Q95-B95)*24)</f>
        <v/>
      </c>
      <c r="AE95" s="69">
        <f>IF(OR(Q95="",R95=""),"",(R95-Q95)*24)</f>
        <v/>
      </c>
      <c r="AF95" s="77">
        <f>IF(OR($A95="",B95=""),"",YEAR(B95))</f>
        <v/>
      </c>
      <c r="AG95" s="77">
        <f>IF(OR($A95="",B95=""),"",MONTH(B95))</f>
        <v/>
      </c>
    </row>
    <row r="96">
      <c r="A96" s="7" t="inlineStr">
        <is>
          <t>OT-2025-0092</t>
        </is>
      </c>
      <c r="B96" s="75" t="n">
        <v>45694.36111111111</v>
      </c>
      <c r="C96" s="7" t="inlineStr">
        <is>
          <t>Plan préventif</t>
        </is>
      </c>
      <c r="D96" s="7" t="inlineStr">
        <is>
          <t>EQ-TOL-001</t>
        </is>
      </c>
      <c r="E96" s="9">
        <f>IF(D96="","",IFERROR(INDEX('Équipements'!$B$5:$B$304,MATCH(D96,'Équipements'!$A$5:$A$304,0)),"Code inconnu"))</f>
        <v/>
      </c>
      <c r="F96" s="9">
        <f>IF(D96="","",IFERROR(INDEX('Équipements'!$D$5:$D$304,MATCH(D96,'Équipements'!$A$5:$A$304,0)),""))</f>
        <v/>
      </c>
      <c r="G96" s="9">
        <f>IF(D96="","",IFERROR(INDEX('Équipements'!$K$5:$K$304,MATCH(D96,'Équipements'!$A$5:$A$304,0)),""))</f>
        <v/>
      </c>
      <c r="H96" s="7" t="inlineStr">
        <is>
          <t>Préventif systématique</t>
        </is>
      </c>
      <c r="I96" s="7" t="inlineStr">
        <is>
          <t>GP-038</t>
        </is>
      </c>
      <c r="J96" s="7" t="inlineStr">
        <is>
          <t>Mécanique</t>
        </is>
      </c>
      <c r="K96" s="7" t="inlineStr">
        <is>
          <t>P3 - Normale</t>
        </is>
      </c>
      <c r="L96" s="7" t="inlineStr">
        <is>
          <t>Nettoyage optique, contrôle buse et lentille</t>
        </is>
      </c>
      <c r="M96" s="7" t="n"/>
      <c r="N96" s="7" t="inlineStr">
        <is>
          <t>Gamme réalisée - RAS</t>
        </is>
      </c>
      <c r="O96" s="7" t="inlineStr">
        <is>
          <t>Karim Benali</t>
        </is>
      </c>
      <c r="P96" s="65" t="n">
        <v>45701.42708333334</v>
      </c>
      <c r="Q96" s="75" t="n">
        <v>45701.49305555555</v>
      </c>
      <c r="R96" s="75" t="n">
        <v>45701.57638888889</v>
      </c>
      <c r="S96" s="76" t="n">
        <v>0</v>
      </c>
      <c r="T96" s="76" t="n">
        <v>2</v>
      </c>
      <c r="U96" s="70">
        <f>IF($A96="","",IFERROR(INDEX('Techniciens'!$F$5:$F$44,MATCH(O96,'Techniciens'!$B$5:$B$44,0)),'Paramètres'!$AA$10))</f>
        <v/>
      </c>
      <c r="V96" s="70">
        <f>IF($A96="","",IF(OR(AC96="Demandé",AC96="Planifié",AC96="Annulé"),0,N(T96)*N(U96)))</f>
        <v/>
      </c>
      <c r="W96" s="70">
        <f>IF($A96="","",SUMIFS('Mouvements stock'!$H$5:$H$3004,'Mouvements stock'!$I$5:$I$3004,$A96,'Mouvements stock'!$C$5:$C$3004,"Sortie")-SUMIFS('Mouvements stock'!$H$5:$H$3004,'Mouvements stock'!$I$5:$I$3004,$A96,'Mouvements stock'!$C$5:$C$3004,"Retour"))</f>
        <v/>
      </c>
      <c r="X96" s="66" t="n">
        <v>0</v>
      </c>
      <c r="Y96" s="66" t="n">
        <v>0</v>
      </c>
      <c r="Z96" s="7" t="n"/>
      <c r="AA96" s="70">
        <f>IF($A96="","",N(V96)+N(W96)+N(X96)+N(Y96))</f>
        <v/>
      </c>
      <c r="AB96" s="70">
        <f>IF($A96="","",N(S96)*'Paramètres'!$AA$9*IFERROR(INDEX('Paramètres'!$O$5:$O$7,MATCH(G96,'Paramètres'!$N$5:$N$7,0)),0))</f>
        <v/>
      </c>
      <c r="AC96" s="7" t="inlineStr">
        <is>
          <t>Clôturé</t>
        </is>
      </c>
      <c r="AD96" s="69">
        <f>IF(OR($A96="",Q96=""),"",(Q96-B96)*24)</f>
        <v/>
      </c>
      <c r="AE96" s="69">
        <f>IF(OR(Q96="",R96=""),"",(R96-Q96)*24)</f>
        <v/>
      </c>
      <c r="AF96" s="77">
        <f>IF(OR($A96="",B96=""),"",YEAR(B96))</f>
        <v/>
      </c>
      <c r="AG96" s="77">
        <f>IF(OR($A96="",B96=""),"",MONTH(B96))</f>
        <v/>
      </c>
    </row>
    <row r="97">
      <c r="A97" s="7" t="inlineStr">
        <is>
          <t>OT-2025-0093</t>
        </is>
      </c>
      <c r="B97" s="75" t="n">
        <v>45694.36805555555</v>
      </c>
      <c r="C97" s="7" t="inlineStr">
        <is>
          <t>Plan préventif</t>
        </is>
      </c>
      <c r="D97" s="7" t="inlineStr">
        <is>
          <t>EQ-USI-010</t>
        </is>
      </c>
      <c r="E97" s="9">
        <f>IF(D97="","",IFERROR(INDEX('Équipements'!$B$5:$B$304,MATCH(D97,'Équipements'!$A$5:$A$304,0)),"Code inconnu"))</f>
        <v/>
      </c>
      <c r="F97" s="9">
        <f>IF(D97="","",IFERROR(INDEX('Équipements'!$D$5:$D$304,MATCH(D97,'Équipements'!$A$5:$A$304,0)),""))</f>
        <v/>
      </c>
      <c r="G97" s="9">
        <f>IF(D97="","",IFERROR(INDEX('Équipements'!$K$5:$K$304,MATCH(D97,'Équipements'!$A$5:$A$304,0)),""))</f>
        <v/>
      </c>
      <c r="H97" s="7" t="inlineStr">
        <is>
          <t>Préventif systématique</t>
        </is>
      </c>
      <c r="I97" s="7" t="inlineStr">
        <is>
          <t>GP-033</t>
        </is>
      </c>
      <c r="J97" s="7" t="inlineStr">
        <is>
          <t>Mécanique</t>
        </is>
      </c>
      <c r="K97" s="7" t="inlineStr">
        <is>
          <t>P3 - Normale</t>
        </is>
      </c>
      <c r="L97" s="7" t="inlineStr">
        <is>
          <t>Nettoyage et contrôle général</t>
        </is>
      </c>
      <c r="M97" s="7" t="n"/>
      <c r="N97" s="7" t="inlineStr">
        <is>
          <t>Gamme réalisée - RAS</t>
        </is>
      </c>
      <c r="O97" s="7" t="inlineStr">
        <is>
          <t>Antoine Mercier</t>
        </is>
      </c>
      <c r="P97" s="65" t="n">
        <v>45701</v>
      </c>
      <c r="Q97" s="75" t="n">
        <v>45701.61458333334</v>
      </c>
      <c r="R97" s="75" t="n">
        <v>45701.65625</v>
      </c>
      <c r="S97" s="76" t="n">
        <v>0</v>
      </c>
      <c r="T97" s="76" t="n">
        <v>1</v>
      </c>
      <c r="U97" s="70">
        <f>IF($A97="","",IFERROR(INDEX('Techniciens'!$F$5:$F$44,MATCH(O97,'Techniciens'!$B$5:$B$44,0)),'Paramètres'!$AA$10))</f>
        <v/>
      </c>
      <c r="V97" s="70">
        <f>IF($A97="","",IF(OR(AC97="Demandé",AC97="Planifié",AC97="Annulé"),0,N(T97)*N(U97)))</f>
        <v/>
      </c>
      <c r="W97" s="70">
        <f>IF($A97="","",SUMIFS('Mouvements stock'!$H$5:$H$3004,'Mouvements stock'!$I$5:$I$3004,$A97,'Mouvements stock'!$C$5:$C$3004,"Sortie")-SUMIFS('Mouvements stock'!$H$5:$H$3004,'Mouvements stock'!$I$5:$I$3004,$A97,'Mouvements stock'!$C$5:$C$3004,"Retour"))</f>
        <v/>
      </c>
      <c r="X97" s="66" t="n">
        <v>0</v>
      </c>
      <c r="Y97" s="66" t="n">
        <v>0</v>
      </c>
      <c r="Z97" s="7" t="n"/>
      <c r="AA97" s="70">
        <f>IF($A97="","",N(V97)+N(W97)+N(X97)+N(Y97))</f>
        <v/>
      </c>
      <c r="AB97" s="70">
        <f>IF($A97="","",N(S97)*'Paramètres'!$AA$9*IFERROR(INDEX('Paramètres'!$O$5:$O$7,MATCH(G97,'Paramètres'!$N$5:$N$7,0)),0))</f>
        <v/>
      </c>
      <c r="AC97" s="7" t="inlineStr">
        <is>
          <t>Clôturé</t>
        </is>
      </c>
      <c r="AD97" s="69">
        <f>IF(OR($A97="",Q97=""),"",(Q97-B97)*24)</f>
        <v/>
      </c>
      <c r="AE97" s="69">
        <f>IF(OR(Q97="",R97=""),"",(R97-Q97)*24)</f>
        <v/>
      </c>
      <c r="AF97" s="77">
        <f>IF(OR($A97="",B97=""),"",YEAR(B97))</f>
        <v/>
      </c>
      <c r="AG97" s="77">
        <f>IF(OR($A97="",B97=""),"",MONTH(B97))</f>
        <v/>
      </c>
    </row>
    <row r="98">
      <c r="A98" s="7" t="inlineStr">
        <is>
          <t>OT-2025-0094</t>
        </is>
      </c>
      <c r="B98" s="75" t="n">
        <v>45695.38888888889</v>
      </c>
      <c r="C98" s="7" t="inlineStr">
        <is>
          <t>Plan préventif</t>
        </is>
      </c>
      <c r="D98" s="7" t="inlineStr">
        <is>
          <t>EQ-USI-001</t>
        </is>
      </c>
      <c r="E98" s="9">
        <f>IF(D98="","",IFERROR(INDEX('Équipements'!$B$5:$B$304,MATCH(D98,'Équipements'!$A$5:$A$304,0)),"Code inconnu"))</f>
        <v/>
      </c>
      <c r="F98" s="9">
        <f>IF(D98="","",IFERROR(INDEX('Équipements'!$D$5:$D$304,MATCH(D98,'Équipements'!$A$5:$A$304,0)),""))</f>
        <v/>
      </c>
      <c r="G98" s="9">
        <f>IF(D98="","",IFERROR(INDEX('Équipements'!$K$5:$K$304,MATCH(D98,'Équipements'!$A$5:$A$304,0)),""))</f>
        <v/>
      </c>
      <c r="H98" s="7" t="inlineStr">
        <is>
          <t>Préventif systématique</t>
        </is>
      </c>
      <c r="I98" s="7" t="inlineStr">
        <is>
          <t>GP-001</t>
        </is>
      </c>
      <c r="J98" s="7" t="inlineStr">
        <is>
          <t>Mécanique</t>
        </is>
      </c>
      <c r="K98" s="7" t="inlineStr">
        <is>
          <t>P3 - Normale</t>
        </is>
      </c>
      <c r="L98" s="7" t="inlineStr">
        <is>
          <t>Contrôle niveaux, nettoyage filtres et bac à copeaux</t>
        </is>
      </c>
      <c r="M98" s="7" t="n"/>
      <c r="N98" s="7" t="inlineStr">
        <is>
          <t>Gamme réalisée - RAS</t>
        </is>
      </c>
      <c r="O98" s="7" t="inlineStr">
        <is>
          <t>Antoine Mercier</t>
        </is>
      </c>
      <c r="P98" s="65" t="n">
        <v>45702.61458333334</v>
      </c>
      <c r="Q98" s="75" t="n">
        <v>45702.51388888889</v>
      </c>
      <c r="R98" s="75" t="n">
        <v>45702.56597222222</v>
      </c>
      <c r="S98" s="76" t="n">
        <v>0.6</v>
      </c>
      <c r="T98" s="76" t="n">
        <v>1.25</v>
      </c>
      <c r="U98" s="70">
        <f>IF($A98="","",IFERROR(INDEX('Techniciens'!$F$5:$F$44,MATCH(O98,'Techniciens'!$B$5:$B$44,0)),'Paramètres'!$AA$10))</f>
        <v/>
      </c>
      <c r="V98" s="70">
        <f>IF($A98="","",IF(OR(AC98="Demandé",AC98="Planifié",AC98="Annulé"),0,N(T98)*N(U98)))</f>
        <v/>
      </c>
      <c r="W98" s="70">
        <f>IF($A98="","",SUMIFS('Mouvements stock'!$H$5:$H$3004,'Mouvements stock'!$I$5:$I$3004,$A98,'Mouvements stock'!$C$5:$C$3004,"Sortie")-SUMIFS('Mouvements stock'!$H$5:$H$3004,'Mouvements stock'!$I$5:$I$3004,$A98,'Mouvements stock'!$C$5:$C$3004,"Retour"))</f>
        <v/>
      </c>
      <c r="X98" s="66" t="n">
        <v>0</v>
      </c>
      <c r="Y98" s="66" t="n">
        <v>0</v>
      </c>
      <c r="Z98" s="7" t="n"/>
      <c r="AA98" s="70">
        <f>IF($A98="","",N(V98)+N(W98)+N(X98)+N(Y98))</f>
        <v/>
      </c>
      <c r="AB98" s="70">
        <f>IF($A98="","",N(S98)*'Paramètres'!$AA$9*IFERROR(INDEX('Paramètres'!$O$5:$O$7,MATCH(G98,'Paramètres'!$N$5:$N$7,0)),0))</f>
        <v/>
      </c>
      <c r="AC98" s="7" t="inlineStr">
        <is>
          <t>Clôturé</t>
        </is>
      </c>
      <c r="AD98" s="69">
        <f>IF(OR($A98="",Q98=""),"",(Q98-B98)*24)</f>
        <v/>
      </c>
      <c r="AE98" s="69">
        <f>IF(OR(Q98="",R98=""),"",(R98-Q98)*24)</f>
        <v/>
      </c>
      <c r="AF98" s="77">
        <f>IF(OR($A98="",B98=""),"",YEAR(B98))</f>
        <v/>
      </c>
      <c r="AG98" s="77">
        <f>IF(OR($A98="",B98=""),"",MONTH(B98))</f>
        <v/>
      </c>
    </row>
    <row r="99">
      <c r="A99" s="7" t="inlineStr">
        <is>
          <t>OT-2025-0095</t>
        </is>
      </c>
      <c r="B99" s="75" t="n">
        <v>45695.40625</v>
      </c>
      <c r="C99" s="7" t="inlineStr">
        <is>
          <t>Plan préventif</t>
        </is>
      </c>
      <c r="D99" s="7" t="inlineStr">
        <is>
          <t>EQ-ASS-001</t>
        </is>
      </c>
      <c r="E99" s="9">
        <f>IF(D99="","",IFERROR(INDEX('Équipements'!$B$5:$B$304,MATCH(D99,'Équipements'!$A$5:$A$304,0)),"Code inconnu"))</f>
        <v/>
      </c>
      <c r="F99" s="9">
        <f>IF(D99="","",IFERROR(INDEX('Équipements'!$D$5:$D$304,MATCH(D99,'Équipements'!$A$5:$A$304,0)),""))</f>
        <v/>
      </c>
      <c r="G99" s="9">
        <f>IF(D99="","",IFERROR(INDEX('Équipements'!$K$5:$K$304,MATCH(D99,'Équipements'!$A$5:$A$304,0)),""))</f>
        <v/>
      </c>
      <c r="H99" s="7" t="inlineStr">
        <is>
          <t>Préventif systématique</t>
        </is>
      </c>
      <c r="I99" s="7" t="inlineStr">
        <is>
          <t>GP-076</t>
        </is>
      </c>
      <c r="J99" s="7" t="inlineStr">
        <is>
          <t>Mécanique</t>
        </is>
      </c>
      <c r="K99" s="7" t="inlineStr">
        <is>
          <t>P3 - Normale</t>
        </is>
      </c>
      <c r="L99" s="7" t="inlineStr">
        <is>
          <t>Graissage chaîne / galets et contrôle tension</t>
        </is>
      </c>
      <c r="M99" s="7" t="n"/>
      <c r="N99" s="7" t="inlineStr">
        <is>
          <t>Gamme réalisée - RAS</t>
        </is>
      </c>
      <c r="O99" s="7" t="inlineStr">
        <is>
          <t>Lucas Fontaine</t>
        </is>
      </c>
      <c r="P99" s="65" t="n">
        <v>45702.5</v>
      </c>
      <c r="Q99" s="75" t="n">
        <v>45702.52777777778</v>
      </c>
      <c r="R99" s="75" t="n">
        <v>45702.63194444445</v>
      </c>
      <c r="S99" s="76" t="n">
        <v>2.5</v>
      </c>
      <c r="T99" s="76" t="n">
        <v>2.5</v>
      </c>
      <c r="U99" s="70">
        <f>IF($A99="","",IFERROR(INDEX('Techniciens'!$F$5:$F$44,MATCH(O99,'Techniciens'!$B$5:$B$44,0)),'Paramètres'!$AA$10))</f>
        <v/>
      </c>
      <c r="V99" s="70">
        <f>IF($A99="","",IF(OR(AC99="Demandé",AC99="Planifié",AC99="Annulé"),0,N(T99)*N(U99)))</f>
        <v/>
      </c>
      <c r="W99" s="70">
        <f>IF($A99="","",SUMIFS('Mouvements stock'!$H$5:$H$3004,'Mouvements stock'!$I$5:$I$3004,$A99,'Mouvements stock'!$C$5:$C$3004,"Sortie")-SUMIFS('Mouvements stock'!$H$5:$H$3004,'Mouvements stock'!$I$5:$I$3004,$A99,'Mouvements stock'!$C$5:$C$3004,"Retour"))</f>
        <v/>
      </c>
      <c r="X99" s="66" t="n">
        <v>0</v>
      </c>
      <c r="Y99" s="66" t="n">
        <v>0</v>
      </c>
      <c r="Z99" s="7" t="n"/>
      <c r="AA99" s="70">
        <f>IF($A99="","",N(V99)+N(W99)+N(X99)+N(Y99))</f>
        <v/>
      </c>
      <c r="AB99" s="70">
        <f>IF($A99="","",N(S99)*'Paramètres'!$AA$9*IFERROR(INDEX('Paramètres'!$O$5:$O$7,MATCH(G99,'Paramètres'!$N$5:$N$7,0)),0))</f>
        <v/>
      </c>
      <c r="AC99" s="7" t="inlineStr">
        <is>
          <t>Clôturé</t>
        </is>
      </c>
      <c r="AD99" s="69">
        <f>IF(OR($A99="",Q99=""),"",(Q99-B99)*24)</f>
        <v/>
      </c>
      <c r="AE99" s="69">
        <f>IF(OR(Q99="",R99=""),"",(R99-Q99)*24)</f>
        <v/>
      </c>
      <c r="AF99" s="77">
        <f>IF(OR($A99="",B99=""),"",YEAR(B99))</f>
        <v/>
      </c>
      <c r="AG99" s="77">
        <f>IF(OR($A99="",B99=""),"",MONTH(B99))</f>
        <v/>
      </c>
    </row>
    <row r="100">
      <c r="A100" s="7" t="inlineStr">
        <is>
          <t>OT-2025-0096</t>
        </is>
      </c>
      <c r="B100" s="75" t="n">
        <v>45696.52777777778</v>
      </c>
      <c r="C100" s="7" t="inlineStr">
        <is>
          <t>Services généraux</t>
        </is>
      </c>
      <c r="D100" s="7" t="inlineStr">
        <is>
          <t>EQ-BAT-003</t>
        </is>
      </c>
      <c r="E100" s="9">
        <f>IF(D100="","",IFERROR(INDEX('Équipements'!$B$5:$B$304,MATCH(D100,'Équipements'!$A$5:$A$304,0)),"Code inconnu"))</f>
        <v/>
      </c>
      <c r="F100" s="9">
        <f>IF(D100="","",IFERROR(INDEX('Équipements'!$D$5:$D$304,MATCH(D100,'Équipements'!$A$5:$A$304,0)),""))</f>
        <v/>
      </c>
      <c r="G100" s="9">
        <f>IF(D100="","",IFERROR(INDEX('Équipements'!$K$5:$K$304,MATCH(D100,'Équipements'!$A$5:$A$304,0)),""))</f>
        <v/>
      </c>
      <c r="H100" s="7" t="inlineStr">
        <is>
          <t>Correctif</t>
        </is>
      </c>
      <c r="I100" s="7" t="n"/>
      <c r="J100" s="7" t="inlineStr">
        <is>
          <t>Mécanique</t>
        </is>
      </c>
      <c r="K100" s="7" t="inlineStr">
        <is>
          <t>P4 - Basse</t>
        </is>
      </c>
      <c r="L100" s="7" t="inlineStr">
        <is>
          <t>Groupe en défaut haute pression</t>
        </is>
      </c>
      <c r="M100" s="7" t="inlineStr">
        <is>
          <t>Encrassement</t>
        </is>
      </c>
      <c r="N100" s="7" t="inlineStr">
        <is>
          <t>Nettoyage condenseur, contrôle charge fluide</t>
        </is>
      </c>
      <c r="O100" s="7" t="inlineStr">
        <is>
          <t>Karim Benali</t>
        </is>
      </c>
      <c r="P100" s="65" t="n"/>
      <c r="Q100" s="75" t="n">
        <v>45698.33819444444</v>
      </c>
      <c r="R100" s="75" t="n">
        <v>45698.40069444444</v>
      </c>
      <c r="S100" s="76" t="n">
        <v>0</v>
      </c>
      <c r="T100" s="76" t="n">
        <v>1.5</v>
      </c>
      <c r="U100" s="70">
        <f>IF($A100="","",IFERROR(INDEX('Techniciens'!$F$5:$F$44,MATCH(O100,'Techniciens'!$B$5:$B$44,0)),'Paramètres'!$AA$10))</f>
        <v/>
      </c>
      <c r="V100" s="70">
        <f>IF($A100="","",IF(OR(AC100="Demandé",AC100="Planifié",AC100="Annulé"),0,N(T100)*N(U100)))</f>
        <v/>
      </c>
      <c r="W100" s="70">
        <f>IF($A100="","",SUMIFS('Mouvements stock'!$H$5:$H$3004,'Mouvements stock'!$I$5:$I$3004,$A100,'Mouvements stock'!$C$5:$C$3004,"Sortie")-SUMIFS('Mouvements stock'!$H$5:$H$3004,'Mouvements stock'!$I$5:$I$3004,$A100,'Mouvements stock'!$C$5:$C$3004,"Retour"))</f>
        <v/>
      </c>
      <c r="X100" s="66" t="n">
        <v>0</v>
      </c>
      <c r="Y100" s="66" t="n">
        <v>730</v>
      </c>
      <c r="Z100" s="7" t="inlineStr">
        <is>
          <t>Thermique &amp; Clim Services</t>
        </is>
      </c>
      <c r="AA100" s="70">
        <f>IF($A100="","",N(V100)+N(W100)+N(X100)+N(Y100))</f>
        <v/>
      </c>
      <c r="AB100" s="70">
        <f>IF($A100="","",N(S100)*'Paramètres'!$AA$9*IFERROR(INDEX('Paramètres'!$O$5:$O$7,MATCH(G100,'Paramètres'!$N$5:$N$7,0)),0))</f>
        <v/>
      </c>
      <c r="AC100" s="7" t="inlineStr">
        <is>
          <t>Clôturé</t>
        </is>
      </c>
      <c r="AD100" s="69">
        <f>IF(OR($A100="",Q100=""),"",(Q100-B100)*24)</f>
        <v/>
      </c>
      <c r="AE100" s="69">
        <f>IF(OR(Q100="",R100=""),"",(R100-Q100)*24)</f>
        <v/>
      </c>
      <c r="AF100" s="77">
        <f>IF(OR($A100="",B100=""),"",YEAR(B100))</f>
        <v/>
      </c>
      <c r="AG100" s="77">
        <f>IF(OR($A100="",B100=""),"",MONTH(B100))</f>
        <v/>
      </c>
    </row>
    <row r="101">
      <c r="A101" s="7" t="inlineStr">
        <is>
          <t>OT-2025-0097</t>
        </is>
      </c>
      <c r="B101" s="75" t="n">
        <v>45696.90069444444</v>
      </c>
      <c r="C101" s="7" t="inlineStr">
        <is>
          <t>Inès Girard (cheffe d'équipe)</t>
        </is>
      </c>
      <c r="D101" s="7" t="inlineStr">
        <is>
          <t>EQ-PEI-003</t>
        </is>
      </c>
      <c r="E101" s="9">
        <f>IF(D101="","",IFERROR(INDEX('Équipements'!$B$5:$B$304,MATCH(D101,'Équipements'!$A$5:$A$304,0)),"Code inconnu"))</f>
        <v/>
      </c>
      <c r="F101" s="9">
        <f>IF(D101="","",IFERROR(INDEX('Équipements'!$D$5:$D$304,MATCH(D101,'Équipements'!$A$5:$A$304,0)),""))</f>
        <v/>
      </c>
      <c r="G101" s="9">
        <f>IF(D101="","",IFERROR(INDEX('Équipements'!$K$5:$K$304,MATCH(D101,'Équipements'!$A$5:$A$304,0)),""))</f>
        <v/>
      </c>
      <c r="H101" s="7" t="inlineStr">
        <is>
          <t>Correctif</t>
        </is>
      </c>
      <c r="I101" s="7" t="n"/>
      <c r="J101" s="7" t="inlineStr">
        <is>
          <t>Pneumatique</t>
        </is>
      </c>
      <c r="K101" s="7" t="inlineStr">
        <is>
          <t>P2 - Haute</t>
        </is>
      </c>
      <c r="L101" s="7" t="inlineStr">
        <is>
          <t>Pistolet poudre : débit irrégulier</t>
        </is>
      </c>
      <c r="M101" s="7" t="inlineStr">
        <is>
          <t>Usure</t>
        </is>
      </c>
      <c r="N101" s="7" t="inlineStr">
        <is>
          <t>Remplacement injecteur et buse</t>
        </is>
      </c>
      <c r="O101" s="7" t="inlineStr">
        <is>
          <t>Julien Moreau</t>
        </is>
      </c>
      <c r="P101" s="65" t="n"/>
      <c r="Q101" s="75" t="n">
        <v>45697.05416666667</v>
      </c>
      <c r="R101" s="75" t="n">
        <v>45697.24166666667</v>
      </c>
      <c r="S101" s="76" t="n">
        <v>8.199999999999999</v>
      </c>
      <c r="T101" s="76" t="n">
        <v>4.5</v>
      </c>
      <c r="U101" s="70">
        <f>IF($A101="","",IFERROR(INDEX('Techniciens'!$F$5:$F$44,MATCH(O101,'Techniciens'!$B$5:$B$44,0)),'Paramètres'!$AA$10))</f>
        <v/>
      </c>
      <c r="V101" s="70">
        <f>IF($A101="","",IF(OR(AC101="Demandé",AC101="Planifié",AC101="Annulé"),0,N(T101)*N(U101)))</f>
        <v/>
      </c>
      <c r="W101" s="70">
        <f>IF($A101="","",SUMIFS('Mouvements stock'!$H$5:$H$3004,'Mouvements stock'!$I$5:$I$3004,$A101,'Mouvements stock'!$C$5:$C$3004,"Sortie")-SUMIFS('Mouvements stock'!$H$5:$H$3004,'Mouvements stock'!$I$5:$I$3004,$A101,'Mouvements stock'!$C$5:$C$3004,"Retour"))</f>
        <v/>
      </c>
      <c r="X101" s="66" t="n">
        <v>477</v>
      </c>
      <c r="Y101" s="66" t="n">
        <v>0</v>
      </c>
      <c r="Z101" s="7" t="n"/>
      <c r="AA101" s="70">
        <f>IF($A101="","",N(V101)+N(W101)+N(X101)+N(Y101))</f>
        <v/>
      </c>
      <c r="AB101" s="70">
        <f>IF($A101="","",N(S101)*'Paramètres'!$AA$9*IFERROR(INDEX('Paramètres'!$O$5:$O$7,MATCH(G101,'Paramètres'!$N$5:$N$7,0)),0))</f>
        <v/>
      </c>
      <c r="AC101" s="7" t="inlineStr">
        <is>
          <t>Clôturé</t>
        </is>
      </c>
      <c r="AD101" s="69">
        <f>IF(OR($A101="",Q101=""),"",(Q101-B101)*24)</f>
        <v/>
      </c>
      <c r="AE101" s="69">
        <f>IF(OR(Q101="",R101=""),"",(R101-Q101)*24)</f>
        <v/>
      </c>
      <c r="AF101" s="77">
        <f>IF(OR($A101="",B101=""),"",YEAR(B101))</f>
        <v/>
      </c>
      <c r="AG101" s="77">
        <f>IF(OR($A101="",B101=""),"",MONTH(B101))</f>
        <v/>
      </c>
    </row>
    <row r="102">
      <c r="A102" s="7" t="inlineStr">
        <is>
          <t>OT-2025-0098</t>
        </is>
      </c>
      <c r="B102" s="75" t="n">
        <v>45698.26527777778</v>
      </c>
      <c r="C102" s="7" t="inlineStr">
        <is>
          <t>Marc Lefèvre</t>
        </is>
      </c>
      <c r="D102" s="7" t="inlineStr">
        <is>
          <t>EQ-UTI-003</t>
        </is>
      </c>
      <c r="E102" s="9">
        <f>IF(D102="","",IFERROR(INDEX('Équipements'!$B$5:$B$304,MATCH(D102,'Équipements'!$A$5:$A$304,0)),"Code inconnu"))</f>
        <v/>
      </c>
      <c r="F102" s="9">
        <f>IF(D102="","",IFERROR(INDEX('Équipements'!$D$5:$D$304,MATCH(D102,'Équipements'!$A$5:$A$304,0)),""))</f>
        <v/>
      </c>
      <c r="G102" s="9">
        <f>IF(D102="","",IFERROR(INDEX('Équipements'!$K$5:$K$304,MATCH(D102,'Équipements'!$A$5:$A$304,0)),""))</f>
        <v/>
      </c>
      <c r="H102" s="7" t="inlineStr">
        <is>
          <t>Correctif</t>
        </is>
      </c>
      <c r="I102" s="7" t="n"/>
      <c r="J102" s="7" t="inlineStr">
        <is>
          <t>Pneumatique</t>
        </is>
      </c>
      <c r="K102" s="7" t="inlineStr">
        <is>
          <t>P3 - Normale</t>
        </is>
      </c>
      <c r="L102" s="7" t="inlineStr">
        <is>
          <t>Purgeur de condensats bloqué</t>
        </is>
      </c>
      <c r="M102" s="7" t="inlineStr">
        <is>
          <t>Encrassement</t>
        </is>
      </c>
      <c r="N102" s="7" t="inlineStr">
        <is>
          <t>Remplacement purgeur électronique</t>
        </is>
      </c>
      <c r="O102" s="7" t="inlineStr">
        <is>
          <t>Julien Moreau</t>
        </is>
      </c>
      <c r="P102" s="65" t="n"/>
      <c r="Q102" s="75" t="n">
        <v>45698.46666666667</v>
      </c>
      <c r="R102" s="75" t="n">
        <v>45700.86087912966</v>
      </c>
      <c r="S102" s="76" t="n">
        <v>0</v>
      </c>
      <c r="T102" s="76" t="n">
        <v>4</v>
      </c>
      <c r="U102" s="70">
        <f>IF($A102="","",IFERROR(INDEX('Techniciens'!$F$5:$F$44,MATCH(O102,'Techniciens'!$B$5:$B$44,0)),'Paramètres'!$AA$10))</f>
        <v/>
      </c>
      <c r="V102" s="70">
        <f>IF($A102="","",IF(OR(AC102="Demandé",AC102="Planifié",AC102="Annulé"),0,N(T102)*N(U102)))</f>
        <v/>
      </c>
      <c r="W102" s="70">
        <f>IF($A102="","",SUMIFS('Mouvements stock'!$H$5:$H$3004,'Mouvements stock'!$I$5:$I$3004,$A102,'Mouvements stock'!$C$5:$C$3004,"Sortie")-SUMIFS('Mouvements stock'!$H$5:$H$3004,'Mouvements stock'!$I$5:$I$3004,$A102,'Mouvements stock'!$C$5:$C$3004,"Retour"))</f>
        <v/>
      </c>
      <c r="X102" s="66" t="n">
        <v>0</v>
      </c>
      <c r="Y102" s="66" t="n">
        <v>0</v>
      </c>
      <c r="Z102" s="7" t="n"/>
      <c r="AA102" s="70">
        <f>IF($A102="","",N(V102)+N(W102)+N(X102)+N(Y102))</f>
        <v/>
      </c>
      <c r="AB102" s="70">
        <f>IF($A102="","",N(S102)*'Paramètres'!$AA$9*IFERROR(INDEX('Paramètres'!$O$5:$O$7,MATCH(G102,'Paramètres'!$N$5:$N$7,0)),0))</f>
        <v/>
      </c>
      <c r="AC102" s="7" t="inlineStr">
        <is>
          <t>Clôturé</t>
        </is>
      </c>
      <c r="AD102" s="69">
        <f>IF(OR($A102="",Q102=""),"",(Q102-B102)*24)</f>
        <v/>
      </c>
      <c r="AE102" s="69">
        <f>IF(OR(Q102="",R102=""),"",(R102-Q102)*24)</f>
        <v/>
      </c>
      <c r="AF102" s="77">
        <f>IF(OR($A102="",B102=""),"",YEAR(B102))</f>
        <v/>
      </c>
      <c r="AG102" s="77">
        <f>IF(OR($A102="",B102=""),"",MONTH(B102))</f>
        <v/>
      </c>
    </row>
    <row r="103">
      <c r="A103" s="7" t="inlineStr">
        <is>
          <t>OT-2025-0099</t>
        </is>
      </c>
      <c r="B103" s="75" t="n">
        <v>45698.45138888889</v>
      </c>
      <c r="C103" s="7" t="inlineStr">
        <is>
          <t>Plan préventif</t>
        </is>
      </c>
      <c r="D103" s="7" t="inlineStr">
        <is>
          <t>EQ-SOU-005</t>
        </is>
      </c>
      <c r="E103" s="9">
        <f>IF(D103="","",IFERROR(INDEX('Équipements'!$B$5:$B$304,MATCH(D103,'Équipements'!$A$5:$A$304,0)),"Code inconnu"))</f>
        <v/>
      </c>
      <c r="F103" s="9">
        <f>IF(D103="","",IFERROR(INDEX('Équipements'!$D$5:$D$304,MATCH(D103,'Équipements'!$A$5:$A$304,0)),""))</f>
        <v/>
      </c>
      <c r="G103" s="9">
        <f>IF(D103="","",IFERROR(INDEX('Équipements'!$K$5:$K$304,MATCH(D103,'Équipements'!$A$5:$A$304,0)),""))</f>
        <v/>
      </c>
      <c r="H103" s="7" t="inlineStr">
        <is>
          <t>Préventif systématique</t>
        </is>
      </c>
      <c r="I103" s="7" t="inlineStr">
        <is>
          <t>GP-064</t>
        </is>
      </c>
      <c r="J103" s="7" t="inlineStr">
        <is>
          <t>Mécanique</t>
        </is>
      </c>
      <c r="K103" s="7" t="inlineStr">
        <is>
          <t>P3 - Normale</t>
        </is>
      </c>
      <c r="L103" s="7" t="inlineStr">
        <is>
          <t>Remplacement filtres et nettoyage batteries</t>
        </is>
      </c>
      <c r="M103" s="7" t="n"/>
      <c r="N103" s="7" t="inlineStr">
        <is>
          <t>Gamme réalisée - RAS</t>
        </is>
      </c>
      <c r="O103" s="7" t="inlineStr">
        <is>
          <t>Antoine Mercier</t>
        </is>
      </c>
      <c r="P103" s="65" t="n">
        <v>45705</v>
      </c>
      <c r="Q103" s="75" t="n">
        <v>45705.27083333334</v>
      </c>
      <c r="R103" s="75" t="n">
        <v>45705.375</v>
      </c>
      <c r="S103" s="76" t="n">
        <v>0</v>
      </c>
      <c r="T103" s="76" t="n">
        <v>2.5</v>
      </c>
      <c r="U103" s="70">
        <f>IF($A103="","",IFERROR(INDEX('Techniciens'!$F$5:$F$44,MATCH(O103,'Techniciens'!$B$5:$B$44,0)),'Paramètres'!$AA$10))</f>
        <v/>
      </c>
      <c r="V103" s="70">
        <f>IF($A103="","",IF(OR(AC103="Demandé",AC103="Planifié",AC103="Annulé"),0,N(T103)*N(U103)))</f>
        <v/>
      </c>
      <c r="W103" s="70">
        <f>IF($A103="","",SUMIFS('Mouvements stock'!$H$5:$H$3004,'Mouvements stock'!$I$5:$I$3004,$A103,'Mouvements stock'!$C$5:$C$3004,"Sortie")-SUMIFS('Mouvements stock'!$H$5:$H$3004,'Mouvements stock'!$I$5:$I$3004,$A103,'Mouvements stock'!$C$5:$C$3004,"Retour"))</f>
        <v/>
      </c>
      <c r="X103" s="66" t="n">
        <v>0</v>
      </c>
      <c r="Y103" s="66" t="n">
        <v>0</v>
      </c>
      <c r="Z103" s="7" t="n"/>
      <c r="AA103" s="70">
        <f>IF($A103="","",N(V103)+N(W103)+N(X103)+N(Y103))</f>
        <v/>
      </c>
      <c r="AB103" s="70">
        <f>IF($A103="","",N(S103)*'Paramètres'!$AA$9*IFERROR(INDEX('Paramètres'!$O$5:$O$7,MATCH(G103,'Paramètres'!$N$5:$N$7,0)),0))</f>
        <v/>
      </c>
      <c r="AC103" s="7" t="inlineStr">
        <is>
          <t>Clôturé</t>
        </is>
      </c>
      <c r="AD103" s="69">
        <f>IF(OR($A103="",Q103=""),"",(Q103-B103)*24)</f>
        <v/>
      </c>
      <c r="AE103" s="69">
        <f>IF(OR(Q103="",R103=""),"",(R103-Q103)*24)</f>
        <v/>
      </c>
      <c r="AF103" s="77">
        <f>IF(OR($A103="",B103=""),"",YEAR(B103))</f>
        <v/>
      </c>
      <c r="AG103" s="77">
        <f>IF(OR($A103="",B103=""),"",MONTH(B103))</f>
        <v/>
      </c>
    </row>
    <row r="104">
      <c r="A104" s="7" t="inlineStr">
        <is>
          <t>OT-2025-0100</t>
        </is>
      </c>
      <c r="B104" s="75" t="n">
        <v>45698.62777777778</v>
      </c>
      <c r="C104" s="7" t="inlineStr">
        <is>
          <t>Opérateur tôlerie</t>
        </is>
      </c>
      <c r="D104" s="7" t="inlineStr">
        <is>
          <t>EQ-TOL-005</t>
        </is>
      </c>
      <c r="E104" s="9">
        <f>IF(D104="","",IFERROR(INDEX('Équipements'!$B$5:$B$304,MATCH(D104,'Équipements'!$A$5:$A$304,0)),"Code inconnu"))</f>
        <v/>
      </c>
      <c r="F104" s="9">
        <f>IF(D104="","",IFERROR(INDEX('Équipements'!$D$5:$D$304,MATCH(D104,'Équipements'!$A$5:$A$304,0)),""))</f>
        <v/>
      </c>
      <c r="G104" s="9">
        <f>IF(D104="","",IFERROR(INDEX('Équipements'!$K$5:$K$304,MATCH(D104,'Équipements'!$A$5:$A$304,0)),""))</f>
        <v/>
      </c>
      <c r="H104" s="7" t="inlineStr">
        <is>
          <t>Correctif</t>
        </is>
      </c>
      <c r="I104" s="7" t="n"/>
      <c r="J104" s="7" t="inlineStr">
        <is>
          <t>Hydraulique</t>
        </is>
      </c>
      <c r="K104" s="7" t="inlineStr">
        <is>
          <t>P1 - Urgent</t>
        </is>
      </c>
      <c r="L104" s="7" t="inlineStr">
        <is>
          <t>Montée en température huile hydraulique</t>
        </is>
      </c>
      <c r="M104" s="7" t="inlineStr">
        <is>
          <t>Encrassement</t>
        </is>
      </c>
      <c r="N104" s="7" t="inlineStr">
        <is>
          <t>Nettoyage échangeur, remplacement filtre</t>
        </is>
      </c>
      <c r="O104" s="7" t="inlineStr">
        <is>
          <t>Karim Benali</t>
        </is>
      </c>
      <c r="P104" s="65" t="n"/>
      <c r="Q104" s="75" t="n">
        <v>45698.65902777778</v>
      </c>
      <c r="R104" s="75" t="n">
        <v>45698.82569444444</v>
      </c>
      <c r="S104" s="76" t="n">
        <v>0</v>
      </c>
      <c r="T104" s="76" t="n">
        <v>4</v>
      </c>
      <c r="U104" s="70">
        <f>IF($A104="","",IFERROR(INDEX('Techniciens'!$F$5:$F$44,MATCH(O104,'Techniciens'!$B$5:$B$44,0)),'Paramètres'!$AA$10))</f>
        <v/>
      </c>
      <c r="V104" s="70">
        <f>IF($A104="","",IF(OR(AC104="Demandé",AC104="Planifié",AC104="Annulé"),0,N(T104)*N(U104)))</f>
        <v/>
      </c>
      <c r="W104" s="70">
        <f>IF($A104="","",SUMIFS('Mouvements stock'!$H$5:$H$3004,'Mouvements stock'!$I$5:$I$3004,$A104,'Mouvements stock'!$C$5:$C$3004,"Sortie")-SUMIFS('Mouvements stock'!$H$5:$H$3004,'Mouvements stock'!$I$5:$I$3004,$A104,'Mouvements stock'!$C$5:$C$3004,"Retour"))</f>
        <v/>
      </c>
      <c r="X104" s="66" t="n">
        <v>0</v>
      </c>
      <c r="Y104" s="66" t="n">
        <v>0</v>
      </c>
      <c r="Z104" s="7" t="n"/>
      <c r="AA104" s="70">
        <f>IF($A104="","",N(V104)+N(W104)+N(X104)+N(Y104))</f>
        <v/>
      </c>
      <c r="AB104" s="70">
        <f>IF($A104="","",N(S104)*'Paramètres'!$AA$9*IFERROR(INDEX('Paramètres'!$O$5:$O$7,MATCH(G104,'Paramètres'!$N$5:$N$7,0)),0))</f>
        <v/>
      </c>
      <c r="AC104" s="7" t="inlineStr">
        <is>
          <t>Clôturé</t>
        </is>
      </c>
      <c r="AD104" s="69">
        <f>IF(OR($A104="",Q104=""),"",(Q104-B104)*24)</f>
        <v/>
      </c>
      <c r="AE104" s="69">
        <f>IF(OR(Q104="",R104=""),"",(R104-Q104)*24)</f>
        <v/>
      </c>
      <c r="AF104" s="77">
        <f>IF(OR($A104="",B104=""),"",YEAR(B104))</f>
        <v/>
      </c>
      <c r="AG104" s="77">
        <f>IF(OR($A104="",B104=""),"",MONTH(B104))</f>
        <v/>
      </c>
    </row>
    <row r="105">
      <c r="A105" s="7" t="inlineStr">
        <is>
          <t>OT-2025-0101</t>
        </is>
      </c>
      <c r="B105" s="75" t="n">
        <v>45698.90347222222</v>
      </c>
      <c r="C105" s="7" t="inlineStr">
        <is>
          <t>Éric Laurent (chef d'atelier)</t>
        </is>
      </c>
      <c r="D105" s="7" t="inlineStr">
        <is>
          <t>EQ-USI-005</t>
        </is>
      </c>
      <c r="E105" s="9">
        <f>IF(D105="","",IFERROR(INDEX('Équipements'!$B$5:$B$304,MATCH(D105,'Équipements'!$A$5:$A$304,0)),"Code inconnu"))</f>
        <v/>
      </c>
      <c r="F105" s="9">
        <f>IF(D105="","",IFERROR(INDEX('Équipements'!$D$5:$D$304,MATCH(D105,'Équipements'!$A$5:$A$304,0)),""))</f>
        <v/>
      </c>
      <c r="G105" s="9">
        <f>IF(D105="","",IFERROR(INDEX('Équipements'!$K$5:$K$304,MATCH(D105,'Équipements'!$A$5:$A$304,0)),""))</f>
        <v/>
      </c>
      <c r="H105" s="7" t="inlineStr">
        <is>
          <t>Correctif</t>
        </is>
      </c>
      <c r="I105" s="7" t="n"/>
      <c r="J105" s="7" t="inlineStr">
        <is>
          <t>Mécanique</t>
        </is>
      </c>
      <c r="K105" s="7" t="inlineStr">
        <is>
          <t>P1 - Urgent</t>
        </is>
      </c>
      <c r="L105" s="7" t="inlineStr">
        <is>
          <t>Défaut changeur d'outils (blocage bras)</t>
        </is>
      </c>
      <c r="M105" s="7" t="inlineStr">
        <is>
          <t>Usure</t>
        </is>
      </c>
      <c r="N105" s="7" t="inlineStr">
        <is>
          <t>Remplacement détecteur position bras et réglage</t>
        </is>
      </c>
      <c r="O105" s="7" t="inlineStr">
        <is>
          <t>Karim Benali</t>
        </is>
      </c>
      <c r="P105" s="65" t="n"/>
      <c r="Q105" s="75" t="n">
        <v>45698.91319444445</v>
      </c>
      <c r="R105" s="75" t="n">
        <v>45699.44444444445</v>
      </c>
      <c r="S105" s="76" t="n">
        <v>13</v>
      </c>
      <c r="T105" s="76" t="n">
        <v>12.75</v>
      </c>
      <c r="U105" s="70">
        <f>IF($A105="","",IFERROR(INDEX('Techniciens'!$F$5:$F$44,MATCH(O105,'Techniciens'!$B$5:$B$44,0)),'Paramètres'!$AA$10))</f>
        <v/>
      </c>
      <c r="V105" s="70">
        <f>IF($A105="","",IF(OR(AC105="Demandé",AC105="Planifié",AC105="Annulé"),0,N(T105)*N(U105)))</f>
        <v/>
      </c>
      <c r="W105" s="70">
        <f>IF($A105="","",SUMIFS('Mouvements stock'!$H$5:$H$3004,'Mouvements stock'!$I$5:$I$3004,$A105,'Mouvements stock'!$C$5:$C$3004,"Sortie")-SUMIFS('Mouvements stock'!$H$5:$H$3004,'Mouvements stock'!$I$5:$I$3004,$A105,'Mouvements stock'!$C$5:$C$3004,"Retour"))</f>
        <v/>
      </c>
      <c r="X105" s="66" t="n">
        <v>557</v>
      </c>
      <c r="Y105" s="66" t="n">
        <v>0</v>
      </c>
      <c r="Z105" s="7" t="n"/>
      <c r="AA105" s="70">
        <f>IF($A105="","",N(V105)+N(W105)+N(X105)+N(Y105))</f>
        <v/>
      </c>
      <c r="AB105" s="70">
        <f>IF($A105="","",N(S105)*'Paramètres'!$AA$9*IFERROR(INDEX('Paramètres'!$O$5:$O$7,MATCH(G105,'Paramètres'!$N$5:$N$7,0)),0))</f>
        <v/>
      </c>
      <c r="AC105" s="7" t="inlineStr">
        <is>
          <t>Clôturé</t>
        </is>
      </c>
      <c r="AD105" s="69">
        <f>IF(OR($A105="",Q105=""),"",(Q105-B105)*24)</f>
        <v/>
      </c>
      <c r="AE105" s="69">
        <f>IF(OR(Q105="",R105=""),"",(R105-Q105)*24)</f>
        <v/>
      </c>
      <c r="AF105" s="77">
        <f>IF(OR($A105="",B105=""),"",YEAR(B105))</f>
        <v/>
      </c>
      <c r="AG105" s="77">
        <f>IF(OR($A105="",B105=""),"",MONTH(B105))</f>
        <v/>
      </c>
    </row>
    <row r="106">
      <c r="A106" s="7" t="inlineStr">
        <is>
          <t>OT-2025-0102</t>
        </is>
      </c>
      <c r="B106" s="75" t="n">
        <v>45699.27847222222</v>
      </c>
      <c r="C106" s="7" t="inlineStr">
        <is>
          <t>Sylvie Mathieu (resp. logistique)</t>
        </is>
      </c>
      <c r="D106" s="7" t="inlineStr">
        <is>
          <t>EQ-LOG-007</t>
        </is>
      </c>
      <c r="E106" s="9">
        <f>IF(D106="","",IFERROR(INDEX('Équipements'!$B$5:$B$304,MATCH(D106,'Équipements'!$A$5:$A$304,0)),"Code inconnu"))</f>
        <v/>
      </c>
      <c r="F106" s="9">
        <f>IF(D106="","",IFERROR(INDEX('Équipements'!$D$5:$D$304,MATCH(D106,'Équipements'!$A$5:$A$304,0)),""))</f>
        <v/>
      </c>
      <c r="G106" s="9">
        <f>IF(D106="","",IFERROR(INDEX('Équipements'!$K$5:$K$304,MATCH(D106,'Équipements'!$A$5:$A$304,0)),""))</f>
        <v/>
      </c>
      <c r="H106" s="7" t="inlineStr">
        <is>
          <t>Correctif</t>
        </is>
      </c>
      <c r="I106" s="7" t="n"/>
      <c r="J106" s="7" t="inlineStr">
        <is>
          <t>Mécanique</t>
        </is>
      </c>
      <c r="K106" s="7" t="inlineStr">
        <is>
          <t>P1 - Urgent</t>
        </is>
      </c>
      <c r="L106" s="7" t="inlineStr">
        <is>
          <t>Câble de levage effiloché (réserve VGP)</t>
        </is>
      </c>
      <c r="M106" s="7" t="inlineStr">
        <is>
          <t>Usure</t>
        </is>
      </c>
      <c r="N106" s="7" t="inlineStr">
        <is>
          <t>Remplacement câble de levage</t>
        </is>
      </c>
      <c r="O106" s="7" t="inlineStr">
        <is>
          <t>Karim Benali</t>
        </is>
      </c>
      <c r="P106" s="65" t="n"/>
      <c r="Q106" s="75" t="n">
        <v>45699.3125</v>
      </c>
      <c r="R106" s="75" t="n">
        <v>45699.44791666666</v>
      </c>
      <c r="S106" s="76" t="n">
        <v>4.1</v>
      </c>
      <c r="T106" s="76" t="n">
        <v>3.25</v>
      </c>
      <c r="U106" s="70">
        <f>IF($A106="","",IFERROR(INDEX('Techniciens'!$F$5:$F$44,MATCH(O106,'Techniciens'!$B$5:$B$44,0)),'Paramètres'!$AA$10))</f>
        <v/>
      </c>
      <c r="V106" s="70">
        <f>IF($A106="","",IF(OR(AC106="Demandé",AC106="Planifié",AC106="Annulé"),0,N(T106)*N(U106)))</f>
        <v/>
      </c>
      <c r="W106" s="70">
        <f>IF($A106="","",SUMIFS('Mouvements stock'!$H$5:$H$3004,'Mouvements stock'!$I$5:$I$3004,$A106,'Mouvements stock'!$C$5:$C$3004,"Sortie")-SUMIFS('Mouvements stock'!$H$5:$H$3004,'Mouvements stock'!$I$5:$I$3004,$A106,'Mouvements stock'!$C$5:$C$3004,"Retour"))</f>
        <v/>
      </c>
      <c r="X106" s="66" t="n">
        <v>0</v>
      </c>
      <c r="Y106" s="66" t="n">
        <v>770</v>
      </c>
      <c r="Z106" s="7" t="inlineStr">
        <is>
          <t>Levage Expertise Ouest</t>
        </is>
      </c>
      <c r="AA106" s="70">
        <f>IF($A106="","",N(V106)+N(W106)+N(X106)+N(Y106))</f>
        <v/>
      </c>
      <c r="AB106" s="70">
        <f>IF($A106="","",N(S106)*'Paramètres'!$AA$9*IFERROR(INDEX('Paramètres'!$O$5:$O$7,MATCH(G106,'Paramètres'!$N$5:$N$7,0)),0))</f>
        <v/>
      </c>
      <c r="AC106" s="7" t="inlineStr">
        <is>
          <t>Clôturé</t>
        </is>
      </c>
      <c r="AD106" s="69">
        <f>IF(OR($A106="",Q106=""),"",(Q106-B106)*24)</f>
        <v/>
      </c>
      <c r="AE106" s="69">
        <f>IF(OR(Q106="",R106=""),"",(R106-Q106)*24)</f>
        <v/>
      </c>
      <c r="AF106" s="77">
        <f>IF(OR($A106="",B106=""),"",YEAR(B106))</f>
        <v/>
      </c>
      <c r="AG106" s="77">
        <f>IF(OR($A106="",B106=""),"",MONTH(B106))</f>
        <v/>
      </c>
    </row>
    <row r="107">
      <c r="A107" s="7" t="inlineStr">
        <is>
          <t>OT-2025-0103</t>
        </is>
      </c>
      <c r="B107" s="75" t="n">
        <v>45699.33333333334</v>
      </c>
      <c r="C107" s="7" t="inlineStr">
        <is>
          <t>Plan préventif</t>
        </is>
      </c>
      <c r="D107" s="7" t="inlineStr">
        <is>
          <t>EQ-TOL-003</t>
        </is>
      </c>
      <c r="E107" s="9">
        <f>IF(D107="","",IFERROR(INDEX('Équipements'!$B$5:$B$304,MATCH(D107,'Équipements'!$A$5:$A$304,0)),"Code inconnu"))</f>
        <v/>
      </c>
      <c r="F107" s="9">
        <f>IF(D107="","",IFERROR(INDEX('Équipements'!$D$5:$D$304,MATCH(D107,'Équipements'!$A$5:$A$304,0)),""))</f>
        <v/>
      </c>
      <c r="G107" s="9">
        <f>IF(D107="","",IFERROR(INDEX('Équipements'!$K$5:$K$304,MATCH(D107,'Équipements'!$A$5:$A$304,0)),""))</f>
        <v/>
      </c>
      <c r="H107" s="7" t="inlineStr">
        <is>
          <t>Préventif systématique</t>
        </is>
      </c>
      <c r="I107" s="7" t="inlineStr">
        <is>
          <t>GP-046</t>
        </is>
      </c>
      <c r="J107" s="7" t="inlineStr">
        <is>
          <t>Électrique</t>
        </is>
      </c>
      <c r="K107" s="7" t="inlineStr">
        <is>
          <t>P3 - Normale</t>
        </is>
      </c>
      <c r="L107" s="7" t="inlineStr">
        <is>
          <t>Contrôle des sécurités (barrages, AU, pédale)</t>
        </is>
      </c>
      <c r="M107" s="7" t="n"/>
      <c r="N107" s="7" t="inlineStr">
        <is>
          <t>Gamme réalisée - usure constatée, à surveiller</t>
        </is>
      </c>
      <c r="O107" s="7" t="inlineStr">
        <is>
          <t>Antoine Mercier</t>
        </is>
      </c>
      <c r="P107" s="65" t="n">
        <v>45706</v>
      </c>
      <c r="Q107" s="75" t="n">
        <v>45706.53125</v>
      </c>
      <c r="R107" s="75" t="n">
        <v>45706.58333333334</v>
      </c>
      <c r="S107" s="76" t="n">
        <v>1.2</v>
      </c>
      <c r="T107" s="76" t="n">
        <v>1.25</v>
      </c>
      <c r="U107" s="70">
        <f>IF($A107="","",IFERROR(INDEX('Techniciens'!$F$5:$F$44,MATCH(O107,'Techniciens'!$B$5:$B$44,0)),'Paramètres'!$AA$10))</f>
        <v/>
      </c>
      <c r="V107" s="70">
        <f>IF($A107="","",IF(OR(AC107="Demandé",AC107="Planifié",AC107="Annulé"),0,N(T107)*N(U107)))</f>
        <v/>
      </c>
      <c r="W107" s="70">
        <f>IF($A107="","",SUMIFS('Mouvements stock'!$H$5:$H$3004,'Mouvements stock'!$I$5:$I$3004,$A107,'Mouvements stock'!$C$5:$C$3004,"Sortie")-SUMIFS('Mouvements stock'!$H$5:$H$3004,'Mouvements stock'!$I$5:$I$3004,$A107,'Mouvements stock'!$C$5:$C$3004,"Retour"))</f>
        <v/>
      </c>
      <c r="X107" s="66" t="n">
        <v>0</v>
      </c>
      <c r="Y107" s="66" t="n">
        <v>0</v>
      </c>
      <c r="Z107" s="7" t="n"/>
      <c r="AA107" s="70">
        <f>IF($A107="","",N(V107)+N(W107)+N(X107)+N(Y107))</f>
        <v/>
      </c>
      <c r="AB107" s="70">
        <f>IF($A107="","",N(S107)*'Paramètres'!$AA$9*IFERROR(INDEX('Paramètres'!$O$5:$O$7,MATCH(G107,'Paramètres'!$N$5:$N$7,0)),0))</f>
        <v/>
      </c>
      <c r="AC107" s="7" t="inlineStr">
        <is>
          <t>Clôturé</t>
        </is>
      </c>
      <c r="AD107" s="69">
        <f>IF(OR($A107="",Q107=""),"",(Q107-B107)*24)</f>
        <v/>
      </c>
      <c r="AE107" s="69">
        <f>IF(OR(Q107="",R107=""),"",(R107-Q107)*24)</f>
        <v/>
      </c>
      <c r="AF107" s="77">
        <f>IF(OR($A107="",B107=""),"",YEAR(B107))</f>
        <v/>
      </c>
      <c r="AG107" s="77">
        <f>IF(OR($A107="",B107=""),"",MONTH(B107))</f>
        <v/>
      </c>
    </row>
    <row r="108">
      <c r="A108" s="7" t="inlineStr">
        <is>
          <t>OT-2025-0104</t>
        </is>
      </c>
      <c r="B108" s="75" t="n">
        <v>45699.38541666666</v>
      </c>
      <c r="C108" s="7" t="inlineStr">
        <is>
          <t>Plan préventif</t>
        </is>
      </c>
      <c r="D108" s="7" t="inlineStr">
        <is>
          <t>EQ-UTI-009</t>
        </is>
      </c>
      <c r="E108" s="9">
        <f>IF(D108="","",IFERROR(INDEX('Équipements'!$B$5:$B$304,MATCH(D108,'Équipements'!$A$5:$A$304,0)),"Code inconnu"))</f>
        <v/>
      </c>
      <c r="F108" s="9">
        <f>IF(D108="","",IFERROR(INDEX('Équipements'!$D$5:$D$304,MATCH(D108,'Équipements'!$A$5:$A$304,0)),""))</f>
        <v/>
      </c>
      <c r="G108" s="9">
        <f>IF(D108="","",IFERROR(INDEX('Équipements'!$K$5:$K$304,MATCH(D108,'Équipements'!$A$5:$A$304,0)),""))</f>
        <v/>
      </c>
      <c r="H108" s="7" t="inlineStr">
        <is>
          <t>Préventif systématique</t>
        </is>
      </c>
      <c r="I108" s="7" t="inlineStr">
        <is>
          <t>GP-101</t>
        </is>
      </c>
      <c r="J108" s="7" t="inlineStr">
        <is>
          <t>Électrique</t>
        </is>
      </c>
      <c r="K108" s="7" t="inlineStr">
        <is>
          <t>P3 - Normale</t>
        </is>
      </c>
      <c r="L108" s="7" t="inlineStr">
        <is>
          <t>Étalonnage des sondes pH / redox</t>
        </is>
      </c>
      <c r="M108" s="7" t="n"/>
      <c r="N108" s="7" t="inlineStr">
        <is>
          <t>Gamme réalisée - RAS</t>
        </is>
      </c>
      <c r="O108" s="7" t="inlineStr">
        <is>
          <t>Thomas Petit</t>
        </is>
      </c>
      <c r="P108" s="65" t="n">
        <v>45706.67708333334</v>
      </c>
      <c r="Q108" s="75" t="n">
        <v>45706.52777777778</v>
      </c>
      <c r="R108" s="75" t="n">
        <v>45706.57986111111</v>
      </c>
      <c r="S108" s="76" t="n">
        <v>0</v>
      </c>
      <c r="T108" s="76" t="n">
        <v>1.25</v>
      </c>
      <c r="U108" s="70">
        <f>IF($A108="","",IFERROR(INDEX('Techniciens'!$F$5:$F$44,MATCH(O108,'Techniciens'!$B$5:$B$44,0)),'Paramètres'!$AA$10))</f>
        <v/>
      </c>
      <c r="V108" s="70">
        <f>IF($A108="","",IF(OR(AC108="Demandé",AC108="Planifié",AC108="Annulé"),0,N(T108)*N(U108)))</f>
        <v/>
      </c>
      <c r="W108" s="70">
        <f>IF($A108="","",SUMIFS('Mouvements stock'!$H$5:$H$3004,'Mouvements stock'!$I$5:$I$3004,$A108,'Mouvements stock'!$C$5:$C$3004,"Sortie")-SUMIFS('Mouvements stock'!$H$5:$H$3004,'Mouvements stock'!$I$5:$I$3004,$A108,'Mouvements stock'!$C$5:$C$3004,"Retour"))</f>
        <v/>
      </c>
      <c r="X108" s="66" t="n">
        <v>0</v>
      </c>
      <c r="Y108" s="66" t="n">
        <v>0</v>
      </c>
      <c r="Z108" s="7" t="n"/>
      <c r="AA108" s="70">
        <f>IF($A108="","",N(V108)+N(W108)+N(X108)+N(Y108))</f>
        <v/>
      </c>
      <c r="AB108" s="70">
        <f>IF($A108="","",N(S108)*'Paramètres'!$AA$9*IFERROR(INDEX('Paramètres'!$O$5:$O$7,MATCH(G108,'Paramètres'!$N$5:$N$7,0)),0))</f>
        <v/>
      </c>
      <c r="AC108" s="7" t="inlineStr">
        <is>
          <t>Clôturé</t>
        </is>
      </c>
      <c r="AD108" s="69">
        <f>IF(OR($A108="",Q108=""),"",(Q108-B108)*24)</f>
        <v/>
      </c>
      <c r="AE108" s="69">
        <f>IF(OR(Q108="",R108=""),"",(R108-Q108)*24)</f>
        <v/>
      </c>
      <c r="AF108" s="77">
        <f>IF(OR($A108="",B108=""),"",YEAR(B108))</f>
        <v/>
      </c>
      <c r="AG108" s="77">
        <f>IF(OR($A108="",B108=""),"",MONTH(B108))</f>
        <v/>
      </c>
    </row>
    <row r="109">
      <c r="A109" s="7" t="inlineStr">
        <is>
          <t>OT-2025-0105</t>
        </is>
      </c>
      <c r="B109" s="75" t="n">
        <v>45700.44791666666</v>
      </c>
      <c r="C109" s="7" t="inlineStr">
        <is>
          <t>Planning réglementaire</t>
        </is>
      </c>
      <c r="D109" s="7" t="inlineStr">
        <is>
          <t>EQ-TOL-003</t>
        </is>
      </c>
      <c r="E109" s="9">
        <f>IF(D109="","",IFERROR(INDEX('Équipements'!$B$5:$B$304,MATCH(D109,'Équipements'!$A$5:$A$304,0)),"Code inconnu"))</f>
        <v/>
      </c>
      <c r="F109" s="9">
        <f>IF(D109="","",IFERROR(INDEX('Équipements'!$D$5:$D$304,MATCH(D109,'Équipements'!$A$5:$A$304,0)),""))</f>
        <v/>
      </c>
      <c r="G109" s="9">
        <f>IF(D109="","",IFERROR(INDEX('Équipements'!$K$5:$K$304,MATCH(D109,'Équipements'!$A$5:$A$304,0)),""))</f>
        <v/>
      </c>
      <c r="H109" s="7" t="inlineStr">
        <is>
          <t>Réglementaire</t>
        </is>
      </c>
      <c r="I109" s="7" t="inlineStr">
        <is>
          <t>CR-011</t>
        </is>
      </c>
      <c r="J109" s="7" t="inlineStr">
        <is>
          <t>Multi-technique</t>
        </is>
      </c>
      <c r="K109" s="7" t="inlineStr">
        <is>
          <t>P2 - Haute</t>
        </is>
      </c>
      <c r="L109" s="7" t="inlineStr">
        <is>
          <t>Vérification périodique presse plieuse</t>
        </is>
      </c>
      <c r="M109" s="7" t="n"/>
      <c r="N109" s="7" t="inlineStr">
        <is>
          <t>Contrôle réalisé - rapport reçu</t>
        </is>
      </c>
      <c r="O109" s="7" t="inlineStr">
        <is>
          <t>Marc Lefèvre</t>
        </is>
      </c>
      <c r="P109" s="65" t="n">
        <v>45721</v>
      </c>
      <c r="Q109" s="75" t="n">
        <v>45721.48958333334</v>
      </c>
      <c r="R109" s="75" t="n">
        <v>45721.60416666666</v>
      </c>
      <c r="S109" s="76" t="n">
        <v>1</v>
      </c>
      <c r="T109" s="76" t="n">
        <v>2.75</v>
      </c>
      <c r="U109" s="70">
        <f>IF($A109="","",IFERROR(INDEX('Techniciens'!$F$5:$F$44,MATCH(O109,'Techniciens'!$B$5:$B$44,0)),'Paramètres'!$AA$10))</f>
        <v/>
      </c>
      <c r="V109" s="70">
        <f>IF($A109="","",IF(OR(AC109="Demandé",AC109="Planifié",AC109="Annulé"),0,N(T109)*N(U109)))</f>
        <v/>
      </c>
      <c r="W109" s="70">
        <f>IF($A109="","",SUMIFS('Mouvements stock'!$H$5:$H$3004,'Mouvements stock'!$I$5:$I$3004,$A109,'Mouvements stock'!$C$5:$C$3004,"Sortie")-SUMIFS('Mouvements stock'!$H$5:$H$3004,'Mouvements stock'!$I$5:$I$3004,$A109,'Mouvements stock'!$C$5:$C$3004,"Retour"))</f>
        <v/>
      </c>
      <c r="X109" s="66" t="n">
        <v>0</v>
      </c>
      <c r="Y109" s="66" t="n">
        <v>220</v>
      </c>
      <c r="Z109" s="7" t="inlineStr">
        <is>
          <t>CONTROLIS (organisme fictif)</t>
        </is>
      </c>
      <c r="AA109" s="70">
        <f>IF($A109="","",N(V109)+N(W109)+N(X109)+N(Y109))</f>
        <v/>
      </c>
      <c r="AB109" s="70">
        <f>IF($A109="","",N(S109)*'Paramètres'!$AA$9*IFERROR(INDEX('Paramètres'!$O$5:$O$7,MATCH(G109,'Paramètres'!$N$5:$N$7,0)),0))</f>
        <v/>
      </c>
      <c r="AC109" s="7" t="inlineStr">
        <is>
          <t>Clôturé</t>
        </is>
      </c>
      <c r="AD109" s="69">
        <f>IF(OR($A109="",Q109=""),"",(Q109-B109)*24)</f>
        <v/>
      </c>
      <c r="AE109" s="69">
        <f>IF(OR(Q109="",R109=""),"",(R109-Q109)*24)</f>
        <v/>
      </c>
      <c r="AF109" s="77">
        <f>IF(OR($A109="",B109=""),"",YEAR(B109))</f>
        <v/>
      </c>
      <c r="AG109" s="77">
        <f>IF(OR($A109="",B109=""),"",MONTH(B109))</f>
        <v/>
      </c>
    </row>
    <row r="110">
      <c r="A110" s="7" t="inlineStr">
        <is>
          <t>OT-2025-0106</t>
        </is>
      </c>
      <c r="B110" s="75" t="n">
        <v>45701.44791666666</v>
      </c>
      <c r="C110" s="7" t="inlineStr">
        <is>
          <t>Plan préventif</t>
        </is>
      </c>
      <c r="D110" s="7" t="inlineStr">
        <is>
          <t>EQ-USI-005</t>
        </is>
      </c>
      <c r="E110" s="9">
        <f>IF(D110="","",IFERROR(INDEX('Équipements'!$B$5:$B$304,MATCH(D110,'Équipements'!$A$5:$A$304,0)),"Code inconnu"))</f>
        <v/>
      </c>
      <c r="F110" s="9">
        <f>IF(D110="","",IFERROR(INDEX('Équipements'!$D$5:$D$304,MATCH(D110,'Équipements'!$A$5:$A$304,0)),""))</f>
        <v/>
      </c>
      <c r="G110" s="9">
        <f>IF(D110="","",IFERROR(INDEX('Équipements'!$K$5:$K$304,MATCH(D110,'Équipements'!$A$5:$A$304,0)),""))</f>
        <v/>
      </c>
      <c r="H110" s="7" t="inlineStr">
        <is>
          <t>Préventif systématique</t>
        </is>
      </c>
      <c r="I110" s="7" t="inlineStr">
        <is>
          <t>GP-017</t>
        </is>
      </c>
      <c r="J110" s="7" t="inlineStr">
        <is>
          <t>Mécanique</t>
        </is>
      </c>
      <c r="K110" s="7" t="inlineStr">
        <is>
          <t>P3 - Normale</t>
        </is>
      </c>
      <c r="L110" s="7" t="inlineStr">
        <is>
          <t>Contrôle niveaux, nettoyage filtres et bac à copeaux</t>
        </is>
      </c>
      <c r="M110" s="7" t="n"/>
      <c r="N110" s="7" t="inlineStr">
        <is>
          <t>Gamme réalisée - serrages repris</t>
        </is>
      </c>
      <c r="O110" s="7" t="inlineStr">
        <is>
          <t>Karim Benali</t>
        </is>
      </c>
      <c r="P110" s="65" t="n">
        <v>45708.41319444445</v>
      </c>
      <c r="Q110" s="75" t="n">
        <v>45708.44791666666</v>
      </c>
      <c r="R110" s="75" t="n">
        <v>45708.5</v>
      </c>
      <c r="S110" s="76" t="n">
        <v>0.6</v>
      </c>
      <c r="T110" s="76" t="n">
        <v>1.25</v>
      </c>
      <c r="U110" s="70">
        <f>IF($A110="","",IFERROR(INDEX('Techniciens'!$F$5:$F$44,MATCH(O110,'Techniciens'!$B$5:$B$44,0)),'Paramètres'!$AA$10))</f>
        <v/>
      </c>
      <c r="V110" s="70">
        <f>IF($A110="","",IF(OR(AC110="Demandé",AC110="Planifié",AC110="Annulé"),0,N(T110)*N(U110)))</f>
        <v/>
      </c>
      <c r="W110" s="70">
        <f>IF($A110="","",SUMIFS('Mouvements stock'!$H$5:$H$3004,'Mouvements stock'!$I$5:$I$3004,$A110,'Mouvements stock'!$C$5:$C$3004,"Sortie")-SUMIFS('Mouvements stock'!$H$5:$H$3004,'Mouvements stock'!$I$5:$I$3004,$A110,'Mouvements stock'!$C$5:$C$3004,"Retour"))</f>
        <v/>
      </c>
      <c r="X110" s="66" t="n">
        <v>0</v>
      </c>
      <c r="Y110" s="66" t="n">
        <v>0</v>
      </c>
      <c r="Z110" s="7" t="n"/>
      <c r="AA110" s="70">
        <f>IF($A110="","",N(V110)+N(W110)+N(X110)+N(Y110))</f>
        <v/>
      </c>
      <c r="AB110" s="70">
        <f>IF($A110="","",N(S110)*'Paramètres'!$AA$9*IFERROR(INDEX('Paramètres'!$O$5:$O$7,MATCH(G110,'Paramètres'!$N$5:$N$7,0)),0))</f>
        <v/>
      </c>
      <c r="AC110" s="7" t="inlineStr">
        <is>
          <t>Clôturé</t>
        </is>
      </c>
      <c r="AD110" s="69">
        <f>IF(OR($A110="",Q110=""),"",(Q110-B110)*24)</f>
        <v/>
      </c>
      <c r="AE110" s="69">
        <f>IF(OR(Q110="",R110=""),"",(R110-Q110)*24)</f>
        <v/>
      </c>
      <c r="AF110" s="77">
        <f>IF(OR($A110="",B110=""),"",YEAR(B110))</f>
        <v/>
      </c>
      <c r="AG110" s="77">
        <f>IF(OR($A110="",B110=""),"",MONTH(B110))</f>
        <v/>
      </c>
    </row>
    <row r="111">
      <c r="A111" s="7" t="inlineStr">
        <is>
          <t>OT-2025-0107</t>
        </is>
      </c>
      <c r="B111" s="75" t="n">
        <v>45702.36805555555</v>
      </c>
      <c r="C111" s="7" t="inlineStr">
        <is>
          <t>Plan préventif</t>
        </is>
      </c>
      <c r="D111" s="7" t="inlineStr">
        <is>
          <t>EQ-USI-004</t>
        </is>
      </c>
      <c r="E111" s="9">
        <f>IF(D111="","",IFERROR(INDEX('Équipements'!$B$5:$B$304,MATCH(D111,'Équipements'!$A$5:$A$304,0)),"Code inconnu"))</f>
        <v/>
      </c>
      <c r="F111" s="9">
        <f>IF(D111="","",IFERROR(INDEX('Équipements'!$D$5:$D$304,MATCH(D111,'Équipements'!$A$5:$A$304,0)),""))</f>
        <v/>
      </c>
      <c r="G111" s="9">
        <f>IF(D111="","",IFERROR(INDEX('Équipements'!$K$5:$K$304,MATCH(D111,'Équipements'!$A$5:$A$304,0)),""))</f>
        <v/>
      </c>
      <c r="H111" s="7" t="inlineStr">
        <is>
          <t>Préventif systématique</t>
        </is>
      </c>
      <c r="I111" s="7" t="inlineStr">
        <is>
          <t>GP-014</t>
        </is>
      </c>
      <c r="J111" s="7" t="inlineStr">
        <is>
          <t>Mécanique</t>
        </is>
      </c>
      <c r="K111" s="7" t="inlineStr">
        <is>
          <t>P3 - Normale</t>
        </is>
      </c>
      <c r="L111" s="7" t="inlineStr">
        <is>
          <t>Contrôle géométrie, jeux et graissage des axes</t>
        </is>
      </c>
      <c r="M111" s="7" t="n"/>
      <c r="N111" s="7" t="inlineStr">
        <is>
          <t>Gamme réalisée - RAS</t>
        </is>
      </c>
      <c r="O111" s="7" t="inlineStr">
        <is>
          <t>Karim Benali</t>
        </is>
      </c>
      <c r="P111" s="65" t="n">
        <v>45709</v>
      </c>
      <c r="Q111" s="75" t="n">
        <v>45709.61458333334</v>
      </c>
      <c r="R111" s="75" t="n">
        <v>45709.91666666666</v>
      </c>
      <c r="S111" s="76" t="n">
        <v>3.6</v>
      </c>
      <c r="T111" s="76" t="n">
        <v>7.25</v>
      </c>
      <c r="U111" s="70">
        <f>IF($A111="","",IFERROR(INDEX('Techniciens'!$F$5:$F$44,MATCH(O111,'Techniciens'!$B$5:$B$44,0)),'Paramètres'!$AA$10))</f>
        <v/>
      </c>
      <c r="V111" s="70">
        <f>IF($A111="","",IF(OR(AC111="Demandé",AC111="Planifié",AC111="Annulé"),0,N(T111)*N(U111)))</f>
        <v/>
      </c>
      <c r="W111" s="70">
        <f>IF($A111="","",SUMIFS('Mouvements stock'!$H$5:$H$3004,'Mouvements stock'!$I$5:$I$3004,$A111,'Mouvements stock'!$C$5:$C$3004,"Sortie")-SUMIFS('Mouvements stock'!$H$5:$H$3004,'Mouvements stock'!$I$5:$I$3004,$A111,'Mouvements stock'!$C$5:$C$3004,"Retour"))</f>
        <v/>
      </c>
      <c r="X111" s="66" t="n">
        <v>0</v>
      </c>
      <c r="Y111" s="66" t="n">
        <v>0</v>
      </c>
      <c r="Z111" s="7" t="n"/>
      <c r="AA111" s="70">
        <f>IF($A111="","",N(V111)+N(W111)+N(X111)+N(Y111))</f>
        <v/>
      </c>
      <c r="AB111" s="70">
        <f>IF($A111="","",N(S111)*'Paramètres'!$AA$9*IFERROR(INDEX('Paramètres'!$O$5:$O$7,MATCH(G111,'Paramètres'!$N$5:$N$7,0)),0))</f>
        <v/>
      </c>
      <c r="AC111" s="7" t="inlineStr">
        <is>
          <t>Clôturé</t>
        </is>
      </c>
      <c r="AD111" s="69">
        <f>IF(OR($A111="",Q111=""),"",(Q111-B111)*24)</f>
        <v/>
      </c>
      <c r="AE111" s="69">
        <f>IF(OR(Q111="",R111=""),"",(R111-Q111)*24)</f>
        <v/>
      </c>
      <c r="AF111" s="77">
        <f>IF(OR($A111="",B111=""),"",YEAR(B111))</f>
        <v/>
      </c>
      <c r="AG111" s="77">
        <f>IF(OR($A111="",B111=""),"",MONTH(B111))</f>
        <v/>
      </c>
    </row>
    <row r="112">
      <c r="A112" s="7" t="inlineStr">
        <is>
          <t>OT-2025-0108</t>
        </is>
      </c>
      <c r="B112" s="75" t="n">
        <v>45702.4375</v>
      </c>
      <c r="C112" s="7" t="inlineStr">
        <is>
          <t>Plan préventif</t>
        </is>
      </c>
      <c r="D112" s="7" t="inlineStr">
        <is>
          <t>EQ-USI-004</t>
        </is>
      </c>
      <c r="E112" s="9">
        <f>IF(D112="","",IFERROR(INDEX('Équipements'!$B$5:$B$304,MATCH(D112,'Équipements'!$A$5:$A$304,0)),"Code inconnu"))</f>
        <v/>
      </c>
      <c r="F112" s="9">
        <f>IF(D112="","",IFERROR(INDEX('Équipements'!$D$5:$D$304,MATCH(D112,'Équipements'!$A$5:$A$304,0)),""))</f>
        <v/>
      </c>
      <c r="G112" s="9">
        <f>IF(D112="","",IFERROR(INDEX('Équipements'!$K$5:$K$304,MATCH(D112,'Équipements'!$A$5:$A$304,0)),""))</f>
        <v/>
      </c>
      <c r="H112" s="7" t="inlineStr">
        <is>
          <t>Préventif systématique</t>
        </is>
      </c>
      <c r="I112" s="7" t="inlineStr">
        <is>
          <t>GP-013</t>
        </is>
      </c>
      <c r="J112" s="7" t="inlineStr">
        <is>
          <t>Mécanique</t>
        </is>
      </c>
      <c r="K112" s="7" t="inlineStr">
        <is>
          <t>P3 - Normale</t>
        </is>
      </c>
      <c r="L112" s="7" t="inlineStr">
        <is>
          <t>Contrôle niveaux, nettoyage filtres et bac à copeaux</t>
        </is>
      </c>
      <c r="M112" s="7" t="n"/>
      <c r="N112" s="7" t="inlineStr">
        <is>
          <t>Gamme réalisée - RAS</t>
        </is>
      </c>
      <c r="O112" s="7" t="inlineStr">
        <is>
          <t>Lucas Fontaine</t>
        </is>
      </c>
      <c r="P112" s="65" t="n">
        <v>45709.35069444445</v>
      </c>
      <c r="Q112" s="75" t="n">
        <v>45709.44791666666</v>
      </c>
      <c r="R112" s="75" t="n">
        <v>45709.53125</v>
      </c>
      <c r="S112" s="76" t="n">
        <v>2</v>
      </c>
      <c r="T112" s="76" t="n">
        <v>2</v>
      </c>
      <c r="U112" s="70">
        <f>IF($A112="","",IFERROR(INDEX('Techniciens'!$F$5:$F$44,MATCH(O112,'Techniciens'!$B$5:$B$44,0)),'Paramètres'!$AA$10))</f>
        <v/>
      </c>
      <c r="V112" s="70">
        <f>IF($A112="","",IF(OR(AC112="Demandé",AC112="Planifié",AC112="Annulé"),0,N(T112)*N(U112)))</f>
        <v/>
      </c>
      <c r="W112" s="70">
        <f>IF($A112="","",SUMIFS('Mouvements stock'!$H$5:$H$3004,'Mouvements stock'!$I$5:$I$3004,$A112,'Mouvements stock'!$C$5:$C$3004,"Sortie")-SUMIFS('Mouvements stock'!$H$5:$H$3004,'Mouvements stock'!$I$5:$I$3004,$A112,'Mouvements stock'!$C$5:$C$3004,"Retour"))</f>
        <v/>
      </c>
      <c r="X112" s="66" t="n">
        <v>0</v>
      </c>
      <c r="Y112" s="66" t="n">
        <v>0</v>
      </c>
      <c r="Z112" s="7" t="n"/>
      <c r="AA112" s="70">
        <f>IF($A112="","",N(V112)+N(W112)+N(X112)+N(Y112))</f>
        <v/>
      </c>
      <c r="AB112" s="70">
        <f>IF($A112="","",N(S112)*'Paramètres'!$AA$9*IFERROR(INDEX('Paramètres'!$O$5:$O$7,MATCH(G112,'Paramètres'!$N$5:$N$7,0)),0))</f>
        <v/>
      </c>
      <c r="AC112" s="7" t="inlineStr">
        <is>
          <t>Clôturé</t>
        </is>
      </c>
      <c r="AD112" s="69">
        <f>IF(OR($A112="",Q112=""),"",(Q112-B112)*24)</f>
        <v/>
      </c>
      <c r="AE112" s="69">
        <f>IF(OR(Q112="",R112=""),"",(R112-Q112)*24)</f>
        <v/>
      </c>
      <c r="AF112" s="77">
        <f>IF(OR($A112="",B112=""),"",YEAR(B112))</f>
        <v/>
      </c>
      <c r="AG112" s="77">
        <f>IF(OR($A112="",B112=""),"",MONTH(B112))</f>
        <v/>
      </c>
    </row>
    <row r="113">
      <c r="A113" s="7" t="inlineStr">
        <is>
          <t>OT-2025-0109</t>
        </is>
      </c>
      <c r="B113" s="75" t="n">
        <v>45702.44444444445</v>
      </c>
      <c r="C113" s="7" t="inlineStr">
        <is>
          <t>Plan préventif</t>
        </is>
      </c>
      <c r="D113" s="7" t="inlineStr">
        <is>
          <t>EQ-TOL-005</t>
        </is>
      </c>
      <c r="E113" s="9">
        <f>IF(D113="","",IFERROR(INDEX('Équipements'!$B$5:$B$304,MATCH(D113,'Équipements'!$A$5:$A$304,0)),"Code inconnu"))</f>
        <v/>
      </c>
      <c r="F113" s="9">
        <f>IF(D113="","",IFERROR(INDEX('Équipements'!$D$5:$D$304,MATCH(D113,'Équipements'!$A$5:$A$304,0)),""))</f>
        <v/>
      </c>
      <c r="G113" s="9">
        <f>IF(D113="","",IFERROR(INDEX('Équipements'!$K$5:$K$304,MATCH(D113,'Équipements'!$A$5:$A$304,0)),""))</f>
        <v/>
      </c>
      <c r="H113" s="7" t="inlineStr">
        <is>
          <t>Préventif systématique</t>
        </is>
      </c>
      <c r="I113" s="7" t="inlineStr">
        <is>
          <t>GP-050</t>
        </is>
      </c>
      <c r="J113" s="7" t="inlineStr">
        <is>
          <t>Hydraulique</t>
        </is>
      </c>
      <c r="K113" s="7" t="inlineStr">
        <is>
          <t>P3 - Normale</t>
        </is>
      </c>
      <c r="L113" s="7" t="inlineStr">
        <is>
          <t>Contrôle hydraulique : fuites, niveaux, pressions</t>
        </is>
      </c>
      <c r="M113" s="7" t="n"/>
      <c r="N113" s="7" t="inlineStr">
        <is>
          <t>Gamme réalisée - RAS</t>
        </is>
      </c>
      <c r="O113" s="7" t="inlineStr">
        <is>
          <t>Antoine Mercier</t>
        </is>
      </c>
      <c r="P113" s="65" t="n">
        <v>45709</v>
      </c>
      <c r="Q113" s="75" t="n">
        <v>45709.375</v>
      </c>
      <c r="R113" s="75" t="n">
        <v>45709.48958333334</v>
      </c>
      <c r="S113" s="76" t="n">
        <v>2.8</v>
      </c>
      <c r="T113" s="76" t="n">
        <v>2.75</v>
      </c>
      <c r="U113" s="70">
        <f>IF($A113="","",IFERROR(INDEX('Techniciens'!$F$5:$F$44,MATCH(O113,'Techniciens'!$B$5:$B$44,0)),'Paramètres'!$AA$10))</f>
        <v/>
      </c>
      <c r="V113" s="70">
        <f>IF($A113="","",IF(OR(AC113="Demandé",AC113="Planifié",AC113="Annulé"),0,N(T113)*N(U113)))</f>
        <v/>
      </c>
      <c r="W113" s="70">
        <f>IF($A113="","",SUMIFS('Mouvements stock'!$H$5:$H$3004,'Mouvements stock'!$I$5:$I$3004,$A113,'Mouvements stock'!$C$5:$C$3004,"Sortie")-SUMIFS('Mouvements stock'!$H$5:$H$3004,'Mouvements stock'!$I$5:$I$3004,$A113,'Mouvements stock'!$C$5:$C$3004,"Retour"))</f>
        <v/>
      </c>
      <c r="X113" s="66" t="n">
        <v>0</v>
      </c>
      <c r="Y113" s="66" t="n">
        <v>0</v>
      </c>
      <c r="Z113" s="7" t="n"/>
      <c r="AA113" s="70">
        <f>IF($A113="","",N(V113)+N(W113)+N(X113)+N(Y113))</f>
        <v/>
      </c>
      <c r="AB113" s="70">
        <f>IF($A113="","",N(S113)*'Paramètres'!$AA$9*IFERROR(INDEX('Paramètres'!$O$5:$O$7,MATCH(G113,'Paramètres'!$N$5:$N$7,0)),0))</f>
        <v/>
      </c>
      <c r="AC113" s="7" t="inlineStr">
        <is>
          <t>Clôturé</t>
        </is>
      </c>
      <c r="AD113" s="69">
        <f>IF(OR($A113="",Q113=""),"",(Q113-B113)*24)</f>
        <v/>
      </c>
      <c r="AE113" s="69">
        <f>IF(OR(Q113="",R113=""),"",(R113-Q113)*24)</f>
        <v/>
      </c>
      <c r="AF113" s="77">
        <f>IF(OR($A113="",B113=""),"",YEAR(B113))</f>
        <v/>
      </c>
      <c r="AG113" s="77">
        <f>IF(OR($A113="",B113=""),"",MONTH(B113))</f>
        <v/>
      </c>
    </row>
    <row r="114">
      <c r="A114" s="7" t="inlineStr">
        <is>
          <t>OT-2025-0110</t>
        </is>
      </c>
      <c r="B114" s="75" t="n">
        <v>45703.85416666666</v>
      </c>
      <c r="C114" s="7" t="inlineStr">
        <is>
          <t>Opérateur usinage</t>
        </is>
      </c>
      <c r="D114" s="7" t="inlineStr">
        <is>
          <t>EQ-USI-008</t>
        </is>
      </c>
      <c r="E114" s="9">
        <f>IF(D114="","",IFERROR(INDEX('Équipements'!$B$5:$B$304,MATCH(D114,'Équipements'!$A$5:$A$304,0)),"Code inconnu"))</f>
        <v/>
      </c>
      <c r="F114" s="9">
        <f>IF(D114="","",IFERROR(INDEX('Équipements'!$D$5:$D$304,MATCH(D114,'Équipements'!$A$5:$A$304,0)),""))</f>
        <v/>
      </c>
      <c r="G114" s="9">
        <f>IF(D114="","",IFERROR(INDEX('Équipements'!$K$5:$K$304,MATCH(D114,'Équipements'!$A$5:$A$304,0)),""))</f>
        <v/>
      </c>
      <c r="H114" s="7" t="inlineStr">
        <is>
          <t>Correctif</t>
        </is>
      </c>
      <c r="I114" s="7" t="n"/>
      <c r="J114" s="7" t="inlineStr">
        <is>
          <t>Électrique</t>
        </is>
      </c>
      <c r="K114" s="7" t="inlineStr">
        <is>
          <t>P2 - Haute</t>
        </is>
      </c>
      <c r="L114" s="7" t="inlineStr">
        <is>
          <t>Moteur ne démarre pas</t>
        </is>
      </c>
      <c r="M114" s="7" t="inlineStr">
        <is>
          <t>Défaut électrique</t>
        </is>
      </c>
      <c r="N114" s="7" t="inlineStr">
        <is>
          <t>Remplacement contacteur</t>
        </is>
      </c>
      <c r="O114" s="7" t="inlineStr">
        <is>
          <t>Antoine Mercier</t>
        </is>
      </c>
      <c r="P114" s="65" t="n"/>
      <c r="Q114" s="75" t="n">
        <v>45703.93263888889</v>
      </c>
      <c r="R114" s="75" t="n">
        <v>45704.03680555556</v>
      </c>
      <c r="S114" s="76" t="n">
        <v>4.4</v>
      </c>
      <c r="T114" s="76" t="n">
        <v>2.5</v>
      </c>
      <c r="U114" s="70">
        <f>IF($A114="","",IFERROR(INDEX('Techniciens'!$F$5:$F$44,MATCH(O114,'Techniciens'!$B$5:$B$44,0)),'Paramètres'!$AA$10))</f>
        <v/>
      </c>
      <c r="V114" s="70">
        <f>IF($A114="","",IF(OR(AC114="Demandé",AC114="Planifié",AC114="Annulé"),0,N(T114)*N(U114)))</f>
        <v/>
      </c>
      <c r="W114" s="70">
        <f>IF($A114="","",SUMIFS('Mouvements stock'!$H$5:$H$3004,'Mouvements stock'!$I$5:$I$3004,$A114,'Mouvements stock'!$C$5:$C$3004,"Sortie")-SUMIFS('Mouvements stock'!$H$5:$H$3004,'Mouvements stock'!$I$5:$I$3004,$A114,'Mouvements stock'!$C$5:$C$3004,"Retour"))</f>
        <v/>
      </c>
      <c r="X114" s="66" t="n">
        <v>0</v>
      </c>
      <c r="Y114" s="66" t="n">
        <v>0</v>
      </c>
      <c r="Z114" s="7" t="n"/>
      <c r="AA114" s="70">
        <f>IF($A114="","",N(V114)+N(W114)+N(X114)+N(Y114))</f>
        <v/>
      </c>
      <c r="AB114" s="70">
        <f>IF($A114="","",N(S114)*'Paramètres'!$AA$9*IFERROR(INDEX('Paramètres'!$O$5:$O$7,MATCH(G114,'Paramètres'!$N$5:$N$7,0)),0))</f>
        <v/>
      </c>
      <c r="AC114" s="7" t="inlineStr">
        <is>
          <t>Clôturé</t>
        </is>
      </c>
      <c r="AD114" s="69">
        <f>IF(OR($A114="",Q114=""),"",(Q114-B114)*24)</f>
        <v/>
      </c>
      <c r="AE114" s="69">
        <f>IF(OR(Q114="",R114=""),"",(R114-Q114)*24)</f>
        <v/>
      </c>
      <c r="AF114" s="77">
        <f>IF(OR($A114="",B114=""),"",YEAR(B114))</f>
        <v/>
      </c>
      <c r="AG114" s="77">
        <f>IF(OR($A114="",B114=""),"",MONTH(B114))</f>
        <v/>
      </c>
    </row>
    <row r="115">
      <c r="A115" s="7" t="inlineStr">
        <is>
          <t>OT-2025-0111</t>
        </is>
      </c>
      <c r="B115" s="75" t="n">
        <v>45705.36458333334</v>
      </c>
      <c r="C115" s="7" t="inlineStr">
        <is>
          <t>Plan préventif</t>
        </is>
      </c>
      <c r="D115" s="7" t="inlineStr">
        <is>
          <t>EQ-USI-006</t>
        </is>
      </c>
      <c r="E115" s="9">
        <f>IF(D115="","",IFERROR(INDEX('Équipements'!$B$5:$B$304,MATCH(D115,'Équipements'!$A$5:$A$304,0)),"Code inconnu"))</f>
        <v/>
      </c>
      <c r="F115" s="9">
        <f>IF(D115="","",IFERROR(INDEX('Équipements'!$D$5:$D$304,MATCH(D115,'Équipements'!$A$5:$A$304,0)),""))</f>
        <v/>
      </c>
      <c r="G115" s="9">
        <f>IF(D115="","",IFERROR(INDEX('Équipements'!$K$5:$K$304,MATCH(D115,'Équipements'!$A$5:$A$304,0)),""))</f>
        <v/>
      </c>
      <c r="H115" s="7" t="inlineStr">
        <is>
          <t>Préventif systématique</t>
        </is>
      </c>
      <c r="I115" s="7" t="inlineStr">
        <is>
          <t>GP-021</t>
        </is>
      </c>
      <c r="J115" s="7" t="inlineStr">
        <is>
          <t>Mécanique</t>
        </is>
      </c>
      <c r="K115" s="7" t="inlineStr">
        <is>
          <t>P3 - Normale</t>
        </is>
      </c>
      <c r="L115" s="7" t="inlineStr">
        <is>
          <t>Contrôle niveaux, nettoyage filtres et bac à copeaux</t>
        </is>
      </c>
      <c r="M115" s="7" t="n"/>
      <c r="N115" s="7" t="inlineStr">
        <is>
          <t>Gamme réalisée - petite fuite corrigée</t>
        </is>
      </c>
      <c r="O115" s="7" t="inlineStr">
        <is>
          <t>Lucas Fontaine</t>
        </is>
      </c>
      <c r="P115" s="65" t="n">
        <v>45712</v>
      </c>
      <c r="Q115" s="75" t="n">
        <v>45712.33333333334</v>
      </c>
      <c r="R115" s="75" t="n">
        <v>45712.40625</v>
      </c>
      <c r="S115" s="76" t="n">
        <v>0.9</v>
      </c>
      <c r="T115" s="76" t="n">
        <v>1.75</v>
      </c>
      <c r="U115" s="70">
        <f>IF($A115="","",IFERROR(INDEX('Techniciens'!$F$5:$F$44,MATCH(O115,'Techniciens'!$B$5:$B$44,0)),'Paramètres'!$AA$10))</f>
        <v/>
      </c>
      <c r="V115" s="70">
        <f>IF($A115="","",IF(OR(AC115="Demandé",AC115="Planifié",AC115="Annulé"),0,N(T115)*N(U115)))</f>
        <v/>
      </c>
      <c r="W115" s="70">
        <f>IF($A115="","",SUMIFS('Mouvements stock'!$H$5:$H$3004,'Mouvements stock'!$I$5:$I$3004,$A115,'Mouvements stock'!$C$5:$C$3004,"Sortie")-SUMIFS('Mouvements stock'!$H$5:$H$3004,'Mouvements stock'!$I$5:$I$3004,$A115,'Mouvements stock'!$C$5:$C$3004,"Retour"))</f>
        <v/>
      </c>
      <c r="X115" s="66" t="n">
        <v>0</v>
      </c>
      <c r="Y115" s="66" t="n">
        <v>0</v>
      </c>
      <c r="Z115" s="7" t="n"/>
      <c r="AA115" s="70">
        <f>IF($A115="","",N(V115)+N(W115)+N(X115)+N(Y115))</f>
        <v/>
      </c>
      <c r="AB115" s="70">
        <f>IF($A115="","",N(S115)*'Paramètres'!$AA$9*IFERROR(INDEX('Paramètres'!$O$5:$O$7,MATCH(G115,'Paramètres'!$N$5:$N$7,0)),0))</f>
        <v/>
      </c>
      <c r="AC115" s="7" t="inlineStr">
        <is>
          <t>Clôturé</t>
        </is>
      </c>
      <c r="AD115" s="69">
        <f>IF(OR($A115="",Q115=""),"",(Q115-B115)*24)</f>
        <v/>
      </c>
      <c r="AE115" s="69">
        <f>IF(OR(Q115="",R115=""),"",(R115-Q115)*24)</f>
        <v/>
      </c>
      <c r="AF115" s="77">
        <f>IF(OR($A115="",B115=""),"",YEAR(B115))</f>
        <v/>
      </c>
      <c r="AG115" s="77">
        <f>IF(OR($A115="",B115=""),"",MONTH(B115))</f>
        <v/>
      </c>
    </row>
    <row r="116">
      <c r="A116" s="7" t="inlineStr">
        <is>
          <t>OT-2025-0112</t>
        </is>
      </c>
      <c r="B116" s="75" t="n">
        <v>45705.375</v>
      </c>
      <c r="C116" s="7" t="inlineStr">
        <is>
          <t>Plan préventif</t>
        </is>
      </c>
      <c r="D116" s="7" t="inlineStr">
        <is>
          <t>EQ-ASS-006</t>
        </is>
      </c>
      <c r="E116" s="9">
        <f>IF(D116="","",IFERROR(INDEX('Équipements'!$B$5:$B$304,MATCH(D116,'Équipements'!$A$5:$A$304,0)),"Code inconnu"))</f>
        <v/>
      </c>
      <c r="F116" s="9">
        <f>IF(D116="","",IFERROR(INDEX('Équipements'!$D$5:$D$304,MATCH(D116,'Équipements'!$A$5:$A$304,0)),""))</f>
        <v/>
      </c>
      <c r="G116" s="9">
        <f>IF(D116="","",IFERROR(INDEX('Équipements'!$K$5:$K$304,MATCH(D116,'Équipements'!$A$5:$A$304,0)),""))</f>
        <v/>
      </c>
      <c r="H116" s="7" t="inlineStr">
        <is>
          <t>Préventif systématique</t>
        </is>
      </c>
      <c r="I116" s="7" t="inlineStr">
        <is>
          <t>GP-085</t>
        </is>
      </c>
      <c r="J116" s="7" t="inlineStr">
        <is>
          <t>Mécanique</t>
        </is>
      </c>
      <c r="K116" s="7" t="inlineStr">
        <is>
          <t>P3 - Normale</t>
        </is>
      </c>
      <c r="L116" s="7" t="inlineStr">
        <is>
          <t>Graissage chaîne / galets et contrôle tension</t>
        </is>
      </c>
      <c r="M116" s="7" t="n"/>
      <c r="N116" s="7" t="inlineStr">
        <is>
          <t>Gamme réalisée - RAS</t>
        </is>
      </c>
      <c r="O116" s="7" t="inlineStr">
        <is>
          <t>Lucas Fontaine</t>
        </is>
      </c>
      <c r="P116" s="65" t="n">
        <v>45712.63541666666</v>
      </c>
      <c r="Q116" s="75" t="n">
        <v>45712.40972222222</v>
      </c>
      <c r="R116" s="75" t="n">
        <v>45712.52430555555</v>
      </c>
      <c r="S116" s="76" t="n">
        <v>1.4</v>
      </c>
      <c r="T116" s="76" t="n">
        <v>2.75</v>
      </c>
      <c r="U116" s="70">
        <f>IF($A116="","",IFERROR(INDEX('Techniciens'!$F$5:$F$44,MATCH(O116,'Techniciens'!$B$5:$B$44,0)),'Paramètres'!$AA$10))</f>
        <v/>
      </c>
      <c r="V116" s="70">
        <f>IF($A116="","",IF(OR(AC116="Demandé",AC116="Planifié",AC116="Annulé"),0,N(T116)*N(U116)))</f>
        <v/>
      </c>
      <c r="W116" s="70">
        <f>IF($A116="","",SUMIFS('Mouvements stock'!$H$5:$H$3004,'Mouvements stock'!$I$5:$I$3004,$A116,'Mouvements stock'!$C$5:$C$3004,"Sortie")-SUMIFS('Mouvements stock'!$H$5:$H$3004,'Mouvements stock'!$I$5:$I$3004,$A116,'Mouvements stock'!$C$5:$C$3004,"Retour"))</f>
        <v/>
      </c>
      <c r="X116" s="66" t="n">
        <v>0</v>
      </c>
      <c r="Y116" s="66" t="n">
        <v>0</v>
      </c>
      <c r="Z116" s="7" t="n"/>
      <c r="AA116" s="70">
        <f>IF($A116="","",N(V116)+N(W116)+N(X116)+N(Y116))</f>
        <v/>
      </c>
      <c r="AB116" s="70">
        <f>IF($A116="","",N(S116)*'Paramètres'!$AA$9*IFERROR(INDEX('Paramètres'!$O$5:$O$7,MATCH(G116,'Paramètres'!$N$5:$N$7,0)),0))</f>
        <v/>
      </c>
      <c r="AC116" s="7" t="inlineStr">
        <is>
          <t>Clôturé</t>
        </is>
      </c>
      <c r="AD116" s="69">
        <f>IF(OR($A116="",Q116=""),"",(Q116-B116)*24)</f>
        <v/>
      </c>
      <c r="AE116" s="69">
        <f>IF(OR(Q116="",R116=""),"",(R116-Q116)*24)</f>
        <v/>
      </c>
      <c r="AF116" s="77">
        <f>IF(OR($A116="",B116=""),"",YEAR(B116))</f>
        <v/>
      </c>
      <c r="AG116" s="77">
        <f>IF(OR($A116="",B116=""),"",MONTH(B116))</f>
        <v/>
      </c>
    </row>
    <row r="117">
      <c r="A117" s="7" t="inlineStr">
        <is>
          <t>OT-2025-0113</t>
        </is>
      </c>
      <c r="B117" s="75" t="n">
        <v>45705.40972222222</v>
      </c>
      <c r="C117" s="7" t="inlineStr">
        <is>
          <t>Plan préventif</t>
        </is>
      </c>
      <c r="D117" s="7" t="inlineStr">
        <is>
          <t>EQ-PEI-003</t>
        </is>
      </c>
      <c r="E117" s="9">
        <f>IF(D117="","",IFERROR(INDEX('Équipements'!$B$5:$B$304,MATCH(D117,'Équipements'!$A$5:$A$304,0)),"Code inconnu"))</f>
        <v/>
      </c>
      <c r="F117" s="9">
        <f>IF(D117="","",IFERROR(INDEX('Équipements'!$D$5:$D$304,MATCH(D117,'Équipements'!$A$5:$A$304,0)),""))</f>
        <v/>
      </c>
      <c r="G117" s="9">
        <f>IF(D117="","",IFERROR(INDEX('Équipements'!$K$5:$K$304,MATCH(D117,'Équipements'!$A$5:$A$304,0)),""))</f>
        <v/>
      </c>
      <c r="H117" s="7" t="inlineStr">
        <is>
          <t>Préventif systématique</t>
        </is>
      </c>
      <c r="I117" s="7" t="inlineStr">
        <is>
          <t>GP-070</t>
        </is>
      </c>
      <c r="J117" s="7" t="inlineStr">
        <is>
          <t>Mécanique</t>
        </is>
      </c>
      <c r="K117" s="7" t="inlineStr">
        <is>
          <t>P3 - Normale</t>
        </is>
      </c>
      <c r="L117" s="7" t="inlineStr">
        <is>
          <t>Nettoyage et remplacement des filtres</t>
        </is>
      </c>
      <c r="M117" s="7" t="n"/>
      <c r="N117" s="7" t="inlineStr">
        <is>
          <t>Gamme réalisée - RAS</t>
        </is>
      </c>
      <c r="O117" s="7" t="inlineStr">
        <is>
          <t>Antoine Mercier</t>
        </is>
      </c>
      <c r="P117" s="65" t="n">
        <v>45712.69791666666</v>
      </c>
      <c r="Q117" s="75" t="n">
        <v>45712.59722222222</v>
      </c>
      <c r="R117" s="75" t="n">
        <v>45712.72222222222</v>
      </c>
      <c r="S117" s="76" t="n">
        <v>3</v>
      </c>
      <c r="T117" s="76" t="n">
        <v>3</v>
      </c>
      <c r="U117" s="70">
        <f>IF($A117="","",IFERROR(INDEX('Techniciens'!$F$5:$F$44,MATCH(O117,'Techniciens'!$B$5:$B$44,0)),'Paramètres'!$AA$10))</f>
        <v/>
      </c>
      <c r="V117" s="70">
        <f>IF($A117="","",IF(OR(AC117="Demandé",AC117="Planifié",AC117="Annulé"),0,N(T117)*N(U117)))</f>
        <v/>
      </c>
      <c r="W117" s="70">
        <f>IF($A117="","",SUMIFS('Mouvements stock'!$H$5:$H$3004,'Mouvements stock'!$I$5:$I$3004,$A117,'Mouvements stock'!$C$5:$C$3004,"Sortie")-SUMIFS('Mouvements stock'!$H$5:$H$3004,'Mouvements stock'!$I$5:$I$3004,$A117,'Mouvements stock'!$C$5:$C$3004,"Retour"))</f>
        <v/>
      </c>
      <c r="X117" s="66" t="n">
        <v>0</v>
      </c>
      <c r="Y117" s="66" t="n">
        <v>0</v>
      </c>
      <c r="Z117" s="7" t="n"/>
      <c r="AA117" s="70">
        <f>IF($A117="","",N(V117)+N(W117)+N(X117)+N(Y117))</f>
        <v/>
      </c>
      <c r="AB117" s="70">
        <f>IF($A117="","",N(S117)*'Paramètres'!$AA$9*IFERROR(INDEX('Paramètres'!$O$5:$O$7,MATCH(G117,'Paramètres'!$N$5:$N$7,0)),0))</f>
        <v/>
      </c>
      <c r="AC117" s="7" t="inlineStr">
        <is>
          <t>Clôturé</t>
        </is>
      </c>
      <c r="AD117" s="69">
        <f>IF(OR($A117="",Q117=""),"",(Q117-B117)*24)</f>
        <v/>
      </c>
      <c r="AE117" s="69">
        <f>IF(OR(Q117="",R117=""),"",(R117-Q117)*24)</f>
        <v/>
      </c>
      <c r="AF117" s="77">
        <f>IF(OR($A117="",B117=""),"",YEAR(B117))</f>
        <v/>
      </c>
      <c r="AG117" s="77">
        <f>IF(OR($A117="",B117=""),"",MONTH(B117))</f>
        <v/>
      </c>
    </row>
    <row r="118">
      <c r="A118" s="7" t="inlineStr">
        <is>
          <t>OT-2025-0114</t>
        </is>
      </c>
      <c r="B118" s="75" t="n">
        <v>45705.43055555555</v>
      </c>
      <c r="C118" s="7" t="inlineStr">
        <is>
          <t>Plan préventif</t>
        </is>
      </c>
      <c r="D118" s="7" t="inlineStr">
        <is>
          <t>EQ-UTI-002</t>
        </is>
      </c>
      <c r="E118" s="9">
        <f>IF(D118="","",IFERROR(INDEX('Équipements'!$B$5:$B$304,MATCH(D118,'Équipements'!$A$5:$A$304,0)),"Code inconnu"))</f>
        <v/>
      </c>
      <c r="F118" s="9">
        <f>IF(D118="","",IFERROR(INDEX('Équipements'!$D$5:$D$304,MATCH(D118,'Équipements'!$A$5:$A$304,0)),""))</f>
        <v/>
      </c>
      <c r="G118" s="9">
        <f>IF(D118="","",IFERROR(INDEX('Équipements'!$K$5:$K$304,MATCH(D118,'Équipements'!$A$5:$A$304,0)),""))</f>
        <v/>
      </c>
      <c r="H118" s="7" t="inlineStr">
        <is>
          <t>Préventif systématique</t>
        </is>
      </c>
      <c r="I118" s="7" t="inlineStr">
        <is>
          <t>GP-090</t>
        </is>
      </c>
      <c r="J118" s="7" t="inlineStr">
        <is>
          <t>Pneumatique</t>
        </is>
      </c>
      <c r="K118" s="7" t="inlineStr">
        <is>
          <t>P3 - Normale</t>
        </is>
      </c>
      <c r="L118" s="7" t="inlineStr">
        <is>
          <t>Purge, contrôle fuites et point de rosée</t>
        </is>
      </c>
      <c r="M118" s="7" t="n"/>
      <c r="N118" s="7" t="inlineStr">
        <is>
          <t>Gamme réalisée - RAS</t>
        </is>
      </c>
      <c r="O118" s="7" t="inlineStr">
        <is>
          <t>Lucas Fontaine</t>
        </is>
      </c>
      <c r="P118" s="65" t="n">
        <v>45712.34375</v>
      </c>
      <c r="Q118" s="75" t="n">
        <v>45712.57291666666</v>
      </c>
      <c r="R118" s="75" t="n">
        <v>45712.63541666666</v>
      </c>
      <c r="S118" s="76" t="n">
        <v>0</v>
      </c>
      <c r="T118" s="76" t="n">
        <v>1.5</v>
      </c>
      <c r="U118" s="70">
        <f>IF($A118="","",IFERROR(INDEX('Techniciens'!$F$5:$F$44,MATCH(O118,'Techniciens'!$B$5:$B$44,0)),'Paramètres'!$AA$10))</f>
        <v/>
      </c>
      <c r="V118" s="70">
        <f>IF($A118="","",IF(OR(AC118="Demandé",AC118="Planifié",AC118="Annulé"),0,N(T118)*N(U118)))</f>
        <v/>
      </c>
      <c r="W118" s="70">
        <f>IF($A118="","",SUMIFS('Mouvements stock'!$H$5:$H$3004,'Mouvements stock'!$I$5:$I$3004,$A118,'Mouvements stock'!$C$5:$C$3004,"Sortie")-SUMIFS('Mouvements stock'!$H$5:$H$3004,'Mouvements stock'!$I$5:$I$3004,$A118,'Mouvements stock'!$C$5:$C$3004,"Retour"))</f>
        <v/>
      </c>
      <c r="X118" s="66" t="n">
        <v>0</v>
      </c>
      <c r="Y118" s="66" t="n">
        <v>0</v>
      </c>
      <c r="Z118" s="7" t="n"/>
      <c r="AA118" s="70">
        <f>IF($A118="","",N(V118)+N(W118)+N(X118)+N(Y118))</f>
        <v/>
      </c>
      <c r="AB118" s="70">
        <f>IF($A118="","",N(S118)*'Paramètres'!$AA$9*IFERROR(INDEX('Paramètres'!$O$5:$O$7,MATCH(G118,'Paramètres'!$N$5:$N$7,0)),0))</f>
        <v/>
      </c>
      <c r="AC118" s="7" t="inlineStr">
        <is>
          <t>Clôturé</t>
        </is>
      </c>
      <c r="AD118" s="69">
        <f>IF(OR($A118="",Q118=""),"",(Q118-B118)*24)</f>
        <v/>
      </c>
      <c r="AE118" s="69">
        <f>IF(OR(Q118="",R118=""),"",(R118-Q118)*24)</f>
        <v/>
      </c>
      <c r="AF118" s="77">
        <f>IF(OR($A118="",B118=""),"",YEAR(B118))</f>
        <v/>
      </c>
      <c r="AG118" s="77">
        <f>IF(OR($A118="",B118=""),"",MONTH(B118))</f>
        <v/>
      </c>
    </row>
    <row r="119">
      <c r="A119" s="7" t="inlineStr">
        <is>
          <t>OT-2025-0115</t>
        </is>
      </c>
      <c r="B119" s="75" t="n">
        <v>45705.44791666666</v>
      </c>
      <c r="C119" s="7" t="inlineStr">
        <is>
          <t>Planning réglementaire</t>
        </is>
      </c>
      <c r="D119" s="7" t="inlineStr">
        <is>
          <t>EQ-LOG-004</t>
        </is>
      </c>
      <c r="E119" s="9">
        <f>IF(D119="","",IFERROR(INDEX('Équipements'!$B$5:$B$304,MATCH(D119,'Équipements'!$A$5:$A$304,0)),"Code inconnu"))</f>
        <v/>
      </c>
      <c r="F119" s="9">
        <f>IF(D119="","",IFERROR(INDEX('Équipements'!$D$5:$D$304,MATCH(D119,'Équipements'!$A$5:$A$304,0)),""))</f>
        <v/>
      </c>
      <c r="G119" s="9">
        <f>IF(D119="","",IFERROR(INDEX('Équipements'!$K$5:$K$304,MATCH(D119,'Équipements'!$A$5:$A$304,0)),""))</f>
        <v/>
      </c>
      <c r="H119" s="7" t="inlineStr">
        <is>
          <t>Réglementaire</t>
        </is>
      </c>
      <c r="I119" s="7" t="inlineStr">
        <is>
          <t>CR-007</t>
        </is>
      </c>
      <c r="J119" s="7" t="inlineStr">
        <is>
          <t>Multi-technique</t>
        </is>
      </c>
      <c r="K119" s="7" t="inlineStr">
        <is>
          <t>P2 - Haute</t>
        </is>
      </c>
      <c r="L119" s="7" t="inlineStr">
        <is>
          <t>VGP transpalette à conducteur porté/accompagnant</t>
        </is>
      </c>
      <c r="M119" s="7" t="n"/>
      <c r="N119" s="7" t="inlineStr">
        <is>
          <t>Contrôle réalisé - rapport reçu</t>
        </is>
      </c>
      <c r="O119" s="7" t="inlineStr">
        <is>
          <t>Marc Lefèvre</t>
        </is>
      </c>
      <c r="P119" s="65" t="n">
        <v>45726</v>
      </c>
      <c r="Q119" s="75" t="n">
        <v>45726.38888888889</v>
      </c>
      <c r="R119" s="75" t="n">
        <v>45726.40972222222</v>
      </c>
      <c r="S119" s="76" t="n">
        <v>0</v>
      </c>
      <c r="T119" s="76" t="n">
        <v>0.5</v>
      </c>
      <c r="U119" s="70">
        <f>IF($A119="","",IFERROR(INDEX('Techniciens'!$F$5:$F$44,MATCH(O119,'Techniciens'!$B$5:$B$44,0)),'Paramètres'!$AA$10))</f>
        <v/>
      </c>
      <c r="V119" s="70">
        <f>IF($A119="","",IF(OR(AC119="Demandé",AC119="Planifié",AC119="Annulé"),0,N(T119)*N(U119)))</f>
        <v/>
      </c>
      <c r="W119" s="70">
        <f>IF($A119="","",SUMIFS('Mouvements stock'!$H$5:$H$3004,'Mouvements stock'!$I$5:$I$3004,$A119,'Mouvements stock'!$C$5:$C$3004,"Sortie")-SUMIFS('Mouvements stock'!$H$5:$H$3004,'Mouvements stock'!$I$5:$I$3004,$A119,'Mouvements stock'!$C$5:$C$3004,"Retour"))</f>
        <v/>
      </c>
      <c r="X119" s="66" t="n">
        <v>0</v>
      </c>
      <c r="Y119" s="66" t="n">
        <v>90</v>
      </c>
      <c r="Z119" s="7" t="inlineStr">
        <is>
          <t>CONTROLIS (organisme fictif)</t>
        </is>
      </c>
      <c r="AA119" s="70">
        <f>IF($A119="","",N(V119)+N(W119)+N(X119)+N(Y119))</f>
        <v/>
      </c>
      <c r="AB119" s="70">
        <f>IF($A119="","",N(S119)*'Paramètres'!$AA$9*IFERROR(INDEX('Paramètres'!$O$5:$O$7,MATCH(G119,'Paramètres'!$N$5:$N$7,0)),0))</f>
        <v/>
      </c>
      <c r="AC119" s="7" t="inlineStr">
        <is>
          <t>Clôturé</t>
        </is>
      </c>
      <c r="AD119" s="69">
        <f>IF(OR($A119="",Q119=""),"",(Q119-B119)*24)</f>
        <v/>
      </c>
      <c r="AE119" s="69">
        <f>IF(OR(Q119="",R119=""),"",(R119-Q119)*24)</f>
        <v/>
      </c>
      <c r="AF119" s="77">
        <f>IF(OR($A119="",B119=""),"",YEAR(B119))</f>
        <v/>
      </c>
      <c r="AG119" s="77">
        <f>IF(OR($A119="",B119=""),"",MONTH(B119))</f>
        <v/>
      </c>
    </row>
    <row r="120">
      <c r="A120" s="7" t="inlineStr">
        <is>
          <t>OT-2025-0116</t>
        </is>
      </c>
      <c r="B120" s="75" t="n">
        <v>45705.46527777778</v>
      </c>
      <c r="C120" s="7" t="inlineStr">
        <is>
          <t>Plan préventif</t>
        </is>
      </c>
      <c r="D120" s="7" t="inlineStr">
        <is>
          <t>EQ-LOG-006</t>
        </is>
      </c>
      <c r="E120" s="9">
        <f>IF(D120="","",IFERROR(INDEX('Équipements'!$B$5:$B$304,MATCH(D120,'Équipements'!$A$5:$A$304,0)),"Code inconnu"))</f>
        <v/>
      </c>
      <c r="F120" s="9">
        <f>IF(D120="","",IFERROR(INDEX('Équipements'!$D$5:$D$304,MATCH(D120,'Équipements'!$A$5:$A$304,0)),""))</f>
        <v/>
      </c>
      <c r="G120" s="9">
        <f>IF(D120="","",IFERROR(INDEX('Équipements'!$K$5:$K$304,MATCH(D120,'Équipements'!$A$5:$A$304,0)),""))</f>
        <v/>
      </c>
      <c r="H120" s="7" t="inlineStr">
        <is>
          <t>Préventif systématique</t>
        </is>
      </c>
      <c r="I120" s="7" t="inlineStr">
        <is>
          <t>GP-116</t>
        </is>
      </c>
      <c r="J120" s="7" t="inlineStr">
        <is>
          <t>Mécanique</t>
        </is>
      </c>
      <c r="K120" s="7" t="inlineStr">
        <is>
          <t>P3 - Normale</t>
        </is>
      </c>
      <c r="L120" s="7" t="inlineStr">
        <is>
          <t>Graissage et entretien annuel</t>
        </is>
      </c>
      <c r="M120" s="7" t="n"/>
      <c r="N120" s="7" t="inlineStr">
        <is>
          <t>Gamme réalisée - petite fuite corrigée</t>
        </is>
      </c>
      <c r="O120" s="7" t="inlineStr">
        <is>
          <t>Lucas Fontaine</t>
        </is>
      </c>
      <c r="P120" s="65" t="n">
        <v>45712</v>
      </c>
      <c r="Q120" s="75" t="n">
        <v>45712.42361111111</v>
      </c>
      <c r="R120" s="75" t="n">
        <v>45712.68402777778</v>
      </c>
      <c r="S120" s="76" t="n">
        <v>0</v>
      </c>
      <c r="T120" s="76" t="n">
        <v>2</v>
      </c>
      <c r="U120" s="70">
        <f>IF($A120="","",IFERROR(INDEX('Techniciens'!$F$5:$F$44,MATCH(O120,'Techniciens'!$B$5:$B$44,0)),'Paramètres'!$AA$10))</f>
        <v/>
      </c>
      <c r="V120" s="70">
        <f>IF($A120="","",IF(OR(AC120="Demandé",AC120="Planifié",AC120="Annulé"),0,N(T120)*N(U120)))</f>
        <v/>
      </c>
      <c r="W120" s="70">
        <f>IF($A120="","",SUMIFS('Mouvements stock'!$H$5:$H$3004,'Mouvements stock'!$I$5:$I$3004,$A120,'Mouvements stock'!$C$5:$C$3004,"Sortie")-SUMIFS('Mouvements stock'!$H$5:$H$3004,'Mouvements stock'!$I$5:$I$3004,$A120,'Mouvements stock'!$C$5:$C$3004,"Retour"))</f>
        <v/>
      </c>
      <c r="X120" s="66" t="n">
        <v>0</v>
      </c>
      <c r="Y120" s="66" t="n">
        <v>880</v>
      </c>
      <c r="Z120" s="7" t="inlineStr">
        <is>
          <t>Levage Expertise Ouest</t>
        </is>
      </c>
      <c r="AA120" s="70">
        <f>IF($A120="","",N(V120)+N(W120)+N(X120)+N(Y120))</f>
        <v/>
      </c>
      <c r="AB120" s="70">
        <f>IF($A120="","",N(S120)*'Paramètres'!$AA$9*IFERROR(INDEX('Paramètres'!$O$5:$O$7,MATCH(G120,'Paramètres'!$N$5:$N$7,0)),0))</f>
        <v/>
      </c>
      <c r="AC120" s="7" t="inlineStr">
        <is>
          <t>Clôturé</t>
        </is>
      </c>
      <c r="AD120" s="69">
        <f>IF(OR($A120="",Q120=""),"",(Q120-B120)*24)</f>
        <v/>
      </c>
      <c r="AE120" s="69">
        <f>IF(OR(Q120="",R120=""),"",(R120-Q120)*24)</f>
        <v/>
      </c>
      <c r="AF120" s="77">
        <f>IF(OR($A120="",B120=""),"",YEAR(B120))</f>
        <v/>
      </c>
      <c r="AG120" s="77">
        <f>IF(OR($A120="",B120=""),"",MONTH(B120))</f>
        <v/>
      </c>
    </row>
    <row r="121">
      <c r="A121" s="7" t="inlineStr">
        <is>
          <t>OT-2025-0117</t>
        </is>
      </c>
      <c r="B121" s="75" t="n">
        <v>45705.49375</v>
      </c>
      <c r="C121" s="7" t="inlineStr">
        <is>
          <t>Ronde maintenance</t>
        </is>
      </c>
      <c r="D121" s="7" t="inlineStr">
        <is>
          <t>EQ-UTI-009</t>
        </is>
      </c>
      <c r="E121" s="9">
        <f>IF(D121="","",IFERROR(INDEX('Équipements'!$B$5:$B$304,MATCH(D121,'Équipements'!$A$5:$A$304,0)),"Code inconnu"))</f>
        <v/>
      </c>
      <c r="F121" s="9">
        <f>IF(D121="","",IFERROR(INDEX('Équipements'!$D$5:$D$304,MATCH(D121,'Équipements'!$A$5:$A$304,0)),""))</f>
        <v/>
      </c>
      <c r="G121" s="9">
        <f>IF(D121="","",IFERROR(INDEX('Équipements'!$K$5:$K$304,MATCH(D121,'Équipements'!$A$5:$A$304,0)),""))</f>
        <v/>
      </c>
      <c r="H121" s="7" t="inlineStr">
        <is>
          <t>Correctif</t>
        </is>
      </c>
      <c r="I121" s="7" t="n"/>
      <c r="J121" s="7" t="inlineStr">
        <is>
          <t>Mécanique</t>
        </is>
      </c>
      <c r="K121" s="7" t="inlineStr">
        <is>
          <t>P1 - Urgent</t>
        </is>
      </c>
      <c r="L121" s="7" t="inlineStr">
        <is>
          <t>Pompe doseuse en défaut</t>
        </is>
      </c>
      <c r="M121" s="7" t="inlineStr">
        <is>
          <t>Usure</t>
        </is>
      </c>
      <c r="N121" s="7" t="inlineStr">
        <is>
          <t>Remplacement pompe doseuse</t>
        </is>
      </c>
      <c r="O121" s="7" t="inlineStr">
        <is>
          <t>Antoine Mercier</t>
        </is>
      </c>
      <c r="P121" s="65" t="n"/>
      <c r="Q121" s="75" t="n">
        <v>45705.51180555556</v>
      </c>
      <c r="R121" s="75" t="n">
        <v>45705.65763888889</v>
      </c>
      <c r="S121" s="76" t="n">
        <v>3.9</v>
      </c>
      <c r="T121" s="76" t="n">
        <v>3.5</v>
      </c>
      <c r="U121" s="70">
        <f>IF($A121="","",IFERROR(INDEX('Techniciens'!$F$5:$F$44,MATCH(O121,'Techniciens'!$B$5:$B$44,0)),'Paramètres'!$AA$10))</f>
        <v/>
      </c>
      <c r="V121" s="70">
        <f>IF($A121="","",IF(OR(AC121="Demandé",AC121="Planifié",AC121="Annulé"),0,N(T121)*N(U121)))</f>
        <v/>
      </c>
      <c r="W121" s="70">
        <f>IF($A121="","",SUMIFS('Mouvements stock'!$H$5:$H$3004,'Mouvements stock'!$I$5:$I$3004,$A121,'Mouvements stock'!$C$5:$C$3004,"Sortie")-SUMIFS('Mouvements stock'!$H$5:$H$3004,'Mouvements stock'!$I$5:$I$3004,$A121,'Mouvements stock'!$C$5:$C$3004,"Retour"))</f>
        <v/>
      </c>
      <c r="X121" s="66" t="n">
        <v>0</v>
      </c>
      <c r="Y121" s="66" t="n">
        <v>0</v>
      </c>
      <c r="Z121" s="7" t="n"/>
      <c r="AA121" s="70">
        <f>IF($A121="","",N(V121)+N(W121)+N(X121)+N(Y121))</f>
        <v/>
      </c>
      <c r="AB121" s="70">
        <f>IF($A121="","",N(S121)*'Paramètres'!$AA$9*IFERROR(INDEX('Paramètres'!$O$5:$O$7,MATCH(G121,'Paramètres'!$N$5:$N$7,0)),0))</f>
        <v/>
      </c>
      <c r="AC121" s="7" t="inlineStr">
        <is>
          <t>Clôturé</t>
        </is>
      </c>
      <c r="AD121" s="69">
        <f>IF(OR($A121="",Q121=""),"",(Q121-B121)*24)</f>
        <v/>
      </c>
      <c r="AE121" s="69">
        <f>IF(OR(Q121="",R121=""),"",(R121-Q121)*24)</f>
        <v/>
      </c>
      <c r="AF121" s="77">
        <f>IF(OR($A121="",B121=""),"",YEAR(B121))</f>
        <v/>
      </c>
      <c r="AG121" s="77">
        <f>IF(OR($A121="",B121=""),"",MONTH(B121))</f>
        <v/>
      </c>
    </row>
    <row r="122">
      <c r="A122" s="7" t="inlineStr">
        <is>
          <t>OT-2025-0118</t>
        </is>
      </c>
      <c r="B122" s="75" t="n">
        <v>45705.90763888889</v>
      </c>
      <c r="C122" s="7" t="inlineStr">
        <is>
          <t>Marc Lefèvre</t>
        </is>
      </c>
      <c r="D122" s="7" t="inlineStr">
        <is>
          <t>EQ-UTI-005</t>
        </is>
      </c>
      <c r="E122" s="9">
        <f>IF(D122="","",IFERROR(INDEX('Équipements'!$B$5:$B$304,MATCH(D122,'Équipements'!$A$5:$A$304,0)),"Code inconnu"))</f>
        <v/>
      </c>
      <c r="F122" s="9">
        <f>IF(D122="","",IFERROR(INDEX('Équipements'!$D$5:$D$304,MATCH(D122,'Équipements'!$A$5:$A$304,0)),""))</f>
        <v/>
      </c>
      <c r="G122" s="9">
        <f>IF(D122="","",IFERROR(INDEX('Équipements'!$K$5:$K$304,MATCH(D122,'Équipements'!$A$5:$A$304,0)),""))</f>
        <v/>
      </c>
      <c r="H122" s="7" t="inlineStr">
        <is>
          <t>Correctif</t>
        </is>
      </c>
      <c r="I122" s="7" t="n"/>
      <c r="J122" s="7" t="inlineStr">
        <is>
          <t>Mécanique</t>
        </is>
      </c>
      <c r="K122" s="7" t="inlineStr">
        <is>
          <t>P2 - Haute</t>
        </is>
      </c>
      <c r="L122" s="7" t="inlineStr">
        <is>
          <t>Groupe en défaut haute pression</t>
        </is>
      </c>
      <c r="M122" s="7" t="inlineStr">
        <is>
          <t>Encrassement</t>
        </is>
      </c>
      <c r="N122" s="7" t="inlineStr">
        <is>
          <t>Nettoyage condenseur, contrôle charge fluide</t>
        </is>
      </c>
      <c r="O122" s="7" t="inlineStr">
        <is>
          <t>Lucas Fontaine</t>
        </is>
      </c>
      <c r="P122" s="65" t="n"/>
      <c r="Q122" s="75" t="n">
        <v>45706.02569444444</v>
      </c>
      <c r="R122" s="75" t="n">
        <v>45706.09861111111</v>
      </c>
      <c r="S122" s="76" t="n">
        <v>4.6</v>
      </c>
      <c r="T122" s="76" t="n">
        <v>1.75</v>
      </c>
      <c r="U122" s="70">
        <f>IF($A122="","",IFERROR(INDEX('Techniciens'!$F$5:$F$44,MATCH(O122,'Techniciens'!$B$5:$B$44,0)),'Paramètres'!$AA$10))</f>
        <v/>
      </c>
      <c r="V122" s="70">
        <f>IF($A122="","",IF(OR(AC122="Demandé",AC122="Planifié",AC122="Annulé"),0,N(T122)*N(U122)))</f>
        <v/>
      </c>
      <c r="W122" s="70">
        <f>IF($A122="","",SUMIFS('Mouvements stock'!$H$5:$H$3004,'Mouvements stock'!$I$5:$I$3004,$A122,'Mouvements stock'!$C$5:$C$3004,"Sortie")-SUMIFS('Mouvements stock'!$H$5:$H$3004,'Mouvements stock'!$I$5:$I$3004,$A122,'Mouvements stock'!$C$5:$C$3004,"Retour"))</f>
        <v/>
      </c>
      <c r="X122" s="66" t="n">
        <v>0</v>
      </c>
      <c r="Y122" s="66" t="n">
        <v>0</v>
      </c>
      <c r="Z122" s="7" t="n"/>
      <c r="AA122" s="70">
        <f>IF($A122="","",N(V122)+N(W122)+N(X122)+N(Y122))</f>
        <v/>
      </c>
      <c r="AB122" s="70">
        <f>IF($A122="","",N(S122)*'Paramètres'!$AA$9*IFERROR(INDEX('Paramètres'!$O$5:$O$7,MATCH(G122,'Paramètres'!$N$5:$N$7,0)),0))</f>
        <v/>
      </c>
      <c r="AC122" s="7" t="inlineStr">
        <is>
          <t>Clôturé</t>
        </is>
      </c>
      <c r="AD122" s="69">
        <f>IF(OR($A122="",Q122=""),"",(Q122-B122)*24)</f>
        <v/>
      </c>
      <c r="AE122" s="69">
        <f>IF(OR(Q122="",R122=""),"",(R122-Q122)*24)</f>
        <v/>
      </c>
      <c r="AF122" s="77">
        <f>IF(OR($A122="",B122=""),"",YEAR(B122))</f>
        <v/>
      </c>
      <c r="AG122" s="77">
        <f>IF(OR($A122="",B122=""),"",MONTH(B122))</f>
        <v/>
      </c>
    </row>
    <row r="123">
      <c r="A123" s="7" t="inlineStr">
        <is>
          <t>OT-2025-0119</t>
        </is>
      </c>
      <c r="B123" s="75" t="n">
        <v>45706.34375</v>
      </c>
      <c r="C123" s="7" t="inlineStr">
        <is>
          <t>Plan préventif</t>
        </is>
      </c>
      <c r="D123" s="7" t="inlineStr">
        <is>
          <t>EQ-USI-009</t>
        </is>
      </c>
      <c r="E123" s="9">
        <f>IF(D123="","",IFERROR(INDEX('Équipements'!$B$5:$B$304,MATCH(D123,'Équipements'!$A$5:$A$304,0)),"Code inconnu"))</f>
        <v/>
      </c>
      <c r="F123" s="9">
        <f>IF(D123="","",IFERROR(INDEX('Équipements'!$D$5:$D$304,MATCH(D123,'Équipements'!$A$5:$A$304,0)),""))</f>
        <v/>
      </c>
      <c r="G123" s="9">
        <f>IF(D123="","",IFERROR(INDEX('Équipements'!$K$5:$K$304,MATCH(D123,'Équipements'!$A$5:$A$304,0)),""))</f>
        <v/>
      </c>
      <c r="H123" s="7" t="inlineStr">
        <is>
          <t>Préventif systématique</t>
        </is>
      </c>
      <c r="I123" s="7" t="inlineStr">
        <is>
          <t>GP-030</t>
        </is>
      </c>
      <c r="J123" s="7" t="inlineStr">
        <is>
          <t>Mécanique</t>
        </is>
      </c>
      <c r="K123" s="7" t="inlineStr">
        <is>
          <t>P3 - Normale</t>
        </is>
      </c>
      <c r="L123" s="7" t="inlineStr">
        <is>
          <t>Contrôle lame, guides et liquide de coupe</t>
        </is>
      </c>
      <c r="M123" s="7" t="n"/>
      <c r="N123" s="7" t="inlineStr">
        <is>
          <t>Gamme réalisée - RAS</t>
        </is>
      </c>
      <c r="O123" s="7" t="inlineStr">
        <is>
          <t>Karim Benali</t>
        </is>
      </c>
      <c r="P123" s="65" t="n">
        <v>45713.58680555555</v>
      </c>
      <c r="Q123" s="75" t="n">
        <v>45713.30555555555</v>
      </c>
      <c r="R123" s="75" t="n">
        <v>45713.34722222222</v>
      </c>
      <c r="S123" s="76" t="n">
        <v>0</v>
      </c>
      <c r="T123" s="76" t="n">
        <v>1</v>
      </c>
      <c r="U123" s="70">
        <f>IF($A123="","",IFERROR(INDEX('Techniciens'!$F$5:$F$44,MATCH(O123,'Techniciens'!$B$5:$B$44,0)),'Paramètres'!$AA$10))</f>
        <v/>
      </c>
      <c r="V123" s="70">
        <f>IF($A123="","",IF(OR(AC123="Demandé",AC123="Planifié",AC123="Annulé"),0,N(T123)*N(U123)))</f>
        <v/>
      </c>
      <c r="W123" s="70">
        <f>IF($A123="","",SUMIFS('Mouvements stock'!$H$5:$H$3004,'Mouvements stock'!$I$5:$I$3004,$A123,'Mouvements stock'!$C$5:$C$3004,"Sortie")-SUMIFS('Mouvements stock'!$H$5:$H$3004,'Mouvements stock'!$I$5:$I$3004,$A123,'Mouvements stock'!$C$5:$C$3004,"Retour"))</f>
        <v/>
      </c>
      <c r="X123" s="66" t="n">
        <v>0</v>
      </c>
      <c r="Y123" s="66" t="n">
        <v>0</v>
      </c>
      <c r="Z123" s="7" t="n"/>
      <c r="AA123" s="70">
        <f>IF($A123="","",N(V123)+N(W123)+N(X123)+N(Y123))</f>
        <v/>
      </c>
      <c r="AB123" s="70">
        <f>IF($A123="","",N(S123)*'Paramètres'!$AA$9*IFERROR(INDEX('Paramètres'!$O$5:$O$7,MATCH(G123,'Paramètres'!$N$5:$N$7,0)),0))</f>
        <v/>
      </c>
      <c r="AC123" s="7" t="inlineStr">
        <is>
          <t>Clôturé</t>
        </is>
      </c>
      <c r="AD123" s="69">
        <f>IF(OR($A123="",Q123=""),"",(Q123-B123)*24)</f>
        <v/>
      </c>
      <c r="AE123" s="69">
        <f>IF(OR(Q123="",R123=""),"",(R123-Q123)*24)</f>
        <v/>
      </c>
      <c r="AF123" s="77">
        <f>IF(OR($A123="",B123=""),"",YEAR(B123))</f>
        <v/>
      </c>
      <c r="AG123" s="77">
        <f>IF(OR($A123="",B123=""),"",MONTH(B123))</f>
        <v/>
      </c>
    </row>
    <row r="124">
      <c r="A124" s="7" t="inlineStr">
        <is>
          <t>OT-2025-0120</t>
        </is>
      </c>
      <c r="B124" s="75" t="n">
        <v>45706.42708333334</v>
      </c>
      <c r="C124" s="7" t="inlineStr">
        <is>
          <t>Plan préventif</t>
        </is>
      </c>
      <c r="D124" s="7" t="inlineStr">
        <is>
          <t>EQ-UTI-007</t>
        </is>
      </c>
      <c r="E124" s="9">
        <f>IF(D124="","",IFERROR(INDEX('Équipements'!$B$5:$B$304,MATCH(D124,'Équipements'!$A$5:$A$304,0)),"Code inconnu"))</f>
        <v/>
      </c>
      <c r="F124" s="9">
        <f>IF(D124="","",IFERROR(INDEX('Équipements'!$D$5:$D$304,MATCH(D124,'Équipements'!$A$5:$A$304,0)),""))</f>
        <v/>
      </c>
      <c r="G124" s="9">
        <f>IF(D124="","",IFERROR(INDEX('Équipements'!$K$5:$K$304,MATCH(D124,'Équipements'!$A$5:$A$304,0)),""))</f>
        <v/>
      </c>
      <c r="H124" s="7" t="inlineStr">
        <is>
          <t>Préventif systématique</t>
        </is>
      </c>
      <c r="I124" s="7" t="inlineStr">
        <is>
          <t>GP-098</t>
        </is>
      </c>
      <c r="J124" s="7" t="inlineStr">
        <is>
          <t>Électrique</t>
        </is>
      </c>
      <c r="K124" s="7" t="inlineStr">
        <is>
          <t>P3 - Normale</t>
        </is>
      </c>
      <c r="L124" s="7" t="inlineStr">
        <is>
          <t>Essai de fonctionnement / contrôle visuel</t>
        </is>
      </c>
      <c r="M124" s="7" t="n"/>
      <c r="N124" s="7" t="inlineStr">
        <is>
          <t>Gamme réalisée - RAS</t>
        </is>
      </c>
      <c r="O124" s="7" t="inlineStr">
        <is>
          <t>Antoine Mercier</t>
        </is>
      </c>
      <c r="P124" s="65" t="n">
        <v>45713</v>
      </c>
      <c r="Q124" s="75" t="n">
        <v>45713.4375</v>
      </c>
      <c r="R124" s="75" t="n">
        <v>45713.48958333334</v>
      </c>
      <c r="S124" s="76" t="n">
        <v>0</v>
      </c>
      <c r="T124" s="76" t="n">
        <v>1.25</v>
      </c>
      <c r="U124" s="70">
        <f>IF($A124="","",IFERROR(INDEX('Techniciens'!$F$5:$F$44,MATCH(O124,'Techniciens'!$B$5:$B$44,0)),'Paramètres'!$AA$10))</f>
        <v/>
      </c>
      <c r="V124" s="70">
        <f>IF($A124="","",IF(OR(AC124="Demandé",AC124="Planifié",AC124="Annulé"),0,N(T124)*N(U124)))</f>
        <v/>
      </c>
      <c r="W124" s="70">
        <f>IF($A124="","",SUMIFS('Mouvements stock'!$H$5:$H$3004,'Mouvements stock'!$I$5:$I$3004,$A124,'Mouvements stock'!$C$5:$C$3004,"Sortie")-SUMIFS('Mouvements stock'!$H$5:$H$3004,'Mouvements stock'!$I$5:$I$3004,$A124,'Mouvements stock'!$C$5:$C$3004,"Retour"))</f>
        <v/>
      </c>
      <c r="X124" s="66" t="n">
        <v>0</v>
      </c>
      <c r="Y124" s="66" t="n">
        <v>0</v>
      </c>
      <c r="Z124" s="7" t="n"/>
      <c r="AA124" s="70">
        <f>IF($A124="","",N(V124)+N(W124)+N(X124)+N(Y124))</f>
        <v/>
      </c>
      <c r="AB124" s="70">
        <f>IF($A124="","",N(S124)*'Paramètres'!$AA$9*IFERROR(INDEX('Paramètres'!$O$5:$O$7,MATCH(G124,'Paramètres'!$N$5:$N$7,0)),0))</f>
        <v/>
      </c>
      <c r="AC124" s="7" t="inlineStr">
        <is>
          <t>Clôturé</t>
        </is>
      </c>
      <c r="AD124" s="69">
        <f>IF(OR($A124="",Q124=""),"",(Q124-B124)*24)</f>
        <v/>
      </c>
      <c r="AE124" s="69">
        <f>IF(OR(Q124="",R124=""),"",(R124-Q124)*24)</f>
        <v/>
      </c>
      <c r="AF124" s="77">
        <f>IF(OR($A124="",B124=""),"",YEAR(B124))</f>
        <v/>
      </c>
      <c r="AG124" s="77">
        <f>IF(OR($A124="",B124=""),"",MONTH(B124))</f>
        <v/>
      </c>
    </row>
    <row r="125">
      <c r="A125" s="7" t="inlineStr">
        <is>
          <t>OT-2025-0121</t>
        </is>
      </c>
      <c r="B125" s="75" t="n">
        <v>45707.46875</v>
      </c>
      <c r="C125" s="7" t="inlineStr">
        <is>
          <t>Plan préventif</t>
        </is>
      </c>
      <c r="D125" s="7" t="inlineStr">
        <is>
          <t>EQ-ASS-003</t>
        </is>
      </c>
      <c r="E125" s="9">
        <f>IF(D125="","",IFERROR(INDEX('Équipements'!$B$5:$B$304,MATCH(D125,'Équipements'!$A$5:$A$304,0)),"Code inconnu"))</f>
        <v/>
      </c>
      <c r="F125" s="9">
        <f>IF(D125="","",IFERROR(INDEX('Équipements'!$D$5:$D$304,MATCH(D125,'Équipements'!$A$5:$A$304,0)),""))</f>
        <v/>
      </c>
      <c r="G125" s="9">
        <f>IF(D125="","",IFERROR(INDEX('Équipements'!$K$5:$K$304,MATCH(D125,'Équipements'!$A$5:$A$304,0)),""))</f>
        <v/>
      </c>
      <c r="H125" s="7" t="inlineStr">
        <is>
          <t>Préventif systématique</t>
        </is>
      </c>
      <c r="I125" s="7" t="inlineStr">
        <is>
          <t>GP-081</t>
        </is>
      </c>
      <c r="J125" s="7" t="inlineStr">
        <is>
          <t>Automatisme</t>
        </is>
      </c>
      <c r="K125" s="7" t="inlineStr">
        <is>
          <t>P3 - Normale</t>
        </is>
      </c>
      <c r="L125" s="7" t="inlineStr">
        <is>
          <t>Contrôle, nettoyage et sauvegarde programmes</t>
        </is>
      </c>
      <c r="M125" s="7" t="n"/>
      <c r="N125" s="7" t="inlineStr">
        <is>
          <t>Gamme réalisée - RAS</t>
        </is>
      </c>
      <c r="O125" s="7" t="inlineStr">
        <is>
          <t>Julien Moreau</t>
        </is>
      </c>
      <c r="P125" s="65" t="n">
        <v>45714</v>
      </c>
      <c r="Q125" s="75" t="n">
        <v>45714.38194444445</v>
      </c>
      <c r="R125" s="75" t="n">
        <v>45714.46527777778</v>
      </c>
      <c r="S125" s="76" t="n">
        <v>2</v>
      </c>
      <c r="T125" s="76" t="n">
        <v>2</v>
      </c>
      <c r="U125" s="70">
        <f>IF($A125="","",IFERROR(INDEX('Techniciens'!$F$5:$F$44,MATCH(O125,'Techniciens'!$B$5:$B$44,0)),'Paramètres'!$AA$10))</f>
        <v/>
      </c>
      <c r="V125" s="70">
        <f>IF($A125="","",IF(OR(AC125="Demandé",AC125="Planifié",AC125="Annulé"),0,N(T125)*N(U125)))</f>
        <v/>
      </c>
      <c r="W125" s="70">
        <f>IF($A125="","",SUMIFS('Mouvements stock'!$H$5:$H$3004,'Mouvements stock'!$I$5:$I$3004,$A125,'Mouvements stock'!$C$5:$C$3004,"Sortie")-SUMIFS('Mouvements stock'!$H$5:$H$3004,'Mouvements stock'!$I$5:$I$3004,$A125,'Mouvements stock'!$C$5:$C$3004,"Retour"))</f>
        <v/>
      </c>
      <c r="X125" s="66" t="n">
        <v>0</v>
      </c>
      <c r="Y125" s="66" t="n">
        <v>0</v>
      </c>
      <c r="Z125" s="7" t="n"/>
      <c r="AA125" s="70">
        <f>IF($A125="","",N(V125)+N(W125)+N(X125)+N(Y125))</f>
        <v/>
      </c>
      <c r="AB125" s="70">
        <f>IF($A125="","",N(S125)*'Paramètres'!$AA$9*IFERROR(INDEX('Paramètres'!$O$5:$O$7,MATCH(G125,'Paramètres'!$N$5:$N$7,0)),0))</f>
        <v/>
      </c>
      <c r="AC125" s="7" t="inlineStr">
        <is>
          <t>Clôturé</t>
        </is>
      </c>
      <c r="AD125" s="69">
        <f>IF(OR($A125="",Q125=""),"",(Q125-B125)*24)</f>
        <v/>
      </c>
      <c r="AE125" s="69">
        <f>IF(OR(Q125="",R125=""),"",(R125-Q125)*24)</f>
        <v/>
      </c>
      <c r="AF125" s="77">
        <f>IF(OR($A125="",B125=""),"",YEAR(B125))</f>
        <v/>
      </c>
      <c r="AG125" s="77">
        <f>IF(OR($A125="",B125=""),"",MONTH(B125))</f>
        <v/>
      </c>
    </row>
    <row r="126">
      <c r="A126" s="7" t="inlineStr">
        <is>
          <t>OT-2025-0122</t>
        </is>
      </c>
      <c r="B126" s="75" t="n">
        <v>45707.74930555555</v>
      </c>
      <c r="C126" s="7" t="inlineStr">
        <is>
          <t>Cariste</t>
        </is>
      </c>
      <c r="D126" s="7" t="inlineStr">
        <is>
          <t>EQ-LOG-002</t>
        </is>
      </c>
      <c r="E126" s="9">
        <f>IF(D126="","",IFERROR(INDEX('Équipements'!$B$5:$B$304,MATCH(D126,'Équipements'!$A$5:$A$304,0)),"Code inconnu"))</f>
        <v/>
      </c>
      <c r="F126" s="9">
        <f>IF(D126="","",IFERROR(INDEX('Équipements'!$D$5:$D$304,MATCH(D126,'Équipements'!$A$5:$A$304,0)),""))</f>
        <v/>
      </c>
      <c r="G126" s="9">
        <f>IF(D126="","",IFERROR(INDEX('Équipements'!$K$5:$K$304,MATCH(D126,'Équipements'!$A$5:$A$304,0)),""))</f>
        <v/>
      </c>
      <c r="H126" s="7" t="inlineStr">
        <is>
          <t>Correctif</t>
        </is>
      </c>
      <c r="I126" s="7" t="n"/>
      <c r="J126" s="7" t="inlineStr">
        <is>
          <t>Mécanique</t>
        </is>
      </c>
      <c r="K126" s="7" t="inlineStr">
        <is>
          <t>P4 - Basse</t>
        </is>
      </c>
      <c r="L126" s="7" t="inlineStr">
        <is>
          <t>Freinage inefficace</t>
        </is>
      </c>
      <c r="M126" s="7" t="inlineStr">
        <is>
          <t>Usure</t>
        </is>
      </c>
      <c r="N126" s="7" t="inlineStr">
        <is>
          <t>Remplacement garnitures de frein</t>
        </is>
      </c>
      <c r="O126" s="7" t="inlineStr">
        <is>
          <t>Karim Benali</t>
        </is>
      </c>
      <c r="P126" s="65" t="n"/>
      <c r="Q126" s="75" t="n">
        <v>45710.18125</v>
      </c>
      <c r="R126" s="75" t="n">
        <v>45710.26458333333</v>
      </c>
      <c r="S126" s="76" t="n">
        <v>0</v>
      </c>
      <c r="T126" s="76" t="n">
        <v>2</v>
      </c>
      <c r="U126" s="70">
        <f>IF($A126="","",IFERROR(INDEX('Techniciens'!$F$5:$F$44,MATCH(O126,'Techniciens'!$B$5:$B$44,0)),'Paramètres'!$AA$10))</f>
        <v/>
      </c>
      <c r="V126" s="70">
        <f>IF($A126="","",IF(OR(AC126="Demandé",AC126="Planifié",AC126="Annulé"),0,N(T126)*N(U126)))</f>
        <v/>
      </c>
      <c r="W126" s="70">
        <f>IF($A126="","",SUMIFS('Mouvements stock'!$H$5:$H$3004,'Mouvements stock'!$I$5:$I$3004,$A126,'Mouvements stock'!$C$5:$C$3004,"Sortie")-SUMIFS('Mouvements stock'!$H$5:$H$3004,'Mouvements stock'!$I$5:$I$3004,$A126,'Mouvements stock'!$C$5:$C$3004,"Retour"))</f>
        <v/>
      </c>
      <c r="X126" s="66" t="n">
        <v>0</v>
      </c>
      <c r="Y126" s="66" t="n">
        <v>0</v>
      </c>
      <c r="Z126" s="7" t="n"/>
      <c r="AA126" s="70">
        <f>IF($A126="","",N(V126)+N(W126)+N(X126)+N(Y126))</f>
        <v/>
      </c>
      <c r="AB126" s="70">
        <f>IF($A126="","",N(S126)*'Paramètres'!$AA$9*IFERROR(INDEX('Paramètres'!$O$5:$O$7,MATCH(G126,'Paramètres'!$N$5:$N$7,0)),0))</f>
        <v/>
      </c>
      <c r="AC126" s="7" t="inlineStr">
        <is>
          <t>Clôturé</t>
        </is>
      </c>
      <c r="AD126" s="69">
        <f>IF(OR($A126="",Q126=""),"",(Q126-B126)*24)</f>
        <v/>
      </c>
      <c r="AE126" s="69">
        <f>IF(OR(Q126="",R126=""),"",(R126-Q126)*24)</f>
        <v/>
      </c>
      <c r="AF126" s="77">
        <f>IF(OR($A126="",B126=""),"",YEAR(B126))</f>
        <v/>
      </c>
      <c r="AG126" s="77">
        <f>IF(OR($A126="",B126=""),"",MONTH(B126))</f>
        <v/>
      </c>
    </row>
    <row r="127">
      <c r="A127" s="7" t="inlineStr">
        <is>
          <t>OT-2025-0123</t>
        </is>
      </c>
      <c r="B127" s="75" t="n">
        <v>45708.29791666667</v>
      </c>
      <c r="C127" s="7" t="inlineStr">
        <is>
          <t>Paul Roux (chef d'atelier)</t>
        </is>
      </c>
      <c r="D127" s="7" t="inlineStr">
        <is>
          <t>EQ-ASS-002</t>
        </is>
      </c>
      <c r="E127" s="9">
        <f>IF(D127="","",IFERROR(INDEX('Équipements'!$B$5:$B$304,MATCH(D127,'Équipements'!$A$5:$A$304,0)),"Code inconnu"))</f>
        <v/>
      </c>
      <c r="F127" s="9">
        <f>IF(D127="","",IFERROR(INDEX('Équipements'!$D$5:$D$304,MATCH(D127,'Équipements'!$A$5:$A$304,0)),""))</f>
        <v/>
      </c>
      <c r="G127" s="9">
        <f>IF(D127="","",IFERROR(INDEX('Équipements'!$K$5:$K$304,MATCH(D127,'Équipements'!$A$5:$A$304,0)),""))</f>
        <v/>
      </c>
      <c r="H127" s="7" t="inlineStr">
        <is>
          <t>Correctif</t>
        </is>
      </c>
      <c r="I127" s="7" t="n"/>
      <c r="J127" s="7" t="inlineStr">
        <is>
          <t>Mécanique</t>
        </is>
      </c>
      <c r="K127" s="7" t="inlineStr">
        <is>
          <t>P1 - Urgent</t>
        </is>
      </c>
      <c r="L127" s="7" t="inlineStr">
        <is>
          <t>Butée arrière bloquée</t>
        </is>
      </c>
      <c r="M127" s="7" t="inlineStr">
        <is>
          <t>Casse mécanique</t>
        </is>
      </c>
      <c r="N127" s="7" t="inlineStr">
        <is>
          <t>Remplacement courroie et réglage butée</t>
        </is>
      </c>
      <c r="O127" s="7" t="inlineStr">
        <is>
          <t>Karim Benali</t>
        </is>
      </c>
      <c r="P127" s="65" t="n"/>
      <c r="Q127" s="75" t="n">
        <v>45708.32013888889</v>
      </c>
      <c r="R127" s="75" t="n">
        <v>45708.52847222222</v>
      </c>
      <c r="S127" s="76" t="n">
        <v>5.5</v>
      </c>
      <c r="T127" s="76" t="n">
        <v>5</v>
      </c>
      <c r="U127" s="70">
        <f>IF($A127="","",IFERROR(INDEX('Techniciens'!$F$5:$F$44,MATCH(O127,'Techniciens'!$B$5:$B$44,0)),'Paramètres'!$AA$10))</f>
        <v/>
      </c>
      <c r="V127" s="70">
        <f>IF($A127="","",IF(OR(AC127="Demandé",AC127="Planifié",AC127="Annulé"),0,N(T127)*N(U127)))</f>
        <v/>
      </c>
      <c r="W127" s="70">
        <f>IF($A127="","",SUMIFS('Mouvements stock'!$H$5:$H$3004,'Mouvements stock'!$I$5:$I$3004,$A127,'Mouvements stock'!$C$5:$C$3004,"Sortie")-SUMIFS('Mouvements stock'!$H$5:$H$3004,'Mouvements stock'!$I$5:$I$3004,$A127,'Mouvements stock'!$C$5:$C$3004,"Retour"))</f>
        <v/>
      </c>
      <c r="X127" s="66" t="n">
        <v>0</v>
      </c>
      <c r="Y127" s="66" t="n">
        <v>0</v>
      </c>
      <c r="Z127" s="7" t="n"/>
      <c r="AA127" s="70">
        <f>IF($A127="","",N(V127)+N(W127)+N(X127)+N(Y127))</f>
        <v/>
      </c>
      <c r="AB127" s="70">
        <f>IF($A127="","",N(S127)*'Paramètres'!$AA$9*IFERROR(INDEX('Paramètres'!$O$5:$O$7,MATCH(G127,'Paramètres'!$N$5:$N$7,0)),0))</f>
        <v/>
      </c>
      <c r="AC127" s="7" t="inlineStr">
        <is>
          <t>Clôturé</t>
        </is>
      </c>
      <c r="AD127" s="69">
        <f>IF(OR($A127="",Q127=""),"",(Q127-B127)*24)</f>
        <v/>
      </c>
      <c r="AE127" s="69">
        <f>IF(OR(Q127="",R127=""),"",(R127-Q127)*24)</f>
        <v/>
      </c>
      <c r="AF127" s="77">
        <f>IF(OR($A127="",B127=""),"",YEAR(B127))</f>
        <v/>
      </c>
      <c r="AG127" s="77">
        <f>IF(OR($A127="",B127=""),"",MONTH(B127))</f>
        <v/>
      </c>
    </row>
    <row r="128">
      <c r="A128" s="7" t="inlineStr">
        <is>
          <t>OT-2025-0124</t>
        </is>
      </c>
      <c r="B128" s="75" t="n">
        <v>45708.33402777778</v>
      </c>
      <c r="C128" s="7" t="inlineStr">
        <is>
          <t>Éric Laurent (chef d'atelier)</t>
        </is>
      </c>
      <c r="D128" s="7" t="inlineStr">
        <is>
          <t>EQ-USI-001</t>
        </is>
      </c>
      <c r="E128" s="9">
        <f>IF(D128="","",IFERROR(INDEX('Équipements'!$B$5:$B$304,MATCH(D128,'Équipements'!$A$5:$A$304,0)),"Code inconnu"))</f>
        <v/>
      </c>
      <c r="F128" s="9">
        <f>IF(D128="","",IFERROR(INDEX('Équipements'!$D$5:$D$304,MATCH(D128,'Équipements'!$A$5:$A$304,0)),""))</f>
        <v/>
      </c>
      <c r="G128" s="9">
        <f>IF(D128="","",IFERROR(INDEX('Équipements'!$K$5:$K$304,MATCH(D128,'Équipements'!$A$5:$A$304,0)),""))</f>
        <v/>
      </c>
      <c r="H128" s="7" t="inlineStr">
        <is>
          <t>Correctif</t>
        </is>
      </c>
      <c r="I128" s="7" t="n"/>
      <c r="J128" s="7" t="inlineStr">
        <is>
          <t>Électrique</t>
        </is>
      </c>
      <c r="K128" s="7" t="inlineStr">
        <is>
          <t>P2 - Haute</t>
        </is>
      </c>
      <c r="L128" s="7" t="inlineStr">
        <is>
          <t>Alarme codeur axe X</t>
        </is>
      </c>
      <c r="M128" s="7" t="inlineStr">
        <is>
          <t>Défaut capteur</t>
        </is>
      </c>
      <c r="N128" s="7" t="inlineStr">
        <is>
          <t>Contrôle câblage, remplacement codeur</t>
        </is>
      </c>
      <c r="O128" s="7" t="inlineStr">
        <is>
          <t>Julien Moreau</t>
        </is>
      </c>
      <c r="P128" s="65" t="n"/>
      <c r="Q128" s="75" t="n">
        <v>45708.44583333333</v>
      </c>
      <c r="R128" s="75" t="n">
        <v>45708.87291666667</v>
      </c>
      <c r="S128" s="76" t="n">
        <v>0</v>
      </c>
      <c r="T128" s="76" t="n">
        <v>10.25</v>
      </c>
      <c r="U128" s="70">
        <f>IF($A128="","",IFERROR(INDEX('Techniciens'!$F$5:$F$44,MATCH(O128,'Techniciens'!$B$5:$B$44,0)),'Paramètres'!$AA$10))</f>
        <v/>
      </c>
      <c r="V128" s="70">
        <f>IF($A128="","",IF(OR(AC128="Demandé",AC128="Planifié",AC128="Annulé"),0,N(T128)*N(U128)))</f>
        <v/>
      </c>
      <c r="W128" s="70">
        <f>IF($A128="","",SUMIFS('Mouvements stock'!$H$5:$H$3004,'Mouvements stock'!$I$5:$I$3004,$A128,'Mouvements stock'!$C$5:$C$3004,"Sortie")-SUMIFS('Mouvements stock'!$H$5:$H$3004,'Mouvements stock'!$I$5:$I$3004,$A128,'Mouvements stock'!$C$5:$C$3004,"Retour"))</f>
        <v/>
      </c>
      <c r="X128" s="66" t="n">
        <v>0</v>
      </c>
      <c r="Y128" s="66" t="n">
        <v>0</v>
      </c>
      <c r="Z128" s="7" t="n"/>
      <c r="AA128" s="70">
        <f>IF($A128="","",N(V128)+N(W128)+N(X128)+N(Y128))</f>
        <v/>
      </c>
      <c r="AB128" s="70">
        <f>IF($A128="","",N(S128)*'Paramètres'!$AA$9*IFERROR(INDEX('Paramètres'!$O$5:$O$7,MATCH(G128,'Paramètres'!$N$5:$N$7,0)),0))</f>
        <v/>
      </c>
      <c r="AC128" s="7" t="inlineStr">
        <is>
          <t>Clôturé</t>
        </is>
      </c>
      <c r="AD128" s="69">
        <f>IF(OR($A128="",Q128=""),"",(Q128-B128)*24)</f>
        <v/>
      </c>
      <c r="AE128" s="69">
        <f>IF(OR(Q128="",R128=""),"",(R128-Q128)*24)</f>
        <v/>
      </c>
      <c r="AF128" s="77">
        <f>IF(OR($A128="",B128=""),"",YEAR(B128))</f>
        <v/>
      </c>
      <c r="AG128" s="77">
        <f>IF(OR($A128="",B128=""),"",MONTH(B128))</f>
        <v/>
      </c>
    </row>
    <row r="129">
      <c r="A129" s="7" t="inlineStr">
        <is>
          <t>OT-2025-0125</t>
        </is>
      </c>
      <c r="B129" s="75" t="n">
        <v>45708.36111111111</v>
      </c>
      <c r="C129" s="7" t="inlineStr">
        <is>
          <t>Plan préventif</t>
        </is>
      </c>
      <c r="D129" s="7" t="inlineStr">
        <is>
          <t>EQ-UTI-008</t>
        </is>
      </c>
      <c r="E129" s="9">
        <f>IF(D129="","",IFERROR(INDEX('Équipements'!$B$5:$B$304,MATCH(D129,'Équipements'!$A$5:$A$304,0)),"Code inconnu"))</f>
        <v/>
      </c>
      <c r="F129" s="9">
        <f>IF(D129="","",IFERROR(INDEX('Équipements'!$D$5:$D$304,MATCH(D129,'Équipements'!$A$5:$A$304,0)),""))</f>
        <v/>
      </c>
      <c r="G129" s="9">
        <f>IF(D129="","",IFERROR(INDEX('Équipements'!$K$5:$K$304,MATCH(D129,'Équipements'!$A$5:$A$304,0)),""))</f>
        <v/>
      </c>
      <c r="H129" s="7" t="inlineStr">
        <is>
          <t>Préventif systématique</t>
        </is>
      </c>
      <c r="I129" s="7" t="inlineStr">
        <is>
          <t>GP-100</t>
        </is>
      </c>
      <c r="J129" s="7" t="inlineStr">
        <is>
          <t>Électrique</t>
        </is>
      </c>
      <c r="K129" s="7" t="inlineStr">
        <is>
          <t>P3 - Normale</t>
        </is>
      </c>
      <c r="L129" s="7" t="inlineStr">
        <is>
          <t>Essai de fonctionnement / contrôle visuel</t>
        </is>
      </c>
      <c r="M129" s="7" t="n"/>
      <c r="N129" s="7" t="inlineStr">
        <is>
          <t>Gamme réalisée - RAS</t>
        </is>
      </c>
      <c r="O129" s="7" t="inlineStr">
        <is>
          <t>Julien Moreau</t>
        </is>
      </c>
      <c r="P129" s="65" t="n">
        <v>45715</v>
      </c>
      <c r="Q129" s="75" t="n">
        <v>45715.32291666666</v>
      </c>
      <c r="R129" s="75" t="n">
        <v>45715.375</v>
      </c>
      <c r="S129" s="76" t="n">
        <v>0</v>
      </c>
      <c r="T129" s="76" t="n">
        <v>1.25</v>
      </c>
      <c r="U129" s="70">
        <f>IF($A129="","",IFERROR(INDEX('Techniciens'!$F$5:$F$44,MATCH(O129,'Techniciens'!$B$5:$B$44,0)),'Paramètres'!$AA$10))</f>
        <v/>
      </c>
      <c r="V129" s="70">
        <f>IF($A129="","",IF(OR(AC129="Demandé",AC129="Planifié",AC129="Annulé"),0,N(T129)*N(U129)))</f>
        <v/>
      </c>
      <c r="W129" s="70">
        <f>IF($A129="","",SUMIFS('Mouvements stock'!$H$5:$H$3004,'Mouvements stock'!$I$5:$I$3004,$A129,'Mouvements stock'!$C$5:$C$3004,"Sortie")-SUMIFS('Mouvements stock'!$H$5:$H$3004,'Mouvements stock'!$I$5:$I$3004,$A129,'Mouvements stock'!$C$5:$C$3004,"Retour"))</f>
        <v/>
      </c>
      <c r="X129" s="66" t="n">
        <v>0</v>
      </c>
      <c r="Y129" s="66" t="n">
        <v>0</v>
      </c>
      <c r="Z129" s="7" t="n"/>
      <c r="AA129" s="70">
        <f>IF($A129="","",N(V129)+N(W129)+N(X129)+N(Y129))</f>
        <v/>
      </c>
      <c r="AB129" s="70">
        <f>IF($A129="","",N(S129)*'Paramètres'!$AA$9*IFERROR(INDEX('Paramètres'!$O$5:$O$7,MATCH(G129,'Paramètres'!$N$5:$N$7,0)),0))</f>
        <v/>
      </c>
      <c r="AC129" s="7" t="inlineStr">
        <is>
          <t>Clôturé</t>
        </is>
      </c>
      <c r="AD129" s="69">
        <f>IF(OR($A129="",Q129=""),"",(Q129-B129)*24)</f>
        <v/>
      </c>
      <c r="AE129" s="69">
        <f>IF(OR(Q129="",R129=""),"",(R129-Q129)*24)</f>
        <v/>
      </c>
      <c r="AF129" s="77">
        <f>IF(OR($A129="",B129=""),"",YEAR(B129))</f>
        <v/>
      </c>
      <c r="AG129" s="77">
        <f>IF(OR($A129="",B129=""),"",MONTH(B129))</f>
        <v/>
      </c>
    </row>
    <row r="130">
      <c r="A130" s="7" t="inlineStr">
        <is>
          <t>OT-2025-0126</t>
        </is>
      </c>
      <c r="B130" s="75" t="n">
        <v>45709.34027777778</v>
      </c>
      <c r="C130" s="7" t="inlineStr">
        <is>
          <t>Plan préventif</t>
        </is>
      </c>
      <c r="D130" s="7" t="inlineStr">
        <is>
          <t>EQ-PEI-005</t>
        </is>
      </c>
      <c r="E130" s="9">
        <f>IF(D130="","",IFERROR(INDEX('Équipements'!$B$5:$B$304,MATCH(D130,'Équipements'!$A$5:$A$304,0)),"Code inconnu"))</f>
        <v/>
      </c>
      <c r="F130" s="9">
        <f>IF(D130="","",IFERROR(INDEX('Équipements'!$D$5:$D$304,MATCH(D130,'Équipements'!$A$5:$A$304,0)),""))</f>
        <v/>
      </c>
      <c r="G130" s="9">
        <f>IF(D130="","",IFERROR(INDEX('Équipements'!$K$5:$K$304,MATCH(D130,'Équipements'!$A$5:$A$304,0)),""))</f>
        <v/>
      </c>
      <c r="H130" s="7" t="inlineStr">
        <is>
          <t>Préventif systématique</t>
        </is>
      </c>
      <c r="I130" s="7" t="inlineStr">
        <is>
          <t>GP-074</t>
        </is>
      </c>
      <c r="J130" s="7" t="inlineStr">
        <is>
          <t>Mécanique</t>
        </is>
      </c>
      <c r="K130" s="7" t="inlineStr">
        <is>
          <t>P3 - Normale</t>
        </is>
      </c>
      <c r="L130" s="7" t="inlineStr">
        <is>
          <t>Nettoyage et remplacement des filtres</t>
        </is>
      </c>
      <c r="M130" s="7" t="n"/>
      <c r="N130" s="7" t="inlineStr">
        <is>
          <t>Gamme réalisée - RAS</t>
        </is>
      </c>
      <c r="O130" s="7" t="inlineStr">
        <is>
          <t>Lucas Fontaine</t>
        </is>
      </c>
      <c r="P130" s="65" t="n">
        <v>45716.47222222222</v>
      </c>
      <c r="Q130" s="75" t="n">
        <v>45716.61805555555</v>
      </c>
      <c r="R130" s="75" t="n">
        <v>45716.73263888889</v>
      </c>
      <c r="S130" s="76" t="n">
        <v>0</v>
      </c>
      <c r="T130" s="76" t="n">
        <v>2.75</v>
      </c>
      <c r="U130" s="70">
        <f>IF($A130="","",IFERROR(INDEX('Techniciens'!$F$5:$F$44,MATCH(O130,'Techniciens'!$B$5:$B$44,0)),'Paramètres'!$AA$10))</f>
        <v/>
      </c>
      <c r="V130" s="70">
        <f>IF($A130="","",IF(OR(AC130="Demandé",AC130="Planifié",AC130="Annulé"),0,N(T130)*N(U130)))</f>
        <v/>
      </c>
      <c r="W130" s="70">
        <f>IF($A130="","",SUMIFS('Mouvements stock'!$H$5:$H$3004,'Mouvements stock'!$I$5:$I$3004,$A130,'Mouvements stock'!$C$5:$C$3004,"Sortie")-SUMIFS('Mouvements stock'!$H$5:$H$3004,'Mouvements stock'!$I$5:$I$3004,$A130,'Mouvements stock'!$C$5:$C$3004,"Retour"))</f>
        <v/>
      </c>
      <c r="X130" s="66" t="n">
        <v>0</v>
      </c>
      <c r="Y130" s="66" t="n">
        <v>0</v>
      </c>
      <c r="Z130" s="7" t="n"/>
      <c r="AA130" s="70">
        <f>IF($A130="","",N(V130)+N(W130)+N(X130)+N(Y130))</f>
        <v/>
      </c>
      <c r="AB130" s="70">
        <f>IF($A130="","",N(S130)*'Paramètres'!$AA$9*IFERROR(INDEX('Paramètres'!$O$5:$O$7,MATCH(G130,'Paramètres'!$N$5:$N$7,0)),0))</f>
        <v/>
      </c>
      <c r="AC130" s="7" t="inlineStr">
        <is>
          <t>Clôturé</t>
        </is>
      </c>
      <c r="AD130" s="69">
        <f>IF(OR($A130="",Q130=""),"",(Q130-B130)*24)</f>
        <v/>
      </c>
      <c r="AE130" s="69">
        <f>IF(OR(Q130="",R130=""),"",(R130-Q130)*24)</f>
        <v/>
      </c>
      <c r="AF130" s="77">
        <f>IF(OR($A130="",B130=""),"",YEAR(B130))</f>
        <v/>
      </c>
      <c r="AG130" s="77">
        <f>IF(OR($A130="",B130=""),"",MONTH(B130))</f>
        <v/>
      </c>
    </row>
    <row r="131">
      <c r="A131" s="7" t="inlineStr">
        <is>
          <t>OT-2025-0127</t>
        </is>
      </c>
      <c r="B131" s="75" t="n">
        <v>45709.46875</v>
      </c>
      <c r="C131" s="7" t="inlineStr">
        <is>
          <t>Plan préventif</t>
        </is>
      </c>
      <c r="D131" s="7" t="inlineStr">
        <is>
          <t>EQ-TOL-004</t>
        </is>
      </c>
      <c r="E131" s="9">
        <f>IF(D131="","",IFERROR(INDEX('Équipements'!$B$5:$B$304,MATCH(D131,'Équipements'!$A$5:$A$304,0)),"Code inconnu"))</f>
        <v/>
      </c>
      <c r="F131" s="9">
        <f>IF(D131="","",IFERROR(INDEX('Équipements'!$D$5:$D$304,MATCH(D131,'Équipements'!$A$5:$A$304,0)),""))</f>
        <v/>
      </c>
      <c r="G131" s="9">
        <f>IF(D131="","",IFERROR(INDEX('Équipements'!$K$5:$K$304,MATCH(D131,'Équipements'!$A$5:$A$304,0)),""))</f>
        <v/>
      </c>
      <c r="H131" s="7" t="inlineStr">
        <is>
          <t>Préventif systématique</t>
        </is>
      </c>
      <c r="I131" s="7" t="inlineStr">
        <is>
          <t>GP-047</t>
        </is>
      </c>
      <c r="J131" s="7" t="inlineStr">
        <is>
          <t>Hydraulique</t>
        </is>
      </c>
      <c r="K131" s="7" t="inlineStr">
        <is>
          <t>P3 - Normale</t>
        </is>
      </c>
      <c r="L131" s="7" t="inlineStr">
        <is>
          <t>Contrôle hydraulique : fuites, niveaux, pressions</t>
        </is>
      </c>
      <c r="M131" s="7" t="n"/>
      <c r="N131" s="7" t="inlineStr">
        <is>
          <t>Gamme réalisée - RAS</t>
        </is>
      </c>
      <c r="O131" s="7" t="inlineStr">
        <is>
          <t>Antoine Mercier</t>
        </is>
      </c>
      <c r="P131" s="65" t="n">
        <v>45716</v>
      </c>
      <c r="Q131" s="75" t="n">
        <v>45716.48611111111</v>
      </c>
      <c r="R131" s="75" t="n">
        <v>45716.57986111111</v>
      </c>
      <c r="S131" s="76" t="n">
        <v>1.1</v>
      </c>
      <c r="T131" s="76" t="n">
        <v>2.25</v>
      </c>
      <c r="U131" s="70">
        <f>IF($A131="","",IFERROR(INDEX('Techniciens'!$F$5:$F$44,MATCH(O131,'Techniciens'!$B$5:$B$44,0)),'Paramètres'!$AA$10))</f>
        <v/>
      </c>
      <c r="V131" s="70">
        <f>IF($A131="","",IF(OR(AC131="Demandé",AC131="Planifié",AC131="Annulé"),0,N(T131)*N(U131)))</f>
        <v/>
      </c>
      <c r="W131" s="70">
        <f>IF($A131="","",SUMIFS('Mouvements stock'!$H$5:$H$3004,'Mouvements stock'!$I$5:$I$3004,$A131,'Mouvements stock'!$C$5:$C$3004,"Sortie")-SUMIFS('Mouvements stock'!$H$5:$H$3004,'Mouvements stock'!$I$5:$I$3004,$A131,'Mouvements stock'!$C$5:$C$3004,"Retour"))</f>
        <v/>
      </c>
      <c r="X131" s="66" t="n">
        <v>0</v>
      </c>
      <c r="Y131" s="66" t="n">
        <v>0</v>
      </c>
      <c r="Z131" s="7" t="n"/>
      <c r="AA131" s="70">
        <f>IF($A131="","",N(V131)+N(W131)+N(X131)+N(Y131))</f>
        <v/>
      </c>
      <c r="AB131" s="70">
        <f>IF($A131="","",N(S131)*'Paramètres'!$AA$9*IFERROR(INDEX('Paramètres'!$O$5:$O$7,MATCH(G131,'Paramètres'!$N$5:$N$7,0)),0))</f>
        <v/>
      </c>
      <c r="AC131" s="7" t="inlineStr">
        <is>
          <t>Clôturé</t>
        </is>
      </c>
      <c r="AD131" s="69">
        <f>IF(OR($A131="",Q131=""),"",(Q131-B131)*24)</f>
        <v/>
      </c>
      <c r="AE131" s="69">
        <f>IF(OR(Q131="",R131=""),"",(R131-Q131)*24)</f>
        <v/>
      </c>
      <c r="AF131" s="77">
        <f>IF(OR($A131="",B131=""),"",YEAR(B131))</f>
        <v/>
      </c>
      <c r="AG131" s="77">
        <f>IF(OR($A131="",B131=""),"",MONTH(B131))</f>
        <v/>
      </c>
    </row>
    <row r="132">
      <c r="A132" s="7" t="inlineStr">
        <is>
          <t>OT-2025-0128</t>
        </is>
      </c>
      <c r="B132" s="75" t="n">
        <v>45712.34722222222</v>
      </c>
      <c r="C132" s="7" t="inlineStr">
        <is>
          <t>Plan préventif</t>
        </is>
      </c>
      <c r="D132" s="7" t="inlineStr">
        <is>
          <t>EQ-UTI-009</t>
        </is>
      </c>
      <c r="E132" s="9">
        <f>IF(D132="","",IFERROR(INDEX('Équipements'!$B$5:$B$304,MATCH(D132,'Équipements'!$A$5:$A$304,0)),"Code inconnu"))</f>
        <v/>
      </c>
      <c r="F132" s="9">
        <f>IF(D132="","",IFERROR(INDEX('Équipements'!$D$5:$D$304,MATCH(D132,'Équipements'!$A$5:$A$304,0)),""))</f>
        <v/>
      </c>
      <c r="G132" s="9">
        <f>IF(D132="","",IFERROR(INDEX('Équipements'!$K$5:$K$304,MATCH(D132,'Équipements'!$A$5:$A$304,0)),""))</f>
        <v/>
      </c>
      <c r="H132" s="7" t="inlineStr">
        <is>
          <t>Préventif systématique</t>
        </is>
      </c>
      <c r="I132" s="7" t="inlineStr">
        <is>
          <t>GP-102</t>
        </is>
      </c>
      <c r="J132" s="7" t="inlineStr">
        <is>
          <t>Mécanique</t>
        </is>
      </c>
      <c r="K132" s="7" t="inlineStr">
        <is>
          <t>P3 - Normale</t>
        </is>
      </c>
      <c r="L132" s="7" t="inlineStr">
        <is>
          <t>Nettoyage décanteur et filtre-presse</t>
        </is>
      </c>
      <c r="M132" s="7" t="n"/>
      <c r="N132" s="7" t="inlineStr">
        <is>
          <t>Gamme réalisée - RAS</t>
        </is>
      </c>
      <c r="O132" s="7" t="inlineStr">
        <is>
          <t>Lucas Fontaine</t>
        </is>
      </c>
      <c r="P132" s="65" t="n">
        <v>45719</v>
      </c>
      <c r="Q132" s="75" t="n">
        <v>45719.58333333334</v>
      </c>
      <c r="R132" s="75" t="n">
        <v>45719.73958333334</v>
      </c>
      <c r="S132" s="76" t="n">
        <v>0</v>
      </c>
      <c r="T132" s="76" t="n">
        <v>3.75</v>
      </c>
      <c r="U132" s="70">
        <f>IF($A132="","",IFERROR(INDEX('Techniciens'!$F$5:$F$44,MATCH(O132,'Techniciens'!$B$5:$B$44,0)),'Paramètres'!$AA$10))</f>
        <v/>
      </c>
      <c r="V132" s="70">
        <f>IF($A132="","",IF(OR(AC132="Demandé",AC132="Planifié",AC132="Annulé"),0,N(T132)*N(U132)))</f>
        <v/>
      </c>
      <c r="W132" s="70">
        <f>IF($A132="","",SUMIFS('Mouvements stock'!$H$5:$H$3004,'Mouvements stock'!$I$5:$I$3004,$A132,'Mouvements stock'!$C$5:$C$3004,"Sortie")-SUMIFS('Mouvements stock'!$H$5:$H$3004,'Mouvements stock'!$I$5:$I$3004,$A132,'Mouvements stock'!$C$5:$C$3004,"Retour"))</f>
        <v/>
      </c>
      <c r="X132" s="66" t="n">
        <v>0</v>
      </c>
      <c r="Y132" s="66" t="n">
        <v>0</v>
      </c>
      <c r="Z132" s="7" t="n"/>
      <c r="AA132" s="70">
        <f>IF($A132="","",N(V132)+N(W132)+N(X132)+N(Y132))</f>
        <v/>
      </c>
      <c r="AB132" s="70">
        <f>IF($A132="","",N(S132)*'Paramètres'!$AA$9*IFERROR(INDEX('Paramètres'!$O$5:$O$7,MATCH(G132,'Paramètres'!$N$5:$N$7,0)),0))</f>
        <v/>
      </c>
      <c r="AC132" s="7" t="inlineStr">
        <is>
          <t>Clôturé</t>
        </is>
      </c>
      <c r="AD132" s="69">
        <f>IF(OR($A132="",Q132=""),"",(Q132-B132)*24)</f>
        <v/>
      </c>
      <c r="AE132" s="69">
        <f>IF(OR(Q132="",R132=""),"",(R132-Q132)*24)</f>
        <v/>
      </c>
      <c r="AF132" s="77">
        <f>IF(OR($A132="",B132=""),"",YEAR(B132))</f>
        <v/>
      </c>
      <c r="AG132" s="77">
        <f>IF(OR($A132="",B132=""),"",MONTH(B132))</f>
        <v/>
      </c>
    </row>
    <row r="133">
      <c r="A133" s="7" t="inlineStr">
        <is>
          <t>OT-2025-0129</t>
        </is>
      </c>
      <c r="B133" s="75" t="n">
        <v>45712.36458333334</v>
      </c>
      <c r="C133" s="7" t="inlineStr">
        <is>
          <t>Plan préventif</t>
        </is>
      </c>
      <c r="D133" s="7" t="inlineStr">
        <is>
          <t>EQ-TOL-007</t>
        </is>
      </c>
      <c r="E133" s="9">
        <f>IF(D133="","",IFERROR(INDEX('Équipements'!$B$5:$B$304,MATCH(D133,'Équipements'!$A$5:$A$304,0)),"Code inconnu"))</f>
        <v/>
      </c>
      <c r="F133" s="9">
        <f>IF(D133="","",IFERROR(INDEX('Équipements'!$D$5:$D$304,MATCH(D133,'Équipements'!$A$5:$A$304,0)),""))</f>
        <v/>
      </c>
      <c r="G133" s="9">
        <f>IF(D133="","",IFERROR(INDEX('Équipements'!$K$5:$K$304,MATCH(D133,'Équipements'!$A$5:$A$304,0)),""))</f>
        <v/>
      </c>
      <c r="H133" s="7" t="inlineStr">
        <is>
          <t>Préventif systématique</t>
        </is>
      </c>
      <c r="I133" s="7" t="inlineStr">
        <is>
          <t>GP-056</t>
        </is>
      </c>
      <c r="J133" s="7" t="inlineStr">
        <is>
          <t>Mécanique</t>
        </is>
      </c>
      <c r="K133" s="7" t="inlineStr">
        <is>
          <t>P3 - Normale</t>
        </is>
      </c>
      <c r="L133" s="7" t="inlineStr">
        <is>
          <t>Graissage chaîne / galets et contrôle tension</t>
        </is>
      </c>
      <c r="M133" s="7" t="n"/>
      <c r="N133" s="7" t="inlineStr">
        <is>
          <t>Gamme réalisée - RAS</t>
        </is>
      </c>
      <c r="O133" s="7" t="inlineStr">
        <is>
          <t>Antoine Mercier</t>
        </is>
      </c>
      <c r="P133" s="65" t="n">
        <v>45719.48958333334</v>
      </c>
      <c r="Q133" s="75" t="n">
        <v>45719.44791666666</v>
      </c>
      <c r="R133" s="75" t="n">
        <v>45719.53125</v>
      </c>
      <c r="S133" s="76" t="n">
        <v>1</v>
      </c>
      <c r="T133" s="76" t="n">
        <v>2</v>
      </c>
      <c r="U133" s="70">
        <f>IF($A133="","",IFERROR(INDEX('Techniciens'!$F$5:$F$44,MATCH(O133,'Techniciens'!$B$5:$B$44,0)),'Paramètres'!$AA$10))</f>
        <v/>
      </c>
      <c r="V133" s="70">
        <f>IF($A133="","",IF(OR(AC133="Demandé",AC133="Planifié",AC133="Annulé"),0,N(T133)*N(U133)))</f>
        <v/>
      </c>
      <c r="W133" s="70">
        <f>IF($A133="","",SUMIFS('Mouvements stock'!$H$5:$H$3004,'Mouvements stock'!$I$5:$I$3004,$A133,'Mouvements stock'!$C$5:$C$3004,"Sortie")-SUMIFS('Mouvements stock'!$H$5:$H$3004,'Mouvements stock'!$I$5:$I$3004,$A133,'Mouvements stock'!$C$5:$C$3004,"Retour"))</f>
        <v/>
      </c>
      <c r="X133" s="66" t="n">
        <v>0</v>
      </c>
      <c r="Y133" s="66" t="n">
        <v>0</v>
      </c>
      <c r="Z133" s="7" t="n"/>
      <c r="AA133" s="70">
        <f>IF($A133="","",N(V133)+N(W133)+N(X133)+N(Y133))</f>
        <v/>
      </c>
      <c r="AB133" s="70">
        <f>IF($A133="","",N(S133)*'Paramètres'!$AA$9*IFERROR(INDEX('Paramètres'!$O$5:$O$7,MATCH(G133,'Paramètres'!$N$5:$N$7,0)),0))</f>
        <v/>
      </c>
      <c r="AC133" s="7" t="inlineStr">
        <is>
          <t>Clôturé</t>
        </is>
      </c>
      <c r="AD133" s="69">
        <f>IF(OR($A133="",Q133=""),"",(Q133-B133)*24)</f>
        <v/>
      </c>
      <c r="AE133" s="69">
        <f>IF(OR(Q133="",R133=""),"",(R133-Q133)*24)</f>
        <v/>
      </c>
      <c r="AF133" s="77">
        <f>IF(OR($A133="",B133=""),"",YEAR(B133))</f>
        <v/>
      </c>
      <c r="AG133" s="77">
        <f>IF(OR($A133="",B133=""),"",MONTH(B133))</f>
        <v/>
      </c>
    </row>
    <row r="134">
      <c r="A134" s="7" t="inlineStr">
        <is>
          <t>OT-2025-0130</t>
        </is>
      </c>
      <c r="B134" s="75" t="n">
        <v>45712.49305555555</v>
      </c>
      <c r="C134" s="7" t="inlineStr">
        <is>
          <t>Plan préventif</t>
        </is>
      </c>
      <c r="D134" s="7" t="inlineStr">
        <is>
          <t>EQ-UTI-010</t>
        </is>
      </c>
      <c r="E134" s="9">
        <f>IF(D134="","",IFERROR(INDEX('Équipements'!$B$5:$B$304,MATCH(D134,'Équipements'!$A$5:$A$304,0)),"Code inconnu"))</f>
        <v/>
      </c>
      <c r="F134" s="9">
        <f>IF(D134="","",IFERROR(INDEX('Équipements'!$D$5:$D$304,MATCH(D134,'Équipements'!$A$5:$A$304,0)),""))</f>
        <v/>
      </c>
      <c r="G134" s="9">
        <f>IF(D134="","",IFERROR(INDEX('Équipements'!$K$5:$K$304,MATCH(D134,'Équipements'!$A$5:$A$304,0)),""))</f>
        <v/>
      </c>
      <c r="H134" s="7" t="inlineStr">
        <is>
          <t>Préventif systématique</t>
        </is>
      </c>
      <c r="I134" s="7" t="inlineStr">
        <is>
          <t>GP-104</t>
        </is>
      </c>
      <c r="J134" s="7" t="inlineStr">
        <is>
          <t>Électrique</t>
        </is>
      </c>
      <c r="K134" s="7" t="inlineStr">
        <is>
          <t>P3 - Normale</t>
        </is>
      </c>
      <c r="L134" s="7" t="inlineStr">
        <is>
          <t>Essai mensuel à charge du groupe électrogène</t>
        </is>
      </c>
      <c r="M134" s="7" t="n"/>
      <c r="N134" s="7" t="inlineStr">
        <is>
          <t>Gamme réalisée - RAS</t>
        </is>
      </c>
      <c r="O134" s="7" t="inlineStr">
        <is>
          <t>Julien Moreau</t>
        </is>
      </c>
      <c r="P134" s="65" t="n">
        <v>45719.38541666666</v>
      </c>
      <c r="Q134" s="75" t="n">
        <v>45719.46527777778</v>
      </c>
      <c r="R134" s="75" t="n">
        <v>45719.52777777778</v>
      </c>
      <c r="S134" s="76" t="n">
        <v>0</v>
      </c>
      <c r="T134" s="76" t="n">
        <v>1.5</v>
      </c>
      <c r="U134" s="70">
        <f>IF($A134="","",IFERROR(INDEX('Techniciens'!$F$5:$F$44,MATCH(O134,'Techniciens'!$B$5:$B$44,0)),'Paramètres'!$AA$10))</f>
        <v/>
      </c>
      <c r="V134" s="70">
        <f>IF($A134="","",IF(OR(AC134="Demandé",AC134="Planifié",AC134="Annulé"),0,N(T134)*N(U134)))</f>
        <v/>
      </c>
      <c r="W134" s="70">
        <f>IF($A134="","",SUMIFS('Mouvements stock'!$H$5:$H$3004,'Mouvements stock'!$I$5:$I$3004,$A134,'Mouvements stock'!$C$5:$C$3004,"Sortie")-SUMIFS('Mouvements stock'!$H$5:$H$3004,'Mouvements stock'!$I$5:$I$3004,$A134,'Mouvements stock'!$C$5:$C$3004,"Retour"))</f>
        <v/>
      </c>
      <c r="X134" s="66" t="n">
        <v>0</v>
      </c>
      <c r="Y134" s="66" t="n">
        <v>0</v>
      </c>
      <c r="Z134" s="7" t="n"/>
      <c r="AA134" s="70">
        <f>IF($A134="","",N(V134)+N(W134)+N(X134)+N(Y134))</f>
        <v/>
      </c>
      <c r="AB134" s="70">
        <f>IF($A134="","",N(S134)*'Paramètres'!$AA$9*IFERROR(INDEX('Paramètres'!$O$5:$O$7,MATCH(G134,'Paramètres'!$N$5:$N$7,0)),0))</f>
        <v/>
      </c>
      <c r="AC134" s="7" t="inlineStr">
        <is>
          <t>Clôturé</t>
        </is>
      </c>
      <c r="AD134" s="69">
        <f>IF(OR($A134="",Q134=""),"",(Q134-B134)*24)</f>
        <v/>
      </c>
      <c r="AE134" s="69">
        <f>IF(OR(Q134="",R134=""),"",(R134-Q134)*24)</f>
        <v/>
      </c>
      <c r="AF134" s="77">
        <f>IF(OR($A134="",B134=""),"",YEAR(B134))</f>
        <v/>
      </c>
      <c r="AG134" s="77">
        <f>IF(OR($A134="",B134=""),"",MONTH(B134))</f>
        <v/>
      </c>
    </row>
    <row r="135">
      <c r="A135" s="7" t="inlineStr">
        <is>
          <t>OT-2025-0131</t>
        </is>
      </c>
      <c r="B135" s="75" t="n">
        <v>45714.22986111111</v>
      </c>
      <c r="C135" s="7" t="inlineStr">
        <is>
          <t>Hugo Blanc (chef d'équipe)</t>
        </is>
      </c>
      <c r="D135" s="7" t="inlineStr">
        <is>
          <t>EQ-SOU-001</t>
        </is>
      </c>
      <c r="E135" s="9">
        <f>IF(D135="","",IFERROR(INDEX('Équipements'!$B$5:$B$304,MATCH(D135,'Équipements'!$A$5:$A$304,0)),"Code inconnu"))</f>
        <v/>
      </c>
      <c r="F135" s="9">
        <f>IF(D135="","",IFERROR(INDEX('Équipements'!$D$5:$D$304,MATCH(D135,'Équipements'!$A$5:$A$304,0)),""))</f>
        <v/>
      </c>
      <c r="G135" s="9">
        <f>IF(D135="","",IFERROR(INDEX('Équipements'!$K$5:$K$304,MATCH(D135,'Équipements'!$A$5:$A$304,0)),""))</f>
        <v/>
      </c>
      <c r="H135" s="7" t="inlineStr">
        <is>
          <t>Correctif</t>
        </is>
      </c>
      <c r="I135" s="7" t="n"/>
      <c r="J135" s="7" t="inlineStr">
        <is>
          <t>Électrique</t>
        </is>
      </c>
      <c r="K135" s="7" t="inlineStr">
        <is>
          <t>P1 - Urgent</t>
        </is>
      </c>
      <c r="L135" s="7" t="inlineStr">
        <is>
          <t>Alarme batterie codeurs</t>
        </is>
      </c>
      <c r="M135" s="7" t="inlineStr">
        <is>
          <t>Usure</t>
        </is>
      </c>
      <c r="N135" s="7" t="inlineStr">
        <is>
          <t>Remplacement batteries codeurs, sauvegarde programmes</t>
        </is>
      </c>
      <c r="O135" s="7" t="inlineStr">
        <is>
          <t>Antoine Mercier</t>
        </is>
      </c>
      <c r="P135" s="65" t="n"/>
      <c r="Q135" s="75" t="n">
        <v>45714.25833333333</v>
      </c>
      <c r="R135" s="75" t="n">
        <v>45714.65416666667</v>
      </c>
      <c r="S135" s="76" t="n">
        <v>10.2</v>
      </c>
      <c r="T135" s="76" t="n">
        <v>9.5</v>
      </c>
      <c r="U135" s="70">
        <f>IF($A135="","",IFERROR(INDEX('Techniciens'!$F$5:$F$44,MATCH(O135,'Techniciens'!$B$5:$B$44,0)),'Paramètres'!$AA$10))</f>
        <v/>
      </c>
      <c r="V135" s="70">
        <f>IF($A135="","",IF(OR(AC135="Demandé",AC135="Planifié",AC135="Annulé"),0,N(T135)*N(U135)))</f>
        <v/>
      </c>
      <c r="W135" s="70">
        <f>IF($A135="","",SUMIFS('Mouvements stock'!$H$5:$H$3004,'Mouvements stock'!$I$5:$I$3004,$A135,'Mouvements stock'!$C$5:$C$3004,"Sortie")-SUMIFS('Mouvements stock'!$H$5:$H$3004,'Mouvements stock'!$I$5:$I$3004,$A135,'Mouvements stock'!$C$5:$C$3004,"Retour"))</f>
        <v/>
      </c>
      <c r="X135" s="66" t="n">
        <v>0</v>
      </c>
      <c r="Y135" s="66" t="n">
        <v>0</v>
      </c>
      <c r="Z135" s="7" t="n"/>
      <c r="AA135" s="70">
        <f>IF($A135="","",N(V135)+N(W135)+N(X135)+N(Y135))</f>
        <v/>
      </c>
      <c r="AB135" s="70">
        <f>IF($A135="","",N(S135)*'Paramètres'!$AA$9*IFERROR(INDEX('Paramètres'!$O$5:$O$7,MATCH(G135,'Paramètres'!$N$5:$N$7,0)),0))</f>
        <v/>
      </c>
      <c r="AC135" s="7" t="inlineStr">
        <is>
          <t>Clôturé</t>
        </is>
      </c>
      <c r="AD135" s="69">
        <f>IF(OR($A135="",Q135=""),"",(Q135-B135)*24)</f>
        <v/>
      </c>
      <c r="AE135" s="69">
        <f>IF(OR(Q135="",R135=""),"",(R135-Q135)*24)</f>
        <v/>
      </c>
      <c r="AF135" s="77">
        <f>IF(OR($A135="",B135=""),"",YEAR(B135))</f>
        <v/>
      </c>
      <c r="AG135" s="77">
        <f>IF(OR($A135="",B135=""),"",MONTH(B135))</f>
        <v/>
      </c>
    </row>
    <row r="136">
      <c r="A136" s="7" t="inlineStr">
        <is>
          <t>OT-2025-0132</t>
        </is>
      </c>
      <c r="B136" s="75" t="n">
        <v>45714.26597222222</v>
      </c>
      <c r="C136" s="7" t="inlineStr">
        <is>
          <t>Inès Girard (cheffe d'équipe)</t>
        </is>
      </c>
      <c r="D136" s="7" t="inlineStr">
        <is>
          <t>EQ-PEI-004</t>
        </is>
      </c>
      <c r="E136" s="9">
        <f>IF(D136="","",IFERROR(INDEX('Équipements'!$B$5:$B$304,MATCH(D136,'Équipements'!$A$5:$A$304,0)),"Code inconnu"))</f>
        <v/>
      </c>
      <c r="F136" s="9">
        <f>IF(D136="","",IFERROR(INDEX('Équipements'!$D$5:$D$304,MATCH(D136,'Équipements'!$A$5:$A$304,0)),""))</f>
        <v/>
      </c>
      <c r="G136" s="9">
        <f>IF(D136="","",IFERROR(INDEX('Équipements'!$K$5:$K$304,MATCH(D136,'Équipements'!$A$5:$A$304,0)),""))</f>
        <v/>
      </c>
      <c r="H136" s="7" t="inlineStr">
        <is>
          <t>Correctif</t>
        </is>
      </c>
      <c r="I136" s="7" t="n"/>
      <c r="J136" s="7" t="inlineStr">
        <is>
          <t>Mécanique</t>
        </is>
      </c>
      <c r="K136" s="7" t="inlineStr">
        <is>
          <t>P1 - Urgent</t>
        </is>
      </c>
      <c r="L136" s="7" t="inlineStr">
        <is>
          <t>Rupture / saut de chaîne</t>
        </is>
      </c>
      <c r="M136" s="7" t="inlineStr">
        <is>
          <t>Usure</t>
        </is>
      </c>
      <c r="N136" s="7" t="inlineStr">
        <is>
          <t>Remplacement maillons et galets, retension</t>
        </is>
      </c>
      <c r="O136" s="7" t="inlineStr">
        <is>
          <t>Karim Benali</t>
        </is>
      </c>
      <c r="P136" s="65" t="n"/>
      <c r="Q136" s="75" t="n">
        <v>45714.28541666667</v>
      </c>
      <c r="R136" s="75" t="n">
        <v>45714.51458333333</v>
      </c>
      <c r="S136" s="76" t="n">
        <v>6</v>
      </c>
      <c r="T136" s="76" t="n">
        <v>5.5</v>
      </c>
      <c r="U136" s="70">
        <f>IF($A136="","",IFERROR(INDEX('Techniciens'!$F$5:$F$44,MATCH(O136,'Techniciens'!$B$5:$B$44,0)),'Paramètres'!$AA$10))</f>
        <v/>
      </c>
      <c r="V136" s="70">
        <f>IF($A136="","",IF(OR(AC136="Demandé",AC136="Planifié",AC136="Annulé"),0,N(T136)*N(U136)))</f>
        <v/>
      </c>
      <c r="W136" s="70">
        <f>IF($A136="","",SUMIFS('Mouvements stock'!$H$5:$H$3004,'Mouvements stock'!$I$5:$I$3004,$A136,'Mouvements stock'!$C$5:$C$3004,"Sortie")-SUMIFS('Mouvements stock'!$H$5:$H$3004,'Mouvements stock'!$I$5:$I$3004,$A136,'Mouvements stock'!$C$5:$C$3004,"Retour"))</f>
        <v/>
      </c>
      <c r="X136" s="66" t="n">
        <v>428</v>
      </c>
      <c r="Y136" s="66" t="n">
        <v>0</v>
      </c>
      <c r="Z136" s="7" t="n"/>
      <c r="AA136" s="70">
        <f>IF($A136="","",N(V136)+N(W136)+N(X136)+N(Y136))</f>
        <v/>
      </c>
      <c r="AB136" s="70">
        <f>IF($A136="","",N(S136)*'Paramètres'!$AA$9*IFERROR(INDEX('Paramètres'!$O$5:$O$7,MATCH(G136,'Paramètres'!$N$5:$N$7,0)),0))</f>
        <v/>
      </c>
      <c r="AC136" s="7" t="inlineStr">
        <is>
          <t>Clôturé</t>
        </is>
      </c>
      <c r="AD136" s="69">
        <f>IF(OR($A136="",Q136=""),"",(Q136-B136)*24)</f>
        <v/>
      </c>
      <c r="AE136" s="69">
        <f>IF(OR(Q136="",R136=""),"",(R136-Q136)*24)</f>
        <v/>
      </c>
      <c r="AF136" s="77">
        <f>IF(OR($A136="",B136=""),"",YEAR(B136))</f>
        <v/>
      </c>
      <c r="AG136" s="77">
        <f>IF(OR($A136="",B136=""),"",MONTH(B136))</f>
        <v/>
      </c>
    </row>
    <row r="137">
      <c r="A137" s="7" t="inlineStr">
        <is>
          <t>OT-2025-0133</t>
        </is>
      </c>
      <c r="B137" s="75" t="n">
        <v>45714.38194444445</v>
      </c>
      <c r="C137" s="7" t="inlineStr">
        <is>
          <t>Plan préventif</t>
        </is>
      </c>
      <c r="D137" s="7" t="inlineStr">
        <is>
          <t>EQ-TOL-005</t>
        </is>
      </c>
      <c r="E137" s="9">
        <f>IF(D137="","",IFERROR(INDEX('Équipements'!$B$5:$B$304,MATCH(D137,'Équipements'!$A$5:$A$304,0)),"Code inconnu"))</f>
        <v/>
      </c>
      <c r="F137" s="9">
        <f>IF(D137="","",IFERROR(INDEX('Équipements'!$D$5:$D$304,MATCH(D137,'Équipements'!$A$5:$A$304,0)),""))</f>
        <v/>
      </c>
      <c r="G137" s="9">
        <f>IF(D137="","",IFERROR(INDEX('Équipements'!$K$5:$K$304,MATCH(D137,'Équipements'!$A$5:$A$304,0)),""))</f>
        <v/>
      </c>
      <c r="H137" s="7" t="inlineStr">
        <is>
          <t>Préventif systématique</t>
        </is>
      </c>
      <c r="I137" s="7" t="inlineStr">
        <is>
          <t>GP-052</t>
        </is>
      </c>
      <c r="J137" s="7" t="inlineStr">
        <is>
          <t>Électrique</t>
        </is>
      </c>
      <c r="K137" s="7" t="inlineStr">
        <is>
          <t>P3 - Normale</t>
        </is>
      </c>
      <c r="L137" s="7" t="inlineStr">
        <is>
          <t>Contrôle des sécurités (barrages, AU, pédale)</t>
        </is>
      </c>
      <c r="M137" s="7" t="n"/>
      <c r="N137" s="7" t="inlineStr">
        <is>
          <t>Gamme réalisée - RAS</t>
        </is>
      </c>
      <c r="O137" s="7" t="inlineStr">
        <is>
          <t>Julien Moreau</t>
        </is>
      </c>
      <c r="P137" s="65" t="n">
        <v>45721</v>
      </c>
      <c r="Q137" s="75" t="n">
        <v>45721.43055555555</v>
      </c>
      <c r="R137" s="75" t="n">
        <v>45721.48263888889</v>
      </c>
      <c r="S137" s="76" t="n">
        <v>1.2</v>
      </c>
      <c r="T137" s="76" t="n">
        <v>1.25</v>
      </c>
      <c r="U137" s="70">
        <f>IF($A137="","",IFERROR(INDEX('Techniciens'!$F$5:$F$44,MATCH(O137,'Techniciens'!$B$5:$B$44,0)),'Paramètres'!$AA$10))</f>
        <v/>
      </c>
      <c r="V137" s="70">
        <f>IF($A137="","",IF(OR(AC137="Demandé",AC137="Planifié",AC137="Annulé"),0,N(T137)*N(U137)))</f>
        <v/>
      </c>
      <c r="W137" s="70">
        <f>IF($A137="","",SUMIFS('Mouvements stock'!$H$5:$H$3004,'Mouvements stock'!$I$5:$I$3004,$A137,'Mouvements stock'!$C$5:$C$3004,"Sortie")-SUMIFS('Mouvements stock'!$H$5:$H$3004,'Mouvements stock'!$I$5:$I$3004,$A137,'Mouvements stock'!$C$5:$C$3004,"Retour"))</f>
        <v/>
      </c>
      <c r="X137" s="66" t="n">
        <v>0</v>
      </c>
      <c r="Y137" s="66" t="n">
        <v>0</v>
      </c>
      <c r="Z137" s="7" t="n"/>
      <c r="AA137" s="70">
        <f>IF($A137="","",N(V137)+N(W137)+N(X137)+N(Y137))</f>
        <v/>
      </c>
      <c r="AB137" s="70">
        <f>IF($A137="","",N(S137)*'Paramètres'!$AA$9*IFERROR(INDEX('Paramètres'!$O$5:$O$7,MATCH(G137,'Paramètres'!$N$5:$N$7,0)),0))</f>
        <v/>
      </c>
      <c r="AC137" s="7" t="inlineStr">
        <is>
          <t>Clôturé</t>
        </is>
      </c>
      <c r="AD137" s="69">
        <f>IF(OR($A137="",Q137=""),"",(Q137-B137)*24)</f>
        <v/>
      </c>
      <c r="AE137" s="69">
        <f>IF(OR(Q137="",R137=""),"",(R137-Q137)*24)</f>
        <v/>
      </c>
      <c r="AF137" s="77">
        <f>IF(OR($A137="",B137=""),"",YEAR(B137))</f>
        <v/>
      </c>
      <c r="AG137" s="77">
        <f>IF(OR($A137="",B137=""),"",MONTH(B137))</f>
        <v/>
      </c>
    </row>
    <row r="138">
      <c r="A138" s="7" t="inlineStr">
        <is>
          <t>OT-2025-0134</t>
        </is>
      </c>
      <c r="B138" s="75" t="n">
        <v>45714.48611111111</v>
      </c>
      <c r="C138" s="7" t="inlineStr">
        <is>
          <t>Plan préventif</t>
        </is>
      </c>
      <c r="D138" s="7" t="inlineStr">
        <is>
          <t>EQ-USI-001</t>
        </is>
      </c>
      <c r="E138" s="9">
        <f>IF(D138="","",IFERROR(INDEX('Équipements'!$B$5:$B$304,MATCH(D138,'Équipements'!$A$5:$A$304,0)),"Code inconnu"))</f>
        <v/>
      </c>
      <c r="F138" s="9">
        <f>IF(D138="","",IFERROR(INDEX('Équipements'!$D$5:$D$304,MATCH(D138,'Équipements'!$A$5:$A$304,0)),""))</f>
        <v/>
      </c>
      <c r="G138" s="9">
        <f>IF(D138="","",IFERROR(INDEX('Équipements'!$K$5:$K$304,MATCH(D138,'Équipements'!$A$5:$A$304,0)),""))</f>
        <v/>
      </c>
      <c r="H138" s="7" t="inlineStr">
        <is>
          <t>Préventif systématique</t>
        </is>
      </c>
      <c r="I138" s="7" t="inlineStr">
        <is>
          <t>GP-002</t>
        </is>
      </c>
      <c r="J138" s="7" t="inlineStr">
        <is>
          <t>Mécanique</t>
        </is>
      </c>
      <c r="K138" s="7" t="inlineStr">
        <is>
          <t>P3 - Normale</t>
        </is>
      </c>
      <c r="L138" s="7" t="inlineStr">
        <is>
          <t>Contrôle géométrie, jeux et graissage des axes</t>
        </is>
      </c>
      <c r="M138" s="7" t="n"/>
      <c r="N138" s="7" t="inlineStr">
        <is>
          <t>Gamme réalisée - DI émise pour remplacement pièce</t>
        </is>
      </c>
      <c r="O138" s="7" t="inlineStr">
        <is>
          <t>Antoine Mercier</t>
        </is>
      </c>
      <c r="P138" s="65" t="n">
        <v>45721</v>
      </c>
      <c r="Q138" s="75" t="n">
        <v>45721.375</v>
      </c>
      <c r="R138" s="75" t="n">
        <v>45721.67708333334</v>
      </c>
      <c r="S138" s="76" t="n">
        <v>7.2</v>
      </c>
      <c r="T138" s="76" t="n">
        <v>7.25</v>
      </c>
      <c r="U138" s="70">
        <f>IF($A138="","",IFERROR(INDEX('Techniciens'!$F$5:$F$44,MATCH(O138,'Techniciens'!$B$5:$B$44,0)),'Paramètres'!$AA$10))</f>
        <v/>
      </c>
      <c r="V138" s="70">
        <f>IF($A138="","",IF(OR(AC138="Demandé",AC138="Planifié",AC138="Annulé"),0,N(T138)*N(U138)))</f>
        <v/>
      </c>
      <c r="W138" s="70">
        <f>IF($A138="","",SUMIFS('Mouvements stock'!$H$5:$H$3004,'Mouvements stock'!$I$5:$I$3004,$A138,'Mouvements stock'!$C$5:$C$3004,"Sortie")-SUMIFS('Mouvements stock'!$H$5:$H$3004,'Mouvements stock'!$I$5:$I$3004,$A138,'Mouvements stock'!$C$5:$C$3004,"Retour"))</f>
        <v/>
      </c>
      <c r="X138" s="66" t="n">
        <v>0</v>
      </c>
      <c r="Y138" s="66" t="n">
        <v>0</v>
      </c>
      <c r="Z138" s="7" t="n"/>
      <c r="AA138" s="70">
        <f>IF($A138="","",N(V138)+N(W138)+N(X138)+N(Y138))</f>
        <v/>
      </c>
      <c r="AB138" s="70">
        <f>IF($A138="","",N(S138)*'Paramètres'!$AA$9*IFERROR(INDEX('Paramètres'!$O$5:$O$7,MATCH(G138,'Paramètres'!$N$5:$N$7,0)),0))</f>
        <v/>
      </c>
      <c r="AC138" s="7" t="inlineStr">
        <is>
          <t>Clôturé</t>
        </is>
      </c>
      <c r="AD138" s="69">
        <f>IF(OR($A138="",Q138=""),"",(Q138-B138)*24)</f>
        <v/>
      </c>
      <c r="AE138" s="69">
        <f>IF(OR(Q138="",R138=""),"",(R138-Q138)*24)</f>
        <v/>
      </c>
      <c r="AF138" s="77">
        <f>IF(OR($A138="",B138=""),"",YEAR(B138))</f>
        <v/>
      </c>
      <c r="AG138" s="77">
        <f>IF(OR($A138="",B138=""),"",MONTH(B138))</f>
        <v/>
      </c>
    </row>
    <row r="139">
      <c r="A139" s="7" t="inlineStr">
        <is>
          <t>OT-2025-0135</t>
        </is>
      </c>
      <c r="B139" s="75" t="n">
        <v>45715.50694444445</v>
      </c>
      <c r="C139" s="7" t="inlineStr">
        <is>
          <t>Direction industrielle</t>
        </is>
      </c>
      <c r="D139" s="7" t="inlineStr">
        <is>
          <t>EQ-PEI-004</t>
        </is>
      </c>
      <c r="E139" s="9">
        <f>IF(D139="","",IFERROR(INDEX('Équipements'!$B$5:$B$304,MATCH(D139,'Équipements'!$A$5:$A$304,0)),"Code inconnu"))</f>
        <v/>
      </c>
      <c r="F139" s="9">
        <f>IF(D139="","",IFERROR(INDEX('Équipements'!$D$5:$D$304,MATCH(D139,'Équipements'!$A$5:$A$304,0)),""))</f>
        <v/>
      </c>
      <c r="G139" s="9">
        <f>IF(D139="","",IFERROR(INDEX('Équipements'!$K$5:$K$304,MATCH(D139,'Équipements'!$A$5:$A$304,0)),""))</f>
        <v/>
      </c>
      <c r="H139" s="7" t="inlineStr">
        <is>
          <t>Amélioratif</t>
        </is>
      </c>
      <c r="I139" s="7" t="n"/>
      <c r="J139" s="7" t="inlineStr">
        <is>
          <t>Mécanique</t>
        </is>
      </c>
      <c r="K139" s="7" t="inlineStr">
        <is>
          <t>P4 - Basse</t>
        </is>
      </c>
      <c r="L139" s="7" t="inlineStr">
        <is>
          <t>Remplacement chaîne convoyeur sur 40 m (fiabilisation)</t>
        </is>
      </c>
      <c r="M139" s="7" t="n"/>
      <c r="N139" s="7" t="inlineStr">
        <is>
          <t>Réalisé conformément au devis / dossier technique</t>
        </is>
      </c>
      <c r="O139" s="7" t="inlineStr">
        <is>
          <t>Antoine Mercier</t>
        </is>
      </c>
      <c r="P139" s="65" t="n">
        <v>45726</v>
      </c>
      <c r="Q139" s="75" t="n">
        <v>45726.36805555555</v>
      </c>
      <c r="R139" s="75" t="n">
        <v>45727.76805555556</v>
      </c>
      <c r="S139" s="76" t="n">
        <v>12</v>
      </c>
      <c r="T139" s="76" t="n">
        <v>24</v>
      </c>
      <c r="U139" s="70">
        <f>IF($A139="","",IFERROR(INDEX('Techniciens'!$F$5:$F$44,MATCH(O139,'Techniciens'!$B$5:$B$44,0)),'Paramètres'!$AA$10))</f>
        <v/>
      </c>
      <c r="V139" s="70">
        <f>IF($A139="","",IF(OR(AC139="Demandé",AC139="Planifié",AC139="Annulé"),0,N(T139)*N(U139)))</f>
        <v/>
      </c>
      <c r="W139" s="70">
        <f>IF($A139="","",SUMIFS('Mouvements stock'!$H$5:$H$3004,'Mouvements stock'!$I$5:$I$3004,$A139,'Mouvements stock'!$C$5:$C$3004,"Sortie")-SUMIFS('Mouvements stock'!$H$5:$H$3004,'Mouvements stock'!$I$5:$I$3004,$A139,'Mouvements stock'!$C$5:$C$3004,"Retour"))</f>
        <v/>
      </c>
      <c r="X139" s="66" t="n">
        <v>2480</v>
      </c>
      <c r="Y139" s="66" t="n">
        <v>0</v>
      </c>
      <c r="Z139" s="7" t="n"/>
      <c r="AA139" s="70">
        <f>IF($A139="","",N(V139)+N(W139)+N(X139)+N(Y139))</f>
        <v/>
      </c>
      <c r="AB139" s="70">
        <f>IF($A139="","",N(S139)*'Paramètres'!$AA$9*IFERROR(INDEX('Paramètres'!$O$5:$O$7,MATCH(G139,'Paramètres'!$N$5:$N$7,0)),0))</f>
        <v/>
      </c>
      <c r="AC139" s="7" t="inlineStr">
        <is>
          <t>Clôturé</t>
        </is>
      </c>
      <c r="AD139" s="69">
        <f>IF(OR($A139="",Q139=""),"",(Q139-B139)*24)</f>
        <v/>
      </c>
      <c r="AE139" s="69">
        <f>IF(OR(Q139="",R139=""),"",(R139-Q139)*24)</f>
        <v/>
      </c>
      <c r="AF139" s="77">
        <f>IF(OR($A139="",B139=""),"",YEAR(B139))</f>
        <v/>
      </c>
      <c r="AG139" s="77">
        <f>IF(OR($A139="",B139=""),"",MONTH(B139))</f>
        <v/>
      </c>
    </row>
    <row r="140">
      <c r="A140" s="7" t="inlineStr">
        <is>
          <t>OT-2025-0136</t>
        </is>
      </c>
      <c r="B140" s="75" t="n">
        <v>45715.60069444445</v>
      </c>
      <c r="C140" s="7" t="inlineStr">
        <is>
          <t>Céline Morel (cheffe d'atelier)</t>
        </is>
      </c>
      <c r="D140" s="7" t="inlineStr">
        <is>
          <t>EQ-TOL-001</t>
        </is>
      </c>
      <c r="E140" s="9">
        <f>IF(D140="","",IFERROR(INDEX('Équipements'!$B$5:$B$304,MATCH(D140,'Équipements'!$A$5:$A$304,0)),"Code inconnu"))</f>
        <v/>
      </c>
      <c r="F140" s="9">
        <f>IF(D140="","",IFERROR(INDEX('Équipements'!$D$5:$D$304,MATCH(D140,'Équipements'!$A$5:$A$304,0)),""))</f>
        <v/>
      </c>
      <c r="G140" s="9">
        <f>IF(D140="","",IFERROR(INDEX('Équipements'!$K$5:$K$304,MATCH(D140,'Équipements'!$A$5:$A$304,0)),""))</f>
        <v/>
      </c>
      <c r="H140" s="7" t="inlineStr">
        <is>
          <t>Correctif</t>
        </is>
      </c>
      <c r="I140" s="7" t="n"/>
      <c r="J140" s="7" t="inlineStr">
        <is>
          <t>Mécanique</t>
        </is>
      </c>
      <c r="K140" s="7" t="inlineStr">
        <is>
          <t>P1 - Urgent</t>
        </is>
      </c>
      <c r="L140" s="7" t="inlineStr">
        <is>
          <t>Lentille de focalisation endommagée</t>
        </is>
      </c>
      <c r="M140" s="7" t="inlineStr">
        <is>
          <t>Encrassement</t>
        </is>
      </c>
      <c r="N140" s="7" t="inlineStr">
        <is>
          <t>Remplacement lentille de focalisation</t>
        </is>
      </c>
      <c r="O140" s="7" t="inlineStr">
        <is>
          <t>Antoine Mercier</t>
        </is>
      </c>
      <c r="P140" s="65" t="n"/>
      <c r="Q140" s="75" t="n">
        <v>45715.62638888889</v>
      </c>
      <c r="R140" s="75" t="n">
        <v>45716.02222222222</v>
      </c>
      <c r="S140" s="76" t="n">
        <v>10.1</v>
      </c>
      <c r="T140" s="76" t="n">
        <v>9.5</v>
      </c>
      <c r="U140" s="70">
        <f>IF($A140="","",IFERROR(INDEX('Techniciens'!$F$5:$F$44,MATCH(O140,'Techniciens'!$B$5:$B$44,0)),'Paramètres'!$AA$10))</f>
        <v/>
      </c>
      <c r="V140" s="70">
        <f>IF($A140="","",IF(OR(AC140="Demandé",AC140="Planifié",AC140="Annulé"),0,N(T140)*N(U140)))</f>
        <v/>
      </c>
      <c r="W140" s="70">
        <f>IF($A140="","",SUMIFS('Mouvements stock'!$H$5:$H$3004,'Mouvements stock'!$I$5:$I$3004,$A140,'Mouvements stock'!$C$5:$C$3004,"Sortie")-SUMIFS('Mouvements stock'!$H$5:$H$3004,'Mouvements stock'!$I$5:$I$3004,$A140,'Mouvements stock'!$C$5:$C$3004,"Retour"))</f>
        <v/>
      </c>
      <c r="X140" s="66" t="n">
        <v>0</v>
      </c>
      <c r="Y140" s="66" t="n">
        <v>0</v>
      </c>
      <c r="Z140" s="7" t="n"/>
      <c r="AA140" s="70">
        <f>IF($A140="","",N(V140)+N(W140)+N(X140)+N(Y140))</f>
        <v/>
      </c>
      <c r="AB140" s="70">
        <f>IF($A140="","",N(S140)*'Paramètres'!$AA$9*IFERROR(INDEX('Paramètres'!$O$5:$O$7,MATCH(G140,'Paramètres'!$N$5:$N$7,0)),0))</f>
        <v/>
      </c>
      <c r="AC140" s="7" t="inlineStr">
        <is>
          <t>Clôturé</t>
        </is>
      </c>
      <c r="AD140" s="69">
        <f>IF(OR($A140="",Q140=""),"",(Q140-B140)*24)</f>
        <v/>
      </c>
      <c r="AE140" s="69">
        <f>IF(OR(Q140="",R140=""),"",(R140-Q140)*24)</f>
        <v/>
      </c>
      <c r="AF140" s="77">
        <f>IF(OR($A140="",B140=""),"",YEAR(B140))</f>
        <v/>
      </c>
      <c r="AG140" s="77">
        <f>IF(OR($A140="",B140=""),"",MONTH(B140))</f>
        <v/>
      </c>
    </row>
    <row r="141">
      <c r="A141" s="7" t="inlineStr">
        <is>
          <t>OT-2025-0137</t>
        </is>
      </c>
      <c r="B141" s="75" t="n">
        <v>45716.42708333334</v>
      </c>
      <c r="C141" s="7" t="inlineStr">
        <is>
          <t>Plan préventif</t>
        </is>
      </c>
      <c r="D141" s="7" t="inlineStr">
        <is>
          <t>EQ-USI-006</t>
        </is>
      </c>
      <c r="E141" s="9">
        <f>IF(D141="","",IFERROR(INDEX('Équipements'!$B$5:$B$304,MATCH(D141,'Équipements'!$A$5:$A$304,0)),"Code inconnu"))</f>
        <v/>
      </c>
      <c r="F141" s="9">
        <f>IF(D141="","",IFERROR(INDEX('Équipements'!$D$5:$D$304,MATCH(D141,'Équipements'!$A$5:$A$304,0)),""))</f>
        <v/>
      </c>
      <c r="G141" s="9">
        <f>IF(D141="","",IFERROR(INDEX('Équipements'!$K$5:$K$304,MATCH(D141,'Équipements'!$A$5:$A$304,0)),""))</f>
        <v/>
      </c>
      <c r="H141" s="7" t="inlineStr">
        <is>
          <t>Préventif systématique</t>
        </is>
      </c>
      <c r="I141" s="7" t="inlineStr">
        <is>
          <t>GP-022</t>
        </is>
      </c>
      <c r="J141" s="7" t="inlineStr">
        <is>
          <t>Mécanique</t>
        </is>
      </c>
      <c r="K141" s="7" t="inlineStr">
        <is>
          <t>P3 - Normale</t>
        </is>
      </c>
      <c r="L141" s="7" t="inlineStr">
        <is>
          <t>Contrôle géométrie, jeux et graissage des axes</t>
        </is>
      </c>
      <c r="M141" s="7" t="n"/>
      <c r="N141" s="7" t="inlineStr">
        <is>
          <t>Gamme réalisée - RAS</t>
        </is>
      </c>
      <c r="O141" s="7" t="inlineStr">
        <is>
          <t>Antoine Mercier</t>
        </is>
      </c>
      <c r="P141" s="65" t="n">
        <v>45723</v>
      </c>
      <c r="Q141" s="75" t="n">
        <v>45723.30555555555</v>
      </c>
      <c r="R141" s="75" t="n">
        <v>45723.58680555555</v>
      </c>
      <c r="S141" s="76" t="n">
        <v>0</v>
      </c>
      <c r="T141" s="76" t="n">
        <v>6.75</v>
      </c>
      <c r="U141" s="70">
        <f>IF($A141="","",IFERROR(INDEX('Techniciens'!$F$5:$F$44,MATCH(O141,'Techniciens'!$B$5:$B$44,0)),'Paramètres'!$AA$10))</f>
        <v/>
      </c>
      <c r="V141" s="70">
        <f>IF($A141="","",IF(OR(AC141="Demandé",AC141="Planifié",AC141="Annulé"),0,N(T141)*N(U141)))</f>
        <v/>
      </c>
      <c r="W141" s="70">
        <f>IF($A141="","",SUMIFS('Mouvements stock'!$H$5:$H$3004,'Mouvements stock'!$I$5:$I$3004,$A141,'Mouvements stock'!$C$5:$C$3004,"Sortie")-SUMIFS('Mouvements stock'!$H$5:$H$3004,'Mouvements stock'!$I$5:$I$3004,$A141,'Mouvements stock'!$C$5:$C$3004,"Retour"))</f>
        <v/>
      </c>
      <c r="X141" s="66" t="n">
        <v>0</v>
      </c>
      <c r="Y141" s="66" t="n">
        <v>0</v>
      </c>
      <c r="Z141" s="7" t="n"/>
      <c r="AA141" s="70">
        <f>IF($A141="","",N(V141)+N(W141)+N(X141)+N(Y141))</f>
        <v/>
      </c>
      <c r="AB141" s="70">
        <f>IF($A141="","",N(S141)*'Paramètres'!$AA$9*IFERROR(INDEX('Paramètres'!$O$5:$O$7,MATCH(G141,'Paramètres'!$N$5:$N$7,0)),0))</f>
        <v/>
      </c>
      <c r="AC141" s="7" t="inlineStr">
        <is>
          <t>Clôturé</t>
        </is>
      </c>
      <c r="AD141" s="69">
        <f>IF(OR($A141="",Q141=""),"",(Q141-B141)*24)</f>
        <v/>
      </c>
      <c r="AE141" s="69">
        <f>IF(OR(Q141="",R141=""),"",(R141-Q141)*24)</f>
        <v/>
      </c>
      <c r="AF141" s="77">
        <f>IF(OR($A141="",B141=""),"",YEAR(B141))</f>
        <v/>
      </c>
      <c r="AG141" s="77">
        <f>IF(OR($A141="",B141=""),"",MONTH(B141))</f>
        <v/>
      </c>
    </row>
    <row r="142">
      <c r="A142" s="7" t="inlineStr">
        <is>
          <t>OT-2025-0138</t>
        </is>
      </c>
      <c r="B142" s="75" t="n">
        <v>45719.34027777778</v>
      </c>
      <c r="C142" s="7" t="inlineStr">
        <is>
          <t>Plan préventif</t>
        </is>
      </c>
      <c r="D142" s="7" t="inlineStr">
        <is>
          <t>EQ-USI-005</t>
        </is>
      </c>
      <c r="E142" s="9">
        <f>IF(D142="","",IFERROR(INDEX('Équipements'!$B$5:$B$304,MATCH(D142,'Équipements'!$A$5:$A$304,0)),"Code inconnu"))</f>
        <v/>
      </c>
      <c r="F142" s="9">
        <f>IF(D142="","",IFERROR(INDEX('Équipements'!$D$5:$D$304,MATCH(D142,'Équipements'!$A$5:$A$304,0)),""))</f>
        <v/>
      </c>
      <c r="G142" s="9">
        <f>IF(D142="","",IFERROR(INDEX('Équipements'!$K$5:$K$304,MATCH(D142,'Équipements'!$A$5:$A$304,0)),""))</f>
        <v/>
      </c>
      <c r="H142" s="7" t="inlineStr">
        <is>
          <t>Préventif systématique</t>
        </is>
      </c>
      <c r="I142" s="7" t="inlineStr">
        <is>
          <t>GP-018</t>
        </is>
      </c>
      <c r="J142" s="7" t="inlineStr">
        <is>
          <t>Mécanique</t>
        </is>
      </c>
      <c r="K142" s="7" t="inlineStr">
        <is>
          <t>P3 - Normale</t>
        </is>
      </c>
      <c r="L142" s="7" t="inlineStr">
        <is>
          <t>Contrôle géométrie, jeux et graissage des axes</t>
        </is>
      </c>
      <c r="M142" s="7" t="n"/>
      <c r="N142" s="7" t="inlineStr">
        <is>
          <t>Gamme réalisée - RAS</t>
        </is>
      </c>
      <c r="O142" s="7" t="inlineStr">
        <is>
          <t>Antoine Mercier</t>
        </is>
      </c>
      <c r="P142" s="65" t="n">
        <v>45726</v>
      </c>
      <c r="Q142" s="75" t="n">
        <v>45726.61111111111</v>
      </c>
      <c r="R142" s="75" t="n">
        <v>45726.91319444445</v>
      </c>
      <c r="S142" s="76" t="n">
        <v>7.2</v>
      </c>
      <c r="T142" s="76" t="n">
        <v>7.25</v>
      </c>
      <c r="U142" s="70">
        <f>IF($A142="","",IFERROR(INDEX('Techniciens'!$F$5:$F$44,MATCH(O142,'Techniciens'!$B$5:$B$44,0)),'Paramètres'!$AA$10))</f>
        <v/>
      </c>
      <c r="V142" s="70">
        <f>IF($A142="","",IF(OR(AC142="Demandé",AC142="Planifié",AC142="Annulé"),0,N(T142)*N(U142)))</f>
        <v/>
      </c>
      <c r="W142" s="70">
        <f>IF($A142="","",SUMIFS('Mouvements stock'!$H$5:$H$3004,'Mouvements stock'!$I$5:$I$3004,$A142,'Mouvements stock'!$C$5:$C$3004,"Sortie")-SUMIFS('Mouvements stock'!$H$5:$H$3004,'Mouvements stock'!$I$5:$I$3004,$A142,'Mouvements stock'!$C$5:$C$3004,"Retour"))</f>
        <v/>
      </c>
      <c r="X142" s="66" t="n">
        <v>0</v>
      </c>
      <c r="Y142" s="66" t="n">
        <v>0</v>
      </c>
      <c r="Z142" s="7" t="n"/>
      <c r="AA142" s="70">
        <f>IF($A142="","",N(V142)+N(W142)+N(X142)+N(Y142))</f>
        <v/>
      </c>
      <c r="AB142" s="70">
        <f>IF($A142="","",N(S142)*'Paramètres'!$AA$9*IFERROR(INDEX('Paramètres'!$O$5:$O$7,MATCH(G142,'Paramètres'!$N$5:$N$7,0)),0))</f>
        <v/>
      </c>
      <c r="AC142" s="7" t="inlineStr">
        <is>
          <t>Clôturé</t>
        </is>
      </c>
      <c r="AD142" s="69">
        <f>IF(OR($A142="",Q142=""),"",(Q142-B142)*24)</f>
        <v/>
      </c>
      <c r="AE142" s="69">
        <f>IF(OR(Q142="",R142=""),"",(R142-Q142)*24)</f>
        <v/>
      </c>
      <c r="AF142" s="77">
        <f>IF(OR($A142="",B142=""),"",YEAR(B142))</f>
        <v/>
      </c>
      <c r="AG142" s="77">
        <f>IF(OR($A142="",B142=""),"",MONTH(B142))</f>
        <v/>
      </c>
    </row>
    <row r="143">
      <c r="A143" s="7" t="inlineStr">
        <is>
          <t>OT-2025-0139</t>
        </is>
      </c>
      <c r="B143" s="75" t="n">
        <v>45719.36458333334</v>
      </c>
      <c r="C143" s="7" t="inlineStr">
        <is>
          <t>Plan préventif</t>
        </is>
      </c>
      <c r="D143" s="7" t="inlineStr">
        <is>
          <t>EQ-UTI-002</t>
        </is>
      </c>
      <c r="E143" s="9">
        <f>IF(D143="","",IFERROR(INDEX('Équipements'!$B$5:$B$304,MATCH(D143,'Équipements'!$A$5:$A$304,0)),"Code inconnu"))</f>
        <v/>
      </c>
      <c r="F143" s="9">
        <f>IF(D143="","",IFERROR(INDEX('Équipements'!$D$5:$D$304,MATCH(D143,'Équipements'!$A$5:$A$304,0)),""))</f>
        <v/>
      </c>
      <c r="G143" s="9">
        <f>IF(D143="","",IFERROR(INDEX('Équipements'!$K$5:$K$304,MATCH(D143,'Équipements'!$A$5:$A$304,0)),""))</f>
        <v/>
      </c>
      <c r="H143" s="7" t="inlineStr">
        <is>
          <t>Préventif conditionnel</t>
        </is>
      </c>
      <c r="I143" s="7" t="inlineStr">
        <is>
          <t>GP-089</t>
        </is>
      </c>
      <c r="J143" s="7" t="inlineStr">
        <is>
          <t>Mécanique</t>
        </is>
      </c>
      <c r="K143" s="7" t="inlineStr">
        <is>
          <t>P3 - Normale</t>
        </is>
      </c>
      <c r="L143" s="7" t="inlineStr">
        <is>
          <t>Entretien 2000 h : filtres air/huile, séparateur</t>
        </is>
      </c>
      <c r="M143" s="7" t="n"/>
      <c r="N143" s="7" t="inlineStr">
        <is>
          <t>Gamme réalisée - RAS</t>
        </is>
      </c>
      <c r="O143" s="7" t="inlineStr">
        <is>
          <t>Antoine Mercier</t>
        </is>
      </c>
      <c r="P143" s="65" t="n">
        <v>45726</v>
      </c>
      <c r="Q143" s="75" t="n">
        <v>45726.48611111111</v>
      </c>
      <c r="R143" s="75" t="n">
        <v>45726.67361111111</v>
      </c>
      <c r="S143" s="76" t="n">
        <v>0</v>
      </c>
      <c r="T143" s="76" t="n">
        <v>4.5</v>
      </c>
      <c r="U143" s="70">
        <f>IF($A143="","",IFERROR(INDEX('Techniciens'!$F$5:$F$44,MATCH(O143,'Techniciens'!$B$5:$B$44,0)),'Paramètres'!$AA$10))</f>
        <v/>
      </c>
      <c r="V143" s="70">
        <f>IF($A143="","",IF(OR(AC143="Demandé",AC143="Planifié",AC143="Annulé"),0,N(T143)*N(U143)))</f>
        <v/>
      </c>
      <c r="W143" s="70">
        <f>IF($A143="","",SUMIFS('Mouvements stock'!$H$5:$H$3004,'Mouvements stock'!$I$5:$I$3004,$A143,'Mouvements stock'!$C$5:$C$3004,"Sortie")-SUMIFS('Mouvements stock'!$H$5:$H$3004,'Mouvements stock'!$I$5:$I$3004,$A143,'Mouvements stock'!$C$5:$C$3004,"Retour"))</f>
        <v/>
      </c>
      <c r="X143" s="66" t="n">
        <v>0</v>
      </c>
      <c r="Y143" s="66" t="n">
        <v>0</v>
      </c>
      <c r="Z143" s="7" t="n"/>
      <c r="AA143" s="70">
        <f>IF($A143="","",N(V143)+N(W143)+N(X143)+N(Y143))</f>
        <v/>
      </c>
      <c r="AB143" s="70">
        <f>IF($A143="","",N(S143)*'Paramètres'!$AA$9*IFERROR(INDEX('Paramètres'!$O$5:$O$7,MATCH(G143,'Paramètres'!$N$5:$N$7,0)),0))</f>
        <v/>
      </c>
      <c r="AC143" s="7" t="inlineStr">
        <is>
          <t>Clôturé</t>
        </is>
      </c>
      <c r="AD143" s="69">
        <f>IF(OR($A143="",Q143=""),"",(Q143-B143)*24)</f>
        <v/>
      </c>
      <c r="AE143" s="69">
        <f>IF(OR(Q143="",R143=""),"",(R143-Q143)*24)</f>
        <v/>
      </c>
      <c r="AF143" s="77">
        <f>IF(OR($A143="",B143=""),"",YEAR(B143))</f>
        <v/>
      </c>
      <c r="AG143" s="77">
        <f>IF(OR($A143="",B143=""),"",MONTH(B143))</f>
        <v/>
      </c>
    </row>
    <row r="144">
      <c r="A144" s="7" t="inlineStr">
        <is>
          <t>OT-2025-0140</t>
        </is>
      </c>
      <c r="B144" s="75" t="n">
        <v>45719.46875</v>
      </c>
      <c r="C144" s="7" t="inlineStr">
        <is>
          <t>Plan préventif</t>
        </is>
      </c>
      <c r="D144" s="7" t="inlineStr">
        <is>
          <t>EQ-TOL-006</t>
        </is>
      </c>
      <c r="E144" s="9">
        <f>IF(D144="","",IFERROR(INDEX('Équipements'!$B$5:$B$304,MATCH(D144,'Équipements'!$A$5:$A$304,0)),"Code inconnu"))</f>
        <v/>
      </c>
      <c r="F144" s="9">
        <f>IF(D144="","",IFERROR(INDEX('Équipements'!$D$5:$D$304,MATCH(D144,'Équipements'!$A$5:$A$304,0)),""))</f>
        <v/>
      </c>
      <c r="G144" s="9">
        <f>IF(D144="","",IFERROR(INDEX('Équipements'!$K$5:$K$304,MATCH(D144,'Équipements'!$A$5:$A$304,0)),""))</f>
        <v/>
      </c>
      <c r="H144" s="7" t="inlineStr">
        <is>
          <t>Préventif systématique</t>
        </is>
      </c>
      <c r="I144" s="7" t="inlineStr">
        <is>
          <t>GP-053</t>
        </is>
      </c>
      <c r="J144" s="7" t="inlineStr">
        <is>
          <t>Hydraulique</t>
        </is>
      </c>
      <c r="K144" s="7" t="inlineStr">
        <is>
          <t>P3 - Normale</t>
        </is>
      </c>
      <c r="L144" s="7" t="inlineStr">
        <is>
          <t>Contrôle hydraulique : fuites, niveaux, pressions</t>
        </is>
      </c>
      <c r="M144" s="7" t="n"/>
      <c r="N144" s="7" t="inlineStr">
        <is>
          <t>Gamme réalisée - RAS</t>
        </is>
      </c>
      <c r="O144" s="7" t="inlineStr">
        <is>
          <t>Antoine Mercier</t>
        </is>
      </c>
      <c r="P144" s="65" t="n">
        <v>45726</v>
      </c>
      <c r="Q144" s="75" t="n">
        <v>45726.25</v>
      </c>
      <c r="R144" s="75" t="n">
        <v>45726.35416666666</v>
      </c>
      <c r="S144" s="76" t="n">
        <v>0</v>
      </c>
      <c r="T144" s="76" t="n">
        <v>2.5</v>
      </c>
      <c r="U144" s="70">
        <f>IF($A144="","",IFERROR(INDEX('Techniciens'!$F$5:$F$44,MATCH(O144,'Techniciens'!$B$5:$B$44,0)),'Paramètres'!$AA$10))</f>
        <v/>
      </c>
      <c r="V144" s="70">
        <f>IF($A144="","",IF(OR(AC144="Demandé",AC144="Planifié",AC144="Annulé"),0,N(T144)*N(U144)))</f>
        <v/>
      </c>
      <c r="W144" s="70">
        <f>IF($A144="","",SUMIFS('Mouvements stock'!$H$5:$H$3004,'Mouvements stock'!$I$5:$I$3004,$A144,'Mouvements stock'!$C$5:$C$3004,"Sortie")-SUMIFS('Mouvements stock'!$H$5:$H$3004,'Mouvements stock'!$I$5:$I$3004,$A144,'Mouvements stock'!$C$5:$C$3004,"Retour"))</f>
        <v/>
      </c>
      <c r="X144" s="66" t="n">
        <v>0</v>
      </c>
      <c r="Y144" s="66" t="n">
        <v>0</v>
      </c>
      <c r="Z144" s="7" t="n"/>
      <c r="AA144" s="70">
        <f>IF($A144="","",N(V144)+N(W144)+N(X144)+N(Y144))</f>
        <v/>
      </c>
      <c r="AB144" s="70">
        <f>IF($A144="","",N(S144)*'Paramètres'!$AA$9*IFERROR(INDEX('Paramètres'!$O$5:$O$7,MATCH(G144,'Paramètres'!$N$5:$N$7,0)),0))</f>
        <v/>
      </c>
      <c r="AC144" s="7" t="inlineStr">
        <is>
          <t>Clôturé</t>
        </is>
      </c>
      <c r="AD144" s="69">
        <f>IF(OR($A144="",Q144=""),"",(Q144-B144)*24)</f>
        <v/>
      </c>
      <c r="AE144" s="69">
        <f>IF(OR(Q144="",R144=""),"",(R144-Q144)*24)</f>
        <v/>
      </c>
      <c r="AF144" s="77">
        <f>IF(OR($A144="",B144=""),"",YEAR(B144))</f>
        <v/>
      </c>
      <c r="AG144" s="77">
        <f>IF(OR($A144="",B144=""),"",MONTH(B144))</f>
        <v/>
      </c>
    </row>
    <row r="145">
      <c r="A145" s="7" t="inlineStr">
        <is>
          <t>OT-2025-0141</t>
        </is>
      </c>
      <c r="B145" s="75" t="n">
        <v>45719.46875</v>
      </c>
      <c r="C145" s="7" t="inlineStr">
        <is>
          <t>Plan préventif</t>
        </is>
      </c>
      <c r="D145" s="7" t="inlineStr">
        <is>
          <t>EQ-PEI-001</t>
        </is>
      </c>
      <c r="E145" s="9">
        <f>IF(D145="","",IFERROR(INDEX('Équipements'!$B$5:$B$304,MATCH(D145,'Équipements'!$A$5:$A$304,0)),"Code inconnu"))</f>
        <v/>
      </c>
      <c r="F145" s="9">
        <f>IF(D145="","",IFERROR(INDEX('Équipements'!$D$5:$D$304,MATCH(D145,'Équipements'!$A$5:$A$304,0)),""))</f>
        <v/>
      </c>
      <c r="G145" s="9">
        <f>IF(D145="","",IFERROR(INDEX('Équipements'!$K$5:$K$304,MATCH(D145,'Équipements'!$A$5:$A$304,0)),""))</f>
        <v/>
      </c>
      <c r="H145" s="7" t="inlineStr">
        <is>
          <t>Préventif systématique</t>
        </is>
      </c>
      <c r="I145" s="7" t="inlineStr">
        <is>
          <t>GP-066</t>
        </is>
      </c>
      <c r="J145" s="7" t="inlineStr">
        <is>
          <t>Mécanique</t>
        </is>
      </c>
      <c r="K145" s="7" t="inlineStr">
        <is>
          <t>P3 - Normale</t>
        </is>
      </c>
      <c r="L145" s="7" t="inlineStr">
        <is>
          <t>Nettoyage et remplacement des filtres</t>
        </is>
      </c>
      <c r="M145" s="7" t="n"/>
      <c r="N145" s="7" t="inlineStr">
        <is>
          <t>Gamme réalisée - RAS</t>
        </is>
      </c>
      <c r="O145" s="7" t="inlineStr">
        <is>
          <t>Lucas Fontaine</t>
        </is>
      </c>
      <c r="P145" s="65" t="n">
        <v>45726.71180555555</v>
      </c>
      <c r="Q145" s="75" t="n">
        <v>45726.52083333334</v>
      </c>
      <c r="R145" s="75" t="n">
        <v>45726.65625</v>
      </c>
      <c r="S145" s="76" t="n">
        <v>3.2</v>
      </c>
      <c r="T145" s="76" t="n">
        <v>3.25</v>
      </c>
      <c r="U145" s="70">
        <f>IF($A145="","",IFERROR(INDEX('Techniciens'!$F$5:$F$44,MATCH(O145,'Techniciens'!$B$5:$B$44,0)),'Paramètres'!$AA$10))</f>
        <v/>
      </c>
      <c r="V145" s="70">
        <f>IF($A145="","",IF(OR(AC145="Demandé",AC145="Planifié",AC145="Annulé"),0,N(T145)*N(U145)))</f>
        <v/>
      </c>
      <c r="W145" s="70">
        <f>IF($A145="","",SUMIFS('Mouvements stock'!$H$5:$H$3004,'Mouvements stock'!$I$5:$I$3004,$A145,'Mouvements stock'!$C$5:$C$3004,"Sortie")-SUMIFS('Mouvements stock'!$H$5:$H$3004,'Mouvements stock'!$I$5:$I$3004,$A145,'Mouvements stock'!$C$5:$C$3004,"Retour"))</f>
        <v/>
      </c>
      <c r="X145" s="66" t="n">
        <v>0</v>
      </c>
      <c r="Y145" s="66" t="n">
        <v>0</v>
      </c>
      <c r="Z145" s="7" t="n"/>
      <c r="AA145" s="70">
        <f>IF($A145="","",N(V145)+N(W145)+N(X145)+N(Y145))</f>
        <v/>
      </c>
      <c r="AB145" s="70">
        <f>IF($A145="","",N(S145)*'Paramètres'!$AA$9*IFERROR(INDEX('Paramètres'!$O$5:$O$7,MATCH(G145,'Paramètres'!$N$5:$N$7,0)),0))</f>
        <v/>
      </c>
      <c r="AC145" s="7" t="inlineStr">
        <is>
          <t>Clôturé</t>
        </is>
      </c>
      <c r="AD145" s="69">
        <f>IF(OR($A145="",Q145=""),"",(Q145-B145)*24)</f>
        <v/>
      </c>
      <c r="AE145" s="69">
        <f>IF(OR(Q145="",R145=""),"",(R145-Q145)*24)</f>
        <v/>
      </c>
      <c r="AF145" s="77">
        <f>IF(OR($A145="",B145=""),"",YEAR(B145))</f>
        <v/>
      </c>
      <c r="AG145" s="77">
        <f>IF(OR($A145="",B145=""),"",MONTH(B145))</f>
        <v/>
      </c>
    </row>
    <row r="146">
      <c r="A146" s="7" t="inlineStr">
        <is>
          <t>OT-2025-0142</t>
        </is>
      </c>
      <c r="B146" s="75" t="n">
        <v>45719.62777777778</v>
      </c>
      <c r="C146" s="7" t="inlineStr">
        <is>
          <t>Opérateur tôlerie</t>
        </is>
      </c>
      <c r="D146" s="7" t="inlineStr">
        <is>
          <t>EQ-TOL-003</t>
        </is>
      </c>
      <c r="E146" s="9">
        <f>IF(D146="","",IFERROR(INDEX('Équipements'!$B$5:$B$304,MATCH(D146,'Équipements'!$A$5:$A$304,0)),"Code inconnu"))</f>
        <v/>
      </c>
      <c r="F146" s="9">
        <f>IF(D146="","",IFERROR(INDEX('Équipements'!$D$5:$D$304,MATCH(D146,'Équipements'!$A$5:$A$304,0)),""))</f>
        <v/>
      </c>
      <c r="G146" s="9">
        <f>IF(D146="","",IFERROR(INDEX('Équipements'!$K$5:$K$304,MATCH(D146,'Équipements'!$A$5:$A$304,0)),""))</f>
        <v/>
      </c>
      <c r="H146" s="7" t="inlineStr">
        <is>
          <t>Correctif</t>
        </is>
      </c>
      <c r="I146" s="7" t="n"/>
      <c r="J146" s="7" t="inlineStr">
        <is>
          <t>Mécanique</t>
        </is>
      </c>
      <c r="K146" s="7" t="inlineStr">
        <is>
          <t>P1 - Urgent</t>
        </is>
      </c>
      <c r="L146" s="7" t="inlineStr">
        <is>
          <t>Butée arrière bloquée</t>
        </is>
      </c>
      <c r="M146" s="7" t="inlineStr">
        <is>
          <t>Cause inconnue</t>
        </is>
      </c>
      <c r="N146" s="7" t="inlineStr">
        <is>
          <t>Remplacement courroie et réglage butée</t>
        </is>
      </c>
      <c r="O146" s="7" t="inlineStr">
        <is>
          <t>Karim Benali</t>
        </is>
      </c>
      <c r="P146" s="65" t="n"/>
      <c r="Q146" s="75" t="n">
        <v>45719.66180555556</v>
      </c>
      <c r="R146" s="75" t="n">
        <v>45719.94305555556</v>
      </c>
      <c r="S146" s="76" t="n">
        <v>7.6</v>
      </c>
      <c r="T146" s="76" t="n">
        <v>6.75</v>
      </c>
      <c r="U146" s="70">
        <f>IF($A146="","",IFERROR(INDEX('Techniciens'!$F$5:$F$44,MATCH(O146,'Techniciens'!$B$5:$B$44,0)),'Paramètres'!$AA$10))</f>
        <v/>
      </c>
      <c r="V146" s="70">
        <f>IF($A146="","",IF(OR(AC146="Demandé",AC146="Planifié",AC146="Annulé"),0,N(T146)*N(U146)))</f>
        <v/>
      </c>
      <c r="W146" s="70">
        <f>IF($A146="","",SUMIFS('Mouvements stock'!$H$5:$H$3004,'Mouvements stock'!$I$5:$I$3004,$A146,'Mouvements stock'!$C$5:$C$3004,"Sortie")-SUMIFS('Mouvements stock'!$H$5:$H$3004,'Mouvements stock'!$I$5:$I$3004,$A146,'Mouvements stock'!$C$5:$C$3004,"Retour"))</f>
        <v/>
      </c>
      <c r="X146" s="66" t="n">
        <v>0</v>
      </c>
      <c r="Y146" s="66" t="n">
        <v>0</v>
      </c>
      <c r="Z146" s="7" t="n"/>
      <c r="AA146" s="70">
        <f>IF($A146="","",N(V146)+N(W146)+N(X146)+N(Y146))</f>
        <v/>
      </c>
      <c r="AB146" s="70">
        <f>IF($A146="","",N(S146)*'Paramètres'!$AA$9*IFERROR(INDEX('Paramètres'!$O$5:$O$7,MATCH(G146,'Paramètres'!$N$5:$N$7,0)),0))</f>
        <v/>
      </c>
      <c r="AC146" s="7" t="inlineStr">
        <is>
          <t>Clôturé</t>
        </is>
      </c>
      <c r="AD146" s="69">
        <f>IF(OR($A146="",Q146=""),"",(Q146-B146)*24)</f>
        <v/>
      </c>
      <c r="AE146" s="69">
        <f>IF(OR(Q146="",R146=""),"",(R146-Q146)*24)</f>
        <v/>
      </c>
      <c r="AF146" s="77">
        <f>IF(OR($A146="",B146=""),"",YEAR(B146))</f>
        <v/>
      </c>
      <c r="AG146" s="77">
        <f>IF(OR($A146="",B146=""),"",MONTH(B146))</f>
        <v/>
      </c>
    </row>
    <row r="147">
      <c r="A147" s="7" t="inlineStr">
        <is>
          <t>OT-2025-0143</t>
        </is>
      </c>
      <c r="B147" s="75" t="n">
        <v>45719.81527777778</v>
      </c>
      <c r="C147" s="7" t="inlineStr">
        <is>
          <t>Cariste</t>
        </is>
      </c>
      <c r="D147" s="7" t="inlineStr">
        <is>
          <t>EQ-LOG-001</t>
        </is>
      </c>
      <c r="E147" s="9">
        <f>IF(D147="","",IFERROR(INDEX('Équipements'!$B$5:$B$304,MATCH(D147,'Équipements'!$A$5:$A$304,0)),"Code inconnu"))</f>
        <v/>
      </c>
      <c r="F147" s="9">
        <f>IF(D147="","",IFERROR(INDEX('Équipements'!$D$5:$D$304,MATCH(D147,'Équipements'!$A$5:$A$304,0)),""))</f>
        <v/>
      </c>
      <c r="G147" s="9">
        <f>IF(D147="","",IFERROR(INDEX('Équipements'!$K$5:$K$304,MATCH(D147,'Équipements'!$A$5:$A$304,0)),""))</f>
        <v/>
      </c>
      <c r="H147" s="7" t="inlineStr">
        <is>
          <t>Correctif</t>
        </is>
      </c>
      <c r="I147" s="7" t="n"/>
      <c r="J147" s="7" t="inlineStr">
        <is>
          <t>Électrique</t>
        </is>
      </c>
      <c r="K147" s="7" t="inlineStr">
        <is>
          <t>P1 - Urgent</t>
        </is>
      </c>
      <c r="L147" s="7" t="inlineStr">
        <is>
          <t>Avertisseur / feux défectueux</t>
        </is>
      </c>
      <c r="M147" s="7" t="inlineStr">
        <is>
          <t>Défaut électrique</t>
        </is>
      </c>
      <c r="N147" s="7" t="inlineStr">
        <is>
          <t>Remplacement contacteur</t>
        </is>
      </c>
      <c r="O147" s="7" t="inlineStr">
        <is>
          <t>Thomas Petit</t>
        </is>
      </c>
      <c r="P147" s="65" t="n"/>
      <c r="Q147" s="75" t="n">
        <v>45719.84305555555</v>
      </c>
      <c r="R147" s="75" t="n">
        <v>45720.07222222222</v>
      </c>
      <c r="S147" s="76" t="n">
        <v>1.9</v>
      </c>
      <c r="T147" s="76" t="n">
        <v>5.5</v>
      </c>
      <c r="U147" s="70">
        <f>IF($A147="","",IFERROR(INDEX('Techniciens'!$F$5:$F$44,MATCH(O147,'Techniciens'!$B$5:$B$44,0)),'Paramètres'!$AA$10))</f>
        <v/>
      </c>
      <c r="V147" s="70">
        <f>IF($A147="","",IF(OR(AC147="Demandé",AC147="Planifié",AC147="Annulé"),0,N(T147)*N(U147)))</f>
        <v/>
      </c>
      <c r="W147" s="70">
        <f>IF($A147="","",SUMIFS('Mouvements stock'!$H$5:$H$3004,'Mouvements stock'!$I$5:$I$3004,$A147,'Mouvements stock'!$C$5:$C$3004,"Sortie")-SUMIFS('Mouvements stock'!$H$5:$H$3004,'Mouvements stock'!$I$5:$I$3004,$A147,'Mouvements stock'!$C$5:$C$3004,"Retour"))</f>
        <v/>
      </c>
      <c r="X147" s="66" t="n">
        <v>0</v>
      </c>
      <c r="Y147" s="66" t="n">
        <v>0</v>
      </c>
      <c r="Z147" s="7" t="n"/>
      <c r="AA147" s="70">
        <f>IF($A147="","",N(V147)+N(W147)+N(X147)+N(Y147))</f>
        <v/>
      </c>
      <c r="AB147" s="70">
        <f>IF($A147="","",N(S147)*'Paramètres'!$AA$9*IFERROR(INDEX('Paramètres'!$O$5:$O$7,MATCH(G147,'Paramètres'!$N$5:$N$7,0)),0))</f>
        <v/>
      </c>
      <c r="AC147" s="7" t="inlineStr">
        <is>
          <t>Clôturé</t>
        </is>
      </c>
      <c r="AD147" s="69">
        <f>IF(OR($A147="",Q147=""),"",(Q147-B147)*24)</f>
        <v/>
      </c>
      <c r="AE147" s="69">
        <f>IF(OR(Q147="",R147=""),"",(R147-Q147)*24)</f>
        <v/>
      </c>
      <c r="AF147" s="77">
        <f>IF(OR($A147="",B147=""),"",YEAR(B147))</f>
        <v/>
      </c>
      <c r="AG147" s="77">
        <f>IF(OR($A147="",B147=""),"",MONTH(B147))</f>
        <v/>
      </c>
    </row>
    <row r="148">
      <c r="A148" s="7" t="inlineStr">
        <is>
          <t>OT-2025-0144</t>
        </is>
      </c>
      <c r="B148" s="75" t="n">
        <v>45721.34375</v>
      </c>
      <c r="C148" s="7" t="inlineStr">
        <is>
          <t>Plan préventif</t>
        </is>
      </c>
      <c r="D148" s="7" t="inlineStr">
        <is>
          <t>EQ-USI-003</t>
        </is>
      </c>
      <c r="E148" s="9">
        <f>IF(D148="","",IFERROR(INDEX('Équipements'!$B$5:$B$304,MATCH(D148,'Équipements'!$A$5:$A$304,0)),"Code inconnu"))</f>
        <v/>
      </c>
      <c r="F148" s="9">
        <f>IF(D148="","",IFERROR(INDEX('Équipements'!$D$5:$D$304,MATCH(D148,'Équipements'!$A$5:$A$304,0)),""))</f>
        <v/>
      </c>
      <c r="G148" s="9">
        <f>IF(D148="","",IFERROR(INDEX('Équipements'!$K$5:$K$304,MATCH(D148,'Équipements'!$A$5:$A$304,0)),""))</f>
        <v/>
      </c>
      <c r="H148" s="7" t="inlineStr">
        <is>
          <t>Préventif systématique</t>
        </is>
      </c>
      <c r="I148" s="7" t="inlineStr">
        <is>
          <t>GP-009</t>
        </is>
      </c>
      <c r="J148" s="7" t="inlineStr">
        <is>
          <t>Mécanique</t>
        </is>
      </c>
      <c r="K148" s="7" t="inlineStr">
        <is>
          <t>P3 - Normale</t>
        </is>
      </c>
      <c r="L148" s="7" t="inlineStr">
        <is>
          <t>Contrôle niveaux, nettoyage filtres et bac à copeaux</t>
        </is>
      </c>
      <c r="M148" s="7" t="n"/>
      <c r="N148" s="7" t="inlineStr">
        <is>
          <t>Gamme réalisée - RAS</t>
        </is>
      </c>
      <c r="O148" s="7" t="inlineStr">
        <is>
          <t>Lucas Fontaine</t>
        </is>
      </c>
      <c r="P148" s="65" t="n">
        <v>45728.42708333334</v>
      </c>
      <c r="Q148" s="75" t="n">
        <v>45728.52777777778</v>
      </c>
      <c r="R148" s="75" t="n">
        <v>45728.59027777778</v>
      </c>
      <c r="S148" s="76" t="n">
        <v>1.5</v>
      </c>
      <c r="T148" s="76" t="n">
        <v>1.5</v>
      </c>
      <c r="U148" s="70">
        <f>IF($A148="","",IFERROR(INDEX('Techniciens'!$F$5:$F$44,MATCH(O148,'Techniciens'!$B$5:$B$44,0)),'Paramètres'!$AA$10))</f>
        <v/>
      </c>
      <c r="V148" s="70">
        <f>IF($A148="","",IF(OR(AC148="Demandé",AC148="Planifié",AC148="Annulé"),0,N(T148)*N(U148)))</f>
        <v/>
      </c>
      <c r="W148" s="70">
        <f>IF($A148="","",SUMIFS('Mouvements stock'!$H$5:$H$3004,'Mouvements stock'!$I$5:$I$3004,$A148,'Mouvements stock'!$C$5:$C$3004,"Sortie")-SUMIFS('Mouvements stock'!$H$5:$H$3004,'Mouvements stock'!$I$5:$I$3004,$A148,'Mouvements stock'!$C$5:$C$3004,"Retour"))</f>
        <v/>
      </c>
      <c r="X148" s="66" t="n">
        <v>0</v>
      </c>
      <c r="Y148" s="66" t="n">
        <v>0</v>
      </c>
      <c r="Z148" s="7" t="n"/>
      <c r="AA148" s="70">
        <f>IF($A148="","",N(V148)+N(W148)+N(X148)+N(Y148))</f>
        <v/>
      </c>
      <c r="AB148" s="70">
        <f>IF($A148="","",N(S148)*'Paramètres'!$AA$9*IFERROR(INDEX('Paramètres'!$O$5:$O$7,MATCH(G148,'Paramètres'!$N$5:$N$7,0)),0))</f>
        <v/>
      </c>
      <c r="AC148" s="7" t="inlineStr">
        <is>
          <t>Clôturé</t>
        </is>
      </c>
      <c r="AD148" s="69">
        <f>IF(OR($A148="",Q148=""),"",(Q148-B148)*24)</f>
        <v/>
      </c>
      <c r="AE148" s="69">
        <f>IF(OR(Q148="",R148=""),"",(R148-Q148)*24)</f>
        <v/>
      </c>
      <c r="AF148" s="77">
        <f>IF(OR($A148="",B148=""),"",YEAR(B148))</f>
        <v/>
      </c>
      <c r="AG148" s="77">
        <f>IF(OR($A148="",B148=""),"",MONTH(B148))</f>
        <v/>
      </c>
    </row>
    <row r="149">
      <c r="A149" s="7" t="inlineStr">
        <is>
          <t>OT-2025-0145</t>
        </is>
      </c>
      <c r="B149" s="75" t="n">
        <v>45721.36458333334</v>
      </c>
      <c r="C149" s="7" t="inlineStr">
        <is>
          <t>Planning réglementaire</t>
        </is>
      </c>
      <c r="D149" s="7" t="inlineStr">
        <is>
          <t>EQ-BAT-002</t>
        </is>
      </c>
      <c r="E149" s="9">
        <f>IF(D149="","",IFERROR(INDEX('Équipements'!$B$5:$B$304,MATCH(D149,'Équipements'!$A$5:$A$304,0)),"Code inconnu"))</f>
        <v/>
      </c>
      <c r="F149" s="9">
        <f>IF(D149="","",IFERROR(INDEX('Équipements'!$D$5:$D$304,MATCH(D149,'Équipements'!$A$5:$A$304,0)),""))</f>
        <v/>
      </c>
      <c r="G149" s="9">
        <f>IF(D149="","",IFERROR(INDEX('Équipements'!$K$5:$K$304,MATCH(D149,'Équipements'!$A$5:$A$304,0)),""))</f>
        <v/>
      </c>
      <c r="H149" s="7" t="inlineStr">
        <is>
          <t>Réglementaire</t>
        </is>
      </c>
      <c r="I149" s="7" t="inlineStr">
        <is>
          <t>CR-021</t>
        </is>
      </c>
      <c r="J149" s="7" t="inlineStr">
        <is>
          <t>Multi-technique</t>
        </is>
      </c>
      <c r="K149" s="7" t="inlineStr">
        <is>
          <t>P2 - Haute</t>
        </is>
      </c>
      <c r="L149" s="7" t="inlineStr">
        <is>
          <t>Entretien et vérification portail automatique</t>
        </is>
      </c>
      <c r="M149" s="7" t="n"/>
      <c r="N149" s="7" t="inlineStr">
        <is>
          <t>Contrôle réalisé - aucune observation</t>
        </is>
      </c>
      <c r="O149" s="7" t="inlineStr">
        <is>
          <t>Nadia Rousseau</t>
        </is>
      </c>
      <c r="P149" s="65" t="n">
        <v>45742</v>
      </c>
      <c r="Q149" s="75" t="n">
        <v>45742.4375</v>
      </c>
      <c r="R149" s="75" t="n">
        <v>45742.5</v>
      </c>
      <c r="S149" s="76" t="n">
        <v>0</v>
      </c>
      <c r="T149" s="76" t="n">
        <v>1.5</v>
      </c>
      <c r="U149" s="70">
        <f>IF($A149="","",IFERROR(INDEX('Techniciens'!$F$5:$F$44,MATCH(O149,'Techniciens'!$B$5:$B$44,0)),'Paramètres'!$AA$10))</f>
        <v/>
      </c>
      <c r="V149" s="70">
        <f>IF($A149="","",IF(OR(AC149="Demandé",AC149="Planifié",AC149="Annulé"),0,N(T149)*N(U149)))</f>
        <v/>
      </c>
      <c r="W149" s="70">
        <f>IF($A149="","",SUMIFS('Mouvements stock'!$H$5:$H$3004,'Mouvements stock'!$I$5:$I$3004,$A149,'Mouvements stock'!$C$5:$C$3004,"Sortie")-SUMIFS('Mouvements stock'!$H$5:$H$3004,'Mouvements stock'!$I$5:$I$3004,$A149,'Mouvements stock'!$C$5:$C$3004,"Retour"))</f>
        <v/>
      </c>
      <c r="X149" s="66" t="n">
        <v>0</v>
      </c>
      <c r="Y149" s="66" t="n">
        <v>170</v>
      </c>
      <c r="Z149" s="7" t="inlineStr">
        <is>
          <t>Fournitures Industrielles Générales</t>
        </is>
      </c>
      <c r="AA149" s="70">
        <f>IF($A149="","",N(V149)+N(W149)+N(X149)+N(Y149))</f>
        <v/>
      </c>
      <c r="AB149" s="70">
        <f>IF($A149="","",N(S149)*'Paramètres'!$AA$9*IFERROR(INDEX('Paramètres'!$O$5:$O$7,MATCH(G149,'Paramètres'!$N$5:$N$7,0)),0))</f>
        <v/>
      </c>
      <c r="AC149" s="7" t="inlineStr">
        <is>
          <t>Clôturé</t>
        </is>
      </c>
      <c r="AD149" s="69">
        <f>IF(OR($A149="",Q149=""),"",(Q149-B149)*24)</f>
        <v/>
      </c>
      <c r="AE149" s="69">
        <f>IF(OR(Q149="",R149=""),"",(R149-Q149)*24)</f>
        <v/>
      </c>
      <c r="AF149" s="77">
        <f>IF(OR($A149="",B149=""),"",YEAR(B149))</f>
        <v/>
      </c>
      <c r="AG149" s="77">
        <f>IF(OR($A149="",B149=""),"",MONTH(B149))</f>
        <v/>
      </c>
    </row>
    <row r="150">
      <c r="A150" s="7" t="inlineStr">
        <is>
          <t>OT-2025-0146</t>
        </is>
      </c>
      <c r="B150" s="75" t="n">
        <v>45721.46041666667</v>
      </c>
      <c r="C150" s="7" t="inlineStr">
        <is>
          <t>Sylvie Mathieu (resp. logistique)</t>
        </is>
      </c>
      <c r="D150" s="7" t="inlineStr">
        <is>
          <t>EQ-LOG-001</t>
        </is>
      </c>
      <c r="E150" s="9">
        <f>IF(D150="","",IFERROR(INDEX('Équipements'!$B$5:$B$304,MATCH(D150,'Équipements'!$A$5:$A$304,0)),"Code inconnu"))</f>
        <v/>
      </c>
      <c r="F150" s="9">
        <f>IF(D150="","",IFERROR(INDEX('Équipements'!$D$5:$D$304,MATCH(D150,'Équipements'!$A$5:$A$304,0)),""))</f>
        <v/>
      </c>
      <c r="G150" s="9">
        <f>IF(D150="","",IFERROR(INDEX('Équipements'!$K$5:$K$304,MATCH(D150,'Équipements'!$A$5:$A$304,0)),""))</f>
        <v/>
      </c>
      <c r="H150" s="7" t="inlineStr">
        <is>
          <t>Correctif</t>
        </is>
      </c>
      <c r="I150" s="7" t="n"/>
      <c r="J150" s="7" t="inlineStr">
        <is>
          <t>Électrique</t>
        </is>
      </c>
      <c r="K150" s="7" t="inlineStr">
        <is>
          <t>P1 - Urgent</t>
        </is>
      </c>
      <c r="L150" s="7" t="inlineStr">
        <is>
          <t>Défaut batterie / charge</t>
        </is>
      </c>
      <c r="M150" s="7" t="inlineStr">
        <is>
          <t>Usure</t>
        </is>
      </c>
      <c r="N150" s="7" t="inlineStr">
        <is>
          <t>Contrôle chargeur, remplacement batterie</t>
        </is>
      </c>
      <c r="O150" s="7" t="inlineStr">
        <is>
          <t>Thomas Petit</t>
        </is>
      </c>
      <c r="P150" s="65" t="n"/>
      <c r="Q150" s="75" t="n">
        <v>45721.47847222222</v>
      </c>
      <c r="R150" s="75" t="n">
        <v>45723.62249233447</v>
      </c>
      <c r="S150" s="76" t="n">
        <v>8.4</v>
      </c>
      <c r="T150" s="76" t="n">
        <v>3.75</v>
      </c>
      <c r="U150" s="70">
        <f>IF($A150="","",IFERROR(INDEX('Techniciens'!$F$5:$F$44,MATCH(O150,'Techniciens'!$B$5:$B$44,0)),'Paramètres'!$AA$10))</f>
        <v/>
      </c>
      <c r="V150" s="70">
        <f>IF($A150="","",IF(OR(AC150="Demandé",AC150="Planifié",AC150="Annulé"),0,N(T150)*N(U150)))</f>
        <v/>
      </c>
      <c r="W150" s="70">
        <f>IF($A150="","",SUMIFS('Mouvements stock'!$H$5:$H$3004,'Mouvements stock'!$I$5:$I$3004,$A150,'Mouvements stock'!$C$5:$C$3004,"Sortie")-SUMIFS('Mouvements stock'!$H$5:$H$3004,'Mouvements stock'!$I$5:$I$3004,$A150,'Mouvements stock'!$C$5:$C$3004,"Retour"))</f>
        <v/>
      </c>
      <c r="X150" s="66" t="n">
        <v>0</v>
      </c>
      <c r="Y150" s="66" t="n">
        <v>0</v>
      </c>
      <c r="Z150" s="7" t="n"/>
      <c r="AA150" s="70">
        <f>IF($A150="","",N(V150)+N(W150)+N(X150)+N(Y150))</f>
        <v/>
      </c>
      <c r="AB150" s="70">
        <f>IF($A150="","",N(S150)*'Paramètres'!$AA$9*IFERROR(INDEX('Paramètres'!$O$5:$O$7,MATCH(G150,'Paramètres'!$N$5:$N$7,0)),0))</f>
        <v/>
      </c>
      <c r="AC150" s="7" t="inlineStr">
        <is>
          <t>Clôturé</t>
        </is>
      </c>
      <c r="AD150" s="69">
        <f>IF(OR($A150="",Q150=""),"",(Q150-B150)*24)</f>
        <v/>
      </c>
      <c r="AE150" s="69">
        <f>IF(OR(Q150="",R150=""),"",(R150-Q150)*24)</f>
        <v/>
      </c>
      <c r="AF150" s="77">
        <f>IF(OR($A150="",B150=""),"",YEAR(B150))</f>
        <v/>
      </c>
      <c r="AG150" s="77">
        <f>IF(OR($A150="",B150=""),"",MONTH(B150))</f>
        <v/>
      </c>
    </row>
    <row r="151">
      <c r="A151" s="7" t="inlineStr">
        <is>
          <t>OT-2025-0147</t>
        </is>
      </c>
      <c r="B151" s="75" t="n">
        <v>45722.35416666666</v>
      </c>
      <c r="C151" s="7" t="inlineStr">
        <is>
          <t>Plan préventif</t>
        </is>
      </c>
      <c r="D151" s="7" t="inlineStr">
        <is>
          <t>EQ-SOU-001</t>
        </is>
      </c>
      <c r="E151" s="9">
        <f>IF(D151="","",IFERROR(INDEX('Équipements'!$B$5:$B$304,MATCH(D151,'Équipements'!$A$5:$A$304,0)),"Code inconnu"))</f>
        <v/>
      </c>
      <c r="F151" s="9">
        <f>IF(D151="","",IFERROR(INDEX('Équipements'!$D$5:$D$304,MATCH(D151,'Équipements'!$A$5:$A$304,0)),""))</f>
        <v/>
      </c>
      <c r="G151" s="9">
        <f>IF(D151="","",IFERROR(INDEX('Équipements'!$K$5:$K$304,MATCH(D151,'Équipements'!$A$5:$A$304,0)),""))</f>
        <v/>
      </c>
      <c r="H151" s="7" t="inlineStr">
        <is>
          <t>Préventif systématique</t>
        </is>
      </c>
      <c r="I151" s="7" t="inlineStr">
        <is>
          <t>GP-058</t>
        </is>
      </c>
      <c r="J151" s="7" t="inlineStr">
        <is>
          <t>Mécanique</t>
        </is>
      </c>
      <c r="K151" s="7" t="inlineStr">
        <is>
          <t>P3 - Normale</t>
        </is>
      </c>
      <c r="L151" s="7" t="inlineStr">
        <is>
          <t>Nettoyage torche et contrôle faisceau</t>
        </is>
      </c>
      <c r="M151" s="7" t="n"/>
      <c r="N151" s="7" t="inlineStr">
        <is>
          <t>Gamme réalisée - RAS</t>
        </is>
      </c>
      <c r="O151" s="7" t="inlineStr">
        <is>
          <t>Lucas Fontaine</t>
        </is>
      </c>
      <c r="P151" s="65" t="n">
        <v>45729.42361111111</v>
      </c>
      <c r="Q151" s="75" t="n">
        <v>45729.59722222222</v>
      </c>
      <c r="R151" s="75" t="n">
        <v>45729.62847222222</v>
      </c>
      <c r="S151" s="76" t="n">
        <v>0</v>
      </c>
      <c r="T151" s="76" t="n">
        <v>0.75</v>
      </c>
      <c r="U151" s="70">
        <f>IF($A151="","",IFERROR(INDEX('Techniciens'!$F$5:$F$44,MATCH(O151,'Techniciens'!$B$5:$B$44,0)),'Paramètres'!$AA$10))</f>
        <v/>
      </c>
      <c r="V151" s="70">
        <f>IF($A151="","",IF(OR(AC151="Demandé",AC151="Planifié",AC151="Annulé"),0,N(T151)*N(U151)))</f>
        <v/>
      </c>
      <c r="W151" s="70">
        <f>IF($A151="","",SUMIFS('Mouvements stock'!$H$5:$H$3004,'Mouvements stock'!$I$5:$I$3004,$A151,'Mouvements stock'!$C$5:$C$3004,"Sortie")-SUMIFS('Mouvements stock'!$H$5:$H$3004,'Mouvements stock'!$I$5:$I$3004,$A151,'Mouvements stock'!$C$5:$C$3004,"Retour"))</f>
        <v/>
      </c>
      <c r="X151" s="66" t="n">
        <v>0</v>
      </c>
      <c r="Y151" s="66" t="n">
        <v>0</v>
      </c>
      <c r="Z151" s="7" t="n"/>
      <c r="AA151" s="70">
        <f>IF($A151="","",N(V151)+N(W151)+N(X151)+N(Y151))</f>
        <v/>
      </c>
      <c r="AB151" s="70">
        <f>IF($A151="","",N(S151)*'Paramètres'!$AA$9*IFERROR(INDEX('Paramètres'!$O$5:$O$7,MATCH(G151,'Paramètres'!$N$5:$N$7,0)),0))</f>
        <v/>
      </c>
      <c r="AC151" s="7" t="inlineStr">
        <is>
          <t>Clôturé</t>
        </is>
      </c>
      <c r="AD151" s="69">
        <f>IF(OR($A151="",Q151=""),"",(Q151-B151)*24)</f>
        <v/>
      </c>
      <c r="AE151" s="69">
        <f>IF(OR(Q151="",R151=""),"",(R151-Q151)*24)</f>
        <v/>
      </c>
      <c r="AF151" s="77">
        <f>IF(OR($A151="",B151=""),"",YEAR(B151))</f>
        <v/>
      </c>
      <c r="AG151" s="77">
        <f>IF(OR($A151="",B151=""),"",MONTH(B151))</f>
        <v/>
      </c>
    </row>
    <row r="152">
      <c r="A152" s="7" t="inlineStr">
        <is>
          <t>OT-2025-0148</t>
        </is>
      </c>
      <c r="B152" s="75" t="n">
        <v>45722.44444444445</v>
      </c>
      <c r="C152" s="7" t="inlineStr">
        <is>
          <t>Plan préventif</t>
        </is>
      </c>
      <c r="D152" s="7" t="inlineStr">
        <is>
          <t>EQ-USI-007</t>
        </is>
      </c>
      <c r="E152" s="9">
        <f>IF(D152="","",IFERROR(INDEX('Équipements'!$B$5:$B$304,MATCH(D152,'Équipements'!$A$5:$A$304,0)),"Code inconnu"))</f>
        <v/>
      </c>
      <c r="F152" s="9">
        <f>IF(D152="","",IFERROR(INDEX('Équipements'!$D$5:$D$304,MATCH(D152,'Équipements'!$A$5:$A$304,0)),""))</f>
        <v/>
      </c>
      <c r="G152" s="9">
        <f>IF(D152="","",IFERROR(INDEX('Équipements'!$K$5:$K$304,MATCH(D152,'Équipements'!$A$5:$A$304,0)),""))</f>
        <v/>
      </c>
      <c r="H152" s="7" t="inlineStr">
        <is>
          <t>Préventif systématique</t>
        </is>
      </c>
      <c r="I152" s="7" t="inlineStr">
        <is>
          <t>GP-025</t>
        </is>
      </c>
      <c r="J152" s="7" t="inlineStr">
        <is>
          <t>Mécanique</t>
        </is>
      </c>
      <c r="K152" s="7" t="inlineStr">
        <is>
          <t>P3 - Normale</t>
        </is>
      </c>
      <c r="L152" s="7" t="inlineStr">
        <is>
          <t>Contrôle niveaux, nettoyage filtres et bac à copeaux</t>
        </is>
      </c>
      <c r="M152" s="7" t="n"/>
      <c r="N152" s="7" t="inlineStr">
        <is>
          <t>Gamme réalisée - RAS</t>
        </is>
      </c>
      <c r="O152" s="7" t="inlineStr">
        <is>
          <t>Lucas Fontaine</t>
        </is>
      </c>
      <c r="P152" s="65" t="n">
        <v>45729.52430555555</v>
      </c>
      <c r="Q152" s="75" t="n">
        <v>45729.49305555555</v>
      </c>
      <c r="R152" s="75" t="n">
        <v>45729.56597222222</v>
      </c>
      <c r="S152" s="76" t="n">
        <v>0.9</v>
      </c>
      <c r="T152" s="76" t="n">
        <v>1.75</v>
      </c>
      <c r="U152" s="70">
        <f>IF($A152="","",IFERROR(INDEX('Techniciens'!$F$5:$F$44,MATCH(O152,'Techniciens'!$B$5:$B$44,0)),'Paramètres'!$AA$10))</f>
        <v/>
      </c>
      <c r="V152" s="70">
        <f>IF($A152="","",IF(OR(AC152="Demandé",AC152="Planifié",AC152="Annulé"),0,N(T152)*N(U152)))</f>
        <v/>
      </c>
      <c r="W152" s="70">
        <f>IF($A152="","",SUMIFS('Mouvements stock'!$H$5:$H$3004,'Mouvements stock'!$I$5:$I$3004,$A152,'Mouvements stock'!$C$5:$C$3004,"Sortie")-SUMIFS('Mouvements stock'!$H$5:$H$3004,'Mouvements stock'!$I$5:$I$3004,$A152,'Mouvements stock'!$C$5:$C$3004,"Retour"))</f>
        <v/>
      </c>
      <c r="X152" s="66" t="n">
        <v>0</v>
      </c>
      <c r="Y152" s="66" t="n">
        <v>0</v>
      </c>
      <c r="Z152" s="7" t="n"/>
      <c r="AA152" s="70">
        <f>IF($A152="","",N(V152)+N(W152)+N(X152)+N(Y152))</f>
        <v/>
      </c>
      <c r="AB152" s="70">
        <f>IF($A152="","",N(S152)*'Paramètres'!$AA$9*IFERROR(INDEX('Paramètres'!$O$5:$O$7,MATCH(G152,'Paramètres'!$N$5:$N$7,0)),0))</f>
        <v/>
      </c>
      <c r="AC152" s="7" t="inlineStr">
        <is>
          <t>Clôturé</t>
        </is>
      </c>
      <c r="AD152" s="69">
        <f>IF(OR($A152="",Q152=""),"",(Q152-B152)*24)</f>
        <v/>
      </c>
      <c r="AE152" s="69">
        <f>IF(OR(Q152="",R152=""),"",(R152-Q152)*24)</f>
        <v/>
      </c>
      <c r="AF152" s="77">
        <f>IF(OR($A152="",B152=""),"",YEAR(B152))</f>
        <v/>
      </c>
      <c r="AG152" s="77">
        <f>IF(OR($A152="",B152=""),"",MONTH(B152))</f>
        <v/>
      </c>
    </row>
    <row r="153">
      <c r="A153" s="7" t="inlineStr">
        <is>
          <t>OT-2025-0149</t>
        </is>
      </c>
      <c r="B153" s="75" t="n">
        <v>45722.45138888889</v>
      </c>
      <c r="C153" s="7" t="inlineStr">
        <is>
          <t>Plan préventif</t>
        </is>
      </c>
      <c r="D153" s="7" t="inlineStr">
        <is>
          <t>EQ-PEI-002</t>
        </is>
      </c>
      <c r="E153" s="9">
        <f>IF(D153="","",IFERROR(INDEX('Équipements'!$B$5:$B$304,MATCH(D153,'Équipements'!$A$5:$A$304,0)),"Code inconnu"))</f>
        <v/>
      </c>
      <c r="F153" s="9">
        <f>IF(D153="","",IFERROR(INDEX('Équipements'!$D$5:$D$304,MATCH(D153,'Équipements'!$A$5:$A$304,0)),""))</f>
        <v/>
      </c>
      <c r="G153" s="9">
        <f>IF(D153="","",IFERROR(INDEX('Équipements'!$K$5:$K$304,MATCH(D153,'Équipements'!$A$5:$A$304,0)),""))</f>
        <v/>
      </c>
      <c r="H153" s="7" t="inlineStr">
        <is>
          <t>Préventif systématique</t>
        </is>
      </c>
      <c r="I153" s="7" t="inlineStr">
        <is>
          <t>GP-068</t>
        </is>
      </c>
      <c r="J153" s="7" t="inlineStr">
        <is>
          <t>Mécanique</t>
        </is>
      </c>
      <c r="K153" s="7" t="inlineStr">
        <is>
          <t>P3 - Normale</t>
        </is>
      </c>
      <c r="L153" s="7" t="inlineStr">
        <is>
          <t>Nettoyage et remplacement des filtres</t>
        </is>
      </c>
      <c r="M153" s="7" t="n"/>
      <c r="N153" s="7" t="inlineStr">
        <is>
          <t>Gamme réalisée - DI émise pour remplacement pièce</t>
        </is>
      </c>
      <c r="O153" s="7" t="inlineStr">
        <is>
          <t>Karim Benali</t>
        </is>
      </c>
      <c r="P153" s="65" t="n">
        <v>45729.54166666666</v>
      </c>
      <c r="Q153" s="75" t="n">
        <v>45729.45833333334</v>
      </c>
      <c r="R153" s="75" t="n">
        <v>45729.61458333334</v>
      </c>
      <c r="S153" s="76" t="n">
        <v>3.8</v>
      </c>
      <c r="T153" s="76" t="n">
        <v>3.75</v>
      </c>
      <c r="U153" s="70">
        <f>IF($A153="","",IFERROR(INDEX('Techniciens'!$F$5:$F$44,MATCH(O153,'Techniciens'!$B$5:$B$44,0)),'Paramètres'!$AA$10))</f>
        <v/>
      </c>
      <c r="V153" s="70">
        <f>IF($A153="","",IF(OR(AC153="Demandé",AC153="Planifié",AC153="Annulé"),0,N(T153)*N(U153)))</f>
        <v/>
      </c>
      <c r="W153" s="70">
        <f>IF($A153="","",SUMIFS('Mouvements stock'!$H$5:$H$3004,'Mouvements stock'!$I$5:$I$3004,$A153,'Mouvements stock'!$C$5:$C$3004,"Sortie")-SUMIFS('Mouvements stock'!$H$5:$H$3004,'Mouvements stock'!$I$5:$I$3004,$A153,'Mouvements stock'!$C$5:$C$3004,"Retour"))</f>
        <v/>
      </c>
      <c r="X153" s="66" t="n">
        <v>0</v>
      </c>
      <c r="Y153" s="66" t="n">
        <v>0</v>
      </c>
      <c r="Z153" s="7" t="n"/>
      <c r="AA153" s="70">
        <f>IF($A153="","",N(V153)+N(W153)+N(X153)+N(Y153))</f>
        <v/>
      </c>
      <c r="AB153" s="70">
        <f>IF($A153="","",N(S153)*'Paramètres'!$AA$9*IFERROR(INDEX('Paramètres'!$O$5:$O$7,MATCH(G153,'Paramètres'!$N$5:$N$7,0)),0))</f>
        <v/>
      </c>
      <c r="AC153" s="7" t="inlineStr">
        <is>
          <t>Clôturé</t>
        </is>
      </c>
      <c r="AD153" s="69">
        <f>IF(OR($A153="",Q153=""),"",(Q153-B153)*24)</f>
        <v/>
      </c>
      <c r="AE153" s="69">
        <f>IF(OR(Q153="",R153=""),"",(R153-Q153)*24)</f>
        <v/>
      </c>
      <c r="AF153" s="77">
        <f>IF(OR($A153="",B153=""),"",YEAR(B153))</f>
        <v/>
      </c>
      <c r="AG153" s="77">
        <f>IF(OR($A153="",B153=""),"",MONTH(B153))</f>
        <v/>
      </c>
    </row>
    <row r="154">
      <c r="A154" s="7" t="inlineStr">
        <is>
          <t>OT-2025-0150</t>
        </is>
      </c>
      <c r="B154" s="75" t="n">
        <v>45722.47916666666</v>
      </c>
      <c r="C154" s="7" t="inlineStr">
        <is>
          <t>Plan préventif</t>
        </is>
      </c>
      <c r="D154" s="7" t="inlineStr">
        <is>
          <t>EQ-USI-001</t>
        </is>
      </c>
      <c r="E154" s="9">
        <f>IF(D154="","",IFERROR(INDEX('Équipements'!$B$5:$B$304,MATCH(D154,'Équipements'!$A$5:$A$304,0)),"Code inconnu"))</f>
        <v/>
      </c>
      <c r="F154" s="9">
        <f>IF(D154="","",IFERROR(INDEX('Équipements'!$D$5:$D$304,MATCH(D154,'Équipements'!$A$5:$A$304,0)),""))</f>
        <v/>
      </c>
      <c r="G154" s="9">
        <f>IF(D154="","",IFERROR(INDEX('Équipements'!$K$5:$K$304,MATCH(D154,'Équipements'!$A$5:$A$304,0)),""))</f>
        <v/>
      </c>
      <c r="H154" s="7" t="inlineStr">
        <is>
          <t>Préventif systématique</t>
        </is>
      </c>
      <c r="I154" s="7" t="inlineStr">
        <is>
          <t>GP-001</t>
        </is>
      </c>
      <c r="J154" s="7" t="inlineStr">
        <is>
          <t>Mécanique</t>
        </is>
      </c>
      <c r="K154" s="7" t="inlineStr">
        <is>
          <t>P3 - Normale</t>
        </is>
      </c>
      <c r="L154" s="7" t="inlineStr">
        <is>
          <t>Contrôle niveaux, nettoyage filtres et bac à copeaux</t>
        </is>
      </c>
      <c r="M154" s="7" t="n"/>
      <c r="N154" s="7" t="inlineStr">
        <is>
          <t>Gamme réalisée - RAS</t>
        </is>
      </c>
      <c r="O154" s="7" t="inlineStr">
        <is>
          <t>Antoine Mercier</t>
        </is>
      </c>
      <c r="P154" s="65" t="n">
        <v>45729.56597222222</v>
      </c>
      <c r="Q154" s="75" t="n">
        <v>45729.45138888889</v>
      </c>
      <c r="R154" s="75" t="n">
        <v>45729.53472222222</v>
      </c>
      <c r="S154" s="76" t="n">
        <v>0</v>
      </c>
      <c r="T154" s="76" t="n">
        <v>2</v>
      </c>
      <c r="U154" s="70">
        <f>IF($A154="","",IFERROR(INDEX('Techniciens'!$F$5:$F$44,MATCH(O154,'Techniciens'!$B$5:$B$44,0)),'Paramètres'!$AA$10))</f>
        <v/>
      </c>
      <c r="V154" s="70">
        <f>IF($A154="","",IF(OR(AC154="Demandé",AC154="Planifié",AC154="Annulé"),0,N(T154)*N(U154)))</f>
        <v/>
      </c>
      <c r="W154" s="70">
        <f>IF($A154="","",SUMIFS('Mouvements stock'!$H$5:$H$3004,'Mouvements stock'!$I$5:$I$3004,$A154,'Mouvements stock'!$C$5:$C$3004,"Sortie")-SUMIFS('Mouvements stock'!$H$5:$H$3004,'Mouvements stock'!$I$5:$I$3004,$A154,'Mouvements stock'!$C$5:$C$3004,"Retour"))</f>
        <v/>
      </c>
      <c r="X154" s="66" t="n">
        <v>0</v>
      </c>
      <c r="Y154" s="66" t="n">
        <v>0</v>
      </c>
      <c r="Z154" s="7" t="n"/>
      <c r="AA154" s="70">
        <f>IF($A154="","",N(V154)+N(W154)+N(X154)+N(Y154))</f>
        <v/>
      </c>
      <c r="AB154" s="70">
        <f>IF($A154="","",N(S154)*'Paramètres'!$AA$9*IFERROR(INDEX('Paramètres'!$O$5:$O$7,MATCH(G154,'Paramètres'!$N$5:$N$7,0)),0))</f>
        <v/>
      </c>
      <c r="AC154" s="7" t="inlineStr">
        <is>
          <t>Clôturé</t>
        </is>
      </c>
      <c r="AD154" s="69">
        <f>IF(OR($A154="",Q154=""),"",(Q154-B154)*24)</f>
        <v/>
      </c>
      <c r="AE154" s="69">
        <f>IF(OR(Q154="",R154=""),"",(R154-Q154)*24)</f>
        <v/>
      </c>
      <c r="AF154" s="77">
        <f>IF(OR($A154="",B154=""),"",YEAR(B154))</f>
        <v/>
      </c>
      <c r="AG154" s="77">
        <f>IF(OR($A154="",B154=""),"",MONTH(B154))</f>
        <v/>
      </c>
    </row>
    <row r="155">
      <c r="A155" s="7" t="inlineStr">
        <is>
          <t>OT-2025-0151</t>
        </is>
      </c>
      <c r="B155" s="75" t="n">
        <v>45723.38888888889</v>
      </c>
      <c r="C155" s="7" t="inlineStr">
        <is>
          <t>Plan préventif</t>
        </is>
      </c>
      <c r="D155" s="7" t="inlineStr">
        <is>
          <t>EQ-UTI-003</t>
        </is>
      </c>
      <c r="E155" s="9">
        <f>IF(D155="","",IFERROR(INDEX('Équipements'!$B$5:$B$304,MATCH(D155,'Équipements'!$A$5:$A$304,0)),"Code inconnu"))</f>
        <v/>
      </c>
      <c r="F155" s="9">
        <f>IF(D155="","",IFERROR(INDEX('Équipements'!$D$5:$D$304,MATCH(D155,'Équipements'!$A$5:$A$304,0)),""))</f>
        <v/>
      </c>
      <c r="G155" s="9">
        <f>IF(D155="","",IFERROR(INDEX('Équipements'!$K$5:$K$304,MATCH(D155,'Équipements'!$A$5:$A$304,0)),""))</f>
        <v/>
      </c>
      <c r="H155" s="7" t="inlineStr">
        <is>
          <t>Préventif systématique</t>
        </is>
      </c>
      <c r="I155" s="7" t="inlineStr">
        <is>
          <t>GP-092</t>
        </is>
      </c>
      <c r="J155" s="7" t="inlineStr">
        <is>
          <t>Pneumatique</t>
        </is>
      </c>
      <c r="K155" s="7" t="inlineStr">
        <is>
          <t>P3 - Normale</t>
        </is>
      </c>
      <c r="L155" s="7" t="inlineStr">
        <is>
          <t>Purge, contrôle fuites et point de rosée</t>
        </is>
      </c>
      <c r="M155" s="7" t="n"/>
      <c r="N155" s="7" t="inlineStr">
        <is>
          <t>Gamme réalisée - RAS</t>
        </is>
      </c>
      <c r="O155" s="7" t="inlineStr">
        <is>
          <t>Julien Moreau</t>
        </is>
      </c>
      <c r="P155" s="65" t="n">
        <v>45730.41319444445</v>
      </c>
      <c r="Q155" s="75" t="n">
        <v>45730.27777777778</v>
      </c>
      <c r="R155" s="75" t="n">
        <v>45730.34027777778</v>
      </c>
      <c r="S155" s="76" t="n">
        <v>0</v>
      </c>
      <c r="T155" s="76" t="n">
        <v>1.5</v>
      </c>
      <c r="U155" s="70">
        <f>IF($A155="","",IFERROR(INDEX('Techniciens'!$F$5:$F$44,MATCH(O155,'Techniciens'!$B$5:$B$44,0)),'Paramètres'!$AA$10))</f>
        <v/>
      </c>
      <c r="V155" s="70">
        <f>IF($A155="","",IF(OR(AC155="Demandé",AC155="Planifié",AC155="Annulé"),0,N(T155)*N(U155)))</f>
        <v/>
      </c>
      <c r="W155" s="70">
        <f>IF($A155="","",SUMIFS('Mouvements stock'!$H$5:$H$3004,'Mouvements stock'!$I$5:$I$3004,$A155,'Mouvements stock'!$C$5:$C$3004,"Sortie")-SUMIFS('Mouvements stock'!$H$5:$H$3004,'Mouvements stock'!$I$5:$I$3004,$A155,'Mouvements stock'!$C$5:$C$3004,"Retour"))</f>
        <v/>
      </c>
      <c r="X155" s="66" t="n">
        <v>0</v>
      </c>
      <c r="Y155" s="66" t="n">
        <v>0</v>
      </c>
      <c r="Z155" s="7" t="n"/>
      <c r="AA155" s="70">
        <f>IF($A155="","",N(V155)+N(W155)+N(X155)+N(Y155))</f>
        <v/>
      </c>
      <c r="AB155" s="70">
        <f>IF($A155="","",N(S155)*'Paramètres'!$AA$9*IFERROR(INDEX('Paramètres'!$O$5:$O$7,MATCH(G155,'Paramètres'!$N$5:$N$7,0)),0))</f>
        <v/>
      </c>
      <c r="AC155" s="7" t="inlineStr">
        <is>
          <t>Clôturé</t>
        </is>
      </c>
      <c r="AD155" s="69">
        <f>IF(OR($A155="",Q155=""),"",(Q155-B155)*24)</f>
        <v/>
      </c>
      <c r="AE155" s="69">
        <f>IF(OR(Q155="",R155=""),"",(R155-Q155)*24)</f>
        <v/>
      </c>
      <c r="AF155" s="77">
        <f>IF(OR($A155="",B155=""),"",YEAR(B155))</f>
        <v/>
      </c>
      <c r="AG155" s="77">
        <f>IF(OR($A155="",B155=""),"",MONTH(B155))</f>
        <v/>
      </c>
    </row>
    <row r="156">
      <c r="A156" s="7" t="inlineStr">
        <is>
          <t>OT-2025-0152</t>
        </is>
      </c>
      <c r="B156" s="75" t="n">
        <v>45723.49305555555</v>
      </c>
      <c r="C156" s="7" t="inlineStr">
        <is>
          <t>Plan préventif</t>
        </is>
      </c>
      <c r="D156" s="7" t="inlineStr">
        <is>
          <t>EQ-ASS-001</t>
        </is>
      </c>
      <c r="E156" s="9">
        <f>IF(D156="","",IFERROR(INDEX('Équipements'!$B$5:$B$304,MATCH(D156,'Équipements'!$A$5:$A$304,0)),"Code inconnu"))</f>
        <v/>
      </c>
      <c r="F156" s="9">
        <f>IF(D156="","",IFERROR(INDEX('Équipements'!$D$5:$D$304,MATCH(D156,'Équipements'!$A$5:$A$304,0)),""))</f>
        <v/>
      </c>
      <c r="G156" s="9">
        <f>IF(D156="","",IFERROR(INDEX('Équipements'!$K$5:$K$304,MATCH(D156,'Équipements'!$A$5:$A$304,0)),""))</f>
        <v/>
      </c>
      <c r="H156" s="7" t="inlineStr">
        <is>
          <t>Préventif systématique</t>
        </is>
      </c>
      <c r="I156" s="7" t="inlineStr">
        <is>
          <t>GP-076</t>
        </is>
      </c>
      <c r="J156" s="7" t="inlineStr">
        <is>
          <t>Mécanique</t>
        </is>
      </c>
      <c r="K156" s="7" t="inlineStr">
        <is>
          <t>P3 - Normale</t>
        </is>
      </c>
      <c r="L156" s="7" t="inlineStr">
        <is>
          <t>Graissage chaîne / galets et contrôle tension</t>
        </is>
      </c>
      <c r="M156" s="7" t="n"/>
      <c r="N156" s="7" t="inlineStr">
        <is>
          <t>Gamme réalisée - RAS</t>
        </is>
      </c>
      <c r="O156" s="7" t="inlineStr">
        <is>
          <t>Lucas Fontaine</t>
        </is>
      </c>
      <c r="P156" s="65" t="n">
        <v>45730.63194444445</v>
      </c>
      <c r="Q156" s="75" t="n">
        <v>45730.59375</v>
      </c>
      <c r="R156" s="75" t="n">
        <v>45730.70833333334</v>
      </c>
      <c r="S156" s="76" t="n">
        <v>2.8</v>
      </c>
      <c r="T156" s="76" t="n">
        <v>2.75</v>
      </c>
      <c r="U156" s="70">
        <f>IF($A156="","",IFERROR(INDEX('Techniciens'!$F$5:$F$44,MATCH(O156,'Techniciens'!$B$5:$B$44,0)),'Paramètres'!$AA$10))</f>
        <v/>
      </c>
      <c r="V156" s="70">
        <f>IF($A156="","",IF(OR(AC156="Demandé",AC156="Planifié",AC156="Annulé"),0,N(T156)*N(U156)))</f>
        <v/>
      </c>
      <c r="W156" s="70">
        <f>IF($A156="","",SUMIFS('Mouvements stock'!$H$5:$H$3004,'Mouvements stock'!$I$5:$I$3004,$A156,'Mouvements stock'!$C$5:$C$3004,"Sortie")-SUMIFS('Mouvements stock'!$H$5:$H$3004,'Mouvements stock'!$I$5:$I$3004,$A156,'Mouvements stock'!$C$5:$C$3004,"Retour"))</f>
        <v/>
      </c>
      <c r="X156" s="66" t="n">
        <v>0</v>
      </c>
      <c r="Y156" s="66" t="n">
        <v>0</v>
      </c>
      <c r="Z156" s="7" t="n"/>
      <c r="AA156" s="70">
        <f>IF($A156="","",N(V156)+N(W156)+N(X156)+N(Y156))</f>
        <v/>
      </c>
      <c r="AB156" s="70">
        <f>IF($A156="","",N(S156)*'Paramètres'!$AA$9*IFERROR(INDEX('Paramètres'!$O$5:$O$7,MATCH(G156,'Paramètres'!$N$5:$N$7,0)),0))</f>
        <v/>
      </c>
      <c r="AC156" s="7" t="inlineStr">
        <is>
          <t>Clôturé</t>
        </is>
      </c>
      <c r="AD156" s="69">
        <f>IF(OR($A156="",Q156=""),"",(Q156-B156)*24)</f>
        <v/>
      </c>
      <c r="AE156" s="69">
        <f>IF(OR(Q156="",R156=""),"",(R156-Q156)*24)</f>
        <v/>
      </c>
      <c r="AF156" s="77">
        <f>IF(OR($A156="",B156=""),"",YEAR(B156))</f>
        <v/>
      </c>
      <c r="AG156" s="77">
        <f>IF(OR($A156="",B156=""),"",MONTH(B156))</f>
        <v/>
      </c>
    </row>
    <row r="157">
      <c r="A157" s="7" t="inlineStr">
        <is>
          <t>OT-2025-0153</t>
        </is>
      </c>
      <c r="B157" s="75" t="n">
        <v>45724.77847222222</v>
      </c>
      <c r="C157" s="7" t="inlineStr">
        <is>
          <t>Sylvie Mathieu (resp. logistique)</t>
        </is>
      </c>
      <c r="D157" s="7" t="inlineStr">
        <is>
          <t>EQ-LOG-006</t>
        </is>
      </c>
      <c r="E157" s="9">
        <f>IF(D157="","",IFERROR(INDEX('Équipements'!$B$5:$B$304,MATCH(D157,'Équipements'!$A$5:$A$304,0)),"Code inconnu"))</f>
        <v/>
      </c>
      <c r="F157" s="9">
        <f>IF(D157="","",IFERROR(INDEX('Équipements'!$D$5:$D$304,MATCH(D157,'Équipements'!$A$5:$A$304,0)),""))</f>
        <v/>
      </c>
      <c r="G157" s="9">
        <f>IF(D157="","",IFERROR(INDEX('Équipements'!$K$5:$K$304,MATCH(D157,'Équipements'!$A$5:$A$304,0)),""))</f>
        <v/>
      </c>
      <c r="H157" s="7" t="inlineStr">
        <is>
          <t>Correctif</t>
        </is>
      </c>
      <c r="I157" s="7" t="n"/>
      <c r="J157" s="7" t="inlineStr">
        <is>
          <t>Mécanique</t>
        </is>
      </c>
      <c r="K157" s="7" t="inlineStr">
        <is>
          <t>P2 - Haute</t>
        </is>
      </c>
      <c r="L157" s="7" t="inlineStr">
        <is>
          <t>Frein de levée bruyant</t>
        </is>
      </c>
      <c r="M157" s="7" t="inlineStr">
        <is>
          <t>Usure</t>
        </is>
      </c>
      <c r="N157" s="7" t="inlineStr">
        <is>
          <t>Réglage et remplacement garnitures</t>
        </is>
      </c>
      <c r="O157" s="7" t="inlineStr">
        <is>
          <t>Antoine Mercier</t>
        </is>
      </c>
      <c r="P157" s="65" t="n"/>
      <c r="Q157" s="75" t="n">
        <v>45724.98333333333</v>
      </c>
      <c r="R157" s="75" t="n">
        <v>45725.11875</v>
      </c>
      <c r="S157" s="76" t="n">
        <v>8.199999999999999</v>
      </c>
      <c r="T157" s="76" t="n">
        <v>3.25</v>
      </c>
      <c r="U157" s="70">
        <f>IF($A157="","",IFERROR(INDEX('Techniciens'!$F$5:$F$44,MATCH(O157,'Techniciens'!$B$5:$B$44,0)),'Paramètres'!$AA$10))</f>
        <v/>
      </c>
      <c r="V157" s="70">
        <f>IF($A157="","",IF(OR(AC157="Demandé",AC157="Planifié",AC157="Annulé"),0,N(T157)*N(U157)))</f>
        <v/>
      </c>
      <c r="W157" s="70">
        <f>IF($A157="","",SUMIFS('Mouvements stock'!$H$5:$H$3004,'Mouvements stock'!$I$5:$I$3004,$A157,'Mouvements stock'!$C$5:$C$3004,"Sortie")-SUMIFS('Mouvements stock'!$H$5:$H$3004,'Mouvements stock'!$I$5:$I$3004,$A157,'Mouvements stock'!$C$5:$C$3004,"Retour"))</f>
        <v/>
      </c>
      <c r="X157" s="66" t="n">
        <v>0</v>
      </c>
      <c r="Y157" s="66" t="n">
        <v>0</v>
      </c>
      <c r="Z157" s="7" t="n"/>
      <c r="AA157" s="70">
        <f>IF($A157="","",N(V157)+N(W157)+N(X157)+N(Y157))</f>
        <v/>
      </c>
      <c r="AB157" s="70">
        <f>IF($A157="","",N(S157)*'Paramètres'!$AA$9*IFERROR(INDEX('Paramètres'!$O$5:$O$7,MATCH(G157,'Paramètres'!$N$5:$N$7,0)),0))</f>
        <v/>
      </c>
      <c r="AC157" s="7" t="inlineStr">
        <is>
          <t>Clôturé</t>
        </is>
      </c>
      <c r="AD157" s="69">
        <f>IF(OR($A157="",Q157=""),"",(Q157-B157)*24)</f>
        <v/>
      </c>
      <c r="AE157" s="69">
        <f>IF(OR(Q157="",R157=""),"",(R157-Q157)*24)</f>
        <v/>
      </c>
      <c r="AF157" s="77">
        <f>IF(OR($A157="",B157=""),"",YEAR(B157))</f>
        <v/>
      </c>
      <c r="AG157" s="77">
        <f>IF(OR($A157="",B157=""),"",MONTH(B157))</f>
        <v/>
      </c>
    </row>
    <row r="158">
      <c r="A158" s="7" t="inlineStr">
        <is>
          <t>OT-2025-0154</t>
        </is>
      </c>
      <c r="B158" s="75" t="n">
        <v>45726.38541666666</v>
      </c>
      <c r="C158" s="7" t="inlineStr">
        <is>
          <t>Plan préventif</t>
        </is>
      </c>
      <c r="D158" s="7" t="inlineStr">
        <is>
          <t>EQ-USI-002</t>
        </is>
      </c>
      <c r="E158" s="9">
        <f>IF(D158="","",IFERROR(INDEX('Équipements'!$B$5:$B$304,MATCH(D158,'Équipements'!$A$5:$A$304,0)),"Code inconnu"))</f>
        <v/>
      </c>
      <c r="F158" s="9">
        <f>IF(D158="","",IFERROR(INDEX('Équipements'!$D$5:$D$304,MATCH(D158,'Équipements'!$A$5:$A$304,0)),""))</f>
        <v/>
      </c>
      <c r="G158" s="9">
        <f>IF(D158="","",IFERROR(INDEX('Équipements'!$K$5:$K$304,MATCH(D158,'Équipements'!$A$5:$A$304,0)),""))</f>
        <v/>
      </c>
      <c r="H158" s="7" t="inlineStr">
        <is>
          <t>Préventif systématique</t>
        </is>
      </c>
      <c r="I158" s="7" t="inlineStr">
        <is>
          <t>GP-005</t>
        </is>
      </c>
      <c r="J158" s="7" t="inlineStr">
        <is>
          <t>Mécanique</t>
        </is>
      </c>
      <c r="K158" s="7" t="inlineStr">
        <is>
          <t>P3 - Normale</t>
        </is>
      </c>
      <c r="L158" s="7" t="inlineStr">
        <is>
          <t>Contrôle niveaux, nettoyage filtres et bac à copeaux</t>
        </is>
      </c>
      <c r="M158" s="7" t="n"/>
      <c r="N158" s="7" t="inlineStr">
        <is>
          <t>Gamme réalisée - RAS</t>
        </is>
      </c>
      <c r="O158" s="7" t="inlineStr">
        <is>
          <t>Antoine Mercier</t>
        </is>
      </c>
      <c r="P158" s="65" t="n">
        <v>45733.42013888889</v>
      </c>
      <c r="Q158" s="75" t="n">
        <v>45733.59027777778</v>
      </c>
      <c r="R158" s="75" t="n">
        <v>45733.65277777778</v>
      </c>
      <c r="S158" s="76" t="n">
        <v>1.5</v>
      </c>
      <c r="T158" s="76" t="n">
        <v>1.5</v>
      </c>
      <c r="U158" s="70">
        <f>IF($A158="","",IFERROR(INDEX('Techniciens'!$F$5:$F$44,MATCH(O158,'Techniciens'!$B$5:$B$44,0)),'Paramètres'!$AA$10))</f>
        <v/>
      </c>
      <c r="V158" s="70">
        <f>IF($A158="","",IF(OR(AC158="Demandé",AC158="Planifié",AC158="Annulé"),0,N(T158)*N(U158)))</f>
        <v/>
      </c>
      <c r="W158" s="70">
        <f>IF($A158="","",SUMIFS('Mouvements stock'!$H$5:$H$3004,'Mouvements stock'!$I$5:$I$3004,$A158,'Mouvements stock'!$C$5:$C$3004,"Sortie")-SUMIFS('Mouvements stock'!$H$5:$H$3004,'Mouvements stock'!$I$5:$I$3004,$A158,'Mouvements stock'!$C$5:$C$3004,"Retour"))</f>
        <v/>
      </c>
      <c r="X158" s="66" t="n">
        <v>0</v>
      </c>
      <c r="Y158" s="66" t="n">
        <v>0</v>
      </c>
      <c r="Z158" s="7" t="n"/>
      <c r="AA158" s="70">
        <f>IF($A158="","",N(V158)+N(W158)+N(X158)+N(Y158))</f>
        <v/>
      </c>
      <c r="AB158" s="70">
        <f>IF($A158="","",N(S158)*'Paramètres'!$AA$9*IFERROR(INDEX('Paramètres'!$O$5:$O$7,MATCH(G158,'Paramètres'!$N$5:$N$7,0)),0))</f>
        <v/>
      </c>
      <c r="AC158" s="7" t="inlineStr">
        <is>
          <t>Clôturé</t>
        </is>
      </c>
      <c r="AD158" s="69">
        <f>IF(OR($A158="",Q158=""),"",(Q158-B158)*24)</f>
        <v/>
      </c>
      <c r="AE158" s="69">
        <f>IF(OR(Q158="",R158=""),"",(R158-Q158)*24)</f>
        <v/>
      </c>
      <c r="AF158" s="77">
        <f>IF(OR($A158="",B158=""),"",YEAR(B158))</f>
        <v/>
      </c>
      <c r="AG158" s="77">
        <f>IF(OR($A158="",B158=""),"",MONTH(B158))</f>
        <v/>
      </c>
    </row>
    <row r="159">
      <c r="A159" s="7" t="inlineStr">
        <is>
          <t>OT-2025-0155</t>
        </is>
      </c>
      <c r="B159" s="75" t="n">
        <v>45726.41666666666</v>
      </c>
      <c r="C159" s="7" t="inlineStr">
        <is>
          <t>Plan préventif</t>
        </is>
      </c>
      <c r="D159" s="7" t="inlineStr">
        <is>
          <t>EQ-TOL-002</t>
        </is>
      </c>
      <c r="E159" s="9">
        <f>IF(D159="","",IFERROR(INDEX('Équipements'!$B$5:$B$304,MATCH(D159,'Équipements'!$A$5:$A$304,0)),"Code inconnu"))</f>
        <v/>
      </c>
      <c r="F159" s="9">
        <f>IF(D159="","",IFERROR(INDEX('Équipements'!$D$5:$D$304,MATCH(D159,'Équipements'!$A$5:$A$304,0)),""))</f>
        <v/>
      </c>
      <c r="G159" s="9">
        <f>IF(D159="","",IFERROR(INDEX('Équipements'!$K$5:$K$304,MATCH(D159,'Équipements'!$A$5:$A$304,0)),""))</f>
        <v/>
      </c>
      <c r="H159" s="7" t="inlineStr">
        <is>
          <t>Préventif systématique</t>
        </is>
      </c>
      <c r="I159" s="7" t="inlineStr">
        <is>
          <t>GP-043</t>
        </is>
      </c>
      <c r="J159" s="7" t="inlineStr">
        <is>
          <t>Électrique</t>
        </is>
      </c>
      <c r="K159" s="7" t="inlineStr">
        <is>
          <t>P3 - Normale</t>
        </is>
      </c>
      <c r="L159" s="7" t="inlineStr">
        <is>
          <t>Contrôle des sécurités (barrages, AU, pédale)</t>
        </is>
      </c>
      <c r="M159" s="7" t="n"/>
      <c r="N159" s="7" t="inlineStr">
        <is>
          <t>Gamme réalisée - RAS</t>
        </is>
      </c>
      <c r="O159" s="7" t="inlineStr">
        <is>
          <t>Julien Moreau</t>
        </is>
      </c>
      <c r="P159" s="65" t="n">
        <v>45733</v>
      </c>
      <c r="Q159" s="75" t="n">
        <v>45733.53125</v>
      </c>
      <c r="R159" s="75" t="n">
        <v>45733.60416666666</v>
      </c>
      <c r="S159" s="76" t="n">
        <v>0.9</v>
      </c>
      <c r="T159" s="76" t="n">
        <v>1.75</v>
      </c>
      <c r="U159" s="70">
        <f>IF($A159="","",IFERROR(INDEX('Techniciens'!$F$5:$F$44,MATCH(O159,'Techniciens'!$B$5:$B$44,0)),'Paramètres'!$AA$10))</f>
        <v/>
      </c>
      <c r="V159" s="70">
        <f>IF($A159="","",IF(OR(AC159="Demandé",AC159="Planifié",AC159="Annulé"),0,N(T159)*N(U159)))</f>
        <v/>
      </c>
      <c r="W159" s="70">
        <f>IF($A159="","",SUMIFS('Mouvements stock'!$H$5:$H$3004,'Mouvements stock'!$I$5:$I$3004,$A159,'Mouvements stock'!$C$5:$C$3004,"Sortie")-SUMIFS('Mouvements stock'!$H$5:$H$3004,'Mouvements stock'!$I$5:$I$3004,$A159,'Mouvements stock'!$C$5:$C$3004,"Retour"))</f>
        <v/>
      </c>
      <c r="X159" s="66" t="n">
        <v>0</v>
      </c>
      <c r="Y159" s="66" t="n">
        <v>0</v>
      </c>
      <c r="Z159" s="7" t="n"/>
      <c r="AA159" s="70">
        <f>IF($A159="","",N(V159)+N(W159)+N(X159)+N(Y159))</f>
        <v/>
      </c>
      <c r="AB159" s="70">
        <f>IF($A159="","",N(S159)*'Paramètres'!$AA$9*IFERROR(INDEX('Paramètres'!$O$5:$O$7,MATCH(G159,'Paramètres'!$N$5:$N$7,0)),0))</f>
        <v/>
      </c>
      <c r="AC159" s="7" t="inlineStr">
        <is>
          <t>Clôturé</t>
        </is>
      </c>
      <c r="AD159" s="69">
        <f>IF(OR($A159="",Q159=""),"",(Q159-B159)*24)</f>
        <v/>
      </c>
      <c r="AE159" s="69">
        <f>IF(OR(Q159="",R159=""),"",(R159-Q159)*24)</f>
        <v/>
      </c>
      <c r="AF159" s="77">
        <f>IF(OR($A159="",B159=""),"",YEAR(B159))</f>
        <v/>
      </c>
      <c r="AG159" s="77">
        <f>IF(OR($A159="",B159=""),"",MONTH(B159))</f>
        <v/>
      </c>
    </row>
    <row r="160">
      <c r="A160" s="7" t="inlineStr">
        <is>
          <t>OT-2025-0156</t>
        </is>
      </c>
      <c r="B160" s="75" t="n">
        <v>45726.45138888889</v>
      </c>
      <c r="C160" s="7" t="inlineStr">
        <is>
          <t>Plan préventif</t>
        </is>
      </c>
      <c r="D160" s="7" t="inlineStr">
        <is>
          <t>EQ-UTI-001</t>
        </is>
      </c>
      <c r="E160" s="9">
        <f>IF(D160="","",IFERROR(INDEX('Équipements'!$B$5:$B$304,MATCH(D160,'Équipements'!$A$5:$A$304,0)),"Code inconnu"))</f>
        <v/>
      </c>
      <c r="F160" s="9">
        <f>IF(D160="","",IFERROR(INDEX('Équipements'!$D$5:$D$304,MATCH(D160,'Équipements'!$A$5:$A$304,0)),""))</f>
        <v/>
      </c>
      <c r="G160" s="9">
        <f>IF(D160="","",IFERROR(INDEX('Équipements'!$K$5:$K$304,MATCH(D160,'Équipements'!$A$5:$A$304,0)),""))</f>
        <v/>
      </c>
      <c r="H160" s="7" t="inlineStr">
        <is>
          <t>Préventif systématique</t>
        </is>
      </c>
      <c r="I160" s="7" t="inlineStr">
        <is>
          <t>GP-088</t>
        </is>
      </c>
      <c r="J160" s="7" t="inlineStr">
        <is>
          <t>Pneumatique</t>
        </is>
      </c>
      <c r="K160" s="7" t="inlineStr">
        <is>
          <t>P3 - Normale</t>
        </is>
      </c>
      <c r="L160" s="7" t="inlineStr">
        <is>
          <t>Purge, contrôle fuites et point de rosée</t>
        </is>
      </c>
      <c r="M160" s="7" t="n"/>
      <c r="N160" s="7" t="inlineStr">
        <is>
          <t>Gamme réalisée - RAS</t>
        </is>
      </c>
      <c r="O160" s="7" t="inlineStr">
        <is>
          <t>Julien Moreau</t>
        </is>
      </c>
      <c r="P160" s="65" t="n">
        <v>45733.40625</v>
      </c>
      <c r="Q160" s="75" t="n">
        <v>45733.59375</v>
      </c>
      <c r="R160" s="75" t="n">
        <v>45733.65625</v>
      </c>
      <c r="S160" s="76" t="n">
        <v>0</v>
      </c>
      <c r="T160" s="76" t="n">
        <v>1.5</v>
      </c>
      <c r="U160" s="70">
        <f>IF($A160="","",IFERROR(INDEX('Techniciens'!$F$5:$F$44,MATCH(O160,'Techniciens'!$B$5:$B$44,0)),'Paramètres'!$AA$10))</f>
        <v/>
      </c>
      <c r="V160" s="70">
        <f>IF($A160="","",IF(OR(AC160="Demandé",AC160="Planifié",AC160="Annulé"),0,N(T160)*N(U160)))</f>
        <v/>
      </c>
      <c r="W160" s="70">
        <f>IF($A160="","",SUMIFS('Mouvements stock'!$H$5:$H$3004,'Mouvements stock'!$I$5:$I$3004,$A160,'Mouvements stock'!$C$5:$C$3004,"Sortie")-SUMIFS('Mouvements stock'!$H$5:$H$3004,'Mouvements stock'!$I$5:$I$3004,$A160,'Mouvements stock'!$C$5:$C$3004,"Retour"))</f>
        <v/>
      </c>
      <c r="X160" s="66" t="n">
        <v>0</v>
      </c>
      <c r="Y160" s="66" t="n">
        <v>0</v>
      </c>
      <c r="Z160" s="7" t="n"/>
      <c r="AA160" s="70">
        <f>IF($A160="","",N(V160)+N(W160)+N(X160)+N(Y160))</f>
        <v/>
      </c>
      <c r="AB160" s="70">
        <f>IF($A160="","",N(S160)*'Paramètres'!$AA$9*IFERROR(INDEX('Paramètres'!$O$5:$O$7,MATCH(G160,'Paramètres'!$N$5:$N$7,0)),0))</f>
        <v/>
      </c>
      <c r="AC160" s="7" t="inlineStr">
        <is>
          <t>Clôturé</t>
        </is>
      </c>
      <c r="AD160" s="69">
        <f>IF(OR($A160="",Q160=""),"",(Q160-B160)*24)</f>
        <v/>
      </c>
      <c r="AE160" s="69">
        <f>IF(OR(Q160="",R160=""),"",(R160-Q160)*24)</f>
        <v/>
      </c>
      <c r="AF160" s="77">
        <f>IF(OR($A160="",B160=""),"",YEAR(B160))</f>
        <v/>
      </c>
      <c r="AG160" s="77">
        <f>IF(OR($A160="",B160=""),"",MONTH(B160))</f>
        <v/>
      </c>
    </row>
    <row r="161">
      <c r="A161" s="7" t="inlineStr">
        <is>
          <t>OT-2025-0157</t>
        </is>
      </c>
      <c r="B161" s="75" t="n">
        <v>45726.46875</v>
      </c>
      <c r="C161" s="7" t="inlineStr">
        <is>
          <t>Plan préventif</t>
        </is>
      </c>
      <c r="D161" s="7" t="inlineStr">
        <is>
          <t>EQ-PEI-004</t>
        </is>
      </c>
      <c r="E161" s="9">
        <f>IF(D161="","",IFERROR(INDEX('Équipements'!$B$5:$B$304,MATCH(D161,'Équipements'!$A$5:$A$304,0)),"Code inconnu"))</f>
        <v/>
      </c>
      <c r="F161" s="9">
        <f>IF(D161="","",IFERROR(INDEX('Équipements'!$D$5:$D$304,MATCH(D161,'Équipements'!$A$5:$A$304,0)),""))</f>
        <v/>
      </c>
      <c r="G161" s="9">
        <f>IF(D161="","",IFERROR(INDEX('Équipements'!$K$5:$K$304,MATCH(D161,'Équipements'!$A$5:$A$304,0)),""))</f>
        <v/>
      </c>
      <c r="H161" s="7" t="inlineStr">
        <is>
          <t>Préventif systématique</t>
        </is>
      </c>
      <c r="I161" s="7" t="inlineStr">
        <is>
          <t>GP-072</t>
        </is>
      </c>
      <c r="J161" s="7" t="inlineStr">
        <is>
          <t>Mécanique</t>
        </is>
      </c>
      <c r="K161" s="7" t="inlineStr">
        <is>
          <t>P3 - Normale</t>
        </is>
      </c>
      <c r="L161" s="7" t="inlineStr">
        <is>
          <t>Graissage chaîne / galets et contrôle tension</t>
        </is>
      </c>
      <c r="M161" s="7" t="n"/>
      <c r="N161" s="7" t="inlineStr">
        <is>
          <t>Gamme réalisée - RAS</t>
        </is>
      </c>
      <c r="O161" s="7" t="inlineStr">
        <is>
          <t>Karim Benali</t>
        </is>
      </c>
      <c r="P161" s="65" t="n">
        <v>45733.48611111111</v>
      </c>
      <c r="Q161" s="75" t="n">
        <v>45733.50694444445</v>
      </c>
      <c r="R161" s="75" t="n">
        <v>45733.61111111111</v>
      </c>
      <c r="S161" s="76" t="n">
        <v>2.5</v>
      </c>
      <c r="T161" s="76" t="n">
        <v>2.5</v>
      </c>
      <c r="U161" s="70">
        <f>IF($A161="","",IFERROR(INDEX('Techniciens'!$F$5:$F$44,MATCH(O161,'Techniciens'!$B$5:$B$44,0)),'Paramètres'!$AA$10))</f>
        <v/>
      </c>
      <c r="V161" s="70">
        <f>IF($A161="","",IF(OR(AC161="Demandé",AC161="Planifié",AC161="Annulé"),0,N(T161)*N(U161)))</f>
        <v/>
      </c>
      <c r="W161" s="70">
        <f>IF($A161="","",SUMIFS('Mouvements stock'!$H$5:$H$3004,'Mouvements stock'!$I$5:$I$3004,$A161,'Mouvements stock'!$C$5:$C$3004,"Sortie")-SUMIFS('Mouvements stock'!$H$5:$H$3004,'Mouvements stock'!$I$5:$I$3004,$A161,'Mouvements stock'!$C$5:$C$3004,"Retour"))</f>
        <v/>
      </c>
      <c r="X161" s="66" t="n">
        <v>0</v>
      </c>
      <c r="Y161" s="66" t="n">
        <v>0</v>
      </c>
      <c r="Z161" s="7" t="n"/>
      <c r="AA161" s="70">
        <f>IF($A161="","",N(V161)+N(W161)+N(X161)+N(Y161))</f>
        <v/>
      </c>
      <c r="AB161" s="70">
        <f>IF($A161="","",N(S161)*'Paramètres'!$AA$9*IFERROR(INDEX('Paramètres'!$O$5:$O$7,MATCH(G161,'Paramètres'!$N$5:$N$7,0)),0))</f>
        <v/>
      </c>
      <c r="AC161" s="7" t="inlineStr">
        <is>
          <t>Clôturé</t>
        </is>
      </c>
      <c r="AD161" s="69">
        <f>IF(OR($A161="",Q161=""),"",(Q161-B161)*24)</f>
        <v/>
      </c>
      <c r="AE161" s="69">
        <f>IF(OR(Q161="",R161=""),"",(R161-Q161)*24)</f>
        <v/>
      </c>
      <c r="AF161" s="77">
        <f>IF(OR($A161="",B161=""),"",YEAR(B161))</f>
        <v/>
      </c>
      <c r="AG161" s="77">
        <f>IF(OR($A161="",B161=""),"",MONTH(B161))</f>
        <v/>
      </c>
    </row>
    <row r="162">
      <c r="A162" s="7" t="inlineStr">
        <is>
          <t>OT-2025-0158</t>
        </is>
      </c>
      <c r="B162" s="75" t="n">
        <v>45726.5625</v>
      </c>
      <c r="C162" s="7" t="inlineStr">
        <is>
          <t>Opérateur peinture</t>
        </is>
      </c>
      <c r="D162" s="7" t="inlineStr">
        <is>
          <t>EQ-PEI-001</t>
        </is>
      </c>
      <c r="E162" s="9">
        <f>IF(D162="","",IFERROR(INDEX('Équipements'!$B$5:$B$304,MATCH(D162,'Équipements'!$A$5:$A$304,0)),"Code inconnu"))</f>
        <v/>
      </c>
      <c r="F162" s="9">
        <f>IF(D162="","",IFERROR(INDEX('Équipements'!$D$5:$D$304,MATCH(D162,'Équipements'!$A$5:$A$304,0)),""))</f>
        <v/>
      </c>
      <c r="G162" s="9">
        <f>IF(D162="","",IFERROR(INDEX('Équipements'!$K$5:$K$304,MATCH(D162,'Équipements'!$A$5:$A$304,0)),""))</f>
        <v/>
      </c>
      <c r="H162" s="7" t="inlineStr">
        <is>
          <t>Correctif</t>
        </is>
      </c>
      <c r="I162" s="7" t="n"/>
      <c r="J162" s="7" t="inlineStr">
        <is>
          <t>Électrique</t>
        </is>
      </c>
      <c r="K162" s="7" t="inlineStr">
        <is>
          <t>P3 - Normale</t>
        </is>
      </c>
      <c r="L162" s="7" t="inlineStr">
        <is>
          <t>Brûleur en sécurité (défaut flamme)</t>
        </is>
      </c>
      <c r="M162" s="7" t="inlineStr">
        <is>
          <t>Défaut capteur</t>
        </is>
      </c>
      <c r="N162" s="7" t="inlineStr">
        <is>
          <t>Remplacement sonde, réglage brûleur</t>
        </is>
      </c>
      <c r="O162" s="7" t="inlineStr">
        <is>
          <t>Antoine Mercier</t>
        </is>
      </c>
      <c r="P162" s="65" t="n"/>
      <c r="Q162" s="75" t="n">
        <v>45727.24166666667</v>
      </c>
      <c r="R162" s="75" t="n">
        <v>45727.67916666667</v>
      </c>
      <c r="S162" s="76" t="n">
        <v>0</v>
      </c>
      <c r="T162" s="76" t="n">
        <v>10.5</v>
      </c>
      <c r="U162" s="70">
        <f>IF($A162="","",IFERROR(INDEX('Techniciens'!$F$5:$F$44,MATCH(O162,'Techniciens'!$B$5:$B$44,0)),'Paramètres'!$AA$10))</f>
        <v/>
      </c>
      <c r="V162" s="70">
        <f>IF($A162="","",IF(OR(AC162="Demandé",AC162="Planifié",AC162="Annulé"),0,N(T162)*N(U162)))</f>
        <v/>
      </c>
      <c r="W162" s="70">
        <f>IF($A162="","",SUMIFS('Mouvements stock'!$H$5:$H$3004,'Mouvements stock'!$I$5:$I$3004,$A162,'Mouvements stock'!$C$5:$C$3004,"Sortie")-SUMIFS('Mouvements stock'!$H$5:$H$3004,'Mouvements stock'!$I$5:$I$3004,$A162,'Mouvements stock'!$C$5:$C$3004,"Retour"))</f>
        <v/>
      </c>
      <c r="X162" s="66" t="n">
        <v>0</v>
      </c>
      <c r="Y162" s="66" t="n">
        <v>1020</v>
      </c>
      <c r="Z162" s="7" t="inlineStr">
        <is>
          <t>Surface Process Assistance</t>
        </is>
      </c>
      <c r="AA162" s="70">
        <f>IF($A162="","",N(V162)+N(W162)+N(X162)+N(Y162))</f>
        <v/>
      </c>
      <c r="AB162" s="70">
        <f>IF($A162="","",N(S162)*'Paramètres'!$AA$9*IFERROR(INDEX('Paramètres'!$O$5:$O$7,MATCH(G162,'Paramètres'!$N$5:$N$7,0)),0))</f>
        <v/>
      </c>
      <c r="AC162" s="7" t="inlineStr">
        <is>
          <t>Clôturé</t>
        </is>
      </c>
      <c r="AD162" s="69">
        <f>IF(OR($A162="",Q162=""),"",(Q162-B162)*24)</f>
        <v/>
      </c>
      <c r="AE162" s="69">
        <f>IF(OR(Q162="",R162=""),"",(R162-Q162)*24)</f>
        <v/>
      </c>
      <c r="AF162" s="77">
        <f>IF(OR($A162="",B162=""),"",YEAR(B162))</f>
        <v/>
      </c>
      <c r="AG162" s="77">
        <f>IF(OR($A162="",B162=""),"",MONTH(B162))</f>
        <v/>
      </c>
    </row>
    <row r="163">
      <c r="A163" s="7" t="inlineStr">
        <is>
          <t>OT-2025-0159</t>
        </is>
      </c>
      <c r="B163" s="75" t="n">
        <v>45727.48958333334</v>
      </c>
      <c r="C163" s="7" t="inlineStr">
        <is>
          <t>Plan préventif</t>
        </is>
      </c>
      <c r="D163" s="7" t="inlineStr">
        <is>
          <t>EQ-TOL-001</t>
        </is>
      </c>
      <c r="E163" s="9">
        <f>IF(D163="","",IFERROR(INDEX('Équipements'!$B$5:$B$304,MATCH(D163,'Équipements'!$A$5:$A$304,0)),"Code inconnu"))</f>
        <v/>
      </c>
      <c r="F163" s="9">
        <f>IF(D163="","",IFERROR(INDEX('Équipements'!$D$5:$D$304,MATCH(D163,'Équipements'!$A$5:$A$304,0)),""))</f>
        <v/>
      </c>
      <c r="G163" s="9">
        <f>IF(D163="","",IFERROR(INDEX('Équipements'!$K$5:$K$304,MATCH(D163,'Équipements'!$A$5:$A$304,0)),""))</f>
        <v/>
      </c>
      <c r="H163" s="7" t="inlineStr">
        <is>
          <t>Préventif systématique</t>
        </is>
      </c>
      <c r="I163" s="7" t="inlineStr">
        <is>
          <t>GP-038</t>
        </is>
      </c>
      <c r="J163" s="7" t="inlineStr">
        <is>
          <t>Mécanique</t>
        </is>
      </c>
      <c r="K163" s="7" t="inlineStr">
        <is>
          <t>P3 - Normale</t>
        </is>
      </c>
      <c r="L163" s="7" t="inlineStr">
        <is>
          <t>Nettoyage optique, contrôle buse et lentille</t>
        </is>
      </c>
      <c r="M163" s="7" t="n"/>
      <c r="N163" s="7" t="inlineStr">
        <is>
          <t>Gamme réalisée - DI émise pour remplacement pièce</t>
        </is>
      </c>
      <c r="O163" s="7" t="inlineStr">
        <is>
          <t>Karim Benali</t>
        </is>
      </c>
      <c r="P163" s="65" t="n">
        <v>45734.57638888889</v>
      </c>
      <c r="Q163" s="75" t="n">
        <v>45734.46527777778</v>
      </c>
      <c r="R163" s="75" t="n">
        <v>45734.55902777778</v>
      </c>
      <c r="S163" s="76" t="n">
        <v>0</v>
      </c>
      <c r="T163" s="76" t="n">
        <v>2.25</v>
      </c>
      <c r="U163" s="70">
        <f>IF($A163="","",IFERROR(INDEX('Techniciens'!$F$5:$F$44,MATCH(O163,'Techniciens'!$B$5:$B$44,0)),'Paramètres'!$AA$10))</f>
        <v/>
      </c>
      <c r="V163" s="70">
        <f>IF($A163="","",IF(OR(AC163="Demandé",AC163="Planifié",AC163="Annulé"),0,N(T163)*N(U163)))</f>
        <v/>
      </c>
      <c r="W163" s="70">
        <f>IF($A163="","",SUMIFS('Mouvements stock'!$H$5:$H$3004,'Mouvements stock'!$I$5:$I$3004,$A163,'Mouvements stock'!$C$5:$C$3004,"Sortie")-SUMIFS('Mouvements stock'!$H$5:$H$3004,'Mouvements stock'!$I$5:$I$3004,$A163,'Mouvements stock'!$C$5:$C$3004,"Retour"))</f>
        <v/>
      </c>
      <c r="X163" s="66" t="n">
        <v>0</v>
      </c>
      <c r="Y163" s="66" t="n">
        <v>0</v>
      </c>
      <c r="Z163" s="7" t="n"/>
      <c r="AA163" s="70">
        <f>IF($A163="","",N(V163)+N(W163)+N(X163)+N(Y163))</f>
        <v/>
      </c>
      <c r="AB163" s="70">
        <f>IF($A163="","",N(S163)*'Paramètres'!$AA$9*IFERROR(INDEX('Paramètres'!$O$5:$O$7,MATCH(G163,'Paramètres'!$N$5:$N$7,0)),0))</f>
        <v/>
      </c>
      <c r="AC163" s="7" t="inlineStr">
        <is>
          <t>Clôturé</t>
        </is>
      </c>
      <c r="AD163" s="69">
        <f>IF(OR($A163="",Q163=""),"",(Q163-B163)*24)</f>
        <v/>
      </c>
      <c r="AE163" s="69">
        <f>IF(OR(Q163="",R163=""),"",(R163-Q163)*24)</f>
        <v/>
      </c>
      <c r="AF163" s="77">
        <f>IF(OR($A163="",B163=""),"",YEAR(B163))</f>
        <v/>
      </c>
      <c r="AG163" s="77">
        <f>IF(OR($A163="",B163=""),"",MONTH(B163))</f>
        <v/>
      </c>
    </row>
    <row r="164">
      <c r="A164" s="7" t="inlineStr">
        <is>
          <t>OT-2025-0160</t>
        </is>
      </c>
      <c r="B164" s="75" t="n">
        <v>45728.34027777778</v>
      </c>
      <c r="C164" s="7" t="inlineStr">
        <is>
          <t>Plan préventif</t>
        </is>
      </c>
      <c r="D164" s="7" t="inlineStr">
        <is>
          <t>EQ-UTI-009</t>
        </is>
      </c>
      <c r="E164" s="9">
        <f>IF(D164="","",IFERROR(INDEX('Équipements'!$B$5:$B$304,MATCH(D164,'Équipements'!$A$5:$A$304,0)),"Code inconnu"))</f>
        <v/>
      </c>
      <c r="F164" s="9">
        <f>IF(D164="","",IFERROR(INDEX('Équipements'!$D$5:$D$304,MATCH(D164,'Équipements'!$A$5:$A$304,0)),""))</f>
        <v/>
      </c>
      <c r="G164" s="9">
        <f>IF(D164="","",IFERROR(INDEX('Équipements'!$K$5:$K$304,MATCH(D164,'Équipements'!$A$5:$A$304,0)),""))</f>
        <v/>
      </c>
      <c r="H164" s="7" t="inlineStr">
        <is>
          <t>Préventif systématique</t>
        </is>
      </c>
      <c r="I164" s="7" t="inlineStr">
        <is>
          <t>GP-101</t>
        </is>
      </c>
      <c r="J164" s="7" t="inlineStr">
        <is>
          <t>Électrique</t>
        </is>
      </c>
      <c r="K164" s="7" t="inlineStr">
        <is>
          <t>P3 - Normale</t>
        </is>
      </c>
      <c r="L164" s="7" t="inlineStr">
        <is>
          <t>Étalonnage des sondes pH / redox</t>
        </is>
      </c>
      <c r="M164" s="7" t="n"/>
      <c r="N164" s="7" t="inlineStr">
        <is>
          <t>Gamme réalisée - RAS</t>
        </is>
      </c>
      <c r="O164" s="7" t="inlineStr">
        <is>
          <t>Thomas Petit</t>
        </is>
      </c>
      <c r="P164" s="65" t="n">
        <v>45735.57986111111</v>
      </c>
      <c r="Q164" s="75" t="n">
        <v>45735.32291666666</v>
      </c>
      <c r="R164" s="75" t="n">
        <v>45735.40625</v>
      </c>
      <c r="S164" s="76" t="n">
        <v>0</v>
      </c>
      <c r="T164" s="76" t="n">
        <v>2</v>
      </c>
      <c r="U164" s="70">
        <f>IF($A164="","",IFERROR(INDEX('Techniciens'!$F$5:$F$44,MATCH(O164,'Techniciens'!$B$5:$B$44,0)),'Paramètres'!$AA$10))</f>
        <v/>
      </c>
      <c r="V164" s="70">
        <f>IF($A164="","",IF(OR(AC164="Demandé",AC164="Planifié",AC164="Annulé"),0,N(T164)*N(U164)))</f>
        <v/>
      </c>
      <c r="W164" s="70">
        <f>IF($A164="","",SUMIFS('Mouvements stock'!$H$5:$H$3004,'Mouvements stock'!$I$5:$I$3004,$A164,'Mouvements stock'!$C$5:$C$3004,"Sortie")-SUMIFS('Mouvements stock'!$H$5:$H$3004,'Mouvements stock'!$I$5:$I$3004,$A164,'Mouvements stock'!$C$5:$C$3004,"Retour"))</f>
        <v/>
      </c>
      <c r="X164" s="66" t="n">
        <v>0</v>
      </c>
      <c r="Y164" s="66" t="n">
        <v>0</v>
      </c>
      <c r="Z164" s="7" t="n"/>
      <c r="AA164" s="70">
        <f>IF($A164="","",N(V164)+N(W164)+N(X164)+N(Y164))</f>
        <v/>
      </c>
      <c r="AB164" s="70">
        <f>IF($A164="","",N(S164)*'Paramètres'!$AA$9*IFERROR(INDEX('Paramètres'!$O$5:$O$7,MATCH(G164,'Paramètres'!$N$5:$N$7,0)),0))</f>
        <v/>
      </c>
      <c r="AC164" s="7" t="inlineStr">
        <is>
          <t>Clôturé</t>
        </is>
      </c>
      <c r="AD164" s="69">
        <f>IF(OR($A164="",Q164=""),"",(Q164-B164)*24)</f>
        <v/>
      </c>
      <c r="AE164" s="69">
        <f>IF(OR(Q164="",R164=""),"",(R164-Q164)*24)</f>
        <v/>
      </c>
      <c r="AF164" s="77">
        <f>IF(OR($A164="",B164=""),"",YEAR(B164))</f>
        <v/>
      </c>
      <c r="AG164" s="77">
        <f>IF(OR($A164="",B164=""),"",MONTH(B164))</f>
        <v/>
      </c>
    </row>
    <row r="165">
      <c r="A165" s="7" t="inlineStr">
        <is>
          <t>OT-2025-0161</t>
        </is>
      </c>
      <c r="B165" s="75" t="n">
        <v>45728.46527777778</v>
      </c>
      <c r="C165" s="7" t="inlineStr">
        <is>
          <t>Plan préventif</t>
        </is>
      </c>
      <c r="D165" s="7" t="inlineStr">
        <is>
          <t>EQ-USI-005</t>
        </is>
      </c>
      <c r="E165" s="9">
        <f>IF(D165="","",IFERROR(INDEX('Équipements'!$B$5:$B$304,MATCH(D165,'Équipements'!$A$5:$A$304,0)),"Code inconnu"))</f>
        <v/>
      </c>
      <c r="F165" s="9">
        <f>IF(D165="","",IFERROR(INDEX('Équipements'!$D$5:$D$304,MATCH(D165,'Équipements'!$A$5:$A$304,0)),""))</f>
        <v/>
      </c>
      <c r="G165" s="9">
        <f>IF(D165="","",IFERROR(INDEX('Équipements'!$K$5:$K$304,MATCH(D165,'Équipements'!$A$5:$A$304,0)),""))</f>
        <v/>
      </c>
      <c r="H165" s="7" t="inlineStr">
        <is>
          <t>Préventif systématique</t>
        </is>
      </c>
      <c r="I165" s="7" t="inlineStr">
        <is>
          <t>GP-017</t>
        </is>
      </c>
      <c r="J165" s="7" t="inlineStr">
        <is>
          <t>Mécanique</t>
        </is>
      </c>
      <c r="K165" s="7" t="inlineStr">
        <is>
          <t>P3 - Normale</t>
        </is>
      </c>
      <c r="L165" s="7" t="inlineStr">
        <is>
          <t>Contrôle niveaux, nettoyage filtres et bac à copeaux</t>
        </is>
      </c>
      <c r="M165" s="7" t="n"/>
      <c r="N165" s="7" t="inlineStr">
        <is>
          <t>Gamme réalisée - RAS</t>
        </is>
      </c>
      <c r="O165" s="7" t="inlineStr">
        <is>
          <t>Karim Benali</t>
        </is>
      </c>
      <c r="P165" s="65" t="n">
        <v>45735.5</v>
      </c>
      <c r="Q165" s="75" t="n">
        <v>45735.36805555555</v>
      </c>
      <c r="R165" s="75" t="n">
        <v>45735.44097222222</v>
      </c>
      <c r="S165" s="76" t="n">
        <v>0</v>
      </c>
      <c r="T165" s="76" t="n">
        <v>1.75</v>
      </c>
      <c r="U165" s="70">
        <f>IF($A165="","",IFERROR(INDEX('Techniciens'!$F$5:$F$44,MATCH(O165,'Techniciens'!$B$5:$B$44,0)),'Paramètres'!$AA$10))</f>
        <v/>
      </c>
      <c r="V165" s="70">
        <f>IF($A165="","",IF(OR(AC165="Demandé",AC165="Planifié",AC165="Annulé"),0,N(T165)*N(U165)))</f>
        <v/>
      </c>
      <c r="W165" s="70">
        <f>IF($A165="","",SUMIFS('Mouvements stock'!$H$5:$H$3004,'Mouvements stock'!$I$5:$I$3004,$A165,'Mouvements stock'!$C$5:$C$3004,"Sortie")-SUMIFS('Mouvements stock'!$H$5:$H$3004,'Mouvements stock'!$I$5:$I$3004,$A165,'Mouvements stock'!$C$5:$C$3004,"Retour"))</f>
        <v/>
      </c>
      <c r="X165" s="66" t="n">
        <v>0</v>
      </c>
      <c r="Y165" s="66" t="n">
        <v>0</v>
      </c>
      <c r="Z165" s="7" t="n"/>
      <c r="AA165" s="70">
        <f>IF($A165="","",N(V165)+N(W165)+N(X165)+N(Y165))</f>
        <v/>
      </c>
      <c r="AB165" s="70">
        <f>IF($A165="","",N(S165)*'Paramètres'!$AA$9*IFERROR(INDEX('Paramètres'!$O$5:$O$7,MATCH(G165,'Paramètres'!$N$5:$N$7,0)),0))</f>
        <v/>
      </c>
      <c r="AC165" s="7" t="inlineStr">
        <is>
          <t>Clôturé</t>
        </is>
      </c>
      <c r="AD165" s="69">
        <f>IF(OR($A165="",Q165=""),"",(Q165-B165)*24)</f>
        <v/>
      </c>
      <c r="AE165" s="69">
        <f>IF(OR(Q165="",R165=""),"",(R165-Q165)*24)</f>
        <v/>
      </c>
      <c r="AF165" s="77">
        <f>IF(OR($A165="",B165=""),"",YEAR(B165))</f>
        <v/>
      </c>
      <c r="AG165" s="77">
        <f>IF(OR($A165="",B165=""),"",MONTH(B165))</f>
        <v/>
      </c>
    </row>
    <row r="166">
      <c r="A166" s="7" t="inlineStr">
        <is>
          <t>OT-2025-0162</t>
        </is>
      </c>
      <c r="B166" s="75" t="n">
        <v>45729.38888888889</v>
      </c>
      <c r="C166" s="7" t="inlineStr">
        <is>
          <t>Plan préventif</t>
        </is>
      </c>
      <c r="D166" s="7" t="inlineStr">
        <is>
          <t>EQ-TOL-004</t>
        </is>
      </c>
      <c r="E166" s="9">
        <f>IF(D166="","",IFERROR(INDEX('Équipements'!$B$5:$B$304,MATCH(D166,'Équipements'!$A$5:$A$304,0)),"Code inconnu"))</f>
        <v/>
      </c>
      <c r="F166" s="9">
        <f>IF(D166="","",IFERROR(INDEX('Équipements'!$D$5:$D$304,MATCH(D166,'Équipements'!$A$5:$A$304,0)),""))</f>
        <v/>
      </c>
      <c r="G166" s="9">
        <f>IF(D166="","",IFERROR(INDEX('Équipements'!$K$5:$K$304,MATCH(D166,'Équipements'!$A$5:$A$304,0)),""))</f>
        <v/>
      </c>
      <c r="H166" s="7" t="inlineStr">
        <is>
          <t>Préventif systématique</t>
        </is>
      </c>
      <c r="I166" s="7" t="inlineStr">
        <is>
          <t>GP-049</t>
        </is>
      </c>
      <c r="J166" s="7" t="inlineStr">
        <is>
          <t>Électrique</t>
        </is>
      </c>
      <c r="K166" s="7" t="inlineStr">
        <is>
          <t>P3 - Normale</t>
        </is>
      </c>
      <c r="L166" s="7" t="inlineStr">
        <is>
          <t>Contrôle des sécurités (barrages, AU, pédale)</t>
        </is>
      </c>
      <c r="M166" s="7" t="n"/>
      <c r="N166" s="7" t="inlineStr">
        <is>
          <t>Gamme réalisée - RAS</t>
        </is>
      </c>
      <c r="O166" s="7" t="inlineStr">
        <is>
          <t>Antoine Mercier</t>
        </is>
      </c>
      <c r="P166" s="65" t="n">
        <v>45736</v>
      </c>
      <c r="Q166" s="75" t="n">
        <v>45736.52777777778</v>
      </c>
      <c r="R166" s="75" t="n">
        <v>45736.59027777778</v>
      </c>
      <c r="S166" s="76" t="n">
        <v>0</v>
      </c>
      <c r="T166" s="76" t="n">
        <v>1.5</v>
      </c>
      <c r="U166" s="70">
        <f>IF($A166="","",IFERROR(INDEX('Techniciens'!$F$5:$F$44,MATCH(O166,'Techniciens'!$B$5:$B$44,0)),'Paramètres'!$AA$10))</f>
        <v/>
      </c>
      <c r="V166" s="70">
        <f>IF($A166="","",IF(OR(AC166="Demandé",AC166="Planifié",AC166="Annulé"),0,N(T166)*N(U166)))</f>
        <v/>
      </c>
      <c r="W166" s="70">
        <f>IF($A166="","",SUMIFS('Mouvements stock'!$H$5:$H$3004,'Mouvements stock'!$I$5:$I$3004,$A166,'Mouvements stock'!$C$5:$C$3004,"Sortie")-SUMIFS('Mouvements stock'!$H$5:$H$3004,'Mouvements stock'!$I$5:$I$3004,$A166,'Mouvements stock'!$C$5:$C$3004,"Retour"))</f>
        <v/>
      </c>
      <c r="X166" s="66" t="n">
        <v>0</v>
      </c>
      <c r="Y166" s="66" t="n">
        <v>0</v>
      </c>
      <c r="Z166" s="7" t="n"/>
      <c r="AA166" s="70">
        <f>IF($A166="","",N(V166)+N(W166)+N(X166)+N(Y166))</f>
        <v/>
      </c>
      <c r="AB166" s="70">
        <f>IF($A166="","",N(S166)*'Paramètres'!$AA$9*IFERROR(INDEX('Paramètres'!$O$5:$O$7,MATCH(G166,'Paramètres'!$N$5:$N$7,0)),0))</f>
        <v/>
      </c>
      <c r="AC166" s="7" t="inlineStr">
        <is>
          <t>Clôturé</t>
        </is>
      </c>
      <c r="AD166" s="69">
        <f>IF(OR($A166="",Q166=""),"",(Q166-B166)*24)</f>
        <v/>
      </c>
      <c r="AE166" s="69">
        <f>IF(OR(Q166="",R166=""),"",(R166-Q166)*24)</f>
        <v/>
      </c>
      <c r="AF166" s="77">
        <f>IF(OR($A166="",B166=""),"",YEAR(B166))</f>
        <v/>
      </c>
      <c r="AG166" s="77">
        <f>IF(OR($A166="",B166=""),"",MONTH(B166))</f>
        <v/>
      </c>
    </row>
    <row r="167">
      <c r="A167" s="7" t="inlineStr">
        <is>
          <t>OT-2025-0163</t>
        </is>
      </c>
      <c r="B167" s="75" t="n">
        <v>45730.44444444445</v>
      </c>
      <c r="C167" s="7" t="inlineStr">
        <is>
          <t>Planning réglementaire</t>
        </is>
      </c>
      <c r="D167" s="7" t="inlineStr">
        <is>
          <t>EQ-BAT-005</t>
        </is>
      </c>
      <c r="E167" s="9">
        <f>IF(D167="","",IFERROR(INDEX('Équipements'!$B$5:$B$304,MATCH(D167,'Équipements'!$A$5:$A$304,0)),"Code inconnu"))</f>
        <v/>
      </c>
      <c r="F167" s="9">
        <f>IF(D167="","",IFERROR(INDEX('Équipements'!$D$5:$D$304,MATCH(D167,'Équipements'!$A$5:$A$304,0)),""))</f>
        <v/>
      </c>
      <c r="G167" s="9">
        <f>IF(D167="","",IFERROR(INDEX('Équipements'!$K$5:$K$304,MATCH(D167,'Équipements'!$A$5:$A$304,0)),""))</f>
        <v/>
      </c>
      <c r="H167" s="7" t="inlineStr">
        <is>
          <t>Réglementaire</t>
        </is>
      </c>
      <c r="I167" s="7" t="inlineStr">
        <is>
          <t>CR-019</t>
        </is>
      </c>
      <c r="J167" s="7" t="inlineStr">
        <is>
          <t>Multi-technique</t>
        </is>
      </c>
      <c r="K167" s="7" t="inlineStr">
        <is>
          <t>P2 - Haute</t>
        </is>
      </c>
      <c r="L167" s="7" t="inlineStr">
        <is>
          <t>Vérification du désenfumage</t>
        </is>
      </c>
      <c r="M167" s="7" t="n"/>
      <c r="N167" s="7" t="inlineStr">
        <is>
          <t>Contrôle réalisé - rapport reçu</t>
        </is>
      </c>
      <c r="O167" s="7" t="inlineStr">
        <is>
          <t>Nadia Rousseau</t>
        </is>
      </c>
      <c r="P167" s="65" t="n">
        <v>45751</v>
      </c>
      <c r="Q167" s="75" t="n">
        <v>45751.38541666666</v>
      </c>
      <c r="R167" s="75" t="n">
        <v>45751.4375</v>
      </c>
      <c r="S167" s="76" t="n">
        <v>0</v>
      </c>
      <c r="T167" s="76" t="n">
        <v>1.25</v>
      </c>
      <c r="U167" s="70">
        <f>IF($A167="","",IFERROR(INDEX('Techniciens'!$F$5:$F$44,MATCH(O167,'Techniciens'!$B$5:$B$44,0)),'Paramètres'!$AA$10))</f>
        <v/>
      </c>
      <c r="V167" s="70">
        <f>IF($A167="","",IF(OR(AC167="Demandé",AC167="Planifié",AC167="Annulé"),0,N(T167)*N(U167)))</f>
        <v/>
      </c>
      <c r="W167" s="70">
        <f>IF($A167="","",SUMIFS('Mouvements stock'!$H$5:$H$3004,'Mouvements stock'!$I$5:$I$3004,$A167,'Mouvements stock'!$C$5:$C$3004,"Sortie")-SUMIFS('Mouvements stock'!$H$5:$H$3004,'Mouvements stock'!$I$5:$I$3004,$A167,'Mouvements stock'!$C$5:$C$3004,"Retour"))</f>
        <v/>
      </c>
      <c r="X167" s="66" t="n">
        <v>0</v>
      </c>
      <c r="Y167" s="66" t="n">
        <v>420</v>
      </c>
      <c r="Z167" s="7" t="inlineStr">
        <is>
          <t>Sécurité Incendie Ouest</t>
        </is>
      </c>
      <c r="AA167" s="70">
        <f>IF($A167="","",N(V167)+N(W167)+N(X167)+N(Y167))</f>
        <v/>
      </c>
      <c r="AB167" s="70">
        <f>IF($A167="","",N(S167)*'Paramètres'!$AA$9*IFERROR(INDEX('Paramètres'!$O$5:$O$7,MATCH(G167,'Paramètres'!$N$5:$N$7,0)),0))</f>
        <v/>
      </c>
      <c r="AC167" s="7" t="inlineStr">
        <is>
          <t>Clôturé</t>
        </is>
      </c>
      <c r="AD167" s="69">
        <f>IF(OR($A167="",Q167=""),"",(Q167-B167)*24)</f>
        <v/>
      </c>
      <c r="AE167" s="69">
        <f>IF(OR(Q167="",R167=""),"",(R167-Q167)*24)</f>
        <v/>
      </c>
      <c r="AF167" s="77">
        <f>IF(OR($A167="",B167=""),"",YEAR(B167))</f>
        <v/>
      </c>
      <c r="AG167" s="77">
        <f>IF(OR($A167="",B167=""),"",MONTH(B167))</f>
        <v/>
      </c>
    </row>
    <row r="168">
      <c r="A168" s="7" t="inlineStr">
        <is>
          <t>OT-2025-0164</t>
        </is>
      </c>
      <c r="B168" s="75" t="n">
        <v>45731.57986111111</v>
      </c>
      <c r="C168" s="7" t="inlineStr">
        <is>
          <t>Sylvie Mathieu (resp. logistique)</t>
        </is>
      </c>
      <c r="D168" s="7" t="inlineStr">
        <is>
          <t>EQ-LOG-002</t>
        </is>
      </c>
      <c r="E168" s="9">
        <f>IF(D168="","",IFERROR(INDEX('Équipements'!$B$5:$B$304,MATCH(D168,'Équipements'!$A$5:$A$304,0)),"Code inconnu"))</f>
        <v/>
      </c>
      <c r="F168" s="9">
        <f>IF(D168="","",IFERROR(INDEX('Équipements'!$D$5:$D$304,MATCH(D168,'Équipements'!$A$5:$A$304,0)),""))</f>
        <v/>
      </c>
      <c r="G168" s="9">
        <f>IF(D168="","",IFERROR(INDEX('Équipements'!$K$5:$K$304,MATCH(D168,'Équipements'!$A$5:$A$304,0)),""))</f>
        <v/>
      </c>
      <c r="H168" s="7" t="inlineStr">
        <is>
          <t>Correctif</t>
        </is>
      </c>
      <c r="I168" s="7" t="n"/>
      <c r="J168" s="7" t="inlineStr">
        <is>
          <t>Électrique</t>
        </is>
      </c>
      <c r="K168" s="7" t="inlineStr">
        <is>
          <t>P2 - Haute</t>
        </is>
      </c>
      <c r="L168" s="7" t="inlineStr">
        <is>
          <t>Avertisseur / feux défectueux</t>
        </is>
      </c>
      <c r="M168" s="7" t="n"/>
      <c r="N168" s="7" t="inlineStr">
        <is>
          <t>Doublon de demande - annulé</t>
        </is>
      </c>
      <c r="O168" s="7" t="inlineStr">
        <is>
          <t>Thomas Petit</t>
        </is>
      </c>
      <c r="P168" s="65" t="n"/>
      <c r="Q168" s="75" t="n"/>
      <c r="R168" s="75" t="n"/>
      <c r="S168" s="76" t="n">
        <v>0</v>
      </c>
      <c r="T168" s="76" t="n">
        <v>0</v>
      </c>
      <c r="U168" s="70">
        <f>IF($A168="","",IFERROR(INDEX('Techniciens'!$F$5:$F$44,MATCH(O168,'Techniciens'!$B$5:$B$44,0)),'Paramètres'!$AA$10))</f>
        <v/>
      </c>
      <c r="V168" s="70">
        <f>IF($A168="","",IF(OR(AC168="Demandé",AC168="Planifié",AC168="Annulé"),0,N(T168)*N(U168)))</f>
        <v/>
      </c>
      <c r="W168" s="70">
        <f>IF($A168="","",SUMIFS('Mouvements stock'!$H$5:$H$3004,'Mouvements stock'!$I$5:$I$3004,$A168,'Mouvements stock'!$C$5:$C$3004,"Sortie")-SUMIFS('Mouvements stock'!$H$5:$H$3004,'Mouvements stock'!$I$5:$I$3004,$A168,'Mouvements stock'!$C$5:$C$3004,"Retour"))</f>
        <v/>
      </c>
      <c r="X168" s="66" t="n">
        <v>0</v>
      </c>
      <c r="Y168" s="66" t="n">
        <v>0</v>
      </c>
      <c r="Z168" s="7" t="n"/>
      <c r="AA168" s="70">
        <f>IF($A168="","",N(V168)+N(W168)+N(X168)+N(Y168))</f>
        <v/>
      </c>
      <c r="AB168" s="70">
        <f>IF($A168="","",N(S168)*'Paramètres'!$AA$9*IFERROR(INDEX('Paramètres'!$O$5:$O$7,MATCH(G168,'Paramètres'!$N$5:$N$7,0)),0))</f>
        <v/>
      </c>
      <c r="AC168" s="7" t="inlineStr">
        <is>
          <t>Annulé</t>
        </is>
      </c>
      <c r="AD168" s="69">
        <f>IF(OR($A168="",Q168=""),"",(Q168-B168)*24)</f>
        <v/>
      </c>
      <c r="AE168" s="69">
        <f>IF(OR(Q168="",R168=""),"",(R168-Q168)*24)</f>
        <v/>
      </c>
      <c r="AF168" s="77">
        <f>IF(OR($A168="",B168=""),"",YEAR(B168))</f>
        <v/>
      </c>
      <c r="AG168" s="77">
        <f>IF(OR($A168="",B168=""),"",MONTH(B168))</f>
        <v/>
      </c>
    </row>
    <row r="169">
      <c r="A169" s="7" t="inlineStr">
        <is>
          <t>OT-2025-0165</t>
        </is>
      </c>
      <c r="B169" s="75" t="n">
        <v>45733.36111111111</v>
      </c>
      <c r="C169" s="7" t="inlineStr">
        <is>
          <t>Plan préventif</t>
        </is>
      </c>
      <c r="D169" s="7" t="inlineStr">
        <is>
          <t>EQ-UTI-006</t>
        </is>
      </c>
      <c r="E169" s="9">
        <f>IF(D169="","",IFERROR(INDEX('Équipements'!$B$5:$B$304,MATCH(D169,'Équipements'!$A$5:$A$304,0)),"Code inconnu"))</f>
        <v/>
      </c>
      <c r="F169" s="9">
        <f>IF(D169="","",IFERROR(INDEX('Équipements'!$D$5:$D$304,MATCH(D169,'Équipements'!$A$5:$A$304,0)),""))</f>
        <v/>
      </c>
      <c r="G169" s="9">
        <f>IF(D169="","",IFERROR(INDEX('Équipements'!$K$5:$K$304,MATCH(D169,'Équipements'!$A$5:$A$304,0)),""))</f>
        <v/>
      </c>
      <c r="H169" s="7" t="inlineStr">
        <is>
          <t>Préventif systématique</t>
        </is>
      </c>
      <c r="I169" s="7" t="inlineStr">
        <is>
          <t>GP-095</t>
        </is>
      </c>
      <c r="J169" s="7" t="inlineStr">
        <is>
          <t>Mécanique</t>
        </is>
      </c>
      <c r="K169" s="7" t="inlineStr">
        <is>
          <t>P3 - Normale</t>
        </is>
      </c>
      <c r="L169" s="7" t="inlineStr">
        <is>
          <t>Remplacement filtres et nettoyage batteries</t>
        </is>
      </c>
      <c r="M169" s="7" t="n"/>
      <c r="N169" s="7" t="inlineStr">
        <is>
          <t>Gamme réalisée - usure constatée, à surveiller</t>
        </is>
      </c>
      <c r="O169" s="7" t="inlineStr">
        <is>
          <t>Karim Benali</t>
        </is>
      </c>
      <c r="P169" s="65" t="n">
        <v>45740</v>
      </c>
      <c r="Q169" s="75" t="n">
        <v>45740.58333333334</v>
      </c>
      <c r="R169" s="75" t="n">
        <v>45740.6875</v>
      </c>
      <c r="S169" s="76" t="n">
        <v>0</v>
      </c>
      <c r="T169" s="76" t="n">
        <v>2.5</v>
      </c>
      <c r="U169" s="70">
        <f>IF($A169="","",IFERROR(INDEX('Techniciens'!$F$5:$F$44,MATCH(O169,'Techniciens'!$B$5:$B$44,0)),'Paramètres'!$AA$10))</f>
        <v/>
      </c>
      <c r="V169" s="70">
        <f>IF($A169="","",IF(OR(AC169="Demandé",AC169="Planifié",AC169="Annulé"),0,N(T169)*N(U169)))</f>
        <v/>
      </c>
      <c r="W169" s="70">
        <f>IF($A169="","",SUMIFS('Mouvements stock'!$H$5:$H$3004,'Mouvements stock'!$I$5:$I$3004,$A169,'Mouvements stock'!$C$5:$C$3004,"Sortie")-SUMIFS('Mouvements stock'!$H$5:$H$3004,'Mouvements stock'!$I$5:$I$3004,$A169,'Mouvements stock'!$C$5:$C$3004,"Retour"))</f>
        <v/>
      </c>
      <c r="X169" s="66" t="n">
        <v>0</v>
      </c>
      <c r="Y169" s="66" t="n">
        <v>0</v>
      </c>
      <c r="Z169" s="7" t="n"/>
      <c r="AA169" s="70">
        <f>IF($A169="","",N(V169)+N(W169)+N(X169)+N(Y169))</f>
        <v/>
      </c>
      <c r="AB169" s="70">
        <f>IF($A169="","",N(S169)*'Paramètres'!$AA$9*IFERROR(INDEX('Paramètres'!$O$5:$O$7,MATCH(G169,'Paramètres'!$N$5:$N$7,0)),0))</f>
        <v/>
      </c>
      <c r="AC169" s="7" t="inlineStr">
        <is>
          <t>Clôturé</t>
        </is>
      </c>
      <c r="AD169" s="69">
        <f>IF(OR($A169="",Q169=""),"",(Q169-B169)*24)</f>
        <v/>
      </c>
      <c r="AE169" s="69">
        <f>IF(OR(Q169="",R169=""),"",(R169-Q169)*24)</f>
        <v/>
      </c>
      <c r="AF169" s="77">
        <f>IF(OR($A169="",B169=""),"",YEAR(B169))</f>
        <v/>
      </c>
      <c r="AG169" s="77">
        <f>IF(OR($A169="",B169=""),"",MONTH(B169))</f>
        <v/>
      </c>
    </row>
    <row r="170">
      <c r="A170" s="7" t="inlineStr">
        <is>
          <t>OT-2025-0166</t>
        </is>
      </c>
      <c r="B170" s="75" t="n">
        <v>45733.41666666666</v>
      </c>
      <c r="C170" s="7" t="inlineStr">
        <is>
          <t>Plan préventif</t>
        </is>
      </c>
      <c r="D170" s="7" t="inlineStr">
        <is>
          <t>EQ-ASS-002</t>
        </is>
      </c>
      <c r="E170" s="9">
        <f>IF(D170="","",IFERROR(INDEX('Équipements'!$B$5:$B$304,MATCH(D170,'Équipements'!$A$5:$A$304,0)),"Code inconnu"))</f>
        <v/>
      </c>
      <c r="F170" s="9">
        <f>IF(D170="","",IFERROR(INDEX('Équipements'!$D$5:$D$304,MATCH(D170,'Équipements'!$A$5:$A$304,0)),""))</f>
        <v/>
      </c>
      <c r="G170" s="9">
        <f>IF(D170="","",IFERROR(INDEX('Équipements'!$K$5:$K$304,MATCH(D170,'Équipements'!$A$5:$A$304,0)),""))</f>
        <v/>
      </c>
      <c r="H170" s="7" t="inlineStr">
        <is>
          <t>Préventif systématique</t>
        </is>
      </c>
      <c r="I170" s="7" t="inlineStr">
        <is>
          <t>GP-080</t>
        </is>
      </c>
      <c r="J170" s="7" t="inlineStr">
        <is>
          <t>Électrique</t>
        </is>
      </c>
      <c r="K170" s="7" t="inlineStr">
        <is>
          <t>P3 - Normale</t>
        </is>
      </c>
      <c r="L170" s="7" t="inlineStr">
        <is>
          <t>Contrôle des sécurités (barrages, AU, pédale)</t>
        </is>
      </c>
      <c r="M170" s="7" t="n"/>
      <c r="N170" s="7" t="inlineStr">
        <is>
          <t>Gamme réalisée - RAS</t>
        </is>
      </c>
      <c r="O170" s="7" t="inlineStr">
        <is>
          <t>Thomas Petit</t>
        </is>
      </c>
      <c r="P170" s="65" t="n">
        <v>45740</v>
      </c>
      <c r="Q170" s="75" t="n">
        <v>45740.42708333334</v>
      </c>
      <c r="R170" s="75" t="n">
        <v>45740.51041666666</v>
      </c>
      <c r="S170" s="76" t="n">
        <v>1</v>
      </c>
      <c r="T170" s="76" t="n">
        <v>2</v>
      </c>
      <c r="U170" s="70">
        <f>IF($A170="","",IFERROR(INDEX('Techniciens'!$F$5:$F$44,MATCH(O170,'Techniciens'!$B$5:$B$44,0)),'Paramètres'!$AA$10))</f>
        <v/>
      </c>
      <c r="V170" s="70">
        <f>IF($A170="","",IF(OR(AC170="Demandé",AC170="Planifié",AC170="Annulé"),0,N(T170)*N(U170)))</f>
        <v/>
      </c>
      <c r="W170" s="70">
        <f>IF($A170="","",SUMIFS('Mouvements stock'!$H$5:$H$3004,'Mouvements stock'!$I$5:$I$3004,$A170,'Mouvements stock'!$C$5:$C$3004,"Sortie")-SUMIFS('Mouvements stock'!$H$5:$H$3004,'Mouvements stock'!$I$5:$I$3004,$A170,'Mouvements stock'!$C$5:$C$3004,"Retour"))</f>
        <v/>
      </c>
      <c r="X170" s="66" t="n">
        <v>0</v>
      </c>
      <c r="Y170" s="66" t="n">
        <v>0</v>
      </c>
      <c r="Z170" s="7" t="n"/>
      <c r="AA170" s="70">
        <f>IF($A170="","",N(V170)+N(W170)+N(X170)+N(Y170))</f>
        <v/>
      </c>
      <c r="AB170" s="70">
        <f>IF($A170="","",N(S170)*'Paramètres'!$AA$9*IFERROR(INDEX('Paramètres'!$O$5:$O$7,MATCH(G170,'Paramètres'!$N$5:$N$7,0)),0))</f>
        <v/>
      </c>
      <c r="AC170" s="7" t="inlineStr">
        <is>
          <t>Clôturé</t>
        </is>
      </c>
      <c r="AD170" s="69">
        <f>IF(OR($A170="",Q170=""),"",(Q170-B170)*24)</f>
        <v/>
      </c>
      <c r="AE170" s="69">
        <f>IF(OR(Q170="",R170=""),"",(R170-Q170)*24)</f>
        <v/>
      </c>
      <c r="AF170" s="77">
        <f>IF(OR($A170="",B170=""),"",YEAR(B170))</f>
        <v/>
      </c>
      <c r="AG170" s="77">
        <f>IF(OR($A170="",B170=""),"",MONTH(B170))</f>
        <v/>
      </c>
    </row>
    <row r="171">
      <c r="A171" s="7" t="inlineStr">
        <is>
          <t>OT-2025-0167</t>
        </is>
      </c>
      <c r="B171" s="75" t="n">
        <v>45733.42361111111</v>
      </c>
      <c r="C171" s="7" t="inlineStr">
        <is>
          <t>Plan préventif</t>
        </is>
      </c>
      <c r="D171" s="7" t="inlineStr">
        <is>
          <t>EQ-USI-002</t>
        </is>
      </c>
      <c r="E171" s="9">
        <f>IF(D171="","",IFERROR(INDEX('Équipements'!$B$5:$B$304,MATCH(D171,'Équipements'!$A$5:$A$304,0)),"Code inconnu"))</f>
        <v/>
      </c>
      <c r="F171" s="9">
        <f>IF(D171="","",IFERROR(INDEX('Équipements'!$D$5:$D$304,MATCH(D171,'Équipements'!$A$5:$A$304,0)),""))</f>
        <v/>
      </c>
      <c r="G171" s="9">
        <f>IF(D171="","",IFERROR(INDEX('Équipements'!$K$5:$K$304,MATCH(D171,'Équipements'!$A$5:$A$304,0)),""))</f>
        <v/>
      </c>
      <c r="H171" s="7" t="inlineStr">
        <is>
          <t>Préventif systématique</t>
        </is>
      </c>
      <c r="I171" s="7" t="inlineStr">
        <is>
          <t>GP-006</t>
        </is>
      </c>
      <c r="J171" s="7" t="inlineStr">
        <is>
          <t>Mécanique</t>
        </is>
      </c>
      <c r="K171" s="7" t="inlineStr">
        <is>
          <t>P3 - Normale</t>
        </is>
      </c>
      <c r="L171" s="7" t="inlineStr">
        <is>
          <t>Contrôle géométrie, jeux et graissage des axes</t>
        </is>
      </c>
      <c r="M171" s="7" t="n"/>
      <c r="N171" s="7" t="inlineStr">
        <is>
          <t>Gamme réalisée - RAS</t>
        </is>
      </c>
      <c r="O171" s="7" t="inlineStr">
        <is>
          <t>Karim Benali</t>
        </is>
      </c>
      <c r="P171" s="65" t="n">
        <v>45740</v>
      </c>
      <c r="Q171" s="75" t="n">
        <v>45740.51388888889</v>
      </c>
      <c r="R171" s="75" t="n">
        <v>45740.78472222222</v>
      </c>
      <c r="S171" s="76" t="n">
        <v>6.5</v>
      </c>
      <c r="T171" s="76" t="n">
        <v>6.5</v>
      </c>
      <c r="U171" s="70">
        <f>IF($A171="","",IFERROR(INDEX('Techniciens'!$F$5:$F$44,MATCH(O171,'Techniciens'!$B$5:$B$44,0)),'Paramètres'!$AA$10))</f>
        <v/>
      </c>
      <c r="V171" s="70">
        <f>IF($A171="","",IF(OR(AC171="Demandé",AC171="Planifié",AC171="Annulé"),0,N(T171)*N(U171)))</f>
        <v/>
      </c>
      <c r="W171" s="70">
        <f>IF($A171="","",SUMIFS('Mouvements stock'!$H$5:$H$3004,'Mouvements stock'!$I$5:$I$3004,$A171,'Mouvements stock'!$C$5:$C$3004,"Sortie")-SUMIFS('Mouvements stock'!$H$5:$H$3004,'Mouvements stock'!$I$5:$I$3004,$A171,'Mouvements stock'!$C$5:$C$3004,"Retour"))</f>
        <v/>
      </c>
      <c r="X171" s="66" t="n">
        <v>0</v>
      </c>
      <c r="Y171" s="66" t="n">
        <v>0</v>
      </c>
      <c r="Z171" s="7" t="n"/>
      <c r="AA171" s="70">
        <f>IF($A171="","",N(V171)+N(W171)+N(X171)+N(Y171))</f>
        <v/>
      </c>
      <c r="AB171" s="70">
        <f>IF($A171="","",N(S171)*'Paramètres'!$AA$9*IFERROR(INDEX('Paramètres'!$O$5:$O$7,MATCH(G171,'Paramètres'!$N$5:$N$7,0)),0))</f>
        <v/>
      </c>
      <c r="AC171" s="7" t="inlineStr">
        <is>
          <t>Clôturé</t>
        </is>
      </c>
      <c r="AD171" s="69">
        <f>IF(OR($A171="",Q171=""),"",(Q171-B171)*24)</f>
        <v/>
      </c>
      <c r="AE171" s="69">
        <f>IF(OR(Q171="",R171=""),"",(R171-Q171)*24)</f>
        <v/>
      </c>
      <c r="AF171" s="77">
        <f>IF(OR($A171="",B171=""),"",YEAR(B171))</f>
        <v/>
      </c>
      <c r="AG171" s="77">
        <f>IF(OR($A171="",B171=""),"",MONTH(B171))</f>
        <v/>
      </c>
    </row>
    <row r="172">
      <c r="A172" s="7" t="inlineStr">
        <is>
          <t>OT-2025-0168</t>
        </is>
      </c>
      <c r="B172" s="75" t="n">
        <v>45735.36111111111</v>
      </c>
      <c r="C172" s="7" t="inlineStr">
        <is>
          <t>Plan préventif</t>
        </is>
      </c>
      <c r="D172" s="7" t="inlineStr">
        <is>
          <t>EQ-USI-004</t>
        </is>
      </c>
      <c r="E172" s="9">
        <f>IF(D172="","",IFERROR(INDEX('Équipements'!$B$5:$B$304,MATCH(D172,'Équipements'!$A$5:$A$304,0)),"Code inconnu"))</f>
        <v/>
      </c>
      <c r="F172" s="9">
        <f>IF(D172="","",IFERROR(INDEX('Équipements'!$D$5:$D$304,MATCH(D172,'Équipements'!$A$5:$A$304,0)),""))</f>
        <v/>
      </c>
      <c r="G172" s="9">
        <f>IF(D172="","",IFERROR(INDEX('Équipements'!$K$5:$K$304,MATCH(D172,'Équipements'!$A$5:$A$304,0)),""))</f>
        <v/>
      </c>
      <c r="H172" s="7" t="inlineStr">
        <is>
          <t>Préventif systématique</t>
        </is>
      </c>
      <c r="I172" s="7" t="inlineStr">
        <is>
          <t>GP-013</t>
        </is>
      </c>
      <c r="J172" s="7" t="inlineStr">
        <is>
          <t>Mécanique</t>
        </is>
      </c>
      <c r="K172" s="7" t="inlineStr">
        <is>
          <t>P3 - Normale</t>
        </is>
      </c>
      <c r="L172" s="7" t="inlineStr">
        <is>
          <t>Contrôle niveaux, nettoyage filtres et bac à copeaux</t>
        </is>
      </c>
      <c r="M172" s="7" t="n"/>
      <c r="N172" s="7" t="inlineStr">
        <is>
          <t>Gamme réalisée - RAS</t>
        </is>
      </c>
      <c r="O172" s="7" t="inlineStr">
        <is>
          <t>Lucas Fontaine</t>
        </is>
      </c>
      <c r="P172" s="65" t="n">
        <v>45742.53125</v>
      </c>
      <c r="Q172" s="75" t="n">
        <v>45742.60416666666</v>
      </c>
      <c r="R172" s="75" t="n">
        <v>45742.67708333334</v>
      </c>
      <c r="S172" s="76" t="n">
        <v>1.8</v>
      </c>
      <c r="T172" s="76" t="n">
        <v>1.75</v>
      </c>
      <c r="U172" s="70">
        <f>IF($A172="","",IFERROR(INDEX('Techniciens'!$F$5:$F$44,MATCH(O172,'Techniciens'!$B$5:$B$44,0)),'Paramètres'!$AA$10))</f>
        <v/>
      </c>
      <c r="V172" s="70">
        <f>IF($A172="","",IF(OR(AC172="Demandé",AC172="Planifié",AC172="Annulé"),0,N(T172)*N(U172)))</f>
        <v/>
      </c>
      <c r="W172" s="70">
        <f>IF($A172="","",SUMIFS('Mouvements stock'!$H$5:$H$3004,'Mouvements stock'!$I$5:$I$3004,$A172,'Mouvements stock'!$C$5:$C$3004,"Sortie")-SUMIFS('Mouvements stock'!$H$5:$H$3004,'Mouvements stock'!$I$5:$I$3004,$A172,'Mouvements stock'!$C$5:$C$3004,"Retour"))</f>
        <v/>
      </c>
      <c r="X172" s="66" t="n">
        <v>0</v>
      </c>
      <c r="Y172" s="66" t="n">
        <v>0</v>
      </c>
      <c r="Z172" s="7" t="n"/>
      <c r="AA172" s="70">
        <f>IF($A172="","",N(V172)+N(W172)+N(X172)+N(Y172))</f>
        <v/>
      </c>
      <c r="AB172" s="70">
        <f>IF($A172="","",N(S172)*'Paramètres'!$AA$9*IFERROR(INDEX('Paramètres'!$O$5:$O$7,MATCH(G172,'Paramètres'!$N$5:$N$7,0)),0))</f>
        <v/>
      </c>
      <c r="AC172" s="7" t="inlineStr">
        <is>
          <t>Clôturé</t>
        </is>
      </c>
      <c r="AD172" s="69">
        <f>IF(OR($A172="",Q172=""),"",(Q172-B172)*24)</f>
        <v/>
      </c>
      <c r="AE172" s="69">
        <f>IF(OR(Q172="",R172=""),"",(R172-Q172)*24)</f>
        <v/>
      </c>
      <c r="AF172" s="77">
        <f>IF(OR($A172="",B172=""),"",YEAR(B172))</f>
        <v/>
      </c>
      <c r="AG172" s="77">
        <f>IF(OR($A172="",B172=""),"",MONTH(B172))</f>
        <v/>
      </c>
    </row>
    <row r="173">
      <c r="A173" s="7" t="inlineStr">
        <is>
          <t>OT-2025-0169</t>
        </is>
      </c>
      <c r="B173" s="75" t="n">
        <v>45735.44444444445</v>
      </c>
      <c r="C173" s="7" t="inlineStr">
        <is>
          <t>Plan préventif</t>
        </is>
      </c>
      <c r="D173" s="7" t="inlineStr">
        <is>
          <t>EQ-PEI-003</t>
        </is>
      </c>
      <c r="E173" s="9">
        <f>IF(D173="","",IFERROR(INDEX('Équipements'!$B$5:$B$304,MATCH(D173,'Équipements'!$A$5:$A$304,0)),"Code inconnu"))</f>
        <v/>
      </c>
      <c r="F173" s="9">
        <f>IF(D173="","",IFERROR(INDEX('Équipements'!$D$5:$D$304,MATCH(D173,'Équipements'!$A$5:$A$304,0)),""))</f>
        <v/>
      </c>
      <c r="G173" s="9">
        <f>IF(D173="","",IFERROR(INDEX('Équipements'!$K$5:$K$304,MATCH(D173,'Équipements'!$A$5:$A$304,0)),""))</f>
        <v/>
      </c>
      <c r="H173" s="7" t="inlineStr">
        <is>
          <t>Préventif systématique</t>
        </is>
      </c>
      <c r="I173" s="7" t="inlineStr">
        <is>
          <t>GP-070</t>
        </is>
      </c>
      <c r="J173" s="7" t="inlineStr">
        <is>
          <t>Mécanique</t>
        </is>
      </c>
      <c r="K173" s="7" t="inlineStr">
        <is>
          <t>P3 - Normale</t>
        </is>
      </c>
      <c r="L173" s="7" t="inlineStr">
        <is>
          <t>Nettoyage et remplacement des filtres</t>
        </is>
      </c>
      <c r="M173" s="7" t="n"/>
      <c r="N173" s="7" t="inlineStr">
        <is>
          <t>Gamme réalisée - RAS</t>
        </is>
      </c>
      <c r="O173" s="7" t="inlineStr">
        <is>
          <t>Antoine Mercier</t>
        </is>
      </c>
      <c r="P173" s="65" t="n">
        <v>45742.72222222222</v>
      </c>
      <c r="Q173" s="75" t="n">
        <v>45742.36805555555</v>
      </c>
      <c r="R173" s="75" t="n">
        <v>45742.47222222222</v>
      </c>
      <c r="S173" s="76" t="n">
        <v>2.5</v>
      </c>
      <c r="T173" s="76" t="n">
        <v>2.5</v>
      </c>
      <c r="U173" s="70">
        <f>IF($A173="","",IFERROR(INDEX('Techniciens'!$F$5:$F$44,MATCH(O173,'Techniciens'!$B$5:$B$44,0)),'Paramètres'!$AA$10))</f>
        <v/>
      </c>
      <c r="V173" s="70">
        <f>IF($A173="","",IF(OR(AC173="Demandé",AC173="Planifié",AC173="Annulé"),0,N(T173)*N(U173)))</f>
        <v/>
      </c>
      <c r="W173" s="70">
        <f>IF($A173="","",SUMIFS('Mouvements stock'!$H$5:$H$3004,'Mouvements stock'!$I$5:$I$3004,$A173,'Mouvements stock'!$C$5:$C$3004,"Sortie")-SUMIFS('Mouvements stock'!$H$5:$H$3004,'Mouvements stock'!$I$5:$I$3004,$A173,'Mouvements stock'!$C$5:$C$3004,"Retour"))</f>
        <v/>
      </c>
      <c r="X173" s="66" t="n">
        <v>0</v>
      </c>
      <c r="Y173" s="66" t="n">
        <v>0</v>
      </c>
      <c r="Z173" s="7" t="n"/>
      <c r="AA173" s="70">
        <f>IF($A173="","",N(V173)+N(W173)+N(X173)+N(Y173))</f>
        <v/>
      </c>
      <c r="AB173" s="70">
        <f>IF($A173="","",N(S173)*'Paramètres'!$AA$9*IFERROR(INDEX('Paramètres'!$O$5:$O$7,MATCH(G173,'Paramètres'!$N$5:$N$7,0)),0))</f>
        <v/>
      </c>
      <c r="AC173" s="7" t="inlineStr">
        <is>
          <t>Clôturé</t>
        </is>
      </c>
      <c r="AD173" s="69">
        <f>IF(OR($A173="",Q173=""),"",(Q173-B173)*24)</f>
        <v/>
      </c>
      <c r="AE173" s="69">
        <f>IF(OR(Q173="",R173=""),"",(R173-Q173)*24)</f>
        <v/>
      </c>
      <c r="AF173" s="77">
        <f>IF(OR($A173="",B173=""),"",YEAR(B173))</f>
        <v/>
      </c>
      <c r="AG173" s="77">
        <f>IF(OR($A173="",B173=""),"",MONTH(B173))</f>
        <v/>
      </c>
    </row>
    <row r="174">
      <c r="A174" s="7" t="inlineStr">
        <is>
          <t>OT-2025-0170</t>
        </is>
      </c>
      <c r="B174" s="75" t="n">
        <v>45735.46041666667</v>
      </c>
      <c r="C174" s="7" t="inlineStr">
        <is>
          <t>Opérateur usinage</t>
        </is>
      </c>
      <c r="D174" s="7" t="inlineStr">
        <is>
          <t>EQ-USI-001</t>
        </is>
      </c>
      <c r="E174" s="9">
        <f>IF(D174="","",IFERROR(INDEX('Équipements'!$B$5:$B$304,MATCH(D174,'Équipements'!$A$5:$A$304,0)),"Code inconnu"))</f>
        <v/>
      </c>
      <c r="F174" s="9">
        <f>IF(D174="","",IFERROR(INDEX('Équipements'!$D$5:$D$304,MATCH(D174,'Équipements'!$A$5:$A$304,0)),""))</f>
        <v/>
      </c>
      <c r="G174" s="9">
        <f>IF(D174="","",IFERROR(INDEX('Équipements'!$K$5:$K$304,MATCH(D174,'Équipements'!$A$5:$A$304,0)),""))</f>
        <v/>
      </c>
      <c r="H174" s="7" t="inlineStr">
        <is>
          <t>Correctif</t>
        </is>
      </c>
      <c r="I174" s="7" t="n"/>
      <c r="J174" s="7" t="inlineStr">
        <is>
          <t>Mécanique</t>
        </is>
      </c>
      <c r="K174" s="7" t="inlineStr">
        <is>
          <t>P1 - Urgent</t>
        </is>
      </c>
      <c r="L174" s="7" t="inlineStr">
        <is>
          <t>Collision outil / pièce</t>
        </is>
      </c>
      <c r="M174" s="7" t="inlineStr">
        <is>
          <t>Erreur opérateur</t>
        </is>
      </c>
      <c r="N174" s="7" t="inlineStr">
        <is>
          <t>Contrôle géométrie, remplacement porte-outil, recalage</t>
        </is>
      </c>
      <c r="O174" s="7" t="inlineStr">
        <is>
          <t>Karim Benali</t>
        </is>
      </c>
      <c r="P174" s="65" t="n"/>
      <c r="Q174" s="75" t="n">
        <v>45735.47847222222</v>
      </c>
      <c r="R174" s="75" t="n">
        <v>45735.72847222222</v>
      </c>
      <c r="S174" s="76" t="n">
        <v>6.4</v>
      </c>
      <c r="T174" s="76" t="n">
        <v>6</v>
      </c>
      <c r="U174" s="70">
        <f>IF($A174="","",IFERROR(INDEX('Techniciens'!$F$5:$F$44,MATCH(O174,'Techniciens'!$B$5:$B$44,0)),'Paramètres'!$AA$10))</f>
        <v/>
      </c>
      <c r="V174" s="70">
        <f>IF($A174="","",IF(OR(AC174="Demandé",AC174="Planifié",AC174="Annulé"),0,N(T174)*N(U174)))</f>
        <v/>
      </c>
      <c r="W174" s="70">
        <f>IF($A174="","",SUMIFS('Mouvements stock'!$H$5:$H$3004,'Mouvements stock'!$I$5:$I$3004,$A174,'Mouvements stock'!$C$5:$C$3004,"Sortie")-SUMIFS('Mouvements stock'!$H$5:$H$3004,'Mouvements stock'!$I$5:$I$3004,$A174,'Mouvements stock'!$C$5:$C$3004,"Retour"))</f>
        <v/>
      </c>
      <c r="X174" s="66" t="n">
        <v>0</v>
      </c>
      <c r="Y174" s="66" t="n">
        <v>960</v>
      </c>
      <c r="Z174" s="7" t="inlineStr">
        <is>
          <t>SAV Machines-Outils Atlantique</t>
        </is>
      </c>
      <c r="AA174" s="70">
        <f>IF($A174="","",N(V174)+N(W174)+N(X174)+N(Y174))</f>
        <v/>
      </c>
      <c r="AB174" s="70">
        <f>IF($A174="","",N(S174)*'Paramètres'!$AA$9*IFERROR(INDEX('Paramètres'!$O$5:$O$7,MATCH(G174,'Paramètres'!$N$5:$N$7,0)),0))</f>
        <v/>
      </c>
      <c r="AC174" s="7" t="inlineStr">
        <is>
          <t>Clôturé</t>
        </is>
      </c>
      <c r="AD174" s="69">
        <f>IF(OR($A174="",Q174=""),"",(Q174-B174)*24)</f>
        <v/>
      </c>
      <c r="AE174" s="69">
        <f>IF(OR(Q174="",R174=""),"",(R174-Q174)*24)</f>
        <v/>
      </c>
      <c r="AF174" s="77">
        <f>IF(OR($A174="",B174=""),"",YEAR(B174))</f>
        <v/>
      </c>
      <c r="AG174" s="77">
        <f>IF(OR($A174="",B174=""),"",MONTH(B174))</f>
        <v/>
      </c>
    </row>
    <row r="175">
      <c r="A175" s="7" t="inlineStr">
        <is>
          <t>OT-2025-0171</t>
        </is>
      </c>
      <c r="B175" s="75" t="n">
        <v>45736.64375</v>
      </c>
      <c r="C175" s="7" t="inlineStr">
        <is>
          <t>Marc Lefèvre</t>
        </is>
      </c>
      <c r="D175" s="7" t="inlineStr">
        <is>
          <t>EQ-UTI-006</t>
        </is>
      </c>
      <c r="E175" s="9">
        <f>IF(D175="","",IFERROR(INDEX('Équipements'!$B$5:$B$304,MATCH(D175,'Équipements'!$A$5:$A$304,0)),"Code inconnu"))</f>
        <v/>
      </c>
      <c r="F175" s="9">
        <f>IF(D175="","",IFERROR(INDEX('Équipements'!$D$5:$D$304,MATCH(D175,'Équipements'!$A$5:$A$304,0)),""))</f>
        <v/>
      </c>
      <c r="G175" s="9">
        <f>IF(D175="","",IFERROR(INDEX('Équipements'!$K$5:$K$304,MATCH(D175,'Équipements'!$A$5:$A$304,0)),""))</f>
        <v/>
      </c>
      <c r="H175" s="7" t="inlineStr">
        <is>
          <t>Correctif</t>
        </is>
      </c>
      <c r="I175" s="7" t="n"/>
      <c r="J175" s="7" t="inlineStr">
        <is>
          <t>Mécanique</t>
        </is>
      </c>
      <c r="K175" s="7" t="inlineStr">
        <is>
          <t>P3 - Normale</t>
        </is>
      </c>
      <c r="L175" s="7" t="inlineStr">
        <is>
          <t>Groupe en défaut haute pression</t>
        </is>
      </c>
      <c r="M175" s="7" t="inlineStr">
        <is>
          <t>Encrassement</t>
        </is>
      </c>
      <c r="N175" s="7" t="inlineStr">
        <is>
          <t>Nettoyage condenseur, contrôle charge fluide</t>
        </is>
      </c>
      <c r="O175" s="7" t="inlineStr">
        <is>
          <t>Lucas Fontaine</t>
        </is>
      </c>
      <c r="P175" s="65" t="n"/>
      <c r="Q175" s="75" t="n">
        <v>45737.79513888889</v>
      </c>
      <c r="R175" s="75" t="n">
        <v>45740.85754654471</v>
      </c>
      <c r="S175" s="76" t="n">
        <v>0</v>
      </c>
      <c r="T175" s="76" t="n">
        <v>7.5</v>
      </c>
      <c r="U175" s="70">
        <f>IF($A175="","",IFERROR(INDEX('Techniciens'!$F$5:$F$44,MATCH(O175,'Techniciens'!$B$5:$B$44,0)),'Paramètres'!$AA$10))</f>
        <v/>
      </c>
      <c r="V175" s="70">
        <f>IF($A175="","",IF(OR(AC175="Demandé",AC175="Planifié",AC175="Annulé"),0,N(T175)*N(U175)))</f>
        <v/>
      </c>
      <c r="W175" s="70">
        <f>IF($A175="","",SUMIFS('Mouvements stock'!$H$5:$H$3004,'Mouvements stock'!$I$5:$I$3004,$A175,'Mouvements stock'!$C$5:$C$3004,"Sortie")-SUMIFS('Mouvements stock'!$H$5:$H$3004,'Mouvements stock'!$I$5:$I$3004,$A175,'Mouvements stock'!$C$5:$C$3004,"Retour"))</f>
        <v/>
      </c>
      <c r="X175" s="66" t="n">
        <v>0</v>
      </c>
      <c r="Y175" s="66" t="n">
        <v>0</v>
      </c>
      <c r="Z175" s="7" t="n"/>
      <c r="AA175" s="70">
        <f>IF($A175="","",N(V175)+N(W175)+N(X175)+N(Y175))</f>
        <v/>
      </c>
      <c r="AB175" s="70">
        <f>IF($A175="","",N(S175)*'Paramètres'!$AA$9*IFERROR(INDEX('Paramètres'!$O$5:$O$7,MATCH(G175,'Paramètres'!$N$5:$N$7,0)),0))</f>
        <v/>
      </c>
      <c r="AC175" s="7" t="inlineStr">
        <is>
          <t>Clôturé</t>
        </is>
      </c>
      <c r="AD175" s="69">
        <f>IF(OR($A175="",Q175=""),"",(Q175-B175)*24)</f>
        <v/>
      </c>
      <c r="AE175" s="69">
        <f>IF(OR(Q175="",R175=""),"",(R175-Q175)*24)</f>
        <v/>
      </c>
      <c r="AF175" s="77">
        <f>IF(OR($A175="",B175=""),"",YEAR(B175))</f>
        <v/>
      </c>
      <c r="AG175" s="77">
        <f>IF(OR($A175="",B175=""),"",MONTH(B175))</f>
        <v/>
      </c>
    </row>
    <row r="176">
      <c r="A176" s="7" t="inlineStr">
        <is>
          <t>OT-2025-0172</t>
        </is>
      </c>
      <c r="B176" s="75" t="n">
        <v>45736.67222222222</v>
      </c>
      <c r="C176" s="7" t="inlineStr">
        <is>
          <t>Opérateur assemblage</t>
        </is>
      </c>
      <c r="D176" s="7" t="inlineStr">
        <is>
          <t>EQ-ASS-001</t>
        </is>
      </c>
      <c r="E176" s="9">
        <f>IF(D176="","",IFERROR(INDEX('Équipements'!$B$5:$B$304,MATCH(D176,'Équipements'!$A$5:$A$304,0)),"Code inconnu"))</f>
        <v/>
      </c>
      <c r="F176" s="9">
        <f>IF(D176="","",IFERROR(INDEX('Équipements'!$D$5:$D$304,MATCH(D176,'Équipements'!$A$5:$A$304,0)),""))</f>
        <v/>
      </c>
      <c r="G176" s="9">
        <f>IF(D176="","",IFERROR(INDEX('Équipements'!$K$5:$K$304,MATCH(D176,'Équipements'!$A$5:$A$304,0)),""))</f>
        <v/>
      </c>
      <c r="H176" s="7" t="inlineStr">
        <is>
          <t>Correctif</t>
        </is>
      </c>
      <c r="I176" s="7" t="n"/>
      <c r="J176" s="7" t="inlineStr">
        <is>
          <t>Électrique</t>
        </is>
      </c>
      <c r="K176" s="7" t="inlineStr">
        <is>
          <t>P1 - Urgent</t>
        </is>
      </c>
      <c r="L176" s="7" t="inlineStr">
        <is>
          <t>Détecteur de présence HS</t>
        </is>
      </c>
      <c r="M176" s="7" t="inlineStr">
        <is>
          <t>Défaut capteur</t>
        </is>
      </c>
      <c r="N176" s="7" t="inlineStr">
        <is>
          <t>Remplacement détecteur</t>
        </is>
      </c>
      <c r="O176" s="7" t="inlineStr">
        <is>
          <t>Julien Moreau</t>
        </is>
      </c>
      <c r="P176" s="65" t="n"/>
      <c r="Q176" s="75" t="n">
        <v>45736.67916666667</v>
      </c>
      <c r="R176" s="75" t="n">
        <v>45737.08541666667</v>
      </c>
      <c r="S176" s="76" t="n">
        <v>9.9</v>
      </c>
      <c r="T176" s="76" t="n">
        <v>9.75</v>
      </c>
      <c r="U176" s="70">
        <f>IF($A176="","",IFERROR(INDEX('Techniciens'!$F$5:$F$44,MATCH(O176,'Techniciens'!$B$5:$B$44,0)),'Paramètres'!$AA$10))</f>
        <v/>
      </c>
      <c r="V176" s="70">
        <f>IF($A176="","",IF(OR(AC176="Demandé",AC176="Planifié",AC176="Annulé"),0,N(T176)*N(U176)))</f>
        <v/>
      </c>
      <c r="W176" s="70">
        <f>IF($A176="","",SUMIFS('Mouvements stock'!$H$5:$H$3004,'Mouvements stock'!$I$5:$I$3004,$A176,'Mouvements stock'!$C$5:$C$3004,"Sortie")-SUMIFS('Mouvements stock'!$H$5:$H$3004,'Mouvements stock'!$I$5:$I$3004,$A176,'Mouvements stock'!$C$5:$C$3004,"Retour"))</f>
        <v/>
      </c>
      <c r="X176" s="66" t="n">
        <v>0</v>
      </c>
      <c r="Y176" s="66" t="n">
        <v>0</v>
      </c>
      <c r="Z176" s="7" t="n"/>
      <c r="AA176" s="70">
        <f>IF($A176="","",N(V176)+N(W176)+N(X176)+N(Y176))</f>
        <v/>
      </c>
      <c r="AB176" s="70">
        <f>IF($A176="","",N(S176)*'Paramètres'!$AA$9*IFERROR(INDEX('Paramètres'!$O$5:$O$7,MATCH(G176,'Paramètres'!$N$5:$N$7,0)),0))</f>
        <v/>
      </c>
      <c r="AC176" s="7" t="inlineStr">
        <is>
          <t>Clôturé</t>
        </is>
      </c>
      <c r="AD176" s="69">
        <f>IF(OR($A176="",Q176=""),"",(Q176-B176)*24)</f>
        <v/>
      </c>
      <c r="AE176" s="69">
        <f>IF(OR(Q176="",R176=""),"",(R176-Q176)*24)</f>
        <v/>
      </c>
      <c r="AF176" s="77">
        <f>IF(OR($A176="",B176=""),"",YEAR(B176))</f>
        <v/>
      </c>
      <c r="AG176" s="77">
        <f>IF(OR($A176="",B176=""),"",MONTH(B176))</f>
        <v/>
      </c>
    </row>
    <row r="177">
      <c r="A177" s="7" t="inlineStr">
        <is>
          <t>OT-2025-0173</t>
        </is>
      </c>
      <c r="B177" s="75" t="n">
        <v>45737.38888888889</v>
      </c>
      <c r="C177" s="7" t="inlineStr">
        <is>
          <t>Céline Morel (cheffe d'atelier)</t>
        </is>
      </c>
      <c r="D177" s="7" t="inlineStr">
        <is>
          <t>EQ-TOL-001</t>
        </is>
      </c>
      <c r="E177" s="9">
        <f>IF(D177="","",IFERROR(INDEX('Équipements'!$B$5:$B$304,MATCH(D177,'Équipements'!$A$5:$A$304,0)),"Code inconnu"))</f>
        <v/>
      </c>
      <c r="F177" s="9">
        <f>IF(D177="","",IFERROR(INDEX('Équipements'!$D$5:$D$304,MATCH(D177,'Équipements'!$A$5:$A$304,0)),""))</f>
        <v/>
      </c>
      <c r="G177" s="9">
        <f>IF(D177="","",IFERROR(INDEX('Équipements'!$K$5:$K$304,MATCH(D177,'Équipements'!$A$5:$A$304,0)),""))</f>
        <v/>
      </c>
      <c r="H177" s="7" t="inlineStr">
        <is>
          <t>Correctif</t>
        </is>
      </c>
      <c r="I177" s="7" t="n"/>
      <c r="J177" s="7" t="inlineStr">
        <is>
          <t>Mécanique</t>
        </is>
      </c>
      <c r="K177" s="7" t="inlineStr">
        <is>
          <t>P1 - Urgent</t>
        </is>
      </c>
      <c r="L177" s="7" t="inlineStr">
        <is>
          <t>Lentille de focalisation endommagée</t>
        </is>
      </c>
      <c r="M177" s="7" t="inlineStr">
        <is>
          <t>Encrassement</t>
        </is>
      </c>
      <c r="N177" s="7" t="inlineStr">
        <is>
          <t>Remplacement lentille de focalisation</t>
        </is>
      </c>
      <c r="O177" s="7" t="inlineStr">
        <is>
          <t>Antoine Mercier</t>
        </is>
      </c>
      <c r="P177" s="65" t="n"/>
      <c r="Q177" s="75" t="n">
        <v>45737.42847222222</v>
      </c>
      <c r="R177" s="75" t="n">
        <v>45737.68888888889</v>
      </c>
      <c r="S177" s="76" t="n">
        <v>7.2</v>
      </c>
      <c r="T177" s="76" t="n">
        <v>6.25</v>
      </c>
      <c r="U177" s="70">
        <f>IF($A177="","",IFERROR(INDEX('Techniciens'!$F$5:$F$44,MATCH(O177,'Techniciens'!$B$5:$B$44,0)),'Paramètres'!$AA$10))</f>
        <v/>
      </c>
      <c r="V177" s="70">
        <f>IF($A177="","",IF(OR(AC177="Demandé",AC177="Planifié",AC177="Annulé"),0,N(T177)*N(U177)))</f>
        <v/>
      </c>
      <c r="W177" s="70">
        <f>IF($A177="","",SUMIFS('Mouvements stock'!$H$5:$H$3004,'Mouvements stock'!$I$5:$I$3004,$A177,'Mouvements stock'!$C$5:$C$3004,"Sortie")-SUMIFS('Mouvements stock'!$H$5:$H$3004,'Mouvements stock'!$I$5:$I$3004,$A177,'Mouvements stock'!$C$5:$C$3004,"Retour"))</f>
        <v/>
      </c>
      <c r="X177" s="66" t="n">
        <v>0</v>
      </c>
      <c r="Y177" s="66" t="n">
        <v>0</v>
      </c>
      <c r="Z177" s="7" t="n"/>
      <c r="AA177" s="70">
        <f>IF($A177="","",N(V177)+N(W177)+N(X177)+N(Y177))</f>
        <v/>
      </c>
      <c r="AB177" s="70">
        <f>IF($A177="","",N(S177)*'Paramètres'!$AA$9*IFERROR(INDEX('Paramètres'!$O$5:$O$7,MATCH(G177,'Paramètres'!$N$5:$N$7,0)),0))</f>
        <v/>
      </c>
      <c r="AC177" s="7" t="inlineStr">
        <is>
          <t>Clôturé</t>
        </is>
      </c>
      <c r="AD177" s="69">
        <f>IF(OR($A177="",Q177=""),"",(Q177-B177)*24)</f>
        <v/>
      </c>
      <c r="AE177" s="69">
        <f>IF(OR(Q177="",R177=""),"",(R177-Q177)*24)</f>
        <v/>
      </c>
      <c r="AF177" s="77">
        <f>IF(OR($A177="",B177=""),"",YEAR(B177))</f>
        <v/>
      </c>
      <c r="AG177" s="77">
        <f>IF(OR($A177="",B177=""),"",MONTH(B177))</f>
        <v/>
      </c>
    </row>
    <row r="178">
      <c r="A178" s="7" t="inlineStr">
        <is>
          <t>OT-2025-0174</t>
        </is>
      </c>
      <c r="B178" s="75" t="n">
        <v>45737.42361111111</v>
      </c>
      <c r="C178" s="7" t="inlineStr">
        <is>
          <t>Plan préventif</t>
        </is>
      </c>
      <c r="D178" s="7" t="inlineStr">
        <is>
          <t>EQ-USI-009</t>
        </is>
      </c>
      <c r="E178" s="9">
        <f>IF(D178="","",IFERROR(INDEX('Équipements'!$B$5:$B$304,MATCH(D178,'Équipements'!$A$5:$A$304,0)),"Code inconnu"))</f>
        <v/>
      </c>
      <c r="F178" s="9">
        <f>IF(D178="","",IFERROR(INDEX('Équipements'!$D$5:$D$304,MATCH(D178,'Équipements'!$A$5:$A$304,0)),""))</f>
        <v/>
      </c>
      <c r="G178" s="9">
        <f>IF(D178="","",IFERROR(INDEX('Équipements'!$K$5:$K$304,MATCH(D178,'Équipements'!$A$5:$A$304,0)),""))</f>
        <v/>
      </c>
      <c r="H178" s="7" t="inlineStr">
        <is>
          <t>Préventif systématique</t>
        </is>
      </c>
      <c r="I178" s="7" t="inlineStr">
        <is>
          <t>GP-030</t>
        </is>
      </c>
      <c r="J178" s="7" t="inlineStr">
        <is>
          <t>Mécanique</t>
        </is>
      </c>
      <c r="K178" s="7" t="inlineStr">
        <is>
          <t>P3 - Normale</t>
        </is>
      </c>
      <c r="L178" s="7" t="inlineStr">
        <is>
          <t>Contrôle lame, guides et liquide de coupe</t>
        </is>
      </c>
      <c r="M178" s="7" t="n"/>
      <c r="N178" s="7" t="inlineStr">
        <is>
          <t>Gamme réalisée - RAS</t>
        </is>
      </c>
      <c r="O178" s="7" t="inlineStr">
        <is>
          <t>Karim Benali</t>
        </is>
      </c>
      <c r="P178" s="65" t="n">
        <v>45744.34722222222</v>
      </c>
      <c r="Q178" s="75" t="n">
        <v>45744.49305555555</v>
      </c>
      <c r="R178" s="75" t="n">
        <v>45744.52430555555</v>
      </c>
      <c r="S178" s="76" t="n">
        <v>0.4</v>
      </c>
      <c r="T178" s="76" t="n">
        <v>0.75</v>
      </c>
      <c r="U178" s="70">
        <f>IF($A178="","",IFERROR(INDEX('Techniciens'!$F$5:$F$44,MATCH(O178,'Techniciens'!$B$5:$B$44,0)),'Paramètres'!$AA$10))</f>
        <v/>
      </c>
      <c r="V178" s="70">
        <f>IF($A178="","",IF(OR(AC178="Demandé",AC178="Planifié",AC178="Annulé"),0,N(T178)*N(U178)))</f>
        <v/>
      </c>
      <c r="W178" s="70">
        <f>IF($A178="","",SUMIFS('Mouvements stock'!$H$5:$H$3004,'Mouvements stock'!$I$5:$I$3004,$A178,'Mouvements stock'!$C$5:$C$3004,"Sortie")-SUMIFS('Mouvements stock'!$H$5:$H$3004,'Mouvements stock'!$I$5:$I$3004,$A178,'Mouvements stock'!$C$5:$C$3004,"Retour"))</f>
        <v/>
      </c>
      <c r="X178" s="66" t="n">
        <v>0</v>
      </c>
      <c r="Y178" s="66" t="n">
        <v>0</v>
      </c>
      <c r="Z178" s="7" t="n"/>
      <c r="AA178" s="70">
        <f>IF($A178="","",N(V178)+N(W178)+N(X178)+N(Y178))</f>
        <v/>
      </c>
      <c r="AB178" s="70">
        <f>IF($A178="","",N(S178)*'Paramètres'!$AA$9*IFERROR(INDEX('Paramètres'!$O$5:$O$7,MATCH(G178,'Paramètres'!$N$5:$N$7,0)),0))</f>
        <v/>
      </c>
      <c r="AC178" s="7" t="inlineStr">
        <is>
          <t>Clôturé</t>
        </is>
      </c>
      <c r="AD178" s="69">
        <f>IF(OR($A178="",Q178=""),"",(Q178-B178)*24)</f>
        <v/>
      </c>
      <c r="AE178" s="69">
        <f>IF(OR(Q178="",R178=""),"",(R178-Q178)*24)</f>
        <v/>
      </c>
      <c r="AF178" s="77">
        <f>IF(OR($A178="",B178=""),"",YEAR(B178))</f>
        <v/>
      </c>
      <c r="AG178" s="77">
        <f>IF(OR($A178="",B178=""),"",MONTH(B178))</f>
        <v/>
      </c>
    </row>
    <row r="179">
      <c r="A179" s="7" t="inlineStr">
        <is>
          <t>OT-2025-0175</t>
        </is>
      </c>
      <c r="B179" s="75" t="n">
        <v>45737.46527777778</v>
      </c>
      <c r="C179" s="7" t="inlineStr">
        <is>
          <t>Plan préventif</t>
        </is>
      </c>
      <c r="D179" s="7" t="inlineStr">
        <is>
          <t>EQ-ASS-006</t>
        </is>
      </c>
      <c r="E179" s="9">
        <f>IF(D179="","",IFERROR(INDEX('Équipements'!$B$5:$B$304,MATCH(D179,'Équipements'!$A$5:$A$304,0)),"Code inconnu"))</f>
        <v/>
      </c>
      <c r="F179" s="9">
        <f>IF(D179="","",IFERROR(INDEX('Équipements'!$D$5:$D$304,MATCH(D179,'Équipements'!$A$5:$A$304,0)),""))</f>
        <v/>
      </c>
      <c r="G179" s="9">
        <f>IF(D179="","",IFERROR(INDEX('Équipements'!$K$5:$K$304,MATCH(D179,'Équipements'!$A$5:$A$304,0)),""))</f>
        <v/>
      </c>
      <c r="H179" s="7" t="inlineStr">
        <is>
          <t>Préventif systématique</t>
        </is>
      </c>
      <c r="I179" s="7" t="inlineStr">
        <is>
          <t>GP-085</t>
        </is>
      </c>
      <c r="J179" s="7" t="inlineStr">
        <is>
          <t>Mécanique</t>
        </is>
      </c>
      <c r="K179" s="7" t="inlineStr">
        <is>
          <t>P3 - Normale</t>
        </is>
      </c>
      <c r="L179" s="7" t="inlineStr">
        <is>
          <t>Graissage chaîne / galets et contrôle tension</t>
        </is>
      </c>
      <c r="M179" s="7" t="n"/>
      <c r="N179" s="7" t="inlineStr">
        <is>
          <t>Gamme réalisée - RAS</t>
        </is>
      </c>
      <c r="O179" s="7" t="inlineStr">
        <is>
          <t>Lucas Fontaine</t>
        </is>
      </c>
      <c r="P179" s="65" t="n">
        <v>45744.52430555555</v>
      </c>
      <c r="Q179" s="75" t="n">
        <v>45744.34027777778</v>
      </c>
      <c r="R179" s="75" t="n">
        <v>45744.44444444445</v>
      </c>
      <c r="S179" s="76" t="n">
        <v>2.5</v>
      </c>
      <c r="T179" s="76" t="n">
        <v>2.5</v>
      </c>
      <c r="U179" s="70">
        <f>IF($A179="","",IFERROR(INDEX('Techniciens'!$F$5:$F$44,MATCH(O179,'Techniciens'!$B$5:$B$44,0)),'Paramètres'!$AA$10))</f>
        <v/>
      </c>
      <c r="V179" s="70">
        <f>IF($A179="","",IF(OR(AC179="Demandé",AC179="Planifié",AC179="Annulé"),0,N(T179)*N(U179)))</f>
        <v/>
      </c>
      <c r="W179" s="70">
        <f>IF($A179="","",SUMIFS('Mouvements stock'!$H$5:$H$3004,'Mouvements stock'!$I$5:$I$3004,$A179,'Mouvements stock'!$C$5:$C$3004,"Sortie")-SUMIFS('Mouvements stock'!$H$5:$H$3004,'Mouvements stock'!$I$5:$I$3004,$A179,'Mouvements stock'!$C$5:$C$3004,"Retour"))</f>
        <v/>
      </c>
      <c r="X179" s="66" t="n">
        <v>0</v>
      </c>
      <c r="Y179" s="66" t="n">
        <v>0</v>
      </c>
      <c r="Z179" s="7" t="n"/>
      <c r="AA179" s="70">
        <f>IF($A179="","",N(V179)+N(W179)+N(X179)+N(Y179))</f>
        <v/>
      </c>
      <c r="AB179" s="70">
        <f>IF($A179="","",N(S179)*'Paramètres'!$AA$9*IFERROR(INDEX('Paramètres'!$O$5:$O$7,MATCH(G179,'Paramètres'!$N$5:$N$7,0)),0))</f>
        <v/>
      </c>
      <c r="AC179" s="7" t="inlineStr">
        <is>
          <t>Clôturé</t>
        </is>
      </c>
      <c r="AD179" s="69">
        <f>IF(OR($A179="",Q179=""),"",(Q179-B179)*24)</f>
        <v/>
      </c>
      <c r="AE179" s="69">
        <f>IF(OR(Q179="",R179=""),"",(R179-Q179)*24)</f>
        <v/>
      </c>
      <c r="AF179" s="77">
        <f>IF(OR($A179="",B179=""),"",YEAR(B179))</f>
        <v/>
      </c>
      <c r="AG179" s="77">
        <f>IF(OR($A179="",B179=""),"",MONTH(B179))</f>
        <v/>
      </c>
    </row>
    <row r="180">
      <c r="A180" s="7" t="inlineStr">
        <is>
          <t>OT-2025-0176</t>
        </is>
      </c>
      <c r="B180" s="75" t="n">
        <v>45737.48611111111</v>
      </c>
      <c r="C180" s="7" t="inlineStr">
        <is>
          <t>Plan préventif</t>
        </is>
      </c>
      <c r="D180" s="7" t="inlineStr">
        <is>
          <t>EQ-UTI-002</t>
        </is>
      </c>
      <c r="E180" s="9">
        <f>IF(D180="","",IFERROR(INDEX('Équipements'!$B$5:$B$304,MATCH(D180,'Équipements'!$A$5:$A$304,0)),"Code inconnu"))</f>
        <v/>
      </c>
      <c r="F180" s="9">
        <f>IF(D180="","",IFERROR(INDEX('Équipements'!$D$5:$D$304,MATCH(D180,'Équipements'!$A$5:$A$304,0)),""))</f>
        <v/>
      </c>
      <c r="G180" s="9">
        <f>IF(D180="","",IFERROR(INDEX('Équipements'!$K$5:$K$304,MATCH(D180,'Équipements'!$A$5:$A$304,0)),""))</f>
        <v/>
      </c>
      <c r="H180" s="7" t="inlineStr">
        <is>
          <t>Préventif systématique</t>
        </is>
      </c>
      <c r="I180" s="7" t="inlineStr">
        <is>
          <t>GP-090</t>
        </is>
      </c>
      <c r="J180" s="7" t="inlineStr">
        <is>
          <t>Pneumatique</t>
        </is>
      </c>
      <c r="K180" s="7" t="inlineStr">
        <is>
          <t>P3 - Normale</t>
        </is>
      </c>
      <c r="L180" s="7" t="inlineStr">
        <is>
          <t>Purge, contrôle fuites et point de rosée</t>
        </is>
      </c>
      <c r="M180" s="7" t="n"/>
      <c r="N180" s="7" t="inlineStr">
        <is>
          <t>Gamme réalisée - RAS</t>
        </is>
      </c>
      <c r="O180" s="7" t="inlineStr">
        <is>
          <t>Lucas Fontaine</t>
        </is>
      </c>
      <c r="P180" s="65" t="n">
        <v>45744.63541666666</v>
      </c>
      <c r="Q180" s="75" t="n">
        <v>45744.46875</v>
      </c>
      <c r="R180" s="75" t="n">
        <v>45744.52083333334</v>
      </c>
      <c r="S180" s="76" t="n">
        <v>0</v>
      </c>
      <c r="T180" s="76" t="n">
        <v>1.25</v>
      </c>
      <c r="U180" s="70">
        <f>IF($A180="","",IFERROR(INDEX('Techniciens'!$F$5:$F$44,MATCH(O180,'Techniciens'!$B$5:$B$44,0)),'Paramètres'!$AA$10))</f>
        <v/>
      </c>
      <c r="V180" s="70">
        <f>IF($A180="","",IF(OR(AC180="Demandé",AC180="Planifié",AC180="Annulé"),0,N(T180)*N(U180)))</f>
        <v/>
      </c>
      <c r="W180" s="70">
        <f>IF($A180="","",SUMIFS('Mouvements stock'!$H$5:$H$3004,'Mouvements stock'!$I$5:$I$3004,$A180,'Mouvements stock'!$C$5:$C$3004,"Sortie")-SUMIFS('Mouvements stock'!$H$5:$H$3004,'Mouvements stock'!$I$5:$I$3004,$A180,'Mouvements stock'!$C$5:$C$3004,"Retour"))</f>
        <v/>
      </c>
      <c r="X180" s="66" t="n">
        <v>0</v>
      </c>
      <c r="Y180" s="66" t="n">
        <v>0</v>
      </c>
      <c r="Z180" s="7" t="n"/>
      <c r="AA180" s="70">
        <f>IF($A180="","",N(V180)+N(W180)+N(X180)+N(Y180))</f>
        <v/>
      </c>
      <c r="AB180" s="70">
        <f>IF($A180="","",N(S180)*'Paramètres'!$AA$9*IFERROR(INDEX('Paramètres'!$O$5:$O$7,MATCH(G180,'Paramètres'!$N$5:$N$7,0)),0))</f>
        <v/>
      </c>
      <c r="AC180" s="7" t="inlineStr">
        <is>
          <t>Clôturé</t>
        </is>
      </c>
      <c r="AD180" s="69">
        <f>IF(OR($A180="",Q180=""),"",(Q180-B180)*24)</f>
        <v/>
      </c>
      <c r="AE180" s="69">
        <f>IF(OR(Q180="",R180=""),"",(R180-Q180)*24)</f>
        <v/>
      </c>
      <c r="AF180" s="77">
        <f>IF(OR($A180="",B180=""),"",YEAR(B180))</f>
        <v/>
      </c>
      <c r="AG180" s="77">
        <f>IF(OR($A180="",B180=""),"",MONTH(B180))</f>
        <v/>
      </c>
    </row>
    <row r="181">
      <c r="A181" s="7" t="inlineStr">
        <is>
          <t>OT-2025-0177</t>
        </is>
      </c>
      <c r="B181" s="75" t="n">
        <v>45738.56111111111</v>
      </c>
      <c r="C181" s="7" t="inlineStr">
        <is>
          <t>Éric Laurent (chef d'atelier)</t>
        </is>
      </c>
      <c r="D181" s="7" t="inlineStr">
        <is>
          <t>EQ-USI-002</t>
        </is>
      </c>
      <c r="E181" s="9">
        <f>IF(D181="","",IFERROR(INDEX('Équipements'!$B$5:$B$304,MATCH(D181,'Équipements'!$A$5:$A$304,0)),"Code inconnu"))</f>
        <v/>
      </c>
      <c r="F181" s="9">
        <f>IF(D181="","",IFERROR(INDEX('Équipements'!$D$5:$D$304,MATCH(D181,'Équipements'!$A$5:$A$304,0)),""))</f>
        <v/>
      </c>
      <c r="G181" s="9">
        <f>IF(D181="","",IFERROR(INDEX('Équipements'!$K$5:$K$304,MATCH(D181,'Équipements'!$A$5:$A$304,0)),""))</f>
        <v/>
      </c>
      <c r="H181" s="7" t="inlineStr">
        <is>
          <t>Correctif</t>
        </is>
      </c>
      <c r="I181" s="7" t="n"/>
      <c r="J181" s="7" t="inlineStr">
        <is>
          <t>Mécanique</t>
        </is>
      </c>
      <c r="K181" s="7" t="inlineStr">
        <is>
          <t>P1 - Urgent</t>
        </is>
      </c>
      <c r="L181" s="7" t="inlineStr">
        <is>
          <t>Broche bruyante / vibrations anormales</t>
        </is>
      </c>
      <c r="M181" s="7" t="inlineStr">
        <is>
          <t>Usure</t>
        </is>
      </c>
      <c r="N181" s="7" t="inlineStr">
        <is>
          <t>Analyse vibratoire puis remplacement roulements de broche</t>
        </is>
      </c>
      <c r="O181" s="7" t="inlineStr">
        <is>
          <t>Karim Benali</t>
        </is>
      </c>
      <c r="P181" s="65" t="n"/>
      <c r="Q181" s="75" t="n">
        <v>45738.58263888889</v>
      </c>
      <c r="R181" s="75" t="n">
        <v>45738.67638888889</v>
      </c>
      <c r="S181" s="76" t="n">
        <v>2.8</v>
      </c>
      <c r="T181" s="76" t="n">
        <v>2.25</v>
      </c>
      <c r="U181" s="70">
        <f>IF($A181="","",IFERROR(INDEX('Techniciens'!$F$5:$F$44,MATCH(O181,'Techniciens'!$B$5:$B$44,0)),'Paramètres'!$AA$10))</f>
        <v/>
      </c>
      <c r="V181" s="70">
        <f>IF($A181="","",IF(OR(AC181="Demandé",AC181="Planifié",AC181="Annulé"),0,N(T181)*N(U181)))</f>
        <v/>
      </c>
      <c r="W181" s="70">
        <f>IF($A181="","",SUMIFS('Mouvements stock'!$H$5:$H$3004,'Mouvements stock'!$I$5:$I$3004,$A181,'Mouvements stock'!$C$5:$C$3004,"Sortie")-SUMIFS('Mouvements stock'!$H$5:$H$3004,'Mouvements stock'!$I$5:$I$3004,$A181,'Mouvements stock'!$C$5:$C$3004,"Retour"))</f>
        <v/>
      </c>
      <c r="X181" s="66" t="n">
        <v>0</v>
      </c>
      <c r="Y181" s="66" t="n">
        <v>4420</v>
      </c>
      <c r="Z181" s="7" t="inlineStr">
        <is>
          <t>SAV Machines-Outils Atlantique</t>
        </is>
      </c>
      <c r="AA181" s="70">
        <f>IF($A181="","",N(V181)+N(W181)+N(X181)+N(Y181))</f>
        <v/>
      </c>
      <c r="AB181" s="70">
        <f>IF($A181="","",N(S181)*'Paramètres'!$AA$9*IFERROR(INDEX('Paramètres'!$O$5:$O$7,MATCH(G181,'Paramètres'!$N$5:$N$7,0)),0))</f>
        <v/>
      </c>
      <c r="AC181" s="7" t="inlineStr">
        <is>
          <t>Clôturé</t>
        </is>
      </c>
      <c r="AD181" s="69">
        <f>IF(OR($A181="",Q181=""),"",(Q181-B181)*24)</f>
        <v/>
      </c>
      <c r="AE181" s="69">
        <f>IF(OR(Q181="",R181=""),"",(R181-Q181)*24)</f>
        <v/>
      </c>
      <c r="AF181" s="77">
        <f>IF(OR($A181="",B181=""),"",YEAR(B181))</f>
        <v/>
      </c>
      <c r="AG181" s="77">
        <f>IF(OR($A181="",B181=""),"",MONTH(B181))</f>
        <v/>
      </c>
    </row>
    <row r="182">
      <c r="A182" s="7" t="inlineStr">
        <is>
          <t>OT-2025-0178</t>
        </is>
      </c>
      <c r="B182" s="75" t="n">
        <v>45740.23402777778</v>
      </c>
      <c r="C182" s="7" t="inlineStr">
        <is>
          <t>Marc Lefèvre</t>
        </is>
      </c>
      <c r="D182" s="7" t="inlineStr">
        <is>
          <t>EQ-UTI-002</t>
        </is>
      </c>
      <c r="E182" s="9">
        <f>IF(D182="","",IFERROR(INDEX('Équipements'!$B$5:$B$304,MATCH(D182,'Équipements'!$A$5:$A$304,0)),"Code inconnu"))</f>
        <v/>
      </c>
      <c r="F182" s="9">
        <f>IF(D182="","",IFERROR(INDEX('Équipements'!$D$5:$D$304,MATCH(D182,'Équipements'!$A$5:$A$304,0)),""))</f>
        <v/>
      </c>
      <c r="G182" s="9">
        <f>IF(D182="","",IFERROR(INDEX('Équipements'!$K$5:$K$304,MATCH(D182,'Équipements'!$A$5:$A$304,0)),""))</f>
        <v/>
      </c>
      <c r="H182" s="7" t="inlineStr">
        <is>
          <t>Correctif</t>
        </is>
      </c>
      <c r="I182" s="7" t="n"/>
      <c r="J182" s="7" t="inlineStr">
        <is>
          <t>Pneumatique</t>
        </is>
      </c>
      <c r="K182" s="7" t="inlineStr">
        <is>
          <t>P2 - Haute</t>
        </is>
      </c>
      <c r="L182" s="7" t="inlineStr">
        <is>
          <t>Fuite d'air importante sur réseau</t>
        </is>
      </c>
      <c r="M182" s="7" t="inlineStr">
        <is>
          <t>Fuite</t>
        </is>
      </c>
      <c r="N182" s="7" t="inlineStr">
        <is>
          <t>Recherche de fuites aux ultrasons, remplacement raccords</t>
        </is>
      </c>
      <c r="O182" s="7" t="inlineStr">
        <is>
          <t>Julien Moreau</t>
        </is>
      </c>
      <c r="P182" s="65" t="n"/>
      <c r="Q182" s="75" t="n">
        <v>45740.31180555555</v>
      </c>
      <c r="R182" s="75" t="n">
        <v>45740.37430555555</v>
      </c>
      <c r="S182" s="76" t="n">
        <v>3.4</v>
      </c>
      <c r="T182" s="76" t="n">
        <v>1.5</v>
      </c>
      <c r="U182" s="70">
        <f>IF($A182="","",IFERROR(INDEX('Techniciens'!$F$5:$F$44,MATCH(O182,'Techniciens'!$B$5:$B$44,0)),'Paramètres'!$AA$10))</f>
        <v/>
      </c>
      <c r="V182" s="70">
        <f>IF($A182="","",IF(OR(AC182="Demandé",AC182="Planifié",AC182="Annulé"),0,N(T182)*N(U182)))</f>
        <v/>
      </c>
      <c r="W182" s="70">
        <f>IF($A182="","",SUMIFS('Mouvements stock'!$H$5:$H$3004,'Mouvements stock'!$I$5:$I$3004,$A182,'Mouvements stock'!$C$5:$C$3004,"Sortie")-SUMIFS('Mouvements stock'!$H$5:$H$3004,'Mouvements stock'!$I$5:$I$3004,$A182,'Mouvements stock'!$C$5:$C$3004,"Retour"))</f>
        <v/>
      </c>
      <c r="X182" s="66" t="n">
        <v>0</v>
      </c>
      <c r="Y182" s="66" t="n">
        <v>0</v>
      </c>
      <c r="Z182" s="7" t="n"/>
      <c r="AA182" s="70">
        <f>IF($A182="","",N(V182)+N(W182)+N(X182)+N(Y182))</f>
        <v/>
      </c>
      <c r="AB182" s="70">
        <f>IF($A182="","",N(S182)*'Paramètres'!$AA$9*IFERROR(INDEX('Paramètres'!$O$5:$O$7,MATCH(G182,'Paramètres'!$N$5:$N$7,0)),0))</f>
        <v/>
      </c>
      <c r="AC182" s="7" t="inlineStr">
        <is>
          <t>Clôturé</t>
        </is>
      </c>
      <c r="AD182" s="69">
        <f>IF(OR($A182="",Q182=""),"",(Q182-B182)*24)</f>
        <v/>
      </c>
      <c r="AE182" s="69">
        <f>IF(OR(Q182="",R182=""),"",(R182-Q182)*24)</f>
        <v/>
      </c>
      <c r="AF182" s="77">
        <f>IF(OR($A182="",B182=""),"",YEAR(B182))</f>
        <v/>
      </c>
      <c r="AG182" s="77">
        <f>IF(OR($A182="",B182=""),"",MONTH(B182))</f>
        <v/>
      </c>
    </row>
    <row r="183">
      <c r="A183" s="7" t="inlineStr">
        <is>
          <t>OT-2025-0179</t>
        </is>
      </c>
      <c r="B183" s="75" t="n">
        <v>45740.26666666667</v>
      </c>
      <c r="C183" s="7" t="inlineStr">
        <is>
          <t>Cariste</t>
        </is>
      </c>
      <c r="D183" s="7" t="inlineStr">
        <is>
          <t>EQ-LOG-001</t>
        </is>
      </c>
      <c r="E183" s="9">
        <f>IF(D183="","",IFERROR(INDEX('Équipements'!$B$5:$B$304,MATCH(D183,'Équipements'!$A$5:$A$304,0)),"Code inconnu"))</f>
        <v/>
      </c>
      <c r="F183" s="9">
        <f>IF(D183="","",IFERROR(INDEX('Équipements'!$D$5:$D$304,MATCH(D183,'Équipements'!$A$5:$A$304,0)),""))</f>
        <v/>
      </c>
      <c r="G183" s="9">
        <f>IF(D183="","",IFERROR(INDEX('Équipements'!$K$5:$K$304,MATCH(D183,'Équipements'!$A$5:$A$304,0)),""))</f>
        <v/>
      </c>
      <c r="H183" s="7" t="inlineStr">
        <is>
          <t>Correctif</t>
        </is>
      </c>
      <c r="I183" s="7" t="n"/>
      <c r="J183" s="7" t="inlineStr">
        <is>
          <t>Hydraulique</t>
        </is>
      </c>
      <c r="K183" s="7" t="inlineStr">
        <is>
          <t>P3 - Normale</t>
        </is>
      </c>
      <c r="L183" s="7" t="inlineStr">
        <is>
          <t>Fuite vérin de levée</t>
        </is>
      </c>
      <c r="M183" s="7" t="inlineStr">
        <is>
          <t>Fuite</t>
        </is>
      </c>
      <c r="N183" s="7" t="inlineStr">
        <is>
          <t>Remplacement kit joints</t>
        </is>
      </c>
      <c r="O183" s="7" t="inlineStr">
        <is>
          <t>Karim Benali</t>
        </is>
      </c>
      <c r="P183" s="65" t="n"/>
      <c r="Q183" s="75" t="n">
        <v>45742.25138888889</v>
      </c>
      <c r="R183" s="75" t="n">
        <v>45742.30347222222</v>
      </c>
      <c r="S183" s="76" t="n">
        <v>0.4</v>
      </c>
      <c r="T183" s="76" t="n">
        <v>1.25</v>
      </c>
      <c r="U183" s="70">
        <f>IF($A183="","",IFERROR(INDEX('Techniciens'!$F$5:$F$44,MATCH(O183,'Techniciens'!$B$5:$B$44,0)),'Paramètres'!$AA$10))</f>
        <v/>
      </c>
      <c r="V183" s="70">
        <f>IF($A183="","",IF(OR(AC183="Demandé",AC183="Planifié",AC183="Annulé"),0,N(T183)*N(U183)))</f>
        <v/>
      </c>
      <c r="W183" s="70">
        <f>IF($A183="","",SUMIFS('Mouvements stock'!$H$5:$H$3004,'Mouvements stock'!$I$5:$I$3004,$A183,'Mouvements stock'!$C$5:$C$3004,"Sortie")-SUMIFS('Mouvements stock'!$H$5:$H$3004,'Mouvements stock'!$I$5:$I$3004,$A183,'Mouvements stock'!$C$5:$C$3004,"Retour"))</f>
        <v/>
      </c>
      <c r="X183" s="66" t="n">
        <v>0</v>
      </c>
      <c r="Y183" s="66" t="n">
        <v>600</v>
      </c>
      <c r="Z183" s="7" t="inlineStr">
        <is>
          <t>Manutention Services 44</t>
        </is>
      </c>
      <c r="AA183" s="70">
        <f>IF($A183="","",N(V183)+N(W183)+N(X183)+N(Y183))</f>
        <v/>
      </c>
      <c r="AB183" s="70">
        <f>IF($A183="","",N(S183)*'Paramètres'!$AA$9*IFERROR(INDEX('Paramètres'!$O$5:$O$7,MATCH(G183,'Paramètres'!$N$5:$N$7,0)),0))</f>
        <v/>
      </c>
      <c r="AC183" s="7" t="inlineStr">
        <is>
          <t>Clôturé</t>
        </is>
      </c>
      <c r="AD183" s="69">
        <f>IF(OR($A183="",Q183=""),"",(Q183-B183)*24)</f>
        <v/>
      </c>
      <c r="AE183" s="69">
        <f>IF(OR(Q183="",R183=""),"",(R183-Q183)*24)</f>
        <v/>
      </c>
      <c r="AF183" s="77">
        <f>IF(OR($A183="",B183=""),"",YEAR(B183))</f>
        <v/>
      </c>
      <c r="AG183" s="77">
        <f>IF(OR($A183="",B183=""),"",MONTH(B183))</f>
        <v/>
      </c>
    </row>
    <row r="184">
      <c r="A184" s="7" t="inlineStr">
        <is>
          <t>OT-2025-0180</t>
        </is>
      </c>
      <c r="B184" s="75" t="n">
        <v>45740.33333333334</v>
      </c>
      <c r="C184" s="7" t="inlineStr">
        <is>
          <t>Planning réglementaire</t>
        </is>
      </c>
      <c r="D184" s="7" t="n"/>
      <c r="E184" s="9">
        <f>IF(D184="","",IFERROR(INDEX('Équipements'!$B$5:$B$304,MATCH(D184,'Équipements'!$A$5:$A$304,0)),"Code inconnu"))</f>
        <v/>
      </c>
      <c r="F184" s="9">
        <f>IF(D184="","",IFERROR(INDEX('Équipements'!$D$5:$D$304,MATCH(D184,'Équipements'!$A$5:$A$304,0)),""))</f>
        <v/>
      </c>
      <c r="G184" s="9">
        <f>IF(D184="","",IFERROR(INDEX('Équipements'!$K$5:$K$304,MATCH(D184,'Équipements'!$A$5:$A$304,0)),""))</f>
        <v/>
      </c>
      <c r="H184" s="7" t="inlineStr">
        <is>
          <t>Réglementaire</t>
        </is>
      </c>
      <c r="I184" s="7" t="inlineStr">
        <is>
          <t>CR-017</t>
        </is>
      </c>
      <c r="J184" s="7" t="inlineStr">
        <is>
          <t>Multi-technique</t>
        </is>
      </c>
      <c r="K184" s="7" t="inlineStr">
        <is>
          <t>P2 - Haute</t>
        </is>
      </c>
      <c r="L184" s="7" t="inlineStr">
        <is>
          <t>Vérification annuelle des extincteurs</t>
        </is>
      </c>
      <c r="M184" s="7" t="n"/>
      <c r="N184" s="7" t="inlineStr">
        <is>
          <t>Contrôle réalisé - observations mineures au rapport</t>
        </is>
      </c>
      <c r="O184" s="7" t="inlineStr">
        <is>
          <t>Marc Lefèvre</t>
        </is>
      </c>
      <c r="P184" s="65" t="n">
        <v>45761</v>
      </c>
      <c r="Q184" s="75" t="n">
        <v>45761.44444444445</v>
      </c>
      <c r="R184" s="75" t="n">
        <v>45761.49652777778</v>
      </c>
      <c r="S184" s="76" t="n">
        <v>0</v>
      </c>
      <c r="T184" s="76" t="n">
        <v>1.25</v>
      </c>
      <c r="U184" s="70">
        <f>IF($A184="","",IFERROR(INDEX('Techniciens'!$F$5:$F$44,MATCH(O184,'Techniciens'!$B$5:$B$44,0)),'Paramètres'!$AA$10))</f>
        <v/>
      </c>
      <c r="V184" s="70">
        <f>IF($A184="","",IF(OR(AC184="Demandé",AC184="Planifié",AC184="Annulé"),0,N(T184)*N(U184)))</f>
        <v/>
      </c>
      <c r="W184" s="70">
        <f>IF($A184="","",SUMIFS('Mouvements stock'!$H$5:$H$3004,'Mouvements stock'!$I$5:$I$3004,$A184,'Mouvements stock'!$C$5:$C$3004,"Sortie")-SUMIFS('Mouvements stock'!$H$5:$H$3004,'Mouvements stock'!$I$5:$I$3004,$A184,'Mouvements stock'!$C$5:$C$3004,"Retour"))</f>
        <v/>
      </c>
      <c r="X184" s="66" t="n">
        <v>0</v>
      </c>
      <c r="Y184" s="66" t="n">
        <v>690</v>
      </c>
      <c r="Z184" s="7" t="inlineStr">
        <is>
          <t>Sécurité Incendie Ouest</t>
        </is>
      </c>
      <c r="AA184" s="70">
        <f>IF($A184="","",N(V184)+N(W184)+N(X184)+N(Y184))</f>
        <v/>
      </c>
      <c r="AB184" s="70">
        <f>IF($A184="","",N(S184)*'Paramètres'!$AA$9*IFERROR(INDEX('Paramètres'!$O$5:$O$7,MATCH(G184,'Paramètres'!$N$5:$N$7,0)),0))</f>
        <v/>
      </c>
      <c r="AC184" s="7" t="inlineStr">
        <is>
          <t>Clôturé</t>
        </is>
      </c>
      <c r="AD184" s="69">
        <f>IF(OR($A184="",Q184=""),"",(Q184-B184)*24)</f>
        <v/>
      </c>
      <c r="AE184" s="69">
        <f>IF(OR(Q184="",R184=""),"",(R184-Q184)*24)</f>
        <v/>
      </c>
      <c r="AF184" s="77">
        <f>IF(OR($A184="",B184=""),"",YEAR(B184))</f>
        <v/>
      </c>
      <c r="AG184" s="77">
        <f>IF(OR($A184="",B184=""),"",MONTH(B184))</f>
        <v/>
      </c>
    </row>
    <row r="185">
      <c r="A185" s="7" t="inlineStr">
        <is>
          <t>OT-2025-0181</t>
        </is>
      </c>
      <c r="B185" s="75" t="n">
        <v>45740.42708333334</v>
      </c>
      <c r="C185" s="7" t="inlineStr">
        <is>
          <t>Plan préventif</t>
        </is>
      </c>
      <c r="D185" s="7" t="inlineStr">
        <is>
          <t>EQ-USI-004</t>
        </is>
      </c>
      <c r="E185" s="9">
        <f>IF(D185="","",IFERROR(INDEX('Équipements'!$B$5:$B$304,MATCH(D185,'Équipements'!$A$5:$A$304,0)),"Code inconnu"))</f>
        <v/>
      </c>
      <c r="F185" s="9">
        <f>IF(D185="","",IFERROR(INDEX('Équipements'!$D$5:$D$304,MATCH(D185,'Équipements'!$A$5:$A$304,0)),""))</f>
        <v/>
      </c>
      <c r="G185" s="9">
        <f>IF(D185="","",IFERROR(INDEX('Équipements'!$K$5:$K$304,MATCH(D185,'Équipements'!$A$5:$A$304,0)),""))</f>
        <v/>
      </c>
      <c r="H185" s="7" t="inlineStr">
        <is>
          <t>Préventif systématique</t>
        </is>
      </c>
      <c r="I185" s="7" t="inlineStr">
        <is>
          <t>GP-015</t>
        </is>
      </c>
      <c r="J185" s="7" t="inlineStr">
        <is>
          <t>Hydraulique</t>
        </is>
      </c>
      <c r="K185" s="7" t="inlineStr">
        <is>
          <t>P3 - Normale</t>
        </is>
      </c>
      <c r="L185" s="7" t="inlineStr">
        <is>
          <t>Vidange groupe hydraulique et remplacement filtres</t>
        </is>
      </c>
      <c r="M185" s="7" t="n"/>
      <c r="N185" s="7" t="inlineStr">
        <is>
          <t>Gamme réalisée - RAS</t>
        </is>
      </c>
      <c r="O185" s="7" t="inlineStr">
        <is>
          <t>Karim Benali</t>
        </is>
      </c>
      <c r="P185" s="65" t="n">
        <v>45747</v>
      </c>
      <c r="Q185" s="75" t="n">
        <v>45747.61805555555</v>
      </c>
      <c r="R185" s="75" t="n">
        <v>45747.79513888889</v>
      </c>
      <c r="S185" s="76" t="n">
        <v>2.1</v>
      </c>
      <c r="T185" s="76" t="n">
        <v>4.25</v>
      </c>
      <c r="U185" s="70">
        <f>IF($A185="","",IFERROR(INDEX('Techniciens'!$F$5:$F$44,MATCH(O185,'Techniciens'!$B$5:$B$44,0)),'Paramètres'!$AA$10))</f>
        <v/>
      </c>
      <c r="V185" s="70">
        <f>IF($A185="","",IF(OR(AC185="Demandé",AC185="Planifié",AC185="Annulé"),0,N(T185)*N(U185)))</f>
        <v/>
      </c>
      <c r="W185" s="70">
        <f>IF($A185="","",SUMIFS('Mouvements stock'!$H$5:$H$3004,'Mouvements stock'!$I$5:$I$3004,$A185,'Mouvements stock'!$C$5:$C$3004,"Sortie")-SUMIFS('Mouvements stock'!$H$5:$H$3004,'Mouvements stock'!$I$5:$I$3004,$A185,'Mouvements stock'!$C$5:$C$3004,"Retour"))</f>
        <v/>
      </c>
      <c r="X185" s="66" t="n">
        <v>0</v>
      </c>
      <c r="Y185" s="66" t="n">
        <v>0</v>
      </c>
      <c r="Z185" s="7" t="n"/>
      <c r="AA185" s="70">
        <f>IF($A185="","",N(V185)+N(W185)+N(X185)+N(Y185))</f>
        <v/>
      </c>
      <c r="AB185" s="70">
        <f>IF($A185="","",N(S185)*'Paramètres'!$AA$9*IFERROR(INDEX('Paramètres'!$O$5:$O$7,MATCH(G185,'Paramètres'!$N$5:$N$7,0)),0))</f>
        <v/>
      </c>
      <c r="AC185" s="7" t="inlineStr">
        <is>
          <t>Clôturé</t>
        </is>
      </c>
      <c r="AD185" s="69">
        <f>IF(OR($A185="",Q185=""),"",(Q185-B185)*24)</f>
        <v/>
      </c>
      <c r="AE185" s="69">
        <f>IF(OR(Q185="",R185=""),"",(R185-Q185)*24)</f>
        <v/>
      </c>
      <c r="AF185" s="77">
        <f>IF(OR($A185="",B185=""),"",YEAR(B185))</f>
        <v/>
      </c>
      <c r="AG185" s="77">
        <f>IF(OR($A185="",B185=""),"",MONTH(B185))</f>
        <v/>
      </c>
    </row>
    <row r="186">
      <c r="A186" s="7" t="inlineStr">
        <is>
          <t>OT-2025-0182</t>
        </is>
      </c>
      <c r="B186" s="75" t="n">
        <v>45740.49305555555</v>
      </c>
      <c r="C186" s="7" t="inlineStr">
        <is>
          <t>Plan préventif</t>
        </is>
      </c>
      <c r="D186" s="7" t="inlineStr">
        <is>
          <t>EQ-PEI-005</t>
        </is>
      </c>
      <c r="E186" s="9">
        <f>IF(D186="","",IFERROR(INDEX('Équipements'!$B$5:$B$304,MATCH(D186,'Équipements'!$A$5:$A$304,0)),"Code inconnu"))</f>
        <v/>
      </c>
      <c r="F186" s="9">
        <f>IF(D186="","",IFERROR(INDEX('Équipements'!$D$5:$D$304,MATCH(D186,'Équipements'!$A$5:$A$304,0)),""))</f>
        <v/>
      </c>
      <c r="G186" s="9">
        <f>IF(D186="","",IFERROR(INDEX('Équipements'!$K$5:$K$304,MATCH(D186,'Équipements'!$A$5:$A$304,0)),""))</f>
        <v/>
      </c>
      <c r="H186" s="7" t="inlineStr">
        <is>
          <t>Préventif systématique</t>
        </is>
      </c>
      <c r="I186" s="7" t="inlineStr">
        <is>
          <t>GP-074</t>
        </is>
      </c>
      <c r="J186" s="7" t="inlineStr">
        <is>
          <t>Mécanique</t>
        </is>
      </c>
      <c r="K186" s="7" t="inlineStr">
        <is>
          <t>P3 - Normale</t>
        </is>
      </c>
      <c r="L186" s="7" t="inlineStr">
        <is>
          <t>Nettoyage et remplacement des filtres</t>
        </is>
      </c>
      <c r="M186" s="7" t="n"/>
      <c r="N186" s="7" t="inlineStr">
        <is>
          <t>Gamme réalisée - RAS</t>
        </is>
      </c>
      <c r="O186" s="7" t="inlineStr">
        <is>
          <t>Lucas Fontaine</t>
        </is>
      </c>
      <c r="P186" s="65" t="n">
        <v>45747.73263888889</v>
      </c>
      <c r="Q186" s="75" t="n">
        <v>45747.27083333334</v>
      </c>
      <c r="R186" s="75" t="n">
        <v>45747.375</v>
      </c>
      <c r="S186" s="76" t="n">
        <v>1.2</v>
      </c>
      <c r="T186" s="76" t="n">
        <v>2.5</v>
      </c>
      <c r="U186" s="70">
        <f>IF($A186="","",IFERROR(INDEX('Techniciens'!$F$5:$F$44,MATCH(O186,'Techniciens'!$B$5:$B$44,0)),'Paramètres'!$AA$10))</f>
        <v/>
      </c>
      <c r="V186" s="70">
        <f>IF($A186="","",IF(OR(AC186="Demandé",AC186="Planifié",AC186="Annulé"),0,N(T186)*N(U186)))</f>
        <v/>
      </c>
      <c r="W186" s="70">
        <f>IF($A186="","",SUMIFS('Mouvements stock'!$H$5:$H$3004,'Mouvements stock'!$I$5:$I$3004,$A186,'Mouvements stock'!$C$5:$C$3004,"Sortie")-SUMIFS('Mouvements stock'!$H$5:$H$3004,'Mouvements stock'!$I$5:$I$3004,$A186,'Mouvements stock'!$C$5:$C$3004,"Retour"))</f>
        <v/>
      </c>
      <c r="X186" s="66" t="n">
        <v>0</v>
      </c>
      <c r="Y186" s="66" t="n">
        <v>0</v>
      </c>
      <c r="Z186" s="7" t="n"/>
      <c r="AA186" s="70">
        <f>IF($A186="","",N(V186)+N(W186)+N(X186)+N(Y186))</f>
        <v/>
      </c>
      <c r="AB186" s="70">
        <f>IF($A186="","",N(S186)*'Paramètres'!$AA$9*IFERROR(INDEX('Paramètres'!$O$5:$O$7,MATCH(G186,'Paramètres'!$N$5:$N$7,0)),0))</f>
        <v/>
      </c>
      <c r="AC186" s="7" t="inlineStr">
        <is>
          <t>Clôturé</t>
        </is>
      </c>
      <c r="AD186" s="69">
        <f>IF(OR($A186="",Q186=""),"",(Q186-B186)*24)</f>
        <v/>
      </c>
      <c r="AE186" s="69">
        <f>IF(OR(Q186="",R186=""),"",(R186-Q186)*24)</f>
        <v/>
      </c>
      <c r="AF186" s="77">
        <f>IF(OR($A186="",B186=""),"",YEAR(B186))</f>
        <v/>
      </c>
      <c r="AG186" s="77">
        <f>IF(OR($A186="",B186=""),"",MONTH(B186))</f>
        <v/>
      </c>
    </row>
    <row r="187">
      <c r="A187" s="7" t="inlineStr">
        <is>
          <t>OT-2025-0183</t>
        </is>
      </c>
      <c r="B187" s="75" t="n">
        <v>45741.55555555555</v>
      </c>
      <c r="C187" s="7" t="inlineStr">
        <is>
          <t>Marc Lefèvre</t>
        </is>
      </c>
      <c r="D187" s="7" t="inlineStr">
        <is>
          <t>EQ-BAT-006</t>
        </is>
      </c>
      <c r="E187" s="9">
        <f>IF(D187="","",IFERROR(INDEX('Équipements'!$B$5:$B$304,MATCH(D187,'Équipements'!$A$5:$A$304,0)),"Code inconnu"))</f>
        <v/>
      </c>
      <c r="F187" s="9">
        <f>IF(D187="","",IFERROR(INDEX('Équipements'!$D$5:$D$304,MATCH(D187,'Équipements'!$A$5:$A$304,0)),""))</f>
        <v/>
      </c>
      <c r="G187" s="9">
        <f>IF(D187="","",IFERROR(INDEX('Équipements'!$K$5:$K$304,MATCH(D187,'Équipements'!$A$5:$A$304,0)),""))</f>
        <v/>
      </c>
      <c r="H187" s="7" t="inlineStr">
        <is>
          <t>Amélioratif</t>
        </is>
      </c>
      <c r="I187" s="7" t="n"/>
      <c r="J187" s="7" t="inlineStr">
        <is>
          <t>Électrique</t>
        </is>
      </c>
      <c r="K187" s="7" t="inlineStr">
        <is>
          <t>P4 - Basse</t>
        </is>
      </c>
      <c r="L187" s="7" t="inlineStr">
        <is>
          <t>Passage éclairage zone expédition en LED</t>
        </is>
      </c>
      <c r="M187" s="7" t="n"/>
      <c r="N187" s="7" t="inlineStr">
        <is>
          <t>Réalisé conformément au devis / dossier technique</t>
        </is>
      </c>
      <c r="O187" s="7" t="inlineStr">
        <is>
          <t>Antoine Mercier</t>
        </is>
      </c>
      <c r="P187" s="65" t="n">
        <v>45785</v>
      </c>
      <c r="Q187" s="75" t="n">
        <v>45785.40625</v>
      </c>
      <c r="R187" s="75" t="n">
        <v>45786.10625</v>
      </c>
      <c r="S187" s="76" t="n">
        <v>0</v>
      </c>
      <c r="T187" s="76" t="n">
        <v>12</v>
      </c>
      <c r="U187" s="70">
        <f>IF($A187="","",IFERROR(INDEX('Techniciens'!$F$5:$F$44,MATCH(O187,'Techniciens'!$B$5:$B$44,0)),'Paramètres'!$AA$10))</f>
        <v/>
      </c>
      <c r="V187" s="70">
        <f>IF($A187="","",IF(OR(AC187="Demandé",AC187="Planifié",AC187="Annulé"),0,N(T187)*N(U187)))</f>
        <v/>
      </c>
      <c r="W187" s="70">
        <f>IF($A187="","",SUMIFS('Mouvements stock'!$H$5:$H$3004,'Mouvements stock'!$I$5:$I$3004,$A187,'Mouvements stock'!$C$5:$C$3004,"Sortie")-SUMIFS('Mouvements stock'!$H$5:$H$3004,'Mouvements stock'!$I$5:$I$3004,$A187,'Mouvements stock'!$C$5:$C$3004,"Retour"))</f>
        <v/>
      </c>
      <c r="X187" s="66" t="n">
        <v>1350</v>
      </c>
      <c r="Y187" s="66" t="n">
        <v>0</v>
      </c>
      <c r="Z187" s="7" t="n"/>
      <c r="AA187" s="70">
        <f>IF($A187="","",N(V187)+N(W187)+N(X187)+N(Y187))</f>
        <v/>
      </c>
      <c r="AB187" s="70">
        <f>IF($A187="","",N(S187)*'Paramètres'!$AA$9*IFERROR(INDEX('Paramètres'!$O$5:$O$7,MATCH(G187,'Paramètres'!$N$5:$N$7,0)),0))</f>
        <v/>
      </c>
      <c r="AC187" s="7" t="inlineStr">
        <is>
          <t>Clôturé</t>
        </is>
      </c>
      <c r="AD187" s="69">
        <f>IF(OR($A187="",Q187=""),"",(Q187-B187)*24)</f>
        <v/>
      </c>
      <c r="AE187" s="69">
        <f>IF(OR(Q187="",R187=""),"",(R187-Q187)*24)</f>
        <v/>
      </c>
      <c r="AF187" s="77">
        <f>IF(OR($A187="",B187=""),"",YEAR(B187))</f>
        <v/>
      </c>
      <c r="AG187" s="77">
        <f>IF(OR($A187="",B187=""),"",MONTH(B187))</f>
        <v/>
      </c>
    </row>
    <row r="188">
      <c r="A188" s="7" t="inlineStr">
        <is>
          <t>OT-2025-0184</t>
        </is>
      </c>
      <c r="B188" s="75" t="n">
        <v>45742.34513888889</v>
      </c>
      <c r="C188" s="7" t="inlineStr">
        <is>
          <t>Opérateur usinage</t>
        </is>
      </c>
      <c r="D188" s="7" t="inlineStr">
        <is>
          <t>EQ-USI-006</t>
        </is>
      </c>
      <c r="E188" s="9">
        <f>IF(D188="","",IFERROR(INDEX('Équipements'!$B$5:$B$304,MATCH(D188,'Équipements'!$A$5:$A$304,0)),"Code inconnu"))</f>
        <v/>
      </c>
      <c r="F188" s="9">
        <f>IF(D188="","",IFERROR(INDEX('Équipements'!$D$5:$D$304,MATCH(D188,'Équipements'!$A$5:$A$304,0)),""))</f>
        <v/>
      </c>
      <c r="G188" s="9">
        <f>IF(D188="","",IFERROR(INDEX('Équipements'!$K$5:$K$304,MATCH(D188,'Équipements'!$A$5:$A$304,0)),""))</f>
        <v/>
      </c>
      <c r="H188" s="7" t="inlineStr">
        <is>
          <t>Correctif</t>
        </is>
      </c>
      <c r="I188" s="7" t="n"/>
      <c r="J188" s="7" t="inlineStr">
        <is>
          <t>Électrique</t>
        </is>
      </c>
      <c r="K188" s="7" t="inlineStr">
        <is>
          <t>P1 - Urgent</t>
        </is>
      </c>
      <c r="L188" s="7" t="inlineStr">
        <is>
          <t>Alarme codeur axe X</t>
        </is>
      </c>
      <c r="M188" s="7" t="inlineStr">
        <is>
          <t>Défaut capteur</t>
        </is>
      </c>
      <c r="N188" s="7" t="inlineStr">
        <is>
          <t>Contrôle câblage, remplacement codeur</t>
        </is>
      </c>
      <c r="O188" s="7" t="inlineStr">
        <is>
          <t>Thomas Petit</t>
        </is>
      </c>
      <c r="P188" s="65" t="n"/>
      <c r="Q188" s="75" t="n">
        <v>45742.35208333333</v>
      </c>
      <c r="R188" s="75" t="n">
        <v>45742.41458333333</v>
      </c>
      <c r="S188" s="76" t="n">
        <v>1.7</v>
      </c>
      <c r="T188" s="76" t="n">
        <v>1.5</v>
      </c>
      <c r="U188" s="70">
        <f>IF($A188="","",IFERROR(INDEX('Techniciens'!$F$5:$F$44,MATCH(O188,'Techniciens'!$B$5:$B$44,0)),'Paramètres'!$AA$10))</f>
        <v/>
      </c>
      <c r="V188" s="70">
        <f>IF($A188="","",IF(OR(AC188="Demandé",AC188="Planifié",AC188="Annulé"),0,N(T188)*N(U188)))</f>
        <v/>
      </c>
      <c r="W188" s="70">
        <f>IF($A188="","",SUMIFS('Mouvements stock'!$H$5:$H$3004,'Mouvements stock'!$I$5:$I$3004,$A188,'Mouvements stock'!$C$5:$C$3004,"Sortie")-SUMIFS('Mouvements stock'!$H$5:$H$3004,'Mouvements stock'!$I$5:$I$3004,$A188,'Mouvements stock'!$C$5:$C$3004,"Retour"))</f>
        <v/>
      </c>
      <c r="X188" s="66" t="n">
        <v>0</v>
      </c>
      <c r="Y188" s="66" t="n">
        <v>630</v>
      </c>
      <c r="Z188" s="7" t="inlineStr">
        <is>
          <t>SAV Machines-Outils Atlantique</t>
        </is>
      </c>
      <c r="AA188" s="70">
        <f>IF($A188="","",N(V188)+N(W188)+N(X188)+N(Y188))</f>
        <v/>
      </c>
      <c r="AB188" s="70">
        <f>IF($A188="","",N(S188)*'Paramètres'!$AA$9*IFERROR(INDEX('Paramètres'!$O$5:$O$7,MATCH(G188,'Paramètres'!$N$5:$N$7,0)),0))</f>
        <v/>
      </c>
      <c r="AC188" s="7" t="inlineStr">
        <is>
          <t>Clôturé</t>
        </is>
      </c>
      <c r="AD188" s="69">
        <f>IF(OR($A188="",Q188=""),"",(Q188-B188)*24)</f>
        <v/>
      </c>
      <c r="AE188" s="69">
        <f>IF(OR(Q188="",R188=""),"",(R188-Q188)*24)</f>
        <v/>
      </c>
      <c r="AF188" s="77">
        <f>IF(OR($A188="",B188=""),"",YEAR(B188))</f>
        <v/>
      </c>
      <c r="AG188" s="77">
        <f>IF(OR($A188="",B188=""),"",MONTH(B188))</f>
        <v/>
      </c>
    </row>
    <row r="189">
      <c r="A189" s="7" t="inlineStr">
        <is>
          <t>OT-2025-0185</t>
        </is>
      </c>
      <c r="B189" s="75" t="n">
        <v>45742.34861111111</v>
      </c>
      <c r="C189" s="7" t="inlineStr">
        <is>
          <t>Marc Lefèvre</t>
        </is>
      </c>
      <c r="D189" s="7" t="inlineStr">
        <is>
          <t>EQ-UTI-001</t>
        </is>
      </c>
      <c r="E189" s="9">
        <f>IF(D189="","",IFERROR(INDEX('Équipements'!$B$5:$B$304,MATCH(D189,'Équipements'!$A$5:$A$304,0)),"Code inconnu"))</f>
        <v/>
      </c>
      <c r="F189" s="9">
        <f>IF(D189="","",IFERROR(INDEX('Équipements'!$D$5:$D$304,MATCH(D189,'Équipements'!$A$5:$A$304,0)),""))</f>
        <v/>
      </c>
      <c r="G189" s="9">
        <f>IF(D189="","",IFERROR(INDEX('Équipements'!$K$5:$K$304,MATCH(D189,'Équipements'!$A$5:$A$304,0)),""))</f>
        <v/>
      </c>
      <c r="H189" s="7" t="inlineStr">
        <is>
          <t>Correctif</t>
        </is>
      </c>
      <c r="I189" s="7" t="n"/>
      <c r="J189" s="7" t="inlineStr">
        <is>
          <t>Mécanique</t>
        </is>
      </c>
      <c r="K189" s="7" t="inlineStr">
        <is>
          <t>P1 - Urgent</t>
        </is>
      </c>
      <c r="L189" s="7" t="inlineStr">
        <is>
          <t>Arrêt sur température haute</t>
        </is>
      </c>
      <c r="M189" s="7" t="inlineStr">
        <is>
          <t>Encrassement</t>
        </is>
      </c>
      <c r="N189" s="7" t="inlineStr">
        <is>
          <t>Nettoyage refroidisseur, remplacement filtre à huile</t>
        </is>
      </c>
      <c r="O189" s="7" t="inlineStr">
        <is>
          <t>Karim Benali</t>
        </is>
      </c>
      <c r="P189" s="65" t="n"/>
      <c r="Q189" s="75" t="n">
        <v>45742.36666666667</v>
      </c>
      <c r="R189" s="75" t="n">
        <v>45742.7625</v>
      </c>
      <c r="S189" s="76" t="n">
        <v>9.9</v>
      </c>
      <c r="T189" s="76" t="n">
        <v>9.5</v>
      </c>
      <c r="U189" s="70">
        <f>IF($A189="","",IFERROR(INDEX('Techniciens'!$F$5:$F$44,MATCH(O189,'Techniciens'!$B$5:$B$44,0)),'Paramètres'!$AA$10))</f>
        <v/>
      </c>
      <c r="V189" s="70">
        <f>IF($A189="","",IF(OR(AC189="Demandé",AC189="Planifié",AC189="Annulé"),0,N(T189)*N(U189)))</f>
        <v/>
      </c>
      <c r="W189" s="70">
        <f>IF($A189="","",SUMIFS('Mouvements stock'!$H$5:$H$3004,'Mouvements stock'!$I$5:$I$3004,$A189,'Mouvements stock'!$C$5:$C$3004,"Sortie")-SUMIFS('Mouvements stock'!$H$5:$H$3004,'Mouvements stock'!$I$5:$I$3004,$A189,'Mouvements stock'!$C$5:$C$3004,"Retour"))</f>
        <v/>
      </c>
      <c r="X189" s="66" t="n">
        <v>0</v>
      </c>
      <c r="Y189" s="66" t="n">
        <v>0</v>
      </c>
      <c r="Z189" s="7" t="n"/>
      <c r="AA189" s="70">
        <f>IF($A189="","",N(V189)+N(W189)+N(X189)+N(Y189))</f>
        <v/>
      </c>
      <c r="AB189" s="70">
        <f>IF($A189="","",N(S189)*'Paramètres'!$AA$9*IFERROR(INDEX('Paramètres'!$O$5:$O$7,MATCH(G189,'Paramètres'!$N$5:$N$7,0)),0))</f>
        <v/>
      </c>
      <c r="AC189" s="7" t="inlineStr">
        <is>
          <t>Clôturé</t>
        </is>
      </c>
      <c r="AD189" s="69">
        <f>IF(OR($A189="",Q189=""),"",(Q189-B189)*24)</f>
        <v/>
      </c>
      <c r="AE189" s="69">
        <f>IF(OR(Q189="",R189=""),"",(R189-Q189)*24)</f>
        <v/>
      </c>
      <c r="AF189" s="77">
        <f>IF(OR($A189="",B189=""),"",YEAR(B189))</f>
        <v/>
      </c>
      <c r="AG189" s="77">
        <f>IF(OR($A189="",B189=""),"",MONTH(B189))</f>
        <v/>
      </c>
    </row>
    <row r="190">
      <c r="A190" s="7" t="inlineStr">
        <is>
          <t>OT-2025-0186</t>
        </is>
      </c>
      <c r="B190" s="75" t="n">
        <v>45742.39583333334</v>
      </c>
      <c r="C190" s="7" t="inlineStr">
        <is>
          <t>Plan préventif</t>
        </is>
      </c>
      <c r="D190" s="7" t="inlineStr">
        <is>
          <t>EQ-LOG-004</t>
        </is>
      </c>
      <c r="E190" s="9">
        <f>IF(D190="","",IFERROR(INDEX('Équipements'!$B$5:$B$304,MATCH(D190,'Équipements'!$A$5:$A$304,0)),"Code inconnu"))</f>
        <v/>
      </c>
      <c r="F190" s="9">
        <f>IF(D190="","",IFERROR(INDEX('Équipements'!$D$5:$D$304,MATCH(D190,'Équipements'!$A$5:$A$304,0)),""))</f>
        <v/>
      </c>
      <c r="G190" s="9">
        <f>IF(D190="","",IFERROR(INDEX('Équipements'!$K$5:$K$304,MATCH(D190,'Équipements'!$A$5:$A$304,0)),""))</f>
        <v/>
      </c>
      <c r="H190" s="7" t="inlineStr">
        <is>
          <t>Préventif systématique</t>
        </is>
      </c>
      <c r="I190" s="7" t="inlineStr">
        <is>
          <t>GP-112</t>
        </is>
      </c>
      <c r="J190" s="7" t="inlineStr">
        <is>
          <t>Mécanique</t>
        </is>
      </c>
      <c r="K190" s="7" t="inlineStr">
        <is>
          <t>P3 - Normale</t>
        </is>
      </c>
      <c r="L190" s="7" t="inlineStr">
        <is>
          <t>Contrôle batterie, niveaux et bandages</t>
        </is>
      </c>
      <c r="M190" s="7" t="n"/>
      <c r="N190" s="7" t="inlineStr">
        <is>
          <t>Gamme réalisée - DI émise pour remplacement pièce</t>
        </is>
      </c>
      <c r="O190" s="7" t="inlineStr">
        <is>
          <t>Karim Benali</t>
        </is>
      </c>
      <c r="P190" s="65" t="n">
        <v>45749.42708333334</v>
      </c>
      <c r="Q190" s="75" t="n">
        <v>45749.5</v>
      </c>
      <c r="R190" s="75" t="n">
        <v>45749.54166666666</v>
      </c>
      <c r="S190" s="76" t="n">
        <v>1</v>
      </c>
      <c r="T190" s="76" t="n">
        <v>1</v>
      </c>
      <c r="U190" s="70">
        <f>IF($A190="","",IFERROR(INDEX('Techniciens'!$F$5:$F$44,MATCH(O190,'Techniciens'!$B$5:$B$44,0)),'Paramètres'!$AA$10))</f>
        <v/>
      </c>
      <c r="V190" s="70">
        <f>IF($A190="","",IF(OR(AC190="Demandé",AC190="Planifié",AC190="Annulé"),0,N(T190)*N(U190)))</f>
        <v/>
      </c>
      <c r="W190" s="70">
        <f>IF($A190="","",SUMIFS('Mouvements stock'!$H$5:$H$3004,'Mouvements stock'!$I$5:$I$3004,$A190,'Mouvements stock'!$C$5:$C$3004,"Sortie")-SUMIFS('Mouvements stock'!$H$5:$H$3004,'Mouvements stock'!$I$5:$I$3004,$A190,'Mouvements stock'!$C$5:$C$3004,"Retour"))</f>
        <v/>
      </c>
      <c r="X190" s="66" t="n">
        <v>0</v>
      </c>
      <c r="Y190" s="66" t="n">
        <v>0</v>
      </c>
      <c r="Z190" s="7" t="n"/>
      <c r="AA190" s="70">
        <f>IF($A190="","",N(V190)+N(W190)+N(X190)+N(Y190))</f>
        <v/>
      </c>
      <c r="AB190" s="70">
        <f>IF($A190="","",N(S190)*'Paramètres'!$AA$9*IFERROR(INDEX('Paramètres'!$O$5:$O$7,MATCH(G190,'Paramètres'!$N$5:$N$7,0)),0))</f>
        <v/>
      </c>
      <c r="AC190" s="7" t="inlineStr">
        <is>
          <t>Clôturé</t>
        </is>
      </c>
      <c r="AD190" s="69">
        <f>IF(OR($A190="",Q190=""),"",(Q190-B190)*24)</f>
        <v/>
      </c>
      <c r="AE190" s="69">
        <f>IF(OR(Q190="",R190=""),"",(R190-Q190)*24)</f>
        <v/>
      </c>
      <c r="AF190" s="77">
        <f>IF(OR($A190="",B190=""),"",YEAR(B190))</f>
        <v/>
      </c>
      <c r="AG190" s="77">
        <f>IF(OR($A190="",B190=""),"",MONTH(B190))</f>
        <v/>
      </c>
    </row>
    <row r="191">
      <c r="A191" s="7" t="inlineStr">
        <is>
          <t>OT-2025-0187</t>
        </is>
      </c>
      <c r="B191" s="75" t="n">
        <v>45744.47222222222</v>
      </c>
      <c r="C191" s="7" t="inlineStr">
        <is>
          <t>Plan préventif</t>
        </is>
      </c>
      <c r="D191" s="7" t="inlineStr">
        <is>
          <t>EQ-UTI-010</t>
        </is>
      </c>
      <c r="E191" s="9">
        <f>IF(D191="","",IFERROR(INDEX('Équipements'!$B$5:$B$304,MATCH(D191,'Équipements'!$A$5:$A$304,0)),"Code inconnu"))</f>
        <v/>
      </c>
      <c r="F191" s="9">
        <f>IF(D191="","",IFERROR(INDEX('Équipements'!$D$5:$D$304,MATCH(D191,'Équipements'!$A$5:$A$304,0)),""))</f>
        <v/>
      </c>
      <c r="G191" s="9">
        <f>IF(D191="","",IFERROR(INDEX('Équipements'!$K$5:$K$304,MATCH(D191,'Équipements'!$A$5:$A$304,0)),""))</f>
        <v/>
      </c>
      <c r="H191" s="7" t="inlineStr">
        <is>
          <t>Préventif systématique</t>
        </is>
      </c>
      <c r="I191" s="7" t="inlineStr">
        <is>
          <t>GP-104</t>
        </is>
      </c>
      <c r="J191" s="7" t="inlineStr">
        <is>
          <t>Électrique</t>
        </is>
      </c>
      <c r="K191" s="7" t="inlineStr">
        <is>
          <t>P3 - Normale</t>
        </is>
      </c>
      <c r="L191" s="7" t="inlineStr">
        <is>
          <t>Essai mensuel à charge du groupe électrogène</t>
        </is>
      </c>
      <c r="M191" s="7" t="n"/>
      <c r="N191" s="7" t="inlineStr">
        <is>
          <t>Gamme réalisée - RAS</t>
        </is>
      </c>
      <c r="O191" s="7" t="inlineStr">
        <is>
          <t>Julien Moreau</t>
        </is>
      </c>
      <c r="P191" s="65" t="n">
        <v>45751.52777777778</v>
      </c>
      <c r="Q191" s="75" t="n">
        <v>45751.27777777778</v>
      </c>
      <c r="R191" s="75" t="n">
        <v>45751.34027777778</v>
      </c>
      <c r="S191" s="76" t="n">
        <v>0</v>
      </c>
      <c r="T191" s="76" t="n">
        <v>1.5</v>
      </c>
      <c r="U191" s="70">
        <f>IF($A191="","",IFERROR(INDEX('Techniciens'!$F$5:$F$44,MATCH(O191,'Techniciens'!$B$5:$B$44,0)),'Paramètres'!$AA$10))</f>
        <v/>
      </c>
      <c r="V191" s="70">
        <f>IF($A191="","",IF(OR(AC191="Demandé",AC191="Planifié",AC191="Annulé"),0,N(T191)*N(U191)))</f>
        <v/>
      </c>
      <c r="W191" s="70">
        <f>IF($A191="","",SUMIFS('Mouvements stock'!$H$5:$H$3004,'Mouvements stock'!$I$5:$I$3004,$A191,'Mouvements stock'!$C$5:$C$3004,"Sortie")-SUMIFS('Mouvements stock'!$H$5:$H$3004,'Mouvements stock'!$I$5:$I$3004,$A191,'Mouvements stock'!$C$5:$C$3004,"Retour"))</f>
        <v/>
      </c>
      <c r="X191" s="66" t="n">
        <v>0</v>
      </c>
      <c r="Y191" s="66" t="n">
        <v>0</v>
      </c>
      <c r="Z191" s="7" t="n"/>
      <c r="AA191" s="70">
        <f>IF($A191="","",N(V191)+N(W191)+N(X191)+N(Y191))</f>
        <v/>
      </c>
      <c r="AB191" s="70">
        <f>IF($A191="","",N(S191)*'Paramètres'!$AA$9*IFERROR(INDEX('Paramètres'!$O$5:$O$7,MATCH(G191,'Paramètres'!$N$5:$N$7,0)),0))</f>
        <v/>
      </c>
      <c r="AC191" s="7" t="inlineStr">
        <is>
          <t>Clôturé</t>
        </is>
      </c>
      <c r="AD191" s="69">
        <f>IF(OR($A191="",Q191=""),"",(Q191-B191)*24)</f>
        <v/>
      </c>
      <c r="AE191" s="69">
        <f>IF(OR(Q191="",R191=""),"",(R191-Q191)*24)</f>
        <v/>
      </c>
      <c r="AF191" s="77">
        <f>IF(OR($A191="",B191=""),"",YEAR(B191))</f>
        <v/>
      </c>
      <c r="AG191" s="77">
        <f>IF(OR($A191="",B191=""),"",MONTH(B191))</f>
        <v/>
      </c>
    </row>
    <row r="192">
      <c r="A192" s="7" t="inlineStr">
        <is>
          <t>OT-2025-0188</t>
        </is>
      </c>
      <c r="B192" s="75" t="n">
        <v>45744.67916666667</v>
      </c>
      <c r="C192" s="7" t="inlineStr">
        <is>
          <t>Inès Girard (cheffe d'équipe)</t>
        </is>
      </c>
      <c r="D192" s="7" t="inlineStr">
        <is>
          <t>EQ-PEI-002</t>
        </is>
      </c>
      <c r="E192" s="9">
        <f>IF(D192="","",IFERROR(INDEX('Équipements'!$B$5:$B$304,MATCH(D192,'Équipements'!$A$5:$A$304,0)),"Code inconnu"))</f>
        <v/>
      </c>
      <c r="F192" s="9">
        <f>IF(D192="","",IFERROR(INDEX('Équipements'!$D$5:$D$304,MATCH(D192,'Équipements'!$A$5:$A$304,0)),""))</f>
        <v/>
      </c>
      <c r="G192" s="9">
        <f>IF(D192="","",IFERROR(INDEX('Équipements'!$K$5:$K$304,MATCH(D192,'Équipements'!$A$5:$A$304,0)),""))</f>
        <v/>
      </c>
      <c r="H192" s="7" t="inlineStr">
        <is>
          <t>Correctif</t>
        </is>
      </c>
      <c r="I192" s="7" t="n"/>
      <c r="J192" s="7" t="inlineStr">
        <is>
          <t>Pneumatique</t>
        </is>
      </c>
      <c r="K192" s="7" t="inlineStr">
        <is>
          <t>P1 - Urgent</t>
        </is>
      </c>
      <c r="L192" s="7" t="inlineStr">
        <is>
          <t>Pistolet poudre : débit irrégulier</t>
        </is>
      </c>
      <c r="M192" s="7" t="inlineStr">
        <is>
          <t>Usure</t>
        </is>
      </c>
      <c r="N192" s="7" t="inlineStr">
        <is>
          <t>Remplacement injecteur et buse</t>
        </is>
      </c>
      <c r="O192" s="7" t="inlineStr">
        <is>
          <t>Julien Moreau</t>
        </is>
      </c>
      <c r="P192" s="65" t="n"/>
      <c r="Q192" s="75" t="n">
        <v>45744.69444444445</v>
      </c>
      <c r="R192" s="75" t="n">
        <v>45744.96527777778</v>
      </c>
      <c r="S192" s="76" t="n">
        <v>6.9</v>
      </c>
      <c r="T192" s="76" t="n">
        <v>6.5</v>
      </c>
      <c r="U192" s="70">
        <f>IF($A192="","",IFERROR(INDEX('Techniciens'!$F$5:$F$44,MATCH(O192,'Techniciens'!$B$5:$B$44,0)),'Paramètres'!$AA$10))</f>
        <v/>
      </c>
      <c r="V192" s="70">
        <f>IF($A192="","",IF(OR(AC192="Demandé",AC192="Planifié",AC192="Annulé"),0,N(T192)*N(U192)))</f>
        <v/>
      </c>
      <c r="W192" s="70">
        <f>IF($A192="","",SUMIFS('Mouvements stock'!$H$5:$H$3004,'Mouvements stock'!$I$5:$I$3004,$A192,'Mouvements stock'!$C$5:$C$3004,"Sortie")-SUMIFS('Mouvements stock'!$H$5:$H$3004,'Mouvements stock'!$I$5:$I$3004,$A192,'Mouvements stock'!$C$5:$C$3004,"Retour"))</f>
        <v/>
      </c>
      <c r="X192" s="66" t="n">
        <v>0</v>
      </c>
      <c r="Y192" s="66" t="n">
        <v>0</v>
      </c>
      <c r="Z192" s="7" t="n"/>
      <c r="AA192" s="70">
        <f>IF($A192="","",N(V192)+N(W192)+N(X192)+N(Y192))</f>
        <v/>
      </c>
      <c r="AB192" s="70">
        <f>IF($A192="","",N(S192)*'Paramètres'!$AA$9*IFERROR(INDEX('Paramètres'!$O$5:$O$7,MATCH(G192,'Paramètres'!$N$5:$N$7,0)),0))</f>
        <v/>
      </c>
      <c r="AC192" s="7" t="inlineStr">
        <is>
          <t>Clôturé</t>
        </is>
      </c>
      <c r="AD192" s="69">
        <f>IF(OR($A192="",Q192=""),"",(Q192-B192)*24)</f>
        <v/>
      </c>
      <c r="AE192" s="69">
        <f>IF(OR(Q192="",R192=""),"",(R192-Q192)*24)</f>
        <v/>
      </c>
      <c r="AF192" s="77">
        <f>IF(OR($A192="",B192=""),"",YEAR(B192))</f>
        <v/>
      </c>
      <c r="AG192" s="77">
        <f>IF(OR($A192="",B192=""),"",MONTH(B192))</f>
        <v/>
      </c>
    </row>
    <row r="193">
      <c r="A193" s="7" t="inlineStr">
        <is>
          <t>OT-2025-0189</t>
        </is>
      </c>
      <c r="B193" s="75" t="n">
        <v>45747.40277777778</v>
      </c>
      <c r="C193" s="7" t="inlineStr">
        <is>
          <t>Plan préventif</t>
        </is>
      </c>
      <c r="D193" s="7" t="inlineStr">
        <is>
          <t>EQ-TOL-003</t>
        </is>
      </c>
      <c r="E193" s="9">
        <f>IF(D193="","",IFERROR(INDEX('Équipements'!$B$5:$B$304,MATCH(D193,'Équipements'!$A$5:$A$304,0)),"Code inconnu"))</f>
        <v/>
      </c>
      <c r="F193" s="9">
        <f>IF(D193="","",IFERROR(INDEX('Équipements'!$D$5:$D$304,MATCH(D193,'Équipements'!$A$5:$A$304,0)),""))</f>
        <v/>
      </c>
      <c r="G193" s="9">
        <f>IF(D193="","",IFERROR(INDEX('Équipements'!$K$5:$K$304,MATCH(D193,'Équipements'!$A$5:$A$304,0)),""))</f>
        <v/>
      </c>
      <c r="H193" s="7" t="inlineStr">
        <is>
          <t>Préventif systématique</t>
        </is>
      </c>
      <c r="I193" s="7" t="inlineStr">
        <is>
          <t>GP-044</t>
        </is>
      </c>
      <c r="J193" s="7" t="inlineStr">
        <is>
          <t>Hydraulique</t>
        </is>
      </c>
      <c r="K193" s="7" t="inlineStr">
        <is>
          <t>P3 - Normale</t>
        </is>
      </c>
      <c r="L193" s="7" t="inlineStr">
        <is>
          <t>Contrôle hydraulique : fuites, niveaux, pressions</t>
        </is>
      </c>
      <c r="M193" s="7" t="n"/>
      <c r="N193" s="7" t="inlineStr">
        <is>
          <t>Gamme réalisée - RAS</t>
        </is>
      </c>
      <c r="O193" s="7" t="inlineStr">
        <is>
          <t>Karim Benali</t>
        </is>
      </c>
      <c r="P193" s="65" t="n">
        <v>45754.48263888889</v>
      </c>
      <c r="Q193" s="75" t="n">
        <v>45754.40972222222</v>
      </c>
      <c r="R193" s="75" t="n">
        <v>45754.51388888889</v>
      </c>
      <c r="S193" s="76" t="n">
        <v>2.5</v>
      </c>
      <c r="T193" s="76" t="n">
        <v>2.5</v>
      </c>
      <c r="U193" s="70">
        <f>IF($A193="","",IFERROR(INDEX('Techniciens'!$F$5:$F$44,MATCH(O193,'Techniciens'!$B$5:$B$44,0)),'Paramètres'!$AA$10))</f>
        <v/>
      </c>
      <c r="V193" s="70">
        <f>IF($A193="","",IF(OR(AC193="Demandé",AC193="Planifié",AC193="Annulé"),0,N(T193)*N(U193)))</f>
        <v/>
      </c>
      <c r="W193" s="70">
        <f>IF($A193="","",SUMIFS('Mouvements stock'!$H$5:$H$3004,'Mouvements stock'!$I$5:$I$3004,$A193,'Mouvements stock'!$C$5:$C$3004,"Sortie")-SUMIFS('Mouvements stock'!$H$5:$H$3004,'Mouvements stock'!$I$5:$I$3004,$A193,'Mouvements stock'!$C$5:$C$3004,"Retour"))</f>
        <v/>
      </c>
      <c r="X193" s="66" t="n">
        <v>0</v>
      </c>
      <c r="Y193" s="66" t="n">
        <v>0</v>
      </c>
      <c r="Z193" s="7" t="n"/>
      <c r="AA193" s="70">
        <f>IF($A193="","",N(V193)+N(W193)+N(X193)+N(Y193))</f>
        <v/>
      </c>
      <c r="AB193" s="70">
        <f>IF($A193="","",N(S193)*'Paramètres'!$AA$9*IFERROR(INDEX('Paramètres'!$O$5:$O$7,MATCH(G193,'Paramètres'!$N$5:$N$7,0)),0))</f>
        <v/>
      </c>
      <c r="AC193" s="7" t="inlineStr">
        <is>
          <t>Clôturé</t>
        </is>
      </c>
      <c r="AD193" s="69">
        <f>IF(OR($A193="",Q193=""),"",(Q193-B193)*24)</f>
        <v/>
      </c>
      <c r="AE193" s="69">
        <f>IF(OR(Q193="",R193=""),"",(R193-Q193)*24)</f>
        <v/>
      </c>
      <c r="AF193" s="77">
        <f>IF(OR($A193="",B193=""),"",YEAR(B193))</f>
        <v/>
      </c>
      <c r="AG193" s="77">
        <f>IF(OR($A193="",B193=""),"",MONTH(B193))</f>
        <v/>
      </c>
    </row>
    <row r="194">
      <c r="A194" s="7" t="inlineStr">
        <is>
          <t>OT-2025-0190</t>
        </is>
      </c>
      <c r="B194" s="75" t="n">
        <v>45747.43055555555</v>
      </c>
      <c r="C194" s="7" t="inlineStr">
        <is>
          <t>Plan préventif</t>
        </is>
      </c>
      <c r="D194" s="7" t="inlineStr">
        <is>
          <t>EQ-TOL-002</t>
        </is>
      </c>
      <c r="E194" s="9">
        <f>IF(D194="","",IFERROR(INDEX('Équipements'!$B$5:$B$304,MATCH(D194,'Équipements'!$A$5:$A$304,0)),"Code inconnu"))</f>
        <v/>
      </c>
      <c r="F194" s="9">
        <f>IF(D194="","",IFERROR(INDEX('Équipements'!$D$5:$D$304,MATCH(D194,'Équipements'!$A$5:$A$304,0)),""))</f>
        <v/>
      </c>
      <c r="G194" s="9">
        <f>IF(D194="","",IFERROR(INDEX('Équipements'!$K$5:$K$304,MATCH(D194,'Équipements'!$A$5:$A$304,0)),""))</f>
        <v/>
      </c>
      <c r="H194" s="7" t="inlineStr">
        <is>
          <t>Préventif systématique</t>
        </is>
      </c>
      <c r="I194" s="7" t="inlineStr">
        <is>
          <t>GP-041</t>
        </is>
      </c>
      <c r="J194" s="7" t="inlineStr">
        <is>
          <t>Hydraulique</t>
        </is>
      </c>
      <c r="K194" s="7" t="inlineStr">
        <is>
          <t>P3 - Normale</t>
        </is>
      </c>
      <c r="L194" s="7" t="inlineStr">
        <is>
          <t>Contrôle hydraulique : fuites, niveaux, pressions</t>
        </is>
      </c>
      <c r="M194" s="7" t="n"/>
      <c r="N194" s="7" t="inlineStr">
        <is>
          <t>Gamme réalisée - petite fuite corrigée</t>
        </is>
      </c>
      <c r="O194" s="7" t="inlineStr">
        <is>
          <t>Antoine Mercier</t>
        </is>
      </c>
      <c r="P194" s="65" t="n">
        <v>45754.34375</v>
      </c>
      <c r="Q194" s="75" t="n">
        <v>45754.52083333334</v>
      </c>
      <c r="R194" s="75" t="n">
        <v>45754.63541666666</v>
      </c>
      <c r="S194" s="76" t="n">
        <v>1.4</v>
      </c>
      <c r="T194" s="76" t="n">
        <v>2.75</v>
      </c>
      <c r="U194" s="70">
        <f>IF($A194="","",IFERROR(INDEX('Techniciens'!$F$5:$F$44,MATCH(O194,'Techniciens'!$B$5:$B$44,0)),'Paramètres'!$AA$10))</f>
        <v/>
      </c>
      <c r="V194" s="70">
        <f>IF($A194="","",IF(OR(AC194="Demandé",AC194="Planifié",AC194="Annulé"),0,N(T194)*N(U194)))</f>
        <v/>
      </c>
      <c r="W194" s="70">
        <f>IF($A194="","",SUMIFS('Mouvements stock'!$H$5:$H$3004,'Mouvements stock'!$I$5:$I$3004,$A194,'Mouvements stock'!$C$5:$C$3004,"Sortie")-SUMIFS('Mouvements stock'!$H$5:$H$3004,'Mouvements stock'!$I$5:$I$3004,$A194,'Mouvements stock'!$C$5:$C$3004,"Retour"))</f>
        <v/>
      </c>
      <c r="X194" s="66" t="n">
        <v>0</v>
      </c>
      <c r="Y194" s="66" t="n">
        <v>0</v>
      </c>
      <c r="Z194" s="7" t="n"/>
      <c r="AA194" s="70">
        <f>IF($A194="","",N(V194)+N(W194)+N(X194)+N(Y194))</f>
        <v/>
      </c>
      <c r="AB194" s="70">
        <f>IF($A194="","",N(S194)*'Paramètres'!$AA$9*IFERROR(INDEX('Paramètres'!$O$5:$O$7,MATCH(G194,'Paramètres'!$N$5:$N$7,0)),0))</f>
        <v/>
      </c>
      <c r="AC194" s="7" t="inlineStr">
        <is>
          <t>Clôturé</t>
        </is>
      </c>
      <c r="AD194" s="69">
        <f>IF(OR($A194="",Q194=""),"",(Q194-B194)*24)</f>
        <v/>
      </c>
      <c r="AE194" s="69">
        <f>IF(OR(Q194="",R194=""),"",(R194-Q194)*24)</f>
        <v/>
      </c>
      <c r="AF194" s="77">
        <f>IF(OR($A194="",B194=""),"",YEAR(B194))</f>
        <v/>
      </c>
      <c r="AG194" s="77">
        <f>IF(OR($A194="",B194=""),"",MONTH(B194))</f>
        <v/>
      </c>
    </row>
    <row r="195">
      <c r="A195" s="7" t="inlineStr">
        <is>
          <t>OT-2025-0191</t>
        </is>
      </c>
      <c r="B195" s="75" t="n">
        <v>45747.46527777778</v>
      </c>
      <c r="C195" s="7" t="inlineStr">
        <is>
          <t>Plan préventif</t>
        </is>
      </c>
      <c r="D195" s="7" t="inlineStr">
        <is>
          <t>EQ-TOL-007</t>
        </is>
      </c>
      <c r="E195" s="9">
        <f>IF(D195="","",IFERROR(INDEX('Équipements'!$B$5:$B$304,MATCH(D195,'Équipements'!$A$5:$A$304,0)),"Code inconnu"))</f>
        <v/>
      </c>
      <c r="F195" s="9">
        <f>IF(D195="","",IFERROR(INDEX('Équipements'!$D$5:$D$304,MATCH(D195,'Équipements'!$A$5:$A$304,0)),""))</f>
        <v/>
      </c>
      <c r="G195" s="9">
        <f>IF(D195="","",IFERROR(INDEX('Équipements'!$K$5:$K$304,MATCH(D195,'Équipements'!$A$5:$A$304,0)),""))</f>
        <v/>
      </c>
      <c r="H195" s="7" t="inlineStr">
        <is>
          <t>Préventif systématique</t>
        </is>
      </c>
      <c r="I195" s="7" t="inlineStr">
        <is>
          <t>GP-056</t>
        </is>
      </c>
      <c r="J195" s="7" t="inlineStr">
        <is>
          <t>Mécanique</t>
        </is>
      </c>
      <c r="K195" s="7" t="inlineStr">
        <is>
          <t>P3 - Normale</t>
        </is>
      </c>
      <c r="L195" s="7" t="inlineStr">
        <is>
          <t>Graissage chaîne / galets et contrôle tension</t>
        </is>
      </c>
      <c r="M195" s="7" t="n"/>
      <c r="N195" s="7" t="inlineStr">
        <is>
          <t>Gamme réalisée - RAS</t>
        </is>
      </c>
      <c r="O195" s="7" t="inlineStr">
        <is>
          <t>Antoine Mercier</t>
        </is>
      </c>
      <c r="P195" s="65" t="n">
        <v>45754.53125</v>
      </c>
      <c r="Q195" s="75" t="n">
        <v>45754.36458333334</v>
      </c>
      <c r="R195" s="75" t="n">
        <v>45754.47916666666</v>
      </c>
      <c r="S195" s="76" t="n">
        <v>1.4</v>
      </c>
      <c r="T195" s="76" t="n">
        <v>2.75</v>
      </c>
      <c r="U195" s="70">
        <f>IF($A195="","",IFERROR(INDEX('Techniciens'!$F$5:$F$44,MATCH(O195,'Techniciens'!$B$5:$B$44,0)),'Paramètres'!$AA$10))</f>
        <v/>
      </c>
      <c r="V195" s="70">
        <f>IF($A195="","",IF(OR(AC195="Demandé",AC195="Planifié",AC195="Annulé"),0,N(T195)*N(U195)))</f>
        <v/>
      </c>
      <c r="W195" s="70">
        <f>IF($A195="","",SUMIFS('Mouvements stock'!$H$5:$H$3004,'Mouvements stock'!$I$5:$I$3004,$A195,'Mouvements stock'!$C$5:$C$3004,"Sortie")-SUMIFS('Mouvements stock'!$H$5:$H$3004,'Mouvements stock'!$I$5:$I$3004,$A195,'Mouvements stock'!$C$5:$C$3004,"Retour"))</f>
        <v/>
      </c>
      <c r="X195" s="66" t="n">
        <v>0</v>
      </c>
      <c r="Y195" s="66" t="n">
        <v>0</v>
      </c>
      <c r="Z195" s="7" t="n"/>
      <c r="AA195" s="70">
        <f>IF($A195="","",N(V195)+N(W195)+N(X195)+N(Y195))</f>
        <v/>
      </c>
      <c r="AB195" s="70">
        <f>IF($A195="","",N(S195)*'Paramètres'!$AA$9*IFERROR(INDEX('Paramètres'!$O$5:$O$7,MATCH(G195,'Paramètres'!$N$5:$N$7,0)),0))</f>
        <v/>
      </c>
      <c r="AC195" s="7" t="inlineStr">
        <is>
          <t>Clôturé</t>
        </is>
      </c>
      <c r="AD195" s="69">
        <f>IF(OR($A195="",Q195=""),"",(Q195-B195)*24)</f>
        <v/>
      </c>
      <c r="AE195" s="69">
        <f>IF(OR(Q195="",R195=""),"",(R195-Q195)*24)</f>
        <v/>
      </c>
      <c r="AF195" s="77">
        <f>IF(OR($A195="",B195=""),"",YEAR(B195))</f>
        <v/>
      </c>
      <c r="AG195" s="77">
        <f>IF(OR($A195="",B195=""),"",MONTH(B195))</f>
        <v/>
      </c>
    </row>
    <row r="196">
      <c r="A196" s="7" t="inlineStr">
        <is>
          <t>OT-2025-0192</t>
        </is>
      </c>
      <c r="B196" s="75" t="n">
        <v>45747.87430555555</v>
      </c>
      <c r="C196" s="7" t="inlineStr">
        <is>
          <t>Opérateur peinture</t>
        </is>
      </c>
      <c r="D196" s="7" t="inlineStr">
        <is>
          <t>EQ-PEI-002</t>
        </is>
      </c>
      <c r="E196" s="9">
        <f>IF(D196="","",IFERROR(INDEX('Équipements'!$B$5:$B$304,MATCH(D196,'Équipements'!$A$5:$A$304,0)),"Code inconnu"))</f>
        <v/>
      </c>
      <c r="F196" s="9">
        <f>IF(D196="","",IFERROR(INDEX('Équipements'!$D$5:$D$304,MATCH(D196,'Équipements'!$A$5:$A$304,0)),""))</f>
        <v/>
      </c>
      <c r="G196" s="9">
        <f>IF(D196="","",IFERROR(INDEX('Équipements'!$K$5:$K$304,MATCH(D196,'Équipements'!$A$5:$A$304,0)),""))</f>
        <v/>
      </c>
      <c r="H196" s="7" t="inlineStr">
        <is>
          <t>Correctif</t>
        </is>
      </c>
      <c r="I196" s="7" t="n"/>
      <c r="J196" s="7" t="inlineStr">
        <is>
          <t>Mécanique</t>
        </is>
      </c>
      <c r="K196" s="7" t="inlineStr">
        <is>
          <t>P2 - Haute</t>
        </is>
      </c>
      <c r="L196" s="7" t="inlineStr">
        <is>
          <t>Pompe de bain en défaut</t>
        </is>
      </c>
      <c r="M196" s="7" t="inlineStr">
        <is>
          <t>Usure</t>
        </is>
      </c>
      <c r="N196" s="7" t="inlineStr">
        <is>
          <t>Remplacement pompe</t>
        </is>
      </c>
      <c r="O196" s="7" t="inlineStr">
        <is>
          <t>Lucas Fontaine</t>
        </is>
      </c>
      <c r="P196" s="65" t="n"/>
      <c r="Q196" s="75" t="n">
        <v>45747.99305555555</v>
      </c>
      <c r="R196" s="75" t="n">
        <v>45748.06597222222</v>
      </c>
      <c r="S196" s="76" t="n">
        <v>0</v>
      </c>
      <c r="T196" s="76" t="n">
        <v>1.75</v>
      </c>
      <c r="U196" s="70">
        <f>IF($A196="","",IFERROR(INDEX('Techniciens'!$F$5:$F$44,MATCH(O196,'Techniciens'!$B$5:$B$44,0)),'Paramètres'!$AA$10))</f>
        <v/>
      </c>
      <c r="V196" s="70">
        <f>IF($A196="","",IF(OR(AC196="Demandé",AC196="Planifié",AC196="Annulé"),0,N(T196)*N(U196)))</f>
        <v/>
      </c>
      <c r="W196" s="70">
        <f>IF($A196="","",SUMIFS('Mouvements stock'!$H$5:$H$3004,'Mouvements stock'!$I$5:$I$3004,$A196,'Mouvements stock'!$C$5:$C$3004,"Sortie")-SUMIFS('Mouvements stock'!$H$5:$H$3004,'Mouvements stock'!$I$5:$I$3004,$A196,'Mouvements stock'!$C$5:$C$3004,"Retour"))</f>
        <v/>
      </c>
      <c r="X196" s="66" t="n">
        <v>0</v>
      </c>
      <c r="Y196" s="66" t="n">
        <v>0</v>
      </c>
      <c r="Z196" s="7" t="n"/>
      <c r="AA196" s="70">
        <f>IF($A196="","",N(V196)+N(W196)+N(X196)+N(Y196))</f>
        <v/>
      </c>
      <c r="AB196" s="70">
        <f>IF($A196="","",N(S196)*'Paramètres'!$AA$9*IFERROR(INDEX('Paramètres'!$O$5:$O$7,MATCH(G196,'Paramètres'!$N$5:$N$7,0)),0))</f>
        <v/>
      </c>
      <c r="AC196" s="7" t="inlineStr">
        <is>
          <t>Clôturé</t>
        </is>
      </c>
      <c r="AD196" s="69">
        <f>IF(OR($A196="",Q196=""),"",(Q196-B196)*24)</f>
        <v/>
      </c>
      <c r="AE196" s="69">
        <f>IF(OR(Q196="",R196=""),"",(R196-Q196)*24)</f>
        <v/>
      </c>
      <c r="AF196" s="77">
        <f>IF(OR($A196="",B196=""),"",YEAR(B196))</f>
        <v/>
      </c>
      <c r="AG196" s="77">
        <f>IF(OR($A196="",B196=""),"",MONTH(B196))</f>
        <v/>
      </c>
    </row>
    <row r="197">
      <c r="A197" s="7" t="inlineStr">
        <is>
          <t>OT-2025-0193</t>
        </is>
      </c>
      <c r="B197" s="75" t="n">
        <v>45748.31597222222</v>
      </c>
      <c r="C197" s="7" t="inlineStr">
        <is>
          <t>Opérateur assemblage</t>
        </is>
      </c>
      <c r="D197" s="7" t="inlineStr">
        <is>
          <t>EQ-ASS-004</t>
        </is>
      </c>
      <c r="E197" s="9">
        <f>IF(D197="","",IFERROR(INDEX('Équipements'!$B$5:$B$304,MATCH(D197,'Équipements'!$A$5:$A$304,0)),"Code inconnu"))</f>
        <v/>
      </c>
      <c r="F197" s="9">
        <f>IF(D197="","",IFERROR(INDEX('Équipements'!$D$5:$D$304,MATCH(D197,'Équipements'!$A$5:$A$304,0)),""))</f>
        <v/>
      </c>
      <c r="G197" s="9">
        <f>IF(D197="","",IFERROR(INDEX('Équipements'!$K$5:$K$304,MATCH(D197,'Équipements'!$A$5:$A$304,0)),""))</f>
        <v/>
      </c>
      <c r="H197" s="7" t="inlineStr">
        <is>
          <t>Correctif</t>
        </is>
      </c>
      <c r="I197" s="7" t="n"/>
      <c r="J197" s="7" t="inlineStr">
        <is>
          <t>Pneumatique</t>
        </is>
      </c>
      <c r="K197" s="7" t="inlineStr">
        <is>
          <t>P2 - Haute</t>
        </is>
      </c>
      <c r="L197" s="7" t="inlineStr">
        <is>
          <t>Fuite circuit d'air</t>
        </is>
      </c>
      <c r="M197" s="7" t="inlineStr">
        <is>
          <t>Fuite</t>
        </is>
      </c>
      <c r="N197" s="7" t="inlineStr">
        <is>
          <t>Remplacement raccords et tube</t>
        </is>
      </c>
      <c r="O197" s="7" t="inlineStr">
        <is>
          <t>Lucas Fontaine</t>
        </is>
      </c>
      <c r="P197" s="65" t="n"/>
      <c r="Q197" s="75" t="n">
        <v>45748.53472222222</v>
      </c>
      <c r="R197" s="75" t="n">
        <v>45748.63888888889</v>
      </c>
      <c r="S197" s="76" t="n">
        <v>7.8</v>
      </c>
      <c r="T197" s="76" t="n">
        <v>2.5</v>
      </c>
      <c r="U197" s="70">
        <f>IF($A197="","",IFERROR(INDEX('Techniciens'!$F$5:$F$44,MATCH(O197,'Techniciens'!$B$5:$B$44,0)),'Paramètres'!$AA$10))</f>
        <v/>
      </c>
      <c r="V197" s="70">
        <f>IF($A197="","",IF(OR(AC197="Demandé",AC197="Planifié",AC197="Annulé"),0,N(T197)*N(U197)))</f>
        <v/>
      </c>
      <c r="W197" s="70">
        <f>IF($A197="","",SUMIFS('Mouvements stock'!$H$5:$H$3004,'Mouvements stock'!$I$5:$I$3004,$A197,'Mouvements stock'!$C$5:$C$3004,"Sortie")-SUMIFS('Mouvements stock'!$H$5:$H$3004,'Mouvements stock'!$I$5:$I$3004,$A197,'Mouvements stock'!$C$5:$C$3004,"Retour"))</f>
        <v/>
      </c>
      <c r="X197" s="66" t="n">
        <v>284</v>
      </c>
      <c r="Y197" s="66" t="n">
        <v>0</v>
      </c>
      <c r="Z197" s="7" t="n"/>
      <c r="AA197" s="70">
        <f>IF($A197="","",N(V197)+N(W197)+N(X197)+N(Y197))</f>
        <v/>
      </c>
      <c r="AB197" s="70">
        <f>IF($A197="","",N(S197)*'Paramètres'!$AA$9*IFERROR(INDEX('Paramètres'!$O$5:$O$7,MATCH(G197,'Paramètres'!$N$5:$N$7,0)),0))</f>
        <v/>
      </c>
      <c r="AC197" s="7" t="inlineStr">
        <is>
          <t>Clôturé</t>
        </is>
      </c>
      <c r="AD197" s="69">
        <f>IF(OR($A197="",Q197=""),"",(Q197-B197)*24)</f>
        <v/>
      </c>
      <c r="AE197" s="69">
        <f>IF(OR(Q197="",R197=""),"",(R197-Q197)*24)</f>
        <v/>
      </c>
      <c r="AF197" s="77">
        <f>IF(OR($A197="",B197=""),"",YEAR(B197))</f>
        <v/>
      </c>
      <c r="AG197" s="77">
        <f>IF(OR($A197="",B197=""),"",MONTH(B197))</f>
        <v/>
      </c>
    </row>
    <row r="198">
      <c r="A198" s="7" t="inlineStr">
        <is>
          <t>OT-2025-0194</t>
        </is>
      </c>
      <c r="B198" s="75" t="n">
        <v>45748.36458333334</v>
      </c>
      <c r="C198" s="7" t="inlineStr">
        <is>
          <t>Planning réglementaire</t>
        </is>
      </c>
      <c r="D198" s="7" t="inlineStr">
        <is>
          <t>EQ-TOL-002</t>
        </is>
      </c>
      <c r="E198" s="9">
        <f>IF(D198="","",IFERROR(INDEX('Équipements'!$B$5:$B$304,MATCH(D198,'Équipements'!$A$5:$A$304,0)),"Code inconnu"))</f>
        <v/>
      </c>
      <c r="F198" s="9">
        <f>IF(D198="","",IFERROR(INDEX('Équipements'!$D$5:$D$304,MATCH(D198,'Équipements'!$A$5:$A$304,0)),""))</f>
        <v/>
      </c>
      <c r="G198" s="9">
        <f>IF(D198="","",IFERROR(INDEX('Équipements'!$K$5:$K$304,MATCH(D198,'Équipements'!$A$5:$A$304,0)),""))</f>
        <v/>
      </c>
      <c r="H198" s="7" t="inlineStr">
        <is>
          <t>Réglementaire</t>
        </is>
      </c>
      <c r="I198" s="7" t="inlineStr">
        <is>
          <t>CR-010</t>
        </is>
      </c>
      <c r="J198" s="7" t="inlineStr">
        <is>
          <t>Multi-technique</t>
        </is>
      </c>
      <c r="K198" s="7" t="inlineStr">
        <is>
          <t>P2 - Haute</t>
        </is>
      </c>
      <c r="L198" s="7" t="inlineStr">
        <is>
          <t>Vérification périodique presse plieuse</t>
        </is>
      </c>
      <c r="M198" s="7" t="n"/>
      <c r="N198" s="7" t="inlineStr">
        <is>
          <t>Contrôle réalisé - rapport reçu</t>
        </is>
      </c>
      <c r="O198" s="7" t="inlineStr">
        <is>
          <t>Marc Lefèvre</t>
        </is>
      </c>
      <c r="P198" s="65" t="n">
        <v>45769</v>
      </c>
      <c r="Q198" s="75" t="n">
        <v>45769.39583333334</v>
      </c>
      <c r="R198" s="75" t="n">
        <v>45769.45833333334</v>
      </c>
      <c r="S198" s="76" t="n">
        <v>1</v>
      </c>
      <c r="T198" s="76" t="n">
        <v>1.5</v>
      </c>
      <c r="U198" s="70">
        <f>IF($A198="","",IFERROR(INDEX('Techniciens'!$F$5:$F$44,MATCH(O198,'Techniciens'!$B$5:$B$44,0)),'Paramètres'!$AA$10))</f>
        <v/>
      </c>
      <c r="V198" s="70">
        <f>IF($A198="","",IF(OR(AC198="Demandé",AC198="Planifié",AC198="Annulé"),0,N(T198)*N(U198)))</f>
        <v/>
      </c>
      <c r="W198" s="70">
        <f>IF($A198="","",SUMIFS('Mouvements stock'!$H$5:$H$3004,'Mouvements stock'!$I$5:$I$3004,$A198,'Mouvements stock'!$C$5:$C$3004,"Sortie")-SUMIFS('Mouvements stock'!$H$5:$H$3004,'Mouvements stock'!$I$5:$I$3004,$A198,'Mouvements stock'!$C$5:$C$3004,"Retour"))</f>
        <v/>
      </c>
      <c r="X198" s="66" t="n">
        <v>0</v>
      </c>
      <c r="Y198" s="66" t="n">
        <v>230</v>
      </c>
      <c r="Z198" s="7" t="inlineStr">
        <is>
          <t>CONTROLIS (organisme fictif)</t>
        </is>
      </c>
      <c r="AA198" s="70">
        <f>IF($A198="","",N(V198)+N(W198)+N(X198)+N(Y198))</f>
        <v/>
      </c>
      <c r="AB198" s="70">
        <f>IF($A198="","",N(S198)*'Paramètres'!$AA$9*IFERROR(INDEX('Paramètres'!$O$5:$O$7,MATCH(G198,'Paramètres'!$N$5:$N$7,0)),0))</f>
        <v/>
      </c>
      <c r="AC198" s="7" t="inlineStr">
        <is>
          <t>Clôturé</t>
        </is>
      </c>
      <c r="AD198" s="69">
        <f>IF(OR($A198="",Q198=""),"",(Q198-B198)*24)</f>
        <v/>
      </c>
      <c r="AE198" s="69">
        <f>IF(OR(Q198="",R198=""),"",(R198-Q198)*24)</f>
        <v/>
      </c>
      <c r="AF198" s="77">
        <f>IF(OR($A198="",B198=""),"",YEAR(B198))</f>
        <v/>
      </c>
      <c r="AG198" s="77">
        <f>IF(OR($A198="",B198=""),"",MONTH(B198))</f>
        <v/>
      </c>
    </row>
    <row r="199">
      <c r="A199" s="7" t="inlineStr">
        <is>
          <t>OT-2025-0195</t>
        </is>
      </c>
      <c r="B199" s="75" t="n">
        <v>45748.45138888889</v>
      </c>
      <c r="C199" s="7" t="inlineStr">
        <is>
          <t>Ronde maintenance</t>
        </is>
      </c>
      <c r="D199" s="7" t="inlineStr">
        <is>
          <t>EQ-UTI-001</t>
        </is>
      </c>
      <c r="E199" s="9">
        <f>IF(D199="","",IFERROR(INDEX('Équipements'!$B$5:$B$304,MATCH(D199,'Équipements'!$A$5:$A$304,0)),"Code inconnu"))</f>
        <v/>
      </c>
      <c r="F199" s="9">
        <f>IF(D199="","",IFERROR(INDEX('Équipements'!$D$5:$D$304,MATCH(D199,'Équipements'!$A$5:$A$304,0)),""))</f>
        <v/>
      </c>
      <c r="G199" s="9">
        <f>IF(D199="","",IFERROR(INDEX('Équipements'!$K$5:$K$304,MATCH(D199,'Équipements'!$A$5:$A$304,0)),""))</f>
        <v/>
      </c>
      <c r="H199" s="7" t="inlineStr">
        <is>
          <t>Correctif</t>
        </is>
      </c>
      <c r="I199" s="7" t="n"/>
      <c r="J199" s="7" t="inlineStr">
        <is>
          <t>Électrique</t>
        </is>
      </c>
      <c r="K199" s="7" t="inlineStr">
        <is>
          <t>P3 - Normale</t>
        </is>
      </c>
      <c r="L199" s="7" t="inlineStr">
        <is>
          <t>Défaut capteur de pression</t>
        </is>
      </c>
      <c r="M199" s="7" t="inlineStr">
        <is>
          <t>Défaut capteur</t>
        </is>
      </c>
      <c r="N199" s="7" t="inlineStr">
        <is>
          <t>Remplacement capteur</t>
        </is>
      </c>
      <c r="O199" s="7" t="inlineStr">
        <is>
          <t>Thomas Petit</t>
        </is>
      </c>
      <c r="P199" s="65" t="n"/>
      <c r="Q199" s="75" t="n">
        <v>45750.05555555555</v>
      </c>
      <c r="R199" s="75" t="n">
        <v>45750.34722222222</v>
      </c>
      <c r="S199" s="76" t="n">
        <v>0</v>
      </c>
      <c r="T199" s="76" t="n">
        <v>7</v>
      </c>
      <c r="U199" s="70">
        <f>IF($A199="","",IFERROR(INDEX('Techniciens'!$F$5:$F$44,MATCH(O199,'Techniciens'!$B$5:$B$44,0)),'Paramètres'!$AA$10))</f>
        <v/>
      </c>
      <c r="V199" s="70">
        <f>IF($A199="","",IF(OR(AC199="Demandé",AC199="Planifié",AC199="Annulé"),0,N(T199)*N(U199)))</f>
        <v/>
      </c>
      <c r="W199" s="70">
        <f>IF($A199="","",SUMIFS('Mouvements stock'!$H$5:$H$3004,'Mouvements stock'!$I$5:$I$3004,$A199,'Mouvements stock'!$C$5:$C$3004,"Sortie")-SUMIFS('Mouvements stock'!$H$5:$H$3004,'Mouvements stock'!$I$5:$I$3004,$A199,'Mouvements stock'!$C$5:$C$3004,"Retour"))</f>
        <v/>
      </c>
      <c r="X199" s="66" t="n">
        <v>0</v>
      </c>
      <c r="Y199" s="66" t="n">
        <v>0</v>
      </c>
      <c r="Z199" s="7" t="n"/>
      <c r="AA199" s="70">
        <f>IF($A199="","",N(V199)+N(W199)+N(X199)+N(Y199))</f>
        <v/>
      </c>
      <c r="AB199" s="70">
        <f>IF($A199="","",N(S199)*'Paramètres'!$AA$9*IFERROR(INDEX('Paramètres'!$O$5:$O$7,MATCH(G199,'Paramètres'!$N$5:$N$7,0)),0))</f>
        <v/>
      </c>
      <c r="AC199" s="7" t="inlineStr">
        <is>
          <t>Clôturé</t>
        </is>
      </c>
      <c r="AD199" s="69">
        <f>IF(OR($A199="",Q199=""),"",(Q199-B199)*24)</f>
        <v/>
      </c>
      <c r="AE199" s="69">
        <f>IF(OR(Q199="",R199=""),"",(R199-Q199)*24)</f>
        <v/>
      </c>
      <c r="AF199" s="77">
        <f>IF(OR($A199="",B199=""),"",YEAR(B199))</f>
        <v/>
      </c>
      <c r="AG199" s="77">
        <f>IF(OR($A199="",B199=""),"",MONTH(B199))</f>
        <v/>
      </c>
    </row>
    <row r="200">
      <c r="A200" s="7" t="inlineStr">
        <is>
          <t>OT-2025-0196</t>
        </is>
      </c>
      <c r="B200" s="75" t="n">
        <v>45749.40972222222</v>
      </c>
      <c r="C200" s="7" t="inlineStr">
        <is>
          <t>Plan préventif</t>
        </is>
      </c>
      <c r="D200" s="7" t="inlineStr">
        <is>
          <t>EQ-UTI-003</t>
        </is>
      </c>
      <c r="E200" s="9">
        <f>IF(D200="","",IFERROR(INDEX('Équipements'!$B$5:$B$304,MATCH(D200,'Équipements'!$A$5:$A$304,0)),"Code inconnu"))</f>
        <v/>
      </c>
      <c r="F200" s="9">
        <f>IF(D200="","",IFERROR(INDEX('Équipements'!$D$5:$D$304,MATCH(D200,'Équipements'!$A$5:$A$304,0)),""))</f>
        <v/>
      </c>
      <c r="G200" s="9">
        <f>IF(D200="","",IFERROR(INDEX('Équipements'!$K$5:$K$304,MATCH(D200,'Équipements'!$A$5:$A$304,0)),""))</f>
        <v/>
      </c>
      <c r="H200" s="7" t="inlineStr">
        <is>
          <t>Préventif systématique</t>
        </is>
      </c>
      <c r="I200" s="7" t="inlineStr">
        <is>
          <t>GP-092</t>
        </is>
      </c>
      <c r="J200" s="7" t="inlineStr">
        <is>
          <t>Pneumatique</t>
        </is>
      </c>
      <c r="K200" s="7" t="inlineStr">
        <is>
          <t>P3 - Normale</t>
        </is>
      </c>
      <c r="L200" s="7" t="inlineStr">
        <is>
          <t>Purge, contrôle fuites et point de rosée</t>
        </is>
      </c>
      <c r="M200" s="7" t="n"/>
      <c r="N200" s="7" t="inlineStr">
        <is>
          <t>Gamme réalisée - RAS</t>
        </is>
      </c>
      <c r="O200" s="7" t="inlineStr">
        <is>
          <t>Julien Moreau</t>
        </is>
      </c>
      <c r="P200" s="65" t="n">
        <v>45756.34027777778</v>
      </c>
      <c r="Q200" s="75" t="n">
        <v>45756.44444444445</v>
      </c>
      <c r="R200" s="75" t="n">
        <v>45756.49652777778</v>
      </c>
      <c r="S200" s="76" t="n">
        <v>0</v>
      </c>
      <c r="T200" s="76" t="n">
        <v>1.25</v>
      </c>
      <c r="U200" s="70">
        <f>IF($A200="","",IFERROR(INDEX('Techniciens'!$F$5:$F$44,MATCH(O200,'Techniciens'!$B$5:$B$44,0)),'Paramètres'!$AA$10))</f>
        <v/>
      </c>
      <c r="V200" s="70">
        <f>IF($A200="","",IF(OR(AC200="Demandé",AC200="Planifié",AC200="Annulé"),0,N(T200)*N(U200)))</f>
        <v/>
      </c>
      <c r="W200" s="70">
        <f>IF($A200="","",SUMIFS('Mouvements stock'!$H$5:$H$3004,'Mouvements stock'!$I$5:$I$3004,$A200,'Mouvements stock'!$C$5:$C$3004,"Sortie")-SUMIFS('Mouvements stock'!$H$5:$H$3004,'Mouvements stock'!$I$5:$I$3004,$A200,'Mouvements stock'!$C$5:$C$3004,"Retour"))</f>
        <v/>
      </c>
      <c r="X200" s="66" t="n">
        <v>0</v>
      </c>
      <c r="Y200" s="66" t="n">
        <v>0</v>
      </c>
      <c r="Z200" s="7" t="n"/>
      <c r="AA200" s="70">
        <f>IF($A200="","",N(V200)+N(W200)+N(X200)+N(Y200))</f>
        <v/>
      </c>
      <c r="AB200" s="70">
        <f>IF($A200="","",N(S200)*'Paramètres'!$AA$9*IFERROR(INDEX('Paramètres'!$O$5:$O$7,MATCH(G200,'Paramètres'!$N$5:$N$7,0)),0))</f>
        <v/>
      </c>
      <c r="AC200" s="7" t="inlineStr">
        <is>
          <t>Clôturé</t>
        </is>
      </c>
      <c r="AD200" s="69">
        <f>IF(OR($A200="",Q200=""),"",(Q200-B200)*24)</f>
        <v/>
      </c>
      <c r="AE200" s="69">
        <f>IF(OR(Q200="",R200=""),"",(R200-Q200)*24)</f>
        <v/>
      </c>
      <c r="AF200" s="77">
        <f>IF(OR($A200="",B200=""),"",YEAR(B200))</f>
        <v/>
      </c>
      <c r="AG200" s="77">
        <f>IF(OR($A200="",B200=""),"",MONTH(B200))</f>
        <v/>
      </c>
    </row>
    <row r="201">
      <c r="A201" s="7" t="inlineStr">
        <is>
          <t>OT-2025-0197</t>
        </is>
      </c>
      <c r="B201" s="75" t="n">
        <v>45749.61666666667</v>
      </c>
      <c r="C201" s="7" t="inlineStr">
        <is>
          <t>Marc Lefèvre</t>
        </is>
      </c>
      <c r="D201" s="7" t="inlineStr">
        <is>
          <t>EQ-UTI-003</t>
        </is>
      </c>
      <c r="E201" s="9">
        <f>IF(D201="","",IFERROR(INDEX('Équipements'!$B$5:$B$304,MATCH(D201,'Équipements'!$A$5:$A$304,0)),"Code inconnu"))</f>
        <v/>
      </c>
      <c r="F201" s="9">
        <f>IF(D201="","",IFERROR(INDEX('Équipements'!$D$5:$D$304,MATCH(D201,'Équipements'!$A$5:$A$304,0)),""))</f>
        <v/>
      </c>
      <c r="G201" s="9">
        <f>IF(D201="","",IFERROR(INDEX('Équipements'!$K$5:$K$304,MATCH(D201,'Équipements'!$A$5:$A$304,0)),""))</f>
        <v/>
      </c>
      <c r="H201" s="7" t="inlineStr">
        <is>
          <t>Correctif</t>
        </is>
      </c>
      <c r="I201" s="7" t="n"/>
      <c r="J201" s="7" t="inlineStr">
        <is>
          <t>Pneumatique</t>
        </is>
      </c>
      <c r="K201" s="7" t="inlineStr">
        <is>
          <t>P2 - Haute</t>
        </is>
      </c>
      <c r="L201" s="7" t="inlineStr">
        <is>
          <t>Fuite d'air importante sur réseau</t>
        </is>
      </c>
      <c r="M201" s="7" t="inlineStr">
        <is>
          <t>Fuite</t>
        </is>
      </c>
      <c r="N201" s="7" t="inlineStr">
        <is>
          <t>Recherche de fuites aux ultrasons, remplacement raccords</t>
        </is>
      </c>
      <c r="O201" s="7" t="inlineStr">
        <is>
          <t>Julien Moreau</t>
        </is>
      </c>
      <c r="P201" s="65" t="n"/>
      <c r="Q201" s="75" t="n">
        <v>45749.7</v>
      </c>
      <c r="R201" s="75" t="n">
        <v>45749.92916666667</v>
      </c>
      <c r="S201" s="76" t="n">
        <v>7.5</v>
      </c>
      <c r="T201" s="76" t="n">
        <v>5.5</v>
      </c>
      <c r="U201" s="70">
        <f>IF($A201="","",IFERROR(INDEX('Techniciens'!$F$5:$F$44,MATCH(O201,'Techniciens'!$B$5:$B$44,0)),'Paramètres'!$AA$10))</f>
        <v/>
      </c>
      <c r="V201" s="70">
        <f>IF($A201="","",IF(OR(AC201="Demandé",AC201="Planifié",AC201="Annulé"),0,N(T201)*N(U201)))</f>
        <v/>
      </c>
      <c r="W201" s="70">
        <f>IF($A201="","",SUMIFS('Mouvements stock'!$H$5:$H$3004,'Mouvements stock'!$I$5:$I$3004,$A201,'Mouvements stock'!$C$5:$C$3004,"Sortie")-SUMIFS('Mouvements stock'!$H$5:$H$3004,'Mouvements stock'!$I$5:$I$3004,$A201,'Mouvements stock'!$C$5:$C$3004,"Retour"))</f>
        <v/>
      </c>
      <c r="X201" s="66" t="n">
        <v>0</v>
      </c>
      <c r="Y201" s="66" t="n">
        <v>0</v>
      </c>
      <c r="Z201" s="7" t="n"/>
      <c r="AA201" s="70">
        <f>IF($A201="","",N(V201)+N(W201)+N(X201)+N(Y201))</f>
        <v/>
      </c>
      <c r="AB201" s="70">
        <f>IF($A201="","",N(S201)*'Paramètres'!$AA$9*IFERROR(INDEX('Paramètres'!$O$5:$O$7,MATCH(G201,'Paramètres'!$N$5:$N$7,0)),0))</f>
        <v/>
      </c>
      <c r="AC201" s="7" t="inlineStr">
        <is>
          <t>Clôturé</t>
        </is>
      </c>
      <c r="AD201" s="69">
        <f>IF(OR($A201="",Q201=""),"",(Q201-B201)*24)</f>
        <v/>
      </c>
      <c r="AE201" s="69">
        <f>IF(OR(Q201="",R201=""),"",(R201-Q201)*24)</f>
        <v/>
      </c>
      <c r="AF201" s="77">
        <f>IF(OR($A201="",B201=""),"",YEAR(B201))</f>
        <v/>
      </c>
      <c r="AG201" s="77">
        <f>IF(OR($A201="",B201=""),"",MONTH(B201))</f>
        <v/>
      </c>
    </row>
    <row r="202">
      <c r="A202" s="7" t="inlineStr">
        <is>
          <t>OT-2025-0198</t>
        </is>
      </c>
      <c r="B202" s="75" t="n">
        <v>45749.76111111111</v>
      </c>
      <c r="C202" s="7" t="inlineStr">
        <is>
          <t>Cariste</t>
        </is>
      </c>
      <c r="D202" s="7" t="inlineStr">
        <is>
          <t>EQ-LOG-002</t>
        </is>
      </c>
      <c r="E202" s="9">
        <f>IF(D202="","",IFERROR(INDEX('Équipements'!$B$5:$B$304,MATCH(D202,'Équipements'!$A$5:$A$304,0)),"Code inconnu"))</f>
        <v/>
      </c>
      <c r="F202" s="9">
        <f>IF(D202="","",IFERROR(INDEX('Équipements'!$D$5:$D$304,MATCH(D202,'Équipements'!$A$5:$A$304,0)),""))</f>
        <v/>
      </c>
      <c r="G202" s="9">
        <f>IF(D202="","",IFERROR(INDEX('Équipements'!$K$5:$K$304,MATCH(D202,'Équipements'!$A$5:$A$304,0)),""))</f>
        <v/>
      </c>
      <c r="H202" s="7" t="inlineStr">
        <is>
          <t>Correctif</t>
        </is>
      </c>
      <c r="I202" s="7" t="n"/>
      <c r="J202" s="7" t="inlineStr">
        <is>
          <t>Mécanique</t>
        </is>
      </c>
      <c r="K202" s="7" t="inlineStr">
        <is>
          <t>P3 - Normale</t>
        </is>
      </c>
      <c r="L202" s="7" t="inlineStr">
        <is>
          <t>Bandage de roue usé / arraché</t>
        </is>
      </c>
      <c r="M202" s="7" t="inlineStr">
        <is>
          <t>Usure</t>
        </is>
      </c>
      <c r="N202" s="7" t="inlineStr">
        <is>
          <t>Remplacement bandage</t>
        </is>
      </c>
      <c r="O202" s="7" t="inlineStr">
        <is>
          <t>Karim Benali</t>
        </is>
      </c>
      <c r="P202" s="65" t="n"/>
      <c r="Q202" s="75" t="n">
        <v>45750.12152777778</v>
      </c>
      <c r="R202" s="75" t="n">
        <v>45750.30902777778</v>
      </c>
      <c r="S202" s="76" t="n">
        <v>0</v>
      </c>
      <c r="T202" s="76" t="n">
        <v>4.5</v>
      </c>
      <c r="U202" s="70">
        <f>IF($A202="","",IFERROR(INDEX('Techniciens'!$F$5:$F$44,MATCH(O202,'Techniciens'!$B$5:$B$44,0)),'Paramètres'!$AA$10))</f>
        <v/>
      </c>
      <c r="V202" s="70">
        <f>IF($A202="","",IF(OR(AC202="Demandé",AC202="Planifié",AC202="Annulé"),0,N(T202)*N(U202)))</f>
        <v/>
      </c>
      <c r="W202" s="70">
        <f>IF($A202="","",SUMIFS('Mouvements stock'!$H$5:$H$3004,'Mouvements stock'!$I$5:$I$3004,$A202,'Mouvements stock'!$C$5:$C$3004,"Sortie")-SUMIFS('Mouvements stock'!$H$5:$H$3004,'Mouvements stock'!$I$5:$I$3004,$A202,'Mouvements stock'!$C$5:$C$3004,"Retour"))</f>
        <v/>
      </c>
      <c r="X202" s="66" t="n">
        <v>0</v>
      </c>
      <c r="Y202" s="66" t="n">
        <v>0</v>
      </c>
      <c r="Z202" s="7" t="n"/>
      <c r="AA202" s="70">
        <f>IF($A202="","",N(V202)+N(W202)+N(X202)+N(Y202))</f>
        <v/>
      </c>
      <c r="AB202" s="70">
        <f>IF($A202="","",N(S202)*'Paramètres'!$AA$9*IFERROR(INDEX('Paramètres'!$O$5:$O$7,MATCH(G202,'Paramètres'!$N$5:$N$7,0)),0))</f>
        <v/>
      </c>
      <c r="AC202" s="7" t="inlineStr">
        <is>
          <t>Clôturé</t>
        </is>
      </c>
      <c r="AD202" s="69">
        <f>IF(OR($A202="",Q202=""),"",(Q202-B202)*24)</f>
        <v/>
      </c>
      <c r="AE202" s="69">
        <f>IF(OR(Q202="",R202=""),"",(R202-Q202)*24)</f>
        <v/>
      </c>
      <c r="AF202" s="77">
        <f>IF(OR($A202="",B202=""),"",YEAR(B202))</f>
        <v/>
      </c>
      <c r="AG202" s="77">
        <f>IF(OR($A202="",B202=""),"",MONTH(B202))</f>
        <v/>
      </c>
    </row>
    <row r="203">
      <c r="A203" s="7" t="inlineStr">
        <is>
          <t>OT-2025-0199</t>
        </is>
      </c>
      <c r="B203" s="75" t="n">
        <v>45750.51319444444</v>
      </c>
      <c r="C203" s="7" t="inlineStr">
        <is>
          <t>Paul Roux (chef d'atelier)</t>
        </is>
      </c>
      <c r="D203" s="7" t="inlineStr">
        <is>
          <t>EQ-ASS-001</t>
        </is>
      </c>
      <c r="E203" s="9">
        <f>IF(D203="","",IFERROR(INDEX('Équipements'!$B$5:$B$304,MATCH(D203,'Équipements'!$A$5:$A$304,0)),"Code inconnu"))</f>
        <v/>
      </c>
      <c r="F203" s="9">
        <f>IF(D203="","",IFERROR(INDEX('Équipements'!$D$5:$D$304,MATCH(D203,'Équipements'!$A$5:$A$304,0)),""))</f>
        <v/>
      </c>
      <c r="G203" s="9">
        <f>IF(D203="","",IFERROR(INDEX('Équipements'!$K$5:$K$304,MATCH(D203,'Équipements'!$A$5:$A$304,0)),""))</f>
        <v/>
      </c>
      <c r="H203" s="7" t="inlineStr">
        <is>
          <t>Correctif</t>
        </is>
      </c>
      <c r="I203" s="7" t="n"/>
      <c r="J203" s="7" t="inlineStr">
        <is>
          <t>Mécanique</t>
        </is>
      </c>
      <c r="K203" s="7" t="inlineStr">
        <is>
          <t>P3 - Normale</t>
        </is>
      </c>
      <c r="L203" s="7" t="inlineStr">
        <is>
          <t>Roulement de tambour bruyant</t>
        </is>
      </c>
      <c r="M203" s="7" t="inlineStr">
        <is>
          <t>Cause inconnue</t>
        </is>
      </c>
      <c r="N203" s="7" t="inlineStr">
        <is>
          <t>Remplacement roulements et palier</t>
        </is>
      </c>
      <c r="O203" s="7" t="inlineStr">
        <is>
          <t>Lucas Fontaine</t>
        </is>
      </c>
      <c r="P203" s="65" t="n"/>
      <c r="Q203" s="75" t="n">
        <v>45751.04583333333</v>
      </c>
      <c r="R203" s="75" t="n">
        <v>45751.11875</v>
      </c>
      <c r="S203" s="76" t="n">
        <v>0</v>
      </c>
      <c r="T203" s="76" t="n">
        <v>1.75</v>
      </c>
      <c r="U203" s="70">
        <f>IF($A203="","",IFERROR(INDEX('Techniciens'!$F$5:$F$44,MATCH(O203,'Techniciens'!$B$5:$B$44,0)),'Paramètres'!$AA$10))</f>
        <v/>
      </c>
      <c r="V203" s="70">
        <f>IF($A203="","",IF(OR(AC203="Demandé",AC203="Planifié",AC203="Annulé"),0,N(T203)*N(U203)))</f>
        <v/>
      </c>
      <c r="W203" s="70">
        <f>IF($A203="","",SUMIFS('Mouvements stock'!$H$5:$H$3004,'Mouvements stock'!$I$5:$I$3004,$A203,'Mouvements stock'!$C$5:$C$3004,"Sortie")-SUMIFS('Mouvements stock'!$H$5:$H$3004,'Mouvements stock'!$I$5:$I$3004,$A203,'Mouvements stock'!$C$5:$C$3004,"Retour"))</f>
        <v/>
      </c>
      <c r="X203" s="66" t="n">
        <v>667</v>
      </c>
      <c r="Y203" s="66" t="n">
        <v>0</v>
      </c>
      <c r="Z203" s="7" t="n"/>
      <c r="AA203" s="70">
        <f>IF($A203="","",N(V203)+N(W203)+N(X203)+N(Y203))</f>
        <v/>
      </c>
      <c r="AB203" s="70">
        <f>IF($A203="","",N(S203)*'Paramètres'!$AA$9*IFERROR(INDEX('Paramètres'!$O$5:$O$7,MATCH(G203,'Paramètres'!$N$5:$N$7,0)),0))</f>
        <v/>
      </c>
      <c r="AC203" s="7" t="inlineStr">
        <is>
          <t>Clôturé</t>
        </is>
      </c>
      <c r="AD203" s="69">
        <f>IF(OR($A203="",Q203=""),"",(Q203-B203)*24)</f>
        <v/>
      </c>
      <c r="AE203" s="69">
        <f>IF(OR(Q203="",R203=""),"",(R203-Q203)*24)</f>
        <v/>
      </c>
      <c r="AF203" s="77">
        <f>IF(OR($A203="",B203=""),"",YEAR(B203))</f>
        <v/>
      </c>
      <c r="AG203" s="77">
        <f>IF(OR($A203="",B203=""),"",MONTH(B203))</f>
        <v/>
      </c>
    </row>
    <row r="204">
      <c r="A204" s="7" t="inlineStr">
        <is>
          <t>OT-2025-0200</t>
        </is>
      </c>
      <c r="B204" s="75" t="n">
        <v>45751.36111111111</v>
      </c>
      <c r="C204" s="7" t="inlineStr">
        <is>
          <t>Plan préventif</t>
        </is>
      </c>
      <c r="D204" s="7" t="inlineStr">
        <is>
          <t>EQ-USI-001</t>
        </is>
      </c>
      <c r="E204" s="9">
        <f>IF(D204="","",IFERROR(INDEX('Équipements'!$B$5:$B$304,MATCH(D204,'Équipements'!$A$5:$A$304,0)),"Code inconnu"))</f>
        <v/>
      </c>
      <c r="F204" s="9">
        <f>IF(D204="","",IFERROR(INDEX('Équipements'!$D$5:$D$304,MATCH(D204,'Équipements'!$A$5:$A$304,0)),""))</f>
        <v/>
      </c>
      <c r="G204" s="9">
        <f>IF(D204="","",IFERROR(INDEX('Équipements'!$K$5:$K$304,MATCH(D204,'Équipements'!$A$5:$A$304,0)),""))</f>
        <v/>
      </c>
      <c r="H204" s="7" t="inlineStr">
        <is>
          <t>Préventif systématique</t>
        </is>
      </c>
      <c r="I204" s="7" t="inlineStr">
        <is>
          <t>GP-001</t>
        </is>
      </c>
      <c r="J204" s="7" t="inlineStr">
        <is>
          <t>Mécanique</t>
        </is>
      </c>
      <c r="K204" s="7" t="inlineStr">
        <is>
          <t>P3 - Normale</t>
        </is>
      </c>
      <c r="L204" s="7" t="inlineStr">
        <is>
          <t>Contrôle niveaux, nettoyage filtres et bac à copeaux</t>
        </is>
      </c>
      <c r="M204" s="7" t="n"/>
      <c r="N204" s="7" t="inlineStr">
        <is>
          <t>Gamme réalisée - RAS</t>
        </is>
      </c>
      <c r="O204" s="7" t="inlineStr">
        <is>
          <t>Antoine Mercier</t>
        </is>
      </c>
      <c r="P204" s="65" t="n">
        <v>45758.53472222222</v>
      </c>
      <c r="Q204" s="75" t="n">
        <v>45758.52083333334</v>
      </c>
      <c r="R204" s="75" t="n">
        <v>45758.60416666666</v>
      </c>
      <c r="S204" s="76" t="n">
        <v>2</v>
      </c>
      <c r="T204" s="76" t="n">
        <v>2</v>
      </c>
      <c r="U204" s="70">
        <f>IF($A204="","",IFERROR(INDEX('Techniciens'!$F$5:$F$44,MATCH(O204,'Techniciens'!$B$5:$B$44,0)),'Paramètres'!$AA$10))</f>
        <v/>
      </c>
      <c r="V204" s="70">
        <f>IF($A204="","",IF(OR(AC204="Demandé",AC204="Planifié",AC204="Annulé"),0,N(T204)*N(U204)))</f>
        <v/>
      </c>
      <c r="W204" s="70">
        <f>IF($A204="","",SUMIFS('Mouvements stock'!$H$5:$H$3004,'Mouvements stock'!$I$5:$I$3004,$A204,'Mouvements stock'!$C$5:$C$3004,"Sortie")-SUMIFS('Mouvements stock'!$H$5:$H$3004,'Mouvements stock'!$I$5:$I$3004,$A204,'Mouvements stock'!$C$5:$C$3004,"Retour"))</f>
        <v/>
      </c>
      <c r="X204" s="66" t="n">
        <v>0</v>
      </c>
      <c r="Y204" s="66" t="n">
        <v>0</v>
      </c>
      <c r="Z204" s="7" t="n"/>
      <c r="AA204" s="70">
        <f>IF($A204="","",N(V204)+N(W204)+N(X204)+N(Y204))</f>
        <v/>
      </c>
      <c r="AB204" s="70">
        <f>IF($A204="","",N(S204)*'Paramètres'!$AA$9*IFERROR(INDEX('Paramètres'!$O$5:$O$7,MATCH(G204,'Paramètres'!$N$5:$N$7,0)),0))</f>
        <v/>
      </c>
      <c r="AC204" s="7" t="inlineStr">
        <is>
          <t>Clôturé</t>
        </is>
      </c>
      <c r="AD204" s="69">
        <f>IF(OR($A204="",Q204=""),"",(Q204-B204)*24)</f>
        <v/>
      </c>
      <c r="AE204" s="69">
        <f>IF(OR(Q204="",R204=""),"",(R204-Q204)*24)</f>
        <v/>
      </c>
      <c r="AF204" s="77">
        <f>IF(OR($A204="",B204=""),"",YEAR(B204))</f>
        <v/>
      </c>
      <c r="AG204" s="77">
        <f>IF(OR($A204="",B204=""),"",MONTH(B204))</f>
        <v/>
      </c>
    </row>
    <row r="205">
      <c r="A205" s="7" t="inlineStr">
        <is>
          <t>OT-2025-0201</t>
        </is>
      </c>
      <c r="B205" s="75" t="n">
        <v>45751.47222222222</v>
      </c>
      <c r="C205" s="7" t="inlineStr">
        <is>
          <t>Plan préventif</t>
        </is>
      </c>
      <c r="D205" s="7" t="inlineStr">
        <is>
          <t>EQ-BAT-003</t>
        </is>
      </c>
      <c r="E205" s="9">
        <f>IF(D205="","",IFERROR(INDEX('Équipements'!$B$5:$B$304,MATCH(D205,'Équipements'!$A$5:$A$304,0)),"Code inconnu"))</f>
        <v/>
      </c>
      <c r="F205" s="9">
        <f>IF(D205="","",IFERROR(INDEX('Équipements'!$D$5:$D$304,MATCH(D205,'Équipements'!$A$5:$A$304,0)),""))</f>
        <v/>
      </c>
      <c r="G205" s="9">
        <f>IF(D205="","",IFERROR(INDEX('Équipements'!$K$5:$K$304,MATCH(D205,'Équipements'!$A$5:$A$304,0)),""))</f>
        <v/>
      </c>
      <c r="H205" s="7" t="inlineStr">
        <is>
          <t>Préventif systématique</t>
        </is>
      </c>
      <c r="I205" s="7" t="inlineStr">
        <is>
          <t>GP-124</t>
        </is>
      </c>
      <c r="J205" s="7" t="inlineStr">
        <is>
          <t>Mécanique</t>
        </is>
      </c>
      <c r="K205" s="7" t="inlineStr">
        <is>
          <t>P3 - Normale</t>
        </is>
      </c>
      <c r="L205" s="7" t="inlineStr">
        <is>
          <t>Remplacement filtres et nettoyage batteries</t>
        </is>
      </c>
      <c r="M205" s="7" t="n"/>
      <c r="N205" s="7" t="inlineStr">
        <is>
          <t>Gamme réalisée - RAS</t>
        </is>
      </c>
      <c r="O205" s="7" t="inlineStr">
        <is>
          <t>Lucas Fontaine</t>
        </is>
      </c>
      <c r="P205" s="65" t="n">
        <v>45758.51736111111</v>
      </c>
      <c r="Q205" s="75" t="n">
        <v>45758.26388888889</v>
      </c>
      <c r="R205" s="75" t="n">
        <v>45758.36805555555</v>
      </c>
      <c r="S205" s="76" t="n">
        <v>0</v>
      </c>
      <c r="T205" s="76" t="n">
        <v>2.5</v>
      </c>
      <c r="U205" s="70">
        <f>IF($A205="","",IFERROR(INDEX('Techniciens'!$F$5:$F$44,MATCH(O205,'Techniciens'!$B$5:$B$44,0)),'Paramètres'!$AA$10))</f>
        <v/>
      </c>
      <c r="V205" s="70">
        <f>IF($A205="","",IF(OR(AC205="Demandé",AC205="Planifié",AC205="Annulé"),0,N(T205)*N(U205)))</f>
        <v/>
      </c>
      <c r="W205" s="70">
        <f>IF($A205="","",SUMIFS('Mouvements stock'!$H$5:$H$3004,'Mouvements stock'!$I$5:$I$3004,$A205,'Mouvements stock'!$C$5:$C$3004,"Sortie")-SUMIFS('Mouvements stock'!$H$5:$H$3004,'Mouvements stock'!$I$5:$I$3004,$A205,'Mouvements stock'!$C$5:$C$3004,"Retour"))</f>
        <v/>
      </c>
      <c r="X205" s="66" t="n">
        <v>0</v>
      </c>
      <c r="Y205" s="66" t="n">
        <v>0</v>
      </c>
      <c r="Z205" s="7" t="n"/>
      <c r="AA205" s="70">
        <f>IF($A205="","",N(V205)+N(W205)+N(X205)+N(Y205))</f>
        <v/>
      </c>
      <c r="AB205" s="70">
        <f>IF($A205="","",N(S205)*'Paramètres'!$AA$9*IFERROR(INDEX('Paramètres'!$O$5:$O$7,MATCH(G205,'Paramètres'!$N$5:$N$7,0)),0))</f>
        <v/>
      </c>
      <c r="AC205" s="7" t="inlineStr">
        <is>
          <t>Clôturé</t>
        </is>
      </c>
      <c r="AD205" s="69">
        <f>IF(OR($A205="",Q205=""),"",(Q205-B205)*24)</f>
        <v/>
      </c>
      <c r="AE205" s="69">
        <f>IF(OR(Q205="",R205=""),"",(R205-Q205)*24)</f>
        <v/>
      </c>
      <c r="AF205" s="77">
        <f>IF(OR($A205="",B205=""),"",YEAR(B205))</f>
        <v/>
      </c>
      <c r="AG205" s="77">
        <f>IF(OR($A205="",B205=""),"",MONTH(B205))</f>
        <v/>
      </c>
    </row>
    <row r="206">
      <c r="A206" s="7" t="inlineStr">
        <is>
          <t>OT-2025-0202</t>
        </is>
      </c>
      <c r="B206" s="75" t="n">
        <v>45751.9125</v>
      </c>
      <c r="C206" s="7" t="inlineStr">
        <is>
          <t>Opérateur usinage</t>
        </is>
      </c>
      <c r="D206" s="7" t="inlineStr">
        <is>
          <t>EQ-USI-004</t>
        </is>
      </c>
      <c r="E206" s="9">
        <f>IF(D206="","",IFERROR(INDEX('Équipements'!$B$5:$B$304,MATCH(D206,'Équipements'!$A$5:$A$304,0)),"Code inconnu"))</f>
        <v/>
      </c>
      <c r="F206" s="9">
        <f>IF(D206="","",IFERROR(INDEX('Équipements'!$D$5:$D$304,MATCH(D206,'Équipements'!$A$5:$A$304,0)),""))</f>
        <v/>
      </c>
      <c r="G206" s="9">
        <f>IF(D206="","",IFERROR(INDEX('Équipements'!$K$5:$K$304,MATCH(D206,'Équipements'!$A$5:$A$304,0)),""))</f>
        <v/>
      </c>
      <c r="H206" s="7" t="inlineStr">
        <is>
          <t>Correctif</t>
        </is>
      </c>
      <c r="I206" s="7" t="n"/>
      <c r="J206" s="7" t="inlineStr">
        <is>
          <t>Mécanique</t>
        </is>
      </c>
      <c r="K206" s="7" t="inlineStr">
        <is>
          <t>P2 - Haute</t>
        </is>
      </c>
      <c r="L206" s="7" t="inlineStr">
        <is>
          <t>Collision outil / pièce</t>
        </is>
      </c>
      <c r="M206" s="7" t="inlineStr">
        <is>
          <t>Erreur opérateur</t>
        </is>
      </c>
      <c r="N206" s="7" t="inlineStr">
        <is>
          <t>Contrôle géométrie, remplacement porte-outil, recalage</t>
        </is>
      </c>
      <c r="O206" s="7" t="inlineStr">
        <is>
          <t>Karim Benali</t>
        </is>
      </c>
      <c r="P206" s="65" t="n"/>
      <c r="Q206" s="75" t="n">
        <v>45752.15138888889</v>
      </c>
      <c r="R206" s="75" t="n">
        <v>45752.45347222222</v>
      </c>
      <c r="S206" s="76" t="n">
        <v>13</v>
      </c>
      <c r="T206" s="76" t="n">
        <v>7.25</v>
      </c>
      <c r="U206" s="70">
        <f>IF($A206="","",IFERROR(INDEX('Techniciens'!$F$5:$F$44,MATCH(O206,'Techniciens'!$B$5:$B$44,0)),'Paramètres'!$AA$10))</f>
        <v/>
      </c>
      <c r="V206" s="70">
        <f>IF($A206="","",IF(OR(AC206="Demandé",AC206="Planifié",AC206="Annulé"),0,N(T206)*N(U206)))</f>
        <v/>
      </c>
      <c r="W206" s="70">
        <f>IF($A206="","",SUMIFS('Mouvements stock'!$H$5:$H$3004,'Mouvements stock'!$I$5:$I$3004,$A206,'Mouvements stock'!$C$5:$C$3004,"Sortie")-SUMIFS('Mouvements stock'!$H$5:$H$3004,'Mouvements stock'!$I$5:$I$3004,$A206,'Mouvements stock'!$C$5:$C$3004,"Retour"))</f>
        <v/>
      </c>
      <c r="X206" s="66" t="n">
        <v>0</v>
      </c>
      <c r="Y206" s="66" t="n">
        <v>1420</v>
      </c>
      <c r="Z206" s="7" t="inlineStr">
        <is>
          <t>SAV Machines-Outils Atlantique</t>
        </is>
      </c>
      <c r="AA206" s="70">
        <f>IF($A206="","",N(V206)+N(W206)+N(X206)+N(Y206))</f>
        <v/>
      </c>
      <c r="AB206" s="70">
        <f>IF($A206="","",N(S206)*'Paramètres'!$AA$9*IFERROR(INDEX('Paramètres'!$O$5:$O$7,MATCH(G206,'Paramètres'!$N$5:$N$7,0)),0))</f>
        <v/>
      </c>
      <c r="AC206" s="7" t="inlineStr">
        <is>
          <t>Clôturé</t>
        </is>
      </c>
      <c r="AD206" s="69">
        <f>IF(OR($A206="",Q206=""),"",(Q206-B206)*24)</f>
        <v/>
      </c>
      <c r="AE206" s="69">
        <f>IF(OR(Q206="",R206=""),"",(R206-Q206)*24)</f>
        <v/>
      </c>
      <c r="AF206" s="77">
        <f>IF(OR($A206="",B206=""),"",YEAR(B206))</f>
        <v/>
      </c>
      <c r="AG206" s="77">
        <f>IF(OR($A206="",B206=""),"",MONTH(B206))</f>
        <v/>
      </c>
    </row>
    <row r="207">
      <c r="A207" s="7" t="inlineStr">
        <is>
          <t>OT-2025-0203</t>
        </is>
      </c>
      <c r="B207" s="75" t="n">
        <v>45752.67986111111</v>
      </c>
      <c r="C207" s="7" t="inlineStr">
        <is>
          <t>Ronde maintenance</t>
        </is>
      </c>
      <c r="D207" s="7" t="inlineStr">
        <is>
          <t>EQ-UTI-006</t>
        </is>
      </c>
      <c r="E207" s="9">
        <f>IF(D207="","",IFERROR(INDEX('Équipements'!$B$5:$B$304,MATCH(D207,'Équipements'!$A$5:$A$304,0)),"Code inconnu"))</f>
        <v/>
      </c>
      <c r="F207" s="9">
        <f>IF(D207="","",IFERROR(INDEX('Équipements'!$D$5:$D$304,MATCH(D207,'Équipements'!$A$5:$A$304,0)),""))</f>
        <v/>
      </c>
      <c r="G207" s="9">
        <f>IF(D207="","",IFERROR(INDEX('Équipements'!$K$5:$K$304,MATCH(D207,'Équipements'!$A$5:$A$304,0)),""))</f>
        <v/>
      </c>
      <c r="H207" s="7" t="inlineStr">
        <is>
          <t>Correctif</t>
        </is>
      </c>
      <c r="I207" s="7" t="n"/>
      <c r="J207" s="7" t="inlineStr">
        <is>
          <t>Mécanique</t>
        </is>
      </c>
      <c r="K207" s="7" t="inlineStr">
        <is>
          <t>P4 - Basse</t>
        </is>
      </c>
      <c r="L207" s="7" t="inlineStr">
        <is>
          <t>Groupe en défaut haute pression</t>
        </is>
      </c>
      <c r="M207" s="7" t="inlineStr">
        <is>
          <t>Encrassement</t>
        </is>
      </c>
      <c r="N207" s="7" t="inlineStr">
        <is>
          <t>Nettoyage condenseur, contrôle charge fluide</t>
        </is>
      </c>
      <c r="O207" s="7" t="inlineStr">
        <is>
          <t>Karim Benali</t>
        </is>
      </c>
      <c r="P207" s="65" t="n"/>
      <c r="Q207" s="75" t="n">
        <v>45757.80138888889</v>
      </c>
      <c r="R207" s="75" t="n">
        <v>45758.03055555555</v>
      </c>
      <c r="S207" s="76" t="n">
        <v>0</v>
      </c>
      <c r="T207" s="76" t="n">
        <v>5.5</v>
      </c>
      <c r="U207" s="70">
        <f>IF($A207="","",IFERROR(INDEX('Techniciens'!$F$5:$F$44,MATCH(O207,'Techniciens'!$B$5:$B$44,0)),'Paramètres'!$AA$10))</f>
        <v/>
      </c>
      <c r="V207" s="70">
        <f>IF($A207="","",IF(OR(AC207="Demandé",AC207="Planifié",AC207="Annulé"),0,N(T207)*N(U207)))</f>
        <v/>
      </c>
      <c r="W207" s="70">
        <f>IF($A207="","",SUMIFS('Mouvements stock'!$H$5:$H$3004,'Mouvements stock'!$I$5:$I$3004,$A207,'Mouvements stock'!$C$5:$C$3004,"Sortie")-SUMIFS('Mouvements stock'!$H$5:$H$3004,'Mouvements stock'!$I$5:$I$3004,$A207,'Mouvements stock'!$C$5:$C$3004,"Retour"))</f>
        <v/>
      </c>
      <c r="X207" s="66" t="n">
        <v>0</v>
      </c>
      <c r="Y207" s="66" t="n">
        <v>580</v>
      </c>
      <c r="Z207" s="7" t="inlineStr">
        <is>
          <t>Thermique &amp; Clim Services</t>
        </is>
      </c>
      <c r="AA207" s="70">
        <f>IF($A207="","",N(V207)+N(W207)+N(X207)+N(Y207))</f>
        <v/>
      </c>
      <c r="AB207" s="70">
        <f>IF($A207="","",N(S207)*'Paramètres'!$AA$9*IFERROR(INDEX('Paramètres'!$O$5:$O$7,MATCH(G207,'Paramètres'!$N$5:$N$7,0)),0))</f>
        <v/>
      </c>
      <c r="AC207" s="7" t="inlineStr">
        <is>
          <t>Clôturé</t>
        </is>
      </c>
      <c r="AD207" s="69">
        <f>IF(OR($A207="",Q207=""),"",(Q207-B207)*24)</f>
        <v/>
      </c>
      <c r="AE207" s="69">
        <f>IF(OR(Q207="",R207=""),"",(R207-Q207)*24)</f>
        <v/>
      </c>
      <c r="AF207" s="77">
        <f>IF(OR($A207="",B207=""),"",YEAR(B207))</f>
        <v/>
      </c>
      <c r="AG207" s="77">
        <f>IF(OR($A207="",B207=""),"",MONTH(B207))</f>
        <v/>
      </c>
    </row>
    <row r="208">
      <c r="A208" s="7" t="inlineStr">
        <is>
          <t>OT-2025-0204</t>
        </is>
      </c>
      <c r="B208" s="75" t="n">
        <v>45754.36111111111</v>
      </c>
      <c r="C208" s="7" t="inlineStr">
        <is>
          <t>Plan préventif</t>
        </is>
      </c>
      <c r="D208" s="7" t="inlineStr">
        <is>
          <t>EQ-USI-003</t>
        </is>
      </c>
      <c r="E208" s="9">
        <f>IF(D208="","",IFERROR(INDEX('Équipements'!$B$5:$B$304,MATCH(D208,'Équipements'!$A$5:$A$304,0)),"Code inconnu"))</f>
        <v/>
      </c>
      <c r="F208" s="9">
        <f>IF(D208="","",IFERROR(INDEX('Équipements'!$D$5:$D$304,MATCH(D208,'Équipements'!$A$5:$A$304,0)),""))</f>
        <v/>
      </c>
      <c r="G208" s="9">
        <f>IF(D208="","",IFERROR(INDEX('Équipements'!$K$5:$K$304,MATCH(D208,'Équipements'!$A$5:$A$304,0)),""))</f>
        <v/>
      </c>
      <c r="H208" s="7" t="inlineStr">
        <is>
          <t>Préventif systématique</t>
        </is>
      </c>
      <c r="I208" s="7" t="inlineStr">
        <is>
          <t>GP-012</t>
        </is>
      </c>
      <c r="J208" s="7" t="inlineStr">
        <is>
          <t>Électrique</t>
        </is>
      </c>
      <c r="K208" s="7" t="inlineStr">
        <is>
          <t>P3 - Normale</t>
        </is>
      </c>
      <c r="L208" s="7" t="inlineStr">
        <is>
          <t>Contrôle armoire électrique (ventilation, serrages)</t>
        </is>
      </c>
      <c r="M208" s="7" t="n"/>
      <c r="N208" s="7" t="inlineStr">
        <is>
          <t>Gamme réalisée - RAS</t>
        </is>
      </c>
      <c r="O208" s="7" t="inlineStr">
        <is>
          <t>Thomas Petit</t>
        </is>
      </c>
      <c r="P208" s="65" t="n">
        <v>45761</v>
      </c>
      <c r="Q208" s="75" t="n">
        <v>45761.28125</v>
      </c>
      <c r="R208" s="75" t="n">
        <v>45761.38541666666</v>
      </c>
      <c r="S208" s="76" t="n">
        <v>2.5</v>
      </c>
      <c r="T208" s="76" t="n">
        <v>2.5</v>
      </c>
      <c r="U208" s="70">
        <f>IF($A208="","",IFERROR(INDEX('Techniciens'!$F$5:$F$44,MATCH(O208,'Techniciens'!$B$5:$B$44,0)),'Paramètres'!$AA$10))</f>
        <v/>
      </c>
      <c r="V208" s="70">
        <f>IF($A208="","",IF(OR(AC208="Demandé",AC208="Planifié",AC208="Annulé"),0,N(T208)*N(U208)))</f>
        <v/>
      </c>
      <c r="W208" s="70">
        <f>IF($A208="","",SUMIFS('Mouvements stock'!$H$5:$H$3004,'Mouvements stock'!$I$5:$I$3004,$A208,'Mouvements stock'!$C$5:$C$3004,"Sortie")-SUMIFS('Mouvements stock'!$H$5:$H$3004,'Mouvements stock'!$I$5:$I$3004,$A208,'Mouvements stock'!$C$5:$C$3004,"Retour"))</f>
        <v/>
      </c>
      <c r="X208" s="66" t="n">
        <v>0</v>
      </c>
      <c r="Y208" s="66" t="n">
        <v>0</v>
      </c>
      <c r="Z208" s="7" t="n"/>
      <c r="AA208" s="70">
        <f>IF($A208="","",N(V208)+N(W208)+N(X208)+N(Y208))</f>
        <v/>
      </c>
      <c r="AB208" s="70">
        <f>IF($A208="","",N(S208)*'Paramètres'!$AA$9*IFERROR(INDEX('Paramètres'!$O$5:$O$7,MATCH(G208,'Paramètres'!$N$5:$N$7,0)),0))</f>
        <v/>
      </c>
      <c r="AC208" s="7" t="inlineStr">
        <is>
          <t>Clôturé</t>
        </is>
      </c>
      <c r="AD208" s="69">
        <f>IF(OR($A208="",Q208=""),"",(Q208-B208)*24)</f>
        <v/>
      </c>
      <c r="AE208" s="69">
        <f>IF(OR(Q208="",R208=""),"",(R208-Q208)*24)</f>
        <v/>
      </c>
      <c r="AF208" s="77">
        <f>IF(OR($A208="",B208=""),"",YEAR(B208))</f>
        <v/>
      </c>
      <c r="AG208" s="77">
        <f>IF(OR($A208="",B208=""),"",MONTH(B208))</f>
        <v/>
      </c>
    </row>
    <row r="209">
      <c r="A209" s="7" t="inlineStr">
        <is>
          <t>OT-2025-0205</t>
        </is>
      </c>
      <c r="B209" s="75" t="n">
        <v>45754.38541666666</v>
      </c>
      <c r="C209" s="7" t="inlineStr">
        <is>
          <t>Plan préventif</t>
        </is>
      </c>
      <c r="D209" s="7" t="inlineStr">
        <is>
          <t>EQ-LOG-005</t>
        </is>
      </c>
      <c r="E209" s="9">
        <f>IF(D209="","",IFERROR(INDEX('Équipements'!$B$5:$B$304,MATCH(D209,'Équipements'!$A$5:$A$304,0)),"Code inconnu"))</f>
        <v/>
      </c>
      <c r="F209" s="9">
        <f>IF(D209="","",IFERROR(INDEX('Équipements'!$D$5:$D$304,MATCH(D209,'Équipements'!$A$5:$A$304,0)),""))</f>
        <v/>
      </c>
      <c r="G209" s="9">
        <f>IF(D209="","",IFERROR(INDEX('Équipements'!$K$5:$K$304,MATCH(D209,'Équipements'!$A$5:$A$304,0)),""))</f>
        <v/>
      </c>
      <c r="H209" s="7" t="inlineStr">
        <is>
          <t>Préventif systématique</t>
        </is>
      </c>
      <c r="I209" s="7" t="inlineStr">
        <is>
          <t>GP-113</t>
        </is>
      </c>
      <c r="J209" s="7" t="inlineStr">
        <is>
          <t>Multi-technique</t>
        </is>
      </c>
      <c r="K209" s="7" t="inlineStr">
        <is>
          <t>P3 - Normale</t>
        </is>
      </c>
      <c r="L209" s="7" t="inlineStr">
        <is>
          <t>Entretien périodique constructeur</t>
        </is>
      </c>
      <c r="M209" s="7" t="n"/>
      <c r="N209" s="7" t="inlineStr">
        <is>
          <t>Gamme réalisée - RAS</t>
        </is>
      </c>
      <c r="O209" s="7" t="inlineStr">
        <is>
          <t>Antoine Mercier</t>
        </is>
      </c>
      <c r="P209" s="65" t="n">
        <v>45761</v>
      </c>
      <c r="Q209" s="75" t="n">
        <v>45761.46875</v>
      </c>
      <c r="R209" s="75" t="n">
        <v>45761.60416666666</v>
      </c>
      <c r="S209" s="76" t="n">
        <v>0</v>
      </c>
      <c r="T209" s="76" t="n">
        <v>2</v>
      </c>
      <c r="U209" s="70">
        <f>IF($A209="","",IFERROR(INDEX('Techniciens'!$F$5:$F$44,MATCH(O209,'Techniciens'!$B$5:$B$44,0)),'Paramètres'!$AA$10))</f>
        <v/>
      </c>
      <c r="V209" s="70">
        <f>IF($A209="","",IF(OR(AC209="Demandé",AC209="Planifié",AC209="Annulé"),0,N(T209)*N(U209)))</f>
        <v/>
      </c>
      <c r="W209" s="70">
        <f>IF($A209="","",SUMIFS('Mouvements stock'!$H$5:$H$3004,'Mouvements stock'!$I$5:$I$3004,$A209,'Mouvements stock'!$C$5:$C$3004,"Sortie")-SUMIFS('Mouvements stock'!$H$5:$H$3004,'Mouvements stock'!$I$5:$I$3004,$A209,'Mouvements stock'!$C$5:$C$3004,"Retour"))</f>
        <v/>
      </c>
      <c r="X209" s="66" t="n">
        <v>0</v>
      </c>
      <c r="Y209" s="66" t="n">
        <v>430</v>
      </c>
      <c r="Z209" s="7" t="inlineStr">
        <is>
          <t>Manutention Services 44</t>
        </is>
      </c>
      <c r="AA209" s="70">
        <f>IF($A209="","",N(V209)+N(W209)+N(X209)+N(Y209))</f>
        <v/>
      </c>
      <c r="AB209" s="70">
        <f>IF($A209="","",N(S209)*'Paramètres'!$AA$9*IFERROR(INDEX('Paramètres'!$O$5:$O$7,MATCH(G209,'Paramètres'!$N$5:$N$7,0)),0))</f>
        <v/>
      </c>
      <c r="AC209" s="7" t="inlineStr">
        <is>
          <t>Clôturé</t>
        </is>
      </c>
      <c r="AD209" s="69">
        <f>IF(OR($A209="",Q209=""),"",(Q209-B209)*24)</f>
        <v/>
      </c>
      <c r="AE209" s="69">
        <f>IF(OR(Q209="",R209=""),"",(R209-Q209)*24)</f>
        <v/>
      </c>
      <c r="AF209" s="77">
        <f>IF(OR($A209="",B209=""),"",YEAR(B209))</f>
        <v/>
      </c>
      <c r="AG209" s="77">
        <f>IF(OR($A209="",B209=""),"",MONTH(B209))</f>
        <v/>
      </c>
    </row>
    <row r="210">
      <c r="A210" s="7" t="inlineStr">
        <is>
          <t>OT-2025-0206</t>
        </is>
      </c>
      <c r="B210" s="75" t="n">
        <v>45754.42708333334</v>
      </c>
      <c r="C210" s="7" t="inlineStr">
        <is>
          <t>Plan préventif</t>
        </is>
      </c>
      <c r="D210" s="7" t="inlineStr">
        <is>
          <t>EQ-ASS-002</t>
        </is>
      </c>
      <c r="E210" s="9">
        <f>IF(D210="","",IFERROR(INDEX('Équipements'!$B$5:$B$304,MATCH(D210,'Équipements'!$A$5:$A$304,0)),"Code inconnu"))</f>
        <v/>
      </c>
      <c r="F210" s="9">
        <f>IF(D210="","",IFERROR(INDEX('Équipements'!$D$5:$D$304,MATCH(D210,'Équipements'!$A$5:$A$304,0)),""))</f>
        <v/>
      </c>
      <c r="G210" s="9">
        <f>IF(D210="","",IFERROR(INDEX('Équipements'!$K$5:$K$304,MATCH(D210,'Équipements'!$A$5:$A$304,0)),""))</f>
        <v/>
      </c>
      <c r="H210" s="7" t="inlineStr">
        <is>
          <t>Préventif systématique</t>
        </is>
      </c>
      <c r="I210" s="7" t="inlineStr">
        <is>
          <t>GP-078</t>
        </is>
      </c>
      <c r="J210" s="7" t="inlineStr">
        <is>
          <t>Hydraulique</t>
        </is>
      </c>
      <c r="K210" s="7" t="inlineStr">
        <is>
          <t>P3 - Normale</t>
        </is>
      </c>
      <c r="L210" s="7" t="inlineStr">
        <is>
          <t>Contrôle hydraulique : fuites, niveaux, pressions</t>
        </is>
      </c>
      <c r="M210" s="7" t="n"/>
      <c r="N210" s="7" t="inlineStr">
        <is>
          <t>Gamme réalisée - RAS</t>
        </is>
      </c>
      <c r="O210" s="7" t="inlineStr">
        <is>
          <t>Karim Benali</t>
        </is>
      </c>
      <c r="P210" s="65" t="n">
        <v>45761.60416666666</v>
      </c>
      <c r="Q210" s="75" t="n">
        <v>45761.40277777778</v>
      </c>
      <c r="R210" s="75" t="n">
        <v>45761.50694444445</v>
      </c>
      <c r="S210" s="76" t="n">
        <v>1.2</v>
      </c>
      <c r="T210" s="76" t="n">
        <v>2.5</v>
      </c>
      <c r="U210" s="70">
        <f>IF($A210="","",IFERROR(INDEX('Techniciens'!$F$5:$F$44,MATCH(O210,'Techniciens'!$B$5:$B$44,0)),'Paramètres'!$AA$10))</f>
        <v/>
      </c>
      <c r="V210" s="70">
        <f>IF($A210="","",IF(OR(AC210="Demandé",AC210="Planifié",AC210="Annulé"),0,N(T210)*N(U210)))</f>
        <v/>
      </c>
      <c r="W210" s="70">
        <f>IF($A210="","",SUMIFS('Mouvements stock'!$H$5:$H$3004,'Mouvements stock'!$I$5:$I$3004,$A210,'Mouvements stock'!$C$5:$C$3004,"Sortie")-SUMIFS('Mouvements stock'!$H$5:$H$3004,'Mouvements stock'!$I$5:$I$3004,$A210,'Mouvements stock'!$C$5:$C$3004,"Retour"))</f>
        <v/>
      </c>
      <c r="X210" s="66" t="n">
        <v>0</v>
      </c>
      <c r="Y210" s="66" t="n">
        <v>0</v>
      </c>
      <c r="Z210" s="7" t="n"/>
      <c r="AA210" s="70">
        <f>IF($A210="","",N(V210)+N(W210)+N(X210)+N(Y210))</f>
        <v/>
      </c>
      <c r="AB210" s="70">
        <f>IF($A210="","",N(S210)*'Paramètres'!$AA$9*IFERROR(INDEX('Paramètres'!$O$5:$O$7,MATCH(G210,'Paramètres'!$N$5:$N$7,0)),0))</f>
        <v/>
      </c>
      <c r="AC210" s="7" t="inlineStr">
        <is>
          <t>Clôturé</t>
        </is>
      </c>
      <c r="AD210" s="69">
        <f>IF(OR($A210="",Q210=""),"",(Q210-B210)*24)</f>
        <v/>
      </c>
      <c r="AE210" s="69">
        <f>IF(OR(Q210="",R210=""),"",(R210-Q210)*24)</f>
        <v/>
      </c>
      <c r="AF210" s="77">
        <f>IF(OR($A210="",B210=""),"",YEAR(B210))</f>
        <v/>
      </c>
      <c r="AG210" s="77">
        <f>IF(OR($A210="",B210=""),"",MONTH(B210))</f>
        <v/>
      </c>
    </row>
    <row r="211">
      <c r="A211" s="7" t="inlineStr">
        <is>
          <t>OT-2025-0207</t>
        </is>
      </c>
      <c r="B211" s="75" t="n">
        <v>45754.43055555555</v>
      </c>
      <c r="C211" s="7" t="inlineStr">
        <is>
          <t>Plan préventif</t>
        </is>
      </c>
      <c r="D211" s="7" t="inlineStr">
        <is>
          <t>EQ-PEI-001</t>
        </is>
      </c>
      <c r="E211" s="9">
        <f>IF(D211="","",IFERROR(INDEX('Équipements'!$B$5:$B$304,MATCH(D211,'Équipements'!$A$5:$A$304,0)),"Code inconnu"))</f>
        <v/>
      </c>
      <c r="F211" s="9">
        <f>IF(D211="","",IFERROR(INDEX('Équipements'!$D$5:$D$304,MATCH(D211,'Équipements'!$A$5:$A$304,0)),""))</f>
        <v/>
      </c>
      <c r="G211" s="9">
        <f>IF(D211="","",IFERROR(INDEX('Équipements'!$K$5:$K$304,MATCH(D211,'Équipements'!$A$5:$A$304,0)),""))</f>
        <v/>
      </c>
      <c r="H211" s="7" t="inlineStr">
        <is>
          <t>Préventif systématique</t>
        </is>
      </c>
      <c r="I211" s="7" t="inlineStr">
        <is>
          <t>GP-066</t>
        </is>
      </c>
      <c r="J211" s="7" t="inlineStr">
        <is>
          <t>Mécanique</t>
        </is>
      </c>
      <c r="K211" s="7" t="inlineStr">
        <is>
          <t>P3 - Normale</t>
        </is>
      </c>
      <c r="L211" s="7" t="inlineStr">
        <is>
          <t>Nettoyage et remplacement des filtres</t>
        </is>
      </c>
      <c r="M211" s="7" t="n"/>
      <c r="N211" s="7" t="inlineStr">
        <is>
          <t>Gamme réalisée - RAS</t>
        </is>
      </c>
      <c r="O211" s="7" t="inlineStr">
        <is>
          <t>Lucas Fontaine</t>
        </is>
      </c>
      <c r="P211" s="65" t="n">
        <v>45761.65625</v>
      </c>
      <c r="Q211" s="75" t="n">
        <v>45761.54166666666</v>
      </c>
      <c r="R211" s="75" t="n">
        <v>45761.64583333334</v>
      </c>
      <c r="S211" s="76" t="n">
        <v>0</v>
      </c>
      <c r="T211" s="76" t="n">
        <v>2.5</v>
      </c>
      <c r="U211" s="70">
        <f>IF($A211="","",IFERROR(INDEX('Techniciens'!$F$5:$F$44,MATCH(O211,'Techniciens'!$B$5:$B$44,0)),'Paramètres'!$AA$10))</f>
        <v/>
      </c>
      <c r="V211" s="70">
        <f>IF($A211="","",IF(OR(AC211="Demandé",AC211="Planifié",AC211="Annulé"),0,N(T211)*N(U211)))</f>
        <v/>
      </c>
      <c r="W211" s="70">
        <f>IF($A211="","",SUMIFS('Mouvements stock'!$H$5:$H$3004,'Mouvements stock'!$I$5:$I$3004,$A211,'Mouvements stock'!$C$5:$C$3004,"Sortie")-SUMIFS('Mouvements stock'!$H$5:$H$3004,'Mouvements stock'!$I$5:$I$3004,$A211,'Mouvements stock'!$C$5:$C$3004,"Retour"))</f>
        <v/>
      </c>
      <c r="X211" s="66" t="n">
        <v>0</v>
      </c>
      <c r="Y211" s="66" t="n">
        <v>0</v>
      </c>
      <c r="Z211" s="7" t="n"/>
      <c r="AA211" s="70">
        <f>IF($A211="","",N(V211)+N(W211)+N(X211)+N(Y211))</f>
        <v/>
      </c>
      <c r="AB211" s="70">
        <f>IF($A211="","",N(S211)*'Paramètres'!$AA$9*IFERROR(INDEX('Paramètres'!$O$5:$O$7,MATCH(G211,'Paramètres'!$N$5:$N$7,0)),0))</f>
        <v/>
      </c>
      <c r="AC211" s="7" t="inlineStr">
        <is>
          <t>Clôturé</t>
        </is>
      </c>
      <c r="AD211" s="69">
        <f>IF(OR($A211="",Q211=""),"",(Q211-B211)*24)</f>
        <v/>
      </c>
      <c r="AE211" s="69">
        <f>IF(OR(Q211="",R211=""),"",(R211-Q211)*24)</f>
        <v/>
      </c>
      <c r="AF211" s="77">
        <f>IF(OR($A211="",B211=""),"",YEAR(B211))</f>
        <v/>
      </c>
      <c r="AG211" s="77">
        <f>IF(OR($A211="",B211=""),"",MONTH(B211))</f>
        <v/>
      </c>
    </row>
    <row r="212">
      <c r="A212" s="7" t="inlineStr">
        <is>
          <t>OT-2025-0208</t>
        </is>
      </c>
      <c r="B212" s="75" t="n">
        <v>45754.43333333333</v>
      </c>
      <c r="C212" s="7" t="inlineStr">
        <is>
          <t>Marc Lefèvre</t>
        </is>
      </c>
      <c r="D212" s="7" t="inlineStr">
        <is>
          <t>EQ-BAT-006</t>
        </is>
      </c>
      <c r="E212" s="9">
        <f>IF(D212="","",IFERROR(INDEX('Équipements'!$B$5:$B$304,MATCH(D212,'Équipements'!$A$5:$A$304,0)),"Code inconnu"))</f>
        <v/>
      </c>
      <c r="F212" s="9">
        <f>IF(D212="","",IFERROR(INDEX('Équipements'!$D$5:$D$304,MATCH(D212,'Équipements'!$A$5:$A$304,0)),""))</f>
        <v/>
      </c>
      <c r="G212" s="9">
        <f>IF(D212="","",IFERROR(INDEX('Équipements'!$K$5:$K$304,MATCH(D212,'Équipements'!$A$5:$A$304,0)),""))</f>
        <v/>
      </c>
      <c r="H212" s="7" t="inlineStr">
        <is>
          <t>Correctif</t>
        </is>
      </c>
      <c r="I212" s="7" t="n"/>
      <c r="J212" s="7" t="inlineStr">
        <is>
          <t>Électrique</t>
        </is>
      </c>
      <c r="K212" s="7" t="inlineStr">
        <is>
          <t>P3 - Normale</t>
        </is>
      </c>
      <c r="L212" s="7" t="inlineStr">
        <is>
          <t>Échauffement de connexion (thermographie)</t>
        </is>
      </c>
      <c r="M212" s="7" t="inlineStr">
        <is>
          <t>Usure</t>
        </is>
      </c>
      <c r="N212" s="7" t="inlineStr">
        <is>
          <t>Resserrage et remplacement borne</t>
        </is>
      </c>
      <c r="O212" s="7" t="inlineStr">
        <is>
          <t>Antoine Mercier</t>
        </is>
      </c>
      <c r="P212" s="65" t="n"/>
      <c r="Q212" s="75" t="n">
        <v>45755.80694444444</v>
      </c>
      <c r="R212" s="75" t="n">
        <v>45755.87986111111</v>
      </c>
      <c r="S212" s="76" t="n">
        <v>0</v>
      </c>
      <c r="T212" s="76" t="n">
        <v>1.75</v>
      </c>
      <c r="U212" s="70">
        <f>IF($A212="","",IFERROR(INDEX('Techniciens'!$F$5:$F$44,MATCH(O212,'Techniciens'!$B$5:$B$44,0)),'Paramètres'!$AA$10))</f>
        <v/>
      </c>
      <c r="V212" s="70">
        <f>IF($A212="","",IF(OR(AC212="Demandé",AC212="Planifié",AC212="Annulé"),0,N(T212)*N(U212)))</f>
        <v/>
      </c>
      <c r="W212" s="70">
        <f>IF($A212="","",SUMIFS('Mouvements stock'!$H$5:$H$3004,'Mouvements stock'!$I$5:$I$3004,$A212,'Mouvements stock'!$C$5:$C$3004,"Sortie")-SUMIFS('Mouvements stock'!$H$5:$H$3004,'Mouvements stock'!$I$5:$I$3004,$A212,'Mouvements stock'!$C$5:$C$3004,"Retour"))</f>
        <v/>
      </c>
      <c r="X212" s="66" t="n">
        <v>0</v>
      </c>
      <c r="Y212" s="66" t="n">
        <v>0</v>
      </c>
      <c r="Z212" s="7" t="n"/>
      <c r="AA212" s="70">
        <f>IF($A212="","",N(V212)+N(W212)+N(X212)+N(Y212))</f>
        <v/>
      </c>
      <c r="AB212" s="70">
        <f>IF($A212="","",N(S212)*'Paramètres'!$AA$9*IFERROR(INDEX('Paramètres'!$O$5:$O$7,MATCH(G212,'Paramètres'!$N$5:$N$7,0)),0))</f>
        <v/>
      </c>
      <c r="AC212" s="7" t="inlineStr">
        <is>
          <t>Clôturé</t>
        </is>
      </c>
      <c r="AD212" s="69">
        <f>IF(OR($A212="",Q212=""),"",(Q212-B212)*24)</f>
        <v/>
      </c>
      <c r="AE212" s="69">
        <f>IF(OR(Q212="",R212=""),"",(R212-Q212)*24)</f>
        <v/>
      </c>
      <c r="AF212" s="77">
        <f>IF(OR($A212="",B212=""),"",YEAR(B212))</f>
        <v/>
      </c>
      <c r="AG212" s="77">
        <f>IF(OR($A212="",B212=""),"",MONTH(B212))</f>
        <v/>
      </c>
    </row>
    <row r="213">
      <c r="A213" s="7" t="inlineStr">
        <is>
          <t>OT-2025-0209</t>
        </is>
      </c>
      <c r="B213" s="75" t="n">
        <v>45754.44791666666</v>
      </c>
      <c r="C213" s="7" t="inlineStr">
        <is>
          <t>Plan préventif</t>
        </is>
      </c>
      <c r="D213" s="7" t="inlineStr">
        <is>
          <t>EQ-ASS-001</t>
        </is>
      </c>
      <c r="E213" s="9">
        <f>IF(D213="","",IFERROR(INDEX('Équipements'!$B$5:$B$304,MATCH(D213,'Équipements'!$A$5:$A$304,0)),"Code inconnu"))</f>
        <v/>
      </c>
      <c r="F213" s="9">
        <f>IF(D213="","",IFERROR(INDEX('Équipements'!$D$5:$D$304,MATCH(D213,'Équipements'!$A$5:$A$304,0)),""))</f>
        <v/>
      </c>
      <c r="G213" s="9">
        <f>IF(D213="","",IFERROR(INDEX('Équipements'!$K$5:$K$304,MATCH(D213,'Équipements'!$A$5:$A$304,0)),""))</f>
        <v/>
      </c>
      <c r="H213" s="7" t="inlineStr">
        <is>
          <t>Préventif systématique</t>
        </is>
      </c>
      <c r="I213" s="7" t="inlineStr">
        <is>
          <t>GP-076</t>
        </is>
      </c>
      <c r="J213" s="7" t="inlineStr">
        <is>
          <t>Mécanique</t>
        </is>
      </c>
      <c r="K213" s="7" t="inlineStr">
        <is>
          <t>P3 - Normale</t>
        </is>
      </c>
      <c r="L213" s="7" t="inlineStr">
        <is>
          <t>Graissage chaîne / galets et contrôle tension</t>
        </is>
      </c>
      <c r="M213" s="7" t="n"/>
      <c r="N213" s="7" t="inlineStr">
        <is>
          <t>Gamme réalisée - RAS</t>
        </is>
      </c>
      <c r="O213" s="7" t="inlineStr">
        <is>
          <t>Lucas Fontaine</t>
        </is>
      </c>
      <c r="P213" s="65" t="n">
        <v>45761.70833333334</v>
      </c>
      <c r="Q213" s="75" t="n">
        <v>45761.44791666666</v>
      </c>
      <c r="R213" s="75" t="n">
        <v>45761.5625</v>
      </c>
      <c r="S213" s="76" t="n">
        <v>0</v>
      </c>
      <c r="T213" s="76" t="n">
        <v>2.75</v>
      </c>
      <c r="U213" s="70">
        <f>IF($A213="","",IFERROR(INDEX('Techniciens'!$F$5:$F$44,MATCH(O213,'Techniciens'!$B$5:$B$44,0)),'Paramètres'!$AA$10))</f>
        <v/>
      </c>
      <c r="V213" s="70">
        <f>IF($A213="","",IF(OR(AC213="Demandé",AC213="Planifié",AC213="Annulé"),0,N(T213)*N(U213)))</f>
        <v/>
      </c>
      <c r="W213" s="70">
        <f>IF($A213="","",SUMIFS('Mouvements stock'!$H$5:$H$3004,'Mouvements stock'!$I$5:$I$3004,$A213,'Mouvements stock'!$C$5:$C$3004,"Sortie")-SUMIFS('Mouvements stock'!$H$5:$H$3004,'Mouvements stock'!$I$5:$I$3004,$A213,'Mouvements stock'!$C$5:$C$3004,"Retour"))</f>
        <v/>
      </c>
      <c r="X213" s="66" t="n">
        <v>0</v>
      </c>
      <c r="Y213" s="66" t="n">
        <v>0</v>
      </c>
      <c r="Z213" s="7" t="n"/>
      <c r="AA213" s="70">
        <f>IF($A213="","",N(V213)+N(W213)+N(X213)+N(Y213))</f>
        <v/>
      </c>
      <c r="AB213" s="70">
        <f>IF($A213="","",N(S213)*'Paramètres'!$AA$9*IFERROR(INDEX('Paramètres'!$O$5:$O$7,MATCH(G213,'Paramètres'!$N$5:$N$7,0)),0))</f>
        <v/>
      </c>
      <c r="AC213" s="7" t="inlineStr">
        <is>
          <t>Clôturé</t>
        </is>
      </c>
      <c r="AD213" s="69">
        <f>IF(OR($A213="",Q213=""),"",(Q213-B213)*24)</f>
        <v/>
      </c>
      <c r="AE213" s="69">
        <f>IF(OR(Q213="",R213=""),"",(R213-Q213)*24)</f>
        <v/>
      </c>
      <c r="AF213" s="77">
        <f>IF(OR($A213="",B213=""),"",YEAR(B213))</f>
        <v/>
      </c>
      <c r="AG213" s="77">
        <f>IF(OR($A213="",B213=""),"",MONTH(B213))</f>
        <v/>
      </c>
    </row>
    <row r="214">
      <c r="A214" s="7" t="inlineStr">
        <is>
          <t>OT-2025-0210</t>
        </is>
      </c>
      <c r="B214" s="75" t="n">
        <v>45756.45138888889</v>
      </c>
      <c r="C214" s="7" t="inlineStr">
        <is>
          <t>Plan préventif</t>
        </is>
      </c>
      <c r="D214" s="7" t="inlineStr">
        <is>
          <t>EQ-TOL-001</t>
        </is>
      </c>
      <c r="E214" s="9">
        <f>IF(D214="","",IFERROR(INDEX('Équipements'!$B$5:$B$304,MATCH(D214,'Équipements'!$A$5:$A$304,0)),"Code inconnu"))</f>
        <v/>
      </c>
      <c r="F214" s="9">
        <f>IF(D214="","",IFERROR(INDEX('Équipements'!$D$5:$D$304,MATCH(D214,'Équipements'!$A$5:$A$304,0)),""))</f>
        <v/>
      </c>
      <c r="G214" s="9">
        <f>IF(D214="","",IFERROR(INDEX('Équipements'!$K$5:$K$304,MATCH(D214,'Équipements'!$A$5:$A$304,0)),""))</f>
        <v/>
      </c>
      <c r="H214" s="7" t="inlineStr">
        <is>
          <t>Préventif systématique</t>
        </is>
      </c>
      <c r="I214" s="7" t="inlineStr">
        <is>
          <t>GP-039</t>
        </is>
      </c>
      <c r="J214" s="7" t="inlineStr">
        <is>
          <t>Mécanique</t>
        </is>
      </c>
      <c r="K214" s="7" t="inlineStr">
        <is>
          <t>P3 - Normale</t>
        </is>
      </c>
      <c r="L214" s="7" t="inlineStr">
        <is>
          <t>Maintenance groupe froid laser (filtres, eau)</t>
        </is>
      </c>
      <c r="M214" s="7" t="n"/>
      <c r="N214" s="7" t="inlineStr">
        <is>
          <t>Gamme réalisée - RAS</t>
        </is>
      </c>
      <c r="O214" s="7" t="inlineStr">
        <is>
          <t>Antoine Mercier</t>
        </is>
      </c>
      <c r="P214" s="65" t="n">
        <v>45763.54166666666</v>
      </c>
      <c r="Q214" s="75" t="n">
        <v>45763.60416666666</v>
      </c>
      <c r="R214" s="75" t="n">
        <v>45763.72916666666</v>
      </c>
      <c r="S214" s="76" t="n">
        <v>1.5</v>
      </c>
      <c r="T214" s="76" t="n">
        <v>3</v>
      </c>
      <c r="U214" s="70">
        <f>IF($A214="","",IFERROR(INDEX('Techniciens'!$F$5:$F$44,MATCH(O214,'Techniciens'!$B$5:$B$44,0)),'Paramètres'!$AA$10))</f>
        <v/>
      </c>
      <c r="V214" s="70">
        <f>IF($A214="","",IF(OR(AC214="Demandé",AC214="Planifié",AC214="Annulé"),0,N(T214)*N(U214)))</f>
        <v/>
      </c>
      <c r="W214" s="70">
        <f>IF($A214="","",SUMIFS('Mouvements stock'!$H$5:$H$3004,'Mouvements stock'!$I$5:$I$3004,$A214,'Mouvements stock'!$C$5:$C$3004,"Sortie")-SUMIFS('Mouvements stock'!$H$5:$H$3004,'Mouvements stock'!$I$5:$I$3004,$A214,'Mouvements stock'!$C$5:$C$3004,"Retour"))</f>
        <v/>
      </c>
      <c r="X214" s="66" t="n">
        <v>0</v>
      </c>
      <c r="Y214" s="66" t="n">
        <v>0</v>
      </c>
      <c r="Z214" s="7" t="n"/>
      <c r="AA214" s="70">
        <f>IF($A214="","",N(V214)+N(W214)+N(X214)+N(Y214))</f>
        <v/>
      </c>
      <c r="AB214" s="70">
        <f>IF($A214="","",N(S214)*'Paramètres'!$AA$9*IFERROR(INDEX('Paramètres'!$O$5:$O$7,MATCH(G214,'Paramètres'!$N$5:$N$7,0)),0))</f>
        <v/>
      </c>
      <c r="AC214" s="7" t="inlineStr">
        <is>
          <t>Clôturé</t>
        </is>
      </c>
      <c r="AD214" s="69">
        <f>IF(OR($A214="",Q214=""),"",(Q214-B214)*24)</f>
        <v/>
      </c>
      <c r="AE214" s="69">
        <f>IF(OR(Q214="",R214=""),"",(R214-Q214)*24)</f>
        <v/>
      </c>
      <c r="AF214" s="77">
        <f>IF(OR($A214="",B214=""),"",YEAR(B214))</f>
        <v/>
      </c>
      <c r="AG214" s="77">
        <f>IF(OR($A214="",B214=""),"",MONTH(B214))</f>
        <v/>
      </c>
    </row>
    <row r="215">
      <c r="A215" s="7" t="inlineStr">
        <is>
          <t>OT-2025-0211</t>
        </is>
      </c>
      <c r="B215" s="75" t="n">
        <v>45756.46597222222</v>
      </c>
      <c r="C215" s="7" t="inlineStr">
        <is>
          <t>Opérateur tôlerie</t>
        </is>
      </c>
      <c r="D215" s="7" t="inlineStr">
        <is>
          <t>EQ-TOL-001</t>
        </is>
      </c>
      <c r="E215" s="9">
        <f>IF(D215="","",IFERROR(INDEX('Équipements'!$B$5:$B$304,MATCH(D215,'Équipements'!$A$5:$A$304,0)),"Code inconnu"))</f>
        <v/>
      </c>
      <c r="F215" s="9">
        <f>IF(D215="","",IFERROR(INDEX('Équipements'!$D$5:$D$304,MATCH(D215,'Équipements'!$A$5:$A$304,0)),""))</f>
        <v/>
      </c>
      <c r="G215" s="9">
        <f>IF(D215="","",IFERROR(INDEX('Équipements'!$K$5:$K$304,MATCH(D215,'Équipements'!$A$5:$A$304,0)),""))</f>
        <v/>
      </c>
      <c r="H215" s="7" t="inlineStr">
        <is>
          <t>Correctif</t>
        </is>
      </c>
      <c r="I215" s="7" t="n"/>
      <c r="J215" s="7" t="inlineStr">
        <is>
          <t>Pneumatique</t>
        </is>
      </c>
      <c r="K215" s="7" t="inlineStr">
        <is>
          <t>P1 - Urgent</t>
        </is>
      </c>
      <c r="L215" s="7" t="inlineStr">
        <is>
          <t>Défaut pression gaz d'assistance azote</t>
        </is>
      </c>
      <c r="M215" s="7" t="inlineStr">
        <is>
          <t>Fuite</t>
        </is>
      </c>
      <c r="N215" s="7" t="inlineStr">
        <is>
          <t>Remplacement électrovanne et raccords</t>
        </is>
      </c>
      <c r="O215" s="7" t="inlineStr">
        <is>
          <t>Julien Moreau</t>
        </is>
      </c>
      <c r="P215" s="65" t="n"/>
      <c r="Q215" s="75" t="n">
        <v>45756.49236111111</v>
      </c>
      <c r="R215" s="75" t="n">
        <v>45756.59652777778</v>
      </c>
      <c r="S215" s="76" t="n">
        <v>3.1</v>
      </c>
      <c r="T215" s="76" t="n">
        <v>2.5</v>
      </c>
      <c r="U215" s="70">
        <f>IF($A215="","",IFERROR(INDEX('Techniciens'!$F$5:$F$44,MATCH(O215,'Techniciens'!$B$5:$B$44,0)),'Paramètres'!$AA$10))</f>
        <v/>
      </c>
      <c r="V215" s="70">
        <f>IF($A215="","",IF(OR(AC215="Demandé",AC215="Planifié",AC215="Annulé"),0,N(T215)*N(U215)))</f>
        <v/>
      </c>
      <c r="W215" s="70">
        <f>IF($A215="","",SUMIFS('Mouvements stock'!$H$5:$H$3004,'Mouvements stock'!$I$5:$I$3004,$A215,'Mouvements stock'!$C$5:$C$3004,"Sortie")-SUMIFS('Mouvements stock'!$H$5:$H$3004,'Mouvements stock'!$I$5:$I$3004,$A215,'Mouvements stock'!$C$5:$C$3004,"Retour"))</f>
        <v/>
      </c>
      <c r="X215" s="66" t="n">
        <v>0</v>
      </c>
      <c r="Y215" s="66" t="n">
        <v>0</v>
      </c>
      <c r="Z215" s="7" t="n"/>
      <c r="AA215" s="70">
        <f>IF($A215="","",N(V215)+N(W215)+N(X215)+N(Y215))</f>
        <v/>
      </c>
      <c r="AB215" s="70">
        <f>IF($A215="","",N(S215)*'Paramètres'!$AA$9*IFERROR(INDEX('Paramètres'!$O$5:$O$7,MATCH(G215,'Paramètres'!$N$5:$N$7,0)),0))</f>
        <v/>
      </c>
      <c r="AC215" s="7" t="inlineStr">
        <is>
          <t>Clôturé</t>
        </is>
      </c>
      <c r="AD215" s="69">
        <f>IF(OR($A215="",Q215=""),"",(Q215-B215)*24)</f>
        <v/>
      </c>
      <c r="AE215" s="69">
        <f>IF(OR(Q215="",R215=""),"",(R215-Q215)*24)</f>
        <v/>
      </c>
      <c r="AF215" s="77">
        <f>IF(OR($A215="",B215=""),"",YEAR(B215))</f>
        <v/>
      </c>
      <c r="AG215" s="77">
        <f>IF(OR($A215="",B215=""),"",MONTH(B215))</f>
        <v/>
      </c>
    </row>
    <row r="216">
      <c r="A216" s="7" t="inlineStr">
        <is>
          <t>OT-2025-0212</t>
        </is>
      </c>
      <c r="B216" s="75" t="n">
        <v>45756.47222222222</v>
      </c>
      <c r="C216" s="7" t="inlineStr">
        <is>
          <t>Éric Laurent (chef d'atelier)</t>
        </is>
      </c>
      <c r="D216" s="7" t="inlineStr">
        <is>
          <t>EQ-USI-006</t>
        </is>
      </c>
      <c r="E216" s="9">
        <f>IF(D216="","",IFERROR(INDEX('Équipements'!$B$5:$B$304,MATCH(D216,'Équipements'!$A$5:$A$304,0)),"Code inconnu"))</f>
        <v/>
      </c>
      <c r="F216" s="9">
        <f>IF(D216="","",IFERROR(INDEX('Équipements'!$D$5:$D$304,MATCH(D216,'Équipements'!$A$5:$A$304,0)),""))</f>
        <v/>
      </c>
      <c r="G216" s="9">
        <f>IF(D216="","",IFERROR(INDEX('Équipements'!$K$5:$K$304,MATCH(D216,'Équipements'!$A$5:$A$304,0)),""))</f>
        <v/>
      </c>
      <c r="H216" s="7" t="inlineStr">
        <is>
          <t>Correctif</t>
        </is>
      </c>
      <c r="I216" s="7" t="n"/>
      <c r="J216" s="7" t="inlineStr">
        <is>
          <t>Électrique</t>
        </is>
      </c>
      <c r="K216" s="7" t="inlineStr">
        <is>
          <t>P1 - Urgent</t>
        </is>
      </c>
      <c r="L216" s="7" t="inlineStr">
        <is>
          <t>Arrêt d'urgence intempestif</t>
        </is>
      </c>
      <c r="M216" s="7" t="inlineStr">
        <is>
          <t>Défaut électrique</t>
        </is>
      </c>
      <c r="N216" s="7" t="inlineStr">
        <is>
          <t>Recherche de panne, remplacement relais de sécurité</t>
        </is>
      </c>
      <c r="O216" s="7" t="inlineStr">
        <is>
          <t>Thomas Petit</t>
        </is>
      </c>
      <c r="P216" s="65" t="n"/>
      <c r="Q216" s="75" t="n">
        <v>45756.49583333333</v>
      </c>
      <c r="R216" s="75" t="n">
        <v>45756.64166666667</v>
      </c>
      <c r="S216" s="76" t="n">
        <v>4.1</v>
      </c>
      <c r="T216" s="76" t="n">
        <v>3.5</v>
      </c>
      <c r="U216" s="70">
        <f>IF($A216="","",IFERROR(INDEX('Techniciens'!$F$5:$F$44,MATCH(O216,'Techniciens'!$B$5:$B$44,0)),'Paramètres'!$AA$10))</f>
        <v/>
      </c>
      <c r="V216" s="70">
        <f>IF($A216="","",IF(OR(AC216="Demandé",AC216="Planifié",AC216="Annulé"),0,N(T216)*N(U216)))</f>
        <v/>
      </c>
      <c r="W216" s="70">
        <f>IF($A216="","",SUMIFS('Mouvements stock'!$H$5:$H$3004,'Mouvements stock'!$I$5:$I$3004,$A216,'Mouvements stock'!$C$5:$C$3004,"Sortie")-SUMIFS('Mouvements stock'!$H$5:$H$3004,'Mouvements stock'!$I$5:$I$3004,$A216,'Mouvements stock'!$C$5:$C$3004,"Retour"))</f>
        <v/>
      </c>
      <c r="X216" s="66" t="n">
        <v>0</v>
      </c>
      <c r="Y216" s="66" t="n">
        <v>0</v>
      </c>
      <c r="Z216" s="7" t="n"/>
      <c r="AA216" s="70">
        <f>IF($A216="","",N(V216)+N(W216)+N(X216)+N(Y216))</f>
        <v/>
      </c>
      <c r="AB216" s="70">
        <f>IF($A216="","",N(S216)*'Paramètres'!$AA$9*IFERROR(INDEX('Paramètres'!$O$5:$O$7,MATCH(G216,'Paramètres'!$N$5:$N$7,0)),0))</f>
        <v/>
      </c>
      <c r="AC216" s="7" t="inlineStr">
        <is>
          <t>Clôturé</t>
        </is>
      </c>
      <c r="AD216" s="69">
        <f>IF(OR($A216="",Q216=""),"",(Q216-B216)*24)</f>
        <v/>
      </c>
      <c r="AE216" s="69">
        <f>IF(OR(Q216="",R216=""),"",(R216-Q216)*24)</f>
        <v/>
      </c>
      <c r="AF216" s="77">
        <f>IF(OR($A216="",B216=""),"",YEAR(B216))</f>
        <v/>
      </c>
      <c r="AG216" s="77">
        <f>IF(OR($A216="",B216=""),"",MONTH(B216))</f>
        <v/>
      </c>
    </row>
    <row r="217">
      <c r="A217" s="7" t="inlineStr">
        <is>
          <t>OT-2025-0213</t>
        </is>
      </c>
      <c r="B217" s="75" t="n">
        <v>45756.68611111111</v>
      </c>
      <c r="C217" s="7" t="inlineStr">
        <is>
          <t>Opérateur peinture</t>
        </is>
      </c>
      <c r="D217" s="7" t="inlineStr">
        <is>
          <t>EQ-PEI-005</t>
        </is>
      </c>
      <c r="E217" s="9">
        <f>IF(D217="","",IFERROR(INDEX('Équipements'!$B$5:$B$304,MATCH(D217,'Équipements'!$A$5:$A$304,0)),"Code inconnu"))</f>
        <v/>
      </c>
      <c r="F217" s="9">
        <f>IF(D217="","",IFERROR(INDEX('Équipements'!$D$5:$D$304,MATCH(D217,'Équipements'!$A$5:$A$304,0)),""))</f>
        <v/>
      </c>
      <c r="G217" s="9">
        <f>IF(D217="","",IFERROR(INDEX('Équipements'!$K$5:$K$304,MATCH(D217,'Équipements'!$A$5:$A$304,0)),""))</f>
        <v/>
      </c>
      <c r="H217" s="7" t="inlineStr">
        <is>
          <t>Correctif</t>
        </is>
      </c>
      <c r="I217" s="7" t="n"/>
      <c r="J217" s="7" t="inlineStr">
        <is>
          <t>Électrique</t>
        </is>
      </c>
      <c r="K217" s="7" t="inlineStr">
        <is>
          <t>P3 - Normale</t>
        </is>
      </c>
      <c r="L217" s="7" t="inlineStr">
        <is>
          <t>Brûleur en sécurité (défaut flamme)</t>
        </is>
      </c>
      <c r="M217" s="7" t="inlineStr">
        <is>
          <t>Défaut capteur</t>
        </is>
      </c>
      <c r="N217" s="7" t="inlineStr">
        <is>
          <t>Remplacement sonde, réglage brûleur</t>
        </is>
      </c>
      <c r="O217" s="7" t="inlineStr">
        <is>
          <t>Thomas Petit</t>
        </is>
      </c>
      <c r="P217" s="65" t="n"/>
      <c r="Q217" s="75" t="n">
        <v>45757.97777777778</v>
      </c>
      <c r="R217" s="75" t="n">
        <v>45758.15486111111</v>
      </c>
      <c r="S217" s="76" t="n">
        <v>4.2</v>
      </c>
      <c r="T217" s="76" t="n">
        <v>4.25</v>
      </c>
      <c r="U217" s="70">
        <f>IF($A217="","",IFERROR(INDEX('Techniciens'!$F$5:$F$44,MATCH(O217,'Techniciens'!$B$5:$B$44,0)),'Paramètres'!$AA$10))</f>
        <v/>
      </c>
      <c r="V217" s="70">
        <f>IF($A217="","",IF(OR(AC217="Demandé",AC217="Planifié",AC217="Annulé"),0,N(T217)*N(U217)))</f>
        <v/>
      </c>
      <c r="W217" s="70">
        <f>IF($A217="","",SUMIFS('Mouvements stock'!$H$5:$H$3004,'Mouvements stock'!$I$5:$I$3004,$A217,'Mouvements stock'!$C$5:$C$3004,"Sortie")-SUMIFS('Mouvements stock'!$H$5:$H$3004,'Mouvements stock'!$I$5:$I$3004,$A217,'Mouvements stock'!$C$5:$C$3004,"Retour"))</f>
        <v/>
      </c>
      <c r="X217" s="66" t="n">
        <v>0</v>
      </c>
      <c r="Y217" s="66" t="n">
        <v>0</v>
      </c>
      <c r="Z217" s="7" t="n"/>
      <c r="AA217" s="70">
        <f>IF($A217="","",N(V217)+N(W217)+N(X217)+N(Y217))</f>
        <v/>
      </c>
      <c r="AB217" s="70">
        <f>IF($A217="","",N(S217)*'Paramètres'!$AA$9*IFERROR(INDEX('Paramètres'!$O$5:$O$7,MATCH(G217,'Paramètres'!$N$5:$N$7,0)),0))</f>
        <v/>
      </c>
      <c r="AC217" s="7" t="inlineStr">
        <is>
          <t>Clôturé</t>
        </is>
      </c>
      <c r="AD217" s="69">
        <f>IF(OR($A217="",Q217=""),"",(Q217-B217)*24)</f>
        <v/>
      </c>
      <c r="AE217" s="69">
        <f>IF(OR(Q217="",R217=""),"",(R217-Q217)*24)</f>
        <v/>
      </c>
      <c r="AF217" s="77">
        <f>IF(OR($A217="",B217=""),"",YEAR(B217))</f>
        <v/>
      </c>
      <c r="AG217" s="77">
        <f>IF(OR($A217="",B217=""),"",MONTH(B217))</f>
        <v/>
      </c>
    </row>
    <row r="218">
      <c r="A218" s="7" t="inlineStr">
        <is>
          <t>OT-2025-0214</t>
        </is>
      </c>
      <c r="B218" s="75" t="n">
        <v>45756.72152777778</v>
      </c>
      <c r="C218" s="7" t="inlineStr">
        <is>
          <t>Ronde maintenance</t>
        </is>
      </c>
      <c r="D218" s="7" t="inlineStr">
        <is>
          <t>EQ-UTI-002</t>
        </is>
      </c>
      <c r="E218" s="9">
        <f>IF(D218="","",IFERROR(INDEX('Équipements'!$B$5:$B$304,MATCH(D218,'Équipements'!$A$5:$A$304,0)),"Code inconnu"))</f>
        <v/>
      </c>
      <c r="F218" s="9">
        <f>IF(D218="","",IFERROR(INDEX('Équipements'!$D$5:$D$304,MATCH(D218,'Équipements'!$A$5:$A$304,0)),""))</f>
        <v/>
      </c>
      <c r="G218" s="9">
        <f>IF(D218="","",IFERROR(INDEX('Équipements'!$K$5:$K$304,MATCH(D218,'Équipements'!$A$5:$A$304,0)),""))</f>
        <v/>
      </c>
      <c r="H218" s="7" t="inlineStr">
        <is>
          <t>Correctif</t>
        </is>
      </c>
      <c r="I218" s="7" t="n"/>
      <c r="J218" s="7" t="inlineStr">
        <is>
          <t>Pneumatique</t>
        </is>
      </c>
      <c r="K218" s="7" t="inlineStr">
        <is>
          <t>P3 - Normale</t>
        </is>
      </c>
      <c r="L218" s="7" t="inlineStr">
        <is>
          <t>Fuite d'air importante sur réseau</t>
        </is>
      </c>
      <c r="M218" s="7" t="inlineStr">
        <is>
          <t>Fuite</t>
        </is>
      </c>
      <c r="N218" s="7" t="inlineStr">
        <is>
          <t>Recherche de fuites aux ultrasons, remplacement raccords</t>
        </is>
      </c>
      <c r="O218" s="7" t="inlineStr">
        <is>
          <t>Julien Moreau</t>
        </is>
      </c>
      <c r="P218" s="65" t="n"/>
      <c r="Q218" s="75" t="n">
        <v>45758.01041666666</v>
      </c>
      <c r="R218" s="75" t="n">
        <v>45758.09375</v>
      </c>
      <c r="S218" s="76" t="n">
        <v>0</v>
      </c>
      <c r="T218" s="76" t="n">
        <v>2</v>
      </c>
      <c r="U218" s="70">
        <f>IF($A218="","",IFERROR(INDEX('Techniciens'!$F$5:$F$44,MATCH(O218,'Techniciens'!$B$5:$B$44,0)),'Paramètres'!$AA$10))</f>
        <v/>
      </c>
      <c r="V218" s="70">
        <f>IF($A218="","",IF(OR(AC218="Demandé",AC218="Planifié",AC218="Annulé"),0,N(T218)*N(U218)))</f>
        <v/>
      </c>
      <c r="W218" s="70">
        <f>IF($A218="","",SUMIFS('Mouvements stock'!$H$5:$H$3004,'Mouvements stock'!$I$5:$I$3004,$A218,'Mouvements stock'!$C$5:$C$3004,"Sortie")-SUMIFS('Mouvements stock'!$H$5:$H$3004,'Mouvements stock'!$I$5:$I$3004,$A218,'Mouvements stock'!$C$5:$C$3004,"Retour"))</f>
        <v/>
      </c>
      <c r="X218" s="66" t="n">
        <v>0</v>
      </c>
      <c r="Y218" s="66" t="n">
        <v>0</v>
      </c>
      <c r="Z218" s="7" t="n"/>
      <c r="AA218" s="70">
        <f>IF($A218="","",N(V218)+N(W218)+N(X218)+N(Y218))</f>
        <v/>
      </c>
      <c r="AB218" s="70">
        <f>IF($A218="","",N(S218)*'Paramètres'!$AA$9*IFERROR(INDEX('Paramètres'!$O$5:$O$7,MATCH(G218,'Paramètres'!$N$5:$N$7,0)),0))</f>
        <v/>
      </c>
      <c r="AC218" s="7" t="inlineStr">
        <is>
          <t>Clôturé</t>
        </is>
      </c>
      <c r="AD218" s="69">
        <f>IF(OR($A218="",Q218=""),"",(Q218-B218)*24)</f>
        <v/>
      </c>
      <c r="AE218" s="69">
        <f>IF(OR(Q218="",R218=""),"",(R218-Q218)*24)</f>
        <v/>
      </c>
      <c r="AF218" s="77">
        <f>IF(OR($A218="",B218=""),"",YEAR(B218))</f>
        <v/>
      </c>
      <c r="AG218" s="77">
        <f>IF(OR($A218="",B218=""),"",MONTH(B218))</f>
        <v/>
      </c>
    </row>
    <row r="219">
      <c r="A219" s="7" t="inlineStr">
        <is>
          <t>OT-2025-0215</t>
        </is>
      </c>
      <c r="B219" s="75" t="n">
        <v>45757.36458333334</v>
      </c>
      <c r="C219" s="7" t="inlineStr">
        <is>
          <t>Plan préventif</t>
        </is>
      </c>
      <c r="D219" s="7" t="inlineStr">
        <is>
          <t>EQ-SOU-001</t>
        </is>
      </c>
      <c r="E219" s="9">
        <f>IF(D219="","",IFERROR(INDEX('Équipements'!$B$5:$B$304,MATCH(D219,'Équipements'!$A$5:$A$304,0)),"Code inconnu"))</f>
        <v/>
      </c>
      <c r="F219" s="9">
        <f>IF(D219="","",IFERROR(INDEX('Équipements'!$D$5:$D$304,MATCH(D219,'Équipements'!$A$5:$A$304,0)),""))</f>
        <v/>
      </c>
      <c r="G219" s="9">
        <f>IF(D219="","",IFERROR(INDEX('Équipements'!$K$5:$K$304,MATCH(D219,'Équipements'!$A$5:$A$304,0)),""))</f>
        <v/>
      </c>
      <c r="H219" s="7" t="inlineStr">
        <is>
          <t>Préventif systématique</t>
        </is>
      </c>
      <c r="I219" s="7" t="inlineStr">
        <is>
          <t>GP-058</t>
        </is>
      </c>
      <c r="J219" s="7" t="inlineStr">
        <is>
          <t>Mécanique</t>
        </is>
      </c>
      <c r="K219" s="7" t="inlineStr">
        <is>
          <t>P3 - Normale</t>
        </is>
      </c>
      <c r="L219" s="7" t="inlineStr">
        <is>
          <t>Nettoyage torche et contrôle faisceau</t>
        </is>
      </c>
      <c r="M219" s="7" t="n"/>
      <c r="N219" s="7" t="inlineStr">
        <is>
          <t>Gamme réalisée - RAS</t>
        </is>
      </c>
      <c r="O219" s="7" t="inlineStr">
        <is>
          <t>Lucas Fontaine</t>
        </is>
      </c>
      <c r="P219" s="65" t="n">
        <v>45764.62847222222</v>
      </c>
      <c r="Q219" s="75" t="n">
        <v>45764.26041666666</v>
      </c>
      <c r="R219" s="75" t="n">
        <v>45764.29166666666</v>
      </c>
      <c r="S219" s="76" t="n">
        <v>0.4</v>
      </c>
      <c r="T219" s="76" t="n">
        <v>0.75</v>
      </c>
      <c r="U219" s="70">
        <f>IF($A219="","",IFERROR(INDEX('Techniciens'!$F$5:$F$44,MATCH(O219,'Techniciens'!$B$5:$B$44,0)),'Paramètres'!$AA$10))</f>
        <v/>
      </c>
      <c r="V219" s="70">
        <f>IF($A219="","",IF(OR(AC219="Demandé",AC219="Planifié",AC219="Annulé"),0,N(T219)*N(U219)))</f>
        <v/>
      </c>
      <c r="W219" s="70">
        <f>IF($A219="","",SUMIFS('Mouvements stock'!$H$5:$H$3004,'Mouvements stock'!$I$5:$I$3004,$A219,'Mouvements stock'!$C$5:$C$3004,"Sortie")-SUMIFS('Mouvements stock'!$H$5:$H$3004,'Mouvements stock'!$I$5:$I$3004,$A219,'Mouvements stock'!$C$5:$C$3004,"Retour"))</f>
        <v/>
      </c>
      <c r="X219" s="66" t="n">
        <v>0</v>
      </c>
      <c r="Y219" s="66" t="n">
        <v>0</v>
      </c>
      <c r="Z219" s="7" t="n"/>
      <c r="AA219" s="70">
        <f>IF($A219="","",N(V219)+N(W219)+N(X219)+N(Y219))</f>
        <v/>
      </c>
      <c r="AB219" s="70">
        <f>IF($A219="","",N(S219)*'Paramètres'!$AA$9*IFERROR(INDEX('Paramètres'!$O$5:$O$7,MATCH(G219,'Paramètres'!$N$5:$N$7,0)),0))</f>
        <v/>
      </c>
      <c r="AC219" s="7" t="inlineStr">
        <is>
          <t>Clôturé</t>
        </is>
      </c>
      <c r="AD219" s="69">
        <f>IF(OR($A219="",Q219=""),"",(Q219-B219)*24)</f>
        <v/>
      </c>
      <c r="AE219" s="69">
        <f>IF(OR(Q219="",R219=""),"",(R219-Q219)*24)</f>
        <v/>
      </c>
      <c r="AF219" s="77">
        <f>IF(OR($A219="",B219=""),"",YEAR(B219))</f>
        <v/>
      </c>
      <c r="AG219" s="77">
        <f>IF(OR($A219="",B219=""),"",MONTH(B219))</f>
        <v/>
      </c>
    </row>
    <row r="220">
      <c r="A220" s="7" t="inlineStr">
        <is>
          <t>OT-2025-0216</t>
        </is>
      </c>
      <c r="B220" s="75" t="n">
        <v>45757.375</v>
      </c>
      <c r="C220" s="7" t="inlineStr">
        <is>
          <t>Plan préventif</t>
        </is>
      </c>
      <c r="D220" s="7" t="inlineStr">
        <is>
          <t>EQ-USI-005</t>
        </is>
      </c>
      <c r="E220" s="9">
        <f>IF(D220="","",IFERROR(INDEX('Équipements'!$B$5:$B$304,MATCH(D220,'Équipements'!$A$5:$A$304,0)),"Code inconnu"))</f>
        <v/>
      </c>
      <c r="F220" s="9">
        <f>IF(D220="","",IFERROR(INDEX('Équipements'!$D$5:$D$304,MATCH(D220,'Équipements'!$A$5:$A$304,0)),""))</f>
        <v/>
      </c>
      <c r="G220" s="9">
        <f>IF(D220="","",IFERROR(INDEX('Équipements'!$K$5:$K$304,MATCH(D220,'Équipements'!$A$5:$A$304,0)),""))</f>
        <v/>
      </c>
      <c r="H220" s="7" t="inlineStr">
        <is>
          <t>Préventif systématique</t>
        </is>
      </c>
      <c r="I220" s="7" t="inlineStr">
        <is>
          <t>GP-017</t>
        </is>
      </c>
      <c r="J220" s="7" t="inlineStr">
        <is>
          <t>Mécanique</t>
        </is>
      </c>
      <c r="K220" s="7" t="inlineStr">
        <is>
          <t>P3 - Normale</t>
        </is>
      </c>
      <c r="L220" s="7" t="inlineStr">
        <is>
          <t>Contrôle niveaux, nettoyage filtres et bac à copeaux</t>
        </is>
      </c>
      <c r="M220" s="7" t="n"/>
      <c r="N220" s="7" t="inlineStr">
        <is>
          <t>Gamme réalisée - RAS</t>
        </is>
      </c>
      <c r="O220" s="7" t="inlineStr">
        <is>
          <t>Karim Benali</t>
        </is>
      </c>
      <c r="P220" s="65" t="n">
        <v>45764.44097222222</v>
      </c>
      <c r="Q220" s="75" t="n">
        <v>45764.42708333334</v>
      </c>
      <c r="R220" s="75" t="n">
        <v>45764.5</v>
      </c>
      <c r="S220" s="76" t="n">
        <v>0.9</v>
      </c>
      <c r="T220" s="76" t="n">
        <v>1.75</v>
      </c>
      <c r="U220" s="70">
        <f>IF($A220="","",IFERROR(INDEX('Techniciens'!$F$5:$F$44,MATCH(O220,'Techniciens'!$B$5:$B$44,0)),'Paramètres'!$AA$10))</f>
        <v/>
      </c>
      <c r="V220" s="70">
        <f>IF($A220="","",IF(OR(AC220="Demandé",AC220="Planifié",AC220="Annulé"),0,N(T220)*N(U220)))</f>
        <v/>
      </c>
      <c r="W220" s="70">
        <f>IF($A220="","",SUMIFS('Mouvements stock'!$H$5:$H$3004,'Mouvements stock'!$I$5:$I$3004,$A220,'Mouvements stock'!$C$5:$C$3004,"Sortie")-SUMIFS('Mouvements stock'!$H$5:$H$3004,'Mouvements stock'!$I$5:$I$3004,$A220,'Mouvements stock'!$C$5:$C$3004,"Retour"))</f>
        <v/>
      </c>
      <c r="X220" s="66" t="n">
        <v>0</v>
      </c>
      <c r="Y220" s="66" t="n">
        <v>0</v>
      </c>
      <c r="Z220" s="7" t="n"/>
      <c r="AA220" s="70">
        <f>IF($A220="","",N(V220)+N(W220)+N(X220)+N(Y220))</f>
        <v/>
      </c>
      <c r="AB220" s="70">
        <f>IF($A220="","",N(S220)*'Paramètres'!$AA$9*IFERROR(INDEX('Paramètres'!$O$5:$O$7,MATCH(G220,'Paramètres'!$N$5:$N$7,0)),0))</f>
        <v/>
      </c>
      <c r="AC220" s="7" t="inlineStr">
        <is>
          <t>Clôturé</t>
        </is>
      </c>
      <c r="AD220" s="69">
        <f>IF(OR($A220="",Q220=""),"",(Q220-B220)*24)</f>
        <v/>
      </c>
      <c r="AE220" s="69">
        <f>IF(OR(Q220="",R220=""),"",(R220-Q220)*24)</f>
        <v/>
      </c>
      <c r="AF220" s="77">
        <f>IF(OR($A220="",B220=""),"",YEAR(B220))</f>
        <v/>
      </c>
      <c r="AG220" s="77">
        <f>IF(OR($A220="",B220=""),"",MONTH(B220))</f>
        <v/>
      </c>
    </row>
    <row r="221">
      <c r="A221" s="7" t="inlineStr">
        <is>
          <t>OT-2025-0217</t>
        </is>
      </c>
      <c r="B221" s="75" t="n">
        <v>45757.375</v>
      </c>
      <c r="C221" s="7" t="inlineStr">
        <is>
          <t>Plan préventif</t>
        </is>
      </c>
      <c r="D221" s="7" t="inlineStr">
        <is>
          <t>EQ-UTI-001</t>
        </is>
      </c>
      <c r="E221" s="9">
        <f>IF(D221="","",IFERROR(INDEX('Équipements'!$B$5:$B$304,MATCH(D221,'Équipements'!$A$5:$A$304,0)),"Code inconnu"))</f>
        <v/>
      </c>
      <c r="F221" s="9">
        <f>IF(D221="","",IFERROR(INDEX('Équipements'!$D$5:$D$304,MATCH(D221,'Équipements'!$A$5:$A$304,0)),""))</f>
        <v/>
      </c>
      <c r="G221" s="9">
        <f>IF(D221="","",IFERROR(INDEX('Équipements'!$K$5:$K$304,MATCH(D221,'Équipements'!$A$5:$A$304,0)),""))</f>
        <v/>
      </c>
      <c r="H221" s="7" t="inlineStr">
        <is>
          <t>Préventif systématique</t>
        </is>
      </c>
      <c r="I221" s="7" t="inlineStr">
        <is>
          <t>GP-088</t>
        </is>
      </c>
      <c r="J221" s="7" t="inlineStr">
        <is>
          <t>Pneumatique</t>
        </is>
      </c>
      <c r="K221" s="7" t="inlineStr">
        <is>
          <t>P3 - Normale</t>
        </is>
      </c>
      <c r="L221" s="7" t="inlineStr">
        <is>
          <t>Purge, contrôle fuites et point de rosée</t>
        </is>
      </c>
      <c r="M221" s="7" t="n"/>
      <c r="N221" s="7" t="inlineStr">
        <is>
          <t>Gamme réalisée - RAS</t>
        </is>
      </c>
      <c r="O221" s="7" t="inlineStr">
        <is>
          <t>Julien Moreau</t>
        </is>
      </c>
      <c r="P221" s="65" t="n">
        <v>45764.65625</v>
      </c>
      <c r="Q221" s="75" t="n">
        <v>45764.31944444445</v>
      </c>
      <c r="R221" s="75" t="n">
        <v>45764.37152777778</v>
      </c>
      <c r="S221" s="76" t="n">
        <v>0</v>
      </c>
      <c r="T221" s="76" t="n">
        <v>1.25</v>
      </c>
      <c r="U221" s="70">
        <f>IF($A221="","",IFERROR(INDEX('Techniciens'!$F$5:$F$44,MATCH(O221,'Techniciens'!$B$5:$B$44,0)),'Paramètres'!$AA$10))</f>
        <v/>
      </c>
      <c r="V221" s="70">
        <f>IF($A221="","",IF(OR(AC221="Demandé",AC221="Planifié",AC221="Annulé"),0,N(T221)*N(U221)))</f>
        <v/>
      </c>
      <c r="W221" s="70">
        <f>IF($A221="","",SUMIFS('Mouvements stock'!$H$5:$H$3004,'Mouvements stock'!$I$5:$I$3004,$A221,'Mouvements stock'!$C$5:$C$3004,"Sortie")-SUMIFS('Mouvements stock'!$H$5:$H$3004,'Mouvements stock'!$I$5:$I$3004,$A221,'Mouvements stock'!$C$5:$C$3004,"Retour"))</f>
        <v/>
      </c>
      <c r="X221" s="66" t="n">
        <v>0</v>
      </c>
      <c r="Y221" s="66" t="n">
        <v>0</v>
      </c>
      <c r="Z221" s="7" t="n"/>
      <c r="AA221" s="70">
        <f>IF($A221="","",N(V221)+N(W221)+N(X221)+N(Y221))</f>
        <v/>
      </c>
      <c r="AB221" s="70">
        <f>IF($A221="","",N(S221)*'Paramètres'!$AA$9*IFERROR(INDEX('Paramètres'!$O$5:$O$7,MATCH(G221,'Paramètres'!$N$5:$N$7,0)),0))</f>
        <v/>
      </c>
      <c r="AC221" s="7" t="inlineStr">
        <is>
          <t>Clôturé</t>
        </is>
      </c>
      <c r="AD221" s="69">
        <f>IF(OR($A221="",Q221=""),"",(Q221-B221)*24)</f>
        <v/>
      </c>
      <c r="AE221" s="69">
        <f>IF(OR(Q221="",R221=""),"",(R221-Q221)*24)</f>
        <v/>
      </c>
      <c r="AF221" s="77">
        <f>IF(OR($A221="",B221=""),"",YEAR(B221))</f>
        <v/>
      </c>
      <c r="AG221" s="77">
        <f>IF(OR($A221="",B221=""),"",MONTH(B221))</f>
        <v/>
      </c>
    </row>
    <row r="222">
      <c r="A222" s="7" t="inlineStr">
        <is>
          <t>OT-2025-0218</t>
        </is>
      </c>
      <c r="B222" s="75" t="n">
        <v>45757.39583333334</v>
      </c>
      <c r="C222" s="7" t="inlineStr">
        <is>
          <t>Plan préventif</t>
        </is>
      </c>
      <c r="D222" s="7" t="inlineStr">
        <is>
          <t>EQ-LOG-008</t>
        </is>
      </c>
      <c r="E222" s="9">
        <f>IF(D222="","",IFERROR(INDEX('Équipements'!$B$5:$B$304,MATCH(D222,'Équipements'!$A$5:$A$304,0)),"Code inconnu"))</f>
        <v/>
      </c>
      <c r="F222" s="9">
        <f>IF(D222="","",IFERROR(INDEX('Équipements'!$D$5:$D$304,MATCH(D222,'Équipements'!$A$5:$A$304,0)),""))</f>
        <v/>
      </c>
      <c r="G222" s="9">
        <f>IF(D222="","",IFERROR(INDEX('Équipements'!$K$5:$K$304,MATCH(D222,'Équipements'!$A$5:$A$304,0)),""))</f>
        <v/>
      </c>
      <c r="H222" s="7" t="inlineStr">
        <is>
          <t>Préventif systématique</t>
        </is>
      </c>
      <c r="I222" s="7" t="inlineStr">
        <is>
          <t>GP-119</t>
        </is>
      </c>
      <c r="J222" s="7" t="inlineStr">
        <is>
          <t>Mécanique</t>
        </is>
      </c>
      <c r="K222" s="7" t="inlineStr">
        <is>
          <t>P3 - Normale</t>
        </is>
      </c>
      <c r="L222" s="7" t="inlineStr">
        <is>
          <t>Contrôle câbles, crochets, freins et fins de course</t>
        </is>
      </c>
      <c r="M222" s="7" t="n"/>
      <c r="N222" s="7" t="inlineStr">
        <is>
          <t>Gamme réalisée - RAS</t>
        </is>
      </c>
      <c r="O222" s="7" t="inlineStr">
        <is>
          <t>Karim Benali</t>
        </is>
      </c>
      <c r="P222" s="65" t="n">
        <v>45764.5625</v>
      </c>
      <c r="Q222" s="75" t="n">
        <v>45764.28472222222</v>
      </c>
      <c r="R222" s="75" t="n">
        <v>45764.39930555555</v>
      </c>
      <c r="S222" s="76" t="n">
        <v>2.8</v>
      </c>
      <c r="T222" s="76" t="n">
        <v>2.75</v>
      </c>
      <c r="U222" s="70">
        <f>IF($A222="","",IFERROR(INDEX('Techniciens'!$F$5:$F$44,MATCH(O222,'Techniciens'!$B$5:$B$44,0)),'Paramètres'!$AA$10))</f>
        <v/>
      </c>
      <c r="V222" s="70">
        <f>IF($A222="","",IF(OR(AC222="Demandé",AC222="Planifié",AC222="Annulé"),0,N(T222)*N(U222)))</f>
        <v/>
      </c>
      <c r="W222" s="70">
        <f>IF($A222="","",SUMIFS('Mouvements stock'!$H$5:$H$3004,'Mouvements stock'!$I$5:$I$3004,$A222,'Mouvements stock'!$C$5:$C$3004,"Sortie")-SUMIFS('Mouvements stock'!$H$5:$H$3004,'Mouvements stock'!$I$5:$I$3004,$A222,'Mouvements stock'!$C$5:$C$3004,"Retour"))</f>
        <v/>
      </c>
      <c r="X222" s="66" t="n">
        <v>0</v>
      </c>
      <c r="Y222" s="66" t="n">
        <v>0</v>
      </c>
      <c r="Z222" s="7" t="n"/>
      <c r="AA222" s="70">
        <f>IF($A222="","",N(V222)+N(W222)+N(X222)+N(Y222))</f>
        <v/>
      </c>
      <c r="AB222" s="70">
        <f>IF($A222="","",N(S222)*'Paramètres'!$AA$9*IFERROR(INDEX('Paramètres'!$O$5:$O$7,MATCH(G222,'Paramètres'!$N$5:$N$7,0)),0))</f>
        <v/>
      </c>
      <c r="AC222" s="7" t="inlineStr">
        <is>
          <t>Clôturé</t>
        </is>
      </c>
      <c r="AD222" s="69">
        <f>IF(OR($A222="",Q222=""),"",(Q222-B222)*24)</f>
        <v/>
      </c>
      <c r="AE222" s="69">
        <f>IF(OR(Q222="",R222=""),"",(R222-Q222)*24)</f>
        <v/>
      </c>
      <c r="AF222" s="77">
        <f>IF(OR($A222="",B222=""),"",YEAR(B222))</f>
        <v/>
      </c>
      <c r="AG222" s="77">
        <f>IF(OR($A222="",B222=""),"",MONTH(B222))</f>
        <v/>
      </c>
    </row>
    <row r="223">
      <c r="A223" s="7" t="inlineStr">
        <is>
          <t>OT-2025-0219</t>
        </is>
      </c>
      <c r="B223" s="75" t="n">
        <v>45757.42569444444</v>
      </c>
      <c r="C223" s="7" t="inlineStr">
        <is>
          <t>Opérateur usinage</t>
        </is>
      </c>
      <c r="D223" s="7" t="inlineStr">
        <is>
          <t>EQ-USI-005</t>
        </is>
      </c>
      <c r="E223" s="9">
        <f>IF(D223="","",IFERROR(INDEX('Équipements'!$B$5:$B$304,MATCH(D223,'Équipements'!$A$5:$A$304,0)),"Code inconnu"))</f>
        <v/>
      </c>
      <c r="F223" s="9">
        <f>IF(D223="","",IFERROR(INDEX('Équipements'!$D$5:$D$304,MATCH(D223,'Équipements'!$A$5:$A$304,0)),""))</f>
        <v/>
      </c>
      <c r="G223" s="9">
        <f>IF(D223="","",IFERROR(INDEX('Équipements'!$K$5:$K$304,MATCH(D223,'Équipements'!$A$5:$A$304,0)),""))</f>
        <v/>
      </c>
      <c r="H223" s="7" t="inlineStr">
        <is>
          <t>Correctif</t>
        </is>
      </c>
      <c r="I223" s="7" t="n"/>
      <c r="J223" s="7" t="inlineStr">
        <is>
          <t>Électrique</t>
        </is>
      </c>
      <c r="K223" s="7" t="inlineStr">
        <is>
          <t>P2 - Haute</t>
        </is>
      </c>
      <c r="L223" s="7" t="inlineStr">
        <is>
          <t>Défaut ventilation armoire électrique</t>
        </is>
      </c>
      <c r="M223" s="7" t="inlineStr">
        <is>
          <t>Encrassement</t>
        </is>
      </c>
      <c r="N223" s="7" t="inlineStr">
        <is>
          <t>Nettoyage et remplacement ventilateur d'armoire</t>
        </is>
      </c>
      <c r="O223" s="7" t="inlineStr">
        <is>
          <t>Antoine Mercier</t>
        </is>
      </c>
      <c r="P223" s="65" t="n"/>
      <c r="Q223" s="75" t="n">
        <v>45757.66388888889</v>
      </c>
      <c r="R223" s="75" t="n">
        <v>45757.86180555556</v>
      </c>
      <c r="S223" s="76" t="n">
        <v>0</v>
      </c>
      <c r="T223" s="76" t="n">
        <v>4.75</v>
      </c>
      <c r="U223" s="70">
        <f>IF($A223="","",IFERROR(INDEX('Techniciens'!$F$5:$F$44,MATCH(O223,'Techniciens'!$B$5:$B$44,0)),'Paramètres'!$AA$10))</f>
        <v/>
      </c>
      <c r="V223" s="70">
        <f>IF($A223="","",IF(OR(AC223="Demandé",AC223="Planifié",AC223="Annulé"),0,N(T223)*N(U223)))</f>
        <v/>
      </c>
      <c r="W223" s="70">
        <f>IF($A223="","",SUMIFS('Mouvements stock'!$H$5:$H$3004,'Mouvements stock'!$I$5:$I$3004,$A223,'Mouvements stock'!$C$5:$C$3004,"Sortie")-SUMIFS('Mouvements stock'!$H$5:$H$3004,'Mouvements stock'!$I$5:$I$3004,$A223,'Mouvements stock'!$C$5:$C$3004,"Retour"))</f>
        <v/>
      </c>
      <c r="X223" s="66" t="n">
        <v>0</v>
      </c>
      <c r="Y223" s="66" t="n">
        <v>0</v>
      </c>
      <c r="Z223" s="7" t="n"/>
      <c r="AA223" s="70">
        <f>IF($A223="","",N(V223)+N(W223)+N(X223)+N(Y223))</f>
        <v/>
      </c>
      <c r="AB223" s="70">
        <f>IF($A223="","",N(S223)*'Paramètres'!$AA$9*IFERROR(INDEX('Paramètres'!$O$5:$O$7,MATCH(G223,'Paramètres'!$N$5:$N$7,0)),0))</f>
        <v/>
      </c>
      <c r="AC223" s="7" t="inlineStr">
        <is>
          <t>Clôturé</t>
        </is>
      </c>
      <c r="AD223" s="69">
        <f>IF(OR($A223="",Q223=""),"",(Q223-B223)*24)</f>
        <v/>
      </c>
      <c r="AE223" s="69">
        <f>IF(OR(Q223="",R223=""),"",(R223-Q223)*24)</f>
        <v/>
      </c>
      <c r="AF223" s="77">
        <f>IF(OR($A223="",B223=""),"",YEAR(B223))</f>
        <v/>
      </c>
      <c r="AG223" s="77">
        <f>IF(OR($A223="",B223=""),"",MONTH(B223))</f>
        <v/>
      </c>
    </row>
    <row r="224">
      <c r="A224" s="7" t="inlineStr">
        <is>
          <t>OT-2025-0220</t>
        </is>
      </c>
      <c r="B224" s="75" t="n">
        <v>45757.45138888889</v>
      </c>
      <c r="C224" s="7" t="inlineStr">
        <is>
          <t>Planning réglementaire</t>
        </is>
      </c>
      <c r="D224" s="7" t="inlineStr">
        <is>
          <t>EQ-ASS-002</t>
        </is>
      </c>
      <c r="E224" s="9">
        <f>IF(D224="","",IFERROR(INDEX('Équipements'!$B$5:$B$304,MATCH(D224,'Équipements'!$A$5:$A$304,0)),"Code inconnu"))</f>
        <v/>
      </c>
      <c r="F224" s="9">
        <f>IF(D224="","",IFERROR(INDEX('Équipements'!$D$5:$D$304,MATCH(D224,'Équipements'!$A$5:$A$304,0)),""))</f>
        <v/>
      </c>
      <c r="G224" s="9">
        <f>IF(D224="","",IFERROR(INDEX('Équipements'!$K$5:$K$304,MATCH(D224,'Équipements'!$A$5:$A$304,0)),""))</f>
        <v/>
      </c>
      <c r="H224" s="7" t="inlineStr">
        <is>
          <t>Réglementaire</t>
        </is>
      </c>
      <c r="I224" s="7" t="inlineStr">
        <is>
          <t>CR-012</t>
        </is>
      </c>
      <c r="J224" s="7" t="inlineStr">
        <is>
          <t>Multi-technique</t>
        </is>
      </c>
      <c r="K224" s="7" t="inlineStr">
        <is>
          <t>P2 - Haute</t>
        </is>
      </c>
      <c r="L224" s="7" t="inlineStr">
        <is>
          <t>Vérification périodique presse hydraulique</t>
        </is>
      </c>
      <c r="M224" s="7" t="n"/>
      <c r="N224" s="7" t="inlineStr">
        <is>
          <t>Contrôle réalisé - observations mineures au rapport</t>
        </is>
      </c>
      <c r="O224" s="7" t="inlineStr">
        <is>
          <t>Marc Lefèvre</t>
        </is>
      </c>
      <c r="P224" s="65" t="n">
        <v>45778</v>
      </c>
      <c r="Q224" s="75" t="n">
        <v>45778.51388888889</v>
      </c>
      <c r="R224" s="75" t="n">
        <v>45778.57638888889</v>
      </c>
      <c r="S224" s="76" t="n">
        <v>1</v>
      </c>
      <c r="T224" s="76" t="n">
        <v>1.5</v>
      </c>
      <c r="U224" s="70">
        <f>IF($A224="","",IFERROR(INDEX('Techniciens'!$F$5:$F$44,MATCH(O224,'Techniciens'!$B$5:$B$44,0)),'Paramètres'!$AA$10))</f>
        <v/>
      </c>
      <c r="V224" s="70">
        <f>IF($A224="","",IF(OR(AC224="Demandé",AC224="Planifié",AC224="Annulé"),0,N(T224)*N(U224)))</f>
        <v/>
      </c>
      <c r="W224" s="70">
        <f>IF($A224="","",SUMIFS('Mouvements stock'!$H$5:$H$3004,'Mouvements stock'!$I$5:$I$3004,$A224,'Mouvements stock'!$C$5:$C$3004,"Sortie")-SUMIFS('Mouvements stock'!$H$5:$H$3004,'Mouvements stock'!$I$5:$I$3004,$A224,'Mouvements stock'!$C$5:$C$3004,"Retour"))</f>
        <v/>
      </c>
      <c r="X224" s="66" t="n">
        <v>0</v>
      </c>
      <c r="Y224" s="66" t="n">
        <v>180</v>
      </c>
      <c r="Z224" s="7" t="inlineStr">
        <is>
          <t>CONTROLIS (organisme fictif)</t>
        </is>
      </c>
      <c r="AA224" s="70">
        <f>IF($A224="","",N(V224)+N(W224)+N(X224)+N(Y224))</f>
        <v/>
      </c>
      <c r="AB224" s="70">
        <f>IF($A224="","",N(S224)*'Paramètres'!$AA$9*IFERROR(INDEX('Paramètres'!$O$5:$O$7,MATCH(G224,'Paramètres'!$N$5:$N$7,0)),0))</f>
        <v/>
      </c>
      <c r="AC224" s="7" t="inlineStr">
        <is>
          <t>Clôturé</t>
        </is>
      </c>
      <c r="AD224" s="69">
        <f>IF(OR($A224="",Q224=""),"",(Q224-B224)*24)</f>
        <v/>
      </c>
      <c r="AE224" s="69">
        <f>IF(OR(Q224="",R224=""),"",(R224-Q224)*24)</f>
        <v/>
      </c>
      <c r="AF224" s="77">
        <f>IF(OR($A224="",B224=""),"",YEAR(B224))</f>
        <v/>
      </c>
      <c r="AG224" s="77">
        <f>IF(OR($A224="",B224=""),"",MONTH(B224))</f>
        <v/>
      </c>
    </row>
    <row r="225">
      <c r="A225" s="7" t="inlineStr">
        <is>
          <t>OT-2025-0221</t>
        </is>
      </c>
      <c r="B225" s="75" t="n">
        <v>45758.38541666666</v>
      </c>
      <c r="C225" s="7" t="inlineStr">
        <is>
          <t>Plan préventif</t>
        </is>
      </c>
      <c r="D225" s="7" t="inlineStr">
        <is>
          <t>EQ-PEI-002</t>
        </is>
      </c>
      <c r="E225" s="9">
        <f>IF(D225="","",IFERROR(INDEX('Équipements'!$B$5:$B$304,MATCH(D225,'Équipements'!$A$5:$A$304,0)),"Code inconnu"))</f>
        <v/>
      </c>
      <c r="F225" s="9">
        <f>IF(D225="","",IFERROR(INDEX('Équipements'!$D$5:$D$304,MATCH(D225,'Équipements'!$A$5:$A$304,0)),""))</f>
        <v/>
      </c>
      <c r="G225" s="9">
        <f>IF(D225="","",IFERROR(INDEX('Équipements'!$K$5:$K$304,MATCH(D225,'Équipements'!$A$5:$A$304,0)),""))</f>
        <v/>
      </c>
      <c r="H225" s="7" t="inlineStr">
        <is>
          <t>Préventif systématique</t>
        </is>
      </c>
      <c r="I225" s="7" t="inlineStr">
        <is>
          <t>GP-068</t>
        </is>
      </c>
      <c r="J225" s="7" t="inlineStr">
        <is>
          <t>Mécanique</t>
        </is>
      </c>
      <c r="K225" s="7" t="inlineStr">
        <is>
          <t>P3 - Normale</t>
        </is>
      </c>
      <c r="L225" s="7" t="inlineStr">
        <is>
          <t>Nettoyage et remplacement des filtres</t>
        </is>
      </c>
      <c r="M225" s="7" t="n"/>
      <c r="N225" s="7" t="inlineStr">
        <is>
          <t>Gamme réalisée - RAS</t>
        </is>
      </c>
      <c r="O225" s="7" t="inlineStr">
        <is>
          <t>Karim Benali</t>
        </is>
      </c>
      <c r="P225" s="65" t="n">
        <v>45765.61458333334</v>
      </c>
      <c r="Q225" s="75" t="n">
        <v>45765.4375</v>
      </c>
      <c r="R225" s="75" t="n">
        <v>45765.55208333334</v>
      </c>
      <c r="S225" s="76" t="n">
        <v>2.8</v>
      </c>
      <c r="T225" s="76" t="n">
        <v>2.75</v>
      </c>
      <c r="U225" s="70">
        <f>IF($A225="","",IFERROR(INDEX('Techniciens'!$F$5:$F$44,MATCH(O225,'Techniciens'!$B$5:$B$44,0)),'Paramètres'!$AA$10))</f>
        <v/>
      </c>
      <c r="V225" s="70">
        <f>IF($A225="","",IF(OR(AC225="Demandé",AC225="Planifié",AC225="Annulé"),0,N(T225)*N(U225)))</f>
        <v/>
      </c>
      <c r="W225" s="70">
        <f>IF($A225="","",SUMIFS('Mouvements stock'!$H$5:$H$3004,'Mouvements stock'!$I$5:$I$3004,$A225,'Mouvements stock'!$C$5:$C$3004,"Sortie")-SUMIFS('Mouvements stock'!$H$5:$H$3004,'Mouvements stock'!$I$5:$I$3004,$A225,'Mouvements stock'!$C$5:$C$3004,"Retour"))</f>
        <v/>
      </c>
      <c r="X225" s="66" t="n">
        <v>0</v>
      </c>
      <c r="Y225" s="66" t="n">
        <v>0</v>
      </c>
      <c r="Z225" s="7" t="n"/>
      <c r="AA225" s="70">
        <f>IF($A225="","",N(V225)+N(W225)+N(X225)+N(Y225))</f>
        <v/>
      </c>
      <c r="AB225" s="70">
        <f>IF($A225="","",N(S225)*'Paramètres'!$AA$9*IFERROR(INDEX('Paramètres'!$O$5:$O$7,MATCH(G225,'Paramètres'!$N$5:$N$7,0)),0))</f>
        <v/>
      </c>
      <c r="AC225" s="7" t="inlineStr">
        <is>
          <t>Clôturé</t>
        </is>
      </c>
      <c r="AD225" s="69">
        <f>IF(OR($A225="",Q225=""),"",(Q225-B225)*24)</f>
        <v/>
      </c>
      <c r="AE225" s="69">
        <f>IF(OR(Q225="",R225=""),"",(R225-Q225)*24)</f>
        <v/>
      </c>
      <c r="AF225" s="77">
        <f>IF(OR($A225="",B225=""),"",YEAR(B225))</f>
        <v/>
      </c>
      <c r="AG225" s="77">
        <f>IF(OR($A225="",B225=""),"",MONTH(B225))</f>
        <v/>
      </c>
    </row>
    <row r="226">
      <c r="A226" s="7" t="inlineStr">
        <is>
          <t>OT-2025-0222</t>
        </is>
      </c>
      <c r="B226" s="75" t="n">
        <v>45758.38888888889</v>
      </c>
      <c r="C226" s="7" t="inlineStr">
        <is>
          <t>Opérateur tôlerie</t>
        </is>
      </c>
      <c r="D226" s="7" t="inlineStr">
        <is>
          <t>EQ-TOL-003</t>
        </is>
      </c>
      <c r="E226" s="9">
        <f>IF(D226="","",IFERROR(INDEX('Équipements'!$B$5:$B$304,MATCH(D226,'Équipements'!$A$5:$A$304,0)),"Code inconnu"))</f>
        <v/>
      </c>
      <c r="F226" s="9">
        <f>IF(D226="","",IFERROR(INDEX('Équipements'!$D$5:$D$304,MATCH(D226,'Équipements'!$A$5:$A$304,0)),""))</f>
        <v/>
      </c>
      <c r="G226" s="9">
        <f>IF(D226="","",IFERROR(INDEX('Équipements'!$K$5:$K$304,MATCH(D226,'Équipements'!$A$5:$A$304,0)),""))</f>
        <v/>
      </c>
      <c r="H226" s="7" t="inlineStr">
        <is>
          <t>Correctif</t>
        </is>
      </c>
      <c r="I226" s="7" t="n"/>
      <c r="J226" s="7" t="inlineStr">
        <is>
          <t>Hydraulique</t>
        </is>
      </c>
      <c r="K226" s="7" t="inlineStr">
        <is>
          <t>P3 - Normale</t>
        </is>
      </c>
      <c r="L226" s="7" t="inlineStr">
        <is>
          <t>Pompe hydraulique bruyante</t>
        </is>
      </c>
      <c r="M226" s="7" t="inlineStr">
        <is>
          <t>Usure</t>
        </is>
      </c>
      <c r="N226" s="7" t="inlineStr">
        <is>
          <t>Remplacement accouplement, contrôle débit pompe</t>
        </is>
      </c>
      <c r="O226" s="7" t="inlineStr">
        <is>
          <t>Karim Benali</t>
        </is>
      </c>
      <c r="P226" s="65" t="n"/>
      <c r="Q226" s="75" t="n">
        <v>45759.25902777778</v>
      </c>
      <c r="R226" s="75" t="n">
        <v>45759.55069444444</v>
      </c>
      <c r="S226" s="76" t="n">
        <v>0</v>
      </c>
      <c r="T226" s="76" t="n">
        <v>7</v>
      </c>
      <c r="U226" s="70">
        <f>IF($A226="","",IFERROR(INDEX('Techniciens'!$F$5:$F$44,MATCH(O226,'Techniciens'!$B$5:$B$44,0)),'Paramètres'!$AA$10))</f>
        <v/>
      </c>
      <c r="V226" s="70">
        <f>IF($A226="","",IF(OR(AC226="Demandé",AC226="Planifié",AC226="Annulé"),0,N(T226)*N(U226)))</f>
        <v/>
      </c>
      <c r="W226" s="70">
        <f>IF($A226="","",SUMIFS('Mouvements stock'!$H$5:$H$3004,'Mouvements stock'!$I$5:$I$3004,$A226,'Mouvements stock'!$C$5:$C$3004,"Sortie")-SUMIFS('Mouvements stock'!$H$5:$H$3004,'Mouvements stock'!$I$5:$I$3004,$A226,'Mouvements stock'!$C$5:$C$3004,"Retour"))</f>
        <v/>
      </c>
      <c r="X226" s="66" t="n">
        <v>0</v>
      </c>
      <c r="Y226" s="66" t="n">
        <v>820</v>
      </c>
      <c r="Z226" s="7" t="inlineStr">
        <is>
          <t>HydroFluid Services</t>
        </is>
      </c>
      <c r="AA226" s="70">
        <f>IF($A226="","",N(V226)+N(W226)+N(X226)+N(Y226))</f>
        <v/>
      </c>
      <c r="AB226" s="70">
        <f>IF($A226="","",N(S226)*'Paramètres'!$AA$9*IFERROR(INDEX('Paramètres'!$O$5:$O$7,MATCH(G226,'Paramètres'!$N$5:$N$7,0)),0))</f>
        <v/>
      </c>
      <c r="AC226" s="7" t="inlineStr">
        <is>
          <t>Clôturé</t>
        </is>
      </c>
      <c r="AD226" s="69">
        <f>IF(OR($A226="",Q226=""),"",(Q226-B226)*24)</f>
        <v/>
      </c>
      <c r="AE226" s="69">
        <f>IF(OR(Q226="",R226=""),"",(R226-Q226)*24)</f>
        <v/>
      </c>
      <c r="AF226" s="77">
        <f>IF(OR($A226="",B226=""),"",YEAR(B226))</f>
        <v/>
      </c>
      <c r="AG226" s="77">
        <f>IF(OR($A226="",B226=""),"",MONTH(B226))</f>
        <v/>
      </c>
    </row>
    <row r="227">
      <c r="A227" s="7" t="inlineStr">
        <is>
          <t>OT-2025-0223</t>
        </is>
      </c>
      <c r="B227" s="75" t="n">
        <v>45758.39583333334</v>
      </c>
      <c r="C227" s="7" t="inlineStr">
        <is>
          <t>Plan préventif</t>
        </is>
      </c>
      <c r="D227" s="7" t="inlineStr">
        <is>
          <t>EQ-SOU-001</t>
        </is>
      </c>
      <c r="E227" s="9">
        <f>IF(D227="","",IFERROR(INDEX('Équipements'!$B$5:$B$304,MATCH(D227,'Équipements'!$A$5:$A$304,0)),"Code inconnu"))</f>
        <v/>
      </c>
      <c r="F227" s="9">
        <f>IF(D227="","",IFERROR(INDEX('Équipements'!$D$5:$D$304,MATCH(D227,'Équipements'!$A$5:$A$304,0)),""))</f>
        <v/>
      </c>
      <c r="G227" s="9">
        <f>IF(D227="","",IFERROR(INDEX('Équipements'!$K$5:$K$304,MATCH(D227,'Équipements'!$A$5:$A$304,0)),""))</f>
        <v/>
      </c>
      <c r="H227" s="7" t="inlineStr">
        <is>
          <t>Préventif systématique</t>
        </is>
      </c>
      <c r="I227" s="7" t="inlineStr">
        <is>
          <t>GP-060</t>
        </is>
      </c>
      <c r="J227" s="7" t="inlineStr">
        <is>
          <t>Électrique</t>
        </is>
      </c>
      <c r="K227" s="7" t="inlineStr">
        <is>
          <t>P3 - Normale</t>
        </is>
      </c>
      <c r="L227" s="7" t="inlineStr">
        <is>
          <t>Remplacement batteries codeurs et sauvegarde</t>
        </is>
      </c>
      <c r="M227" s="7" t="n"/>
      <c r="N227" s="7" t="inlineStr">
        <is>
          <t>Gamme réalisée - RAS</t>
        </is>
      </c>
      <c r="O227" s="7" t="inlineStr">
        <is>
          <t>Antoine Mercier</t>
        </is>
      </c>
      <c r="P227" s="65" t="n">
        <v>45765</v>
      </c>
      <c r="Q227" s="75" t="n">
        <v>45765.61111111111</v>
      </c>
      <c r="R227" s="75" t="n">
        <v>45765.68402777778</v>
      </c>
      <c r="S227" s="76" t="n">
        <v>0</v>
      </c>
      <c r="T227" s="76" t="n">
        <v>1.75</v>
      </c>
      <c r="U227" s="70">
        <f>IF($A227="","",IFERROR(INDEX('Techniciens'!$F$5:$F$44,MATCH(O227,'Techniciens'!$B$5:$B$44,0)),'Paramètres'!$AA$10))</f>
        <v/>
      </c>
      <c r="V227" s="70">
        <f>IF($A227="","",IF(OR(AC227="Demandé",AC227="Planifié",AC227="Annulé"),0,N(T227)*N(U227)))</f>
        <v/>
      </c>
      <c r="W227" s="70">
        <f>IF($A227="","",SUMIFS('Mouvements stock'!$H$5:$H$3004,'Mouvements stock'!$I$5:$I$3004,$A227,'Mouvements stock'!$C$5:$C$3004,"Sortie")-SUMIFS('Mouvements stock'!$H$5:$H$3004,'Mouvements stock'!$I$5:$I$3004,$A227,'Mouvements stock'!$C$5:$C$3004,"Retour"))</f>
        <v/>
      </c>
      <c r="X227" s="66" t="n">
        <v>0</v>
      </c>
      <c r="Y227" s="66" t="n">
        <v>0</v>
      </c>
      <c r="Z227" s="7" t="n"/>
      <c r="AA227" s="70">
        <f>IF($A227="","",N(V227)+N(W227)+N(X227)+N(Y227))</f>
        <v/>
      </c>
      <c r="AB227" s="70">
        <f>IF($A227="","",N(S227)*'Paramètres'!$AA$9*IFERROR(INDEX('Paramètres'!$O$5:$O$7,MATCH(G227,'Paramètres'!$N$5:$N$7,0)),0))</f>
        <v/>
      </c>
      <c r="AC227" s="7" t="inlineStr">
        <is>
          <t>Clôturé</t>
        </is>
      </c>
      <c r="AD227" s="69">
        <f>IF(OR($A227="",Q227=""),"",(Q227-B227)*24)</f>
        <v/>
      </c>
      <c r="AE227" s="69">
        <f>IF(OR(Q227="",R227=""),"",(R227-Q227)*24)</f>
        <v/>
      </c>
      <c r="AF227" s="77">
        <f>IF(OR($A227="",B227=""),"",YEAR(B227))</f>
        <v/>
      </c>
      <c r="AG227" s="77">
        <f>IF(OR($A227="",B227=""),"",MONTH(B227))</f>
        <v/>
      </c>
    </row>
    <row r="228">
      <c r="A228" s="7" t="inlineStr">
        <is>
          <t>OT-2025-0224</t>
        </is>
      </c>
      <c r="B228" s="75" t="n">
        <v>45758.44791666666</v>
      </c>
      <c r="C228" s="7" t="inlineStr">
        <is>
          <t>Plan préventif</t>
        </is>
      </c>
      <c r="D228" s="7" t="inlineStr">
        <is>
          <t>EQ-USI-011</t>
        </is>
      </c>
      <c r="E228" s="9">
        <f>IF(D228="","",IFERROR(INDEX('Équipements'!$B$5:$B$304,MATCH(D228,'Équipements'!$A$5:$A$304,0)),"Code inconnu"))</f>
        <v/>
      </c>
      <c r="F228" s="9">
        <f>IF(D228="","",IFERROR(INDEX('Équipements'!$D$5:$D$304,MATCH(D228,'Équipements'!$A$5:$A$304,0)),""))</f>
        <v/>
      </c>
      <c r="G228" s="9">
        <f>IF(D228="","",IFERROR(INDEX('Équipements'!$K$5:$K$304,MATCH(D228,'Équipements'!$A$5:$A$304,0)),""))</f>
        <v/>
      </c>
      <c r="H228" s="7" t="inlineStr">
        <is>
          <t>Préventif systématique</t>
        </is>
      </c>
      <c r="I228" s="7" t="inlineStr">
        <is>
          <t>GP-034</t>
        </is>
      </c>
      <c r="J228" s="7" t="inlineStr">
        <is>
          <t>Mécanique</t>
        </is>
      </c>
      <c r="K228" s="7" t="inlineStr">
        <is>
          <t>P3 - Normale</t>
        </is>
      </c>
      <c r="L228" s="7" t="inlineStr">
        <is>
          <t>Graissage et contrôle général</t>
        </is>
      </c>
      <c r="M228" s="7" t="n"/>
      <c r="N228" s="7" t="inlineStr">
        <is>
          <t>Gamme réalisée - RAS</t>
        </is>
      </c>
      <c r="O228" s="7" t="inlineStr">
        <is>
          <t>Karim Benali</t>
        </is>
      </c>
      <c r="P228" s="65" t="n">
        <v>45765</v>
      </c>
      <c r="Q228" s="75" t="n">
        <v>45765.28125</v>
      </c>
      <c r="R228" s="75" t="n">
        <v>45765.33333333334</v>
      </c>
      <c r="S228" s="76" t="n">
        <v>1.2</v>
      </c>
      <c r="T228" s="76" t="n">
        <v>1.25</v>
      </c>
      <c r="U228" s="70">
        <f>IF($A228="","",IFERROR(INDEX('Techniciens'!$F$5:$F$44,MATCH(O228,'Techniciens'!$B$5:$B$44,0)),'Paramètres'!$AA$10))</f>
        <v/>
      </c>
      <c r="V228" s="70">
        <f>IF($A228="","",IF(OR(AC228="Demandé",AC228="Planifié",AC228="Annulé"),0,N(T228)*N(U228)))</f>
        <v/>
      </c>
      <c r="W228" s="70">
        <f>IF($A228="","",SUMIFS('Mouvements stock'!$H$5:$H$3004,'Mouvements stock'!$I$5:$I$3004,$A228,'Mouvements stock'!$C$5:$C$3004,"Sortie")-SUMIFS('Mouvements stock'!$H$5:$H$3004,'Mouvements stock'!$I$5:$I$3004,$A228,'Mouvements stock'!$C$5:$C$3004,"Retour"))</f>
        <v/>
      </c>
      <c r="X228" s="66" t="n">
        <v>0</v>
      </c>
      <c r="Y228" s="66" t="n">
        <v>0</v>
      </c>
      <c r="Z228" s="7" t="n"/>
      <c r="AA228" s="70">
        <f>IF($A228="","",N(V228)+N(W228)+N(X228)+N(Y228))</f>
        <v/>
      </c>
      <c r="AB228" s="70">
        <f>IF($A228="","",N(S228)*'Paramètres'!$AA$9*IFERROR(INDEX('Paramètres'!$O$5:$O$7,MATCH(G228,'Paramètres'!$N$5:$N$7,0)),0))</f>
        <v/>
      </c>
      <c r="AC228" s="7" t="inlineStr">
        <is>
          <t>Clôturé</t>
        </is>
      </c>
      <c r="AD228" s="69">
        <f>IF(OR($A228="",Q228=""),"",(Q228-B228)*24)</f>
        <v/>
      </c>
      <c r="AE228" s="69">
        <f>IF(OR(Q228="",R228=""),"",(R228-Q228)*24)</f>
        <v/>
      </c>
      <c r="AF228" s="77">
        <f>IF(OR($A228="",B228=""),"",YEAR(B228))</f>
        <v/>
      </c>
      <c r="AG228" s="77">
        <f>IF(OR($A228="",B228=""),"",MONTH(B228))</f>
        <v/>
      </c>
    </row>
    <row r="229">
      <c r="A229" s="7" t="inlineStr">
        <is>
          <t>OT-2025-0225</t>
        </is>
      </c>
      <c r="B229" s="75" t="n">
        <v>45758.48611111111</v>
      </c>
      <c r="C229" s="7" t="inlineStr">
        <is>
          <t>Plan préventif</t>
        </is>
      </c>
      <c r="D229" s="7" t="inlineStr">
        <is>
          <t>EQ-ASS-005</t>
        </is>
      </c>
      <c r="E229" s="9">
        <f>IF(D229="","",IFERROR(INDEX('Équipements'!$B$5:$B$304,MATCH(D229,'Équipements'!$A$5:$A$304,0)),"Code inconnu"))</f>
        <v/>
      </c>
      <c r="F229" s="9">
        <f>IF(D229="","",IFERROR(INDEX('Équipements'!$D$5:$D$304,MATCH(D229,'Équipements'!$A$5:$A$304,0)),""))</f>
        <v/>
      </c>
      <c r="G229" s="9">
        <f>IF(D229="","",IFERROR(INDEX('Équipements'!$K$5:$K$304,MATCH(D229,'Équipements'!$A$5:$A$304,0)),""))</f>
        <v/>
      </c>
      <c r="H229" s="7" t="inlineStr">
        <is>
          <t>Préventif systématique</t>
        </is>
      </c>
      <c r="I229" s="7" t="inlineStr">
        <is>
          <t>GP-084</t>
        </is>
      </c>
      <c r="J229" s="7" t="inlineStr">
        <is>
          <t>Automatisme</t>
        </is>
      </c>
      <c r="K229" s="7" t="inlineStr">
        <is>
          <t>P3 - Normale</t>
        </is>
      </c>
      <c r="L229" s="7" t="inlineStr">
        <is>
          <t>Contrôle, nettoyage et sauvegarde programmes</t>
        </is>
      </c>
      <c r="M229" s="7" t="n"/>
      <c r="N229" s="7" t="inlineStr">
        <is>
          <t>Gamme réalisée - RAS</t>
        </is>
      </c>
      <c r="O229" s="7" t="inlineStr">
        <is>
          <t>Sophie Garnier</t>
        </is>
      </c>
      <c r="P229" s="65" t="n">
        <v>45765</v>
      </c>
      <c r="Q229" s="75" t="n">
        <v>45765.26041666666</v>
      </c>
      <c r="R229" s="75" t="n">
        <v>45765.33333333334</v>
      </c>
      <c r="S229" s="76" t="n">
        <v>0</v>
      </c>
      <c r="T229" s="76" t="n">
        <v>1.75</v>
      </c>
      <c r="U229" s="70">
        <f>IF($A229="","",IFERROR(INDEX('Techniciens'!$F$5:$F$44,MATCH(O229,'Techniciens'!$B$5:$B$44,0)),'Paramètres'!$AA$10))</f>
        <v/>
      </c>
      <c r="V229" s="70">
        <f>IF($A229="","",IF(OR(AC229="Demandé",AC229="Planifié",AC229="Annulé"),0,N(T229)*N(U229)))</f>
        <v/>
      </c>
      <c r="W229" s="70">
        <f>IF($A229="","",SUMIFS('Mouvements stock'!$H$5:$H$3004,'Mouvements stock'!$I$5:$I$3004,$A229,'Mouvements stock'!$C$5:$C$3004,"Sortie")-SUMIFS('Mouvements stock'!$H$5:$H$3004,'Mouvements stock'!$I$5:$I$3004,$A229,'Mouvements stock'!$C$5:$C$3004,"Retour"))</f>
        <v/>
      </c>
      <c r="X229" s="66" t="n">
        <v>0</v>
      </c>
      <c r="Y229" s="66" t="n">
        <v>0</v>
      </c>
      <c r="Z229" s="7" t="n"/>
      <c r="AA229" s="70">
        <f>IF($A229="","",N(V229)+N(W229)+N(X229)+N(Y229))</f>
        <v/>
      </c>
      <c r="AB229" s="70">
        <f>IF($A229="","",N(S229)*'Paramètres'!$AA$9*IFERROR(INDEX('Paramètres'!$O$5:$O$7,MATCH(G229,'Paramètres'!$N$5:$N$7,0)),0))</f>
        <v/>
      </c>
      <c r="AC229" s="7" t="inlineStr">
        <is>
          <t>Clôturé</t>
        </is>
      </c>
      <c r="AD229" s="69">
        <f>IF(OR($A229="",Q229=""),"",(Q229-B229)*24)</f>
        <v/>
      </c>
      <c r="AE229" s="69">
        <f>IF(OR(Q229="",R229=""),"",(R229-Q229)*24)</f>
        <v/>
      </c>
      <c r="AF229" s="77">
        <f>IF(OR($A229="",B229=""),"",YEAR(B229))</f>
        <v/>
      </c>
      <c r="AG229" s="77">
        <f>IF(OR($A229="",B229=""),"",MONTH(B229))</f>
        <v/>
      </c>
    </row>
    <row r="230">
      <c r="A230" s="7" t="inlineStr">
        <is>
          <t>OT-2025-0226</t>
        </is>
      </c>
      <c r="B230" s="75" t="n">
        <v>45759.675</v>
      </c>
      <c r="C230" s="7" t="inlineStr">
        <is>
          <t>Opérateur peinture</t>
        </is>
      </c>
      <c r="D230" s="7" t="inlineStr">
        <is>
          <t>EQ-PEI-004</t>
        </is>
      </c>
      <c r="E230" s="9">
        <f>IF(D230="","",IFERROR(INDEX('Équipements'!$B$5:$B$304,MATCH(D230,'Équipements'!$A$5:$A$304,0)),"Code inconnu"))</f>
        <v/>
      </c>
      <c r="F230" s="9">
        <f>IF(D230="","",IFERROR(INDEX('Équipements'!$D$5:$D$304,MATCH(D230,'Équipements'!$A$5:$A$304,0)),""))</f>
        <v/>
      </c>
      <c r="G230" s="9">
        <f>IF(D230="","",IFERROR(INDEX('Équipements'!$K$5:$K$304,MATCH(D230,'Équipements'!$A$5:$A$304,0)),""))</f>
        <v/>
      </c>
      <c r="H230" s="7" t="inlineStr">
        <is>
          <t>Correctif</t>
        </is>
      </c>
      <c r="I230" s="7" t="n"/>
      <c r="J230" s="7" t="inlineStr">
        <is>
          <t>Mécanique</t>
        </is>
      </c>
      <c r="K230" s="7" t="inlineStr">
        <is>
          <t>P1 - Urgent</t>
        </is>
      </c>
      <c r="L230" s="7" t="inlineStr">
        <is>
          <t>Roulement de tambour bruyant</t>
        </is>
      </c>
      <c r="M230" s="7" t="inlineStr">
        <is>
          <t>Usure</t>
        </is>
      </c>
      <c r="N230" s="7" t="inlineStr">
        <is>
          <t>Remplacement roulements et palier</t>
        </is>
      </c>
      <c r="O230" s="7" t="inlineStr">
        <is>
          <t>Lucas Fontaine</t>
        </is>
      </c>
      <c r="P230" s="65" t="n"/>
      <c r="Q230" s="75" t="n">
        <v>45759.71180555555</v>
      </c>
      <c r="R230" s="75" t="n">
        <v>45759.99305555555</v>
      </c>
      <c r="S230" s="76" t="n">
        <v>0</v>
      </c>
      <c r="T230" s="76" t="n">
        <v>6.75</v>
      </c>
      <c r="U230" s="70">
        <f>IF($A230="","",IFERROR(INDEX('Techniciens'!$F$5:$F$44,MATCH(O230,'Techniciens'!$B$5:$B$44,0)),'Paramètres'!$AA$10))</f>
        <v/>
      </c>
      <c r="V230" s="70">
        <f>IF($A230="","",IF(OR(AC230="Demandé",AC230="Planifié",AC230="Annulé"),0,N(T230)*N(U230)))</f>
        <v/>
      </c>
      <c r="W230" s="70">
        <f>IF($A230="","",SUMIFS('Mouvements stock'!$H$5:$H$3004,'Mouvements stock'!$I$5:$I$3004,$A230,'Mouvements stock'!$C$5:$C$3004,"Sortie")-SUMIFS('Mouvements stock'!$H$5:$H$3004,'Mouvements stock'!$I$5:$I$3004,$A230,'Mouvements stock'!$C$5:$C$3004,"Retour"))</f>
        <v/>
      </c>
      <c r="X230" s="66" t="n">
        <v>0</v>
      </c>
      <c r="Y230" s="66" t="n">
        <v>0</v>
      </c>
      <c r="Z230" s="7" t="n"/>
      <c r="AA230" s="70">
        <f>IF($A230="","",N(V230)+N(W230)+N(X230)+N(Y230))</f>
        <v/>
      </c>
      <c r="AB230" s="70">
        <f>IF($A230="","",N(S230)*'Paramètres'!$AA$9*IFERROR(INDEX('Paramètres'!$O$5:$O$7,MATCH(G230,'Paramètres'!$N$5:$N$7,0)),0))</f>
        <v/>
      </c>
      <c r="AC230" s="7" t="inlineStr">
        <is>
          <t>Clôturé</t>
        </is>
      </c>
      <c r="AD230" s="69">
        <f>IF(OR($A230="",Q230=""),"",(Q230-B230)*24)</f>
        <v/>
      </c>
      <c r="AE230" s="69">
        <f>IF(OR(Q230="",R230=""),"",(R230-Q230)*24)</f>
        <v/>
      </c>
      <c r="AF230" s="77">
        <f>IF(OR($A230="",B230=""),"",YEAR(B230))</f>
        <v/>
      </c>
      <c r="AG230" s="77">
        <f>IF(OR($A230="",B230=""),"",MONTH(B230))</f>
        <v/>
      </c>
    </row>
    <row r="231">
      <c r="A231" s="7" t="inlineStr">
        <is>
          <t>OT-2025-0227</t>
        </is>
      </c>
      <c r="B231" s="75" t="n">
        <v>45761.375</v>
      </c>
      <c r="C231" s="7" t="inlineStr">
        <is>
          <t>Plan préventif</t>
        </is>
      </c>
      <c r="D231" s="7" t="inlineStr">
        <is>
          <t>EQ-USI-002</t>
        </is>
      </c>
      <c r="E231" s="9">
        <f>IF(D231="","",IFERROR(INDEX('Équipements'!$B$5:$B$304,MATCH(D231,'Équipements'!$A$5:$A$304,0)),"Code inconnu"))</f>
        <v/>
      </c>
      <c r="F231" s="9">
        <f>IF(D231="","",IFERROR(INDEX('Équipements'!$D$5:$D$304,MATCH(D231,'Équipements'!$A$5:$A$304,0)),""))</f>
        <v/>
      </c>
      <c r="G231" s="9">
        <f>IF(D231="","",IFERROR(INDEX('Équipements'!$K$5:$K$304,MATCH(D231,'Équipements'!$A$5:$A$304,0)),""))</f>
        <v/>
      </c>
      <c r="H231" s="7" t="inlineStr">
        <is>
          <t>Préventif systématique</t>
        </is>
      </c>
      <c r="I231" s="7" t="inlineStr">
        <is>
          <t>GP-005</t>
        </is>
      </c>
      <c r="J231" s="7" t="inlineStr">
        <is>
          <t>Mécanique</t>
        </is>
      </c>
      <c r="K231" s="7" t="inlineStr">
        <is>
          <t>P3 - Normale</t>
        </is>
      </c>
      <c r="L231" s="7" t="inlineStr">
        <is>
          <t>Contrôle niveaux, nettoyage filtres et bac à copeaux</t>
        </is>
      </c>
      <c r="M231" s="7" t="n"/>
      <c r="N231" s="7" t="inlineStr">
        <is>
          <t>Gamme réalisée - petite fuite corrigée</t>
        </is>
      </c>
      <c r="O231" s="7" t="inlineStr">
        <is>
          <t>Antoine Mercier</t>
        </is>
      </c>
      <c r="P231" s="65" t="n">
        <v>45768.65277777778</v>
      </c>
      <c r="Q231" s="75" t="n">
        <v>45768.27083333334</v>
      </c>
      <c r="R231" s="75" t="n">
        <v>45768.32291666666</v>
      </c>
      <c r="S231" s="76" t="n">
        <v>1.2</v>
      </c>
      <c r="T231" s="76" t="n">
        <v>1.25</v>
      </c>
      <c r="U231" s="70">
        <f>IF($A231="","",IFERROR(INDEX('Techniciens'!$F$5:$F$44,MATCH(O231,'Techniciens'!$B$5:$B$44,0)),'Paramètres'!$AA$10))</f>
        <v/>
      </c>
      <c r="V231" s="70">
        <f>IF($A231="","",IF(OR(AC231="Demandé",AC231="Planifié",AC231="Annulé"),0,N(T231)*N(U231)))</f>
        <v/>
      </c>
      <c r="W231" s="70">
        <f>IF($A231="","",SUMIFS('Mouvements stock'!$H$5:$H$3004,'Mouvements stock'!$I$5:$I$3004,$A231,'Mouvements stock'!$C$5:$C$3004,"Sortie")-SUMIFS('Mouvements stock'!$H$5:$H$3004,'Mouvements stock'!$I$5:$I$3004,$A231,'Mouvements stock'!$C$5:$C$3004,"Retour"))</f>
        <v/>
      </c>
      <c r="X231" s="66" t="n">
        <v>0</v>
      </c>
      <c r="Y231" s="66" t="n">
        <v>0</v>
      </c>
      <c r="Z231" s="7" t="n"/>
      <c r="AA231" s="70">
        <f>IF($A231="","",N(V231)+N(W231)+N(X231)+N(Y231))</f>
        <v/>
      </c>
      <c r="AB231" s="70">
        <f>IF($A231="","",N(S231)*'Paramètres'!$AA$9*IFERROR(INDEX('Paramètres'!$O$5:$O$7,MATCH(G231,'Paramètres'!$N$5:$N$7,0)),0))</f>
        <v/>
      </c>
      <c r="AC231" s="7" t="inlineStr">
        <is>
          <t>Clôturé</t>
        </is>
      </c>
      <c r="AD231" s="69">
        <f>IF(OR($A231="",Q231=""),"",(Q231-B231)*24)</f>
        <v/>
      </c>
      <c r="AE231" s="69">
        <f>IF(OR(Q231="",R231=""),"",(R231-Q231)*24)</f>
        <v/>
      </c>
      <c r="AF231" s="77">
        <f>IF(OR($A231="",B231=""),"",YEAR(B231))</f>
        <v/>
      </c>
      <c r="AG231" s="77">
        <f>IF(OR($A231="",B231=""),"",MONTH(B231))</f>
        <v/>
      </c>
    </row>
    <row r="232">
      <c r="A232" s="7" t="inlineStr">
        <is>
          <t>OT-2025-0228</t>
        </is>
      </c>
      <c r="B232" s="75" t="n">
        <v>45761.46527777778</v>
      </c>
      <c r="C232" s="7" t="inlineStr">
        <is>
          <t>Plan préventif</t>
        </is>
      </c>
      <c r="D232" s="7" t="inlineStr">
        <is>
          <t>EQ-PEI-004</t>
        </is>
      </c>
      <c r="E232" s="9">
        <f>IF(D232="","",IFERROR(INDEX('Équipements'!$B$5:$B$304,MATCH(D232,'Équipements'!$A$5:$A$304,0)),"Code inconnu"))</f>
        <v/>
      </c>
      <c r="F232" s="9">
        <f>IF(D232="","",IFERROR(INDEX('Équipements'!$D$5:$D$304,MATCH(D232,'Équipements'!$A$5:$A$304,0)),""))</f>
        <v/>
      </c>
      <c r="G232" s="9">
        <f>IF(D232="","",IFERROR(INDEX('Équipements'!$K$5:$K$304,MATCH(D232,'Équipements'!$A$5:$A$304,0)),""))</f>
        <v/>
      </c>
      <c r="H232" s="7" t="inlineStr">
        <is>
          <t>Préventif systématique</t>
        </is>
      </c>
      <c r="I232" s="7" t="inlineStr">
        <is>
          <t>GP-072</t>
        </is>
      </c>
      <c r="J232" s="7" t="inlineStr">
        <is>
          <t>Mécanique</t>
        </is>
      </c>
      <c r="K232" s="7" t="inlineStr">
        <is>
          <t>P3 - Normale</t>
        </is>
      </c>
      <c r="L232" s="7" t="inlineStr">
        <is>
          <t>Graissage chaîne / galets et contrôle tension</t>
        </is>
      </c>
      <c r="M232" s="7" t="n"/>
      <c r="N232" s="7" t="inlineStr">
        <is>
          <t>Gamme réalisée - RAS</t>
        </is>
      </c>
      <c r="O232" s="7" t="inlineStr">
        <is>
          <t>Karim Benali</t>
        </is>
      </c>
      <c r="P232" s="65" t="n">
        <v>45768.61111111111</v>
      </c>
      <c r="Q232" s="75" t="n">
        <v>45768.38888888889</v>
      </c>
      <c r="R232" s="75" t="n">
        <v>45768.50347222222</v>
      </c>
      <c r="S232" s="76" t="n">
        <v>2.8</v>
      </c>
      <c r="T232" s="76" t="n">
        <v>2.75</v>
      </c>
      <c r="U232" s="70">
        <f>IF($A232="","",IFERROR(INDEX('Techniciens'!$F$5:$F$44,MATCH(O232,'Techniciens'!$B$5:$B$44,0)),'Paramètres'!$AA$10))</f>
        <v/>
      </c>
      <c r="V232" s="70">
        <f>IF($A232="","",IF(OR(AC232="Demandé",AC232="Planifié",AC232="Annulé"),0,N(T232)*N(U232)))</f>
        <v/>
      </c>
      <c r="W232" s="70">
        <f>IF($A232="","",SUMIFS('Mouvements stock'!$H$5:$H$3004,'Mouvements stock'!$I$5:$I$3004,$A232,'Mouvements stock'!$C$5:$C$3004,"Sortie")-SUMIFS('Mouvements stock'!$H$5:$H$3004,'Mouvements stock'!$I$5:$I$3004,$A232,'Mouvements stock'!$C$5:$C$3004,"Retour"))</f>
        <v/>
      </c>
      <c r="X232" s="66" t="n">
        <v>0</v>
      </c>
      <c r="Y232" s="66" t="n">
        <v>0</v>
      </c>
      <c r="Z232" s="7" t="n"/>
      <c r="AA232" s="70">
        <f>IF($A232="","",N(V232)+N(W232)+N(X232)+N(Y232))</f>
        <v/>
      </c>
      <c r="AB232" s="70">
        <f>IF($A232="","",N(S232)*'Paramètres'!$AA$9*IFERROR(INDEX('Paramètres'!$O$5:$O$7,MATCH(G232,'Paramètres'!$N$5:$N$7,0)),0))</f>
        <v/>
      </c>
      <c r="AC232" s="7" t="inlineStr">
        <is>
          <t>Clôturé</t>
        </is>
      </c>
      <c r="AD232" s="69">
        <f>IF(OR($A232="",Q232=""),"",(Q232-B232)*24)</f>
        <v/>
      </c>
      <c r="AE232" s="69">
        <f>IF(OR(Q232="",R232=""),"",(R232-Q232)*24)</f>
        <v/>
      </c>
      <c r="AF232" s="77">
        <f>IF(OR($A232="",B232=""),"",YEAR(B232))</f>
        <v/>
      </c>
      <c r="AG232" s="77">
        <f>IF(OR($A232="",B232=""),"",MONTH(B232))</f>
        <v/>
      </c>
    </row>
    <row r="233">
      <c r="A233" s="7" t="inlineStr">
        <is>
          <t>OT-2025-0229</t>
        </is>
      </c>
      <c r="B233" s="75" t="n">
        <v>45761.46875</v>
      </c>
      <c r="C233" s="7" t="inlineStr">
        <is>
          <t>Plan préventif</t>
        </is>
      </c>
      <c r="D233" s="7" t="inlineStr">
        <is>
          <t>EQ-UTI-003</t>
        </is>
      </c>
      <c r="E233" s="9">
        <f>IF(D233="","",IFERROR(INDEX('Équipements'!$B$5:$B$304,MATCH(D233,'Équipements'!$A$5:$A$304,0)),"Code inconnu"))</f>
        <v/>
      </c>
      <c r="F233" s="9">
        <f>IF(D233="","",IFERROR(INDEX('Équipements'!$D$5:$D$304,MATCH(D233,'Équipements'!$A$5:$A$304,0)),""))</f>
        <v/>
      </c>
      <c r="G233" s="9">
        <f>IF(D233="","",IFERROR(INDEX('Équipements'!$K$5:$K$304,MATCH(D233,'Équipements'!$A$5:$A$304,0)),""))</f>
        <v/>
      </c>
      <c r="H233" s="7" t="inlineStr">
        <is>
          <t>Préventif conditionnel</t>
        </is>
      </c>
      <c r="I233" s="7" t="inlineStr">
        <is>
          <t>GP-091</t>
        </is>
      </c>
      <c r="J233" s="7" t="inlineStr">
        <is>
          <t>Mécanique</t>
        </is>
      </c>
      <c r="K233" s="7" t="inlineStr">
        <is>
          <t>P3 - Normale</t>
        </is>
      </c>
      <c r="L233" s="7" t="inlineStr">
        <is>
          <t>Entretien 2000 h : filtres air/huile, séparateur</t>
        </is>
      </c>
      <c r="M233" s="7" t="n"/>
      <c r="N233" s="7" t="inlineStr">
        <is>
          <t>Gamme réalisée - petite fuite corrigée</t>
        </is>
      </c>
      <c r="O233" s="7" t="inlineStr">
        <is>
          <t>Karim Benali</t>
        </is>
      </c>
      <c r="P233" s="65" t="n">
        <v>45768</v>
      </c>
      <c r="Q233" s="75" t="n">
        <v>45768.38194444445</v>
      </c>
      <c r="R233" s="75" t="n">
        <v>45768.52777777778</v>
      </c>
      <c r="S233" s="76" t="n">
        <v>0</v>
      </c>
      <c r="T233" s="76" t="n">
        <v>3.5</v>
      </c>
      <c r="U233" s="70">
        <f>IF($A233="","",IFERROR(INDEX('Techniciens'!$F$5:$F$44,MATCH(O233,'Techniciens'!$B$5:$B$44,0)),'Paramètres'!$AA$10))</f>
        <v/>
      </c>
      <c r="V233" s="70">
        <f>IF($A233="","",IF(OR(AC233="Demandé",AC233="Planifié",AC233="Annulé"),0,N(T233)*N(U233)))</f>
        <v/>
      </c>
      <c r="W233" s="70">
        <f>IF($A233="","",SUMIFS('Mouvements stock'!$H$5:$H$3004,'Mouvements stock'!$I$5:$I$3004,$A233,'Mouvements stock'!$C$5:$C$3004,"Sortie")-SUMIFS('Mouvements stock'!$H$5:$H$3004,'Mouvements stock'!$I$5:$I$3004,$A233,'Mouvements stock'!$C$5:$C$3004,"Retour"))</f>
        <v/>
      </c>
      <c r="X233" s="66" t="n">
        <v>0</v>
      </c>
      <c r="Y233" s="66" t="n">
        <v>0</v>
      </c>
      <c r="Z233" s="7" t="n"/>
      <c r="AA233" s="70">
        <f>IF($A233="","",N(V233)+N(W233)+N(X233)+N(Y233))</f>
        <v/>
      </c>
      <c r="AB233" s="70">
        <f>IF($A233="","",N(S233)*'Paramètres'!$AA$9*IFERROR(INDEX('Paramètres'!$O$5:$O$7,MATCH(G233,'Paramètres'!$N$5:$N$7,0)),0))</f>
        <v/>
      </c>
      <c r="AC233" s="7" t="inlineStr">
        <is>
          <t>Clôturé</t>
        </is>
      </c>
      <c r="AD233" s="69">
        <f>IF(OR($A233="",Q233=""),"",(Q233-B233)*24)</f>
        <v/>
      </c>
      <c r="AE233" s="69">
        <f>IF(OR(Q233="",R233=""),"",(R233-Q233)*24)</f>
        <v/>
      </c>
      <c r="AF233" s="77">
        <f>IF(OR($A233="",B233=""),"",YEAR(B233))</f>
        <v/>
      </c>
      <c r="AG233" s="77">
        <f>IF(OR($A233="",B233=""),"",MONTH(B233))</f>
        <v/>
      </c>
    </row>
    <row r="234">
      <c r="A234" s="7" t="inlineStr">
        <is>
          <t>OT-2025-0230</t>
        </is>
      </c>
      <c r="B234" s="75" t="n">
        <v>45762.40277777778</v>
      </c>
      <c r="C234" s="7" t="inlineStr">
        <is>
          <t>Plan préventif</t>
        </is>
      </c>
      <c r="D234" s="7" t="inlineStr">
        <is>
          <t>EQ-TOL-001</t>
        </is>
      </c>
      <c r="E234" s="9">
        <f>IF(D234="","",IFERROR(INDEX('Équipements'!$B$5:$B$304,MATCH(D234,'Équipements'!$A$5:$A$304,0)),"Code inconnu"))</f>
        <v/>
      </c>
      <c r="F234" s="9">
        <f>IF(D234="","",IFERROR(INDEX('Équipements'!$D$5:$D$304,MATCH(D234,'Équipements'!$A$5:$A$304,0)),""))</f>
        <v/>
      </c>
      <c r="G234" s="9">
        <f>IF(D234="","",IFERROR(INDEX('Équipements'!$K$5:$K$304,MATCH(D234,'Équipements'!$A$5:$A$304,0)),""))</f>
        <v/>
      </c>
      <c r="H234" s="7" t="inlineStr">
        <is>
          <t>Préventif systématique</t>
        </is>
      </c>
      <c r="I234" s="7" t="inlineStr">
        <is>
          <t>GP-038</t>
        </is>
      </c>
      <c r="J234" s="7" t="inlineStr">
        <is>
          <t>Mécanique</t>
        </is>
      </c>
      <c r="K234" s="7" t="inlineStr">
        <is>
          <t>P3 - Normale</t>
        </is>
      </c>
      <c r="L234" s="7" t="inlineStr">
        <is>
          <t>Nettoyage optique, contrôle buse et lentille</t>
        </is>
      </c>
      <c r="M234" s="7" t="n"/>
      <c r="N234" s="7" t="inlineStr">
        <is>
          <t>Gamme réalisée - RAS</t>
        </is>
      </c>
      <c r="O234" s="7" t="inlineStr">
        <is>
          <t>Karim Benali</t>
        </is>
      </c>
      <c r="P234" s="65" t="n">
        <v>45769.55902777778</v>
      </c>
      <c r="Q234" s="75" t="n">
        <v>45769.52777777778</v>
      </c>
      <c r="R234" s="75" t="n">
        <v>45769.61111111111</v>
      </c>
      <c r="S234" s="76" t="n">
        <v>2</v>
      </c>
      <c r="T234" s="76" t="n">
        <v>2</v>
      </c>
      <c r="U234" s="70">
        <f>IF($A234="","",IFERROR(INDEX('Techniciens'!$F$5:$F$44,MATCH(O234,'Techniciens'!$B$5:$B$44,0)),'Paramètres'!$AA$10))</f>
        <v/>
      </c>
      <c r="V234" s="70">
        <f>IF($A234="","",IF(OR(AC234="Demandé",AC234="Planifié",AC234="Annulé"),0,N(T234)*N(U234)))</f>
        <v/>
      </c>
      <c r="W234" s="70">
        <f>IF($A234="","",SUMIFS('Mouvements stock'!$H$5:$H$3004,'Mouvements stock'!$I$5:$I$3004,$A234,'Mouvements stock'!$C$5:$C$3004,"Sortie")-SUMIFS('Mouvements stock'!$H$5:$H$3004,'Mouvements stock'!$I$5:$I$3004,$A234,'Mouvements stock'!$C$5:$C$3004,"Retour"))</f>
        <v/>
      </c>
      <c r="X234" s="66" t="n">
        <v>0</v>
      </c>
      <c r="Y234" s="66" t="n">
        <v>0</v>
      </c>
      <c r="Z234" s="7" t="n"/>
      <c r="AA234" s="70">
        <f>IF($A234="","",N(V234)+N(W234)+N(X234)+N(Y234))</f>
        <v/>
      </c>
      <c r="AB234" s="70">
        <f>IF($A234="","",N(S234)*'Paramètres'!$AA$9*IFERROR(INDEX('Paramètres'!$O$5:$O$7,MATCH(G234,'Paramètres'!$N$5:$N$7,0)),0))</f>
        <v/>
      </c>
      <c r="AC234" s="7" t="inlineStr">
        <is>
          <t>Clôturé</t>
        </is>
      </c>
      <c r="AD234" s="69">
        <f>IF(OR($A234="",Q234=""),"",(Q234-B234)*24)</f>
        <v/>
      </c>
      <c r="AE234" s="69">
        <f>IF(OR(Q234="",R234=""),"",(R234-Q234)*24)</f>
        <v/>
      </c>
      <c r="AF234" s="77">
        <f>IF(OR($A234="",B234=""),"",YEAR(B234))</f>
        <v/>
      </c>
      <c r="AG234" s="77">
        <f>IF(OR($A234="",B234=""),"",MONTH(B234))</f>
        <v/>
      </c>
    </row>
    <row r="235">
      <c r="A235" s="7" t="inlineStr">
        <is>
          <t>OT-2025-0231</t>
        </is>
      </c>
      <c r="B235" s="75" t="n">
        <v>45762.4375</v>
      </c>
      <c r="C235" s="7" t="inlineStr">
        <is>
          <t>Plan préventif</t>
        </is>
      </c>
      <c r="D235" s="7" t="inlineStr">
        <is>
          <t>EQ-USI-004</t>
        </is>
      </c>
      <c r="E235" s="9">
        <f>IF(D235="","",IFERROR(INDEX('Équipements'!$B$5:$B$304,MATCH(D235,'Équipements'!$A$5:$A$304,0)),"Code inconnu"))</f>
        <v/>
      </c>
      <c r="F235" s="9">
        <f>IF(D235="","",IFERROR(INDEX('Équipements'!$D$5:$D$304,MATCH(D235,'Équipements'!$A$5:$A$304,0)),""))</f>
        <v/>
      </c>
      <c r="G235" s="9">
        <f>IF(D235="","",IFERROR(INDEX('Équipements'!$K$5:$K$304,MATCH(D235,'Équipements'!$A$5:$A$304,0)),""))</f>
        <v/>
      </c>
      <c r="H235" s="7" t="inlineStr">
        <is>
          <t>Préventif systématique</t>
        </is>
      </c>
      <c r="I235" s="7" t="inlineStr">
        <is>
          <t>GP-013</t>
        </is>
      </c>
      <c r="J235" s="7" t="inlineStr">
        <is>
          <t>Mécanique</t>
        </is>
      </c>
      <c r="K235" s="7" t="inlineStr">
        <is>
          <t>P3 - Normale</t>
        </is>
      </c>
      <c r="L235" s="7" t="inlineStr">
        <is>
          <t>Contrôle niveaux, nettoyage filtres et bac à copeaux</t>
        </is>
      </c>
      <c r="M235" s="7" t="n"/>
      <c r="N235" s="7" t="inlineStr">
        <is>
          <t>Gamme réalisée - RAS</t>
        </is>
      </c>
      <c r="O235" s="7" t="inlineStr">
        <is>
          <t>Lucas Fontaine</t>
        </is>
      </c>
      <c r="P235" s="65" t="n">
        <v>45769.67708333334</v>
      </c>
      <c r="Q235" s="75" t="n">
        <v>45769.25</v>
      </c>
      <c r="R235" s="75" t="n">
        <v>45769.30208333334</v>
      </c>
      <c r="S235" s="76" t="n">
        <v>0</v>
      </c>
      <c r="T235" s="76" t="n">
        <v>1.25</v>
      </c>
      <c r="U235" s="70">
        <f>IF($A235="","",IFERROR(INDEX('Techniciens'!$F$5:$F$44,MATCH(O235,'Techniciens'!$B$5:$B$44,0)),'Paramètres'!$AA$10))</f>
        <v/>
      </c>
      <c r="V235" s="70">
        <f>IF($A235="","",IF(OR(AC235="Demandé",AC235="Planifié",AC235="Annulé"),0,N(T235)*N(U235)))</f>
        <v/>
      </c>
      <c r="W235" s="70">
        <f>IF($A235="","",SUMIFS('Mouvements stock'!$H$5:$H$3004,'Mouvements stock'!$I$5:$I$3004,$A235,'Mouvements stock'!$C$5:$C$3004,"Sortie")-SUMIFS('Mouvements stock'!$H$5:$H$3004,'Mouvements stock'!$I$5:$I$3004,$A235,'Mouvements stock'!$C$5:$C$3004,"Retour"))</f>
        <v/>
      </c>
      <c r="X235" s="66" t="n">
        <v>0</v>
      </c>
      <c r="Y235" s="66" t="n">
        <v>0</v>
      </c>
      <c r="Z235" s="7" t="n"/>
      <c r="AA235" s="70">
        <f>IF($A235="","",N(V235)+N(W235)+N(X235)+N(Y235))</f>
        <v/>
      </c>
      <c r="AB235" s="70">
        <f>IF($A235="","",N(S235)*'Paramètres'!$AA$9*IFERROR(INDEX('Paramètres'!$O$5:$O$7,MATCH(G235,'Paramètres'!$N$5:$N$7,0)),0))</f>
        <v/>
      </c>
      <c r="AC235" s="7" t="inlineStr">
        <is>
          <t>Clôturé</t>
        </is>
      </c>
      <c r="AD235" s="69">
        <f>IF(OR($A235="",Q235=""),"",(Q235-B235)*24)</f>
        <v/>
      </c>
      <c r="AE235" s="69">
        <f>IF(OR(Q235="",R235=""),"",(R235-Q235)*24)</f>
        <v/>
      </c>
      <c r="AF235" s="77">
        <f>IF(OR($A235="",B235=""),"",YEAR(B235))</f>
        <v/>
      </c>
      <c r="AG235" s="77">
        <f>IF(OR($A235="",B235=""),"",MONTH(B235))</f>
        <v/>
      </c>
    </row>
    <row r="236">
      <c r="A236" s="7" t="inlineStr">
        <is>
          <t>OT-2025-0232</t>
        </is>
      </c>
      <c r="B236" s="75" t="n">
        <v>45763.38819444444</v>
      </c>
      <c r="C236" s="7" t="inlineStr">
        <is>
          <t>Sylvie Mathieu (resp. logistique)</t>
        </is>
      </c>
      <c r="D236" s="7" t="inlineStr">
        <is>
          <t>EQ-LOG-007</t>
        </is>
      </c>
      <c r="E236" s="9">
        <f>IF(D236="","",IFERROR(INDEX('Équipements'!$B$5:$B$304,MATCH(D236,'Équipements'!$A$5:$A$304,0)),"Code inconnu"))</f>
        <v/>
      </c>
      <c r="F236" s="9">
        <f>IF(D236="","",IFERROR(INDEX('Équipements'!$D$5:$D$304,MATCH(D236,'Équipements'!$A$5:$A$304,0)),""))</f>
        <v/>
      </c>
      <c r="G236" s="9">
        <f>IF(D236="","",IFERROR(INDEX('Équipements'!$K$5:$K$304,MATCH(D236,'Équipements'!$A$5:$A$304,0)),""))</f>
        <v/>
      </c>
      <c r="H236" s="7" t="inlineStr">
        <is>
          <t>Correctif</t>
        </is>
      </c>
      <c r="I236" s="7" t="n"/>
      <c r="J236" s="7" t="inlineStr">
        <is>
          <t>Électrique</t>
        </is>
      </c>
      <c r="K236" s="7" t="inlineStr">
        <is>
          <t>P2 - Haute</t>
        </is>
      </c>
      <c r="L236" s="7" t="inlineStr">
        <is>
          <t>Défaut boîte à boutons de commande</t>
        </is>
      </c>
      <c r="M236" s="7" t="inlineStr">
        <is>
          <t>Défaut électrique</t>
        </is>
      </c>
      <c r="N236" s="7" t="inlineStr">
        <is>
          <t>Remplacement contacteur de boîte à boutons</t>
        </is>
      </c>
      <c r="O236" s="7" t="inlineStr">
        <is>
          <t>Julien Moreau</t>
        </is>
      </c>
      <c r="P236" s="65" t="n"/>
      <c r="Q236" s="75" t="n">
        <v>45763.55625</v>
      </c>
      <c r="R236" s="75" t="n">
        <v>45763.67083333333</v>
      </c>
      <c r="S236" s="76" t="n">
        <v>0</v>
      </c>
      <c r="T236" s="76" t="n">
        <v>2.75</v>
      </c>
      <c r="U236" s="70">
        <f>IF($A236="","",IFERROR(INDEX('Techniciens'!$F$5:$F$44,MATCH(O236,'Techniciens'!$B$5:$B$44,0)),'Paramètres'!$AA$10))</f>
        <v/>
      </c>
      <c r="V236" s="70">
        <f>IF($A236="","",IF(OR(AC236="Demandé",AC236="Planifié",AC236="Annulé"),0,N(T236)*N(U236)))</f>
        <v/>
      </c>
      <c r="W236" s="70">
        <f>IF($A236="","",SUMIFS('Mouvements stock'!$H$5:$H$3004,'Mouvements stock'!$I$5:$I$3004,$A236,'Mouvements stock'!$C$5:$C$3004,"Sortie")-SUMIFS('Mouvements stock'!$H$5:$H$3004,'Mouvements stock'!$I$5:$I$3004,$A236,'Mouvements stock'!$C$5:$C$3004,"Retour"))</f>
        <v/>
      </c>
      <c r="X236" s="66" t="n">
        <v>576</v>
      </c>
      <c r="Y236" s="66" t="n">
        <v>0</v>
      </c>
      <c r="Z236" s="7" t="n"/>
      <c r="AA236" s="70">
        <f>IF($A236="","",N(V236)+N(W236)+N(X236)+N(Y236))</f>
        <v/>
      </c>
      <c r="AB236" s="70">
        <f>IF($A236="","",N(S236)*'Paramètres'!$AA$9*IFERROR(INDEX('Paramètres'!$O$5:$O$7,MATCH(G236,'Paramètres'!$N$5:$N$7,0)),0))</f>
        <v/>
      </c>
      <c r="AC236" s="7" t="inlineStr">
        <is>
          <t>Clôturé</t>
        </is>
      </c>
      <c r="AD236" s="69">
        <f>IF(OR($A236="",Q236=""),"",(Q236-B236)*24)</f>
        <v/>
      </c>
      <c r="AE236" s="69">
        <f>IF(OR(Q236="",R236=""),"",(R236-Q236)*24)</f>
        <v/>
      </c>
      <c r="AF236" s="77">
        <f>IF(OR($A236="",B236=""),"",YEAR(B236))</f>
        <v/>
      </c>
      <c r="AG236" s="77">
        <f>IF(OR($A236="",B236=""),"",MONTH(B236))</f>
        <v/>
      </c>
    </row>
    <row r="237">
      <c r="A237" s="7" t="inlineStr">
        <is>
          <t>OT-2025-0233</t>
        </is>
      </c>
      <c r="B237" s="75" t="n">
        <v>45764.375</v>
      </c>
      <c r="C237" s="7" t="inlineStr">
        <is>
          <t>Plan préventif</t>
        </is>
      </c>
      <c r="D237" s="7" t="inlineStr">
        <is>
          <t>EQ-UTI-009</t>
        </is>
      </c>
      <c r="E237" s="9">
        <f>IF(D237="","",IFERROR(INDEX('Équipements'!$B$5:$B$304,MATCH(D237,'Équipements'!$A$5:$A$304,0)),"Code inconnu"))</f>
        <v/>
      </c>
      <c r="F237" s="9">
        <f>IF(D237="","",IFERROR(INDEX('Équipements'!$D$5:$D$304,MATCH(D237,'Équipements'!$A$5:$A$304,0)),""))</f>
        <v/>
      </c>
      <c r="G237" s="9">
        <f>IF(D237="","",IFERROR(INDEX('Équipements'!$K$5:$K$304,MATCH(D237,'Équipements'!$A$5:$A$304,0)),""))</f>
        <v/>
      </c>
      <c r="H237" s="7" t="inlineStr">
        <is>
          <t>Préventif systématique</t>
        </is>
      </c>
      <c r="I237" s="7" t="inlineStr">
        <is>
          <t>GP-101</t>
        </is>
      </c>
      <c r="J237" s="7" t="inlineStr">
        <is>
          <t>Électrique</t>
        </is>
      </c>
      <c r="K237" s="7" t="inlineStr">
        <is>
          <t>P3 - Normale</t>
        </is>
      </c>
      <c r="L237" s="7" t="inlineStr">
        <is>
          <t>Étalonnage des sondes pH / redox</t>
        </is>
      </c>
      <c r="M237" s="7" t="n"/>
      <c r="N237" s="7" t="inlineStr">
        <is>
          <t>Gamme réalisée - RAS</t>
        </is>
      </c>
      <c r="O237" s="7" t="inlineStr">
        <is>
          <t>Thomas Petit</t>
        </is>
      </c>
      <c r="P237" s="65" t="n">
        <v>45771.40625</v>
      </c>
      <c r="Q237" s="75" t="n">
        <v>45771.61111111111</v>
      </c>
      <c r="R237" s="75" t="n">
        <v>45771.67361111111</v>
      </c>
      <c r="S237" s="76" t="n">
        <v>0</v>
      </c>
      <c r="T237" s="76" t="n">
        <v>1.5</v>
      </c>
      <c r="U237" s="70">
        <f>IF($A237="","",IFERROR(INDEX('Techniciens'!$F$5:$F$44,MATCH(O237,'Techniciens'!$B$5:$B$44,0)),'Paramètres'!$AA$10))</f>
        <v/>
      </c>
      <c r="V237" s="70">
        <f>IF($A237="","",IF(OR(AC237="Demandé",AC237="Planifié",AC237="Annulé"),0,N(T237)*N(U237)))</f>
        <v/>
      </c>
      <c r="W237" s="70">
        <f>IF($A237="","",SUMIFS('Mouvements stock'!$H$5:$H$3004,'Mouvements stock'!$I$5:$I$3004,$A237,'Mouvements stock'!$C$5:$C$3004,"Sortie")-SUMIFS('Mouvements stock'!$H$5:$H$3004,'Mouvements stock'!$I$5:$I$3004,$A237,'Mouvements stock'!$C$5:$C$3004,"Retour"))</f>
        <v/>
      </c>
      <c r="X237" s="66" t="n">
        <v>0</v>
      </c>
      <c r="Y237" s="66" t="n">
        <v>0</v>
      </c>
      <c r="Z237" s="7" t="n"/>
      <c r="AA237" s="70">
        <f>IF($A237="","",N(V237)+N(W237)+N(X237)+N(Y237))</f>
        <v/>
      </c>
      <c r="AB237" s="70">
        <f>IF($A237="","",N(S237)*'Paramètres'!$AA$9*IFERROR(INDEX('Paramètres'!$O$5:$O$7,MATCH(G237,'Paramètres'!$N$5:$N$7,0)),0))</f>
        <v/>
      </c>
      <c r="AC237" s="7" t="inlineStr">
        <is>
          <t>Clôturé</t>
        </is>
      </c>
      <c r="AD237" s="69">
        <f>IF(OR($A237="",Q237=""),"",(Q237-B237)*24)</f>
        <v/>
      </c>
      <c r="AE237" s="69">
        <f>IF(OR(Q237="",R237=""),"",(R237-Q237)*24)</f>
        <v/>
      </c>
      <c r="AF237" s="77">
        <f>IF(OR($A237="",B237=""),"",YEAR(B237))</f>
        <v/>
      </c>
      <c r="AG237" s="77">
        <f>IF(OR($A237="",B237=""),"",MONTH(B237))</f>
        <v/>
      </c>
    </row>
    <row r="238">
      <c r="A238" s="7" t="inlineStr">
        <is>
          <t>OT-2025-0234</t>
        </is>
      </c>
      <c r="B238" s="75" t="n">
        <v>45764.52152777778</v>
      </c>
      <c r="C238" s="7" t="inlineStr">
        <is>
          <t>Opérateur tôlerie</t>
        </is>
      </c>
      <c r="D238" s="7" t="inlineStr">
        <is>
          <t>EQ-TOL-003</t>
        </is>
      </c>
      <c r="E238" s="9">
        <f>IF(D238="","",IFERROR(INDEX('Équipements'!$B$5:$B$304,MATCH(D238,'Équipements'!$A$5:$A$304,0)),"Code inconnu"))</f>
        <v/>
      </c>
      <c r="F238" s="9">
        <f>IF(D238="","",IFERROR(INDEX('Équipements'!$D$5:$D$304,MATCH(D238,'Équipements'!$A$5:$A$304,0)),""))</f>
        <v/>
      </c>
      <c r="G238" s="9">
        <f>IF(D238="","",IFERROR(INDEX('Équipements'!$K$5:$K$304,MATCH(D238,'Équipements'!$A$5:$A$304,0)),""))</f>
        <v/>
      </c>
      <c r="H238" s="7" t="inlineStr">
        <is>
          <t>Correctif</t>
        </is>
      </c>
      <c r="I238" s="7" t="n"/>
      <c r="J238" s="7" t="inlineStr">
        <is>
          <t>Hydraulique</t>
        </is>
      </c>
      <c r="K238" s="7" t="inlineStr">
        <is>
          <t>P1 - Urgent</t>
        </is>
      </c>
      <c r="L238" s="7" t="inlineStr">
        <is>
          <t>Montée en température huile hydraulique</t>
        </is>
      </c>
      <c r="M238" s="7" t="inlineStr">
        <is>
          <t>Encrassement</t>
        </is>
      </c>
      <c r="N238" s="7" t="inlineStr">
        <is>
          <t>Nettoyage échangeur, remplacement filtre</t>
        </is>
      </c>
      <c r="O238" s="7" t="inlineStr">
        <is>
          <t>Antoine Mercier</t>
        </is>
      </c>
      <c r="P238" s="65" t="n"/>
      <c r="Q238" s="75" t="n">
        <v>45764.54583333333</v>
      </c>
      <c r="R238" s="75" t="n">
        <v>45764.91041666667</v>
      </c>
      <c r="S238" s="76" t="n">
        <v>9.300000000000001</v>
      </c>
      <c r="T238" s="76" t="n">
        <v>8.75</v>
      </c>
      <c r="U238" s="70">
        <f>IF($A238="","",IFERROR(INDEX('Techniciens'!$F$5:$F$44,MATCH(O238,'Techniciens'!$B$5:$B$44,0)),'Paramètres'!$AA$10))</f>
        <v/>
      </c>
      <c r="V238" s="70">
        <f>IF($A238="","",IF(OR(AC238="Demandé",AC238="Planifié",AC238="Annulé"),0,N(T238)*N(U238)))</f>
        <v/>
      </c>
      <c r="W238" s="70">
        <f>IF($A238="","",SUMIFS('Mouvements stock'!$H$5:$H$3004,'Mouvements stock'!$I$5:$I$3004,$A238,'Mouvements stock'!$C$5:$C$3004,"Sortie")-SUMIFS('Mouvements stock'!$H$5:$H$3004,'Mouvements stock'!$I$5:$I$3004,$A238,'Mouvements stock'!$C$5:$C$3004,"Retour"))</f>
        <v/>
      </c>
      <c r="X238" s="66" t="n">
        <v>0</v>
      </c>
      <c r="Y238" s="66" t="n">
        <v>0</v>
      </c>
      <c r="Z238" s="7" t="n"/>
      <c r="AA238" s="70">
        <f>IF($A238="","",N(V238)+N(W238)+N(X238)+N(Y238))</f>
        <v/>
      </c>
      <c r="AB238" s="70">
        <f>IF($A238="","",N(S238)*'Paramètres'!$AA$9*IFERROR(INDEX('Paramètres'!$O$5:$O$7,MATCH(G238,'Paramètres'!$N$5:$N$7,0)),0))</f>
        <v/>
      </c>
      <c r="AC238" s="7" t="inlineStr">
        <is>
          <t>Clôturé</t>
        </is>
      </c>
      <c r="AD238" s="69">
        <f>IF(OR($A238="",Q238=""),"",(Q238-B238)*24)</f>
        <v/>
      </c>
      <c r="AE238" s="69">
        <f>IF(OR(Q238="",R238=""),"",(R238-Q238)*24)</f>
        <v/>
      </c>
      <c r="AF238" s="77">
        <f>IF(OR($A238="",B238=""),"",YEAR(B238))</f>
        <v/>
      </c>
      <c r="AG238" s="77">
        <f>IF(OR($A238="",B238=""),"",MONTH(B238))</f>
        <v/>
      </c>
    </row>
    <row r="239">
      <c r="A239" s="7" t="inlineStr">
        <is>
          <t>OT-2025-0235</t>
        </is>
      </c>
      <c r="B239" s="75" t="n">
        <v>45764.83958333333</v>
      </c>
      <c r="C239" s="7" t="inlineStr">
        <is>
          <t>Marc Lefèvre</t>
        </is>
      </c>
      <c r="D239" s="7" t="inlineStr">
        <is>
          <t>EQ-UTI-003</t>
        </is>
      </c>
      <c r="E239" s="9">
        <f>IF(D239="","",IFERROR(INDEX('Équipements'!$B$5:$B$304,MATCH(D239,'Équipements'!$A$5:$A$304,0)),"Code inconnu"))</f>
        <v/>
      </c>
      <c r="F239" s="9">
        <f>IF(D239="","",IFERROR(INDEX('Équipements'!$D$5:$D$304,MATCH(D239,'Équipements'!$A$5:$A$304,0)),""))</f>
        <v/>
      </c>
      <c r="G239" s="9">
        <f>IF(D239="","",IFERROR(INDEX('Équipements'!$K$5:$K$304,MATCH(D239,'Équipements'!$A$5:$A$304,0)),""))</f>
        <v/>
      </c>
      <c r="H239" s="7" t="inlineStr">
        <is>
          <t>Correctif</t>
        </is>
      </c>
      <c r="I239" s="7" t="n"/>
      <c r="J239" s="7" t="inlineStr">
        <is>
          <t>Mécanique</t>
        </is>
      </c>
      <c r="K239" s="7" t="inlineStr">
        <is>
          <t>P3 - Normale</t>
        </is>
      </c>
      <c r="L239" s="7" t="inlineStr">
        <is>
          <t>Courroie d'entraînement usée</t>
        </is>
      </c>
      <c r="M239" s="7" t="inlineStr">
        <is>
          <t>Usure</t>
        </is>
      </c>
      <c r="N239" s="7" t="inlineStr">
        <is>
          <t>Remplacement courroies</t>
        </is>
      </c>
      <c r="O239" s="7" t="inlineStr">
        <is>
          <t>Karim Benali</t>
        </is>
      </c>
      <c r="P239" s="65" t="n"/>
      <c r="Q239" s="75" t="n">
        <v>45766.70138888889</v>
      </c>
      <c r="R239" s="75" t="n">
        <v>45766.79513888889</v>
      </c>
      <c r="S239" s="76" t="n">
        <v>2.2</v>
      </c>
      <c r="T239" s="76" t="n">
        <v>2.25</v>
      </c>
      <c r="U239" s="70">
        <f>IF($A239="","",IFERROR(INDEX('Techniciens'!$F$5:$F$44,MATCH(O239,'Techniciens'!$B$5:$B$44,0)),'Paramètres'!$AA$10))</f>
        <v/>
      </c>
      <c r="V239" s="70">
        <f>IF($A239="","",IF(OR(AC239="Demandé",AC239="Planifié",AC239="Annulé"),0,N(T239)*N(U239)))</f>
        <v/>
      </c>
      <c r="W239" s="70">
        <f>IF($A239="","",SUMIFS('Mouvements stock'!$H$5:$H$3004,'Mouvements stock'!$I$5:$I$3004,$A239,'Mouvements stock'!$C$5:$C$3004,"Sortie")-SUMIFS('Mouvements stock'!$H$5:$H$3004,'Mouvements stock'!$I$5:$I$3004,$A239,'Mouvements stock'!$C$5:$C$3004,"Retour"))</f>
        <v/>
      </c>
      <c r="X239" s="66" t="n">
        <v>0</v>
      </c>
      <c r="Y239" s="66" t="n">
        <v>0</v>
      </c>
      <c r="Z239" s="7" t="n"/>
      <c r="AA239" s="70">
        <f>IF($A239="","",N(V239)+N(W239)+N(X239)+N(Y239))</f>
        <v/>
      </c>
      <c r="AB239" s="70">
        <f>IF($A239="","",N(S239)*'Paramètres'!$AA$9*IFERROR(INDEX('Paramètres'!$O$5:$O$7,MATCH(G239,'Paramètres'!$N$5:$N$7,0)),0))</f>
        <v/>
      </c>
      <c r="AC239" s="7" t="inlineStr">
        <is>
          <t>Clôturé</t>
        </is>
      </c>
      <c r="AD239" s="69">
        <f>IF(OR($A239="",Q239=""),"",(Q239-B239)*24)</f>
        <v/>
      </c>
      <c r="AE239" s="69">
        <f>IF(OR(Q239="",R239=""),"",(R239-Q239)*24)</f>
        <v/>
      </c>
      <c r="AF239" s="77">
        <f>IF(OR($A239="",B239=""),"",YEAR(B239))</f>
        <v/>
      </c>
      <c r="AG239" s="77">
        <f>IF(OR($A239="",B239=""),"",MONTH(B239))</f>
        <v/>
      </c>
    </row>
    <row r="240">
      <c r="A240" s="7" t="inlineStr">
        <is>
          <t>OT-2025-0236</t>
        </is>
      </c>
      <c r="B240" s="75" t="n">
        <v>45766.48402777778</v>
      </c>
      <c r="C240" s="7" t="inlineStr">
        <is>
          <t>Opérateur assemblage</t>
        </is>
      </c>
      <c r="D240" s="7" t="inlineStr">
        <is>
          <t>EQ-ASS-002</t>
        </is>
      </c>
      <c r="E240" s="9">
        <f>IF(D240="","",IFERROR(INDEX('Équipements'!$B$5:$B$304,MATCH(D240,'Équipements'!$A$5:$A$304,0)),"Code inconnu"))</f>
        <v/>
      </c>
      <c r="F240" s="9">
        <f>IF(D240="","",IFERROR(INDEX('Équipements'!$D$5:$D$304,MATCH(D240,'Équipements'!$A$5:$A$304,0)),""))</f>
        <v/>
      </c>
      <c r="G240" s="9">
        <f>IF(D240="","",IFERROR(INDEX('Équipements'!$K$5:$K$304,MATCH(D240,'Équipements'!$A$5:$A$304,0)),""))</f>
        <v/>
      </c>
      <c r="H240" s="7" t="inlineStr">
        <is>
          <t>Correctif</t>
        </is>
      </c>
      <c r="I240" s="7" t="n"/>
      <c r="J240" s="7" t="inlineStr">
        <is>
          <t>Électrique</t>
        </is>
      </c>
      <c r="K240" s="7" t="inlineStr">
        <is>
          <t>P3 - Normale</t>
        </is>
      </c>
      <c r="L240" s="7" t="inlineStr">
        <is>
          <t>Pédale de commande défectueuse</t>
        </is>
      </c>
      <c r="M240" s="7" t="inlineStr">
        <is>
          <t>Usure</t>
        </is>
      </c>
      <c r="N240" s="7" t="inlineStr">
        <is>
          <t>Remplacement contacts de pédale</t>
        </is>
      </c>
      <c r="O240" s="7" t="inlineStr">
        <is>
          <t>Thomas Petit</t>
        </is>
      </c>
      <c r="P240" s="65" t="n"/>
      <c r="Q240" s="75" t="n">
        <v>45768.13680555556</v>
      </c>
      <c r="R240" s="75" t="n">
        <v>45768.24097222222</v>
      </c>
      <c r="S240" s="76" t="n">
        <v>2.5</v>
      </c>
      <c r="T240" s="76" t="n">
        <v>2.5</v>
      </c>
      <c r="U240" s="70">
        <f>IF($A240="","",IFERROR(INDEX('Techniciens'!$F$5:$F$44,MATCH(O240,'Techniciens'!$B$5:$B$44,0)),'Paramètres'!$AA$10))</f>
        <v/>
      </c>
      <c r="V240" s="70">
        <f>IF($A240="","",IF(OR(AC240="Demandé",AC240="Planifié",AC240="Annulé"),0,N(T240)*N(U240)))</f>
        <v/>
      </c>
      <c r="W240" s="70">
        <f>IF($A240="","",SUMIFS('Mouvements stock'!$H$5:$H$3004,'Mouvements stock'!$I$5:$I$3004,$A240,'Mouvements stock'!$C$5:$C$3004,"Sortie")-SUMIFS('Mouvements stock'!$H$5:$H$3004,'Mouvements stock'!$I$5:$I$3004,$A240,'Mouvements stock'!$C$5:$C$3004,"Retour"))</f>
        <v/>
      </c>
      <c r="X240" s="66" t="n">
        <v>628</v>
      </c>
      <c r="Y240" s="66" t="n">
        <v>0</v>
      </c>
      <c r="Z240" s="7" t="n"/>
      <c r="AA240" s="70">
        <f>IF($A240="","",N(V240)+N(W240)+N(X240)+N(Y240))</f>
        <v/>
      </c>
      <c r="AB240" s="70">
        <f>IF($A240="","",N(S240)*'Paramètres'!$AA$9*IFERROR(INDEX('Paramètres'!$O$5:$O$7,MATCH(G240,'Paramètres'!$N$5:$N$7,0)),0))</f>
        <v/>
      </c>
      <c r="AC240" s="7" t="inlineStr">
        <is>
          <t>Clôturé</t>
        </is>
      </c>
      <c r="AD240" s="69">
        <f>IF(OR($A240="",Q240=""),"",(Q240-B240)*24)</f>
        <v/>
      </c>
      <c r="AE240" s="69">
        <f>IF(OR(Q240="",R240=""),"",(R240-Q240)*24)</f>
        <v/>
      </c>
      <c r="AF240" s="77">
        <f>IF(OR($A240="",B240=""),"",YEAR(B240))</f>
        <v/>
      </c>
      <c r="AG240" s="77">
        <f>IF(OR($A240="",B240=""),"",MONTH(B240))</f>
        <v/>
      </c>
    </row>
    <row r="241">
      <c r="A241" s="7" t="inlineStr">
        <is>
          <t>OT-2025-0237</t>
        </is>
      </c>
      <c r="B241" s="75" t="n">
        <v>45768.21527777778</v>
      </c>
      <c r="C241" s="7" t="inlineStr">
        <is>
          <t>Inès Girard (cheffe d'équipe)</t>
        </is>
      </c>
      <c r="D241" s="7" t="inlineStr">
        <is>
          <t>EQ-PEI-004</t>
        </is>
      </c>
      <c r="E241" s="9">
        <f>IF(D241="","",IFERROR(INDEX('Équipements'!$B$5:$B$304,MATCH(D241,'Équipements'!$A$5:$A$304,0)),"Code inconnu"))</f>
        <v/>
      </c>
      <c r="F241" s="9">
        <f>IF(D241="","",IFERROR(INDEX('Équipements'!$D$5:$D$304,MATCH(D241,'Équipements'!$A$5:$A$304,0)),""))</f>
        <v/>
      </c>
      <c r="G241" s="9">
        <f>IF(D241="","",IFERROR(INDEX('Équipements'!$K$5:$K$304,MATCH(D241,'Équipements'!$A$5:$A$304,0)),""))</f>
        <v/>
      </c>
      <c r="H241" s="7" t="inlineStr">
        <is>
          <t>Correctif</t>
        </is>
      </c>
      <c r="I241" s="7" t="n"/>
      <c r="J241" s="7" t="inlineStr">
        <is>
          <t>Électrique</t>
        </is>
      </c>
      <c r="K241" s="7" t="inlineStr">
        <is>
          <t>P1 - Urgent</t>
        </is>
      </c>
      <c r="L241" s="7" t="inlineStr">
        <is>
          <t>Détecteur de présence HS</t>
        </is>
      </c>
      <c r="M241" s="7" t="inlineStr">
        <is>
          <t>Défaut capteur</t>
        </is>
      </c>
      <c r="N241" s="7" t="inlineStr">
        <is>
          <t>Remplacement détecteur</t>
        </is>
      </c>
      <c r="O241" s="7" t="inlineStr">
        <is>
          <t>Thomas Petit</t>
        </is>
      </c>
      <c r="P241" s="65" t="n"/>
      <c r="Q241" s="75" t="n">
        <v>45768.24652777778</v>
      </c>
      <c r="R241" s="75" t="n">
        <v>45768.31944444445</v>
      </c>
      <c r="S241" s="76" t="n">
        <v>2.5</v>
      </c>
      <c r="T241" s="76" t="n">
        <v>1.75</v>
      </c>
      <c r="U241" s="70">
        <f>IF($A241="","",IFERROR(INDEX('Techniciens'!$F$5:$F$44,MATCH(O241,'Techniciens'!$B$5:$B$44,0)),'Paramètres'!$AA$10))</f>
        <v/>
      </c>
      <c r="V241" s="70">
        <f>IF($A241="","",IF(OR(AC241="Demandé",AC241="Planifié",AC241="Annulé"),0,N(T241)*N(U241)))</f>
        <v/>
      </c>
      <c r="W241" s="70">
        <f>IF($A241="","",SUMIFS('Mouvements stock'!$H$5:$H$3004,'Mouvements stock'!$I$5:$I$3004,$A241,'Mouvements stock'!$C$5:$C$3004,"Sortie")-SUMIFS('Mouvements stock'!$H$5:$H$3004,'Mouvements stock'!$I$5:$I$3004,$A241,'Mouvements stock'!$C$5:$C$3004,"Retour"))</f>
        <v/>
      </c>
      <c r="X241" s="66" t="n">
        <v>0</v>
      </c>
      <c r="Y241" s="66" t="n">
        <v>0</v>
      </c>
      <c r="Z241" s="7" t="n"/>
      <c r="AA241" s="70">
        <f>IF($A241="","",N(V241)+N(W241)+N(X241)+N(Y241))</f>
        <v/>
      </c>
      <c r="AB241" s="70">
        <f>IF($A241="","",N(S241)*'Paramètres'!$AA$9*IFERROR(INDEX('Paramètres'!$O$5:$O$7,MATCH(G241,'Paramètres'!$N$5:$N$7,0)),0))</f>
        <v/>
      </c>
      <c r="AC241" s="7" t="inlineStr">
        <is>
          <t>Clôturé</t>
        </is>
      </c>
      <c r="AD241" s="69">
        <f>IF(OR($A241="",Q241=""),"",(Q241-B241)*24)</f>
        <v/>
      </c>
      <c r="AE241" s="69">
        <f>IF(OR(Q241="",R241=""),"",(R241-Q241)*24)</f>
        <v/>
      </c>
      <c r="AF241" s="77">
        <f>IF(OR($A241="",B241=""),"",YEAR(B241))</f>
        <v/>
      </c>
      <c r="AG241" s="77">
        <f>IF(OR($A241="",B241=""),"",MONTH(B241))</f>
        <v/>
      </c>
    </row>
    <row r="242">
      <c r="A242" s="7" t="inlineStr">
        <is>
          <t>OT-2025-0238</t>
        </is>
      </c>
      <c r="B242" s="75" t="n">
        <v>45768.34027777778</v>
      </c>
      <c r="C242" s="7" t="inlineStr">
        <is>
          <t>Plan préventif</t>
        </is>
      </c>
      <c r="D242" s="7" t="inlineStr">
        <is>
          <t>EQ-USI-006</t>
        </is>
      </c>
      <c r="E242" s="9">
        <f>IF(D242="","",IFERROR(INDEX('Équipements'!$B$5:$B$304,MATCH(D242,'Équipements'!$A$5:$A$304,0)),"Code inconnu"))</f>
        <v/>
      </c>
      <c r="F242" s="9">
        <f>IF(D242="","",IFERROR(INDEX('Équipements'!$D$5:$D$304,MATCH(D242,'Équipements'!$A$5:$A$304,0)),""))</f>
        <v/>
      </c>
      <c r="G242" s="9">
        <f>IF(D242="","",IFERROR(INDEX('Équipements'!$K$5:$K$304,MATCH(D242,'Équipements'!$A$5:$A$304,0)),""))</f>
        <v/>
      </c>
      <c r="H242" s="7" t="inlineStr">
        <is>
          <t>Préventif systématique</t>
        </is>
      </c>
      <c r="I242" s="7" t="inlineStr">
        <is>
          <t>GP-021</t>
        </is>
      </c>
      <c r="J242" s="7" t="inlineStr">
        <is>
          <t>Mécanique</t>
        </is>
      </c>
      <c r="K242" s="7" t="inlineStr">
        <is>
          <t>P3 - Normale</t>
        </is>
      </c>
      <c r="L242" s="7" t="inlineStr">
        <is>
          <t>Contrôle niveaux, nettoyage filtres et bac à copeaux</t>
        </is>
      </c>
      <c r="M242" s="7" t="n"/>
      <c r="N242" s="7" t="inlineStr">
        <is>
          <t>Gamme réalisée - RAS</t>
        </is>
      </c>
      <c r="O242" s="7" t="inlineStr">
        <is>
          <t>Lucas Fontaine</t>
        </is>
      </c>
      <c r="P242" s="65" t="n">
        <v>45775.40625</v>
      </c>
      <c r="Q242" s="75" t="n">
        <v>45775.5</v>
      </c>
      <c r="R242" s="75" t="n">
        <v>45775.55208333334</v>
      </c>
      <c r="S242" s="76" t="n">
        <v>0.6</v>
      </c>
      <c r="T242" s="76" t="n">
        <v>1.25</v>
      </c>
      <c r="U242" s="70">
        <f>IF($A242="","",IFERROR(INDEX('Techniciens'!$F$5:$F$44,MATCH(O242,'Techniciens'!$B$5:$B$44,0)),'Paramètres'!$AA$10))</f>
        <v/>
      </c>
      <c r="V242" s="70">
        <f>IF($A242="","",IF(OR(AC242="Demandé",AC242="Planifié",AC242="Annulé"),0,N(T242)*N(U242)))</f>
        <v/>
      </c>
      <c r="W242" s="70">
        <f>IF($A242="","",SUMIFS('Mouvements stock'!$H$5:$H$3004,'Mouvements stock'!$I$5:$I$3004,$A242,'Mouvements stock'!$C$5:$C$3004,"Sortie")-SUMIFS('Mouvements stock'!$H$5:$H$3004,'Mouvements stock'!$I$5:$I$3004,$A242,'Mouvements stock'!$C$5:$C$3004,"Retour"))</f>
        <v/>
      </c>
      <c r="X242" s="66" t="n">
        <v>0</v>
      </c>
      <c r="Y242" s="66" t="n">
        <v>0</v>
      </c>
      <c r="Z242" s="7" t="n"/>
      <c r="AA242" s="70">
        <f>IF($A242="","",N(V242)+N(W242)+N(X242)+N(Y242))</f>
        <v/>
      </c>
      <c r="AB242" s="70">
        <f>IF($A242="","",N(S242)*'Paramètres'!$AA$9*IFERROR(INDEX('Paramètres'!$O$5:$O$7,MATCH(G242,'Paramètres'!$N$5:$N$7,0)),0))</f>
        <v/>
      </c>
      <c r="AC242" s="7" t="inlineStr">
        <is>
          <t>Clôturé</t>
        </is>
      </c>
      <c r="AD242" s="69">
        <f>IF(OR($A242="",Q242=""),"",(Q242-B242)*24)</f>
        <v/>
      </c>
      <c r="AE242" s="69">
        <f>IF(OR(Q242="",R242=""),"",(R242-Q242)*24)</f>
        <v/>
      </c>
      <c r="AF242" s="77">
        <f>IF(OR($A242="",B242=""),"",YEAR(B242))</f>
        <v/>
      </c>
      <c r="AG242" s="77">
        <f>IF(OR($A242="",B242=""),"",MONTH(B242))</f>
        <v/>
      </c>
    </row>
    <row r="243">
      <c r="A243" s="7" t="inlineStr">
        <is>
          <t>OT-2025-0239</t>
        </is>
      </c>
      <c r="B243" s="75" t="n">
        <v>45768.34375</v>
      </c>
      <c r="C243" s="7" t="inlineStr">
        <is>
          <t>Plan préventif</t>
        </is>
      </c>
      <c r="D243" s="7" t="inlineStr">
        <is>
          <t>EQ-TOL-006</t>
        </is>
      </c>
      <c r="E243" s="9">
        <f>IF(D243="","",IFERROR(INDEX('Équipements'!$B$5:$B$304,MATCH(D243,'Équipements'!$A$5:$A$304,0)),"Code inconnu"))</f>
        <v/>
      </c>
      <c r="F243" s="9">
        <f>IF(D243="","",IFERROR(INDEX('Équipements'!$D$5:$D$304,MATCH(D243,'Équipements'!$A$5:$A$304,0)),""))</f>
        <v/>
      </c>
      <c r="G243" s="9">
        <f>IF(D243="","",IFERROR(INDEX('Équipements'!$K$5:$K$304,MATCH(D243,'Équipements'!$A$5:$A$304,0)),""))</f>
        <v/>
      </c>
      <c r="H243" s="7" t="inlineStr">
        <is>
          <t>Préventif systématique</t>
        </is>
      </c>
      <c r="I243" s="7" t="inlineStr">
        <is>
          <t>GP-055</t>
        </is>
      </c>
      <c r="J243" s="7" t="inlineStr">
        <is>
          <t>Électrique</t>
        </is>
      </c>
      <c r="K243" s="7" t="inlineStr">
        <is>
          <t>P3 - Normale</t>
        </is>
      </c>
      <c r="L243" s="7" t="inlineStr">
        <is>
          <t>Contrôle des sécurités (barrages, AU, pédale)</t>
        </is>
      </c>
      <c r="M243" s="7" t="n"/>
      <c r="N243" s="7" t="inlineStr">
        <is>
          <t>Gamme réalisée - RAS</t>
        </is>
      </c>
      <c r="O243" s="7" t="inlineStr">
        <is>
          <t>Thomas Petit</t>
        </is>
      </c>
      <c r="P243" s="65" t="n">
        <v>45775.54166666666</v>
      </c>
      <c r="Q243" s="75" t="n">
        <v>45775.40277777778</v>
      </c>
      <c r="R243" s="75" t="n">
        <v>45775.47569444445</v>
      </c>
      <c r="S243" s="76" t="n">
        <v>1.8</v>
      </c>
      <c r="T243" s="76" t="n">
        <v>1.75</v>
      </c>
      <c r="U243" s="70">
        <f>IF($A243="","",IFERROR(INDEX('Techniciens'!$F$5:$F$44,MATCH(O243,'Techniciens'!$B$5:$B$44,0)),'Paramètres'!$AA$10))</f>
        <v/>
      </c>
      <c r="V243" s="70">
        <f>IF($A243="","",IF(OR(AC243="Demandé",AC243="Planifié",AC243="Annulé"),0,N(T243)*N(U243)))</f>
        <v/>
      </c>
      <c r="W243" s="70">
        <f>IF($A243="","",SUMIFS('Mouvements stock'!$H$5:$H$3004,'Mouvements stock'!$I$5:$I$3004,$A243,'Mouvements stock'!$C$5:$C$3004,"Sortie")-SUMIFS('Mouvements stock'!$H$5:$H$3004,'Mouvements stock'!$I$5:$I$3004,$A243,'Mouvements stock'!$C$5:$C$3004,"Retour"))</f>
        <v/>
      </c>
      <c r="X243" s="66" t="n">
        <v>0</v>
      </c>
      <c r="Y243" s="66" t="n">
        <v>0</v>
      </c>
      <c r="Z243" s="7" t="n"/>
      <c r="AA243" s="70">
        <f>IF($A243="","",N(V243)+N(W243)+N(X243)+N(Y243))</f>
        <v/>
      </c>
      <c r="AB243" s="70">
        <f>IF($A243="","",N(S243)*'Paramètres'!$AA$9*IFERROR(INDEX('Paramètres'!$O$5:$O$7,MATCH(G243,'Paramètres'!$N$5:$N$7,0)),0))</f>
        <v/>
      </c>
      <c r="AC243" s="7" t="inlineStr">
        <is>
          <t>Clôturé</t>
        </is>
      </c>
      <c r="AD243" s="69">
        <f>IF(OR($A243="",Q243=""),"",(Q243-B243)*24)</f>
        <v/>
      </c>
      <c r="AE243" s="69">
        <f>IF(OR(Q243="",R243=""),"",(R243-Q243)*24)</f>
        <v/>
      </c>
      <c r="AF243" s="77">
        <f>IF(OR($A243="",B243=""),"",YEAR(B243))</f>
        <v/>
      </c>
      <c r="AG243" s="77">
        <f>IF(OR($A243="",B243=""),"",MONTH(B243))</f>
        <v/>
      </c>
    </row>
    <row r="244">
      <c r="A244" s="7" t="inlineStr">
        <is>
          <t>OT-2025-0240</t>
        </is>
      </c>
      <c r="B244" s="75" t="n">
        <v>45768.38888888889</v>
      </c>
      <c r="C244" s="7" t="inlineStr">
        <is>
          <t>Planning réglementaire</t>
        </is>
      </c>
      <c r="D244" s="7" t="inlineStr">
        <is>
          <t>EQ-BAT-001</t>
        </is>
      </c>
      <c r="E244" s="9">
        <f>IF(D244="","",IFERROR(INDEX('Équipements'!$B$5:$B$304,MATCH(D244,'Équipements'!$A$5:$A$304,0)),"Code inconnu"))</f>
        <v/>
      </c>
      <c r="F244" s="9">
        <f>IF(D244="","",IFERROR(INDEX('Équipements'!$D$5:$D$304,MATCH(D244,'Équipements'!$A$5:$A$304,0)),""))</f>
        <v/>
      </c>
      <c r="G244" s="9">
        <f>IF(D244="","",IFERROR(INDEX('Équipements'!$K$5:$K$304,MATCH(D244,'Équipements'!$A$5:$A$304,0)),""))</f>
        <v/>
      </c>
      <c r="H244" s="7" t="inlineStr">
        <is>
          <t>Réglementaire</t>
        </is>
      </c>
      <c r="I244" s="7" t="inlineStr">
        <is>
          <t>CR-020</t>
        </is>
      </c>
      <c r="J244" s="7" t="inlineStr">
        <is>
          <t>Multi-technique</t>
        </is>
      </c>
      <c r="K244" s="7" t="inlineStr">
        <is>
          <t>P2 - Haute</t>
        </is>
      </c>
      <c r="L244" s="7" t="inlineStr">
        <is>
          <t>Entretien et vérification porte automatique</t>
        </is>
      </c>
      <c r="M244" s="7" t="n"/>
      <c r="N244" s="7" t="inlineStr">
        <is>
          <t>Contrôle réalisé - observations mineures au rapport</t>
        </is>
      </c>
      <c r="O244" s="7" t="inlineStr">
        <is>
          <t>Marc Lefèvre</t>
        </is>
      </c>
      <c r="P244" s="65" t="n">
        <v>45789</v>
      </c>
      <c r="Q244" s="75" t="n">
        <v>45789.36805555555</v>
      </c>
      <c r="R244" s="75" t="n">
        <v>45789.40972222222</v>
      </c>
      <c r="S244" s="76" t="n">
        <v>0</v>
      </c>
      <c r="T244" s="76" t="n">
        <v>1</v>
      </c>
      <c r="U244" s="70">
        <f>IF($A244="","",IFERROR(INDEX('Techniciens'!$F$5:$F$44,MATCH(O244,'Techniciens'!$B$5:$B$44,0)),'Paramètres'!$AA$10))</f>
        <v/>
      </c>
      <c r="V244" s="70">
        <f>IF($A244="","",IF(OR(AC244="Demandé",AC244="Planifié",AC244="Annulé"),0,N(T244)*N(U244)))</f>
        <v/>
      </c>
      <c r="W244" s="70">
        <f>IF($A244="","",SUMIFS('Mouvements stock'!$H$5:$H$3004,'Mouvements stock'!$I$5:$I$3004,$A244,'Mouvements stock'!$C$5:$C$3004,"Sortie")-SUMIFS('Mouvements stock'!$H$5:$H$3004,'Mouvements stock'!$I$5:$I$3004,$A244,'Mouvements stock'!$C$5:$C$3004,"Retour"))</f>
        <v/>
      </c>
      <c r="X244" s="66" t="n">
        <v>0</v>
      </c>
      <c r="Y244" s="66" t="n">
        <v>180</v>
      </c>
      <c r="Z244" s="7" t="inlineStr">
        <is>
          <t>Fournitures Industrielles Générales</t>
        </is>
      </c>
      <c r="AA244" s="70">
        <f>IF($A244="","",N(V244)+N(W244)+N(X244)+N(Y244))</f>
        <v/>
      </c>
      <c r="AB244" s="70">
        <f>IF($A244="","",N(S244)*'Paramètres'!$AA$9*IFERROR(INDEX('Paramètres'!$O$5:$O$7,MATCH(G244,'Paramètres'!$N$5:$N$7,0)),0))</f>
        <v/>
      </c>
      <c r="AC244" s="7" t="inlineStr">
        <is>
          <t>Clôturé</t>
        </is>
      </c>
      <c r="AD244" s="69">
        <f>IF(OR($A244="",Q244=""),"",(Q244-B244)*24)</f>
        <v/>
      </c>
      <c r="AE244" s="69">
        <f>IF(OR(Q244="",R244=""),"",(R244-Q244)*24)</f>
        <v/>
      </c>
      <c r="AF244" s="77">
        <f>IF(OR($A244="",B244=""),"",YEAR(B244))</f>
        <v/>
      </c>
      <c r="AG244" s="77">
        <f>IF(OR($A244="",B244=""),"",MONTH(B244))</f>
        <v/>
      </c>
    </row>
    <row r="245">
      <c r="A245" s="7" t="inlineStr">
        <is>
          <t>OT-2025-0241</t>
        </is>
      </c>
      <c r="B245" s="75" t="n">
        <v>45768.40972222222</v>
      </c>
      <c r="C245" s="7" t="inlineStr">
        <is>
          <t>Plan préventif</t>
        </is>
      </c>
      <c r="D245" s="7" t="inlineStr">
        <is>
          <t>EQ-USI-009</t>
        </is>
      </c>
      <c r="E245" s="9">
        <f>IF(D245="","",IFERROR(INDEX('Équipements'!$B$5:$B$304,MATCH(D245,'Équipements'!$A$5:$A$304,0)),"Code inconnu"))</f>
        <v/>
      </c>
      <c r="F245" s="9">
        <f>IF(D245="","",IFERROR(INDEX('Équipements'!$D$5:$D$304,MATCH(D245,'Équipements'!$A$5:$A$304,0)),""))</f>
        <v/>
      </c>
      <c r="G245" s="9">
        <f>IF(D245="","",IFERROR(INDEX('Équipements'!$K$5:$K$304,MATCH(D245,'Équipements'!$A$5:$A$304,0)),""))</f>
        <v/>
      </c>
      <c r="H245" s="7" t="inlineStr">
        <is>
          <t>Préventif systématique</t>
        </is>
      </c>
      <c r="I245" s="7" t="inlineStr">
        <is>
          <t>GP-030</t>
        </is>
      </c>
      <c r="J245" s="7" t="inlineStr">
        <is>
          <t>Mécanique</t>
        </is>
      </c>
      <c r="K245" s="7" t="inlineStr">
        <is>
          <t>P3 - Normale</t>
        </is>
      </c>
      <c r="L245" s="7" t="inlineStr">
        <is>
          <t>Contrôle lame, guides et liquide de coupe</t>
        </is>
      </c>
      <c r="M245" s="7" t="n"/>
      <c r="N245" s="7" t="inlineStr">
        <is>
          <t>Gamme réalisée - RAS</t>
        </is>
      </c>
      <c r="O245" s="7" t="inlineStr">
        <is>
          <t>Karim Benali</t>
        </is>
      </c>
      <c r="P245" s="65" t="n">
        <v>45775.52430555555</v>
      </c>
      <c r="Q245" s="75" t="n">
        <v>45775.26388888889</v>
      </c>
      <c r="R245" s="75" t="n">
        <v>45775.29513888889</v>
      </c>
      <c r="S245" s="76" t="n">
        <v>0.8</v>
      </c>
      <c r="T245" s="76" t="n">
        <v>0.75</v>
      </c>
      <c r="U245" s="70">
        <f>IF($A245="","",IFERROR(INDEX('Techniciens'!$F$5:$F$44,MATCH(O245,'Techniciens'!$B$5:$B$44,0)),'Paramètres'!$AA$10))</f>
        <v/>
      </c>
      <c r="V245" s="70">
        <f>IF($A245="","",IF(OR(AC245="Demandé",AC245="Planifié",AC245="Annulé"),0,N(T245)*N(U245)))</f>
        <v/>
      </c>
      <c r="W245" s="70">
        <f>IF($A245="","",SUMIFS('Mouvements stock'!$H$5:$H$3004,'Mouvements stock'!$I$5:$I$3004,$A245,'Mouvements stock'!$C$5:$C$3004,"Sortie")-SUMIFS('Mouvements stock'!$H$5:$H$3004,'Mouvements stock'!$I$5:$I$3004,$A245,'Mouvements stock'!$C$5:$C$3004,"Retour"))</f>
        <v/>
      </c>
      <c r="X245" s="66" t="n">
        <v>0</v>
      </c>
      <c r="Y245" s="66" t="n">
        <v>0</v>
      </c>
      <c r="Z245" s="7" t="n"/>
      <c r="AA245" s="70">
        <f>IF($A245="","",N(V245)+N(W245)+N(X245)+N(Y245))</f>
        <v/>
      </c>
      <c r="AB245" s="70">
        <f>IF($A245="","",N(S245)*'Paramètres'!$AA$9*IFERROR(INDEX('Paramètres'!$O$5:$O$7,MATCH(G245,'Paramètres'!$N$5:$N$7,0)),0))</f>
        <v/>
      </c>
      <c r="AC245" s="7" t="inlineStr">
        <is>
          <t>Clôturé</t>
        </is>
      </c>
      <c r="AD245" s="69">
        <f>IF(OR($A245="",Q245=""),"",(Q245-B245)*24)</f>
        <v/>
      </c>
      <c r="AE245" s="69">
        <f>IF(OR(Q245="",R245=""),"",(R245-Q245)*24)</f>
        <v/>
      </c>
      <c r="AF245" s="77">
        <f>IF(OR($A245="",B245=""),"",YEAR(B245))</f>
        <v/>
      </c>
      <c r="AG245" s="77">
        <f>IF(OR($A245="",B245=""),"",MONTH(B245))</f>
        <v/>
      </c>
    </row>
    <row r="246">
      <c r="A246" s="7" t="inlineStr">
        <is>
          <t>OT-2025-0242</t>
        </is>
      </c>
      <c r="B246" s="75" t="n">
        <v>45768.43055555555</v>
      </c>
      <c r="C246" s="7" t="inlineStr">
        <is>
          <t>Plan préventif</t>
        </is>
      </c>
      <c r="D246" s="7" t="inlineStr">
        <is>
          <t>EQ-ASS-004</t>
        </is>
      </c>
      <c r="E246" s="9">
        <f>IF(D246="","",IFERROR(INDEX('Équipements'!$B$5:$B$304,MATCH(D246,'Équipements'!$A$5:$A$304,0)),"Code inconnu"))</f>
        <v/>
      </c>
      <c r="F246" s="9">
        <f>IF(D246="","",IFERROR(INDEX('Équipements'!$D$5:$D$304,MATCH(D246,'Équipements'!$A$5:$A$304,0)),""))</f>
        <v/>
      </c>
      <c r="G246" s="9">
        <f>IF(D246="","",IFERROR(INDEX('Équipements'!$K$5:$K$304,MATCH(D246,'Équipements'!$A$5:$A$304,0)),""))</f>
        <v/>
      </c>
      <c r="H246" s="7" t="inlineStr">
        <is>
          <t>Préventif systématique</t>
        </is>
      </c>
      <c r="I246" s="7" t="inlineStr">
        <is>
          <t>GP-083</t>
        </is>
      </c>
      <c r="J246" s="7" t="inlineStr">
        <is>
          <t>Mécanique</t>
        </is>
      </c>
      <c r="K246" s="7" t="inlineStr">
        <is>
          <t>P3 - Normale</t>
        </is>
      </c>
      <c r="L246" s="7" t="inlineStr">
        <is>
          <t>Nettoyage et contrôle général</t>
        </is>
      </c>
      <c r="M246" s="7" t="n"/>
      <c r="N246" s="7" t="inlineStr">
        <is>
          <t>Gamme réalisée - RAS</t>
        </is>
      </c>
      <c r="O246" s="7" t="inlineStr">
        <is>
          <t>Antoine Mercier</t>
        </is>
      </c>
      <c r="P246" s="65" t="n">
        <v>45775.27083333334</v>
      </c>
      <c r="Q246" s="75" t="n">
        <v>45775.60416666666</v>
      </c>
      <c r="R246" s="75" t="n">
        <v>45775.63541666666</v>
      </c>
      <c r="S246" s="76" t="n">
        <v>0</v>
      </c>
      <c r="T246" s="76" t="n">
        <v>0.75</v>
      </c>
      <c r="U246" s="70">
        <f>IF($A246="","",IFERROR(INDEX('Techniciens'!$F$5:$F$44,MATCH(O246,'Techniciens'!$B$5:$B$44,0)),'Paramètres'!$AA$10))</f>
        <v/>
      </c>
      <c r="V246" s="70">
        <f>IF($A246="","",IF(OR(AC246="Demandé",AC246="Planifié",AC246="Annulé"),0,N(T246)*N(U246)))</f>
        <v/>
      </c>
      <c r="W246" s="70">
        <f>IF($A246="","",SUMIFS('Mouvements stock'!$H$5:$H$3004,'Mouvements stock'!$I$5:$I$3004,$A246,'Mouvements stock'!$C$5:$C$3004,"Sortie")-SUMIFS('Mouvements stock'!$H$5:$H$3004,'Mouvements stock'!$I$5:$I$3004,$A246,'Mouvements stock'!$C$5:$C$3004,"Retour"))</f>
        <v/>
      </c>
      <c r="X246" s="66" t="n">
        <v>0</v>
      </c>
      <c r="Y246" s="66" t="n">
        <v>0</v>
      </c>
      <c r="Z246" s="7" t="n"/>
      <c r="AA246" s="70">
        <f>IF($A246="","",N(V246)+N(W246)+N(X246)+N(Y246))</f>
        <v/>
      </c>
      <c r="AB246" s="70">
        <f>IF($A246="","",N(S246)*'Paramètres'!$AA$9*IFERROR(INDEX('Paramètres'!$O$5:$O$7,MATCH(G246,'Paramètres'!$N$5:$N$7,0)),0))</f>
        <v/>
      </c>
      <c r="AC246" s="7" t="inlineStr">
        <is>
          <t>Clôturé</t>
        </is>
      </c>
      <c r="AD246" s="69">
        <f>IF(OR($A246="",Q246=""),"",(Q246-B246)*24)</f>
        <v/>
      </c>
      <c r="AE246" s="69">
        <f>IF(OR(Q246="",R246=""),"",(R246-Q246)*24)</f>
        <v/>
      </c>
      <c r="AF246" s="77">
        <f>IF(OR($A246="",B246=""),"",YEAR(B246))</f>
        <v/>
      </c>
      <c r="AG246" s="77">
        <f>IF(OR($A246="",B246=""),"",MONTH(B246))</f>
        <v/>
      </c>
    </row>
    <row r="247">
      <c r="A247" s="7" t="inlineStr">
        <is>
          <t>OT-2025-0243</t>
        </is>
      </c>
      <c r="B247" s="75" t="n">
        <v>45768.46527777778</v>
      </c>
      <c r="C247" s="7" t="inlineStr">
        <is>
          <t>Plan préventif</t>
        </is>
      </c>
      <c r="D247" s="7" t="inlineStr">
        <is>
          <t>EQ-ASS-006</t>
        </is>
      </c>
      <c r="E247" s="9">
        <f>IF(D247="","",IFERROR(INDEX('Équipements'!$B$5:$B$304,MATCH(D247,'Équipements'!$A$5:$A$304,0)),"Code inconnu"))</f>
        <v/>
      </c>
      <c r="F247" s="9">
        <f>IF(D247="","",IFERROR(INDEX('Équipements'!$D$5:$D$304,MATCH(D247,'Équipements'!$A$5:$A$304,0)),""))</f>
        <v/>
      </c>
      <c r="G247" s="9">
        <f>IF(D247="","",IFERROR(INDEX('Équipements'!$K$5:$K$304,MATCH(D247,'Équipements'!$A$5:$A$304,0)),""))</f>
        <v/>
      </c>
      <c r="H247" s="7" t="inlineStr">
        <is>
          <t>Préventif systématique</t>
        </is>
      </c>
      <c r="I247" s="7" t="inlineStr">
        <is>
          <t>GP-085</t>
        </is>
      </c>
      <c r="J247" s="7" t="inlineStr">
        <is>
          <t>Mécanique</t>
        </is>
      </c>
      <c r="K247" s="7" t="inlineStr">
        <is>
          <t>P3 - Normale</t>
        </is>
      </c>
      <c r="L247" s="7" t="inlineStr">
        <is>
          <t>Graissage chaîne / galets et contrôle tension</t>
        </is>
      </c>
      <c r="M247" s="7" t="n"/>
      <c r="N247" s="7" t="inlineStr">
        <is>
          <t>Gamme réalisée - RAS</t>
        </is>
      </c>
      <c r="O247" s="7" t="inlineStr">
        <is>
          <t>Lucas Fontaine</t>
        </is>
      </c>
      <c r="P247" s="65" t="n">
        <v>45775.44444444445</v>
      </c>
      <c r="Q247" s="75" t="n">
        <v>45775.46527777778</v>
      </c>
      <c r="R247" s="75" t="n">
        <v>45775.56944444445</v>
      </c>
      <c r="S247" s="76" t="n">
        <v>0</v>
      </c>
      <c r="T247" s="76" t="n">
        <v>2.5</v>
      </c>
      <c r="U247" s="70">
        <f>IF($A247="","",IFERROR(INDEX('Techniciens'!$F$5:$F$44,MATCH(O247,'Techniciens'!$B$5:$B$44,0)),'Paramètres'!$AA$10))</f>
        <v/>
      </c>
      <c r="V247" s="70">
        <f>IF($A247="","",IF(OR(AC247="Demandé",AC247="Planifié",AC247="Annulé"),0,N(T247)*N(U247)))</f>
        <v/>
      </c>
      <c r="W247" s="70">
        <f>IF($A247="","",SUMIFS('Mouvements stock'!$H$5:$H$3004,'Mouvements stock'!$I$5:$I$3004,$A247,'Mouvements stock'!$C$5:$C$3004,"Sortie")-SUMIFS('Mouvements stock'!$H$5:$H$3004,'Mouvements stock'!$I$5:$I$3004,$A247,'Mouvements stock'!$C$5:$C$3004,"Retour"))</f>
        <v/>
      </c>
      <c r="X247" s="66" t="n">
        <v>0</v>
      </c>
      <c r="Y247" s="66" t="n">
        <v>0</v>
      </c>
      <c r="Z247" s="7" t="n"/>
      <c r="AA247" s="70">
        <f>IF($A247="","",N(V247)+N(W247)+N(X247)+N(Y247))</f>
        <v/>
      </c>
      <c r="AB247" s="70">
        <f>IF($A247="","",N(S247)*'Paramètres'!$AA$9*IFERROR(INDEX('Paramètres'!$O$5:$O$7,MATCH(G247,'Paramètres'!$N$5:$N$7,0)),0))</f>
        <v/>
      </c>
      <c r="AC247" s="7" t="inlineStr">
        <is>
          <t>Clôturé</t>
        </is>
      </c>
      <c r="AD247" s="69">
        <f>IF(OR($A247="",Q247=""),"",(Q247-B247)*24)</f>
        <v/>
      </c>
      <c r="AE247" s="69">
        <f>IF(OR(Q247="",R247=""),"",(R247-Q247)*24)</f>
        <v/>
      </c>
      <c r="AF247" s="77">
        <f>IF(OR($A247="",B247=""),"",YEAR(B247))</f>
        <v/>
      </c>
      <c r="AG247" s="77">
        <f>IF(OR($A247="",B247=""),"",MONTH(B247))</f>
        <v/>
      </c>
    </row>
    <row r="248">
      <c r="A248" s="7" t="inlineStr">
        <is>
          <t>OT-2025-0244</t>
        </is>
      </c>
      <c r="B248" s="75" t="n">
        <v>45768.48611111111</v>
      </c>
      <c r="C248" s="7" t="inlineStr">
        <is>
          <t>Plan préventif</t>
        </is>
      </c>
      <c r="D248" s="7" t="inlineStr">
        <is>
          <t>EQ-TOL-007</t>
        </is>
      </c>
      <c r="E248" s="9">
        <f>IF(D248="","",IFERROR(INDEX('Équipements'!$B$5:$B$304,MATCH(D248,'Équipements'!$A$5:$A$304,0)),"Code inconnu"))</f>
        <v/>
      </c>
      <c r="F248" s="9">
        <f>IF(D248="","",IFERROR(INDEX('Équipements'!$D$5:$D$304,MATCH(D248,'Équipements'!$A$5:$A$304,0)),""))</f>
        <v/>
      </c>
      <c r="G248" s="9">
        <f>IF(D248="","",IFERROR(INDEX('Équipements'!$K$5:$K$304,MATCH(D248,'Équipements'!$A$5:$A$304,0)),""))</f>
        <v/>
      </c>
      <c r="H248" s="7" t="inlineStr">
        <is>
          <t>Préventif systématique</t>
        </is>
      </c>
      <c r="I248" s="7" t="inlineStr">
        <is>
          <t>GP-057</t>
        </is>
      </c>
      <c r="J248" s="7" t="inlineStr">
        <is>
          <t>Mécanique</t>
        </is>
      </c>
      <c r="K248" s="7" t="inlineStr">
        <is>
          <t>P3 - Normale</t>
        </is>
      </c>
      <c r="L248" s="7" t="inlineStr">
        <is>
          <t>Contrôle motoréducteurs et usure</t>
        </is>
      </c>
      <c r="M248" s="7" t="n"/>
      <c r="N248" s="7" t="inlineStr">
        <is>
          <t>Gamme réalisée - RAS</t>
        </is>
      </c>
      <c r="O248" s="7" t="inlineStr">
        <is>
          <t>Karim Benali</t>
        </is>
      </c>
      <c r="P248" s="65" t="n">
        <v>45775</v>
      </c>
      <c r="Q248" s="75" t="n">
        <v>45775.26388888889</v>
      </c>
      <c r="R248" s="75" t="n">
        <v>45775.44097222222</v>
      </c>
      <c r="S248" s="76" t="n">
        <v>4.2</v>
      </c>
      <c r="T248" s="76" t="n">
        <v>4.25</v>
      </c>
      <c r="U248" s="70">
        <f>IF($A248="","",IFERROR(INDEX('Techniciens'!$F$5:$F$44,MATCH(O248,'Techniciens'!$B$5:$B$44,0)),'Paramètres'!$AA$10))</f>
        <v/>
      </c>
      <c r="V248" s="70">
        <f>IF($A248="","",IF(OR(AC248="Demandé",AC248="Planifié",AC248="Annulé"),0,N(T248)*N(U248)))</f>
        <v/>
      </c>
      <c r="W248" s="70">
        <f>IF($A248="","",SUMIFS('Mouvements stock'!$H$5:$H$3004,'Mouvements stock'!$I$5:$I$3004,$A248,'Mouvements stock'!$C$5:$C$3004,"Sortie")-SUMIFS('Mouvements stock'!$H$5:$H$3004,'Mouvements stock'!$I$5:$I$3004,$A248,'Mouvements stock'!$C$5:$C$3004,"Retour"))</f>
        <v/>
      </c>
      <c r="X248" s="66" t="n">
        <v>0</v>
      </c>
      <c r="Y248" s="66" t="n">
        <v>0</v>
      </c>
      <c r="Z248" s="7" t="n"/>
      <c r="AA248" s="70">
        <f>IF($A248="","",N(V248)+N(W248)+N(X248)+N(Y248))</f>
        <v/>
      </c>
      <c r="AB248" s="70">
        <f>IF($A248="","",N(S248)*'Paramètres'!$AA$9*IFERROR(INDEX('Paramètres'!$O$5:$O$7,MATCH(G248,'Paramètres'!$N$5:$N$7,0)),0))</f>
        <v/>
      </c>
      <c r="AC248" s="7" t="inlineStr">
        <is>
          <t>Clôturé</t>
        </is>
      </c>
      <c r="AD248" s="69">
        <f>IF(OR($A248="",Q248=""),"",(Q248-B248)*24)</f>
        <v/>
      </c>
      <c r="AE248" s="69">
        <f>IF(OR(Q248="",R248=""),"",(R248-Q248)*24)</f>
        <v/>
      </c>
      <c r="AF248" s="77">
        <f>IF(OR($A248="",B248=""),"",YEAR(B248))</f>
        <v/>
      </c>
      <c r="AG248" s="77">
        <f>IF(OR($A248="",B248=""),"",MONTH(B248))</f>
        <v/>
      </c>
    </row>
    <row r="249">
      <c r="A249" s="7" t="inlineStr">
        <is>
          <t>OT-2025-0245</t>
        </is>
      </c>
      <c r="B249" s="75" t="n">
        <v>45768.48611111111</v>
      </c>
      <c r="C249" s="7" t="inlineStr">
        <is>
          <t>Plan préventif</t>
        </is>
      </c>
      <c r="D249" s="7" t="inlineStr">
        <is>
          <t>EQ-PEI-003</t>
        </is>
      </c>
      <c r="E249" s="9">
        <f>IF(D249="","",IFERROR(INDEX('Équipements'!$B$5:$B$304,MATCH(D249,'Équipements'!$A$5:$A$304,0)),"Code inconnu"))</f>
        <v/>
      </c>
      <c r="F249" s="9">
        <f>IF(D249="","",IFERROR(INDEX('Équipements'!$D$5:$D$304,MATCH(D249,'Équipements'!$A$5:$A$304,0)),""))</f>
        <v/>
      </c>
      <c r="G249" s="9">
        <f>IF(D249="","",IFERROR(INDEX('Équipements'!$K$5:$K$304,MATCH(D249,'Équipements'!$A$5:$A$304,0)),""))</f>
        <v/>
      </c>
      <c r="H249" s="7" t="inlineStr">
        <is>
          <t>Préventif systématique</t>
        </is>
      </c>
      <c r="I249" s="7" t="inlineStr">
        <is>
          <t>GP-070</t>
        </is>
      </c>
      <c r="J249" s="7" t="inlineStr">
        <is>
          <t>Mécanique</t>
        </is>
      </c>
      <c r="K249" s="7" t="inlineStr">
        <is>
          <t>P3 - Normale</t>
        </is>
      </c>
      <c r="L249" s="7" t="inlineStr">
        <is>
          <t>Nettoyage et remplacement des filtres</t>
        </is>
      </c>
      <c r="M249" s="7" t="n"/>
      <c r="N249" s="7" t="inlineStr">
        <is>
          <t>Gamme réalisée - RAS</t>
        </is>
      </c>
      <c r="O249" s="7" t="inlineStr">
        <is>
          <t>Antoine Mercier</t>
        </is>
      </c>
      <c r="P249" s="65" t="n">
        <v>45775.47222222222</v>
      </c>
      <c r="Q249" s="75" t="n">
        <v>45775.38541666666</v>
      </c>
      <c r="R249" s="75" t="n">
        <v>45775.5</v>
      </c>
      <c r="S249" s="76" t="n">
        <v>2.8</v>
      </c>
      <c r="T249" s="76" t="n">
        <v>2.75</v>
      </c>
      <c r="U249" s="70">
        <f>IF($A249="","",IFERROR(INDEX('Techniciens'!$F$5:$F$44,MATCH(O249,'Techniciens'!$B$5:$B$44,0)),'Paramètres'!$AA$10))</f>
        <v/>
      </c>
      <c r="V249" s="70">
        <f>IF($A249="","",IF(OR(AC249="Demandé",AC249="Planifié",AC249="Annulé"),0,N(T249)*N(U249)))</f>
        <v/>
      </c>
      <c r="W249" s="70">
        <f>IF($A249="","",SUMIFS('Mouvements stock'!$H$5:$H$3004,'Mouvements stock'!$I$5:$I$3004,$A249,'Mouvements stock'!$C$5:$C$3004,"Sortie")-SUMIFS('Mouvements stock'!$H$5:$H$3004,'Mouvements stock'!$I$5:$I$3004,$A249,'Mouvements stock'!$C$5:$C$3004,"Retour"))</f>
        <v/>
      </c>
      <c r="X249" s="66" t="n">
        <v>0</v>
      </c>
      <c r="Y249" s="66" t="n">
        <v>0</v>
      </c>
      <c r="Z249" s="7" t="n"/>
      <c r="AA249" s="70">
        <f>IF($A249="","",N(V249)+N(W249)+N(X249)+N(Y249))</f>
        <v/>
      </c>
      <c r="AB249" s="70">
        <f>IF($A249="","",N(S249)*'Paramètres'!$AA$9*IFERROR(INDEX('Paramètres'!$O$5:$O$7,MATCH(G249,'Paramètres'!$N$5:$N$7,0)),0))</f>
        <v/>
      </c>
      <c r="AC249" s="7" t="inlineStr">
        <is>
          <t>Clôturé</t>
        </is>
      </c>
      <c r="AD249" s="69">
        <f>IF(OR($A249="",Q249=""),"",(Q249-B249)*24)</f>
        <v/>
      </c>
      <c r="AE249" s="69">
        <f>IF(OR(Q249="",R249=""),"",(R249-Q249)*24)</f>
        <v/>
      </c>
      <c r="AF249" s="77">
        <f>IF(OR($A249="",B249=""),"",YEAR(B249))</f>
        <v/>
      </c>
      <c r="AG249" s="77">
        <f>IF(OR($A249="",B249=""),"",MONTH(B249))</f>
        <v/>
      </c>
    </row>
    <row r="250">
      <c r="A250" s="7" t="inlineStr">
        <is>
          <t>OT-2025-0246</t>
        </is>
      </c>
      <c r="B250" s="75" t="n">
        <v>45768.55277777778</v>
      </c>
      <c r="C250" s="7" t="inlineStr">
        <is>
          <t>Marc Lefèvre</t>
        </is>
      </c>
      <c r="D250" s="7" t="inlineStr">
        <is>
          <t>EQ-BAT-003</t>
        </is>
      </c>
      <c r="E250" s="9">
        <f>IF(D250="","",IFERROR(INDEX('Équipements'!$B$5:$B$304,MATCH(D250,'Équipements'!$A$5:$A$304,0)),"Code inconnu"))</f>
        <v/>
      </c>
      <c r="F250" s="9">
        <f>IF(D250="","",IFERROR(INDEX('Équipements'!$D$5:$D$304,MATCH(D250,'Équipements'!$A$5:$A$304,0)),""))</f>
        <v/>
      </c>
      <c r="G250" s="9">
        <f>IF(D250="","",IFERROR(INDEX('Équipements'!$K$5:$K$304,MATCH(D250,'Équipements'!$A$5:$A$304,0)),""))</f>
        <v/>
      </c>
      <c r="H250" s="7" t="inlineStr">
        <is>
          <t>Correctif</t>
        </is>
      </c>
      <c r="I250" s="7" t="n"/>
      <c r="J250" s="7" t="inlineStr">
        <is>
          <t>Électrique</t>
        </is>
      </c>
      <c r="K250" s="7" t="inlineStr">
        <is>
          <t>P2 - Haute</t>
        </is>
      </c>
      <c r="L250" s="7" t="inlineStr">
        <is>
          <t>Mise en sécurité (défaut allumage)</t>
        </is>
      </c>
      <c r="M250" s="7" t="inlineStr">
        <is>
          <t>Défaut capteur</t>
        </is>
      </c>
      <c r="N250" s="7" t="inlineStr">
        <is>
          <t>Remplacement sonde, réglage combustion</t>
        </is>
      </c>
      <c r="O250" s="7" t="inlineStr">
        <is>
          <t>Julien Moreau</t>
        </is>
      </c>
      <c r="P250" s="65" t="n"/>
      <c r="Q250" s="75" t="n">
        <v>45768.68402777778</v>
      </c>
      <c r="R250" s="75" t="n">
        <v>45770.97722006808</v>
      </c>
      <c r="S250" s="76" t="n">
        <v>34.4</v>
      </c>
      <c r="T250" s="76" t="n">
        <v>7.5</v>
      </c>
      <c r="U250" s="70">
        <f>IF($A250="","",IFERROR(INDEX('Techniciens'!$F$5:$F$44,MATCH(O250,'Techniciens'!$B$5:$B$44,0)),'Paramètres'!$AA$10))</f>
        <v/>
      </c>
      <c r="V250" s="70">
        <f>IF($A250="","",IF(OR(AC250="Demandé",AC250="Planifié",AC250="Annulé"),0,N(T250)*N(U250)))</f>
        <v/>
      </c>
      <c r="W250" s="70">
        <f>IF($A250="","",SUMIFS('Mouvements stock'!$H$5:$H$3004,'Mouvements stock'!$I$5:$I$3004,$A250,'Mouvements stock'!$C$5:$C$3004,"Sortie")-SUMIFS('Mouvements stock'!$H$5:$H$3004,'Mouvements stock'!$I$5:$I$3004,$A250,'Mouvements stock'!$C$5:$C$3004,"Retour"))</f>
        <v/>
      </c>
      <c r="X250" s="66" t="n">
        <v>0</v>
      </c>
      <c r="Y250" s="66" t="n">
        <v>0</v>
      </c>
      <c r="Z250" s="7" t="n"/>
      <c r="AA250" s="70">
        <f>IF($A250="","",N(V250)+N(W250)+N(X250)+N(Y250))</f>
        <v/>
      </c>
      <c r="AB250" s="70">
        <f>IF($A250="","",N(S250)*'Paramètres'!$AA$9*IFERROR(INDEX('Paramètres'!$O$5:$O$7,MATCH(G250,'Paramètres'!$N$5:$N$7,0)),0))</f>
        <v/>
      </c>
      <c r="AC250" s="7" t="inlineStr">
        <is>
          <t>Clôturé</t>
        </is>
      </c>
      <c r="AD250" s="69">
        <f>IF(OR($A250="",Q250=""),"",(Q250-B250)*24)</f>
        <v/>
      </c>
      <c r="AE250" s="69">
        <f>IF(OR(Q250="",R250=""),"",(R250-Q250)*24)</f>
        <v/>
      </c>
      <c r="AF250" s="77">
        <f>IF(OR($A250="",B250=""),"",YEAR(B250))</f>
        <v/>
      </c>
      <c r="AG250" s="77">
        <f>IF(OR($A250="",B250=""),"",MONTH(B250))</f>
        <v/>
      </c>
    </row>
    <row r="251">
      <c r="A251" s="7" t="inlineStr">
        <is>
          <t>OT-2025-0247</t>
        </is>
      </c>
      <c r="B251" s="75" t="n">
        <v>45768.69027777778</v>
      </c>
      <c r="C251" s="7" t="inlineStr">
        <is>
          <t>Opérateur usinage</t>
        </is>
      </c>
      <c r="D251" s="7" t="inlineStr">
        <is>
          <t>EQ-USI-002</t>
        </is>
      </c>
      <c r="E251" s="9">
        <f>IF(D251="","",IFERROR(INDEX('Équipements'!$B$5:$B$304,MATCH(D251,'Équipements'!$A$5:$A$304,0)),"Code inconnu"))</f>
        <v/>
      </c>
      <c r="F251" s="9">
        <f>IF(D251="","",IFERROR(INDEX('Équipements'!$D$5:$D$304,MATCH(D251,'Équipements'!$A$5:$A$304,0)),""))</f>
        <v/>
      </c>
      <c r="G251" s="9">
        <f>IF(D251="","",IFERROR(INDEX('Équipements'!$K$5:$K$304,MATCH(D251,'Équipements'!$A$5:$A$304,0)),""))</f>
        <v/>
      </c>
      <c r="H251" s="7" t="inlineStr">
        <is>
          <t>Correctif</t>
        </is>
      </c>
      <c r="I251" s="7" t="n"/>
      <c r="J251" s="7" t="inlineStr">
        <is>
          <t>Électrique</t>
        </is>
      </c>
      <c r="K251" s="7" t="inlineStr">
        <is>
          <t>P1 - Urgent</t>
        </is>
      </c>
      <c r="L251" s="7" t="inlineStr">
        <is>
          <t>Alarme codeur axe X</t>
        </is>
      </c>
      <c r="M251" s="7" t="inlineStr">
        <is>
          <t>Défaut capteur</t>
        </is>
      </c>
      <c r="N251" s="7" t="inlineStr">
        <is>
          <t>Contrôle câblage, remplacement codeur</t>
        </is>
      </c>
      <c r="O251" s="7" t="inlineStr">
        <is>
          <t>Antoine Mercier</t>
        </is>
      </c>
      <c r="P251" s="65" t="n"/>
      <c r="Q251" s="75" t="n">
        <v>45768.72361111111</v>
      </c>
      <c r="R251" s="75" t="n">
        <v>45768.95277777778</v>
      </c>
      <c r="S251" s="76" t="n">
        <v>6.3</v>
      </c>
      <c r="T251" s="76" t="n">
        <v>5.5</v>
      </c>
      <c r="U251" s="70">
        <f>IF($A251="","",IFERROR(INDEX('Techniciens'!$F$5:$F$44,MATCH(O251,'Techniciens'!$B$5:$B$44,0)),'Paramètres'!$AA$10))</f>
        <v/>
      </c>
      <c r="V251" s="70">
        <f>IF($A251="","",IF(OR(AC251="Demandé",AC251="Planifié",AC251="Annulé"),0,N(T251)*N(U251)))</f>
        <v/>
      </c>
      <c r="W251" s="70">
        <f>IF($A251="","",SUMIFS('Mouvements stock'!$H$5:$H$3004,'Mouvements stock'!$I$5:$I$3004,$A251,'Mouvements stock'!$C$5:$C$3004,"Sortie")-SUMIFS('Mouvements stock'!$H$5:$H$3004,'Mouvements stock'!$I$5:$I$3004,$A251,'Mouvements stock'!$C$5:$C$3004,"Retour"))</f>
        <v/>
      </c>
      <c r="X251" s="66" t="n">
        <v>0</v>
      </c>
      <c r="Y251" s="66" t="n">
        <v>1270</v>
      </c>
      <c r="Z251" s="7" t="inlineStr">
        <is>
          <t>SAV Machines-Outils Atlantique</t>
        </is>
      </c>
      <c r="AA251" s="70">
        <f>IF($A251="","",N(V251)+N(W251)+N(X251)+N(Y251))</f>
        <v/>
      </c>
      <c r="AB251" s="70">
        <f>IF($A251="","",N(S251)*'Paramètres'!$AA$9*IFERROR(INDEX('Paramètres'!$O$5:$O$7,MATCH(G251,'Paramètres'!$N$5:$N$7,0)),0))</f>
        <v/>
      </c>
      <c r="AC251" s="7" t="inlineStr">
        <is>
          <t>Clôturé</t>
        </is>
      </c>
      <c r="AD251" s="69">
        <f>IF(OR($A251="",Q251=""),"",(Q251-B251)*24)</f>
        <v/>
      </c>
      <c r="AE251" s="69">
        <f>IF(OR(Q251="",R251=""),"",(R251-Q251)*24)</f>
        <v/>
      </c>
      <c r="AF251" s="77">
        <f>IF(OR($A251="",B251=""),"",YEAR(B251))</f>
        <v/>
      </c>
      <c r="AG251" s="77">
        <f>IF(OR($A251="",B251=""),"",MONTH(B251))</f>
        <v/>
      </c>
    </row>
    <row r="252">
      <c r="A252" s="7" t="inlineStr">
        <is>
          <t>OT-2025-0248</t>
        </is>
      </c>
      <c r="B252" s="75" t="n">
        <v>45769.42708333334</v>
      </c>
      <c r="C252" s="7" t="inlineStr">
        <is>
          <t>Plan préventif</t>
        </is>
      </c>
      <c r="D252" s="7" t="inlineStr">
        <is>
          <t>EQ-UTI-001</t>
        </is>
      </c>
      <c r="E252" s="9">
        <f>IF(D252="","",IFERROR(INDEX('Équipements'!$B$5:$B$304,MATCH(D252,'Équipements'!$A$5:$A$304,0)),"Code inconnu"))</f>
        <v/>
      </c>
      <c r="F252" s="9">
        <f>IF(D252="","",IFERROR(INDEX('Équipements'!$D$5:$D$304,MATCH(D252,'Équipements'!$A$5:$A$304,0)),""))</f>
        <v/>
      </c>
      <c r="G252" s="9">
        <f>IF(D252="","",IFERROR(INDEX('Équipements'!$K$5:$K$304,MATCH(D252,'Équipements'!$A$5:$A$304,0)),""))</f>
        <v/>
      </c>
      <c r="H252" s="7" t="inlineStr">
        <is>
          <t>Préventif conditionnel</t>
        </is>
      </c>
      <c r="I252" s="7" t="inlineStr">
        <is>
          <t>GP-087</t>
        </is>
      </c>
      <c r="J252" s="7" t="inlineStr">
        <is>
          <t>Mécanique</t>
        </is>
      </c>
      <c r="K252" s="7" t="inlineStr">
        <is>
          <t>P3 - Normale</t>
        </is>
      </c>
      <c r="L252" s="7" t="inlineStr">
        <is>
          <t>Entretien 2000 h : filtres air/huile, séparateur</t>
        </is>
      </c>
      <c r="M252" s="7" t="n"/>
      <c r="N252" s="7" t="inlineStr">
        <is>
          <t>Gamme réalisée - RAS</t>
        </is>
      </c>
      <c r="O252" s="7" t="inlineStr">
        <is>
          <t>Lucas Fontaine</t>
        </is>
      </c>
      <c r="P252" s="65" t="n">
        <v>45776.69791666666</v>
      </c>
      <c r="Q252" s="75" t="n">
        <v>45776.44444444445</v>
      </c>
      <c r="R252" s="75" t="n">
        <v>45776.60069444445</v>
      </c>
      <c r="S252" s="76" t="n">
        <v>0</v>
      </c>
      <c r="T252" s="76" t="n">
        <v>3.75</v>
      </c>
      <c r="U252" s="70">
        <f>IF($A252="","",IFERROR(INDEX('Techniciens'!$F$5:$F$44,MATCH(O252,'Techniciens'!$B$5:$B$44,0)),'Paramètres'!$AA$10))</f>
        <v/>
      </c>
      <c r="V252" s="70">
        <f>IF($A252="","",IF(OR(AC252="Demandé",AC252="Planifié",AC252="Annulé"),0,N(T252)*N(U252)))</f>
        <v/>
      </c>
      <c r="W252" s="70">
        <f>IF($A252="","",SUMIFS('Mouvements stock'!$H$5:$H$3004,'Mouvements stock'!$I$5:$I$3004,$A252,'Mouvements stock'!$C$5:$C$3004,"Sortie")-SUMIFS('Mouvements stock'!$H$5:$H$3004,'Mouvements stock'!$I$5:$I$3004,$A252,'Mouvements stock'!$C$5:$C$3004,"Retour"))</f>
        <v/>
      </c>
      <c r="X252" s="66" t="n">
        <v>0</v>
      </c>
      <c r="Y252" s="66" t="n">
        <v>0</v>
      </c>
      <c r="Z252" s="7" t="n"/>
      <c r="AA252" s="70">
        <f>IF($A252="","",N(V252)+N(W252)+N(X252)+N(Y252))</f>
        <v/>
      </c>
      <c r="AB252" s="70">
        <f>IF($A252="","",N(S252)*'Paramètres'!$AA$9*IFERROR(INDEX('Paramètres'!$O$5:$O$7,MATCH(G252,'Paramètres'!$N$5:$N$7,0)),0))</f>
        <v/>
      </c>
      <c r="AC252" s="7" t="inlineStr">
        <is>
          <t>Clôturé</t>
        </is>
      </c>
      <c r="AD252" s="69">
        <f>IF(OR($A252="",Q252=""),"",(Q252-B252)*24)</f>
        <v/>
      </c>
      <c r="AE252" s="69">
        <f>IF(OR(Q252="",R252=""),"",(R252-Q252)*24)</f>
        <v/>
      </c>
      <c r="AF252" s="77">
        <f>IF(OR($A252="",B252=""),"",YEAR(B252))</f>
        <v/>
      </c>
      <c r="AG252" s="77">
        <f>IF(OR($A252="",B252=""),"",MONTH(B252))</f>
        <v/>
      </c>
    </row>
    <row r="253">
      <c r="A253" s="7" t="inlineStr">
        <is>
          <t>OT-2025-0249</t>
        </is>
      </c>
      <c r="B253" s="75" t="n">
        <v>45770.34027777778</v>
      </c>
      <c r="C253" s="7" t="inlineStr">
        <is>
          <t>Planning réglementaire</t>
        </is>
      </c>
      <c r="D253" s="7" t="inlineStr">
        <is>
          <t>EQ-PEI-002</t>
        </is>
      </c>
      <c r="E253" s="9">
        <f>IF(D253="","",IFERROR(INDEX('Équipements'!$B$5:$B$304,MATCH(D253,'Équipements'!$A$5:$A$304,0)),"Code inconnu"))</f>
        <v/>
      </c>
      <c r="F253" s="9">
        <f>IF(D253="","",IFERROR(INDEX('Équipements'!$D$5:$D$304,MATCH(D253,'Équipements'!$A$5:$A$304,0)),""))</f>
        <v/>
      </c>
      <c r="G253" s="9">
        <f>IF(D253="","",IFERROR(INDEX('Équipements'!$K$5:$K$304,MATCH(D253,'Équipements'!$A$5:$A$304,0)),""))</f>
        <v/>
      </c>
      <c r="H253" s="7" t="inlineStr">
        <is>
          <t>Réglementaire</t>
        </is>
      </c>
      <c r="I253" s="7" t="inlineStr">
        <is>
          <t>CR-024</t>
        </is>
      </c>
      <c r="J253" s="7" t="inlineStr">
        <is>
          <t>Multi-technique</t>
        </is>
      </c>
      <c r="K253" s="7" t="inlineStr">
        <is>
          <t>P2 - Haute</t>
        </is>
      </c>
      <c r="L253" s="7" t="inlineStr">
        <is>
          <t>Contrôle ventilation cabine de poudrage</t>
        </is>
      </c>
      <c r="M253" s="7" t="n"/>
      <c r="N253" s="7" t="inlineStr">
        <is>
          <t>Contrôle réalisé - aucune observation</t>
        </is>
      </c>
      <c r="O253" s="7" t="inlineStr">
        <is>
          <t>Marc Lefèvre</t>
        </is>
      </c>
      <c r="P253" s="65" t="n">
        <v>45791</v>
      </c>
      <c r="Q253" s="75" t="n">
        <v>45791.42708333334</v>
      </c>
      <c r="R253" s="75" t="n">
        <v>45791.52083333334</v>
      </c>
      <c r="S253" s="76" t="n">
        <v>2</v>
      </c>
      <c r="T253" s="76" t="n">
        <v>2.25</v>
      </c>
      <c r="U253" s="70">
        <f>IF($A253="","",IFERROR(INDEX('Techniciens'!$F$5:$F$44,MATCH(O253,'Techniciens'!$B$5:$B$44,0)),'Paramètres'!$AA$10))</f>
        <v/>
      </c>
      <c r="V253" s="70">
        <f>IF($A253="","",IF(OR(AC253="Demandé",AC253="Planifié",AC253="Annulé"),0,N(T253)*N(U253)))</f>
        <v/>
      </c>
      <c r="W253" s="70">
        <f>IF($A253="","",SUMIFS('Mouvements stock'!$H$5:$H$3004,'Mouvements stock'!$I$5:$I$3004,$A253,'Mouvements stock'!$C$5:$C$3004,"Sortie")-SUMIFS('Mouvements stock'!$H$5:$H$3004,'Mouvements stock'!$I$5:$I$3004,$A253,'Mouvements stock'!$C$5:$C$3004,"Retour"))</f>
        <v/>
      </c>
      <c r="X253" s="66" t="n">
        <v>0</v>
      </c>
      <c r="Y253" s="66" t="n">
        <v>520</v>
      </c>
      <c r="Z253" s="7" t="inlineStr">
        <is>
          <t>CONTROLIS (organisme fictif)</t>
        </is>
      </c>
      <c r="AA253" s="70">
        <f>IF($A253="","",N(V253)+N(W253)+N(X253)+N(Y253))</f>
        <v/>
      </c>
      <c r="AB253" s="70">
        <f>IF($A253="","",N(S253)*'Paramètres'!$AA$9*IFERROR(INDEX('Paramètres'!$O$5:$O$7,MATCH(G253,'Paramètres'!$N$5:$N$7,0)),0))</f>
        <v/>
      </c>
      <c r="AC253" s="7" t="inlineStr">
        <is>
          <t>Clôturé</t>
        </is>
      </c>
      <c r="AD253" s="69">
        <f>IF(OR($A253="",Q253=""),"",(Q253-B253)*24)</f>
        <v/>
      </c>
      <c r="AE253" s="69">
        <f>IF(OR(Q253="",R253=""),"",(R253-Q253)*24)</f>
        <v/>
      </c>
      <c r="AF253" s="77">
        <f>IF(OR($A253="",B253=""),"",YEAR(B253))</f>
        <v/>
      </c>
      <c r="AG253" s="77">
        <f>IF(OR($A253="",B253=""),"",MONTH(B253))</f>
        <v/>
      </c>
    </row>
    <row r="254">
      <c r="A254" s="7" t="inlineStr">
        <is>
          <t>OT-2025-0250</t>
        </is>
      </c>
      <c r="B254" s="75" t="n">
        <v>45770.38194444445</v>
      </c>
      <c r="C254" s="7" t="inlineStr">
        <is>
          <t>Plan préventif</t>
        </is>
      </c>
      <c r="D254" s="7" t="inlineStr">
        <is>
          <t>EQ-USI-006</t>
        </is>
      </c>
      <c r="E254" s="9">
        <f>IF(D254="","",IFERROR(INDEX('Équipements'!$B$5:$B$304,MATCH(D254,'Équipements'!$A$5:$A$304,0)),"Code inconnu"))</f>
        <v/>
      </c>
      <c r="F254" s="9">
        <f>IF(D254="","",IFERROR(INDEX('Équipements'!$D$5:$D$304,MATCH(D254,'Équipements'!$A$5:$A$304,0)),""))</f>
        <v/>
      </c>
      <c r="G254" s="9">
        <f>IF(D254="","",IFERROR(INDEX('Équipements'!$K$5:$K$304,MATCH(D254,'Équipements'!$A$5:$A$304,0)),""))</f>
        <v/>
      </c>
      <c r="H254" s="7" t="inlineStr">
        <is>
          <t>Préventif systématique</t>
        </is>
      </c>
      <c r="I254" s="7" t="inlineStr">
        <is>
          <t>GP-024</t>
        </is>
      </c>
      <c r="J254" s="7" t="inlineStr">
        <is>
          <t>Électrique</t>
        </is>
      </c>
      <c r="K254" s="7" t="inlineStr">
        <is>
          <t>P3 - Normale</t>
        </is>
      </c>
      <c r="L254" s="7" t="inlineStr">
        <is>
          <t>Contrôle armoire électrique (ventilation, serrages)</t>
        </is>
      </c>
      <c r="M254" s="7" t="n"/>
      <c r="N254" s="7" t="inlineStr">
        <is>
          <t>Gamme réalisée - RAS</t>
        </is>
      </c>
      <c r="O254" s="7" t="inlineStr">
        <is>
          <t>Julien Moreau</t>
        </is>
      </c>
      <c r="P254" s="65" t="n">
        <v>45777</v>
      </c>
      <c r="Q254" s="75" t="n">
        <v>45777.56944444445</v>
      </c>
      <c r="R254" s="75" t="n">
        <v>45777.71527777778</v>
      </c>
      <c r="S254" s="76" t="n">
        <v>3.5</v>
      </c>
      <c r="T254" s="76" t="n">
        <v>3.5</v>
      </c>
      <c r="U254" s="70">
        <f>IF($A254="","",IFERROR(INDEX('Techniciens'!$F$5:$F$44,MATCH(O254,'Techniciens'!$B$5:$B$44,0)),'Paramètres'!$AA$10))</f>
        <v/>
      </c>
      <c r="V254" s="70">
        <f>IF($A254="","",IF(OR(AC254="Demandé",AC254="Planifié",AC254="Annulé"),0,N(T254)*N(U254)))</f>
        <v/>
      </c>
      <c r="W254" s="70">
        <f>IF($A254="","",SUMIFS('Mouvements stock'!$H$5:$H$3004,'Mouvements stock'!$I$5:$I$3004,$A254,'Mouvements stock'!$C$5:$C$3004,"Sortie")-SUMIFS('Mouvements stock'!$H$5:$H$3004,'Mouvements stock'!$I$5:$I$3004,$A254,'Mouvements stock'!$C$5:$C$3004,"Retour"))</f>
        <v/>
      </c>
      <c r="X254" s="66" t="n">
        <v>0</v>
      </c>
      <c r="Y254" s="66" t="n">
        <v>0</v>
      </c>
      <c r="Z254" s="7" t="n"/>
      <c r="AA254" s="70">
        <f>IF($A254="","",N(V254)+N(W254)+N(X254)+N(Y254))</f>
        <v/>
      </c>
      <c r="AB254" s="70">
        <f>IF($A254="","",N(S254)*'Paramètres'!$AA$9*IFERROR(INDEX('Paramètres'!$O$5:$O$7,MATCH(G254,'Paramètres'!$N$5:$N$7,0)),0))</f>
        <v/>
      </c>
      <c r="AC254" s="7" t="inlineStr">
        <is>
          <t>Clôturé</t>
        </is>
      </c>
      <c r="AD254" s="69">
        <f>IF(OR($A254="",Q254=""),"",(Q254-B254)*24)</f>
        <v/>
      </c>
      <c r="AE254" s="69">
        <f>IF(OR(Q254="",R254=""),"",(R254-Q254)*24)</f>
        <v/>
      </c>
      <c r="AF254" s="77">
        <f>IF(OR($A254="",B254=""),"",YEAR(B254))</f>
        <v/>
      </c>
      <c r="AG254" s="77">
        <f>IF(OR($A254="",B254=""),"",MONTH(B254))</f>
        <v/>
      </c>
    </row>
    <row r="255">
      <c r="A255" s="7" t="inlineStr">
        <is>
          <t>OT-2025-0251</t>
        </is>
      </c>
      <c r="B255" s="75" t="n">
        <v>45771.40277777778</v>
      </c>
      <c r="C255" s="7" t="inlineStr">
        <is>
          <t>Éric Laurent (chef d'atelier)</t>
        </is>
      </c>
      <c r="D255" s="7" t="inlineStr">
        <is>
          <t>EQ-USI-001</t>
        </is>
      </c>
      <c r="E255" s="9">
        <f>IF(D255="","",IFERROR(INDEX('Équipements'!$B$5:$B$304,MATCH(D255,'Équipements'!$A$5:$A$304,0)),"Code inconnu"))</f>
        <v/>
      </c>
      <c r="F255" s="9">
        <f>IF(D255="","",IFERROR(INDEX('Équipements'!$D$5:$D$304,MATCH(D255,'Équipements'!$A$5:$A$304,0)),""))</f>
        <v/>
      </c>
      <c r="G255" s="9">
        <f>IF(D255="","",IFERROR(INDEX('Équipements'!$K$5:$K$304,MATCH(D255,'Équipements'!$A$5:$A$304,0)),""))</f>
        <v/>
      </c>
      <c r="H255" s="7" t="inlineStr">
        <is>
          <t>Correctif</t>
        </is>
      </c>
      <c r="I255" s="7" t="n"/>
      <c r="J255" s="7" t="inlineStr">
        <is>
          <t>Mécanique</t>
        </is>
      </c>
      <c r="K255" s="7" t="inlineStr">
        <is>
          <t>P3 - Normale</t>
        </is>
      </c>
      <c r="L255" s="7" t="inlineStr">
        <is>
          <t>Défaut changeur d'outils (blocage bras)</t>
        </is>
      </c>
      <c r="M255" s="7" t="inlineStr">
        <is>
          <t>Usure</t>
        </is>
      </c>
      <c r="N255" s="7" t="inlineStr">
        <is>
          <t>Remplacement détecteur position bras et réglage</t>
        </is>
      </c>
      <c r="O255" s="7" t="inlineStr">
        <is>
          <t>Lucas Fontaine</t>
        </is>
      </c>
      <c r="P255" s="65" t="n"/>
      <c r="Q255" s="75" t="n">
        <v>45771.68125</v>
      </c>
      <c r="R255" s="75" t="n">
        <v>45772.32708333333</v>
      </c>
      <c r="S255" s="76" t="n">
        <v>0</v>
      </c>
      <c r="T255" s="76" t="n">
        <v>15.5</v>
      </c>
      <c r="U255" s="70">
        <f>IF($A255="","",IFERROR(INDEX('Techniciens'!$F$5:$F$44,MATCH(O255,'Techniciens'!$B$5:$B$44,0)),'Paramètres'!$AA$10))</f>
        <v/>
      </c>
      <c r="V255" s="70">
        <f>IF($A255="","",IF(OR(AC255="Demandé",AC255="Planifié",AC255="Annulé"),0,N(T255)*N(U255)))</f>
        <v/>
      </c>
      <c r="W255" s="70">
        <f>IF($A255="","",SUMIFS('Mouvements stock'!$H$5:$H$3004,'Mouvements stock'!$I$5:$I$3004,$A255,'Mouvements stock'!$C$5:$C$3004,"Sortie")-SUMIFS('Mouvements stock'!$H$5:$H$3004,'Mouvements stock'!$I$5:$I$3004,$A255,'Mouvements stock'!$C$5:$C$3004,"Retour"))</f>
        <v/>
      </c>
      <c r="X255" s="66" t="n">
        <v>0</v>
      </c>
      <c r="Y255" s="66" t="n">
        <v>0</v>
      </c>
      <c r="Z255" s="7" t="n"/>
      <c r="AA255" s="70">
        <f>IF($A255="","",N(V255)+N(W255)+N(X255)+N(Y255))</f>
        <v/>
      </c>
      <c r="AB255" s="70">
        <f>IF($A255="","",N(S255)*'Paramètres'!$AA$9*IFERROR(INDEX('Paramètres'!$O$5:$O$7,MATCH(G255,'Paramètres'!$N$5:$N$7,0)),0))</f>
        <v/>
      </c>
      <c r="AC255" s="7" t="inlineStr">
        <is>
          <t>Clôturé</t>
        </is>
      </c>
      <c r="AD255" s="69">
        <f>IF(OR($A255="",Q255=""),"",(Q255-B255)*24)</f>
        <v/>
      </c>
      <c r="AE255" s="69">
        <f>IF(OR(Q255="",R255=""),"",(R255-Q255)*24)</f>
        <v/>
      </c>
      <c r="AF255" s="77">
        <f>IF(OR($A255="",B255=""),"",YEAR(B255))</f>
        <v/>
      </c>
      <c r="AG255" s="77">
        <f>IF(OR($A255="",B255=""),"",MONTH(B255))</f>
        <v/>
      </c>
    </row>
    <row r="256">
      <c r="A256" s="7" t="inlineStr">
        <is>
          <t>OT-2025-0252</t>
        </is>
      </c>
      <c r="B256" s="75" t="n">
        <v>45771.40277777778</v>
      </c>
      <c r="C256" s="7" t="inlineStr">
        <is>
          <t>Plan préventif</t>
        </is>
      </c>
      <c r="D256" s="7" t="inlineStr">
        <is>
          <t>EQ-BAT-006</t>
        </is>
      </c>
      <c r="E256" s="9">
        <f>IF(D256="","",IFERROR(INDEX('Équipements'!$B$5:$B$304,MATCH(D256,'Équipements'!$A$5:$A$304,0)),"Code inconnu"))</f>
        <v/>
      </c>
      <c r="F256" s="9">
        <f>IF(D256="","",IFERROR(INDEX('Équipements'!$D$5:$D$304,MATCH(D256,'Équipements'!$A$5:$A$304,0)),""))</f>
        <v/>
      </c>
      <c r="G256" s="9">
        <f>IF(D256="","",IFERROR(INDEX('Équipements'!$K$5:$K$304,MATCH(D256,'Équipements'!$A$5:$A$304,0)),""))</f>
        <v/>
      </c>
      <c r="H256" s="7" t="inlineStr">
        <is>
          <t>Préventif systématique</t>
        </is>
      </c>
      <c r="I256" s="7" t="inlineStr">
        <is>
          <t>GP-127</t>
        </is>
      </c>
      <c r="J256" s="7" t="inlineStr">
        <is>
          <t>Électrique</t>
        </is>
      </c>
      <c r="K256" s="7" t="inlineStr">
        <is>
          <t>P3 - Normale</t>
        </is>
      </c>
      <c r="L256" s="7" t="inlineStr">
        <is>
          <t>Essai de fonctionnement / contrôle visuel</t>
        </is>
      </c>
      <c r="M256" s="7" t="n"/>
      <c r="N256" s="7" t="inlineStr">
        <is>
          <t>Gamme réalisée - RAS</t>
        </is>
      </c>
      <c r="O256" s="7" t="inlineStr">
        <is>
          <t>Julien Moreau</t>
        </is>
      </c>
      <c r="P256" s="65" t="n">
        <v>45778.55902777778</v>
      </c>
      <c r="Q256" s="75" t="n">
        <v>45778.32291666666</v>
      </c>
      <c r="R256" s="75" t="n">
        <v>45778.38541666666</v>
      </c>
      <c r="S256" s="76" t="n">
        <v>0</v>
      </c>
      <c r="T256" s="76" t="n">
        <v>1.5</v>
      </c>
      <c r="U256" s="70">
        <f>IF($A256="","",IFERROR(INDEX('Techniciens'!$F$5:$F$44,MATCH(O256,'Techniciens'!$B$5:$B$44,0)),'Paramètres'!$AA$10))</f>
        <v/>
      </c>
      <c r="V256" s="70">
        <f>IF($A256="","",IF(OR(AC256="Demandé",AC256="Planifié",AC256="Annulé"),0,N(T256)*N(U256)))</f>
        <v/>
      </c>
      <c r="W256" s="70">
        <f>IF($A256="","",SUMIFS('Mouvements stock'!$H$5:$H$3004,'Mouvements stock'!$I$5:$I$3004,$A256,'Mouvements stock'!$C$5:$C$3004,"Sortie")-SUMIFS('Mouvements stock'!$H$5:$H$3004,'Mouvements stock'!$I$5:$I$3004,$A256,'Mouvements stock'!$C$5:$C$3004,"Retour"))</f>
        <v/>
      </c>
      <c r="X256" s="66" t="n">
        <v>0</v>
      </c>
      <c r="Y256" s="66" t="n">
        <v>0</v>
      </c>
      <c r="Z256" s="7" t="n"/>
      <c r="AA256" s="70">
        <f>IF($A256="","",N(V256)+N(W256)+N(X256)+N(Y256))</f>
        <v/>
      </c>
      <c r="AB256" s="70">
        <f>IF($A256="","",N(S256)*'Paramètres'!$AA$9*IFERROR(INDEX('Paramètres'!$O$5:$O$7,MATCH(G256,'Paramètres'!$N$5:$N$7,0)),0))</f>
        <v/>
      </c>
      <c r="AC256" s="7" t="inlineStr">
        <is>
          <t>Clôturé</t>
        </is>
      </c>
      <c r="AD256" s="69">
        <f>IF(OR($A256="",Q256=""),"",(Q256-B256)*24)</f>
        <v/>
      </c>
      <c r="AE256" s="69">
        <f>IF(OR(Q256="",R256=""),"",(R256-Q256)*24)</f>
        <v/>
      </c>
      <c r="AF256" s="77">
        <f>IF(OR($A256="",B256=""),"",YEAR(B256))</f>
        <v/>
      </c>
      <c r="AG256" s="77">
        <f>IF(OR($A256="",B256=""),"",MONTH(B256))</f>
        <v/>
      </c>
    </row>
    <row r="257">
      <c r="A257" s="7" t="inlineStr">
        <is>
          <t>OT-2025-0253</t>
        </is>
      </c>
      <c r="B257" s="75" t="n">
        <v>45771.40625</v>
      </c>
      <c r="C257" s="7" t="inlineStr">
        <is>
          <t>Plan préventif</t>
        </is>
      </c>
      <c r="D257" s="7" t="inlineStr">
        <is>
          <t>EQ-PEI-005</t>
        </is>
      </c>
      <c r="E257" s="9">
        <f>IF(D257="","",IFERROR(INDEX('Équipements'!$B$5:$B$304,MATCH(D257,'Équipements'!$A$5:$A$304,0)),"Code inconnu"))</f>
        <v/>
      </c>
      <c r="F257" s="9">
        <f>IF(D257="","",IFERROR(INDEX('Équipements'!$D$5:$D$304,MATCH(D257,'Équipements'!$A$5:$A$304,0)),""))</f>
        <v/>
      </c>
      <c r="G257" s="9">
        <f>IF(D257="","",IFERROR(INDEX('Équipements'!$K$5:$K$304,MATCH(D257,'Équipements'!$A$5:$A$304,0)),""))</f>
        <v/>
      </c>
      <c r="H257" s="7" t="inlineStr">
        <is>
          <t>Préventif systématique</t>
        </is>
      </c>
      <c r="I257" s="7" t="inlineStr">
        <is>
          <t>GP-074</t>
        </is>
      </c>
      <c r="J257" s="7" t="inlineStr">
        <is>
          <t>Mécanique</t>
        </is>
      </c>
      <c r="K257" s="7" t="inlineStr">
        <is>
          <t>P3 - Normale</t>
        </is>
      </c>
      <c r="L257" s="7" t="inlineStr">
        <is>
          <t>Nettoyage et remplacement des filtres</t>
        </is>
      </c>
      <c r="M257" s="7" t="n"/>
      <c r="N257" s="7" t="inlineStr">
        <is>
          <t>Gamme réalisée - RAS</t>
        </is>
      </c>
      <c r="O257" s="7" t="inlineStr">
        <is>
          <t>Lucas Fontaine</t>
        </is>
      </c>
      <c r="P257" s="65" t="n">
        <v>45778.375</v>
      </c>
      <c r="Q257" s="75" t="n">
        <v>45778.3125</v>
      </c>
      <c r="R257" s="75" t="n">
        <v>45778.4375</v>
      </c>
      <c r="S257" s="76" t="n">
        <v>3</v>
      </c>
      <c r="T257" s="76" t="n">
        <v>3</v>
      </c>
      <c r="U257" s="70">
        <f>IF($A257="","",IFERROR(INDEX('Techniciens'!$F$5:$F$44,MATCH(O257,'Techniciens'!$B$5:$B$44,0)),'Paramètres'!$AA$10))</f>
        <v/>
      </c>
      <c r="V257" s="70">
        <f>IF($A257="","",IF(OR(AC257="Demandé",AC257="Planifié",AC257="Annulé"),0,N(T257)*N(U257)))</f>
        <v/>
      </c>
      <c r="W257" s="70">
        <f>IF($A257="","",SUMIFS('Mouvements stock'!$H$5:$H$3004,'Mouvements stock'!$I$5:$I$3004,$A257,'Mouvements stock'!$C$5:$C$3004,"Sortie")-SUMIFS('Mouvements stock'!$H$5:$H$3004,'Mouvements stock'!$I$5:$I$3004,$A257,'Mouvements stock'!$C$5:$C$3004,"Retour"))</f>
        <v/>
      </c>
      <c r="X257" s="66" t="n">
        <v>0</v>
      </c>
      <c r="Y257" s="66" t="n">
        <v>0</v>
      </c>
      <c r="Z257" s="7" t="n"/>
      <c r="AA257" s="70">
        <f>IF($A257="","",N(V257)+N(W257)+N(X257)+N(Y257))</f>
        <v/>
      </c>
      <c r="AB257" s="70">
        <f>IF($A257="","",N(S257)*'Paramètres'!$AA$9*IFERROR(INDEX('Paramètres'!$O$5:$O$7,MATCH(G257,'Paramètres'!$N$5:$N$7,0)),0))</f>
        <v/>
      </c>
      <c r="AC257" s="7" t="inlineStr">
        <is>
          <t>Clôturé</t>
        </is>
      </c>
      <c r="AD257" s="69">
        <f>IF(OR($A257="",Q257=""),"",(Q257-B257)*24)</f>
        <v/>
      </c>
      <c r="AE257" s="69">
        <f>IF(OR(Q257="",R257=""),"",(R257-Q257)*24)</f>
        <v/>
      </c>
      <c r="AF257" s="77">
        <f>IF(OR($A257="",B257=""),"",YEAR(B257))</f>
        <v/>
      </c>
      <c r="AG257" s="77">
        <f>IF(OR($A257="",B257=""),"",MONTH(B257))</f>
        <v/>
      </c>
    </row>
    <row r="258">
      <c r="A258" s="7" t="inlineStr">
        <is>
          <t>OT-2025-0254</t>
        </is>
      </c>
      <c r="B258" s="75" t="n">
        <v>45771.40763888889</v>
      </c>
      <c r="C258" s="7" t="inlineStr">
        <is>
          <t>Opérateur soudure</t>
        </is>
      </c>
      <c r="D258" s="7" t="inlineStr">
        <is>
          <t>EQ-SOU-001</t>
        </is>
      </c>
      <c r="E258" s="9">
        <f>IF(D258="","",IFERROR(INDEX('Équipements'!$B$5:$B$304,MATCH(D258,'Équipements'!$A$5:$A$304,0)),"Code inconnu"))</f>
        <v/>
      </c>
      <c r="F258" s="9">
        <f>IF(D258="","",IFERROR(INDEX('Équipements'!$D$5:$D$304,MATCH(D258,'Équipements'!$A$5:$A$304,0)),""))</f>
        <v/>
      </c>
      <c r="G258" s="9">
        <f>IF(D258="","",IFERROR(INDEX('Équipements'!$K$5:$K$304,MATCH(D258,'Équipements'!$A$5:$A$304,0)),""))</f>
        <v/>
      </c>
      <c r="H258" s="7" t="inlineStr">
        <is>
          <t>Correctif</t>
        </is>
      </c>
      <c r="I258" s="7" t="n"/>
      <c r="J258" s="7" t="inlineStr">
        <is>
          <t>Mécanique</t>
        </is>
      </c>
      <c r="K258" s="7" t="inlineStr">
        <is>
          <t>P3 - Normale</t>
        </is>
      </c>
      <c r="L258" s="7" t="inlineStr">
        <is>
          <t>Torche endommagée</t>
        </is>
      </c>
      <c r="M258" s="7" t="inlineStr">
        <is>
          <t>Casse mécanique</t>
        </is>
      </c>
      <c r="N258" s="7" t="inlineStr">
        <is>
          <t>Remplacement torche complète</t>
        </is>
      </c>
      <c r="O258" s="7" t="inlineStr">
        <is>
          <t>Karim Benali</t>
        </is>
      </c>
      <c r="P258" s="65" t="n"/>
      <c r="Q258" s="75" t="n">
        <v>45772.92916666667</v>
      </c>
      <c r="R258" s="75" t="n">
        <v>45773.54375</v>
      </c>
      <c r="S258" s="76" t="n">
        <v>0</v>
      </c>
      <c r="T258" s="76" t="n">
        <v>14.75</v>
      </c>
      <c r="U258" s="70">
        <f>IF($A258="","",IFERROR(INDEX('Techniciens'!$F$5:$F$44,MATCH(O258,'Techniciens'!$B$5:$B$44,0)),'Paramètres'!$AA$10))</f>
        <v/>
      </c>
      <c r="V258" s="70">
        <f>IF($A258="","",IF(OR(AC258="Demandé",AC258="Planifié",AC258="Annulé"),0,N(T258)*N(U258)))</f>
        <v/>
      </c>
      <c r="W258" s="70">
        <f>IF($A258="","",SUMIFS('Mouvements stock'!$H$5:$H$3004,'Mouvements stock'!$I$5:$I$3004,$A258,'Mouvements stock'!$C$5:$C$3004,"Sortie")-SUMIFS('Mouvements stock'!$H$5:$H$3004,'Mouvements stock'!$I$5:$I$3004,$A258,'Mouvements stock'!$C$5:$C$3004,"Retour"))</f>
        <v/>
      </c>
      <c r="X258" s="66" t="n">
        <v>0</v>
      </c>
      <c r="Y258" s="66" t="n">
        <v>0</v>
      </c>
      <c r="Z258" s="7" t="n"/>
      <c r="AA258" s="70">
        <f>IF($A258="","",N(V258)+N(W258)+N(X258)+N(Y258))</f>
        <v/>
      </c>
      <c r="AB258" s="70">
        <f>IF($A258="","",N(S258)*'Paramètres'!$AA$9*IFERROR(INDEX('Paramètres'!$O$5:$O$7,MATCH(G258,'Paramètres'!$N$5:$N$7,0)),0))</f>
        <v/>
      </c>
      <c r="AC258" s="7" t="inlineStr">
        <is>
          <t>Clôturé</t>
        </is>
      </c>
      <c r="AD258" s="69">
        <f>IF(OR($A258="",Q258=""),"",(Q258-B258)*24)</f>
        <v/>
      </c>
      <c r="AE258" s="69">
        <f>IF(OR(Q258="",R258=""),"",(R258-Q258)*24)</f>
        <v/>
      </c>
      <c r="AF258" s="77">
        <f>IF(OR($A258="",B258=""),"",YEAR(B258))</f>
        <v/>
      </c>
      <c r="AG258" s="77">
        <f>IF(OR($A258="",B258=""),"",MONTH(B258))</f>
        <v/>
      </c>
    </row>
    <row r="259">
      <c r="A259" s="7" t="inlineStr">
        <is>
          <t>OT-2025-0255</t>
        </is>
      </c>
      <c r="B259" s="75" t="n">
        <v>45771.56597222222</v>
      </c>
      <c r="C259" s="7" t="inlineStr">
        <is>
          <t>Ronde maintenance</t>
        </is>
      </c>
      <c r="D259" s="7" t="inlineStr">
        <is>
          <t>EQ-UTI-008</t>
        </is>
      </c>
      <c r="E259" s="9">
        <f>IF(D259="","",IFERROR(INDEX('Équipements'!$B$5:$B$304,MATCH(D259,'Équipements'!$A$5:$A$304,0)),"Code inconnu"))</f>
        <v/>
      </c>
      <c r="F259" s="9">
        <f>IF(D259="","",IFERROR(INDEX('Équipements'!$D$5:$D$304,MATCH(D259,'Équipements'!$A$5:$A$304,0)),""))</f>
        <v/>
      </c>
      <c r="G259" s="9">
        <f>IF(D259="","",IFERROR(INDEX('Équipements'!$K$5:$K$304,MATCH(D259,'Équipements'!$A$5:$A$304,0)),""))</f>
        <v/>
      </c>
      <c r="H259" s="7" t="inlineStr">
        <is>
          <t>Correctif</t>
        </is>
      </c>
      <c r="I259" s="7" t="n"/>
      <c r="J259" s="7" t="inlineStr">
        <is>
          <t>Électrique</t>
        </is>
      </c>
      <c r="K259" s="7" t="inlineStr">
        <is>
          <t>P1 - Urgent</t>
        </is>
      </c>
      <c r="L259" s="7" t="inlineStr">
        <is>
          <t>Défaut démarrage groupe / batterie</t>
        </is>
      </c>
      <c r="M259" s="7" t="inlineStr">
        <is>
          <t>Usure</t>
        </is>
      </c>
      <c r="N259" s="7" t="inlineStr">
        <is>
          <t>Remplacement batterie de démarrage</t>
        </is>
      </c>
      <c r="O259" s="7" t="inlineStr">
        <is>
          <t>Thomas Petit</t>
        </is>
      </c>
      <c r="P259" s="65" t="n"/>
      <c r="Q259" s="75" t="n">
        <v>45771.58333333334</v>
      </c>
      <c r="R259" s="75" t="n">
        <v>45771.6875</v>
      </c>
      <c r="S259" s="76" t="n">
        <v>0</v>
      </c>
      <c r="T259" s="76" t="n">
        <v>2.5</v>
      </c>
      <c r="U259" s="70">
        <f>IF($A259="","",IFERROR(INDEX('Techniciens'!$F$5:$F$44,MATCH(O259,'Techniciens'!$B$5:$B$44,0)),'Paramètres'!$AA$10))</f>
        <v/>
      </c>
      <c r="V259" s="70">
        <f>IF($A259="","",IF(OR(AC259="Demandé",AC259="Planifié",AC259="Annulé"),0,N(T259)*N(U259)))</f>
        <v/>
      </c>
      <c r="W259" s="70">
        <f>IF($A259="","",SUMIFS('Mouvements stock'!$H$5:$H$3004,'Mouvements stock'!$I$5:$I$3004,$A259,'Mouvements stock'!$C$5:$C$3004,"Sortie")-SUMIFS('Mouvements stock'!$H$5:$H$3004,'Mouvements stock'!$I$5:$I$3004,$A259,'Mouvements stock'!$C$5:$C$3004,"Retour"))</f>
        <v/>
      </c>
      <c r="X259" s="66" t="n">
        <v>0</v>
      </c>
      <c r="Y259" s="66" t="n">
        <v>0</v>
      </c>
      <c r="Z259" s="7" t="n"/>
      <c r="AA259" s="70">
        <f>IF($A259="","",N(V259)+N(W259)+N(X259)+N(Y259))</f>
        <v/>
      </c>
      <c r="AB259" s="70">
        <f>IF($A259="","",N(S259)*'Paramètres'!$AA$9*IFERROR(INDEX('Paramètres'!$O$5:$O$7,MATCH(G259,'Paramètres'!$N$5:$N$7,0)),0))</f>
        <v/>
      </c>
      <c r="AC259" s="7" t="inlineStr">
        <is>
          <t>Clôturé</t>
        </is>
      </c>
      <c r="AD259" s="69">
        <f>IF(OR($A259="",Q259=""),"",(Q259-B259)*24)</f>
        <v/>
      </c>
      <c r="AE259" s="69">
        <f>IF(OR(Q259="",R259=""),"",(R259-Q259)*24)</f>
        <v/>
      </c>
      <c r="AF259" s="77">
        <f>IF(OR($A259="",B259=""),"",YEAR(B259))</f>
        <v/>
      </c>
      <c r="AG259" s="77">
        <f>IF(OR($A259="",B259=""),"",MONTH(B259))</f>
        <v/>
      </c>
    </row>
    <row r="260">
      <c r="A260" s="7" t="inlineStr">
        <is>
          <t>OT-2025-0256</t>
        </is>
      </c>
      <c r="B260" s="75" t="n">
        <v>45772.24513888889</v>
      </c>
      <c r="C260" s="7" t="inlineStr">
        <is>
          <t>Opérateur tôlerie</t>
        </is>
      </c>
      <c r="D260" s="7" t="inlineStr">
        <is>
          <t>EQ-TOL-002</t>
        </is>
      </c>
      <c r="E260" s="9">
        <f>IF(D260="","",IFERROR(INDEX('Équipements'!$B$5:$B$304,MATCH(D260,'Équipements'!$A$5:$A$304,0)),"Code inconnu"))</f>
        <v/>
      </c>
      <c r="F260" s="9">
        <f>IF(D260="","",IFERROR(INDEX('Équipements'!$D$5:$D$304,MATCH(D260,'Équipements'!$A$5:$A$304,0)),""))</f>
        <v/>
      </c>
      <c r="G260" s="9">
        <f>IF(D260="","",IFERROR(INDEX('Équipements'!$K$5:$K$304,MATCH(D260,'Équipements'!$A$5:$A$304,0)),""))</f>
        <v/>
      </c>
      <c r="H260" s="7" t="inlineStr">
        <is>
          <t>Correctif</t>
        </is>
      </c>
      <c r="I260" s="7" t="n"/>
      <c r="J260" s="7" t="inlineStr">
        <is>
          <t>Électrique</t>
        </is>
      </c>
      <c r="K260" s="7" t="inlineStr">
        <is>
          <t>P2 - Haute</t>
        </is>
      </c>
      <c r="L260" s="7" t="inlineStr">
        <is>
          <t>Défaut barrage immatériel</t>
        </is>
      </c>
      <c r="M260" s="7" t="inlineStr">
        <is>
          <t>Défaut capteur</t>
        </is>
      </c>
      <c r="N260" s="7" t="inlineStr">
        <is>
          <t>Nettoyage / réalignement, remplacement émetteur</t>
        </is>
      </c>
      <c r="O260" s="7" t="inlineStr">
        <is>
          <t>Antoine Mercier</t>
        </is>
      </c>
      <c r="P260" s="65" t="n"/>
      <c r="Q260" s="75" t="n">
        <v>45772.40833333333</v>
      </c>
      <c r="R260" s="75" t="n">
        <v>45772.7625</v>
      </c>
      <c r="S260" s="76" t="n">
        <v>12.4</v>
      </c>
      <c r="T260" s="76" t="n">
        <v>8.5</v>
      </c>
      <c r="U260" s="70">
        <f>IF($A260="","",IFERROR(INDEX('Techniciens'!$F$5:$F$44,MATCH(O260,'Techniciens'!$B$5:$B$44,0)),'Paramètres'!$AA$10))</f>
        <v/>
      </c>
      <c r="V260" s="70">
        <f>IF($A260="","",IF(OR(AC260="Demandé",AC260="Planifié",AC260="Annulé"),0,N(T260)*N(U260)))</f>
        <v/>
      </c>
      <c r="W260" s="70">
        <f>IF($A260="","",SUMIFS('Mouvements stock'!$H$5:$H$3004,'Mouvements stock'!$I$5:$I$3004,$A260,'Mouvements stock'!$C$5:$C$3004,"Sortie")-SUMIFS('Mouvements stock'!$H$5:$H$3004,'Mouvements stock'!$I$5:$I$3004,$A260,'Mouvements stock'!$C$5:$C$3004,"Retour"))</f>
        <v/>
      </c>
      <c r="X260" s="66" t="n">
        <v>0</v>
      </c>
      <c r="Y260" s="66" t="n">
        <v>0</v>
      </c>
      <c r="Z260" s="7" t="n"/>
      <c r="AA260" s="70">
        <f>IF($A260="","",N(V260)+N(W260)+N(X260)+N(Y260))</f>
        <v/>
      </c>
      <c r="AB260" s="70">
        <f>IF($A260="","",N(S260)*'Paramètres'!$AA$9*IFERROR(INDEX('Paramètres'!$O$5:$O$7,MATCH(G260,'Paramètres'!$N$5:$N$7,0)),0))</f>
        <v/>
      </c>
      <c r="AC260" s="7" t="inlineStr">
        <is>
          <t>Clôturé</t>
        </is>
      </c>
      <c r="AD260" s="69">
        <f>IF(OR($A260="",Q260=""),"",(Q260-B260)*24)</f>
        <v/>
      </c>
      <c r="AE260" s="69">
        <f>IF(OR(Q260="",R260=""),"",(R260-Q260)*24)</f>
        <v/>
      </c>
      <c r="AF260" s="77">
        <f>IF(OR($A260="",B260=""),"",YEAR(B260))</f>
        <v/>
      </c>
      <c r="AG260" s="77">
        <f>IF(OR($A260="",B260=""),"",MONTH(B260))</f>
        <v/>
      </c>
    </row>
    <row r="261">
      <c r="A261" s="7" t="inlineStr">
        <is>
          <t>OT-2025-0257</t>
        </is>
      </c>
      <c r="B261" s="75" t="n">
        <v>45772.40625</v>
      </c>
      <c r="C261" s="7" t="inlineStr">
        <is>
          <t>Plan préventif</t>
        </is>
      </c>
      <c r="D261" s="7" t="inlineStr">
        <is>
          <t>EQ-LOG-005</t>
        </is>
      </c>
      <c r="E261" s="9">
        <f>IF(D261="","",IFERROR(INDEX('Équipements'!$B$5:$B$304,MATCH(D261,'Équipements'!$A$5:$A$304,0)),"Code inconnu"))</f>
        <v/>
      </c>
      <c r="F261" s="9">
        <f>IF(D261="","",IFERROR(INDEX('Équipements'!$D$5:$D$304,MATCH(D261,'Équipements'!$A$5:$A$304,0)),""))</f>
        <v/>
      </c>
      <c r="G261" s="9">
        <f>IF(D261="","",IFERROR(INDEX('Équipements'!$K$5:$K$304,MATCH(D261,'Équipements'!$A$5:$A$304,0)),""))</f>
        <v/>
      </c>
      <c r="H261" s="7" t="inlineStr">
        <is>
          <t>Préventif systématique</t>
        </is>
      </c>
      <c r="I261" s="7" t="inlineStr">
        <is>
          <t>GP-114</t>
        </is>
      </c>
      <c r="J261" s="7" t="inlineStr">
        <is>
          <t>Mécanique</t>
        </is>
      </c>
      <c r="K261" s="7" t="inlineStr">
        <is>
          <t>P3 - Normale</t>
        </is>
      </c>
      <c r="L261" s="7" t="inlineStr">
        <is>
          <t>Contrôle batterie, niveaux et bandages</t>
        </is>
      </c>
      <c r="M261" s="7" t="n"/>
      <c r="N261" s="7" t="inlineStr">
        <is>
          <t>Gamme réalisée - RAS</t>
        </is>
      </c>
      <c r="O261" s="7" t="inlineStr">
        <is>
          <t>Antoine Mercier</t>
        </is>
      </c>
      <c r="P261" s="65" t="n">
        <v>45779.55208333334</v>
      </c>
      <c r="Q261" s="75" t="n">
        <v>45779.31944444445</v>
      </c>
      <c r="R261" s="75" t="n">
        <v>45779.35069444445</v>
      </c>
      <c r="S261" s="76" t="n">
        <v>0.8</v>
      </c>
      <c r="T261" s="76" t="n">
        <v>0.75</v>
      </c>
      <c r="U261" s="70">
        <f>IF($A261="","",IFERROR(INDEX('Techniciens'!$F$5:$F$44,MATCH(O261,'Techniciens'!$B$5:$B$44,0)),'Paramètres'!$AA$10))</f>
        <v/>
      </c>
      <c r="V261" s="70">
        <f>IF($A261="","",IF(OR(AC261="Demandé",AC261="Planifié",AC261="Annulé"),0,N(T261)*N(U261)))</f>
        <v/>
      </c>
      <c r="W261" s="70">
        <f>IF($A261="","",SUMIFS('Mouvements stock'!$H$5:$H$3004,'Mouvements stock'!$I$5:$I$3004,$A261,'Mouvements stock'!$C$5:$C$3004,"Sortie")-SUMIFS('Mouvements stock'!$H$5:$H$3004,'Mouvements stock'!$I$5:$I$3004,$A261,'Mouvements stock'!$C$5:$C$3004,"Retour"))</f>
        <v/>
      </c>
      <c r="X261" s="66" t="n">
        <v>0</v>
      </c>
      <c r="Y261" s="66" t="n">
        <v>0</v>
      </c>
      <c r="Z261" s="7" t="n"/>
      <c r="AA261" s="70">
        <f>IF($A261="","",N(V261)+N(W261)+N(X261)+N(Y261))</f>
        <v/>
      </c>
      <c r="AB261" s="70">
        <f>IF($A261="","",N(S261)*'Paramètres'!$AA$9*IFERROR(INDEX('Paramètres'!$O$5:$O$7,MATCH(G261,'Paramètres'!$N$5:$N$7,0)),0))</f>
        <v/>
      </c>
      <c r="AC261" s="7" t="inlineStr">
        <is>
          <t>Clôturé</t>
        </is>
      </c>
      <c r="AD261" s="69">
        <f>IF(OR($A261="",Q261=""),"",(Q261-B261)*24)</f>
        <v/>
      </c>
      <c r="AE261" s="69">
        <f>IF(OR(Q261="",R261=""),"",(R261-Q261)*24)</f>
        <v/>
      </c>
      <c r="AF261" s="77">
        <f>IF(OR($A261="",B261=""),"",YEAR(B261))</f>
        <v/>
      </c>
      <c r="AG261" s="77">
        <f>IF(OR($A261="",B261=""),"",MONTH(B261))</f>
        <v/>
      </c>
    </row>
    <row r="262">
      <c r="A262" s="7" t="inlineStr">
        <is>
          <t>OT-2025-0258</t>
        </is>
      </c>
      <c r="B262" s="75" t="n">
        <v>45772.46527777778</v>
      </c>
      <c r="C262" s="7" t="inlineStr">
        <is>
          <t>Plan préventif</t>
        </is>
      </c>
      <c r="D262" s="7" t="inlineStr">
        <is>
          <t>EQ-UTI-010</t>
        </is>
      </c>
      <c r="E262" s="9">
        <f>IF(D262="","",IFERROR(INDEX('Équipements'!$B$5:$B$304,MATCH(D262,'Équipements'!$A$5:$A$304,0)),"Code inconnu"))</f>
        <v/>
      </c>
      <c r="F262" s="9">
        <f>IF(D262="","",IFERROR(INDEX('Équipements'!$D$5:$D$304,MATCH(D262,'Équipements'!$A$5:$A$304,0)),""))</f>
        <v/>
      </c>
      <c r="G262" s="9">
        <f>IF(D262="","",IFERROR(INDEX('Équipements'!$K$5:$K$304,MATCH(D262,'Équipements'!$A$5:$A$304,0)),""))</f>
        <v/>
      </c>
      <c r="H262" s="7" t="inlineStr">
        <is>
          <t>Préventif systématique</t>
        </is>
      </c>
      <c r="I262" s="7" t="inlineStr">
        <is>
          <t>GP-104</t>
        </is>
      </c>
      <c r="J262" s="7" t="inlineStr">
        <is>
          <t>Électrique</t>
        </is>
      </c>
      <c r="K262" s="7" t="inlineStr">
        <is>
          <t>P3 - Normale</t>
        </is>
      </c>
      <c r="L262" s="7" t="inlineStr">
        <is>
          <t>Essai mensuel à charge du groupe électrogène</t>
        </is>
      </c>
      <c r="M262" s="7" t="n"/>
      <c r="N262" s="7" t="inlineStr">
        <is>
          <t>Gamme réalisée - RAS</t>
        </is>
      </c>
      <c r="O262" s="7" t="inlineStr">
        <is>
          <t>Julien Moreau</t>
        </is>
      </c>
      <c r="P262" s="65" t="n">
        <v>45779.34027777778</v>
      </c>
      <c r="Q262" s="75" t="n">
        <v>45779.52083333334</v>
      </c>
      <c r="R262" s="75" t="n">
        <v>45779.59375</v>
      </c>
      <c r="S262" s="76" t="n">
        <v>0</v>
      </c>
      <c r="T262" s="76" t="n">
        <v>1.75</v>
      </c>
      <c r="U262" s="70">
        <f>IF($A262="","",IFERROR(INDEX('Techniciens'!$F$5:$F$44,MATCH(O262,'Techniciens'!$B$5:$B$44,0)),'Paramètres'!$AA$10))</f>
        <v/>
      </c>
      <c r="V262" s="70">
        <f>IF($A262="","",IF(OR(AC262="Demandé",AC262="Planifié",AC262="Annulé"),0,N(T262)*N(U262)))</f>
        <v/>
      </c>
      <c r="W262" s="70">
        <f>IF($A262="","",SUMIFS('Mouvements stock'!$H$5:$H$3004,'Mouvements stock'!$I$5:$I$3004,$A262,'Mouvements stock'!$C$5:$C$3004,"Sortie")-SUMIFS('Mouvements stock'!$H$5:$H$3004,'Mouvements stock'!$I$5:$I$3004,$A262,'Mouvements stock'!$C$5:$C$3004,"Retour"))</f>
        <v/>
      </c>
      <c r="X262" s="66" t="n">
        <v>0</v>
      </c>
      <c r="Y262" s="66" t="n">
        <v>0</v>
      </c>
      <c r="Z262" s="7" t="n"/>
      <c r="AA262" s="70">
        <f>IF($A262="","",N(V262)+N(W262)+N(X262)+N(Y262))</f>
        <v/>
      </c>
      <c r="AB262" s="70">
        <f>IF($A262="","",N(S262)*'Paramètres'!$AA$9*IFERROR(INDEX('Paramètres'!$O$5:$O$7,MATCH(G262,'Paramètres'!$N$5:$N$7,0)),0))</f>
        <v/>
      </c>
      <c r="AC262" s="7" t="inlineStr">
        <is>
          <t>Clôturé</t>
        </is>
      </c>
      <c r="AD262" s="69">
        <f>IF(OR($A262="",Q262=""),"",(Q262-B262)*24)</f>
        <v/>
      </c>
      <c r="AE262" s="69">
        <f>IF(OR(Q262="",R262=""),"",(R262-Q262)*24)</f>
        <v/>
      </c>
      <c r="AF262" s="77">
        <f>IF(OR($A262="",B262=""),"",YEAR(B262))</f>
        <v/>
      </c>
      <c r="AG262" s="77">
        <f>IF(OR($A262="",B262=""),"",MONTH(B262))</f>
        <v/>
      </c>
    </row>
    <row r="263">
      <c r="A263" s="7" t="inlineStr">
        <is>
          <t>OT-2025-0259</t>
        </is>
      </c>
      <c r="B263" s="75" t="n">
        <v>45773.45694444444</v>
      </c>
      <c r="C263" s="7" t="inlineStr">
        <is>
          <t>Inès Girard (cheffe d'équipe)</t>
        </is>
      </c>
      <c r="D263" s="7" t="inlineStr">
        <is>
          <t>EQ-PEI-004</t>
        </is>
      </c>
      <c r="E263" s="9">
        <f>IF(D263="","",IFERROR(INDEX('Équipements'!$B$5:$B$304,MATCH(D263,'Équipements'!$A$5:$A$304,0)),"Code inconnu"))</f>
        <v/>
      </c>
      <c r="F263" s="9">
        <f>IF(D263="","",IFERROR(INDEX('Équipements'!$D$5:$D$304,MATCH(D263,'Équipements'!$A$5:$A$304,0)),""))</f>
        <v/>
      </c>
      <c r="G263" s="9">
        <f>IF(D263="","",IFERROR(INDEX('Équipements'!$K$5:$K$304,MATCH(D263,'Équipements'!$A$5:$A$304,0)),""))</f>
        <v/>
      </c>
      <c r="H263" s="7" t="inlineStr">
        <is>
          <t>Correctif</t>
        </is>
      </c>
      <c r="I263" s="7" t="n"/>
      <c r="J263" s="7" t="inlineStr">
        <is>
          <t>Mécanique</t>
        </is>
      </c>
      <c r="K263" s="7" t="inlineStr">
        <is>
          <t>P1 - Urgent</t>
        </is>
      </c>
      <c r="L263" s="7" t="inlineStr">
        <is>
          <t>Galets bloqués / bruit anormal</t>
        </is>
      </c>
      <c r="M263" s="7" t="inlineStr">
        <is>
          <t>Défaut lubrification</t>
        </is>
      </c>
      <c r="N263" s="7" t="inlineStr">
        <is>
          <t>Graissage et remplacement galets</t>
        </is>
      </c>
      <c r="O263" s="7" t="inlineStr">
        <is>
          <t>Lucas Fontaine</t>
        </is>
      </c>
      <c r="P263" s="65" t="n"/>
      <c r="Q263" s="75" t="n">
        <v>45773.49444444444</v>
      </c>
      <c r="R263" s="75" t="n">
        <v>45773.89027777778</v>
      </c>
      <c r="S263" s="76" t="n">
        <v>10.4</v>
      </c>
      <c r="T263" s="76" t="n">
        <v>9.5</v>
      </c>
      <c r="U263" s="70">
        <f>IF($A263="","",IFERROR(INDEX('Techniciens'!$F$5:$F$44,MATCH(O263,'Techniciens'!$B$5:$B$44,0)),'Paramètres'!$AA$10))</f>
        <v/>
      </c>
      <c r="V263" s="70">
        <f>IF($A263="","",IF(OR(AC263="Demandé",AC263="Planifié",AC263="Annulé"),0,N(T263)*N(U263)))</f>
        <v/>
      </c>
      <c r="W263" s="70">
        <f>IF($A263="","",SUMIFS('Mouvements stock'!$H$5:$H$3004,'Mouvements stock'!$I$5:$I$3004,$A263,'Mouvements stock'!$C$5:$C$3004,"Sortie")-SUMIFS('Mouvements stock'!$H$5:$H$3004,'Mouvements stock'!$I$5:$I$3004,$A263,'Mouvements stock'!$C$5:$C$3004,"Retour"))</f>
        <v/>
      </c>
      <c r="X263" s="66" t="n">
        <v>0</v>
      </c>
      <c r="Y263" s="66" t="n">
        <v>0</v>
      </c>
      <c r="Z263" s="7" t="n"/>
      <c r="AA263" s="70">
        <f>IF($A263="","",N(V263)+N(W263)+N(X263)+N(Y263))</f>
        <v/>
      </c>
      <c r="AB263" s="70">
        <f>IF($A263="","",N(S263)*'Paramètres'!$AA$9*IFERROR(INDEX('Paramètres'!$O$5:$O$7,MATCH(G263,'Paramètres'!$N$5:$N$7,0)),0))</f>
        <v/>
      </c>
      <c r="AC263" s="7" t="inlineStr">
        <is>
          <t>Clôturé</t>
        </is>
      </c>
      <c r="AD263" s="69">
        <f>IF(OR($A263="",Q263=""),"",(Q263-B263)*24)</f>
        <v/>
      </c>
      <c r="AE263" s="69">
        <f>IF(OR(Q263="",R263=""),"",(R263-Q263)*24)</f>
        <v/>
      </c>
      <c r="AF263" s="77">
        <f>IF(OR($A263="",B263=""),"",YEAR(B263))</f>
        <v/>
      </c>
      <c r="AG263" s="77">
        <f>IF(OR($A263="",B263=""),"",MONTH(B263))</f>
        <v/>
      </c>
    </row>
    <row r="264">
      <c r="A264" s="7" t="inlineStr">
        <is>
          <t>OT-2025-0260</t>
        </is>
      </c>
      <c r="B264" s="75" t="n">
        <v>45773.54930555556</v>
      </c>
      <c r="C264" s="7" t="inlineStr">
        <is>
          <t>Opérateur tôlerie</t>
        </is>
      </c>
      <c r="D264" s="7" t="inlineStr">
        <is>
          <t>EQ-TOL-007</t>
        </is>
      </c>
      <c r="E264" s="9">
        <f>IF(D264="","",IFERROR(INDEX('Équipements'!$B$5:$B$304,MATCH(D264,'Équipements'!$A$5:$A$304,0)),"Code inconnu"))</f>
        <v/>
      </c>
      <c r="F264" s="9">
        <f>IF(D264="","",IFERROR(INDEX('Équipements'!$D$5:$D$304,MATCH(D264,'Équipements'!$A$5:$A$304,0)),""))</f>
        <v/>
      </c>
      <c r="G264" s="9">
        <f>IF(D264="","",IFERROR(INDEX('Équipements'!$K$5:$K$304,MATCH(D264,'Équipements'!$A$5:$A$304,0)),""))</f>
        <v/>
      </c>
      <c r="H264" s="7" t="inlineStr">
        <is>
          <t>Correctif</t>
        </is>
      </c>
      <c r="I264" s="7" t="n"/>
      <c r="J264" s="7" t="inlineStr">
        <is>
          <t>Électrique</t>
        </is>
      </c>
      <c r="K264" s="7" t="inlineStr">
        <is>
          <t>P3 - Normale</t>
        </is>
      </c>
      <c r="L264" s="7" t="inlineStr">
        <is>
          <t>Détecteur de présence HS</t>
        </is>
      </c>
      <c r="M264" s="7" t="inlineStr">
        <is>
          <t>Défaut capteur</t>
        </is>
      </c>
      <c r="N264" s="7" t="inlineStr">
        <is>
          <t>Remplacement détecteur</t>
        </is>
      </c>
      <c r="O264" s="7" t="inlineStr">
        <is>
          <t>Antoine Mercier</t>
        </is>
      </c>
      <c r="P264" s="65" t="n"/>
      <c r="Q264" s="75" t="n">
        <v>45774.94583333333</v>
      </c>
      <c r="R264" s="75" t="n">
        <v>45775.05</v>
      </c>
      <c r="S264" s="76" t="n">
        <v>0</v>
      </c>
      <c r="T264" s="76" t="n">
        <v>2.5</v>
      </c>
      <c r="U264" s="70">
        <f>IF($A264="","",IFERROR(INDEX('Techniciens'!$F$5:$F$44,MATCH(O264,'Techniciens'!$B$5:$B$44,0)),'Paramètres'!$AA$10))</f>
        <v/>
      </c>
      <c r="V264" s="70">
        <f>IF($A264="","",IF(OR(AC264="Demandé",AC264="Planifié",AC264="Annulé"),0,N(T264)*N(U264)))</f>
        <v/>
      </c>
      <c r="W264" s="70">
        <f>IF($A264="","",SUMIFS('Mouvements stock'!$H$5:$H$3004,'Mouvements stock'!$I$5:$I$3004,$A264,'Mouvements stock'!$C$5:$C$3004,"Sortie")-SUMIFS('Mouvements stock'!$H$5:$H$3004,'Mouvements stock'!$I$5:$I$3004,$A264,'Mouvements stock'!$C$5:$C$3004,"Retour"))</f>
        <v/>
      </c>
      <c r="X264" s="66" t="n">
        <v>0</v>
      </c>
      <c r="Y264" s="66" t="n">
        <v>0</v>
      </c>
      <c r="Z264" s="7" t="n"/>
      <c r="AA264" s="70">
        <f>IF($A264="","",N(V264)+N(W264)+N(X264)+N(Y264))</f>
        <v/>
      </c>
      <c r="AB264" s="70">
        <f>IF($A264="","",N(S264)*'Paramètres'!$AA$9*IFERROR(INDEX('Paramètres'!$O$5:$O$7,MATCH(G264,'Paramètres'!$N$5:$N$7,0)),0))</f>
        <v/>
      </c>
      <c r="AC264" s="7" t="inlineStr">
        <is>
          <t>Clôturé</t>
        </is>
      </c>
      <c r="AD264" s="69">
        <f>IF(OR($A264="",Q264=""),"",(Q264-B264)*24)</f>
        <v/>
      </c>
      <c r="AE264" s="69">
        <f>IF(OR(Q264="",R264=""),"",(R264-Q264)*24)</f>
        <v/>
      </c>
      <c r="AF264" s="77">
        <f>IF(OR($A264="",B264=""),"",YEAR(B264))</f>
        <v/>
      </c>
      <c r="AG264" s="77">
        <f>IF(OR($A264="",B264=""),"",MONTH(B264))</f>
        <v/>
      </c>
    </row>
    <row r="265">
      <c r="A265" s="7" t="inlineStr">
        <is>
          <t>OT-2025-0261</t>
        </is>
      </c>
      <c r="B265" s="75" t="n">
        <v>45775.33333333334</v>
      </c>
      <c r="C265" s="7" t="inlineStr">
        <is>
          <t>Plan préventif</t>
        </is>
      </c>
      <c r="D265" s="7" t="inlineStr">
        <is>
          <t>EQ-TOL-007</t>
        </is>
      </c>
      <c r="E265" s="9">
        <f>IF(D265="","",IFERROR(INDEX('Équipements'!$B$5:$B$304,MATCH(D265,'Équipements'!$A$5:$A$304,0)),"Code inconnu"))</f>
        <v/>
      </c>
      <c r="F265" s="9">
        <f>IF(D265="","",IFERROR(INDEX('Équipements'!$D$5:$D$304,MATCH(D265,'Équipements'!$A$5:$A$304,0)),""))</f>
        <v/>
      </c>
      <c r="G265" s="9">
        <f>IF(D265="","",IFERROR(INDEX('Équipements'!$K$5:$K$304,MATCH(D265,'Équipements'!$A$5:$A$304,0)),""))</f>
        <v/>
      </c>
      <c r="H265" s="7" t="inlineStr">
        <is>
          <t>Préventif systématique</t>
        </is>
      </c>
      <c r="I265" s="7" t="inlineStr">
        <is>
          <t>GP-056</t>
        </is>
      </c>
      <c r="J265" s="7" t="inlineStr">
        <is>
          <t>Mécanique</t>
        </is>
      </c>
      <c r="K265" s="7" t="inlineStr">
        <is>
          <t>P3 - Normale</t>
        </is>
      </c>
      <c r="L265" s="7" t="inlineStr">
        <is>
          <t>Graissage chaîne / galets et contrôle tension</t>
        </is>
      </c>
      <c r="M265" s="7" t="n"/>
      <c r="N265" s="7" t="inlineStr">
        <is>
          <t>Gamme réalisée - RAS</t>
        </is>
      </c>
      <c r="O265" s="7" t="inlineStr">
        <is>
          <t>Antoine Mercier</t>
        </is>
      </c>
      <c r="P265" s="65" t="n">
        <v>45782.47916666666</v>
      </c>
      <c r="Q265" s="75" t="n">
        <v>45782.34722222222</v>
      </c>
      <c r="R265" s="75" t="n">
        <v>45782.46180555555</v>
      </c>
      <c r="S265" s="76" t="n">
        <v>1.4</v>
      </c>
      <c r="T265" s="76" t="n">
        <v>2.75</v>
      </c>
      <c r="U265" s="70">
        <f>IF($A265="","",IFERROR(INDEX('Techniciens'!$F$5:$F$44,MATCH(O265,'Techniciens'!$B$5:$B$44,0)),'Paramètres'!$AA$10))</f>
        <v/>
      </c>
      <c r="V265" s="70">
        <f>IF($A265="","",IF(OR(AC265="Demandé",AC265="Planifié",AC265="Annulé"),0,N(T265)*N(U265)))</f>
        <v/>
      </c>
      <c r="W265" s="70">
        <f>IF($A265="","",SUMIFS('Mouvements stock'!$H$5:$H$3004,'Mouvements stock'!$I$5:$I$3004,$A265,'Mouvements stock'!$C$5:$C$3004,"Sortie")-SUMIFS('Mouvements stock'!$H$5:$H$3004,'Mouvements stock'!$I$5:$I$3004,$A265,'Mouvements stock'!$C$5:$C$3004,"Retour"))</f>
        <v/>
      </c>
      <c r="X265" s="66" t="n">
        <v>0</v>
      </c>
      <c r="Y265" s="66" t="n">
        <v>0</v>
      </c>
      <c r="Z265" s="7" t="n"/>
      <c r="AA265" s="70">
        <f>IF($A265="","",N(V265)+N(W265)+N(X265)+N(Y265))</f>
        <v/>
      </c>
      <c r="AB265" s="70">
        <f>IF($A265="","",N(S265)*'Paramètres'!$AA$9*IFERROR(INDEX('Paramètres'!$O$5:$O$7,MATCH(G265,'Paramètres'!$N$5:$N$7,0)),0))</f>
        <v/>
      </c>
      <c r="AC265" s="7" t="inlineStr">
        <is>
          <t>Clôturé</t>
        </is>
      </c>
      <c r="AD265" s="69">
        <f>IF(OR($A265="",Q265=""),"",(Q265-B265)*24)</f>
        <v/>
      </c>
      <c r="AE265" s="69">
        <f>IF(OR(Q265="",R265=""),"",(R265-Q265)*24)</f>
        <v/>
      </c>
      <c r="AF265" s="77">
        <f>IF(OR($A265="",B265=""),"",YEAR(B265))</f>
        <v/>
      </c>
      <c r="AG265" s="77">
        <f>IF(OR($A265="",B265=""),"",MONTH(B265))</f>
        <v/>
      </c>
    </row>
    <row r="266">
      <c r="A266" s="7" t="inlineStr">
        <is>
          <t>OT-2025-0262</t>
        </is>
      </c>
      <c r="B266" s="75" t="n">
        <v>45775.38194444445</v>
      </c>
      <c r="C266" s="7" t="inlineStr">
        <is>
          <t>Plan préventif</t>
        </is>
      </c>
      <c r="D266" s="7" t="inlineStr">
        <is>
          <t>EQ-LOG-002</t>
        </is>
      </c>
      <c r="E266" s="9">
        <f>IF(D266="","",IFERROR(INDEX('Équipements'!$B$5:$B$304,MATCH(D266,'Équipements'!$A$5:$A$304,0)),"Code inconnu"))</f>
        <v/>
      </c>
      <c r="F266" s="9">
        <f>IF(D266="","",IFERROR(INDEX('Équipements'!$D$5:$D$304,MATCH(D266,'Équipements'!$A$5:$A$304,0)),""))</f>
        <v/>
      </c>
      <c r="G266" s="9">
        <f>IF(D266="","",IFERROR(INDEX('Équipements'!$K$5:$K$304,MATCH(D266,'Équipements'!$A$5:$A$304,0)),""))</f>
        <v/>
      </c>
      <c r="H266" s="7" t="inlineStr">
        <is>
          <t>Préventif systématique</t>
        </is>
      </c>
      <c r="I266" s="7" t="inlineStr">
        <is>
          <t>GP-108</t>
        </is>
      </c>
      <c r="J266" s="7" t="inlineStr">
        <is>
          <t>Mécanique</t>
        </is>
      </c>
      <c r="K266" s="7" t="inlineStr">
        <is>
          <t>P3 - Normale</t>
        </is>
      </c>
      <c r="L266" s="7" t="inlineStr">
        <is>
          <t>Contrôle batterie, niveaux et bandages</t>
        </is>
      </c>
      <c r="M266" s="7" t="n"/>
      <c r="N266" s="7" t="inlineStr">
        <is>
          <t>Gamme réalisée - RAS</t>
        </is>
      </c>
      <c r="O266" s="7" t="inlineStr">
        <is>
          <t>Antoine Mercier</t>
        </is>
      </c>
      <c r="P266" s="65" t="n">
        <v>45782.39930555555</v>
      </c>
      <c r="Q266" s="75" t="n">
        <v>45782.28472222222</v>
      </c>
      <c r="R266" s="75" t="n">
        <v>45782.32638888889</v>
      </c>
      <c r="S266" s="76" t="n">
        <v>0.5</v>
      </c>
      <c r="T266" s="76" t="n">
        <v>1</v>
      </c>
      <c r="U266" s="70">
        <f>IF($A266="","",IFERROR(INDEX('Techniciens'!$F$5:$F$44,MATCH(O266,'Techniciens'!$B$5:$B$44,0)),'Paramètres'!$AA$10))</f>
        <v/>
      </c>
      <c r="V266" s="70">
        <f>IF($A266="","",IF(OR(AC266="Demandé",AC266="Planifié",AC266="Annulé"),0,N(T266)*N(U266)))</f>
        <v/>
      </c>
      <c r="W266" s="70">
        <f>IF($A266="","",SUMIFS('Mouvements stock'!$H$5:$H$3004,'Mouvements stock'!$I$5:$I$3004,$A266,'Mouvements stock'!$C$5:$C$3004,"Sortie")-SUMIFS('Mouvements stock'!$H$5:$H$3004,'Mouvements stock'!$I$5:$I$3004,$A266,'Mouvements stock'!$C$5:$C$3004,"Retour"))</f>
        <v/>
      </c>
      <c r="X266" s="66" t="n">
        <v>0</v>
      </c>
      <c r="Y266" s="66" t="n">
        <v>0</v>
      </c>
      <c r="Z266" s="7" t="n"/>
      <c r="AA266" s="70">
        <f>IF($A266="","",N(V266)+N(W266)+N(X266)+N(Y266))</f>
        <v/>
      </c>
      <c r="AB266" s="70">
        <f>IF($A266="","",N(S266)*'Paramètres'!$AA$9*IFERROR(INDEX('Paramètres'!$O$5:$O$7,MATCH(G266,'Paramètres'!$N$5:$N$7,0)),0))</f>
        <v/>
      </c>
      <c r="AC266" s="7" t="inlineStr">
        <is>
          <t>Clôturé</t>
        </is>
      </c>
      <c r="AD266" s="69">
        <f>IF(OR($A266="",Q266=""),"",(Q266-B266)*24)</f>
        <v/>
      </c>
      <c r="AE266" s="69">
        <f>IF(OR(Q266="",R266=""),"",(R266-Q266)*24)</f>
        <v/>
      </c>
      <c r="AF266" s="77">
        <f>IF(OR($A266="",B266=""),"",YEAR(B266))</f>
        <v/>
      </c>
      <c r="AG266" s="77">
        <f>IF(OR($A266="",B266=""),"",MONTH(B266))</f>
        <v/>
      </c>
    </row>
    <row r="267">
      <c r="A267" s="7" t="inlineStr">
        <is>
          <t>OT-2025-0263</t>
        </is>
      </c>
      <c r="B267" s="75" t="n">
        <v>45775.44791666666</v>
      </c>
      <c r="C267" s="7" t="inlineStr">
        <is>
          <t>Plan préventif</t>
        </is>
      </c>
      <c r="D267" s="7" t="inlineStr">
        <is>
          <t>EQ-UTI-005</t>
        </is>
      </c>
      <c r="E267" s="9">
        <f>IF(D267="","",IFERROR(INDEX('Équipements'!$B$5:$B$304,MATCH(D267,'Équipements'!$A$5:$A$304,0)),"Code inconnu"))</f>
        <v/>
      </c>
      <c r="F267" s="9">
        <f>IF(D267="","",IFERROR(INDEX('Équipements'!$D$5:$D$304,MATCH(D267,'Équipements'!$A$5:$A$304,0)),""))</f>
        <v/>
      </c>
      <c r="G267" s="9">
        <f>IF(D267="","",IFERROR(INDEX('Équipements'!$K$5:$K$304,MATCH(D267,'Équipements'!$A$5:$A$304,0)),""))</f>
        <v/>
      </c>
      <c r="H267" s="7" t="inlineStr">
        <is>
          <t>Préventif systématique</t>
        </is>
      </c>
      <c r="I267" s="7" t="inlineStr">
        <is>
          <t>GP-093</t>
        </is>
      </c>
      <c r="J267" s="7" t="inlineStr">
        <is>
          <t>Mécanique</t>
        </is>
      </c>
      <c r="K267" s="7" t="inlineStr">
        <is>
          <t>P3 - Normale</t>
        </is>
      </c>
      <c r="L267" s="7" t="inlineStr">
        <is>
          <t>Remplacement filtres et nettoyage batteries</t>
        </is>
      </c>
      <c r="M267" s="7" t="n"/>
      <c r="N267" s="7" t="inlineStr">
        <is>
          <t>Gamme réalisée - RAS</t>
        </is>
      </c>
      <c r="O267" s="7" t="inlineStr">
        <is>
          <t>Lucas Fontaine</t>
        </is>
      </c>
      <c r="P267" s="65" t="n">
        <v>45782.46875</v>
      </c>
      <c r="Q267" s="75" t="n">
        <v>45782.40277777778</v>
      </c>
      <c r="R267" s="75" t="n">
        <v>45782.51736111111</v>
      </c>
      <c r="S267" s="76" t="n">
        <v>0</v>
      </c>
      <c r="T267" s="76" t="n">
        <v>2.75</v>
      </c>
      <c r="U267" s="70">
        <f>IF($A267="","",IFERROR(INDEX('Techniciens'!$F$5:$F$44,MATCH(O267,'Techniciens'!$B$5:$B$44,0)),'Paramètres'!$AA$10))</f>
        <v/>
      </c>
      <c r="V267" s="70">
        <f>IF($A267="","",IF(OR(AC267="Demandé",AC267="Planifié",AC267="Annulé"),0,N(T267)*N(U267)))</f>
        <v/>
      </c>
      <c r="W267" s="70">
        <f>IF($A267="","",SUMIFS('Mouvements stock'!$H$5:$H$3004,'Mouvements stock'!$I$5:$I$3004,$A267,'Mouvements stock'!$C$5:$C$3004,"Sortie")-SUMIFS('Mouvements stock'!$H$5:$H$3004,'Mouvements stock'!$I$5:$I$3004,$A267,'Mouvements stock'!$C$5:$C$3004,"Retour"))</f>
        <v/>
      </c>
      <c r="X267" s="66" t="n">
        <v>0</v>
      </c>
      <c r="Y267" s="66" t="n">
        <v>0</v>
      </c>
      <c r="Z267" s="7" t="n"/>
      <c r="AA267" s="70">
        <f>IF($A267="","",N(V267)+N(W267)+N(X267)+N(Y267))</f>
        <v/>
      </c>
      <c r="AB267" s="70">
        <f>IF($A267="","",N(S267)*'Paramètres'!$AA$9*IFERROR(INDEX('Paramètres'!$O$5:$O$7,MATCH(G267,'Paramètres'!$N$5:$N$7,0)),0))</f>
        <v/>
      </c>
      <c r="AC267" s="7" t="inlineStr">
        <is>
          <t>Clôturé</t>
        </is>
      </c>
      <c r="AD267" s="69">
        <f>IF(OR($A267="",Q267=""),"",(Q267-B267)*24)</f>
        <v/>
      </c>
      <c r="AE267" s="69">
        <f>IF(OR(Q267="",R267=""),"",(R267-Q267)*24)</f>
        <v/>
      </c>
      <c r="AF267" s="77">
        <f>IF(OR($A267="",B267=""),"",YEAR(B267))</f>
        <v/>
      </c>
      <c r="AG267" s="77">
        <f>IF(OR($A267="",B267=""),"",MONTH(B267))</f>
        <v/>
      </c>
    </row>
    <row r="268">
      <c r="A268" s="7" t="inlineStr">
        <is>
          <t>OT-2025-0264</t>
        </is>
      </c>
      <c r="B268" s="75" t="n">
        <v>45775.49305555555</v>
      </c>
      <c r="C268" s="7" t="inlineStr">
        <is>
          <t>Plan préventif</t>
        </is>
      </c>
      <c r="D268" s="7" t="inlineStr">
        <is>
          <t>EQ-UTI-002</t>
        </is>
      </c>
      <c r="E268" s="9">
        <f>IF(D268="","",IFERROR(INDEX('Équipements'!$B$5:$B$304,MATCH(D268,'Équipements'!$A$5:$A$304,0)),"Code inconnu"))</f>
        <v/>
      </c>
      <c r="F268" s="9">
        <f>IF(D268="","",IFERROR(INDEX('Équipements'!$D$5:$D$304,MATCH(D268,'Équipements'!$A$5:$A$304,0)),""))</f>
        <v/>
      </c>
      <c r="G268" s="9">
        <f>IF(D268="","",IFERROR(INDEX('Équipements'!$K$5:$K$304,MATCH(D268,'Équipements'!$A$5:$A$304,0)),""))</f>
        <v/>
      </c>
      <c r="H268" s="7" t="inlineStr">
        <is>
          <t>Préventif systématique</t>
        </is>
      </c>
      <c r="I268" s="7" t="inlineStr">
        <is>
          <t>GP-090</t>
        </is>
      </c>
      <c r="J268" s="7" t="inlineStr">
        <is>
          <t>Pneumatique</t>
        </is>
      </c>
      <c r="K268" s="7" t="inlineStr">
        <is>
          <t>P3 - Normale</t>
        </is>
      </c>
      <c r="L268" s="7" t="inlineStr">
        <is>
          <t>Purge, contrôle fuites et point de rosée</t>
        </is>
      </c>
      <c r="M268" s="7" t="n"/>
      <c r="N268" s="7" t="inlineStr">
        <is>
          <t>Gamme réalisée - RAS</t>
        </is>
      </c>
      <c r="O268" s="7" t="inlineStr">
        <is>
          <t>Lucas Fontaine</t>
        </is>
      </c>
      <c r="P268" s="65" t="n">
        <v>45782.52083333334</v>
      </c>
      <c r="Q268" s="75" t="n">
        <v>45782.29166666666</v>
      </c>
      <c r="R268" s="75" t="n">
        <v>45782.35416666666</v>
      </c>
      <c r="S268" s="76" t="n">
        <v>0</v>
      </c>
      <c r="T268" s="76" t="n">
        <v>1.5</v>
      </c>
      <c r="U268" s="70">
        <f>IF($A268="","",IFERROR(INDEX('Techniciens'!$F$5:$F$44,MATCH(O268,'Techniciens'!$B$5:$B$44,0)),'Paramètres'!$AA$10))</f>
        <v/>
      </c>
      <c r="V268" s="70">
        <f>IF($A268="","",IF(OR(AC268="Demandé",AC268="Planifié",AC268="Annulé"),0,N(T268)*N(U268)))</f>
        <v/>
      </c>
      <c r="W268" s="70">
        <f>IF($A268="","",SUMIFS('Mouvements stock'!$H$5:$H$3004,'Mouvements stock'!$I$5:$I$3004,$A268,'Mouvements stock'!$C$5:$C$3004,"Sortie")-SUMIFS('Mouvements stock'!$H$5:$H$3004,'Mouvements stock'!$I$5:$I$3004,$A268,'Mouvements stock'!$C$5:$C$3004,"Retour"))</f>
        <v/>
      </c>
      <c r="X268" s="66" t="n">
        <v>0</v>
      </c>
      <c r="Y268" s="66" t="n">
        <v>0</v>
      </c>
      <c r="Z268" s="7" t="n"/>
      <c r="AA268" s="70">
        <f>IF($A268="","",N(V268)+N(W268)+N(X268)+N(Y268))</f>
        <v/>
      </c>
      <c r="AB268" s="70">
        <f>IF($A268="","",N(S268)*'Paramètres'!$AA$9*IFERROR(INDEX('Paramètres'!$O$5:$O$7,MATCH(G268,'Paramètres'!$N$5:$N$7,0)),0))</f>
        <v/>
      </c>
      <c r="AC268" s="7" t="inlineStr">
        <is>
          <t>Clôturé</t>
        </is>
      </c>
      <c r="AD268" s="69">
        <f>IF(OR($A268="",Q268=""),"",(Q268-B268)*24)</f>
        <v/>
      </c>
      <c r="AE268" s="69">
        <f>IF(OR(Q268="",R268=""),"",(R268-Q268)*24)</f>
        <v/>
      </c>
      <c r="AF268" s="77">
        <f>IF(OR($A268="",B268=""),"",YEAR(B268))</f>
        <v/>
      </c>
      <c r="AG268" s="77">
        <f>IF(OR($A268="",B268=""),"",MONTH(B268))</f>
        <v/>
      </c>
    </row>
    <row r="269">
      <c r="A269" s="7" t="inlineStr">
        <is>
          <t>OT-2025-0265</t>
        </is>
      </c>
      <c r="B269" s="75" t="n">
        <v>45776.4875</v>
      </c>
      <c r="C269" s="7" t="inlineStr">
        <is>
          <t>Céline Morel (cheffe d'atelier)</t>
        </is>
      </c>
      <c r="D269" s="7" t="inlineStr">
        <is>
          <t>EQ-TOL-005</t>
        </is>
      </c>
      <c r="E269" s="9">
        <f>IF(D269="","",IFERROR(INDEX('Équipements'!$B$5:$B$304,MATCH(D269,'Équipements'!$A$5:$A$304,0)),"Code inconnu"))</f>
        <v/>
      </c>
      <c r="F269" s="9">
        <f>IF(D269="","",IFERROR(INDEX('Équipements'!$D$5:$D$304,MATCH(D269,'Équipements'!$A$5:$A$304,0)),""))</f>
        <v/>
      </c>
      <c r="G269" s="9">
        <f>IF(D269="","",IFERROR(INDEX('Équipements'!$K$5:$K$304,MATCH(D269,'Équipements'!$A$5:$A$304,0)),""))</f>
        <v/>
      </c>
      <c r="H269" s="7" t="inlineStr">
        <is>
          <t>Correctif</t>
        </is>
      </c>
      <c r="I269" s="7" t="n"/>
      <c r="J269" s="7" t="inlineStr">
        <is>
          <t>Mécanique</t>
        </is>
      </c>
      <c r="K269" s="7" t="inlineStr">
        <is>
          <t>P3 - Normale</t>
        </is>
      </c>
      <c r="L269" s="7" t="inlineStr">
        <is>
          <t>Butée arrière bloquée</t>
        </is>
      </c>
      <c r="M269" s="7" t="inlineStr">
        <is>
          <t>Casse mécanique</t>
        </is>
      </c>
      <c r="N269" s="7" t="inlineStr">
        <is>
          <t>Remplacement courroie et réglage butée</t>
        </is>
      </c>
      <c r="O269" s="7" t="inlineStr">
        <is>
          <t>Antoine Mercier</t>
        </is>
      </c>
      <c r="P269" s="65" t="n"/>
      <c r="Q269" s="75" t="n">
        <v>45777.49722222222</v>
      </c>
      <c r="R269" s="75" t="n">
        <v>45777.77847222222</v>
      </c>
      <c r="S269" s="76" t="n">
        <v>0</v>
      </c>
      <c r="T269" s="76" t="n">
        <v>6.75</v>
      </c>
      <c r="U269" s="70">
        <f>IF($A269="","",IFERROR(INDEX('Techniciens'!$F$5:$F$44,MATCH(O269,'Techniciens'!$B$5:$B$44,0)),'Paramètres'!$AA$10))</f>
        <v/>
      </c>
      <c r="V269" s="70">
        <f>IF($A269="","",IF(OR(AC269="Demandé",AC269="Planifié",AC269="Annulé"),0,N(T269)*N(U269)))</f>
        <v/>
      </c>
      <c r="W269" s="70">
        <f>IF($A269="","",SUMIFS('Mouvements stock'!$H$5:$H$3004,'Mouvements stock'!$I$5:$I$3004,$A269,'Mouvements stock'!$C$5:$C$3004,"Sortie")-SUMIFS('Mouvements stock'!$H$5:$H$3004,'Mouvements stock'!$I$5:$I$3004,$A269,'Mouvements stock'!$C$5:$C$3004,"Retour"))</f>
        <v/>
      </c>
      <c r="X269" s="66" t="n">
        <v>0</v>
      </c>
      <c r="Y269" s="66" t="n">
        <v>850</v>
      </c>
      <c r="Z269" s="7" t="inlineStr">
        <is>
          <t>HydroFluid Services</t>
        </is>
      </c>
      <c r="AA269" s="70">
        <f>IF($A269="","",N(V269)+N(W269)+N(X269)+N(Y269))</f>
        <v/>
      </c>
      <c r="AB269" s="70">
        <f>IF($A269="","",N(S269)*'Paramètres'!$AA$9*IFERROR(INDEX('Paramètres'!$O$5:$O$7,MATCH(G269,'Paramètres'!$N$5:$N$7,0)),0))</f>
        <v/>
      </c>
      <c r="AC269" s="7" t="inlineStr">
        <is>
          <t>Clôturé</t>
        </is>
      </c>
      <c r="AD269" s="69">
        <f>IF(OR($A269="",Q269=""),"",(Q269-B269)*24)</f>
        <v/>
      </c>
      <c r="AE269" s="69">
        <f>IF(OR(Q269="",R269=""),"",(R269-Q269)*24)</f>
        <v/>
      </c>
      <c r="AF269" s="77">
        <f>IF(OR($A269="",B269=""),"",YEAR(B269))</f>
        <v/>
      </c>
      <c r="AG269" s="77">
        <f>IF(OR($A269="",B269=""),"",MONTH(B269))</f>
        <v/>
      </c>
    </row>
    <row r="270">
      <c r="A270" s="7" t="inlineStr">
        <is>
          <t>OT-2025-0266</t>
        </is>
      </c>
      <c r="B270" s="75" t="n">
        <v>45777.60208333333</v>
      </c>
      <c r="C270" s="7" t="inlineStr">
        <is>
          <t>Ronde maintenance</t>
        </is>
      </c>
      <c r="D270" s="7" t="inlineStr">
        <is>
          <t>EQ-UTI-010</t>
        </is>
      </c>
      <c r="E270" s="9">
        <f>IF(D270="","",IFERROR(INDEX('Équipements'!$B$5:$B$304,MATCH(D270,'Équipements'!$A$5:$A$304,0)),"Code inconnu"))</f>
        <v/>
      </c>
      <c r="F270" s="9">
        <f>IF(D270="","",IFERROR(INDEX('Équipements'!$D$5:$D$304,MATCH(D270,'Équipements'!$A$5:$A$304,0)),""))</f>
        <v/>
      </c>
      <c r="G270" s="9">
        <f>IF(D270="","",IFERROR(INDEX('Équipements'!$K$5:$K$304,MATCH(D270,'Équipements'!$A$5:$A$304,0)),""))</f>
        <v/>
      </c>
      <c r="H270" s="7" t="inlineStr">
        <is>
          <t>Correctif</t>
        </is>
      </c>
      <c r="I270" s="7" t="n"/>
      <c r="J270" s="7" t="inlineStr">
        <is>
          <t>Électrique</t>
        </is>
      </c>
      <c r="K270" s="7" t="inlineStr">
        <is>
          <t>P2 - Haute</t>
        </is>
      </c>
      <c r="L270" s="7" t="inlineStr">
        <is>
          <t>Défaut démarrage groupe / batterie</t>
        </is>
      </c>
      <c r="M270" s="7" t="inlineStr">
        <is>
          <t>Cause inconnue</t>
        </is>
      </c>
      <c r="N270" s="7" t="inlineStr">
        <is>
          <t>Remplacement batterie de démarrage</t>
        </is>
      </c>
      <c r="O270" s="7" t="inlineStr">
        <is>
          <t>Antoine Mercier</t>
        </is>
      </c>
      <c r="P270" s="65" t="n"/>
      <c r="Q270" s="75" t="n">
        <v>45777.84305555555</v>
      </c>
      <c r="R270" s="75" t="n">
        <v>45777.94722222222</v>
      </c>
      <c r="S270" s="76" t="n">
        <v>8.300000000000001</v>
      </c>
      <c r="T270" s="76" t="n">
        <v>2.5</v>
      </c>
      <c r="U270" s="70">
        <f>IF($A270="","",IFERROR(INDEX('Techniciens'!$F$5:$F$44,MATCH(O270,'Techniciens'!$B$5:$B$44,0)),'Paramètres'!$AA$10))</f>
        <v/>
      </c>
      <c r="V270" s="70">
        <f>IF($A270="","",IF(OR(AC270="Demandé",AC270="Planifié",AC270="Annulé"),0,N(T270)*N(U270)))</f>
        <v/>
      </c>
      <c r="W270" s="70">
        <f>IF($A270="","",SUMIFS('Mouvements stock'!$H$5:$H$3004,'Mouvements stock'!$I$5:$I$3004,$A270,'Mouvements stock'!$C$5:$C$3004,"Sortie")-SUMIFS('Mouvements stock'!$H$5:$H$3004,'Mouvements stock'!$I$5:$I$3004,$A270,'Mouvements stock'!$C$5:$C$3004,"Retour"))</f>
        <v/>
      </c>
      <c r="X270" s="66" t="n">
        <v>0</v>
      </c>
      <c r="Y270" s="66" t="n">
        <v>0</v>
      </c>
      <c r="Z270" s="7" t="n"/>
      <c r="AA270" s="70">
        <f>IF($A270="","",N(V270)+N(W270)+N(X270)+N(Y270))</f>
        <v/>
      </c>
      <c r="AB270" s="70">
        <f>IF($A270="","",N(S270)*'Paramètres'!$AA$9*IFERROR(INDEX('Paramètres'!$O$5:$O$7,MATCH(G270,'Paramètres'!$N$5:$N$7,0)),0))</f>
        <v/>
      </c>
      <c r="AC270" s="7" t="inlineStr">
        <is>
          <t>Clôturé</t>
        </is>
      </c>
      <c r="AD270" s="69">
        <f>IF(OR($A270="",Q270=""),"",(Q270-B270)*24)</f>
        <v/>
      </c>
      <c r="AE270" s="69">
        <f>IF(OR(Q270="",R270=""),"",(R270-Q270)*24)</f>
        <v/>
      </c>
      <c r="AF270" s="77">
        <f>IF(OR($A270="",B270=""),"",YEAR(B270))</f>
        <v/>
      </c>
      <c r="AG270" s="77">
        <f>IF(OR($A270="",B270=""),"",MONTH(B270))</f>
        <v/>
      </c>
    </row>
    <row r="271">
      <c r="A271" s="7" t="inlineStr">
        <is>
          <t>OT-2025-0267</t>
        </is>
      </c>
      <c r="B271" s="75" t="n">
        <v>45777.69791666666</v>
      </c>
      <c r="C271" s="7" t="inlineStr">
        <is>
          <t>Direction industrielle</t>
        </is>
      </c>
      <c r="D271" s="7" t="inlineStr">
        <is>
          <t>EQ-TOL-002</t>
        </is>
      </c>
      <c r="E271" s="9">
        <f>IF(D271="","",IFERROR(INDEX('Équipements'!$B$5:$B$304,MATCH(D271,'Équipements'!$A$5:$A$304,0)),"Code inconnu"))</f>
        <v/>
      </c>
      <c r="F271" s="9">
        <f>IF(D271="","",IFERROR(INDEX('Équipements'!$D$5:$D$304,MATCH(D271,'Équipements'!$A$5:$A$304,0)),""))</f>
        <v/>
      </c>
      <c r="G271" s="9">
        <f>IF(D271="","",IFERROR(INDEX('Équipements'!$K$5:$K$304,MATCH(D271,'Équipements'!$A$5:$A$304,0)),""))</f>
        <v/>
      </c>
      <c r="H271" s="7" t="inlineStr">
        <is>
          <t>Amélioratif</t>
        </is>
      </c>
      <c r="I271" s="7" t="n"/>
      <c r="J271" s="7" t="inlineStr">
        <is>
          <t>Hydraulique</t>
        </is>
      </c>
      <c r="K271" s="7" t="inlineStr">
        <is>
          <t>P4 - Basse</t>
        </is>
      </c>
      <c r="L271" s="7" t="inlineStr">
        <is>
          <t>Ajout manomètre numérique et alarme température huile</t>
        </is>
      </c>
      <c r="M271" s="7" t="n"/>
      <c r="N271" s="7" t="inlineStr">
        <is>
          <t>Réalisé conformément au devis / dossier technique</t>
        </is>
      </c>
      <c r="O271" s="7" t="inlineStr">
        <is>
          <t>Antoine Mercier</t>
        </is>
      </c>
      <c r="P271" s="65" t="n">
        <v>45791</v>
      </c>
      <c r="Q271" s="75" t="n">
        <v>45791.32638888889</v>
      </c>
      <c r="R271" s="75" t="n">
        <v>45791.67638888889</v>
      </c>
      <c r="S271" s="76" t="n">
        <v>3</v>
      </c>
      <c r="T271" s="76" t="n">
        <v>6</v>
      </c>
      <c r="U271" s="70">
        <f>IF($A271="","",IFERROR(INDEX('Techniciens'!$F$5:$F$44,MATCH(O271,'Techniciens'!$B$5:$B$44,0)),'Paramètres'!$AA$10))</f>
        <v/>
      </c>
      <c r="V271" s="70">
        <f>IF($A271="","",IF(OR(AC271="Demandé",AC271="Planifié",AC271="Annulé"),0,N(T271)*N(U271)))</f>
        <v/>
      </c>
      <c r="W271" s="70">
        <f>IF($A271="","",SUMIFS('Mouvements stock'!$H$5:$H$3004,'Mouvements stock'!$I$5:$I$3004,$A271,'Mouvements stock'!$C$5:$C$3004,"Sortie")-SUMIFS('Mouvements stock'!$H$5:$H$3004,'Mouvements stock'!$I$5:$I$3004,$A271,'Mouvements stock'!$C$5:$C$3004,"Retour"))</f>
        <v/>
      </c>
      <c r="X271" s="66" t="n">
        <v>640</v>
      </c>
      <c r="Y271" s="66" t="n">
        <v>0</v>
      </c>
      <c r="Z271" s="7" t="n"/>
      <c r="AA271" s="70">
        <f>IF($A271="","",N(V271)+N(W271)+N(X271)+N(Y271))</f>
        <v/>
      </c>
      <c r="AB271" s="70">
        <f>IF($A271="","",N(S271)*'Paramètres'!$AA$9*IFERROR(INDEX('Paramètres'!$O$5:$O$7,MATCH(G271,'Paramètres'!$N$5:$N$7,0)),0))</f>
        <v/>
      </c>
      <c r="AC271" s="7" t="inlineStr">
        <is>
          <t>Clôturé</t>
        </is>
      </c>
      <c r="AD271" s="69">
        <f>IF(OR($A271="",Q271=""),"",(Q271-B271)*24)</f>
        <v/>
      </c>
      <c r="AE271" s="69">
        <f>IF(OR(Q271="",R271=""),"",(R271-Q271)*24)</f>
        <v/>
      </c>
      <c r="AF271" s="77">
        <f>IF(OR($A271="",B271=""),"",YEAR(B271))</f>
        <v/>
      </c>
      <c r="AG271" s="77">
        <f>IF(OR($A271="",B271=""),"",MONTH(B271))</f>
        <v/>
      </c>
    </row>
    <row r="272">
      <c r="A272" s="7" t="inlineStr">
        <is>
          <t>OT-2025-0268</t>
        </is>
      </c>
      <c r="B272" s="75" t="n">
        <v>45778.33055555556</v>
      </c>
      <c r="C272" s="7" t="inlineStr">
        <is>
          <t>Paul Roux (chef d'atelier)</t>
        </is>
      </c>
      <c r="D272" s="7" t="inlineStr">
        <is>
          <t>EQ-ASS-002</t>
        </is>
      </c>
      <c r="E272" s="9">
        <f>IF(D272="","",IFERROR(INDEX('Équipements'!$B$5:$B$304,MATCH(D272,'Équipements'!$A$5:$A$304,0)),"Code inconnu"))</f>
        <v/>
      </c>
      <c r="F272" s="9">
        <f>IF(D272="","",IFERROR(INDEX('Équipements'!$D$5:$D$304,MATCH(D272,'Équipements'!$A$5:$A$304,0)),""))</f>
        <v/>
      </c>
      <c r="G272" s="9">
        <f>IF(D272="","",IFERROR(INDEX('Équipements'!$K$5:$K$304,MATCH(D272,'Équipements'!$A$5:$A$304,0)),""))</f>
        <v/>
      </c>
      <c r="H272" s="7" t="inlineStr">
        <is>
          <t>Correctif</t>
        </is>
      </c>
      <c r="I272" s="7" t="n"/>
      <c r="J272" s="7" t="inlineStr">
        <is>
          <t>Hydraulique</t>
        </is>
      </c>
      <c r="K272" s="7" t="inlineStr">
        <is>
          <t>P4 - Basse</t>
        </is>
      </c>
      <c r="L272" s="7" t="inlineStr">
        <is>
          <t>Fuite d'huile vérin principal</t>
        </is>
      </c>
      <c r="M272" s="7" t="inlineStr">
        <is>
          <t>Fuite</t>
        </is>
      </c>
      <c r="N272" s="7" t="inlineStr">
        <is>
          <t>Remplacement kit joints vérin</t>
        </is>
      </c>
      <c r="O272" s="7" t="inlineStr">
        <is>
          <t>Karim Benali</t>
        </is>
      </c>
      <c r="P272" s="65" t="n"/>
      <c r="Q272" s="75" t="n">
        <v>45781.31875</v>
      </c>
      <c r="R272" s="75" t="n">
        <v>45781.44375</v>
      </c>
      <c r="S272" s="76" t="n">
        <v>0</v>
      </c>
      <c r="T272" s="76" t="n">
        <v>3</v>
      </c>
      <c r="U272" s="70">
        <f>IF($A272="","",IFERROR(INDEX('Techniciens'!$F$5:$F$44,MATCH(O272,'Techniciens'!$B$5:$B$44,0)),'Paramètres'!$AA$10))</f>
        <v/>
      </c>
      <c r="V272" s="70">
        <f>IF($A272="","",IF(OR(AC272="Demandé",AC272="Planifié",AC272="Annulé"),0,N(T272)*N(U272)))</f>
        <v/>
      </c>
      <c r="W272" s="70">
        <f>IF($A272="","",SUMIFS('Mouvements stock'!$H$5:$H$3004,'Mouvements stock'!$I$5:$I$3004,$A272,'Mouvements stock'!$C$5:$C$3004,"Sortie")-SUMIFS('Mouvements stock'!$H$5:$H$3004,'Mouvements stock'!$I$5:$I$3004,$A272,'Mouvements stock'!$C$5:$C$3004,"Retour"))</f>
        <v/>
      </c>
      <c r="X272" s="66" t="n">
        <v>0</v>
      </c>
      <c r="Y272" s="66" t="n">
        <v>0</v>
      </c>
      <c r="Z272" s="7" t="n"/>
      <c r="AA272" s="70">
        <f>IF($A272="","",N(V272)+N(W272)+N(X272)+N(Y272))</f>
        <v/>
      </c>
      <c r="AB272" s="70">
        <f>IF($A272="","",N(S272)*'Paramètres'!$AA$9*IFERROR(INDEX('Paramètres'!$O$5:$O$7,MATCH(G272,'Paramètres'!$N$5:$N$7,0)),0))</f>
        <v/>
      </c>
      <c r="AC272" s="7" t="inlineStr">
        <is>
          <t>Clôturé</t>
        </is>
      </c>
      <c r="AD272" s="69">
        <f>IF(OR($A272="",Q272=""),"",(Q272-B272)*24)</f>
        <v/>
      </c>
      <c r="AE272" s="69">
        <f>IF(OR(Q272="",R272=""),"",(R272-Q272)*24)</f>
        <v/>
      </c>
      <c r="AF272" s="77">
        <f>IF(OR($A272="",B272=""),"",YEAR(B272))</f>
        <v/>
      </c>
      <c r="AG272" s="77">
        <f>IF(OR($A272="",B272=""),"",MONTH(B272))</f>
        <v/>
      </c>
    </row>
    <row r="273">
      <c r="A273" s="7" t="inlineStr">
        <is>
          <t>OT-2025-0269</t>
        </is>
      </c>
      <c r="B273" s="75" t="n">
        <v>45778.62013888889</v>
      </c>
      <c r="C273" s="7" t="inlineStr">
        <is>
          <t>Opérateur tôlerie</t>
        </is>
      </c>
      <c r="D273" s="7" t="inlineStr">
        <is>
          <t>EQ-TOL-002</t>
        </is>
      </c>
      <c r="E273" s="9">
        <f>IF(D273="","",IFERROR(INDEX('Équipements'!$B$5:$B$304,MATCH(D273,'Équipements'!$A$5:$A$304,0)),"Code inconnu"))</f>
        <v/>
      </c>
      <c r="F273" s="9">
        <f>IF(D273="","",IFERROR(INDEX('Équipements'!$D$5:$D$304,MATCH(D273,'Équipements'!$A$5:$A$304,0)),""))</f>
        <v/>
      </c>
      <c r="G273" s="9">
        <f>IF(D273="","",IFERROR(INDEX('Équipements'!$K$5:$K$304,MATCH(D273,'Équipements'!$A$5:$A$304,0)),""))</f>
        <v/>
      </c>
      <c r="H273" s="7" t="inlineStr">
        <is>
          <t>Correctif</t>
        </is>
      </c>
      <c r="I273" s="7" t="n"/>
      <c r="J273" s="7" t="inlineStr">
        <is>
          <t>Hydraulique</t>
        </is>
      </c>
      <c r="K273" s="7" t="inlineStr">
        <is>
          <t>P2 - Haute</t>
        </is>
      </c>
      <c r="L273" s="7" t="inlineStr">
        <is>
          <t>Pompe hydraulique bruyante</t>
        </is>
      </c>
      <c r="M273" s="7" t="inlineStr">
        <is>
          <t>Usure</t>
        </is>
      </c>
      <c r="N273" s="7" t="inlineStr">
        <is>
          <t>Remplacement accouplement, contrôle débit pompe</t>
        </is>
      </c>
      <c r="O273" s="7" t="inlineStr">
        <is>
          <t>Karim Benali</t>
        </is>
      </c>
      <c r="P273" s="65" t="n"/>
      <c r="Q273" s="75" t="n">
        <v>45778.84375</v>
      </c>
      <c r="R273" s="75" t="n">
        <v>45779.30208333334</v>
      </c>
      <c r="S273" s="76" t="n">
        <v>16.4</v>
      </c>
      <c r="T273" s="76" t="n">
        <v>11</v>
      </c>
      <c r="U273" s="70">
        <f>IF($A273="","",IFERROR(INDEX('Techniciens'!$F$5:$F$44,MATCH(O273,'Techniciens'!$B$5:$B$44,0)),'Paramètres'!$AA$10))</f>
        <v/>
      </c>
      <c r="V273" s="70">
        <f>IF($A273="","",IF(OR(AC273="Demandé",AC273="Planifié",AC273="Annulé"),0,N(T273)*N(U273)))</f>
        <v/>
      </c>
      <c r="W273" s="70">
        <f>IF($A273="","",SUMIFS('Mouvements stock'!$H$5:$H$3004,'Mouvements stock'!$I$5:$I$3004,$A273,'Mouvements stock'!$C$5:$C$3004,"Sortie")-SUMIFS('Mouvements stock'!$H$5:$H$3004,'Mouvements stock'!$I$5:$I$3004,$A273,'Mouvements stock'!$C$5:$C$3004,"Retour"))</f>
        <v/>
      </c>
      <c r="X273" s="66" t="n">
        <v>0</v>
      </c>
      <c r="Y273" s="66" t="n">
        <v>0</v>
      </c>
      <c r="Z273" s="7" t="n"/>
      <c r="AA273" s="70">
        <f>IF($A273="","",N(V273)+N(W273)+N(X273)+N(Y273))</f>
        <v/>
      </c>
      <c r="AB273" s="70">
        <f>IF($A273="","",N(S273)*'Paramètres'!$AA$9*IFERROR(INDEX('Paramètres'!$O$5:$O$7,MATCH(G273,'Paramètres'!$N$5:$N$7,0)),0))</f>
        <v/>
      </c>
      <c r="AC273" s="7" t="inlineStr">
        <is>
          <t>Clôturé</t>
        </is>
      </c>
      <c r="AD273" s="69">
        <f>IF(OR($A273="",Q273=""),"",(Q273-B273)*24)</f>
        <v/>
      </c>
      <c r="AE273" s="69">
        <f>IF(OR(Q273="",R273=""),"",(R273-Q273)*24)</f>
        <v/>
      </c>
      <c r="AF273" s="77">
        <f>IF(OR($A273="",B273=""),"",YEAR(B273))</f>
        <v/>
      </c>
      <c r="AG273" s="77">
        <f>IF(OR($A273="",B273=""),"",MONTH(B273))</f>
        <v/>
      </c>
    </row>
    <row r="274">
      <c r="A274" s="7" t="inlineStr">
        <is>
          <t>OT-2025-0270</t>
        </is>
      </c>
      <c r="B274" s="75" t="n">
        <v>45779.33819444444</v>
      </c>
      <c r="C274" s="7" t="inlineStr">
        <is>
          <t>Paul Roux (chef d'atelier)</t>
        </is>
      </c>
      <c r="D274" s="7" t="inlineStr">
        <is>
          <t>EQ-ASS-001</t>
        </is>
      </c>
      <c r="E274" s="9">
        <f>IF(D274="","",IFERROR(INDEX('Équipements'!$B$5:$B$304,MATCH(D274,'Équipements'!$A$5:$A$304,0)),"Code inconnu"))</f>
        <v/>
      </c>
      <c r="F274" s="9">
        <f>IF(D274="","",IFERROR(INDEX('Équipements'!$D$5:$D$304,MATCH(D274,'Équipements'!$A$5:$A$304,0)),""))</f>
        <v/>
      </c>
      <c r="G274" s="9">
        <f>IF(D274="","",IFERROR(INDEX('Équipements'!$K$5:$K$304,MATCH(D274,'Équipements'!$A$5:$A$304,0)),""))</f>
        <v/>
      </c>
      <c r="H274" s="7" t="inlineStr">
        <is>
          <t>Correctif</t>
        </is>
      </c>
      <c r="I274" s="7" t="n"/>
      <c r="J274" s="7" t="inlineStr">
        <is>
          <t>Électrique</t>
        </is>
      </c>
      <c r="K274" s="7" t="inlineStr">
        <is>
          <t>P2 - Haute</t>
        </is>
      </c>
      <c r="L274" s="7" t="inlineStr">
        <is>
          <t>Défaut variateur de vitesse</t>
        </is>
      </c>
      <c r="M274" s="7" t="inlineStr">
        <is>
          <t>Défaut électrique</t>
        </is>
      </c>
      <c r="N274" s="7" t="inlineStr">
        <is>
          <t>Remplacement variateur et paramétrage</t>
        </is>
      </c>
      <c r="O274" s="7" t="inlineStr">
        <is>
          <t>Antoine Mercier</t>
        </is>
      </c>
      <c r="P274" s="65" t="n"/>
      <c r="Q274" s="75" t="n">
        <v>45779.43402777778</v>
      </c>
      <c r="R274" s="75" t="n">
        <v>45779.62152777778</v>
      </c>
      <c r="S274" s="76" t="n">
        <v>0</v>
      </c>
      <c r="T274" s="76" t="n">
        <v>4.5</v>
      </c>
      <c r="U274" s="70">
        <f>IF($A274="","",IFERROR(INDEX('Techniciens'!$F$5:$F$44,MATCH(O274,'Techniciens'!$B$5:$B$44,0)),'Paramètres'!$AA$10))</f>
        <v/>
      </c>
      <c r="V274" s="70">
        <f>IF($A274="","",IF(OR(AC274="Demandé",AC274="Planifié",AC274="Annulé"),0,N(T274)*N(U274)))</f>
        <v/>
      </c>
      <c r="W274" s="70">
        <f>IF($A274="","",SUMIFS('Mouvements stock'!$H$5:$H$3004,'Mouvements stock'!$I$5:$I$3004,$A274,'Mouvements stock'!$C$5:$C$3004,"Sortie")-SUMIFS('Mouvements stock'!$H$5:$H$3004,'Mouvements stock'!$I$5:$I$3004,$A274,'Mouvements stock'!$C$5:$C$3004,"Retour"))</f>
        <v/>
      </c>
      <c r="X274" s="66" t="n">
        <v>0</v>
      </c>
      <c r="Y274" s="66" t="n">
        <v>990</v>
      </c>
      <c r="Z274" s="7" t="inlineStr">
        <is>
          <t>AutomaSys Ingénierie</t>
        </is>
      </c>
      <c r="AA274" s="70">
        <f>IF($A274="","",N(V274)+N(W274)+N(X274)+N(Y274))</f>
        <v/>
      </c>
      <c r="AB274" s="70">
        <f>IF($A274="","",N(S274)*'Paramètres'!$AA$9*IFERROR(INDEX('Paramètres'!$O$5:$O$7,MATCH(G274,'Paramètres'!$N$5:$N$7,0)),0))</f>
        <v/>
      </c>
      <c r="AC274" s="7" t="inlineStr">
        <is>
          <t>Clôturé</t>
        </is>
      </c>
      <c r="AD274" s="69">
        <f>IF(OR($A274="",Q274=""),"",(Q274-B274)*24)</f>
        <v/>
      </c>
      <c r="AE274" s="69">
        <f>IF(OR(Q274="",R274=""),"",(R274-Q274)*24)</f>
        <v/>
      </c>
      <c r="AF274" s="77">
        <f>IF(OR($A274="",B274=""),"",YEAR(B274))</f>
        <v/>
      </c>
      <c r="AG274" s="77">
        <f>IF(OR($A274="",B274=""),"",MONTH(B274))</f>
        <v/>
      </c>
    </row>
    <row r="275">
      <c r="A275" s="7" t="inlineStr">
        <is>
          <t>OT-2025-0271</t>
        </is>
      </c>
      <c r="B275" s="75" t="n">
        <v>45782.38541666666</v>
      </c>
      <c r="C275" s="7" t="inlineStr">
        <is>
          <t>Planning réglementaire</t>
        </is>
      </c>
      <c r="D275" s="7" t="n"/>
      <c r="E275" s="9">
        <f>IF(D275="","",IFERROR(INDEX('Équipements'!$B$5:$B$304,MATCH(D275,'Équipements'!$A$5:$A$304,0)),"Code inconnu"))</f>
        <v/>
      </c>
      <c r="F275" s="9">
        <f>IF(D275="","",IFERROR(INDEX('Équipements'!$D$5:$D$304,MATCH(D275,'Équipements'!$A$5:$A$304,0)),""))</f>
        <v/>
      </c>
      <c r="G275" s="9">
        <f>IF(D275="","",IFERROR(INDEX('Équipements'!$K$5:$K$304,MATCH(D275,'Équipements'!$A$5:$A$304,0)),""))</f>
        <v/>
      </c>
      <c r="H275" s="7" t="inlineStr">
        <is>
          <t>Réglementaire</t>
        </is>
      </c>
      <c r="I275" s="7" t="inlineStr">
        <is>
          <t>CR-009</t>
        </is>
      </c>
      <c r="J275" s="7" t="inlineStr">
        <is>
          <t>Multi-technique</t>
        </is>
      </c>
      <c r="K275" s="7" t="inlineStr">
        <is>
          <t>P2 - Haute</t>
        </is>
      </c>
      <c r="L275" s="7" t="inlineStr">
        <is>
          <t>Vérification des accessoires de levage (élingues, manilles)</t>
        </is>
      </c>
      <c r="M275" s="7" t="n"/>
      <c r="N275" s="7" t="inlineStr">
        <is>
          <t>Contrôle réalisé - aucune observation</t>
        </is>
      </c>
      <c r="O275" s="7" t="inlineStr">
        <is>
          <t>Marc Lefèvre</t>
        </is>
      </c>
      <c r="P275" s="65" t="n">
        <v>45803</v>
      </c>
      <c r="Q275" s="75" t="n">
        <v>45803.47916666666</v>
      </c>
      <c r="R275" s="75" t="n">
        <v>45803.54166666666</v>
      </c>
      <c r="S275" s="76" t="n">
        <v>0</v>
      </c>
      <c r="T275" s="76" t="n">
        <v>1.5</v>
      </c>
      <c r="U275" s="70">
        <f>IF($A275="","",IFERROR(INDEX('Techniciens'!$F$5:$F$44,MATCH(O275,'Techniciens'!$B$5:$B$44,0)),'Paramètres'!$AA$10))</f>
        <v/>
      </c>
      <c r="V275" s="70">
        <f>IF($A275="","",IF(OR(AC275="Demandé",AC275="Planifié",AC275="Annulé"),0,N(T275)*N(U275)))</f>
        <v/>
      </c>
      <c r="W275" s="70">
        <f>IF($A275="","",SUMIFS('Mouvements stock'!$H$5:$H$3004,'Mouvements stock'!$I$5:$I$3004,$A275,'Mouvements stock'!$C$5:$C$3004,"Sortie")-SUMIFS('Mouvements stock'!$H$5:$H$3004,'Mouvements stock'!$I$5:$I$3004,$A275,'Mouvements stock'!$C$5:$C$3004,"Retour"))</f>
        <v/>
      </c>
      <c r="X275" s="66" t="n">
        <v>0</v>
      </c>
      <c r="Y275" s="66" t="n">
        <v>290</v>
      </c>
      <c r="Z275" s="7" t="inlineStr">
        <is>
          <t>CONTROLIS (organisme fictif)</t>
        </is>
      </c>
      <c r="AA275" s="70">
        <f>IF($A275="","",N(V275)+N(W275)+N(X275)+N(Y275))</f>
        <v/>
      </c>
      <c r="AB275" s="70">
        <f>IF($A275="","",N(S275)*'Paramètres'!$AA$9*IFERROR(INDEX('Paramètres'!$O$5:$O$7,MATCH(G275,'Paramètres'!$N$5:$N$7,0)),0))</f>
        <v/>
      </c>
      <c r="AC275" s="7" t="inlineStr">
        <is>
          <t>Clôturé</t>
        </is>
      </c>
      <c r="AD275" s="69">
        <f>IF(OR($A275="",Q275=""),"",(Q275-B275)*24)</f>
        <v/>
      </c>
      <c r="AE275" s="69">
        <f>IF(OR(Q275="",R275=""),"",(R275-Q275)*24)</f>
        <v/>
      </c>
      <c r="AF275" s="77">
        <f>IF(OR($A275="",B275=""),"",YEAR(B275))</f>
        <v/>
      </c>
      <c r="AG275" s="77">
        <f>IF(OR($A275="",B275=""),"",MONTH(B275))</f>
        <v/>
      </c>
    </row>
    <row r="276">
      <c r="A276" s="7" t="inlineStr">
        <is>
          <t>OT-2025-0272</t>
        </is>
      </c>
      <c r="B276" s="75" t="n">
        <v>45782.40277777778</v>
      </c>
      <c r="C276" s="7" t="inlineStr">
        <is>
          <t>Plan préventif</t>
        </is>
      </c>
      <c r="D276" s="7" t="inlineStr">
        <is>
          <t>EQ-LOG-003</t>
        </is>
      </c>
      <c r="E276" s="9">
        <f>IF(D276="","",IFERROR(INDEX('Équipements'!$B$5:$B$304,MATCH(D276,'Équipements'!$A$5:$A$304,0)),"Code inconnu"))</f>
        <v/>
      </c>
      <c r="F276" s="9">
        <f>IF(D276="","",IFERROR(INDEX('Équipements'!$D$5:$D$304,MATCH(D276,'Équipements'!$A$5:$A$304,0)),""))</f>
        <v/>
      </c>
      <c r="G276" s="9">
        <f>IF(D276="","",IFERROR(INDEX('Équipements'!$K$5:$K$304,MATCH(D276,'Équipements'!$A$5:$A$304,0)),""))</f>
        <v/>
      </c>
      <c r="H276" s="7" t="inlineStr">
        <is>
          <t>Préventif systématique</t>
        </is>
      </c>
      <c r="I276" s="7" t="inlineStr">
        <is>
          <t>GP-110</t>
        </is>
      </c>
      <c r="J276" s="7" t="inlineStr">
        <is>
          <t>Mécanique</t>
        </is>
      </c>
      <c r="K276" s="7" t="inlineStr">
        <is>
          <t>P3 - Normale</t>
        </is>
      </c>
      <c r="L276" s="7" t="inlineStr">
        <is>
          <t>Contrôle batterie, niveaux et bandages</t>
        </is>
      </c>
      <c r="M276" s="7" t="n"/>
      <c r="N276" s="7" t="inlineStr">
        <is>
          <t>Gamme réalisée - RAS</t>
        </is>
      </c>
      <c r="O276" s="7" t="inlineStr">
        <is>
          <t>Lucas Fontaine</t>
        </is>
      </c>
      <c r="P276" s="65" t="n">
        <v>45789.47222222222</v>
      </c>
      <c r="Q276" s="75" t="n">
        <v>45789.48958333334</v>
      </c>
      <c r="R276" s="75" t="n">
        <v>45789.53125</v>
      </c>
      <c r="S276" s="76" t="n">
        <v>0</v>
      </c>
      <c r="T276" s="76" t="n">
        <v>1</v>
      </c>
      <c r="U276" s="70">
        <f>IF($A276="","",IFERROR(INDEX('Techniciens'!$F$5:$F$44,MATCH(O276,'Techniciens'!$B$5:$B$44,0)),'Paramètres'!$AA$10))</f>
        <v/>
      </c>
      <c r="V276" s="70">
        <f>IF($A276="","",IF(OR(AC276="Demandé",AC276="Planifié",AC276="Annulé"),0,N(T276)*N(U276)))</f>
        <v/>
      </c>
      <c r="W276" s="70">
        <f>IF($A276="","",SUMIFS('Mouvements stock'!$H$5:$H$3004,'Mouvements stock'!$I$5:$I$3004,$A276,'Mouvements stock'!$C$5:$C$3004,"Sortie")-SUMIFS('Mouvements stock'!$H$5:$H$3004,'Mouvements stock'!$I$5:$I$3004,$A276,'Mouvements stock'!$C$5:$C$3004,"Retour"))</f>
        <v/>
      </c>
      <c r="X276" s="66" t="n">
        <v>0</v>
      </c>
      <c r="Y276" s="66" t="n">
        <v>0</v>
      </c>
      <c r="Z276" s="7" t="n"/>
      <c r="AA276" s="70">
        <f>IF($A276="","",N(V276)+N(W276)+N(X276)+N(Y276))</f>
        <v/>
      </c>
      <c r="AB276" s="70">
        <f>IF($A276="","",N(S276)*'Paramètres'!$AA$9*IFERROR(INDEX('Paramètres'!$O$5:$O$7,MATCH(G276,'Paramètres'!$N$5:$N$7,0)),0))</f>
        <v/>
      </c>
      <c r="AC276" s="7" t="inlineStr">
        <is>
          <t>Clôturé</t>
        </is>
      </c>
      <c r="AD276" s="69">
        <f>IF(OR($A276="",Q276=""),"",(Q276-B276)*24)</f>
        <v/>
      </c>
      <c r="AE276" s="69">
        <f>IF(OR(Q276="",R276=""),"",(R276-Q276)*24)</f>
        <v/>
      </c>
      <c r="AF276" s="77">
        <f>IF(OR($A276="",B276=""),"",YEAR(B276))</f>
        <v/>
      </c>
      <c r="AG276" s="77">
        <f>IF(OR($A276="",B276=""),"",MONTH(B276))</f>
        <v/>
      </c>
    </row>
    <row r="277">
      <c r="A277" s="7" t="inlineStr">
        <is>
          <t>OT-2025-0273</t>
        </is>
      </c>
      <c r="B277" s="75" t="n">
        <v>45782.40625</v>
      </c>
      <c r="C277" s="7" t="inlineStr">
        <is>
          <t>Planning réglementaire</t>
        </is>
      </c>
      <c r="D277" s="7" t="inlineStr">
        <is>
          <t>EQ-LOG-001</t>
        </is>
      </c>
      <c r="E277" s="9">
        <f>IF(D277="","",IFERROR(INDEX('Équipements'!$B$5:$B$304,MATCH(D277,'Équipements'!$A$5:$A$304,0)),"Code inconnu"))</f>
        <v/>
      </c>
      <c r="F277" s="9">
        <f>IF(D277="","",IFERROR(INDEX('Équipements'!$D$5:$D$304,MATCH(D277,'Équipements'!$A$5:$A$304,0)),""))</f>
        <v/>
      </c>
      <c r="G277" s="9">
        <f>IF(D277="","",IFERROR(INDEX('Équipements'!$K$5:$K$304,MATCH(D277,'Équipements'!$A$5:$A$304,0)),""))</f>
        <v/>
      </c>
      <c r="H277" s="7" t="inlineStr">
        <is>
          <t>Réglementaire</t>
        </is>
      </c>
      <c r="I277" s="7" t="inlineStr">
        <is>
          <t>CR-004</t>
        </is>
      </c>
      <c r="J277" s="7" t="inlineStr">
        <is>
          <t>Multi-technique</t>
        </is>
      </c>
      <c r="K277" s="7" t="inlineStr">
        <is>
          <t>P2 - Haute</t>
        </is>
      </c>
      <c r="L277" s="7" t="inlineStr">
        <is>
          <t>VGP chariot automoteur</t>
        </is>
      </c>
      <c r="M277" s="7" t="n"/>
      <c r="N277" s="7" t="inlineStr">
        <is>
          <t>Contrôle réalisé - observations mineures au rapport</t>
        </is>
      </c>
      <c r="O277" s="7" t="inlineStr">
        <is>
          <t>Marc Lefèvre</t>
        </is>
      </c>
      <c r="P277" s="65" t="n">
        <v>45803</v>
      </c>
      <c r="Q277" s="75" t="n">
        <v>45803.53472222222</v>
      </c>
      <c r="R277" s="75" t="n">
        <v>45803.58680555555</v>
      </c>
      <c r="S277" s="76" t="n">
        <v>0</v>
      </c>
      <c r="T277" s="76" t="n">
        <v>1.25</v>
      </c>
      <c r="U277" s="70">
        <f>IF($A277="","",IFERROR(INDEX('Techniciens'!$F$5:$F$44,MATCH(O277,'Techniciens'!$B$5:$B$44,0)),'Paramètres'!$AA$10))</f>
        <v/>
      </c>
      <c r="V277" s="70">
        <f>IF($A277="","",IF(OR(AC277="Demandé",AC277="Planifié",AC277="Annulé"),0,N(T277)*N(U277)))</f>
        <v/>
      </c>
      <c r="W277" s="70">
        <f>IF($A277="","",SUMIFS('Mouvements stock'!$H$5:$H$3004,'Mouvements stock'!$I$5:$I$3004,$A277,'Mouvements stock'!$C$5:$C$3004,"Sortie")-SUMIFS('Mouvements stock'!$H$5:$H$3004,'Mouvements stock'!$I$5:$I$3004,$A277,'Mouvements stock'!$C$5:$C$3004,"Retour"))</f>
        <v/>
      </c>
      <c r="X277" s="66" t="n">
        <v>0</v>
      </c>
      <c r="Y277" s="66" t="n">
        <v>130</v>
      </c>
      <c r="Z277" s="7" t="inlineStr">
        <is>
          <t>CONTROLIS (organisme fictif)</t>
        </is>
      </c>
      <c r="AA277" s="70">
        <f>IF($A277="","",N(V277)+N(W277)+N(X277)+N(Y277))</f>
        <v/>
      </c>
      <c r="AB277" s="70">
        <f>IF($A277="","",N(S277)*'Paramètres'!$AA$9*IFERROR(INDEX('Paramètres'!$O$5:$O$7,MATCH(G277,'Paramètres'!$N$5:$N$7,0)),0))</f>
        <v/>
      </c>
      <c r="AC277" s="7" t="inlineStr">
        <is>
          <t>Clôturé</t>
        </is>
      </c>
      <c r="AD277" s="69">
        <f>IF(OR($A277="",Q277=""),"",(Q277-B277)*24)</f>
        <v/>
      </c>
      <c r="AE277" s="69">
        <f>IF(OR(Q277="",R277=""),"",(R277-Q277)*24)</f>
        <v/>
      </c>
      <c r="AF277" s="77">
        <f>IF(OR($A277="",B277=""),"",YEAR(B277))</f>
        <v/>
      </c>
      <c r="AG277" s="77">
        <f>IF(OR($A277="",B277=""),"",MONTH(B277))</f>
        <v/>
      </c>
    </row>
    <row r="278">
      <c r="A278" s="7" t="inlineStr">
        <is>
          <t>OT-2025-0274</t>
        </is>
      </c>
      <c r="B278" s="75" t="n">
        <v>45782.44444444445</v>
      </c>
      <c r="C278" s="7" t="inlineStr">
        <is>
          <t>Plan préventif</t>
        </is>
      </c>
      <c r="D278" s="7" t="inlineStr">
        <is>
          <t>EQ-UTI-003</t>
        </is>
      </c>
      <c r="E278" s="9">
        <f>IF(D278="","",IFERROR(INDEX('Équipements'!$B$5:$B$304,MATCH(D278,'Équipements'!$A$5:$A$304,0)),"Code inconnu"))</f>
        <v/>
      </c>
      <c r="F278" s="9">
        <f>IF(D278="","",IFERROR(INDEX('Équipements'!$D$5:$D$304,MATCH(D278,'Équipements'!$A$5:$A$304,0)),""))</f>
        <v/>
      </c>
      <c r="G278" s="9">
        <f>IF(D278="","",IFERROR(INDEX('Équipements'!$K$5:$K$304,MATCH(D278,'Équipements'!$A$5:$A$304,0)),""))</f>
        <v/>
      </c>
      <c r="H278" s="7" t="inlineStr">
        <is>
          <t>Préventif systématique</t>
        </is>
      </c>
      <c r="I278" s="7" t="inlineStr">
        <is>
          <t>GP-092</t>
        </is>
      </c>
      <c r="J278" s="7" t="inlineStr">
        <is>
          <t>Pneumatique</t>
        </is>
      </c>
      <c r="K278" s="7" t="inlineStr">
        <is>
          <t>P3 - Normale</t>
        </is>
      </c>
      <c r="L278" s="7" t="inlineStr">
        <is>
          <t>Purge, contrôle fuites et point de rosée</t>
        </is>
      </c>
      <c r="M278" s="7" t="n"/>
      <c r="N278" s="7" t="inlineStr">
        <is>
          <t>Gamme réalisée - RAS</t>
        </is>
      </c>
      <c r="O278" s="7" t="inlineStr">
        <is>
          <t>Julien Moreau</t>
        </is>
      </c>
      <c r="P278" s="65" t="n">
        <v>45789.49652777778</v>
      </c>
      <c r="Q278" s="75" t="n">
        <v>45789.5625</v>
      </c>
      <c r="R278" s="75" t="n">
        <v>45789.625</v>
      </c>
      <c r="S278" s="76" t="n">
        <v>0</v>
      </c>
      <c r="T278" s="76" t="n">
        <v>1.5</v>
      </c>
      <c r="U278" s="70">
        <f>IF($A278="","",IFERROR(INDEX('Techniciens'!$F$5:$F$44,MATCH(O278,'Techniciens'!$B$5:$B$44,0)),'Paramètres'!$AA$10))</f>
        <v/>
      </c>
      <c r="V278" s="70">
        <f>IF($A278="","",IF(OR(AC278="Demandé",AC278="Planifié",AC278="Annulé"),0,N(T278)*N(U278)))</f>
        <v/>
      </c>
      <c r="W278" s="70">
        <f>IF($A278="","",SUMIFS('Mouvements stock'!$H$5:$H$3004,'Mouvements stock'!$I$5:$I$3004,$A278,'Mouvements stock'!$C$5:$C$3004,"Sortie")-SUMIFS('Mouvements stock'!$H$5:$H$3004,'Mouvements stock'!$I$5:$I$3004,$A278,'Mouvements stock'!$C$5:$C$3004,"Retour"))</f>
        <v/>
      </c>
      <c r="X278" s="66" t="n">
        <v>0</v>
      </c>
      <c r="Y278" s="66" t="n">
        <v>0</v>
      </c>
      <c r="Z278" s="7" t="n"/>
      <c r="AA278" s="70">
        <f>IF($A278="","",N(V278)+N(W278)+N(X278)+N(Y278))</f>
        <v/>
      </c>
      <c r="AB278" s="70">
        <f>IF($A278="","",N(S278)*'Paramètres'!$AA$9*IFERROR(INDEX('Paramètres'!$O$5:$O$7,MATCH(G278,'Paramètres'!$N$5:$N$7,0)),0))</f>
        <v/>
      </c>
      <c r="AC278" s="7" t="inlineStr">
        <is>
          <t>Clôturé</t>
        </is>
      </c>
      <c r="AD278" s="69">
        <f>IF(OR($A278="",Q278=""),"",(Q278-B278)*24)</f>
        <v/>
      </c>
      <c r="AE278" s="69">
        <f>IF(OR(Q278="",R278=""),"",(R278-Q278)*24)</f>
        <v/>
      </c>
      <c r="AF278" s="77">
        <f>IF(OR($A278="",B278=""),"",YEAR(B278))</f>
        <v/>
      </c>
      <c r="AG278" s="77">
        <f>IF(OR($A278="",B278=""),"",MONTH(B278))</f>
        <v/>
      </c>
    </row>
    <row r="279">
      <c r="A279" s="7" t="inlineStr">
        <is>
          <t>OT-2025-0275</t>
        </is>
      </c>
      <c r="B279" s="75" t="n">
        <v>45782.58472222222</v>
      </c>
      <c r="C279" s="7" t="inlineStr">
        <is>
          <t>Opérateur peinture</t>
        </is>
      </c>
      <c r="D279" s="7" t="inlineStr">
        <is>
          <t>EQ-PEI-001</t>
        </is>
      </c>
      <c r="E279" s="9">
        <f>IF(D279="","",IFERROR(INDEX('Équipements'!$B$5:$B$304,MATCH(D279,'Équipements'!$A$5:$A$304,0)),"Code inconnu"))</f>
        <v/>
      </c>
      <c r="F279" s="9">
        <f>IF(D279="","",IFERROR(INDEX('Équipements'!$D$5:$D$304,MATCH(D279,'Équipements'!$A$5:$A$304,0)),""))</f>
        <v/>
      </c>
      <c r="G279" s="9">
        <f>IF(D279="","",IFERROR(INDEX('Équipements'!$K$5:$K$304,MATCH(D279,'Équipements'!$A$5:$A$304,0)),""))</f>
        <v/>
      </c>
      <c r="H279" s="7" t="inlineStr">
        <is>
          <t>Correctif</t>
        </is>
      </c>
      <c r="I279" s="7" t="n"/>
      <c r="J279" s="7" t="inlineStr">
        <is>
          <t>Électrique</t>
        </is>
      </c>
      <c r="K279" s="7" t="inlineStr">
        <is>
          <t>P2 - Haute</t>
        </is>
      </c>
      <c r="L279" s="7" t="inlineStr">
        <is>
          <t>Brûleur en sécurité (défaut flamme)</t>
        </is>
      </c>
      <c r="M279" s="7" t="inlineStr">
        <is>
          <t>Défaut capteur</t>
        </is>
      </c>
      <c r="N279" s="7" t="inlineStr">
        <is>
          <t>Remplacement sonde, réglage brûleur</t>
        </is>
      </c>
      <c r="O279" s="7" t="inlineStr">
        <is>
          <t>Thomas Petit</t>
        </is>
      </c>
      <c r="P279" s="65" t="n"/>
      <c r="Q279" s="75" t="n">
        <v>45782.65763888889</v>
      </c>
      <c r="R279" s="75" t="n">
        <v>45782.99097222222</v>
      </c>
      <c r="S279" s="76" t="n">
        <v>9.800000000000001</v>
      </c>
      <c r="T279" s="76" t="n">
        <v>8</v>
      </c>
      <c r="U279" s="70">
        <f>IF($A279="","",IFERROR(INDEX('Techniciens'!$F$5:$F$44,MATCH(O279,'Techniciens'!$B$5:$B$44,0)),'Paramètres'!$AA$10))</f>
        <v/>
      </c>
      <c r="V279" s="70">
        <f>IF($A279="","",IF(OR(AC279="Demandé",AC279="Planifié",AC279="Annulé"),0,N(T279)*N(U279)))</f>
        <v/>
      </c>
      <c r="W279" s="70">
        <f>IF($A279="","",SUMIFS('Mouvements stock'!$H$5:$H$3004,'Mouvements stock'!$I$5:$I$3004,$A279,'Mouvements stock'!$C$5:$C$3004,"Sortie")-SUMIFS('Mouvements stock'!$H$5:$H$3004,'Mouvements stock'!$I$5:$I$3004,$A279,'Mouvements stock'!$C$5:$C$3004,"Retour"))</f>
        <v/>
      </c>
      <c r="X279" s="66" t="n">
        <v>0</v>
      </c>
      <c r="Y279" s="66" t="n">
        <v>1270</v>
      </c>
      <c r="Z279" s="7" t="inlineStr">
        <is>
          <t>Surface Process Assistance</t>
        </is>
      </c>
      <c r="AA279" s="70">
        <f>IF($A279="","",N(V279)+N(W279)+N(X279)+N(Y279))</f>
        <v/>
      </c>
      <c r="AB279" s="70">
        <f>IF($A279="","",N(S279)*'Paramètres'!$AA$9*IFERROR(INDEX('Paramètres'!$O$5:$O$7,MATCH(G279,'Paramètres'!$N$5:$N$7,0)),0))</f>
        <v/>
      </c>
      <c r="AC279" s="7" t="inlineStr">
        <is>
          <t>Clôturé</t>
        </is>
      </c>
      <c r="AD279" s="69">
        <f>IF(OR($A279="",Q279=""),"",(Q279-B279)*24)</f>
        <v/>
      </c>
      <c r="AE279" s="69">
        <f>IF(OR(Q279="",R279=""),"",(R279-Q279)*24)</f>
        <v/>
      </c>
      <c r="AF279" s="77">
        <f>IF(OR($A279="",B279=""),"",YEAR(B279))</f>
        <v/>
      </c>
      <c r="AG279" s="77">
        <f>IF(OR($A279="",B279=""),"",MONTH(B279))</f>
        <v/>
      </c>
    </row>
    <row r="280">
      <c r="A280" s="7" t="inlineStr">
        <is>
          <t>OT-2025-0276</t>
        </is>
      </c>
      <c r="B280" s="75" t="n">
        <v>45782.59791666667</v>
      </c>
      <c r="C280" s="7" t="inlineStr">
        <is>
          <t>Paul Roux (chef d'atelier)</t>
        </is>
      </c>
      <c r="D280" s="7" t="inlineStr">
        <is>
          <t>EQ-ASS-001</t>
        </is>
      </c>
      <c r="E280" s="9">
        <f>IF(D280="","",IFERROR(INDEX('Équipements'!$B$5:$B$304,MATCH(D280,'Équipements'!$A$5:$A$304,0)),"Code inconnu"))</f>
        <v/>
      </c>
      <c r="F280" s="9">
        <f>IF(D280="","",IFERROR(INDEX('Équipements'!$D$5:$D$304,MATCH(D280,'Équipements'!$A$5:$A$304,0)),""))</f>
        <v/>
      </c>
      <c r="G280" s="9">
        <f>IF(D280="","",IFERROR(INDEX('Équipements'!$K$5:$K$304,MATCH(D280,'Équipements'!$A$5:$A$304,0)),""))</f>
        <v/>
      </c>
      <c r="H280" s="7" t="inlineStr">
        <is>
          <t>Correctif</t>
        </is>
      </c>
      <c r="I280" s="7" t="n"/>
      <c r="J280" s="7" t="inlineStr">
        <is>
          <t>Mécanique</t>
        </is>
      </c>
      <c r="K280" s="7" t="inlineStr">
        <is>
          <t>P1 - Urgent</t>
        </is>
      </c>
      <c r="L280" s="7" t="inlineStr">
        <is>
          <t>Roulement de tambour bruyant</t>
        </is>
      </c>
      <c r="M280" s="7" t="inlineStr">
        <is>
          <t>Usure</t>
        </is>
      </c>
      <c r="N280" s="7" t="inlineStr">
        <is>
          <t>Remplacement roulements et palier</t>
        </is>
      </c>
      <c r="O280" s="7" t="inlineStr">
        <is>
          <t>Antoine Mercier</t>
        </is>
      </c>
      <c r="P280" s="65" t="n"/>
      <c r="Q280" s="75" t="n">
        <v>45782.62013888889</v>
      </c>
      <c r="R280" s="75" t="n">
        <v>45782.94305555556</v>
      </c>
      <c r="S280" s="76" t="n">
        <v>8.300000000000001</v>
      </c>
      <c r="T280" s="76" t="n">
        <v>7.75</v>
      </c>
      <c r="U280" s="70">
        <f>IF($A280="","",IFERROR(INDEX('Techniciens'!$F$5:$F$44,MATCH(O280,'Techniciens'!$B$5:$B$44,0)),'Paramètres'!$AA$10))</f>
        <v/>
      </c>
      <c r="V280" s="70">
        <f>IF($A280="","",IF(OR(AC280="Demandé",AC280="Planifié",AC280="Annulé"),0,N(T280)*N(U280)))</f>
        <v/>
      </c>
      <c r="W280" s="70">
        <f>IF($A280="","",SUMIFS('Mouvements stock'!$H$5:$H$3004,'Mouvements stock'!$I$5:$I$3004,$A280,'Mouvements stock'!$C$5:$C$3004,"Sortie")-SUMIFS('Mouvements stock'!$H$5:$H$3004,'Mouvements stock'!$I$5:$I$3004,$A280,'Mouvements stock'!$C$5:$C$3004,"Retour"))</f>
        <v/>
      </c>
      <c r="X280" s="66" t="n">
        <v>0</v>
      </c>
      <c r="Y280" s="66" t="n">
        <v>0</v>
      </c>
      <c r="Z280" s="7" t="n"/>
      <c r="AA280" s="70">
        <f>IF($A280="","",N(V280)+N(W280)+N(X280)+N(Y280))</f>
        <v/>
      </c>
      <c r="AB280" s="70">
        <f>IF($A280="","",N(S280)*'Paramètres'!$AA$9*IFERROR(INDEX('Paramètres'!$O$5:$O$7,MATCH(G280,'Paramètres'!$N$5:$N$7,0)),0))</f>
        <v/>
      </c>
      <c r="AC280" s="7" t="inlineStr">
        <is>
          <t>Clôturé</t>
        </is>
      </c>
      <c r="AD280" s="69">
        <f>IF(OR($A280="",Q280=""),"",(Q280-B280)*24)</f>
        <v/>
      </c>
      <c r="AE280" s="69">
        <f>IF(OR(Q280="",R280=""),"",(R280-Q280)*24)</f>
        <v/>
      </c>
      <c r="AF280" s="77">
        <f>IF(OR($A280="",B280=""),"",YEAR(B280))</f>
        <v/>
      </c>
      <c r="AG280" s="77">
        <f>IF(OR($A280="",B280=""),"",MONTH(B280))</f>
        <v/>
      </c>
    </row>
    <row r="281">
      <c r="A281" s="7" t="inlineStr">
        <is>
          <t>OT-2025-0277</t>
        </is>
      </c>
      <c r="B281" s="75" t="n">
        <v>45782.67013888889</v>
      </c>
      <c r="C281" s="7" t="inlineStr">
        <is>
          <t>Paul Roux (chef d'atelier)</t>
        </is>
      </c>
      <c r="D281" s="7" t="inlineStr">
        <is>
          <t>EQ-ASS-002</t>
        </is>
      </c>
      <c r="E281" s="9">
        <f>IF(D281="","",IFERROR(INDEX('Équipements'!$B$5:$B$304,MATCH(D281,'Équipements'!$A$5:$A$304,0)),"Code inconnu"))</f>
        <v/>
      </c>
      <c r="F281" s="9">
        <f>IF(D281="","",IFERROR(INDEX('Équipements'!$D$5:$D$304,MATCH(D281,'Équipements'!$A$5:$A$304,0)),""))</f>
        <v/>
      </c>
      <c r="G281" s="9">
        <f>IF(D281="","",IFERROR(INDEX('Équipements'!$K$5:$K$304,MATCH(D281,'Équipements'!$A$5:$A$304,0)),""))</f>
        <v/>
      </c>
      <c r="H281" s="7" t="inlineStr">
        <is>
          <t>Correctif</t>
        </is>
      </c>
      <c r="I281" s="7" t="n"/>
      <c r="J281" s="7" t="inlineStr">
        <is>
          <t>Hydraulique</t>
        </is>
      </c>
      <c r="K281" s="7" t="inlineStr">
        <is>
          <t>P3 - Normale</t>
        </is>
      </c>
      <c r="L281" s="7" t="inlineStr">
        <is>
          <t>Pompe hydraulique bruyante</t>
        </is>
      </c>
      <c r="M281" s="7" t="inlineStr">
        <is>
          <t>Usure</t>
        </is>
      </c>
      <c r="N281" s="7" t="inlineStr">
        <is>
          <t>Remplacement accouplement, contrôle débit pompe</t>
        </is>
      </c>
      <c r="O281" s="7" t="inlineStr">
        <is>
          <t>Karim Benali</t>
        </is>
      </c>
      <c r="P281" s="65" t="n"/>
      <c r="Q281" s="75" t="n">
        <v>45783.85902777778</v>
      </c>
      <c r="R281" s="75" t="n">
        <v>45783.97361111111</v>
      </c>
      <c r="S281" s="76" t="n">
        <v>0</v>
      </c>
      <c r="T281" s="76" t="n">
        <v>2.75</v>
      </c>
      <c r="U281" s="70">
        <f>IF($A281="","",IFERROR(INDEX('Techniciens'!$F$5:$F$44,MATCH(O281,'Techniciens'!$B$5:$B$44,0)),'Paramètres'!$AA$10))</f>
        <v/>
      </c>
      <c r="V281" s="70">
        <f>IF($A281="","",IF(OR(AC281="Demandé",AC281="Planifié",AC281="Annulé"),0,N(T281)*N(U281)))</f>
        <v/>
      </c>
      <c r="W281" s="70">
        <f>IF($A281="","",SUMIFS('Mouvements stock'!$H$5:$H$3004,'Mouvements stock'!$I$5:$I$3004,$A281,'Mouvements stock'!$C$5:$C$3004,"Sortie")-SUMIFS('Mouvements stock'!$H$5:$H$3004,'Mouvements stock'!$I$5:$I$3004,$A281,'Mouvements stock'!$C$5:$C$3004,"Retour"))</f>
        <v/>
      </c>
      <c r="X281" s="66" t="n">
        <v>798</v>
      </c>
      <c r="Y281" s="66" t="n">
        <v>0</v>
      </c>
      <c r="Z281" s="7" t="n"/>
      <c r="AA281" s="70">
        <f>IF($A281="","",N(V281)+N(W281)+N(X281)+N(Y281))</f>
        <v/>
      </c>
      <c r="AB281" s="70">
        <f>IF($A281="","",N(S281)*'Paramètres'!$AA$9*IFERROR(INDEX('Paramètres'!$O$5:$O$7,MATCH(G281,'Paramètres'!$N$5:$N$7,0)),0))</f>
        <v/>
      </c>
      <c r="AC281" s="7" t="inlineStr">
        <is>
          <t>Clôturé</t>
        </is>
      </c>
      <c r="AD281" s="69">
        <f>IF(OR($A281="",Q281=""),"",(Q281-B281)*24)</f>
        <v/>
      </c>
      <c r="AE281" s="69">
        <f>IF(OR(Q281="",R281=""),"",(R281-Q281)*24)</f>
        <v/>
      </c>
      <c r="AF281" s="77">
        <f>IF(OR($A281="",B281=""),"",YEAR(B281))</f>
        <v/>
      </c>
      <c r="AG281" s="77">
        <f>IF(OR($A281="",B281=""),"",MONTH(B281))</f>
        <v/>
      </c>
    </row>
    <row r="282">
      <c r="A282" s="7" t="inlineStr">
        <is>
          <t>OT-2025-0278</t>
        </is>
      </c>
      <c r="B282" s="75" t="n">
        <v>45782.87777777778</v>
      </c>
      <c r="C282" s="7" t="inlineStr">
        <is>
          <t>Opérateur peinture</t>
        </is>
      </c>
      <c r="D282" s="7" t="inlineStr">
        <is>
          <t>EQ-PEI-004</t>
        </is>
      </c>
      <c r="E282" s="9">
        <f>IF(D282="","",IFERROR(INDEX('Équipements'!$B$5:$B$304,MATCH(D282,'Équipements'!$A$5:$A$304,0)),"Code inconnu"))</f>
        <v/>
      </c>
      <c r="F282" s="9">
        <f>IF(D282="","",IFERROR(INDEX('Équipements'!$D$5:$D$304,MATCH(D282,'Équipements'!$A$5:$A$304,0)),""))</f>
        <v/>
      </c>
      <c r="G282" s="9">
        <f>IF(D282="","",IFERROR(INDEX('Équipements'!$K$5:$K$304,MATCH(D282,'Équipements'!$A$5:$A$304,0)),""))</f>
        <v/>
      </c>
      <c r="H282" s="7" t="inlineStr">
        <is>
          <t>Correctif</t>
        </is>
      </c>
      <c r="I282" s="7" t="n"/>
      <c r="J282" s="7" t="inlineStr">
        <is>
          <t>Électrique</t>
        </is>
      </c>
      <c r="K282" s="7" t="inlineStr">
        <is>
          <t>P1 - Urgent</t>
        </is>
      </c>
      <c r="L282" s="7" t="inlineStr">
        <is>
          <t>Défaut variateur de vitesse</t>
        </is>
      </c>
      <c r="M282" s="7" t="inlineStr">
        <is>
          <t>Défaut électrique</t>
        </is>
      </c>
      <c r="N282" s="7" t="inlineStr">
        <is>
          <t>Remplacement variateur et paramétrage</t>
        </is>
      </c>
      <c r="O282" s="7" t="inlineStr">
        <is>
          <t>Thomas Petit</t>
        </is>
      </c>
      <c r="P282" s="65" t="n"/>
      <c r="Q282" s="75" t="n">
        <v>45782.91180555556</v>
      </c>
      <c r="R282" s="75" t="n">
        <v>45783.24513888889</v>
      </c>
      <c r="S282" s="76" t="n">
        <v>8.800000000000001</v>
      </c>
      <c r="T282" s="76" t="n">
        <v>8</v>
      </c>
      <c r="U282" s="70">
        <f>IF($A282="","",IFERROR(INDEX('Techniciens'!$F$5:$F$44,MATCH(O282,'Techniciens'!$B$5:$B$44,0)),'Paramètres'!$AA$10))</f>
        <v/>
      </c>
      <c r="V282" s="70">
        <f>IF($A282="","",IF(OR(AC282="Demandé",AC282="Planifié",AC282="Annulé"),0,N(T282)*N(U282)))</f>
        <v/>
      </c>
      <c r="W282" s="70">
        <f>IF($A282="","",SUMIFS('Mouvements stock'!$H$5:$H$3004,'Mouvements stock'!$I$5:$I$3004,$A282,'Mouvements stock'!$C$5:$C$3004,"Sortie")-SUMIFS('Mouvements stock'!$H$5:$H$3004,'Mouvements stock'!$I$5:$I$3004,$A282,'Mouvements stock'!$C$5:$C$3004,"Retour"))</f>
        <v/>
      </c>
      <c r="X282" s="66" t="n">
        <v>587</v>
      </c>
      <c r="Y282" s="66" t="n">
        <v>0</v>
      </c>
      <c r="Z282" s="7" t="n"/>
      <c r="AA282" s="70">
        <f>IF($A282="","",N(V282)+N(W282)+N(X282)+N(Y282))</f>
        <v/>
      </c>
      <c r="AB282" s="70">
        <f>IF($A282="","",N(S282)*'Paramètres'!$AA$9*IFERROR(INDEX('Paramètres'!$O$5:$O$7,MATCH(G282,'Paramètres'!$N$5:$N$7,0)),0))</f>
        <v/>
      </c>
      <c r="AC282" s="7" t="inlineStr">
        <is>
          <t>Clôturé</t>
        </is>
      </c>
      <c r="AD282" s="69">
        <f>IF(OR($A282="",Q282=""),"",(Q282-B282)*24)</f>
        <v/>
      </c>
      <c r="AE282" s="69">
        <f>IF(OR(Q282="",R282=""),"",(R282-Q282)*24)</f>
        <v/>
      </c>
      <c r="AF282" s="77">
        <f>IF(OR($A282="",B282=""),"",YEAR(B282))</f>
        <v/>
      </c>
      <c r="AG282" s="77">
        <f>IF(OR($A282="",B282=""),"",MONTH(B282))</f>
        <v/>
      </c>
    </row>
    <row r="283">
      <c r="A283" s="7" t="inlineStr">
        <is>
          <t>OT-2025-0279</t>
        </is>
      </c>
      <c r="B283" s="75" t="n">
        <v>45783.34722222222</v>
      </c>
      <c r="C283" s="7" t="inlineStr">
        <is>
          <t>Plan préventif</t>
        </is>
      </c>
      <c r="D283" s="7" t="inlineStr">
        <is>
          <t>EQ-LOG-006</t>
        </is>
      </c>
      <c r="E283" s="9">
        <f>IF(D283="","",IFERROR(INDEX('Équipements'!$B$5:$B$304,MATCH(D283,'Équipements'!$A$5:$A$304,0)),"Code inconnu"))</f>
        <v/>
      </c>
      <c r="F283" s="9">
        <f>IF(D283="","",IFERROR(INDEX('Équipements'!$D$5:$D$304,MATCH(D283,'Équipements'!$A$5:$A$304,0)),""))</f>
        <v/>
      </c>
      <c r="G283" s="9">
        <f>IF(D283="","",IFERROR(INDEX('Équipements'!$K$5:$K$304,MATCH(D283,'Équipements'!$A$5:$A$304,0)),""))</f>
        <v/>
      </c>
      <c r="H283" s="7" t="inlineStr">
        <is>
          <t>Préventif systématique</t>
        </is>
      </c>
      <c r="I283" s="7" t="inlineStr">
        <is>
          <t>GP-115</t>
        </is>
      </c>
      <c r="J283" s="7" t="inlineStr">
        <is>
          <t>Mécanique</t>
        </is>
      </c>
      <c r="K283" s="7" t="inlineStr">
        <is>
          <t>P3 - Normale</t>
        </is>
      </c>
      <c r="L283" s="7" t="inlineStr">
        <is>
          <t>Contrôle câbles, crochets, freins et fins de course</t>
        </is>
      </c>
      <c r="M283" s="7" t="n"/>
      <c r="N283" s="7" t="inlineStr">
        <is>
          <t>Gamme réalisée - RAS</t>
        </is>
      </c>
      <c r="O283" s="7" t="inlineStr">
        <is>
          <t>Karim Benali</t>
        </is>
      </c>
      <c r="P283" s="65" t="n">
        <v>45790.5625</v>
      </c>
      <c r="Q283" s="75" t="n">
        <v>45790.47916666666</v>
      </c>
      <c r="R283" s="75" t="n">
        <v>45790.58333333334</v>
      </c>
      <c r="S283" s="76" t="n">
        <v>0</v>
      </c>
      <c r="T283" s="76" t="n">
        <v>2.5</v>
      </c>
      <c r="U283" s="70">
        <f>IF($A283="","",IFERROR(INDEX('Techniciens'!$F$5:$F$44,MATCH(O283,'Techniciens'!$B$5:$B$44,0)),'Paramètres'!$AA$10))</f>
        <v/>
      </c>
      <c r="V283" s="70">
        <f>IF($A283="","",IF(OR(AC283="Demandé",AC283="Planifié",AC283="Annulé"),0,N(T283)*N(U283)))</f>
        <v/>
      </c>
      <c r="W283" s="70">
        <f>IF($A283="","",SUMIFS('Mouvements stock'!$H$5:$H$3004,'Mouvements stock'!$I$5:$I$3004,$A283,'Mouvements stock'!$C$5:$C$3004,"Sortie")-SUMIFS('Mouvements stock'!$H$5:$H$3004,'Mouvements stock'!$I$5:$I$3004,$A283,'Mouvements stock'!$C$5:$C$3004,"Retour"))</f>
        <v/>
      </c>
      <c r="X283" s="66" t="n">
        <v>0</v>
      </c>
      <c r="Y283" s="66" t="n">
        <v>0</v>
      </c>
      <c r="Z283" s="7" t="n"/>
      <c r="AA283" s="70">
        <f>IF($A283="","",N(V283)+N(W283)+N(X283)+N(Y283))</f>
        <v/>
      </c>
      <c r="AB283" s="70">
        <f>IF($A283="","",N(S283)*'Paramètres'!$AA$9*IFERROR(INDEX('Paramètres'!$O$5:$O$7,MATCH(G283,'Paramètres'!$N$5:$N$7,0)),0))</f>
        <v/>
      </c>
      <c r="AC283" s="7" t="inlineStr">
        <is>
          <t>Clôturé</t>
        </is>
      </c>
      <c r="AD283" s="69">
        <f>IF(OR($A283="",Q283=""),"",(Q283-B283)*24)</f>
        <v/>
      </c>
      <c r="AE283" s="69">
        <f>IF(OR(Q283="",R283=""),"",(R283-Q283)*24)</f>
        <v/>
      </c>
      <c r="AF283" s="77">
        <f>IF(OR($A283="",B283=""),"",YEAR(B283))</f>
        <v/>
      </c>
      <c r="AG283" s="77">
        <f>IF(OR($A283="",B283=""),"",MONTH(B283))</f>
        <v/>
      </c>
    </row>
    <row r="284">
      <c r="A284" s="7" t="inlineStr">
        <is>
          <t>OT-2025-0280</t>
        </is>
      </c>
      <c r="B284" s="75" t="n">
        <v>45783.45138888889</v>
      </c>
      <c r="C284" s="7" t="inlineStr">
        <is>
          <t>Plan préventif</t>
        </is>
      </c>
      <c r="D284" s="7" t="inlineStr">
        <is>
          <t>EQ-SOU-003</t>
        </is>
      </c>
      <c r="E284" s="9">
        <f>IF(D284="","",IFERROR(INDEX('Équipements'!$B$5:$B$304,MATCH(D284,'Équipements'!$A$5:$A$304,0)),"Code inconnu"))</f>
        <v/>
      </c>
      <c r="F284" s="9">
        <f>IF(D284="","",IFERROR(INDEX('Équipements'!$D$5:$D$304,MATCH(D284,'Équipements'!$A$5:$A$304,0)),""))</f>
        <v/>
      </c>
      <c r="G284" s="9">
        <f>IF(D284="","",IFERROR(INDEX('Équipements'!$K$5:$K$304,MATCH(D284,'Équipements'!$A$5:$A$304,0)),""))</f>
        <v/>
      </c>
      <c r="H284" s="7" t="inlineStr">
        <is>
          <t>Préventif systématique</t>
        </is>
      </c>
      <c r="I284" s="7" t="inlineStr">
        <is>
          <t>GP-062</t>
        </is>
      </c>
      <c r="J284" s="7" t="inlineStr">
        <is>
          <t>Électrique</t>
        </is>
      </c>
      <c r="K284" s="7" t="inlineStr">
        <is>
          <t>P3 - Normale</t>
        </is>
      </c>
      <c r="L284" s="7" t="inlineStr">
        <is>
          <t>Contrôle et nettoyage poste, dévidoir, câbles</t>
        </is>
      </c>
      <c r="M284" s="7" t="n"/>
      <c r="N284" s="7" t="inlineStr">
        <is>
          <t>Gamme réalisée - RAS</t>
        </is>
      </c>
      <c r="O284" s="7" t="inlineStr">
        <is>
          <t>Julien Moreau</t>
        </is>
      </c>
      <c r="P284" s="65" t="n">
        <v>45790</v>
      </c>
      <c r="Q284" s="75" t="n">
        <v>45790.33333333334</v>
      </c>
      <c r="R284" s="75" t="n">
        <v>45790.38541666666</v>
      </c>
      <c r="S284" s="76" t="n">
        <v>0.6</v>
      </c>
      <c r="T284" s="76" t="n">
        <v>1.25</v>
      </c>
      <c r="U284" s="70">
        <f>IF($A284="","",IFERROR(INDEX('Techniciens'!$F$5:$F$44,MATCH(O284,'Techniciens'!$B$5:$B$44,0)),'Paramètres'!$AA$10))</f>
        <v/>
      </c>
      <c r="V284" s="70">
        <f>IF($A284="","",IF(OR(AC284="Demandé",AC284="Planifié",AC284="Annulé"),0,N(T284)*N(U284)))</f>
        <v/>
      </c>
      <c r="W284" s="70">
        <f>IF($A284="","",SUMIFS('Mouvements stock'!$H$5:$H$3004,'Mouvements stock'!$I$5:$I$3004,$A284,'Mouvements stock'!$C$5:$C$3004,"Sortie")-SUMIFS('Mouvements stock'!$H$5:$H$3004,'Mouvements stock'!$I$5:$I$3004,$A284,'Mouvements stock'!$C$5:$C$3004,"Retour"))</f>
        <v/>
      </c>
      <c r="X284" s="66" t="n">
        <v>0</v>
      </c>
      <c r="Y284" s="66" t="n">
        <v>0</v>
      </c>
      <c r="Z284" s="7" t="n"/>
      <c r="AA284" s="70">
        <f>IF($A284="","",N(V284)+N(W284)+N(X284)+N(Y284))</f>
        <v/>
      </c>
      <c r="AB284" s="70">
        <f>IF($A284="","",N(S284)*'Paramètres'!$AA$9*IFERROR(INDEX('Paramètres'!$O$5:$O$7,MATCH(G284,'Paramètres'!$N$5:$N$7,0)),0))</f>
        <v/>
      </c>
      <c r="AC284" s="7" t="inlineStr">
        <is>
          <t>Clôturé</t>
        </is>
      </c>
      <c r="AD284" s="69">
        <f>IF(OR($A284="",Q284=""),"",(Q284-B284)*24)</f>
        <v/>
      </c>
      <c r="AE284" s="69">
        <f>IF(OR(Q284="",R284=""),"",(R284-Q284)*24)</f>
        <v/>
      </c>
      <c r="AF284" s="77">
        <f>IF(OR($A284="",B284=""),"",YEAR(B284))</f>
        <v/>
      </c>
      <c r="AG284" s="77">
        <f>IF(OR($A284="",B284=""),"",MONTH(B284))</f>
        <v/>
      </c>
    </row>
    <row r="285">
      <c r="A285" s="7" t="inlineStr">
        <is>
          <t>OT-2025-0281</t>
        </is>
      </c>
      <c r="B285" s="75" t="n">
        <v>45783.46805555555</v>
      </c>
      <c r="C285" s="7" t="inlineStr">
        <is>
          <t>Sylvie Mathieu (resp. logistique)</t>
        </is>
      </c>
      <c r="D285" s="7" t="inlineStr">
        <is>
          <t>EQ-LOG-007</t>
        </is>
      </c>
      <c r="E285" s="9">
        <f>IF(D285="","",IFERROR(INDEX('Équipements'!$B$5:$B$304,MATCH(D285,'Équipements'!$A$5:$A$304,0)),"Code inconnu"))</f>
        <v/>
      </c>
      <c r="F285" s="9">
        <f>IF(D285="","",IFERROR(INDEX('Équipements'!$D$5:$D$304,MATCH(D285,'Équipements'!$A$5:$A$304,0)),""))</f>
        <v/>
      </c>
      <c r="G285" s="9">
        <f>IF(D285="","",IFERROR(INDEX('Équipements'!$K$5:$K$304,MATCH(D285,'Équipements'!$A$5:$A$304,0)),""))</f>
        <v/>
      </c>
      <c r="H285" s="7" t="inlineStr">
        <is>
          <t>Correctif</t>
        </is>
      </c>
      <c r="I285" s="7" t="n"/>
      <c r="J285" s="7" t="inlineStr">
        <is>
          <t>Mécanique</t>
        </is>
      </c>
      <c r="K285" s="7" t="inlineStr">
        <is>
          <t>P1 - Urgent</t>
        </is>
      </c>
      <c r="L285" s="7" t="inlineStr">
        <is>
          <t>Frein de levée bruyant</t>
        </is>
      </c>
      <c r="M285" s="7" t="inlineStr">
        <is>
          <t>Usure</t>
        </is>
      </c>
      <c r="N285" s="7" t="inlineStr">
        <is>
          <t>Réglage et remplacement garnitures</t>
        </is>
      </c>
      <c r="O285" s="7" t="inlineStr">
        <is>
          <t>Karim Benali</t>
        </is>
      </c>
      <c r="P285" s="65" t="n"/>
      <c r="Q285" s="75" t="n">
        <v>45783.48055555556</v>
      </c>
      <c r="R285" s="75" t="n">
        <v>45785.97649351744</v>
      </c>
      <c r="S285" s="76" t="n">
        <v>33.3</v>
      </c>
      <c r="T285" s="76" t="n">
        <v>6</v>
      </c>
      <c r="U285" s="70">
        <f>IF($A285="","",IFERROR(INDEX('Techniciens'!$F$5:$F$44,MATCH(O285,'Techniciens'!$B$5:$B$44,0)),'Paramètres'!$AA$10))</f>
        <v/>
      </c>
      <c r="V285" s="70">
        <f>IF($A285="","",IF(OR(AC285="Demandé",AC285="Planifié",AC285="Annulé"),0,N(T285)*N(U285)))</f>
        <v/>
      </c>
      <c r="W285" s="70">
        <f>IF($A285="","",SUMIFS('Mouvements stock'!$H$5:$H$3004,'Mouvements stock'!$I$5:$I$3004,$A285,'Mouvements stock'!$C$5:$C$3004,"Sortie")-SUMIFS('Mouvements stock'!$H$5:$H$3004,'Mouvements stock'!$I$5:$I$3004,$A285,'Mouvements stock'!$C$5:$C$3004,"Retour"))</f>
        <v/>
      </c>
      <c r="X285" s="66" t="n">
        <v>0</v>
      </c>
      <c r="Y285" s="66" t="n">
        <v>0</v>
      </c>
      <c r="Z285" s="7" t="n"/>
      <c r="AA285" s="70">
        <f>IF($A285="","",N(V285)+N(W285)+N(X285)+N(Y285))</f>
        <v/>
      </c>
      <c r="AB285" s="70">
        <f>IF($A285="","",N(S285)*'Paramètres'!$AA$9*IFERROR(INDEX('Paramètres'!$O$5:$O$7,MATCH(G285,'Paramètres'!$N$5:$N$7,0)),0))</f>
        <v/>
      </c>
      <c r="AC285" s="7" t="inlineStr">
        <is>
          <t>Clôturé</t>
        </is>
      </c>
      <c r="AD285" s="69">
        <f>IF(OR($A285="",Q285=""),"",(Q285-B285)*24)</f>
        <v/>
      </c>
      <c r="AE285" s="69">
        <f>IF(OR(Q285="",R285=""),"",(R285-Q285)*24)</f>
        <v/>
      </c>
      <c r="AF285" s="77">
        <f>IF(OR($A285="",B285=""),"",YEAR(B285))</f>
        <v/>
      </c>
      <c r="AG285" s="77">
        <f>IF(OR($A285="",B285=""),"",MONTH(B285))</f>
        <v/>
      </c>
    </row>
    <row r="286">
      <c r="A286" s="7" t="inlineStr">
        <is>
          <t>OT-2025-0282</t>
        </is>
      </c>
      <c r="B286" s="75" t="n">
        <v>45783.46875</v>
      </c>
      <c r="C286" s="7" t="inlineStr">
        <is>
          <t>Plan préventif</t>
        </is>
      </c>
      <c r="D286" s="7" t="inlineStr">
        <is>
          <t>EQ-PEI-001</t>
        </is>
      </c>
      <c r="E286" s="9">
        <f>IF(D286="","",IFERROR(INDEX('Équipements'!$B$5:$B$304,MATCH(D286,'Équipements'!$A$5:$A$304,0)),"Code inconnu"))</f>
        <v/>
      </c>
      <c r="F286" s="9">
        <f>IF(D286="","",IFERROR(INDEX('Équipements'!$D$5:$D$304,MATCH(D286,'Équipements'!$A$5:$A$304,0)),""))</f>
        <v/>
      </c>
      <c r="G286" s="9">
        <f>IF(D286="","",IFERROR(INDEX('Équipements'!$K$5:$K$304,MATCH(D286,'Équipements'!$A$5:$A$304,0)),""))</f>
        <v/>
      </c>
      <c r="H286" s="7" t="inlineStr">
        <is>
          <t>Préventif systématique</t>
        </is>
      </c>
      <c r="I286" s="7" t="inlineStr">
        <is>
          <t>GP-066</t>
        </is>
      </c>
      <c r="J286" s="7" t="inlineStr">
        <is>
          <t>Mécanique</t>
        </is>
      </c>
      <c r="K286" s="7" t="inlineStr">
        <is>
          <t>P3 - Normale</t>
        </is>
      </c>
      <c r="L286" s="7" t="inlineStr">
        <is>
          <t>Nettoyage et remplacement des filtres</t>
        </is>
      </c>
      <c r="M286" s="7" t="n"/>
      <c r="N286" s="7" t="inlineStr">
        <is>
          <t>Gamme réalisée - RAS</t>
        </is>
      </c>
      <c r="O286" s="7" t="inlineStr">
        <is>
          <t>Lucas Fontaine</t>
        </is>
      </c>
      <c r="P286" s="65" t="n">
        <v>45790.64583333334</v>
      </c>
      <c r="Q286" s="75" t="n">
        <v>45790.27083333334</v>
      </c>
      <c r="R286" s="75" t="n">
        <v>45790.375</v>
      </c>
      <c r="S286" s="76" t="n">
        <v>2.5</v>
      </c>
      <c r="T286" s="76" t="n">
        <v>2.5</v>
      </c>
      <c r="U286" s="70">
        <f>IF($A286="","",IFERROR(INDEX('Techniciens'!$F$5:$F$44,MATCH(O286,'Techniciens'!$B$5:$B$44,0)),'Paramètres'!$AA$10))</f>
        <v/>
      </c>
      <c r="V286" s="70">
        <f>IF($A286="","",IF(OR(AC286="Demandé",AC286="Planifié",AC286="Annulé"),0,N(T286)*N(U286)))</f>
        <v/>
      </c>
      <c r="W286" s="70">
        <f>IF($A286="","",SUMIFS('Mouvements stock'!$H$5:$H$3004,'Mouvements stock'!$I$5:$I$3004,$A286,'Mouvements stock'!$C$5:$C$3004,"Sortie")-SUMIFS('Mouvements stock'!$H$5:$H$3004,'Mouvements stock'!$I$5:$I$3004,$A286,'Mouvements stock'!$C$5:$C$3004,"Retour"))</f>
        <v/>
      </c>
      <c r="X286" s="66" t="n">
        <v>0</v>
      </c>
      <c r="Y286" s="66" t="n">
        <v>0</v>
      </c>
      <c r="Z286" s="7" t="n"/>
      <c r="AA286" s="70">
        <f>IF($A286="","",N(V286)+N(W286)+N(X286)+N(Y286))</f>
        <v/>
      </c>
      <c r="AB286" s="70">
        <f>IF($A286="","",N(S286)*'Paramètres'!$AA$9*IFERROR(INDEX('Paramètres'!$O$5:$O$7,MATCH(G286,'Paramètres'!$N$5:$N$7,0)),0))</f>
        <v/>
      </c>
      <c r="AC286" s="7" t="inlineStr">
        <is>
          <t>Clôturé</t>
        </is>
      </c>
      <c r="AD286" s="69">
        <f>IF(OR($A286="",Q286=""),"",(Q286-B286)*24)</f>
        <v/>
      </c>
      <c r="AE286" s="69">
        <f>IF(OR(Q286="",R286=""),"",(R286-Q286)*24)</f>
        <v/>
      </c>
      <c r="AF286" s="77">
        <f>IF(OR($A286="",B286=""),"",YEAR(B286))</f>
        <v/>
      </c>
      <c r="AG286" s="77">
        <f>IF(OR($A286="",B286=""),"",MONTH(B286))</f>
        <v/>
      </c>
    </row>
    <row r="287">
      <c r="A287" s="7" t="inlineStr">
        <is>
          <t>OT-2025-0283</t>
        </is>
      </c>
      <c r="B287" s="75" t="n">
        <v>45783.48611111111</v>
      </c>
      <c r="C287" s="7" t="inlineStr">
        <is>
          <t>Plan préventif</t>
        </is>
      </c>
      <c r="D287" s="7" t="inlineStr">
        <is>
          <t>EQ-USI-007</t>
        </is>
      </c>
      <c r="E287" s="9">
        <f>IF(D287="","",IFERROR(INDEX('Équipements'!$B$5:$B$304,MATCH(D287,'Équipements'!$A$5:$A$304,0)),"Code inconnu"))</f>
        <v/>
      </c>
      <c r="F287" s="9">
        <f>IF(D287="","",IFERROR(INDEX('Équipements'!$D$5:$D$304,MATCH(D287,'Équipements'!$A$5:$A$304,0)),""))</f>
        <v/>
      </c>
      <c r="G287" s="9">
        <f>IF(D287="","",IFERROR(INDEX('Équipements'!$K$5:$K$304,MATCH(D287,'Équipements'!$A$5:$A$304,0)),""))</f>
        <v/>
      </c>
      <c r="H287" s="7" t="inlineStr">
        <is>
          <t>Préventif systématique</t>
        </is>
      </c>
      <c r="I287" s="7" t="inlineStr">
        <is>
          <t>GP-025</t>
        </is>
      </c>
      <c r="J287" s="7" t="inlineStr">
        <is>
          <t>Mécanique</t>
        </is>
      </c>
      <c r="K287" s="7" t="inlineStr">
        <is>
          <t>P3 - Normale</t>
        </is>
      </c>
      <c r="L287" s="7" t="inlineStr">
        <is>
          <t>Contrôle niveaux, nettoyage filtres et bac à copeaux</t>
        </is>
      </c>
      <c r="M287" s="7" t="n"/>
      <c r="N287" s="7" t="inlineStr">
        <is>
          <t>Gamme réalisée - RAS</t>
        </is>
      </c>
      <c r="O287" s="7" t="inlineStr">
        <is>
          <t>Lucas Fontaine</t>
        </is>
      </c>
      <c r="P287" s="65" t="n">
        <v>45790.56597222222</v>
      </c>
      <c r="Q287" s="75" t="n">
        <v>45790.34375</v>
      </c>
      <c r="R287" s="75" t="n">
        <v>45790.41666666666</v>
      </c>
      <c r="S287" s="76" t="n">
        <v>1.8</v>
      </c>
      <c r="T287" s="76" t="n">
        <v>1.75</v>
      </c>
      <c r="U287" s="70">
        <f>IF($A287="","",IFERROR(INDEX('Techniciens'!$F$5:$F$44,MATCH(O287,'Techniciens'!$B$5:$B$44,0)),'Paramètres'!$AA$10))</f>
        <v/>
      </c>
      <c r="V287" s="70">
        <f>IF($A287="","",IF(OR(AC287="Demandé",AC287="Planifié",AC287="Annulé"),0,N(T287)*N(U287)))</f>
        <v/>
      </c>
      <c r="W287" s="70">
        <f>IF($A287="","",SUMIFS('Mouvements stock'!$H$5:$H$3004,'Mouvements stock'!$I$5:$I$3004,$A287,'Mouvements stock'!$C$5:$C$3004,"Sortie")-SUMIFS('Mouvements stock'!$H$5:$H$3004,'Mouvements stock'!$I$5:$I$3004,$A287,'Mouvements stock'!$C$5:$C$3004,"Retour"))</f>
        <v/>
      </c>
      <c r="X287" s="66" t="n">
        <v>0</v>
      </c>
      <c r="Y287" s="66" t="n">
        <v>0</v>
      </c>
      <c r="Z287" s="7" t="n"/>
      <c r="AA287" s="70">
        <f>IF($A287="","",N(V287)+N(W287)+N(X287)+N(Y287))</f>
        <v/>
      </c>
      <c r="AB287" s="70">
        <f>IF($A287="","",N(S287)*'Paramètres'!$AA$9*IFERROR(INDEX('Paramètres'!$O$5:$O$7,MATCH(G287,'Paramètres'!$N$5:$N$7,0)),0))</f>
        <v/>
      </c>
      <c r="AC287" s="7" t="inlineStr">
        <is>
          <t>Clôturé</t>
        </is>
      </c>
      <c r="AD287" s="69">
        <f>IF(OR($A287="",Q287=""),"",(Q287-B287)*24)</f>
        <v/>
      </c>
      <c r="AE287" s="69">
        <f>IF(OR(Q287="",R287=""),"",(R287-Q287)*24)</f>
        <v/>
      </c>
      <c r="AF287" s="77">
        <f>IF(OR($A287="",B287=""),"",YEAR(B287))</f>
        <v/>
      </c>
      <c r="AG287" s="77">
        <f>IF(OR($A287="",B287=""),"",MONTH(B287))</f>
        <v/>
      </c>
    </row>
    <row r="288">
      <c r="A288" s="7" t="inlineStr">
        <is>
          <t>OT-2025-0284</t>
        </is>
      </c>
      <c r="B288" s="75" t="n">
        <v>45784.42361111111</v>
      </c>
      <c r="C288" s="7" t="inlineStr">
        <is>
          <t>Plan préventif</t>
        </is>
      </c>
      <c r="D288" s="7" t="inlineStr">
        <is>
          <t>EQ-USI-003</t>
        </is>
      </c>
      <c r="E288" s="9">
        <f>IF(D288="","",IFERROR(INDEX('Équipements'!$B$5:$B$304,MATCH(D288,'Équipements'!$A$5:$A$304,0)),"Code inconnu"))</f>
        <v/>
      </c>
      <c r="F288" s="9">
        <f>IF(D288="","",IFERROR(INDEX('Équipements'!$D$5:$D$304,MATCH(D288,'Équipements'!$A$5:$A$304,0)),""))</f>
        <v/>
      </c>
      <c r="G288" s="9">
        <f>IF(D288="","",IFERROR(INDEX('Équipements'!$K$5:$K$304,MATCH(D288,'Équipements'!$A$5:$A$304,0)),""))</f>
        <v/>
      </c>
      <c r="H288" s="7" t="inlineStr">
        <is>
          <t>Préventif systématique</t>
        </is>
      </c>
      <c r="I288" s="7" t="inlineStr">
        <is>
          <t>GP-009</t>
        </is>
      </c>
      <c r="J288" s="7" t="inlineStr">
        <is>
          <t>Mécanique</t>
        </is>
      </c>
      <c r="K288" s="7" t="inlineStr">
        <is>
          <t>P3 - Normale</t>
        </is>
      </c>
      <c r="L288" s="7" t="inlineStr">
        <is>
          <t>Contrôle niveaux, nettoyage filtres et bac à copeaux</t>
        </is>
      </c>
      <c r="M288" s="7" t="n"/>
      <c r="N288" s="7" t="inlineStr">
        <is>
          <t>Gamme réalisée - usure constatée, à surveiller</t>
        </is>
      </c>
      <c r="O288" s="7" t="inlineStr">
        <is>
          <t>Lucas Fontaine</t>
        </is>
      </c>
      <c r="P288" s="65" t="n">
        <v>45791.59027777778</v>
      </c>
      <c r="Q288" s="75" t="n">
        <v>45791.46875</v>
      </c>
      <c r="R288" s="75" t="n">
        <v>45791.54166666666</v>
      </c>
      <c r="S288" s="76" t="n">
        <v>1.8</v>
      </c>
      <c r="T288" s="76" t="n">
        <v>1.75</v>
      </c>
      <c r="U288" s="70">
        <f>IF($A288="","",IFERROR(INDEX('Techniciens'!$F$5:$F$44,MATCH(O288,'Techniciens'!$B$5:$B$44,0)),'Paramètres'!$AA$10))</f>
        <v/>
      </c>
      <c r="V288" s="70">
        <f>IF($A288="","",IF(OR(AC288="Demandé",AC288="Planifié",AC288="Annulé"),0,N(T288)*N(U288)))</f>
        <v/>
      </c>
      <c r="W288" s="70">
        <f>IF($A288="","",SUMIFS('Mouvements stock'!$H$5:$H$3004,'Mouvements stock'!$I$5:$I$3004,$A288,'Mouvements stock'!$C$5:$C$3004,"Sortie")-SUMIFS('Mouvements stock'!$H$5:$H$3004,'Mouvements stock'!$I$5:$I$3004,$A288,'Mouvements stock'!$C$5:$C$3004,"Retour"))</f>
        <v/>
      </c>
      <c r="X288" s="66" t="n">
        <v>0</v>
      </c>
      <c r="Y288" s="66" t="n">
        <v>0</v>
      </c>
      <c r="Z288" s="7" t="n"/>
      <c r="AA288" s="70">
        <f>IF($A288="","",N(V288)+N(W288)+N(X288)+N(Y288))</f>
        <v/>
      </c>
      <c r="AB288" s="70">
        <f>IF($A288="","",N(S288)*'Paramètres'!$AA$9*IFERROR(INDEX('Paramètres'!$O$5:$O$7,MATCH(G288,'Paramètres'!$N$5:$N$7,0)),0))</f>
        <v/>
      </c>
      <c r="AC288" s="7" t="inlineStr">
        <is>
          <t>Clôturé</t>
        </is>
      </c>
      <c r="AD288" s="69">
        <f>IF(OR($A288="",Q288=""),"",(Q288-B288)*24)</f>
        <v/>
      </c>
      <c r="AE288" s="69">
        <f>IF(OR(Q288="",R288=""),"",(R288-Q288)*24)</f>
        <v/>
      </c>
      <c r="AF288" s="77">
        <f>IF(OR($A288="",B288=""),"",YEAR(B288))</f>
        <v/>
      </c>
      <c r="AG288" s="77">
        <f>IF(OR($A288="",B288=""),"",MONTH(B288))</f>
        <v/>
      </c>
    </row>
    <row r="289">
      <c r="A289" s="7" t="inlineStr">
        <is>
          <t>OT-2025-0285</t>
        </is>
      </c>
      <c r="B289" s="75" t="n">
        <v>45784.48958333334</v>
      </c>
      <c r="C289" s="7" t="inlineStr">
        <is>
          <t>Plan préventif</t>
        </is>
      </c>
      <c r="D289" s="7" t="inlineStr">
        <is>
          <t>EQ-LOG-001</t>
        </is>
      </c>
      <c r="E289" s="9">
        <f>IF(D289="","",IFERROR(INDEX('Équipements'!$B$5:$B$304,MATCH(D289,'Équipements'!$A$5:$A$304,0)),"Code inconnu"))</f>
        <v/>
      </c>
      <c r="F289" s="9">
        <f>IF(D289="","",IFERROR(INDEX('Équipements'!$D$5:$D$304,MATCH(D289,'Équipements'!$A$5:$A$304,0)),""))</f>
        <v/>
      </c>
      <c r="G289" s="9">
        <f>IF(D289="","",IFERROR(INDEX('Équipements'!$K$5:$K$304,MATCH(D289,'Équipements'!$A$5:$A$304,0)),""))</f>
        <v/>
      </c>
      <c r="H289" s="7" t="inlineStr">
        <is>
          <t>Préventif systématique</t>
        </is>
      </c>
      <c r="I289" s="7" t="inlineStr">
        <is>
          <t>GP-106</t>
        </is>
      </c>
      <c r="J289" s="7" t="inlineStr">
        <is>
          <t>Mécanique</t>
        </is>
      </c>
      <c r="K289" s="7" t="inlineStr">
        <is>
          <t>P3 - Normale</t>
        </is>
      </c>
      <c r="L289" s="7" t="inlineStr">
        <is>
          <t>Contrôle batterie, niveaux et bandages</t>
        </is>
      </c>
      <c r="M289" s="7" t="n"/>
      <c r="N289" s="7" t="inlineStr">
        <is>
          <t>Gamme réalisée - DI émise pour remplacement pièce</t>
        </is>
      </c>
      <c r="O289" s="7" t="inlineStr">
        <is>
          <t>Lucas Fontaine</t>
        </is>
      </c>
      <c r="P289" s="65" t="n">
        <v>45791.62847222222</v>
      </c>
      <c r="Q289" s="75" t="n">
        <v>45791.60416666666</v>
      </c>
      <c r="R289" s="75" t="n">
        <v>45791.63541666666</v>
      </c>
      <c r="S289" s="76" t="n">
        <v>0.4</v>
      </c>
      <c r="T289" s="76" t="n">
        <v>0.75</v>
      </c>
      <c r="U289" s="70">
        <f>IF($A289="","",IFERROR(INDEX('Techniciens'!$F$5:$F$44,MATCH(O289,'Techniciens'!$B$5:$B$44,0)),'Paramètres'!$AA$10))</f>
        <v/>
      </c>
      <c r="V289" s="70">
        <f>IF($A289="","",IF(OR(AC289="Demandé",AC289="Planifié",AC289="Annulé"),0,N(T289)*N(U289)))</f>
        <v/>
      </c>
      <c r="W289" s="70">
        <f>IF($A289="","",SUMIFS('Mouvements stock'!$H$5:$H$3004,'Mouvements stock'!$I$5:$I$3004,$A289,'Mouvements stock'!$C$5:$C$3004,"Sortie")-SUMIFS('Mouvements stock'!$H$5:$H$3004,'Mouvements stock'!$I$5:$I$3004,$A289,'Mouvements stock'!$C$5:$C$3004,"Retour"))</f>
        <v/>
      </c>
      <c r="X289" s="66" t="n">
        <v>0</v>
      </c>
      <c r="Y289" s="66" t="n">
        <v>0</v>
      </c>
      <c r="Z289" s="7" t="n"/>
      <c r="AA289" s="70">
        <f>IF($A289="","",N(V289)+N(W289)+N(X289)+N(Y289))</f>
        <v/>
      </c>
      <c r="AB289" s="70">
        <f>IF($A289="","",N(S289)*'Paramètres'!$AA$9*IFERROR(INDEX('Paramètres'!$O$5:$O$7,MATCH(G289,'Paramètres'!$N$5:$N$7,0)),0))</f>
        <v/>
      </c>
      <c r="AC289" s="7" t="inlineStr">
        <is>
          <t>Clôturé</t>
        </is>
      </c>
      <c r="AD289" s="69">
        <f>IF(OR($A289="",Q289=""),"",(Q289-B289)*24)</f>
        <v/>
      </c>
      <c r="AE289" s="69">
        <f>IF(OR(Q289="",R289=""),"",(R289-Q289)*24)</f>
        <v/>
      </c>
      <c r="AF289" s="77">
        <f>IF(OR($A289="",B289=""),"",YEAR(B289))</f>
        <v/>
      </c>
      <c r="AG289" s="77">
        <f>IF(OR($A289="",B289=""),"",MONTH(B289))</f>
        <v/>
      </c>
    </row>
    <row r="290">
      <c r="A290" s="7" t="inlineStr">
        <is>
          <t>OT-2025-0286</t>
        </is>
      </c>
      <c r="B290" s="75" t="n">
        <v>45784.49305555555</v>
      </c>
      <c r="C290" s="7" t="inlineStr">
        <is>
          <t>Plan préventif</t>
        </is>
      </c>
      <c r="D290" s="7" t="inlineStr">
        <is>
          <t>EQ-LOG-007</t>
        </is>
      </c>
      <c r="E290" s="9">
        <f>IF(D290="","",IFERROR(INDEX('Équipements'!$B$5:$B$304,MATCH(D290,'Équipements'!$A$5:$A$304,0)),"Code inconnu"))</f>
        <v/>
      </c>
      <c r="F290" s="9">
        <f>IF(D290="","",IFERROR(INDEX('Équipements'!$D$5:$D$304,MATCH(D290,'Équipements'!$A$5:$A$304,0)),""))</f>
        <v/>
      </c>
      <c r="G290" s="9">
        <f>IF(D290="","",IFERROR(INDEX('Équipements'!$K$5:$K$304,MATCH(D290,'Équipements'!$A$5:$A$304,0)),""))</f>
        <v/>
      </c>
      <c r="H290" s="7" t="inlineStr">
        <is>
          <t>Préventif systématique</t>
        </is>
      </c>
      <c r="I290" s="7" t="inlineStr">
        <is>
          <t>GP-117</t>
        </is>
      </c>
      <c r="J290" s="7" t="inlineStr">
        <is>
          <t>Mécanique</t>
        </is>
      </c>
      <c r="K290" s="7" t="inlineStr">
        <is>
          <t>P3 - Normale</t>
        </is>
      </c>
      <c r="L290" s="7" t="inlineStr">
        <is>
          <t>Contrôle câbles, crochets, freins et fins de course</t>
        </is>
      </c>
      <c r="M290" s="7" t="n"/>
      <c r="N290" s="7" t="inlineStr">
        <is>
          <t>Gamme réalisée - RAS</t>
        </is>
      </c>
      <c r="O290" s="7" t="inlineStr">
        <is>
          <t>Karim Benali</t>
        </is>
      </c>
      <c r="P290" s="65" t="n">
        <v>45791.48958333334</v>
      </c>
      <c r="Q290" s="75" t="n">
        <v>45791.3125</v>
      </c>
      <c r="R290" s="75" t="n">
        <v>45791.4375</v>
      </c>
      <c r="S290" s="76" t="n">
        <v>3</v>
      </c>
      <c r="T290" s="76" t="n">
        <v>3</v>
      </c>
      <c r="U290" s="70">
        <f>IF($A290="","",IFERROR(INDEX('Techniciens'!$F$5:$F$44,MATCH(O290,'Techniciens'!$B$5:$B$44,0)),'Paramètres'!$AA$10))</f>
        <v/>
      </c>
      <c r="V290" s="70">
        <f>IF($A290="","",IF(OR(AC290="Demandé",AC290="Planifié",AC290="Annulé"),0,N(T290)*N(U290)))</f>
        <v/>
      </c>
      <c r="W290" s="70">
        <f>IF($A290="","",SUMIFS('Mouvements stock'!$H$5:$H$3004,'Mouvements stock'!$I$5:$I$3004,$A290,'Mouvements stock'!$C$5:$C$3004,"Sortie")-SUMIFS('Mouvements stock'!$H$5:$H$3004,'Mouvements stock'!$I$5:$I$3004,$A290,'Mouvements stock'!$C$5:$C$3004,"Retour"))</f>
        <v/>
      </c>
      <c r="X290" s="66" t="n">
        <v>0</v>
      </c>
      <c r="Y290" s="66" t="n">
        <v>0</v>
      </c>
      <c r="Z290" s="7" t="n"/>
      <c r="AA290" s="70">
        <f>IF($A290="","",N(V290)+N(W290)+N(X290)+N(Y290))</f>
        <v/>
      </c>
      <c r="AB290" s="70">
        <f>IF($A290="","",N(S290)*'Paramètres'!$AA$9*IFERROR(INDEX('Paramètres'!$O$5:$O$7,MATCH(G290,'Paramètres'!$N$5:$N$7,0)),0))</f>
        <v/>
      </c>
      <c r="AC290" s="7" t="inlineStr">
        <is>
          <t>Clôturé</t>
        </is>
      </c>
      <c r="AD290" s="69">
        <f>IF(OR($A290="",Q290=""),"",(Q290-B290)*24)</f>
        <v/>
      </c>
      <c r="AE290" s="69">
        <f>IF(OR(Q290="",R290=""),"",(R290-Q290)*24)</f>
        <v/>
      </c>
      <c r="AF290" s="77">
        <f>IF(OR($A290="",B290=""),"",YEAR(B290))</f>
        <v/>
      </c>
      <c r="AG290" s="77">
        <f>IF(OR($A290="",B290=""),"",MONTH(B290))</f>
        <v/>
      </c>
    </row>
    <row r="291">
      <c r="A291" s="7" t="inlineStr">
        <is>
          <t>OT-2025-0287</t>
        </is>
      </c>
      <c r="B291" s="75" t="n">
        <v>45785.30902777778</v>
      </c>
      <c r="C291" s="7" t="inlineStr">
        <is>
          <t>Cariste</t>
        </is>
      </c>
      <c r="D291" s="7" t="inlineStr">
        <is>
          <t>EQ-LOG-002</t>
        </is>
      </c>
      <c r="E291" s="9">
        <f>IF(D291="","",IFERROR(INDEX('Équipements'!$B$5:$B$304,MATCH(D291,'Équipements'!$A$5:$A$304,0)),"Code inconnu"))</f>
        <v/>
      </c>
      <c r="F291" s="9">
        <f>IF(D291="","",IFERROR(INDEX('Équipements'!$D$5:$D$304,MATCH(D291,'Équipements'!$A$5:$A$304,0)),""))</f>
        <v/>
      </c>
      <c r="G291" s="9">
        <f>IF(D291="","",IFERROR(INDEX('Équipements'!$K$5:$K$304,MATCH(D291,'Équipements'!$A$5:$A$304,0)),""))</f>
        <v/>
      </c>
      <c r="H291" s="7" t="inlineStr">
        <is>
          <t>Correctif</t>
        </is>
      </c>
      <c r="I291" s="7" t="n"/>
      <c r="J291" s="7" t="inlineStr">
        <is>
          <t>Hydraulique</t>
        </is>
      </c>
      <c r="K291" s="7" t="inlineStr">
        <is>
          <t>P2 - Haute</t>
        </is>
      </c>
      <c r="L291" s="7" t="inlineStr">
        <is>
          <t>Fuite vérin de levée</t>
        </is>
      </c>
      <c r="M291" s="7" t="inlineStr">
        <is>
          <t>Fuite</t>
        </is>
      </c>
      <c r="N291" s="7" t="inlineStr">
        <is>
          <t>Remplacement kit joints</t>
        </is>
      </c>
      <c r="O291" s="7" t="inlineStr">
        <is>
          <t>Antoine Mercier</t>
        </is>
      </c>
      <c r="P291" s="65" t="n"/>
      <c r="Q291" s="75" t="n">
        <v>45785.53611111111</v>
      </c>
      <c r="R291" s="75" t="n">
        <v>45785.64027777778</v>
      </c>
      <c r="S291" s="76" t="n">
        <v>2.4</v>
      </c>
      <c r="T291" s="76" t="n">
        <v>2.5</v>
      </c>
      <c r="U291" s="70">
        <f>IF($A291="","",IFERROR(INDEX('Techniciens'!$F$5:$F$44,MATCH(O291,'Techniciens'!$B$5:$B$44,0)),'Paramètres'!$AA$10))</f>
        <v/>
      </c>
      <c r="V291" s="70">
        <f>IF($A291="","",IF(OR(AC291="Demandé",AC291="Planifié",AC291="Annulé"),0,N(T291)*N(U291)))</f>
        <v/>
      </c>
      <c r="W291" s="70">
        <f>IF($A291="","",SUMIFS('Mouvements stock'!$H$5:$H$3004,'Mouvements stock'!$I$5:$I$3004,$A291,'Mouvements stock'!$C$5:$C$3004,"Sortie")-SUMIFS('Mouvements stock'!$H$5:$H$3004,'Mouvements stock'!$I$5:$I$3004,$A291,'Mouvements stock'!$C$5:$C$3004,"Retour"))</f>
        <v/>
      </c>
      <c r="X291" s="66" t="n">
        <v>0</v>
      </c>
      <c r="Y291" s="66" t="n">
        <v>0</v>
      </c>
      <c r="Z291" s="7" t="n"/>
      <c r="AA291" s="70">
        <f>IF($A291="","",N(V291)+N(W291)+N(X291)+N(Y291))</f>
        <v/>
      </c>
      <c r="AB291" s="70">
        <f>IF($A291="","",N(S291)*'Paramètres'!$AA$9*IFERROR(INDEX('Paramètres'!$O$5:$O$7,MATCH(G291,'Paramètres'!$N$5:$N$7,0)),0))</f>
        <v/>
      </c>
      <c r="AC291" s="7" t="inlineStr">
        <is>
          <t>Clôturé</t>
        </is>
      </c>
      <c r="AD291" s="69">
        <f>IF(OR($A291="",Q291=""),"",(Q291-B291)*24)</f>
        <v/>
      </c>
      <c r="AE291" s="69">
        <f>IF(OR(Q291="",R291=""),"",(R291-Q291)*24)</f>
        <v/>
      </c>
      <c r="AF291" s="77">
        <f>IF(OR($A291="",B291=""),"",YEAR(B291))</f>
        <v/>
      </c>
      <c r="AG291" s="77">
        <f>IF(OR($A291="",B291=""),"",MONTH(B291))</f>
        <v/>
      </c>
    </row>
    <row r="292">
      <c r="A292" s="7" t="inlineStr">
        <is>
          <t>OT-2025-0288</t>
        </is>
      </c>
      <c r="B292" s="75" t="n">
        <v>45785.35416666666</v>
      </c>
      <c r="C292" s="7" t="inlineStr">
        <is>
          <t>Plan préventif</t>
        </is>
      </c>
      <c r="D292" s="7" t="inlineStr">
        <is>
          <t>EQ-USI-001</t>
        </is>
      </c>
      <c r="E292" s="9">
        <f>IF(D292="","",IFERROR(INDEX('Équipements'!$B$5:$B$304,MATCH(D292,'Équipements'!$A$5:$A$304,0)),"Code inconnu"))</f>
        <v/>
      </c>
      <c r="F292" s="9">
        <f>IF(D292="","",IFERROR(INDEX('Équipements'!$D$5:$D$304,MATCH(D292,'Équipements'!$A$5:$A$304,0)),""))</f>
        <v/>
      </c>
      <c r="G292" s="9">
        <f>IF(D292="","",IFERROR(INDEX('Équipements'!$K$5:$K$304,MATCH(D292,'Équipements'!$A$5:$A$304,0)),""))</f>
        <v/>
      </c>
      <c r="H292" s="7" t="inlineStr">
        <is>
          <t>Préventif systématique</t>
        </is>
      </c>
      <c r="I292" s="7" t="inlineStr">
        <is>
          <t>GP-001</t>
        </is>
      </c>
      <c r="J292" s="7" t="inlineStr">
        <is>
          <t>Mécanique</t>
        </is>
      </c>
      <c r="K292" s="7" t="inlineStr">
        <is>
          <t>P3 - Normale</t>
        </is>
      </c>
      <c r="L292" s="7" t="inlineStr">
        <is>
          <t>Contrôle niveaux, nettoyage filtres et bac à copeaux</t>
        </is>
      </c>
      <c r="M292" s="7" t="n"/>
      <c r="N292" s="7" t="inlineStr">
        <is>
          <t>Gamme réalisée - RAS</t>
        </is>
      </c>
      <c r="O292" s="7" t="inlineStr">
        <is>
          <t>Antoine Mercier</t>
        </is>
      </c>
      <c r="P292" s="65" t="n">
        <v>45792.60416666666</v>
      </c>
      <c r="Q292" s="75" t="n">
        <v>45792.28125</v>
      </c>
      <c r="R292" s="75" t="n">
        <v>45792.35416666666</v>
      </c>
      <c r="S292" s="76" t="n">
        <v>0.9</v>
      </c>
      <c r="T292" s="76" t="n">
        <v>1.75</v>
      </c>
      <c r="U292" s="70">
        <f>IF($A292="","",IFERROR(INDEX('Techniciens'!$F$5:$F$44,MATCH(O292,'Techniciens'!$B$5:$B$44,0)),'Paramètres'!$AA$10))</f>
        <v/>
      </c>
      <c r="V292" s="70">
        <f>IF($A292="","",IF(OR(AC292="Demandé",AC292="Planifié",AC292="Annulé"),0,N(T292)*N(U292)))</f>
        <v/>
      </c>
      <c r="W292" s="70">
        <f>IF($A292="","",SUMIFS('Mouvements stock'!$H$5:$H$3004,'Mouvements stock'!$I$5:$I$3004,$A292,'Mouvements stock'!$C$5:$C$3004,"Sortie")-SUMIFS('Mouvements stock'!$H$5:$H$3004,'Mouvements stock'!$I$5:$I$3004,$A292,'Mouvements stock'!$C$5:$C$3004,"Retour"))</f>
        <v/>
      </c>
      <c r="X292" s="66" t="n">
        <v>0</v>
      </c>
      <c r="Y292" s="66" t="n">
        <v>0</v>
      </c>
      <c r="Z292" s="7" t="n"/>
      <c r="AA292" s="70">
        <f>IF($A292="","",N(V292)+N(W292)+N(X292)+N(Y292))</f>
        <v/>
      </c>
      <c r="AB292" s="70">
        <f>IF($A292="","",N(S292)*'Paramètres'!$AA$9*IFERROR(INDEX('Paramètres'!$O$5:$O$7,MATCH(G292,'Paramètres'!$N$5:$N$7,0)),0))</f>
        <v/>
      </c>
      <c r="AC292" s="7" t="inlineStr">
        <is>
          <t>Clôturé</t>
        </is>
      </c>
      <c r="AD292" s="69">
        <f>IF(OR($A292="",Q292=""),"",(Q292-B292)*24)</f>
        <v/>
      </c>
      <c r="AE292" s="69">
        <f>IF(OR(Q292="",R292=""),"",(R292-Q292)*24)</f>
        <v/>
      </c>
      <c r="AF292" s="77">
        <f>IF(OR($A292="",B292=""),"",YEAR(B292))</f>
        <v/>
      </c>
      <c r="AG292" s="77">
        <f>IF(OR($A292="",B292=""),"",MONTH(B292))</f>
        <v/>
      </c>
    </row>
    <row r="293">
      <c r="A293" s="7" t="inlineStr">
        <is>
          <t>OT-2025-0289</t>
        </is>
      </c>
      <c r="B293" s="75" t="n">
        <v>45785.36458333334</v>
      </c>
      <c r="C293" s="7" t="inlineStr">
        <is>
          <t>Plan préventif</t>
        </is>
      </c>
      <c r="D293" s="7" t="inlineStr">
        <is>
          <t>EQ-SOU-001</t>
        </is>
      </c>
      <c r="E293" s="9">
        <f>IF(D293="","",IFERROR(INDEX('Équipements'!$B$5:$B$304,MATCH(D293,'Équipements'!$A$5:$A$304,0)),"Code inconnu"))</f>
        <v/>
      </c>
      <c r="F293" s="9">
        <f>IF(D293="","",IFERROR(INDEX('Équipements'!$D$5:$D$304,MATCH(D293,'Équipements'!$A$5:$A$304,0)),""))</f>
        <v/>
      </c>
      <c r="G293" s="9">
        <f>IF(D293="","",IFERROR(INDEX('Équipements'!$K$5:$K$304,MATCH(D293,'Équipements'!$A$5:$A$304,0)),""))</f>
        <v/>
      </c>
      <c r="H293" s="7" t="inlineStr">
        <is>
          <t>Préventif systématique</t>
        </is>
      </c>
      <c r="I293" s="7" t="inlineStr">
        <is>
          <t>GP-058</t>
        </is>
      </c>
      <c r="J293" s="7" t="inlineStr">
        <is>
          <t>Mécanique</t>
        </is>
      </c>
      <c r="K293" s="7" t="inlineStr">
        <is>
          <t>P3 - Normale</t>
        </is>
      </c>
      <c r="L293" s="7" t="inlineStr">
        <is>
          <t>Nettoyage torche et contrôle faisceau</t>
        </is>
      </c>
      <c r="M293" s="7" t="n"/>
      <c r="N293" s="7" t="inlineStr">
        <is>
          <t>Gamme réalisée - RAS</t>
        </is>
      </c>
      <c r="O293" s="7" t="inlineStr">
        <is>
          <t>Lucas Fontaine</t>
        </is>
      </c>
      <c r="P293" s="65" t="n">
        <v>45792.29166666666</v>
      </c>
      <c r="Q293" s="75" t="n">
        <v>45792.44791666666</v>
      </c>
      <c r="R293" s="75" t="n">
        <v>45792.47916666666</v>
      </c>
      <c r="S293" s="76" t="n">
        <v>0.4</v>
      </c>
      <c r="T293" s="76" t="n">
        <v>0.75</v>
      </c>
      <c r="U293" s="70">
        <f>IF($A293="","",IFERROR(INDEX('Techniciens'!$F$5:$F$44,MATCH(O293,'Techniciens'!$B$5:$B$44,0)),'Paramètres'!$AA$10))</f>
        <v/>
      </c>
      <c r="V293" s="70">
        <f>IF($A293="","",IF(OR(AC293="Demandé",AC293="Planifié",AC293="Annulé"),0,N(T293)*N(U293)))</f>
        <v/>
      </c>
      <c r="W293" s="70">
        <f>IF($A293="","",SUMIFS('Mouvements stock'!$H$5:$H$3004,'Mouvements stock'!$I$5:$I$3004,$A293,'Mouvements stock'!$C$5:$C$3004,"Sortie")-SUMIFS('Mouvements stock'!$H$5:$H$3004,'Mouvements stock'!$I$5:$I$3004,$A293,'Mouvements stock'!$C$5:$C$3004,"Retour"))</f>
        <v/>
      </c>
      <c r="X293" s="66" t="n">
        <v>0</v>
      </c>
      <c r="Y293" s="66" t="n">
        <v>0</v>
      </c>
      <c r="Z293" s="7" t="n"/>
      <c r="AA293" s="70">
        <f>IF($A293="","",N(V293)+N(W293)+N(X293)+N(Y293))</f>
        <v/>
      </c>
      <c r="AB293" s="70">
        <f>IF($A293="","",N(S293)*'Paramètres'!$AA$9*IFERROR(INDEX('Paramètres'!$O$5:$O$7,MATCH(G293,'Paramètres'!$N$5:$N$7,0)),0))</f>
        <v/>
      </c>
      <c r="AC293" s="7" t="inlineStr">
        <is>
          <t>Clôturé</t>
        </is>
      </c>
      <c r="AD293" s="69">
        <f>IF(OR($A293="",Q293=""),"",(Q293-B293)*24)</f>
        <v/>
      </c>
      <c r="AE293" s="69">
        <f>IF(OR(Q293="",R293=""),"",(R293-Q293)*24)</f>
        <v/>
      </c>
      <c r="AF293" s="77">
        <f>IF(OR($A293="",B293=""),"",YEAR(B293))</f>
        <v/>
      </c>
      <c r="AG293" s="77">
        <f>IF(OR($A293="",B293=""),"",MONTH(B293))</f>
        <v/>
      </c>
    </row>
    <row r="294">
      <c r="A294" s="7" t="inlineStr">
        <is>
          <t>OT-2025-0290</t>
        </is>
      </c>
      <c r="B294" s="75" t="n">
        <v>45785.38194444445</v>
      </c>
      <c r="C294" s="7" t="inlineStr">
        <is>
          <t>Plan préventif</t>
        </is>
      </c>
      <c r="D294" s="7" t="inlineStr">
        <is>
          <t>EQ-USI-005</t>
        </is>
      </c>
      <c r="E294" s="9">
        <f>IF(D294="","",IFERROR(INDEX('Équipements'!$B$5:$B$304,MATCH(D294,'Équipements'!$A$5:$A$304,0)),"Code inconnu"))</f>
        <v/>
      </c>
      <c r="F294" s="9">
        <f>IF(D294="","",IFERROR(INDEX('Équipements'!$D$5:$D$304,MATCH(D294,'Équipements'!$A$5:$A$304,0)),""))</f>
        <v/>
      </c>
      <c r="G294" s="9">
        <f>IF(D294="","",IFERROR(INDEX('Équipements'!$K$5:$K$304,MATCH(D294,'Équipements'!$A$5:$A$304,0)),""))</f>
        <v/>
      </c>
      <c r="H294" s="7" t="inlineStr">
        <is>
          <t>Préventif systématique</t>
        </is>
      </c>
      <c r="I294" s="7" t="inlineStr">
        <is>
          <t>GP-017</t>
        </is>
      </c>
      <c r="J294" s="7" t="inlineStr">
        <is>
          <t>Mécanique</t>
        </is>
      </c>
      <c r="K294" s="7" t="inlineStr">
        <is>
          <t>P3 - Normale</t>
        </is>
      </c>
      <c r="L294" s="7" t="inlineStr">
        <is>
          <t>Contrôle niveaux, nettoyage filtres et bac à copeaux</t>
        </is>
      </c>
      <c r="M294" s="7" t="n"/>
      <c r="N294" s="7" t="inlineStr">
        <is>
          <t>Gamme réalisée - RAS</t>
        </is>
      </c>
      <c r="O294" s="7" t="inlineStr">
        <is>
          <t>Karim Benali</t>
        </is>
      </c>
      <c r="P294" s="65" t="n">
        <v>45792.5</v>
      </c>
      <c r="Q294" s="75" t="n">
        <v>45792.52777777778</v>
      </c>
      <c r="R294" s="75" t="n">
        <v>45792.59027777778</v>
      </c>
      <c r="S294" s="76" t="n">
        <v>0</v>
      </c>
      <c r="T294" s="76" t="n">
        <v>1.5</v>
      </c>
      <c r="U294" s="70">
        <f>IF($A294="","",IFERROR(INDEX('Techniciens'!$F$5:$F$44,MATCH(O294,'Techniciens'!$B$5:$B$44,0)),'Paramètres'!$AA$10))</f>
        <v/>
      </c>
      <c r="V294" s="70">
        <f>IF($A294="","",IF(OR(AC294="Demandé",AC294="Planifié",AC294="Annulé"),0,N(T294)*N(U294)))</f>
        <v/>
      </c>
      <c r="W294" s="70">
        <f>IF($A294="","",SUMIFS('Mouvements stock'!$H$5:$H$3004,'Mouvements stock'!$I$5:$I$3004,$A294,'Mouvements stock'!$C$5:$C$3004,"Sortie")-SUMIFS('Mouvements stock'!$H$5:$H$3004,'Mouvements stock'!$I$5:$I$3004,$A294,'Mouvements stock'!$C$5:$C$3004,"Retour"))</f>
        <v/>
      </c>
      <c r="X294" s="66" t="n">
        <v>0</v>
      </c>
      <c r="Y294" s="66" t="n">
        <v>0</v>
      </c>
      <c r="Z294" s="7" t="n"/>
      <c r="AA294" s="70">
        <f>IF($A294="","",N(V294)+N(W294)+N(X294)+N(Y294))</f>
        <v/>
      </c>
      <c r="AB294" s="70">
        <f>IF($A294="","",N(S294)*'Paramètres'!$AA$9*IFERROR(INDEX('Paramètres'!$O$5:$O$7,MATCH(G294,'Paramètres'!$N$5:$N$7,0)),0))</f>
        <v/>
      </c>
      <c r="AC294" s="7" t="inlineStr">
        <is>
          <t>Clôturé</t>
        </is>
      </c>
      <c r="AD294" s="69">
        <f>IF(OR($A294="",Q294=""),"",(Q294-B294)*24)</f>
        <v/>
      </c>
      <c r="AE294" s="69">
        <f>IF(OR(Q294="",R294=""),"",(R294-Q294)*24)</f>
        <v/>
      </c>
      <c r="AF294" s="77">
        <f>IF(OR($A294="",B294=""),"",YEAR(B294))</f>
        <v/>
      </c>
      <c r="AG294" s="77">
        <f>IF(OR($A294="",B294=""),"",MONTH(B294))</f>
        <v/>
      </c>
    </row>
    <row r="295">
      <c r="A295" s="7" t="inlineStr">
        <is>
          <t>OT-2025-0291</t>
        </is>
      </c>
      <c r="B295" s="75" t="n">
        <v>45785.48958333334</v>
      </c>
      <c r="C295" s="7" t="inlineStr">
        <is>
          <t>Plan préventif</t>
        </is>
      </c>
      <c r="D295" s="7" t="inlineStr">
        <is>
          <t>EQ-ASS-001</t>
        </is>
      </c>
      <c r="E295" s="9">
        <f>IF(D295="","",IFERROR(INDEX('Équipements'!$B$5:$B$304,MATCH(D295,'Équipements'!$A$5:$A$304,0)),"Code inconnu"))</f>
        <v/>
      </c>
      <c r="F295" s="9">
        <f>IF(D295="","",IFERROR(INDEX('Équipements'!$D$5:$D$304,MATCH(D295,'Équipements'!$A$5:$A$304,0)),""))</f>
        <v/>
      </c>
      <c r="G295" s="9">
        <f>IF(D295="","",IFERROR(INDEX('Équipements'!$K$5:$K$304,MATCH(D295,'Équipements'!$A$5:$A$304,0)),""))</f>
        <v/>
      </c>
      <c r="H295" s="7" t="inlineStr">
        <is>
          <t>Préventif systématique</t>
        </is>
      </c>
      <c r="I295" s="7" t="inlineStr">
        <is>
          <t>GP-076</t>
        </is>
      </c>
      <c r="J295" s="7" t="inlineStr">
        <is>
          <t>Mécanique</t>
        </is>
      </c>
      <c r="K295" s="7" t="inlineStr">
        <is>
          <t>P3 - Normale</t>
        </is>
      </c>
      <c r="L295" s="7" t="inlineStr">
        <is>
          <t>Graissage chaîne / galets et contrôle tension</t>
        </is>
      </c>
      <c r="M295" s="7" t="n"/>
      <c r="N295" s="7" t="inlineStr">
        <is>
          <t>Gamme réalisée - RAS</t>
        </is>
      </c>
      <c r="O295" s="7" t="inlineStr">
        <is>
          <t>Lucas Fontaine</t>
        </is>
      </c>
      <c r="P295" s="65" t="n">
        <v>45792.5625</v>
      </c>
      <c r="Q295" s="75" t="n">
        <v>45792.45138888889</v>
      </c>
      <c r="R295" s="75" t="n">
        <v>45792.54513888889</v>
      </c>
      <c r="S295" s="76" t="n">
        <v>0</v>
      </c>
      <c r="T295" s="76" t="n">
        <v>2.25</v>
      </c>
      <c r="U295" s="70">
        <f>IF($A295="","",IFERROR(INDEX('Techniciens'!$F$5:$F$44,MATCH(O295,'Techniciens'!$B$5:$B$44,0)),'Paramètres'!$AA$10))</f>
        <v/>
      </c>
      <c r="V295" s="70">
        <f>IF($A295="","",IF(OR(AC295="Demandé",AC295="Planifié",AC295="Annulé"),0,N(T295)*N(U295)))</f>
        <v/>
      </c>
      <c r="W295" s="70">
        <f>IF($A295="","",SUMIFS('Mouvements stock'!$H$5:$H$3004,'Mouvements stock'!$I$5:$I$3004,$A295,'Mouvements stock'!$C$5:$C$3004,"Sortie")-SUMIFS('Mouvements stock'!$H$5:$H$3004,'Mouvements stock'!$I$5:$I$3004,$A295,'Mouvements stock'!$C$5:$C$3004,"Retour"))</f>
        <v/>
      </c>
      <c r="X295" s="66" t="n">
        <v>0</v>
      </c>
      <c r="Y295" s="66" t="n">
        <v>0</v>
      </c>
      <c r="Z295" s="7" t="n"/>
      <c r="AA295" s="70">
        <f>IF($A295="","",N(V295)+N(W295)+N(X295)+N(Y295))</f>
        <v/>
      </c>
      <c r="AB295" s="70">
        <f>IF($A295="","",N(S295)*'Paramètres'!$AA$9*IFERROR(INDEX('Paramètres'!$O$5:$O$7,MATCH(G295,'Paramètres'!$N$5:$N$7,0)),0))</f>
        <v/>
      </c>
      <c r="AC295" s="7" t="inlineStr">
        <is>
          <t>Clôturé</t>
        </is>
      </c>
      <c r="AD295" s="69">
        <f>IF(OR($A295="",Q295=""),"",(Q295-B295)*24)</f>
        <v/>
      </c>
      <c r="AE295" s="69">
        <f>IF(OR(Q295="",R295=""),"",(R295-Q295)*24)</f>
        <v/>
      </c>
      <c r="AF295" s="77">
        <f>IF(OR($A295="",B295=""),"",YEAR(B295))</f>
        <v/>
      </c>
      <c r="AG295" s="77">
        <f>IF(OR($A295="",B295=""),"",MONTH(B295))</f>
        <v/>
      </c>
    </row>
    <row r="296">
      <c r="A296" s="7" t="inlineStr">
        <is>
          <t>OT-2025-0292</t>
        </is>
      </c>
      <c r="B296" s="75" t="n">
        <v>45786.21597222222</v>
      </c>
      <c r="C296" s="7" t="inlineStr">
        <is>
          <t>Éric Laurent (chef d'atelier)</t>
        </is>
      </c>
      <c r="D296" s="7" t="inlineStr">
        <is>
          <t>EQ-USI-005</t>
        </is>
      </c>
      <c r="E296" s="9">
        <f>IF(D296="","",IFERROR(INDEX('Équipements'!$B$5:$B$304,MATCH(D296,'Équipements'!$A$5:$A$304,0)),"Code inconnu"))</f>
        <v/>
      </c>
      <c r="F296" s="9">
        <f>IF(D296="","",IFERROR(INDEX('Équipements'!$D$5:$D$304,MATCH(D296,'Équipements'!$A$5:$A$304,0)),""))</f>
        <v/>
      </c>
      <c r="G296" s="9">
        <f>IF(D296="","",IFERROR(INDEX('Équipements'!$K$5:$K$304,MATCH(D296,'Équipements'!$A$5:$A$304,0)),""))</f>
        <v/>
      </c>
      <c r="H296" s="7" t="inlineStr">
        <is>
          <t>Correctif</t>
        </is>
      </c>
      <c r="I296" s="7" t="n"/>
      <c r="J296" s="7" t="inlineStr">
        <is>
          <t>Électrique</t>
        </is>
      </c>
      <c r="K296" s="7" t="inlineStr">
        <is>
          <t>P2 - Haute</t>
        </is>
      </c>
      <c r="L296" s="7" t="inlineStr">
        <is>
          <t>Défaut ventilation armoire électrique</t>
        </is>
      </c>
      <c r="M296" s="7" t="inlineStr">
        <is>
          <t>Encrassement</t>
        </is>
      </c>
      <c r="N296" s="7" t="inlineStr">
        <is>
          <t>Nettoyage et remplacement ventilateur d'armoire</t>
        </is>
      </c>
      <c r="O296" s="7" t="inlineStr">
        <is>
          <t>Julien Moreau</t>
        </is>
      </c>
      <c r="P296" s="65" t="n"/>
      <c r="Q296" s="75" t="n">
        <v>45786.40972222222</v>
      </c>
      <c r="R296" s="75" t="n">
        <v>45786.78472222222</v>
      </c>
      <c r="S296" s="76" t="n">
        <v>13.7</v>
      </c>
      <c r="T296" s="76" t="n">
        <v>9</v>
      </c>
      <c r="U296" s="70">
        <f>IF($A296="","",IFERROR(INDEX('Techniciens'!$F$5:$F$44,MATCH(O296,'Techniciens'!$B$5:$B$44,0)),'Paramètres'!$AA$10))</f>
        <v/>
      </c>
      <c r="V296" s="70">
        <f>IF($A296="","",IF(OR(AC296="Demandé",AC296="Planifié",AC296="Annulé"),0,N(T296)*N(U296)))</f>
        <v/>
      </c>
      <c r="W296" s="70">
        <f>IF($A296="","",SUMIFS('Mouvements stock'!$H$5:$H$3004,'Mouvements stock'!$I$5:$I$3004,$A296,'Mouvements stock'!$C$5:$C$3004,"Sortie")-SUMIFS('Mouvements stock'!$H$5:$H$3004,'Mouvements stock'!$I$5:$I$3004,$A296,'Mouvements stock'!$C$5:$C$3004,"Retour"))</f>
        <v/>
      </c>
      <c r="X296" s="66" t="n">
        <v>0</v>
      </c>
      <c r="Y296" s="66" t="n">
        <v>0</v>
      </c>
      <c r="Z296" s="7" t="n"/>
      <c r="AA296" s="70">
        <f>IF($A296="","",N(V296)+N(W296)+N(X296)+N(Y296))</f>
        <v/>
      </c>
      <c r="AB296" s="70">
        <f>IF($A296="","",N(S296)*'Paramètres'!$AA$9*IFERROR(INDEX('Paramètres'!$O$5:$O$7,MATCH(G296,'Paramètres'!$N$5:$N$7,0)),0))</f>
        <v/>
      </c>
      <c r="AC296" s="7" t="inlineStr">
        <is>
          <t>Clôturé</t>
        </is>
      </c>
      <c r="AD296" s="69">
        <f>IF(OR($A296="",Q296=""),"",(Q296-B296)*24)</f>
        <v/>
      </c>
      <c r="AE296" s="69">
        <f>IF(OR(Q296="",R296=""),"",(R296-Q296)*24)</f>
        <v/>
      </c>
      <c r="AF296" s="77">
        <f>IF(OR($A296="",B296=""),"",YEAR(B296))</f>
        <v/>
      </c>
      <c r="AG296" s="77">
        <f>IF(OR($A296="",B296=""),"",MONTH(B296))</f>
        <v/>
      </c>
    </row>
    <row r="297">
      <c r="A297" s="7" t="inlineStr">
        <is>
          <t>OT-2025-0293</t>
        </is>
      </c>
      <c r="B297" s="75" t="n">
        <v>45786.28333333333</v>
      </c>
      <c r="C297" s="7" t="inlineStr">
        <is>
          <t>Céline Morel (cheffe d'atelier)</t>
        </is>
      </c>
      <c r="D297" s="7" t="inlineStr">
        <is>
          <t>EQ-TOL-002</t>
        </is>
      </c>
      <c r="E297" s="9">
        <f>IF(D297="","",IFERROR(INDEX('Équipements'!$B$5:$B$304,MATCH(D297,'Équipements'!$A$5:$A$304,0)),"Code inconnu"))</f>
        <v/>
      </c>
      <c r="F297" s="9">
        <f>IF(D297="","",IFERROR(INDEX('Équipements'!$D$5:$D$304,MATCH(D297,'Équipements'!$A$5:$A$304,0)),""))</f>
        <v/>
      </c>
      <c r="G297" s="9">
        <f>IF(D297="","",IFERROR(INDEX('Équipements'!$K$5:$K$304,MATCH(D297,'Équipements'!$A$5:$A$304,0)),""))</f>
        <v/>
      </c>
      <c r="H297" s="7" t="inlineStr">
        <is>
          <t>Correctif</t>
        </is>
      </c>
      <c r="I297" s="7" t="n"/>
      <c r="J297" s="7" t="inlineStr">
        <is>
          <t>Mécanique</t>
        </is>
      </c>
      <c r="K297" s="7" t="inlineStr">
        <is>
          <t>P1 - Urgent</t>
        </is>
      </c>
      <c r="L297" s="7" t="inlineStr">
        <is>
          <t>Butée arrière bloquée</t>
        </is>
      </c>
      <c r="M297" s="7" t="inlineStr">
        <is>
          <t>Casse mécanique</t>
        </is>
      </c>
      <c r="N297" s="7" t="inlineStr">
        <is>
          <t>Remplacement courroie et réglage butée</t>
        </is>
      </c>
      <c r="O297" s="7" t="inlineStr">
        <is>
          <t>Karim Benali</t>
        </is>
      </c>
      <c r="P297" s="65" t="n"/>
      <c r="Q297" s="75" t="n">
        <v>45786.29166666666</v>
      </c>
      <c r="R297" s="75" t="n">
        <v>45786.48958333334</v>
      </c>
      <c r="S297" s="76" t="n">
        <v>5</v>
      </c>
      <c r="T297" s="76" t="n">
        <v>4.75</v>
      </c>
      <c r="U297" s="70">
        <f>IF($A297="","",IFERROR(INDEX('Techniciens'!$F$5:$F$44,MATCH(O297,'Techniciens'!$B$5:$B$44,0)),'Paramètres'!$AA$10))</f>
        <v/>
      </c>
      <c r="V297" s="70">
        <f>IF($A297="","",IF(OR(AC297="Demandé",AC297="Planifié",AC297="Annulé"),0,N(T297)*N(U297)))</f>
        <v/>
      </c>
      <c r="W297" s="70">
        <f>IF($A297="","",SUMIFS('Mouvements stock'!$H$5:$H$3004,'Mouvements stock'!$I$5:$I$3004,$A297,'Mouvements stock'!$C$5:$C$3004,"Sortie")-SUMIFS('Mouvements stock'!$H$5:$H$3004,'Mouvements stock'!$I$5:$I$3004,$A297,'Mouvements stock'!$C$5:$C$3004,"Retour"))</f>
        <v/>
      </c>
      <c r="X297" s="66" t="n">
        <v>0</v>
      </c>
      <c r="Y297" s="66" t="n">
        <v>0</v>
      </c>
      <c r="Z297" s="7" t="n"/>
      <c r="AA297" s="70">
        <f>IF($A297="","",N(V297)+N(W297)+N(X297)+N(Y297))</f>
        <v/>
      </c>
      <c r="AB297" s="70">
        <f>IF($A297="","",N(S297)*'Paramètres'!$AA$9*IFERROR(INDEX('Paramètres'!$O$5:$O$7,MATCH(G297,'Paramètres'!$N$5:$N$7,0)),0))</f>
        <v/>
      </c>
      <c r="AC297" s="7" t="inlineStr">
        <is>
          <t>Clôturé</t>
        </is>
      </c>
      <c r="AD297" s="69">
        <f>IF(OR($A297="",Q297=""),"",(Q297-B297)*24)</f>
        <v/>
      </c>
      <c r="AE297" s="69">
        <f>IF(OR(Q297="",R297=""),"",(R297-Q297)*24)</f>
        <v/>
      </c>
      <c r="AF297" s="77">
        <f>IF(OR($A297="",B297=""),"",YEAR(B297))</f>
        <v/>
      </c>
      <c r="AG297" s="77">
        <f>IF(OR($A297="",B297=""),"",MONTH(B297))</f>
        <v/>
      </c>
    </row>
    <row r="298">
      <c r="A298" s="7" t="inlineStr">
        <is>
          <t>OT-2025-0294</t>
        </is>
      </c>
      <c r="B298" s="75" t="n">
        <v>45786.34027777778</v>
      </c>
      <c r="C298" s="7" t="inlineStr">
        <is>
          <t>Planning réglementaire</t>
        </is>
      </c>
      <c r="D298" s="7" t="inlineStr">
        <is>
          <t>EQ-LOG-006</t>
        </is>
      </c>
      <c r="E298" s="9">
        <f>IF(D298="","",IFERROR(INDEX('Équipements'!$B$5:$B$304,MATCH(D298,'Équipements'!$A$5:$A$304,0)),"Code inconnu"))</f>
        <v/>
      </c>
      <c r="F298" s="9">
        <f>IF(D298="","",IFERROR(INDEX('Équipements'!$D$5:$D$304,MATCH(D298,'Équipements'!$A$5:$A$304,0)),""))</f>
        <v/>
      </c>
      <c r="G298" s="9">
        <f>IF(D298="","",IFERROR(INDEX('Équipements'!$K$5:$K$304,MATCH(D298,'Équipements'!$A$5:$A$304,0)),""))</f>
        <v/>
      </c>
      <c r="H298" s="7" t="inlineStr">
        <is>
          <t>Réglementaire</t>
        </is>
      </c>
      <c r="I298" s="7" t="inlineStr">
        <is>
          <t>CR-001</t>
        </is>
      </c>
      <c r="J298" s="7" t="inlineStr">
        <is>
          <t>Multi-technique</t>
        </is>
      </c>
      <c r="K298" s="7" t="inlineStr">
        <is>
          <t>P2 - Haute</t>
        </is>
      </c>
      <c r="L298" s="7" t="inlineStr">
        <is>
          <t>Vérification générale périodique (VGP) appareil de levage</t>
        </is>
      </c>
      <c r="M298" s="7" t="n"/>
      <c r="N298" s="7" t="inlineStr">
        <is>
          <t>Contrôle réalisé - aucune observation</t>
        </is>
      </c>
      <c r="O298" s="7" t="inlineStr">
        <is>
          <t>Nadia Rousseau</t>
        </is>
      </c>
      <c r="P298" s="65" t="n">
        <v>45807</v>
      </c>
      <c r="Q298" s="75" t="n">
        <v>45807.40625</v>
      </c>
      <c r="R298" s="75" t="n">
        <v>45807.5</v>
      </c>
      <c r="S298" s="76" t="n">
        <v>2</v>
      </c>
      <c r="T298" s="76" t="n">
        <v>2.25</v>
      </c>
      <c r="U298" s="70">
        <f>IF($A298="","",IFERROR(INDEX('Techniciens'!$F$5:$F$44,MATCH(O298,'Techniciens'!$B$5:$B$44,0)),'Paramètres'!$AA$10))</f>
        <v/>
      </c>
      <c r="V298" s="70">
        <f>IF($A298="","",IF(OR(AC298="Demandé",AC298="Planifié",AC298="Annulé"),0,N(T298)*N(U298)))</f>
        <v/>
      </c>
      <c r="W298" s="70">
        <f>IF($A298="","",SUMIFS('Mouvements stock'!$H$5:$H$3004,'Mouvements stock'!$I$5:$I$3004,$A298,'Mouvements stock'!$C$5:$C$3004,"Sortie")-SUMIFS('Mouvements stock'!$H$5:$H$3004,'Mouvements stock'!$I$5:$I$3004,$A298,'Mouvements stock'!$C$5:$C$3004,"Retour"))</f>
        <v/>
      </c>
      <c r="X298" s="66" t="n">
        <v>0</v>
      </c>
      <c r="Y298" s="66" t="n">
        <v>270</v>
      </c>
      <c r="Z298" s="7" t="inlineStr">
        <is>
          <t>CONTROLIS (organisme fictif)</t>
        </is>
      </c>
      <c r="AA298" s="70">
        <f>IF($A298="","",N(V298)+N(W298)+N(X298)+N(Y298))</f>
        <v/>
      </c>
      <c r="AB298" s="70">
        <f>IF($A298="","",N(S298)*'Paramètres'!$AA$9*IFERROR(INDEX('Paramètres'!$O$5:$O$7,MATCH(G298,'Paramètres'!$N$5:$N$7,0)),0))</f>
        <v/>
      </c>
      <c r="AC298" s="7" t="inlineStr">
        <is>
          <t>Clôturé</t>
        </is>
      </c>
      <c r="AD298" s="69">
        <f>IF(OR($A298="",Q298=""),"",(Q298-B298)*24)</f>
        <v/>
      </c>
      <c r="AE298" s="69">
        <f>IF(OR(Q298="",R298=""),"",(R298-Q298)*24)</f>
        <v/>
      </c>
      <c r="AF298" s="77">
        <f>IF(OR($A298="",B298=""),"",YEAR(B298))</f>
        <v/>
      </c>
      <c r="AG298" s="77">
        <f>IF(OR($A298="",B298=""),"",MONTH(B298))</f>
        <v/>
      </c>
    </row>
    <row r="299">
      <c r="A299" s="7" t="inlineStr">
        <is>
          <t>OT-2025-0295</t>
        </is>
      </c>
      <c r="B299" s="75" t="n">
        <v>45786.87986111111</v>
      </c>
      <c r="C299" s="7" t="inlineStr">
        <is>
          <t>Éric Laurent (chef d'atelier)</t>
        </is>
      </c>
      <c r="D299" s="7" t="inlineStr">
        <is>
          <t>EQ-USI-002</t>
        </is>
      </c>
      <c r="E299" s="9">
        <f>IF(D299="","",IFERROR(INDEX('Équipements'!$B$5:$B$304,MATCH(D299,'Équipements'!$A$5:$A$304,0)),"Code inconnu"))</f>
        <v/>
      </c>
      <c r="F299" s="9">
        <f>IF(D299="","",IFERROR(INDEX('Équipements'!$D$5:$D$304,MATCH(D299,'Équipements'!$A$5:$A$304,0)),""))</f>
        <v/>
      </c>
      <c r="G299" s="9">
        <f>IF(D299="","",IFERROR(INDEX('Équipements'!$K$5:$K$304,MATCH(D299,'Équipements'!$A$5:$A$304,0)),""))</f>
        <v/>
      </c>
      <c r="H299" s="7" t="inlineStr">
        <is>
          <t>Correctif</t>
        </is>
      </c>
      <c r="I299" s="7" t="n"/>
      <c r="J299" s="7" t="inlineStr">
        <is>
          <t>Hydraulique</t>
        </is>
      </c>
      <c r="K299" s="7" t="inlineStr">
        <is>
          <t>P1 - Urgent</t>
        </is>
      </c>
      <c r="L299" s="7" t="inlineStr">
        <is>
          <t>Fuite d'huile hydraulique sous la table</t>
        </is>
      </c>
      <c r="M299" s="7" t="inlineStr">
        <is>
          <t>Fuite</t>
        </is>
      </c>
      <c r="N299" s="7" t="inlineStr">
        <is>
          <t>Remplacement flexible et joints, appoint huile</t>
        </is>
      </c>
      <c r="O299" s="7" t="inlineStr">
        <is>
          <t>Karim Benali</t>
        </is>
      </c>
      <c r="P299" s="65" t="n"/>
      <c r="Q299" s="75" t="n">
        <v>45786.90972222222</v>
      </c>
      <c r="R299" s="75" t="n">
        <v>45787.88927600077</v>
      </c>
      <c r="S299" s="76" t="n">
        <v>14.1</v>
      </c>
      <c r="T299" s="76" t="n">
        <v>3.25</v>
      </c>
      <c r="U299" s="70">
        <f>IF($A299="","",IFERROR(INDEX('Techniciens'!$F$5:$F$44,MATCH(O299,'Techniciens'!$B$5:$B$44,0)),'Paramètres'!$AA$10))</f>
        <v/>
      </c>
      <c r="V299" s="70">
        <f>IF($A299="","",IF(OR(AC299="Demandé",AC299="Planifié",AC299="Annulé"),0,N(T299)*N(U299)))</f>
        <v/>
      </c>
      <c r="W299" s="70">
        <f>IF($A299="","",SUMIFS('Mouvements stock'!$H$5:$H$3004,'Mouvements stock'!$I$5:$I$3004,$A299,'Mouvements stock'!$C$5:$C$3004,"Sortie")-SUMIFS('Mouvements stock'!$H$5:$H$3004,'Mouvements stock'!$I$5:$I$3004,$A299,'Mouvements stock'!$C$5:$C$3004,"Retour"))</f>
        <v/>
      </c>
      <c r="X299" s="66" t="n">
        <v>0</v>
      </c>
      <c r="Y299" s="66" t="n">
        <v>0</v>
      </c>
      <c r="Z299" s="7" t="n"/>
      <c r="AA299" s="70">
        <f>IF($A299="","",N(V299)+N(W299)+N(X299)+N(Y299))</f>
        <v/>
      </c>
      <c r="AB299" s="70">
        <f>IF($A299="","",N(S299)*'Paramètres'!$AA$9*IFERROR(INDEX('Paramètres'!$O$5:$O$7,MATCH(G299,'Paramètres'!$N$5:$N$7,0)),0))</f>
        <v/>
      </c>
      <c r="AC299" s="7" t="inlineStr">
        <is>
          <t>Clôturé</t>
        </is>
      </c>
      <c r="AD299" s="69">
        <f>IF(OR($A299="",Q299=""),"",(Q299-B299)*24)</f>
        <v/>
      </c>
      <c r="AE299" s="69">
        <f>IF(OR(Q299="",R299=""),"",(R299-Q299)*24)</f>
        <v/>
      </c>
      <c r="AF299" s="77">
        <f>IF(OR($A299="",B299=""),"",YEAR(B299))</f>
        <v/>
      </c>
      <c r="AG299" s="77">
        <f>IF(OR($A299="",B299=""),"",MONTH(B299))</f>
        <v/>
      </c>
    </row>
    <row r="300">
      <c r="A300" s="7" t="inlineStr">
        <is>
          <t>OT-2025-0296</t>
        </is>
      </c>
      <c r="B300" s="75" t="n">
        <v>45787.5</v>
      </c>
      <c r="C300" s="7" t="inlineStr">
        <is>
          <t>Céline Morel (cheffe d'atelier)</t>
        </is>
      </c>
      <c r="D300" s="7" t="inlineStr">
        <is>
          <t>EQ-TOL-001</t>
        </is>
      </c>
      <c r="E300" s="9">
        <f>IF(D300="","",IFERROR(INDEX('Équipements'!$B$5:$B$304,MATCH(D300,'Équipements'!$A$5:$A$304,0)),"Code inconnu"))</f>
        <v/>
      </c>
      <c r="F300" s="9">
        <f>IF(D300="","",IFERROR(INDEX('Équipements'!$D$5:$D$304,MATCH(D300,'Équipements'!$A$5:$A$304,0)),""))</f>
        <v/>
      </c>
      <c r="G300" s="9">
        <f>IF(D300="","",IFERROR(INDEX('Équipements'!$K$5:$K$304,MATCH(D300,'Équipements'!$A$5:$A$304,0)),""))</f>
        <v/>
      </c>
      <c r="H300" s="7" t="inlineStr">
        <is>
          <t>Correctif</t>
        </is>
      </c>
      <c r="I300" s="7" t="n"/>
      <c r="J300" s="7" t="inlineStr">
        <is>
          <t>Mécanique</t>
        </is>
      </c>
      <c r="K300" s="7" t="inlineStr">
        <is>
          <t>P1 - Urgent</t>
        </is>
      </c>
      <c r="L300" s="7" t="inlineStr">
        <is>
          <t>Défaut changeur de palettes</t>
        </is>
      </c>
      <c r="M300" s="7" t="inlineStr">
        <is>
          <t>Usure</t>
        </is>
      </c>
      <c r="N300" s="7" t="inlineStr">
        <is>
          <t>Remplacement détecteur et réglage chaîne</t>
        </is>
      </c>
      <c r="O300" s="7" t="inlineStr">
        <is>
          <t>Antoine Mercier</t>
        </is>
      </c>
      <c r="P300" s="65" t="n"/>
      <c r="Q300" s="75" t="n">
        <v>45787.52013888889</v>
      </c>
      <c r="R300" s="75" t="n">
        <v>45787.79097222222</v>
      </c>
      <c r="S300" s="76" t="n">
        <v>7</v>
      </c>
      <c r="T300" s="76" t="n">
        <v>6.5</v>
      </c>
      <c r="U300" s="70">
        <f>IF($A300="","",IFERROR(INDEX('Techniciens'!$F$5:$F$44,MATCH(O300,'Techniciens'!$B$5:$B$44,0)),'Paramètres'!$AA$10))</f>
        <v/>
      </c>
      <c r="V300" s="70">
        <f>IF($A300="","",IF(OR(AC300="Demandé",AC300="Planifié",AC300="Annulé"),0,N(T300)*N(U300)))</f>
        <v/>
      </c>
      <c r="W300" s="70">
        <f>IF($A300="","",SUMIFS('Mouvements stock'!$H$5:$H$3004,'Mouvements stock'!$I$5:$I$3004,$A300,'Mouvements stock'!$C$5:$C$3004,"Sortie")-SUMIFS('Mouvements stock'!$H$5:$H$3004,'Mouvements stock'!$I$5:$I$3004,$A300,'Mouvements stock'!$C$5:$C$3004,"Retour"))</f>
        <v/>
      </c>
      <c r="X300" s="66" t="n">
        <v>0</v>
      </c>
      <c r="Y300" s="66" t="n">
        <v>0</v>
      </c>
      <c r="Z300" s="7" t="n"/>
      <c r="AA300" s="70">
        <f>IF($A300="","",N(V300)+N(W300)+N(X300)+N(Y300))</f>
        <v/>
      </c>
      <c r="AB300" s="70">
        <f>IF($A300="","",N(S300)*'Paramètres'!$AA$9*IFERROR(INDEX('Paramètres'!$O$5:$O$7,MATCH(G300,'Paramètres'!$N$5:$N$7,0)),0))</f>
        <v/>
      </c>
      <c r="AC300" s="7" t="inlineStr">
        <is>
          <t>Clôturé</t>
        </is>
      </c>
      <c r="AD300" s="69">
        <f>IF(OR($A300="",Q300=""),"",(Q300-B300)*24)</f>
        <v/>
      </c>
      <c r="AE300" s="69">
        <f>IF(OR(Q300="",R300=""),"",(R300-Q300)*24)</f>
        <v/>
      </c>
      <c r="AF300" s="77">
        <f>IF(OR($A300="",B300=""),"",YEAR(B300))</f>
        <v/>
      </c>
      <c r="AG300" s="77">
        <f>IF(OR($A300="",B300=""),"",MONTH(B300))</f>
        <v/>
      </c>
    </row>
    <row r="301">
      <c r="A301" s="7" t="inlineStr">
        <is>
          <t>OT-2025-0297</t>
        </is>
      </c>
      <c r="B301" s="75" t="n">
        <v>45787.72777777778</v>
      </c>
      <c r="C301" s="7" t="inlineStr">
        <is>
          <t>Opérateur tôlerie</t>
        </is>
      </c>
      <c r="D301" s="7" t="inlineStr">
        <is>
          <t>EQ-TOL-002</t>
        </is>
      </c>
      <c r="E301" s="9">
        <f>IF(D301="","",IFERROR(INDEX('Équipements'!$B$5:$B$304,MATCH(D301,'Équipements'!$A$5:$A$304,0)),"Code inconnu"))</f>
        <v/>
      </c>
      <c r="F301" s="9">
        <f>IF(D301="","",IFERROR(INDEX('Équipements'!$D$5:$D$304,MATCH(D301,'Équipements'!$A$5:$A$304,0)),""))</f>
        <v/>
      </c>
      <c r="G301" s="9">
        <f>IF(D301="","",IFERROR(INDEX('Équipements'!$K$5:$K$304,MATCH(D301,'Équipements'!$A$5:$A$304,0)),""))</f>
        <v/>
      </c>
      <c r="H301" s="7" t="inlineStr">
        <is>
          <t>Correctif</t>
        </is>
      </c>
      <c r="I301" s="7" t="n"/>
      <c r="J301" s="7" t="inlineStr">
        <is>
          <t>Hydraulique</t>
        </is>
      </c>
      <c r="K301" s="7" t="inlineStr">
        <is>
          <t>P1 - Urgent</t>
        </is>
      </c>
      <c r="L301" s="7" t="inlineStr">
        <is>
          <t>Montée en température huile hydraulique</t>
        </is>
      </c>
      <c r="M301" s="7" t="inlineStr">
        <is>
          <t>Encrassement</t>
        </is>
      </c>
      <c r="N301" s="7" t="inlineStr">
        <is>
          <t>Nettoyage échangeur, remplacement filtre</t>
        </is>
      </c>
      <c r="O301" s="7" t="inlineStr">
        <is>
          <t>Karim Benali</t>
        </is>
      </c>
      <c r="P301" s="65" t="n"/>
      <c r="Q301" s="75" t="n">
        <v>45787.75972222222</v>
      </c>
      <c r="R301" s="75" t="n">
        <v>45787.83263888889</v>
      </c>
      <c r="S301" s="76" t="n">
        <v>2.5</v>
      </c>
      <c r="T301" s="76" t="n">
        <v>1.75</v>
      </c>
      <c r="U301" s="70">
        <f>IF($A301="","",IFERROR(INDEX('Techniciens'!$F$5:$F$44,MATCH(O301,'Techniciens'!$B$5:$B$44,0)),'Paramètres'!$AA$10))</f>
        <v/>
      </c>
      <c r="V301" s="70">
        <f>IF($A301="","",IF(OR(AC301="Demandé",AC301="Planifié",AC301="Annulé"),0,N(T301)*N(U301)))</f>
        <v/>
      </c>
      <c r="W301" s="70">
        <f>IF($A301="","",SUMIFS('Mouvements stock'!$H$5:$H$3004,'Mouvements stock'!$I$5:$I$3004,$A301,'Mouvements stock'!$C$5:$C$3004,"Sortie")-SUMIFS('Mouvements stock'!$H$5:$H$3004,'Mouvements stock'!$I$5:$I$3004,$A301,'Mouvements stock'!$C$5:$C$3004,"Retour"))</f>
        <v/>
      </c>
      <c r="X301" s="66" t="n">
        <v>0</v>
      </c>
      <c r="Y301" s="66" t="n">
        <v>0</v>
      </c>
      <c r="Z301" s="7" t="n"/>
      <c r="AA301" s="70">
        <f>IF($A301="","",N(V301)+N(W301)+N(X301)+N(Y301))</f>
        <v/>
      </c>
      <c r="AB301" s="70">
        <f>IF($A301="","",N(S301)*'Paramètres'!$AA$9*IFERROR(INDEX('Paramètres'!$O$5:$O$7,MATCH(G301,'Paramètres'!$N$5:$N$7,0)),0))</f>
        <v/>
      </c>
      <c r="AC301" s="7" t="inlineStr">
        <is>
          <t>Clôturé</t>
        </is>
      </c>
      <c r="AD301" s="69">
        <f>IF(OR($A301="",Q301=""),"",(Q301-B301)*24)</f>
        <v/>
      </c>
      <c r="AE301" s="69">
        <f>IF(OR(Q301="",R301=""),"",(R301-Q301)*24)</f>
        <v/>
      </c>
      <c r="AF301" s="77">
        <f>IF(OR($A301="",B301=""),"",YEAR(B301))</f>
        <v/>
      </c>
      <c r="AG301" s="77">
        <f>IF(OR($A301="",B301=""),"",MONTH(B301))</f>
        <v/>
      </c>
    </row>
    <row r="302">
      <c r="A302" s="7" t="inlineStr">
        <is>
          <t>OT-2025-0298</t>
        </is>
      </c>
      <c r="B302" s="75" t="n">
        <v>45789.23472222222</v>
      </c>
      <c r="C302" s="7" t="inlineStr">
        <is>
          <t>Paul Roux (chef d'atelier)</t>
        </is>
      </c>
      <c r="D302" s="7" t="inlineStr">
        <is>
          <t>EQ-ASS-004</t>
        </is>
      </c>
      <c r="E302" s="9">
        <f>IF(D302="","",IFERROR(INDEX('Équipements'!$B$5:$B$304,MATCH(D302,'Équipements'!$A$5:$A$304,0)),"Code inconnu"))</f>
        <v/>
      </c>
      <c r="F302" s="9">
        <f>IF(D302="","",IFERROR(INDEX('Équipements'!$D$5:$D$304,MATCH(D302,'Équipements'!$A$5:$A$304,0)),""))</f>
        <v/>
      </c>
      <c r="G302" s="9">
        <f>IF(D302="","",IFERROR(INDEX('Équipements'!$K$5:$K$304,MATCH(D302,'Équipements'!$A$5:$A$304,0)),""))</f>
        <v/>
      </c>
      <c r="H302" s="7" t="inlineStr">
        <is>
          <t>Correctif</t>
        </is>
      </c>
      <c r="I302" s="7" t="n"/>
      <c r="J302" s="7" t="inlineStr">
        <is>
          <t>Automatisme</t>
        </is>
      </c>
      <c r="K302" s="7" t="inlineStr">
        <is>
          <t>P3 - Normale</t>
        </is>
      </c>
      <c r="L302" s="7" t="inlineStr">
        <is>
          <t>Blocage logiciel de mesure</t>
        </is>
      </c>
      <c r="M302" s="7" t="inlineStr">
        <is>
          <t>Défaut logiciel/automate</t>
        </is>
      </c>
      <c r="N302" s="7" t="inlineStr">
        <is>
          <t>Réinstallation logiciel, sauvegarde programmes</t>
        </is>
      </c>
      <c r="O302" s="7" t="inlineStr">
        <is>
          <t>Sophie Garnier</t>
        </is>
      </c>
      <c r="P302" s="65" t="n"/>
      <c r="Q302" s="75" t="n">
        <v>45790.58611111111</v>
      </c>
      <c r="R302" s="75" t="n">
        <v>45791.78446141475</v>
      </c>
      <c r="S302" s="76" t="n">
        <v>3.2</v>
      </c>
      <c r="T302" s="76" t="n">
        <v>3.25</v>
      </c>
      <c r="U302" s="70">
        <f>IF($A302="","",IFERROR(INDEX('Techniciens'!$F$5:$F$44,MATCH(O302,'Techniciens'!$B$5:$B$44,0)),'Paramètres'!$AA$10))</f>
        <v/>
      </c>
      <c r="V302" s="70">
        <f>IF($A302="","",IF(OR(AC302="Demandé",AC302="Planifié",AC302="Annulé"),0,N(T302)*N(U302)))</f>
        <v/>
      </c>
      <c r="W302" s="70">
        <f>IF($A302="","",SUMIFS('Mouvements stock'!$H$5:$H$3004,'Mouvements stock'!$I$5:$I$3004,$A302,'Mouvements stock'!$C$5:$C$3004,"Sortie")-SUMIFS('Mouvements stock'!$H$5:$H$3004,'Mouvements stock'!$I$5:$I$3004,$A302,'Mouvements stock'!$C$5:$C$3004,"Retour"))</f>
        <v/>
      </c>
      <c r="X302" s="66" t="n">
        <v>0</v>
      </c>
      <c r="Y302" s="66" t="n">
        <v>0</v>
      </c>
      <c r="Z302" s="7" t="n"/>
      <c r="AA302" s="70">
        <f>IF($A302="","",N(V302)+N(W302)+N(X302)+N(Y302))</f>
        <v/>
      </c>
      <c r="AB302" s="70">
        <f>IF($A302="","",N(S302)*'Paramètres'!$AA$9*IFERROR(INDEX('Paramètres'!$O$5:$O$7,MATCH(G302,'Paramètres'!$N$5:$N$7,0)),0))</f>
        <v/>
      </c>
      <c r="AC302" s="7" t="inlineStr">
        <is>
          <t>Clôturé</t>
        </is>
      </c>
      <c r="AD302" s="69">
        <f>IF(OR($A302="",Q302=""),"",(Q302-B302)*24)</f>
        <v/>
      </c>
      <c r="AE302" s="69">
        <f>IF(OR(Q302="",R302=""),"",(R302-Q302)*24)</f>
        <v/>
      </c>
      <c r="AF302" s="77">
        <f>IF(OR($A302="",B302=""),"",YEAR(B302))</f>
        <v/>
      </c>
      <c r="AG302" s="77">
        <f>IF(OR($A302="",B302=""),"",MONTH(B302))</f>
        <v/>
      </c>
    </row>
    <row r="303">
      <c r="A303" s="7" t="inlineStr">
        <is>
          <t>OT-2025-0299</t>
        </is>
      </c>
      <c r="B303" s="75" t="n">
        <v>45789.34027777778</v>
      </c>
      <c r="C303" s="7" t="inlineStr">
        <is>
          <t>Plan préventif</t>
        </is>
      </c>
      <c r="D303" s="7" t="inlineStr">
        <is>
          <t>EQ-PEI-004</t>
        </is>
      </c>
      <c r="E303" s="9">
        <f>IF(D303="","",IFERROR(INDEX('Équipements'!$B$5:$B$304,MATCH(D303,'Équipements'!$A$5:$A$304,0)),"Code inconnu"))</f>
        <v/>
      </c>
      <c r="F303" s="9">
        <f>IF(D303="","",IFERROR(INDEX('Équipements'!$D$5:$D$304,MATCH(D303,'Équipements'!$A$5:$A$304,0)),""))</f>
        <v/>
      </c>
      <c r="G303" s="9">
        <f>IF(D303="","",IFERROR(INDEX('Équipements'!$K$5:$K$304,MATCH(D303,'Équipements'!$A$5:$A$304,0)),""))</f>
        <v/>
      </c>
      <c r="H303" s="7" t="inlineStr">
        <is>
          <t>Préventif systématique</t>
        </is>
      </c>
      <c r="I303" s="7" t="inlineStr">
        <is>
          <t>GP-072</t>
        </is>
      </c>
      <c r="J303" s="7" t="inlineStr">
        <is>
          <t>Mécanique</t>
        </is>
      </c>
      <c r="K303" s="7" t="inlineStr">
        <is>
          <t>P3 - Normale</t>
        </is>
      </c>
      <c r="L303" s="7" t="inlineStr">
        <is>
          <t>Graissage chaîne / galets et contrôle tension</t>
        </is>
      </c>
      <c r="M303" s="7" t="n"/>
      <c r="N303" s="7" t="inlineStr">
        <is>
          <t>Gamme réalisée - RAS</t>
        </is>
      </c>
      <c r="O303" s="7" t="inlineStr">
        <is>
          <t>Karim Benali</t>
        </is>
      </c>
      <c r="P303" s="65" t="n">
        <v>45796.50347222222</v>
      </c>
      <c r="Q303" s="75" t="n">
        <v>45796.42708333334</v>
      </c>
      <c r="R303" s="75" t="n">
        <v>45796.51041666666</v>
      </c>
      <c r="S303" s="76" t="n">
        <v>0</v>
      </c>
      <c r="T303" s="76" t="n">
        <v>2</v>
      </c>
      <c r="U303" s="70">
        <f>IF($A303="","",IFERROR(INDEX('Techniciens'!$F$5:$F$44,MATCH(O303,'Techniciens'!$B$5:$B$44,0)),'Paramètres'!$AA$10))</f>
        <v/>
      </c>
      <c r="V303" s="70">
        <f>IF($A303="","",IF(OR(AC303="Demandé",AC303="Planifié",AC303="Annulé"),0,N(T303)*N(U303)))</f>
        <v/>
      </c>
      <c r="W303" s="70">
        <f>IF($A303="","",SUMIFS('Mouvements stock'!$H$5:$H$3004,'Mouvements stock'!$I$5:$I$3004,$A303,'Mouvements stock'!$C$5:$C$3004,"Sortie")-SUMIFS('Mouvements stock'!$H$5:$H$3004,'Mouvements stock'!$I$5:$I$3004,$A303,'Mouvements stock'!$C$5:$C$3004,"Retour"))</f>
        <v/>
      </c>
      <c r="X303" s="66" t="n">
        <v>0</v>
      </c>
      <c r="Y303" s="66" t="n">
        <v>0</v>
      </c>
      <c r="Z303" s="7" t="n"/>
      <c r="AA303" s="70">
        <f>IF($A303="","",N(V303)+N(W303)+N(X303)+N(Y303))</f>
        <v/>
      </c>
      <c r="AB303" s="70">
        <f>IF($A303="","",N(S303)*'Paramètres'!$AA$9*IFERROR(INDEX('Paramètres'!$O$5:$O$7,MATCH(G303,'Paramètres'!$N$5:$N$7,0)),0))</f>
        <v/>
      </c>
      <c r="AC303" s="7" t="inlineStr">
        <is>
          <t>Clôturé</t>
        </is>
      </c>
      <c r="AD303" s="69">
        <f>IF(OR($A303="",Q303=""),"",(Q303-B303)*24)</f>
        <v/>
      </c>
      <c r="AE303" s="69">
        <f>IF(OR(Q303="",R303=""),"",(R303-Q303)*24)</f>
        <v/>
      </c>
      <c r="AF303" s="77">
        <f>IF(OR($A303="",B303=""),"",YEAR(B303))</f>
        <v/>
      </c>
      <c r="AG303" s="77">
        <f>IF(OR($A303="",B303=""),"",MONTH(B303))</f>
        <v/>
      </c>
    </row>
    <row r="304">
      <c r="A304" s="7" t="inlineStr">
        <is>
          <t>OT-2025-0300</t>
        </is>
      </c>
      <c r="B304" s="75" t="n">
        <v>45789.36458333334</v>
      </c>
      <c r="C304" s="7" t="inlineStr">
        <is>
          <t>Planning réglementaire</t>
        </is>
      </c>
      <c r="D304" s="7" t="inlineStr">
        <is>
          <t>EQ-TOL-003</t>
        </is>
      </c>
      <c r="E304" s="9">
        <f>IF(D304="","",IFERROR(INDEX('Équipements'!$B$5:$B$304,MATCH(D304,'Équipements'!$A$5:$A$304,0)),"Code inconnu"))</f>
        <v/>
      </c>
      <c r="F304" s="9">
        <f>IF(D304="","",IFERROR(INDEX('Équipements'!$D$5:$D$304,MATCH(D304,'Équipements'!$A$5:$A$304,0)),""))</f>
        <v/>
      </c>
      <c r="G304" s="9">
        <f>IF(D304="","",IFERROR(INDEX('Équipements'!$K$5:$K$304,MATCH(D304,'Équipements'!$A$5:$A$304,0)),""))</f>
        <v/>
      </c>
      <c r="H304" s="7" t="inlineStr">
        <is>
          <t>Réglementaire</t>
        </is>
      </c>
      <c r="I304" s="7" t="inlineStr">
        <is>
          <t>CR-011</t>
        </is>
      </c>
      <c r="J304" s="7" t="inlineStr">
        <is>
          <t>Multi-technique</t>
        </is>
      </c>
      <c r="K304" s="7" t="inlineStr">
        <is>
          <t>P2 - Haute</t>
        </is>
      </c>
      <c r="L304" s="7" t="inlineStr">
        <is>
          <t>Vérification périodique presse plieuse</t>
        </is>
      </c>
      <c r="M304" s="7" t="n"/>
      <c r="N304" s="7" t="inlineStr">
        <is>
          <t>Contrôle réalisé - observations mineures au rapport</t>
        </is>
      </c>
      <c r="O304" s="7" t="inlineStr">
        <is>
          <t>Marc Lefèvre</t>
        </is>
      </c>
      <c r="P304" s="65" t="n">
        <v>45810</v>
      </c>
      <c r="Q304" s="75" t="n">
        <v>45810.53472222222</v>
      </c>
      <c r="R304" s="75" t="n">
        <v>45810.64930555555</v>
      </c>
      <c r="S304" s="76" t="n">
        <v>1</v>
      </c>
      <c r="T304" s="76" t="n">
        <v>2.75</v>
      </c>
      <c r="U304" s="70">
        <f>IF($A304="","",IFERROR(INDEX('Techniciens'!$F$5:$F$44,MATCH(O304,'Techniciens'!$B$5:$B$44,0)),'Paramètres'!$AA$10))</f>
        <v/>
      </c>
      <c r="V304" s="70">
        <f>IF($A304="","",IF(OR(AC304="Demandé",AC304="Planifié",AC304="Annulé"),0,N(T304)*N(U304)))</f>
        <v/>
      </c>
      <c r="W304" s="70">
        <f>IF($A304="","",SUMIFS('Mouvements stock'!$H$5:$H$3004,'Mouvements stock'!$I$5:$I$3004,$A304,'Mouvements stock'!$C$5:$C$3004,"Sortie")-SUMIFS('Mouvements stock'!$H$5:$H$3004,'Mouvements stock'!$I$5:$I$3004,$A304,'Mouvements stock'!$C$5:$C$3004,"Retour"))</f>
        <v/>
      </c>
      <c r="X304" s="66" t="n">
        <v>0</v>
      </c>
      <c r="Y304" s="66" t="n">
        <v>210</v>
      </c>
      <c r="Z304" s="7" t="inlineStr">
        <is>
          <t>CONTROLIS (organisme fictif)</t>
        </is>
      </c>
      <c r="AA304" s="70">
        <f>IF($A304="","",N(V304)+N(W304)+N(X304)+N(Y304))</f>
        <v/>
      </c>
      <c r="AB304" s="70">
        <f>IF($A304="","",N(S304)*'Paramètres'!$AA$9*IFERROR(INDEX('Paramètres'!$O$5:$O$7,MATCH(G304,'Paramètres'!$N$5:$N$7,0)),0))</f>
        <v/>
      </c>
      <c r="AC304" s="7" t="inlineStr">
        <is>
          <t>Clôturé</t>
        </is>
      </c>
      <c r="AD304" s="69">
        <f>IF(OR($A304="",Q304=""),"",(Q304-B304)*24)</f>
        <v/>
      </c>
      <c r="AE304" s="69">
        <f>IF(OR(Q304="",R304=""),"",(R304-Q304)*24)</f>
        <v/>
      </c>
      <c r="AF304" s="77">
        <f>IF(OR($A304="",B304=""),"",YEAR(B304))</f>
        <v/>
      </c>
      <c r="AG304" s="77">
        <f>IF(OR($A304="",B304=""),"",MONTH(B304))</f>
        <v/>
      </c>
    </row>
    <row r="305">
      <c r="A305" s="7" t="inlineStr">
        <is>
          <t>OT-2025-0301</t>
        </is>
      </c>
      <c r="B305" s="75" t="n">
        <v>45789.36805555555</v>
      </c>
      <c r="C305" s="7" t="inlineStr">
        <is>
          <t>Plan préventif</t>
        </is>
      </c>
      <c r="D305" s="7" t="inlineStr">
        <is>
          <t>EQ-USI-004</t>
        </is>
      </c>
      <c r="E305" s="9">
        <f>IF(D305="","",IFERROR(INDEX('Équipements'!$B$5:$B$304,MATCH(D305,'Équipements'!$A$5:$A$304,0)),"Code inconnu"))</f>
        <v/>
      </c>
      <c r="F305" s="9">
        <f>IF(D305="","",IFERROR(INDEX('Équipements'!$D$5:$D$304,MATCH(D305,'Équipements'!$A$5:$A$304,0)),""))</f>
        <v/>
      </c>
      <c r="G305" s="9">
        <f>IF(D305="","",IFERROR(INDEX('Équipements'!$K$5:$K$304,MATCH(D305,'Équipements'!$A$5:$A$304,0)),""))</f>
        <v/>
      </c>
      <c r="H305" s="7" t="inlineStr">
        <is>
          <t>Préventif systématique</t>
        </is>
      </c>
      <c r="I305" s="7" t="inlineStr">
        <is>
          <t>GP-013</t>
        </is>
      </c>
      <c r="J305" s="7" t="inlineStr">
        <is>
          <t>Mécanique</t>
        </is>
      </c>
      <c r="K305" s="7" t="inlineStr">
        <is>
          <t>P3 - Normale</t>
        </is>
      </c>
      <c r="L305" s="7" t="inlineStr">
        <is>
          <t>Contrôle niveaux, nettoyage filtres et bac à copeaux</t>
        </is>
      </c>
      <c r="M305" s="7" t="n"/>
      <c r="N305" s="7" t="inlineStr">
        <is>
          <t>Gamme réalisée - RAS</t>
        </is>
      </c>
      <c r="O305" s="7" t="inlineStr">
        <is>
          <t>Lucas Fontaine</t>
        </is>
      </c>
      <c r="P305" s="65" t="n">
        <v>45796.30208333334</v>
      </c>
      <c r="Q305" s="75" t="n">
        <v>45796.27083333334</v>
      </c>
      <c r="R305" s="75" t="n">
        <v>45796.35416666666</v>
      </c>
      <c r="S305" s="76" t="n">
        <v>0</v>
      </c>
      <c r="T305" s="76" t="n">
        <v>2</v>
      </c>
      <c r="U305" s="70">
        <f>IF($A305="","",IFERROR(INDEX('Techniciens'!$F$5:$F$44,MATCH(O305,'Techniciens'!$B$5:$B$44,0)),'Paramètres'!$AA$10))</f>
        <v/>
      </c>
      <c r="V305" s="70">
        <f>IF($A305="","",IF(OR(AC305="Demandé",AC305="Planifié",AC305="Annulé"),0,N(T305)*N(U305)))</f>
        <v/>
      </c>
      <c r="W305" s="70">
        <f>IF($A305="","",SUMIFS('Mouvements stock'!$H$5:$H$3004,'Mouvements stock'!$I$5:$I$3004,$A305,'Mouvements stock'!$C$5:$C$3004,"Sortie")-SUMIFS('Mouvements stock'!$H$5:$H$3004,'Mouvements stock'!$I$5:$I$3004,$A305,'Mouvements stock'!$C$5:$C$3004,"Retour"))</f>
        <v/>
      </c>
      <c r="X305" s="66" t="n">
        <v>0</v>
      </c>
      <c r="Y305" s="66" t="n">
        <v>0</v>
      </c>
      <c r="Z305" s="7" t="n"/>
      <c r="AA305" s="70">
        <f>IF($A305="","",N(V305)+N(W305)+N(X305)+N(Y305))</f>
        <v/>
      </c>
      <c r="AB305" s="70">
        <f>IF($A305="","",N(S305)*'Paramètres'!$AA$9*IFERROR(INDEX('Paramètres'!$O$5:$O$7,MATCH(G305,'Paramètres'!$N$5:$N$7,0)),0))</f>
        <v/>
      </c>
      <c r="AC305" s="7" t="inlineStr">
        <is>
          <t>Clôturé</t>
        </is>
      </c>
      <c r="AD305" s="69">
        <f>IF(OR($A305="",Q305=""),"",(Q305-B305)*24)</f>
        <v/>
      </c>
      <c r="AE305" s="69">
        <f>IF(OR(Q305="",R305=""),"",(R305-Q305)*24)</f>
        <v/>
      </c>
      <c r="AF305" s="77">
        <f>IF(OR($A305="",B305=""),"",YEAR(B305))</f>
        <v/>
      </c>
      <c r="AG305" s="77">
        <f>IF(OR($A305="",B305=""),"",MONTH(B305))</f>
        <v/>
      </c>
    </row>
    <row r="306">
      <c r="A306" s="7" t="inlineStr">
        <is>
          <t>OT-2025-0302</t>
        </is>
      </c>
      <c r="B306" s="75" t="n">
        <v>45789.40277777778</v>
      </c>
      <c r="C306" s="7" t="inlineStr">
        <is>
          <t>Plan préventif</t>
        </is>
      </c>
      <c r="D306" s="7" t="inlineStr">
        <is>
          <t>EQ-USI-002</t>
        </is>
      </c>
      <c r="E306" s="9">
        <f>IF(D306="","",IFERROR(INDEX('Équipements'!$B$5:$B$304,MATCH(D306,'Équipements'!$A$5:$A$304,0)),"Code inconnu"))</f>
        <v/>
      </c>
      <c r="F306" s="9">
        <f>IF(D306="","",IFERROR(INDEX('Équipements'!$D$5:$D$304,MATCH(D306,'Équipements'!$A$5:$A$304,0)),""))</f>
        <v/>
      </c>
      <c r="G306" s="9">
        <f>IF(D306="","",IFERROR(INDEX('Équipements'!$K$5:$K$304,MATCH(D306,'Équipements'!$A$5:$A$304,0)),""))</f>
        <v/>
      </c>
      <c r="H306" s="7" t="inlineStr">
        <is>
          <t>Préventif systématique</t>
        </is>
      </c>
      <c r="I306" s="7" t="inlineStr">
        <is>
          <t>GP-005</t>
        </is>
      </c>
      <c r="J306" s="7" t="inlineStr">
        <is>
          <t>Mécanique</t>
        </is>
      </c>
      <c r="K306" s="7" t="inlineStr">
        <is>
          <t>P3 - Normale</t>
        </is>
      </c>
      <c r="L306" s="7" t="inlineStr">
        <is>
          <t>Contrôle niveaux, nettoyage filtres et bac à copeaux</t>
        </is>
      </c>
      <c r="M306" s="7" t="n"/>
      <c r="N306" s="7" t="inlineStr">
        <is>
          <t>Gamme réalisée - RAS</t>
        </is>
      </c>
      <c r="O306" s="7" t="inlineStr">
        <is>
          <t>Antoine Mercier</t>
        </is>
      </c>
      <c r="P306" s="65" t="n">
        <v>45796.32291666666</v>
      </c>
      <c r="Q306" s="75" t="n">
        <v>45796.25</v>
      </c>
      <c r="R306" s="75" t="n">
        <v>45796.30208333334</v>
      </c>
      <c r="S306" s="76" t="n">
        <v>0</v>
      </c>
      <c r="T306" s="76" t="n">
        <v>1.25</v>
      </c>
      <c r="U306" s="70">
        <f>IF($A306="","",IFERROR(INDEX('Techniciens'!$F$5:$F$44,MATCH(O306,'Techniciens'!$B$5:$B$44,0)),'Paramètres'!$AA$10))</f>
        <v/>
      </c>
      <c r="V306" s="70">
        <f>IF($A306="","",IF(OR(AC306="Demandé",AC306="Planifié",AC306="Annulé"),0,N(T306)*N(U306)))</f>
        <v/>
      </c>
      <c r="W306" s="70">
        <f>IF($A306="","",SUMIFS('Mouvements stock'!$H$5:$H$3004,'Mouvements stock'!$I$5:$I$3004,$A306,'Mouvements stock'!$C$5:$C$3004,"Sortie")-SUMIFS('Mouvements stock'!$H$5:$H$3004,'Mouvements stock'!$I$5:$I$3004,$A306,'Mouvements stock'!$C$5:$C$3004,"Retour"))</f>
        <v/>
      </c>
      <c r="X306" s="66" t="n">
        <v>0</v>
      </c>
      <c r="Y306" s="66" t="n">
        <v>0</v>
      </c>
      <c r="Z306" s="7" t="n"/>
      <c r="AA306" s="70">
        <f>IF($A306="","",N(V306)+N(W306)+N(X306)+N(Y306))</f>
        <v/>
      </c>
      <c r="AB306" s="70">
        <f>IF($A306="","",N(S306)*'Paramètres'!$AA$9*IFERROR(INDEX('Paramètres'!$O$5:$O$7,MATCH(G306,'Paramètres'!$N$5:$N$7,0)),0))</f>
        <v/>
      </c>
      <c r="AC306" s="7" t="inlineStr">
        <is>
          <t>Clôturé</t>
        </is>
      </c>
      <c r="AD306" s="69">
        <f>IF(OR($A306="",Q306=""),"",(Q306-B306)*24)</f>
        <v/>
      </c>
      <c r="AE306" s="69">
        <f>IF(OR(Q306="",R306=""),"",(R306-Q306)*24)</f>
        <v/>
      </c>
      <c r="AF306" s="77">
        <f>IF(OR($A306="",B306=""),"",YEAR(B306))</f>
        <v/>
      </c>
      <c r="AG306" s="77">
        <f>IF(OR($A306="",B306=""),"",MONTH(B306))</f>
        <v/>
      </c>
    </row>
    <row r="307">
      <c r="A307" s="7" t="inlineStr">
        <is>
          <t>OT-2025-0303</t>
        </is>
      </c>
      <c r="B307" s="75" t="n">
        <v>45789.40625</v>
      </c>
      <c r="C307" s="7" t="inlineStr">
        <is>
          <t>Plan préventif</t>
        </is>
      </c>
      <c r="D307" s="7" t="inlineStr">
        <is>
          <t>EQ-ASS-001</t>
        </is>
      </c>
      <c r="E307" s="9">
        <f>IF(D307="","",IFERROR(INDEX('Équipements'!$B$5:$B$304,MATCH(D307,'Équipements'!$A$5:$A$304,0)),"Code inconnu"))</f>
        <v/>
      </c>
      <c r="F307" s="9">
        <f>IF(D307="","",IFERROR(INDEX('Équipements'!$D$5:$D$304,MATCH(D307,'Équipements'!$A$5:$A$304,0)),""))</f>
        <v/>
      </c>
      <c r="G307" s="9">
        <f>IF(D307="","",IFERROR(INDEX('Équipements'!$K$5:$K$304,MATCH(D307,'Équipements'!$A$5:$A$304,0)),""))</f>
        <v/>
      </c>
      <c r="H307" s="7" t="inlineStr">
        <is>
          <t>Préventif systématique</t>
        </is>
      </c>
      <c r="I307" s="7" t="inlineStr">
        <is>
          <t>GP-077</t>
        </is>
      </c>
      <c r="J307" s="7" t="inlineStr">
        <is>
          <t>Mécanique</t>
        </is>
      </c>
      <c r="K307" s="7" t="inlineStr">
        <is>
          <t>P3 - Normale</t>
        </is>
      </c>
      <c r="L307" s="7" t="inlineStr">
        <is>
          <t>Contrôle motoréducteurs et usure</t>
        </is>
      </c>
      <c r="M307" s="7" t="n"/>
      <c r="N307" s="7" t="inlineStr">
        <is>
          <t>Gamme réalisée - RAS</t>
        </is>
      </c>
      <c r="O307" s="7" t="inlineStr">
        <is>
          <t>Karim Benali</t>
        </is>
      </c>
      <c r="P307" s="65" t="n">
        <v>45796</v>
      </c>
      <c r="Q307" s="75" t="n">
        <v>45796.61111111111</v>
      </c>
      <c r="R307" s="75" t="n">
        <v>45796.79861111111</v>
      </c>
      <c r="S307" s="76" t="n">
        <v>4.5</v>
      </c>
      <c r="T307" s="76" t="n">
        <v>4.5</v>
      </c>
      <c r="U307" s="70">
        <f>IF($A307="","",IFERROR(INDEX('Techniciens'!$F$5:$F$44,MATCH(O307,'Techniciens'!$B$5:$B$44,0)),'Paramètres'!$AA$10))</f>
        <v/>
      </c>
      <c r="V307" s="70">
        <f>IF($A307="","",IF(OR(AC307="Demandé",AC307="Planifié",AC307="Annulé"),0,N(T307)*N(U307)))</f>
        <v/>
      </c>
      <c r="W307" s="70">
        <f>IF($A307="","",SUMIFS('Mouvements stock'!$H$5:$H$3004,'Mouvements stock'!$I$5:$I$3004,$A307,'Mouvements stock'!$C$5:$C$3004,"Sortie")-SUMIFS('Mouvements stock'!$H$5:$H$3004,'Mouvements stock'!$I$5:$I$3004,$A307,'Mouvements stock'!$C$5:$C$3004,"Retour"))</f>
        <v/>
      </c>
      <c r="X307" s="66" t="n">
        <v>0</v>
      </c>
      <c r="Y307" s="66" t="n">
        <v>0</v>
      </c>
      <c r="Z307" s="7" t="n"/>
      <c r="AA307" s="70">
        <f>IF($A307="","",N(V307)+N(W307)+N(X307)+N(Y307))</f>
        <v/>
      </c>
      <c r="AB307" s="70">
        <f>IF($A307="","",N(S307)*'Paramètres'!$AA$9*IFERROR(INDEX('Paramètres'!$O$5:$O$7,MATCH(G307,'Paramètres'!$N$5:$N$7,0)),0))</f>
        <v/>
      </c>
      <c r="AC307" s="7" t="inlineStr">
        <is>
          <t>Clôturé</t>
        </is>
      </c>
      <c r="AD307" s="69">
        <f>IF(OR($A307="",Q307=""),"",(Q307-B307)*24)</f>
        <v/>
      </c>
      <c r="AE307" s="69">
        <f>IF(OR(Q307="",R307=""),"",(R307-Q307)*24)</f>
        <v/>
      </c>
      <c r="AF307" s="77">
        <f>IF(OR($A307="",B307=""),"",YEAR(B307))</f>
        <v/>
      </c>
      <c r="AG307" s="77">
        <f>IF(OR($A307="",B307=""),"",MONTH(B307))</f>
        <v/>
      </c>
    </row>
    <row r="308">
      <c r="A308" s="7" t="inlineStr">
        <is>
          <t>OT-2025-0304</t>
        </is>
      </c>
      <c r="B308" s="75" t="n">
        <v>45789.47222222222</v>
      </c>
      <c r="C308" s="7" t="inlineStr">
        <is>
          <t>Plan préventif</t>
        </is>
      </c>
      <c r="D308" s="7" t="inlineStr">
        <is>
          <t>EQ-USI-010</t>
        </is>
      </c>
      <c r="E308" s="9">
        <f>IF(D308="","",IFERROR(INDEX('Équipements'!$B$5:$B$304,MATCH(D308,'Équipements'!$A$5:$A$304,0)),"Code inconnu"))</f>
        <v/>
      </c>
      <c r="F308" s="9">
        <f>IF(D308="","",IFERROR(INDEX('Équipements'!$D$5:$D$304,MATCH(D308,'Équipements'!$A$5:$A$304,0)),""))</f>
        <v/>
      </c>
      <c r="G308" s="9">
        <f>IF(D308="","",IFERROR(INDEX('Équipements'!$K$5:$K$304,MATCH(D308,'Équipements'!$A$5:$A$304,0)),""))</f>
        <v/>
      </c>
      <c r="H308" s="7" t="inlineStr">
        <is>
          <t>Préventif systématique</t>
        </is>
      </c>
      <c r="I308" s="7" t="inlineStr">
        <is>
          <t>GP-033</t>
        </is>
      </c>
      <c r="J308" s="7" t="inlineStr">
        <is>
          <t>Mécanique</t>
        </is>
      </c>
      <c r="K308" s="7" t="inlineStr">
        <is>
          <t>P3 - Normale</t>
        </is>
      </c>
      <c r="L308" s="7" t="inlineStr">
        <is>
          <t>Nettoyage et contrôle général</t>
        </is>
      </c>
      <c r="M308" s="7" t="n"/>
      <c r="N308" s="7" t="inlineStr">
        <is>
          <t>Gamme réalisée - RAS</t>
        </is>
      </c>
      <c r="O308" s="7" t="inlineStr">
        <is>
          <t>Antoine Mercier</t>
        </is>
      </c>
      <c r="P308" s="65" t="n">
        <v>45796.65625</v>
      </c>
      <c r="Q308" s="75" t="n">
        <v>45796.25</v>
      </c>
      <c r="R308" s="75" t="n">
        <v>45796.28125</v>
      </c>
      <c r="S308" s="76" t="n">
        <v>0</v>
      </c>
      <c r="T308" s="76" t="n">
        <v>0.75</v>
      </c>
      <c r="U308" s="70">
        <f>IF($A308="","",IFERROR(INDEX('Techniciens'!$F$5:$F$44,MATCH(O308,'Techniciens'!$B$5:$B$44,0)),'Paramètres'!$AA$10))</f>
        <v/>
      </c>
      <c r="V308" s="70">
        <f>IF($A308="","",IF(OR(AC308="Demandé",AC308="Planifié",AC308="Annulé"),0,N(T308)*N(U308)))</f>
        <v/>
      </c>
      <c r="W308" s="70">
        <f>IF($A308="","",SUMIFS('Mouvements stock'!$H$5:$H$3004,'Mouvements stock'!$I$5:$I$3004,$A308,'Mouvements stock'!$C$5:$C$3004,"Sortie")-SUMIFS('Mouvements stock'!$H$5:$H$3004,'Mouvements stock'!$I$5:$I$3004,$A308,'Mouvements stock'!$C$5:$C$3004,"Retour"))</f>
        <v/>
      </c>
      <c r="X308" s="66" t="n">
        <v>0</v>
      </c>
      <c r="Y308" s="66" t="n">
        <v>0</v>
      </c>
      <c r="Z308" s="7" t="n"/>
      <c r="AA308" s="70">
        <f>IF($A308="","",N(V308)+N(W308)+N(X308)+N(Y308))</f>
        <v/>
      </c>
      <c r="AB308" s="70">
        <f>IF($A308="","",N(S308)*'Paramètres'!$AA$9*IFERROR(INDEX('Paramètres'!$O$5:$O$7,MATCH(G308,'Paramètres'!$N$5:$N$7,0)),0))</f>
        <v/>
      </c>
      <c r="AC308" s="7" t="inlineStr">
        <is>
          <t>Clôturé</t>
        </is>
      </c>
      <c r="AD308" s="69">
        <f>IF(OR($A308="",Q308=""),"",(Q308-B308)*24)</f>
        <v/>
      </c>
      <c r="AE308" s="69">
        <f>IF(OR(Q308="",R308=""),"",(R308-Q308)*24)</f>
        <v/>
      </c>
      <c r="AF308" s="77">
        <f>IF(OR($A308="",B308=""),"",YEAR(B308))</f>
        <v/>
      </c>
      <c r="AG308" s="77">
        <f>IF(OR($A308="",B308=""),"",MONTH(B308))</f>
        <v/>
      </c>
    </row>
    <row r="309">
      <c r="A309" s="7" t="inlineStr">
        <is>
          <t>OT-2025-0305</t>
        </is>
      </c>
      <c r="B309" s="75" t="n">
        <v>45789.50347222222</v>
      </c>
      <c r="C309" s="7" t="inlineStr">
        <is>
          <t>Ronde maintenance</t>
        </is>
      </c>
      <c r="D309" s="7" t="inlineStr">
        <is>
          <t>EQ-UTI-001</t>
        </is>
      </c>
      <c r="E309" s="9">
        <f>IF(D309="","",IFERROR(INDEX('Équipements'!$B$5:$B$304,MATCH(D309,'Équipements'!$A$5:$A$304,0)),"Code inconnu"))</f>
        <v/>
      </c>
      <c r="F309" s="9">
        <f>IF(D309="","",IFERROR(INDEX('Équipements'!$D$5:$D$304,MATCH(D309,'Équipements'!$A$5:$A$304,0)),""))</f>
        <v/>
      </c>
      <c r="G309" s="9">
        <f>IF(D309="","",IFERROR(INDEX('Équipements'!$K$5:$K$304,MATCH(D309,'Équipements'!$A$5:$A$304,0)),""))</f>
        <v/>
      </c>
      <c r="H309" s="7" t="inlineStr">
        <is>
          <t>Correctif</t>
        </is>
      </c>
      <c r="I309" s="7" t="n"/>
      <c r="J309" s="7" t="inlineStr">
        <is>
          <t>Mécanique</t>
        </is>
      </c>
      <c r="K309" s="7" t="inlineStr">
        <is>
          <t>P1 - Urgent</t>
        </is>
      </c>
      <c r="L309" s="7" t="inlineStr">
        <is>
          <t>Courroie d'entraînement usée</t>
        </is>
      </c>
      <c r="M309" s="7" t="inlineStr">
        <is>
          <t>Usure</t>
        </is>
      </c>
      <c r="N309" s="7" t="inlineStr">
        <is>
          <t>Remplacement courroies</t>
        </is>
      </c>
      <c r="O309" s="7" t="inlineStr">
        <is>
          <t>Antoine Mercier</t>
        </is>
      </c>
      <c r="P309" s="65" t="n"/>
      <c r="Q309" s="75" t="n">
        <v>45789.52013888889</v>
      </c>
      <c r="R309" s="75" t="n">
        <v>45790.20763888889</v>
      </c>
      <c r="S309" s="76" t="n">
        <v>16.9</v>
      </c>
      <c r="T309" s="76" t="n">
        <v>16.5</v>
      </c>
      <c r="U309" s="70">
        <f>IF($A309="","",IFERROR(INDEX('Techniciens'!$F$5:$F$44,MATCH(O309,'Techniciens'!$B$5:$B$44,0)),'Paramètres'!$AA$10))</f>
        <v/>
      </c>
      <c r="V309" s="70">
        <f>IF($A309="","",IF(OR(AC309="Demandé",AC309="Planifié",AC309="Annulé"),0,N(T309)*N(U309)))</f>
        <v/>
      </c>
      <c r="W309" s="70">
        <f>IF($A309="","",SUMIFS('Mouvements stock'!$H$5:$H$3004,'Mouvements stock'!$I$5:$I$3004,$A309,'Mouvements stock'!$C$5:$C$3004,"Sortie")-SUMIFS('Mouvements stock'!$H$5:$H$3004,'Mouvements stock'!$I$5:$I$3004,$A309,'Mouvements stock'!$C$5:$C$3004,"Retour"))</f>
        <v/>
      </c>
      <c r="X309" s="66" t="n">
        <v>0</v>
      </c>
      <c r="Y309" s="66" t="n">
        <v>0</v>
      </c>
      <c r="Z309" s="7" t="n"/>
      <c r="AA309" s="70">
        <f>IF($A309="","",N(V309)+N(W309)+N(X309)+N(Y309))</f>
        <v/>
      </c>
      <c r="AB309" s="70">
        <f>IF($A309="","",N(S309)*'Paramètres'!$AA$9*IFERROR(INDEX('Paramètres'!$O$5:$O$7,MATCH(G309,'Paramètres'!$N$5:$N$7,0)),0))</f>
        <v/>
      </c>
      <c r="AC309" s="7" t="inlineStr">
        <is>
          <t>Clôturé</t>
        </is>
      </c>
      <c r="AD309" s="69">
        <f>IF(OR($A309="",Q309=""),"",(Q309-B309)*24)</f>
        <v/>
      </c>
      <c r="AE309" s="69">
        <f>IF(OR(Q309="",R309=""),"",(R309-Q309)*24)</f>
        <v/>
      </c>
      <c r="AF309" s="77">
        <f>IF(OR($A309="",B309=""),"",YEAR(B309))</f>
        <v/>
      </c>
      <c r="AG309" s="77">
        <f>IF(OR($A309="",B309=""),"",MONTH(B309))</f>
        <v/>
      </c>
    </row>
    <row r="310">
      <c r="A310" s="7" t="inlineStr">
        <is>
          <t>OT-2025-0306</t>
        </is>
      </c>
      <c r="B310" s="75" t="n">
        <v>45789.6</v>
      </c>
      <c r="C310" s="7" t="inlineStr">
        <is>
          <t>Céline Morel (cheffe d'atelier)</t>
        </is>
      </c>
      <c r="D310" s="7" t="inlineStr">
        <is>
          <t>EQ-TOL-007</t>
        </is>
      </c>
      <c r="E310" s="9">
        <f>IF(D310="","",IFERROR(INDEX('Équipements'!$B$5:$B$304,MATCH(D310,'Équipements'!$A$5:$A$304,0)),"Code inconnu"))</f>
        <v/>
      </c>
      <c r="F310" s="9">
        <f>IF(D310="","",IFERROR(INDEX('Équipements'!$D$5:$D$304,MATCH(D310,'Équipements'!$A$5:$A$304,0)),""))</f>
        <v/>
      </c>
      <c r="G310" s="9">
        <f>IF(D310="","",IFERROR(INDEX('Équipements'!$K$5:$K$304,MATCH(D310,'Équipements'!$A$5:$A$304,0)),""))</f>
        <v/>
      </c>
      <c r="H310" s="7" t="inlineStr">
        <is>
          <t>Correctif</t>
        </is>
      </c>
      <c r="I310" s="7" t="n"/>
      <c r="J310" s="7" t="inlineStr">
        <is>
          <t>Mécanique</t>
        </is>
      </c>
      <c r="K310" s="7" t="inlineStr">
        <is>
          <t>P2 - Haute</t>
        </is>
      </c>
      <c r="L310" s="7" t="inlineStr">
        <is>
          <t>Roulement de tambour bruyant</t>
        </is>
      </c>
      <c r="M310" s="7" t="inlineStr">
        <is>
          <t>Usure</t>
        </is>
      </c>
      <c r="N310" s="7" t="inlineStr">
        <is>
          <t>Remplacement roulements et palier</t>
        </is>
      </c>
      <c r="O310" s="7" t="inlineStr">
        <is>
          <t>Lucas Fontaine</t>
        </is>
      </c>
      <c r="P310" s="65" t="n"/>
      <c r="Q310" s="75" t="n">
        <v>45789.72708333333</v>
      </c>
      <c r="R310" s="75" t="n">
        <v>45792.37710005511</v>
      </c>
      <c r="S310" s="76" t="n">
        <v>37</v>
      </c>
      <c r="T310" s="76" t="n">
        <v>4.25</v>
      </c>
      <c r="U310" s="70">
        <f>IF($A310="","",IFERROR(INDEX('Techniciens'!$F$5:$F$44,MATCH(O310,'Techniciens'!$B$5:$B$44,0)),'Paramètres'!$AA$10))</f>
        <v/>
      </c>
      <c r="V310" s="70">
        <f>IF($A310="","",IF(OR(AC310="Demandé",AC310="Planifié",AC310="Annulé"),0,N(T310)*N(U310)))</f>
        <v/>
      </c>
      <c r="W310" s="70">
        <f>IF($A310="","",SUMIFS('Mouvements stock'!$H$5:$H$3004,'Mouvements stock'!$I$5:$I$3004,$A310,'Mouvements stock'!$C$5:$C$3004,"Sortie")-SUMIFS('Mouvements stock'!$H$5:$H$3004,'Mouvements stock'!$I$5:$I$3004,$A310,'Mouvements stock'!$C$5:$C$3004,"Retour"))</f>
        <v/>
      </c>
      <c r="X310" s="66" t="n">
        <v>0</v>
      </c>
      <c r="Y310" s="66" t="n">
        <v>0</v>
      </c>
      <c r="Z310" s="7" t="n"/>
      <c r="AA310" s="70">
        <f>IF($A310="","",N(V310)+N(W310)+N(X310)+N(Y310))</f>
        <v/>
      </c>
      <c r="AB310" s="70">
        <f>IF($A310="","",N(S310)*'Paramètres'!$AA$9*IFERROR(INDEX('Paramètres'!$O$5:$O$7,MATCH(G310,'Paramètres'!$N$5:$N$7,0)),0))</f>
        <v/>
      </c>
      <c r="AC310" s="7" t="inlineStr">
        <is>
          <t>Clôturé</t>
        </is>
      </c>
      <c r="AD310" s="69">
        <f>IF(OR($A310="",Q310=""),"",(Q310-B310)*24)</f>
        <v/>
      </c>
      <c r="AE310" s="69">
        <f>IF(OR(Q310="",R310=""),"",(R310-Q310)*24)</f>
        <v/>
      </c>
      <c r="AF310" s="77">
        <f>IF(OR($A310="",B310=""),"",YEAR(B310))</f>
        <v/>
      </c>
      <c r="AG310" s="77">
        <f>IF(OR($A310="",B310=""),"",MONTH(B310))</f>
        <v/>
      </c>
    </row>
    <row r="311">
      <c r="A311" s="7" t="inlineStr">
        <is>
          <t>OT-2025-0307</t>
        </is>
      </c>
      <c r="B311" s="75" t="n">
        <v>45790.28472222222</v>
      </c>
      <c r="C311" s="7" t="inlineStr">
        <is>
          <t>Opérateur peinture</t>
        </is>
      </c>
      <c r="D311" s="7" t="inlineStr">
        <is>
          <t>EQ-PEI-005</t>
        </is>
      </c>
      <c r="E311" s="9">
        <f>IF(D311="","",IFERROR(INDEX('Équipements'!$B$5:$B$304,MATCH(D311,'Équipements'!$A$5:$A$304,0)),"Code inconnu"))</f>
        <v/>
      </c>
      <c r="F311" s="9">
        <f>IF(D311="","",IFERROR(INDEX('Équipements'!$D$5:$D$304,MATCH(D311,'Équipements'!$A$5:$A$304,0)),""))</f>
        <v/>
      </c>
      <c r="G311" s="9">
        <f>IF(D311="","",IFERROR(INDEX('Équipements'!$K$5:$K$304,MATCH(D311,'Équipements'!$A$5:$A$304,0)),""))</f>
        <v/>
      </c>
      <c r="H311" s="7" t="inlineStr">
        <is>
          <t>Correctif</t>
        </is>
      </c>
      <c r="I311" s="7" t="n"/>
      <c r="J311" s="7" t="inlineStr">
        <is>
          <t>Pneumatique</t>
        </is>
      </c>
      <c r="K311" s="7" t="inlineStr">
        <is>
          <t>P3 - Normale</t>
        </is>
      </c>
      <c r="L311" s="7" t="inlineStr">
        <is>
          <t>Pistolet poudre : débit irrégulier</t>
        </is>
      </c>
      <c r="M311" s="7" t="inlineStr">
        <is>
          <t>Usure</t>
        </is>
      </c>
      <c r="N311" s="7" t="inlineStr">
        <is>
          <t>Remplacement injecteur et buse</t>
        </is>
      </c>
      <c r="O311" s="7" t="inlineStr">
        <is>
          <t>Lucas Fontaine</t>
        </is>
      </c>
      <c r="P311" s="65" t="n"/>
      <c r="Q311" s="75" t="n">
        <v>45791.01875</v>
      </c>
      <c r="R311" s="75" t="n">
        <v>45794.19582031277</v>
      </c>
      <c r="S311" s="76" t="n">
        <v>0</v>
      </c>
      <c r="T311" s="76" t="n">
        <v>4.75</v>
      </c>
      <c r="U311" s="70">
        <f>IF($A311="","",IFERROR(INDEX('Techniciens'!$F$5:$F$44,MATCH(O311,'Techniciens'!$B$5:$B$44,0)),'Paramètres'!$AA$10))</f>
        <v/>
      </c>
      <c r="V311" s="70">
        <f>IF($A311="","",IF(OR(AC311="Demandé",AC311="Planifié",AC311="Annulé"),0,N(T311)*N(U311)))</f>
        <v/>
      </c>
      <c r="W311" s="70">
        <f>IF($A311="","",SUMIFS('Mouvements stock'!$H$5:$H$3004,'Mouvements stock'!$I$5:$I$3004,$A311,'Mouvements stock'!$C$5:$C$3004,"Sortie")-SUMIFS('Mouvements stock'!$H$5:$H$3004,'Mouvements stock'!$I$5:$I$3004,$A311,'Mouvements stock'!$C$5:$C$3004,"Retour"))</f>
        <v/>
      </c>
      <c r="X311" s="66" t="n">
        <v>863</v>
      </c>
      <c r="Y311" s="66" t="n">
        <v>0</v>
      </c>
      <c r="Z311" s="7" t="n"/>
      <c r="AA311" s="70">
        <f>IF($A311="","",N(V311)+N(W311)+N(X311)+N(Y311))</f>
        <v/>
      </c>
      <c r="AB311" s="70">
        <f>IF($A311="","",N(S311)*'Paramètres'!$AA$9*IFERROR(INDEX('Paramètres'!$O$5:$O$7,MATCH(G311,'Paramètres'!$N$5:$N$7,0)),0))</f>
        <v/>
      </c>
      <c r="AC311" s="7" t="inlineStr">
        <is>
          <t>Clôturé</t>
        </is>
      </c>
      <c r="AD311" s="69">
        <f>IF(OR($A311="",Q311=""),"",(Q311-B311)*24)</f>
        <v/>
      </c>
      <c r="AE311" s="69">
        <f>IF(OR(Q311="",R311=""),"",(R311-Q311)*24)</f>
        <v/>
      </c>
      <c r="AF311" s="77">
        <f>IF(OR($A311="",B311=""),"",YEAR(B311))</f>
        <v/>
      </c>
      <c r="AG311" s="77">
        <f>IF(OR($A311="",B311=""),"",MONTH(B311))</f>
        <v/>
      </c>
    </row>
    <row r="312">
      <c r="A312" s="7" t="inlineStr">
        <is>
          <t>OT-2025-0308</t>
        </is>
      </c>
      <c r="B312" s="75" t="n">
        <v>45790.34375</v>
      </c>
      <c r="C312" s="7" t="inlineStr">
        <is>
          <t>Plan préventif</t>
        </is>
      </c>
      <c r="D312" s="7" t="inlineStr">
        <is>
          <t>EQ-TOL-005</t>
        </is>
      </c>
      <c r="E312" s="9">
        <f>IF(D312="","",IFERROR(INDEX('Équipements'!$B$5:$B$304,MATCH(D312,'Équipements'!$A$5:$A$304,0)),"Code inconnu"))</f>
        <v/>
      </c>
      <c r="F312" s="9">
        <f>IF(D312="","",IFERROR(INDEX('Équipements'!$D$5:$D$304,MATCH(D312,'Équipements'!$A$5:$A$304,0)),""))</f>
        <v/>
      </c>
      <c r="G312" s="9">
        <f>IF(D312="","",IFERROR(INDEX('Équipements'!$K$5:$K$304,MATCH(D312,'Équipements'!$A$5:$A$304,0)),""))</f>
        <v/>
      </c>
      <c r="H312" s="7" t="inlineStr">
        <is>
          <t>Préventif systématique</t>
        </is>
      </c>
      <c r="I312" s="7" t="inlineStr">
        <is>
          <t>GP-050</t>
        </is>
      </c>
      <c r="J312" s="7" t="inlineStr">
        <is>
          <t>Hydraulique</t>
        </is>
      </c>
      <c r="K312" s="7" t="inlineStr">
        <is>
          <t>P3 - Normale</t>
        </is>
      </c>
      <c r="L312" s="7" t="inlineStr">
        <is>
          <t>Contrôle hydraulique : fuites, niveaux, pressions</t>
        </is>
      </c>
      <c r="M312" s="7" t="n"/>
      <c r="N312" s="7" t="inlineStr">
        <is>
          <t>Gamme réalisée - RAS</t>
        </is>
      </c>
      <c r="O312" s="7" t="inlineStr">
        <is>
          <t>Antoine Mercier</t>
        </is>
      </c>
      <c r="P312" s="65" t="n">
        <v>45797.48958333334</v>
      </c>
      <c r="Q312" s="75" t="n">
        <v>45797.25694444445</v>
      </c>
      <c r="R312" s="75" t="n">
        <v>45797.37152777778</v>
      </c>
      <c r="S312" s="76" t="n">
        <v>2.8</v>
      </c>
      <c r="T312" s="76" t="n">
        <v>2.75</v>
      </c>
      <c r="U312" s="70">
        <f>IF($A312="","",IFERROR(INDEX('Techniciens'!$F$5:$F$44,MATCH(O312,'Techniciens'!$B$5:$B$44,0)),'Paramètres'!$AA$10))</f>
        <v/>
      </c>
      <c r="V312" s="70">
        <f>IF($A312="","",IF(OR(AC312="Demandé",AC312="Planifié",AC312="Annulé"),0,N(T312)*N(U312)))</f>
        <v/>
      </c>
      <c r="W312" s="70">
        <f>IF($A312="","",SUMIFS('Mouvements stock'!$H$5:$H$3004,'Mouvements stock'!$I$5:$I$3004,$A312,'Mouvements stock'!$C$5:$C$3004,"Sortie")-SUMIFS('Mouvements stock'!$H$5:$H$3004,'Mouvements stock'!$I$5:$I$3004,$A312,'Mouvements stock'!$C$5:$C$3004,"Retour"))</f>
        <v/>
      </c>
      <c r="X312" s="66" t="n">
        <v>0</v>
      </c>
      <c r="Y312" s="66" t="n">
        <v>0</v>
      </c>
      <c r="Z312" s="7" t="n"/>
      <c r="AA312" s="70">
        <f>IF($A312="","",N(V312)+N(W312)+N(X312)+N(Y312))</f>
        <v/>
      </c>
      <c r="AB312" s="70">
        <f>IF($A312="","",N(S312)*'Paramètres'!$AA$9*IFERROR(INDEX('Paramètres'!$O$5:$O$7,MATCH(G312,'Paramètres'!$N$5:$N$7,0)),0))</f>
        <v/>
      </c>
      <c r="AC312" s="7" t="inlineStr">
        <is>
          <t>Clôturé</t>
        </is>
      </c>
      <c r="AD312" s="69">
        <f>IF(OR($A312="",Q312=""),"",(Q312-B312)*24)</f>
        <v/>
      </c>
      <c r="AE312" s="69">
        <f>IF(OR(Q312="",R312=""),"",(R312-Q312)*24)</f>
        <v/>
      </c>
      <c r="AF312" s="77">
        <f>IF(OR($A312="",B312=""),"",YEAR(B312))</f>
        <v/>
      </c>
      <c r="AG312" s="77">
        <f>IF(OR($A312="",B312=""),"",MONTH(B312))</f>
        <v/>
      </c>
    </row>
    <row r="313">
      <c r="A313" s="7" t="inlineStr">
        <is>
          <t>OT-2025-0309</t>
        </is>
      </c>
      <c r="B313" s="75" t="n">
        <v>45790.52569444444</v>
      </c>
      <c r="C313" s="7" t="inlineStr">
        <is>
          <t>Sylvie Mathieu (resp. logistique)</t>
        </is>
      </c>
      <c r="D313" s="7" t="inlineStr">
        <is>
          <t>EQ-LOG-003</t>
        </is>
      </c>
      <c r="E313" s="9">
        <f>IF(D313="","",IFERROR(INDEX('Équipements'!$B$5:$B$304,MATCH(D313,'Équipements'!$A$5:$A$304,0)),"Code inconnu"))</f>
        <v/>
      </c>
      <c r="F313" s="9">
        <f>IF(D313="","",IFERROR(INDEX('Équipements'!$D$5:$D$304,MATCH(D313,'Équipements'!$A$5:$A$304,0)),""))</f>
        <v/>
      </c>
      <c r="G313" s="9">
        <f>IF(D313="","",IFERROR(INDEX('Équipements'!$K$5:$K$304,MATCH(D313,'Équipements'!$A$5:$A$304,0)),""))</f>
        <v/>
      </c>
      <c r="H313" s="7" t="inlineStr">
        <is>
          <t>Correctif</t>
        </is>
      </c>
      <c r="I313" s="7" t="n"/>
      <c r="J313" s="7" t="inlineStr">
        <is>
          <t>Électrique</t>
        </is>
      </c>
      <c r="K313" s="7" t="inlineStr">
        <is>
          <t>P3 - Normale</t>
        </is>
      </c>
      <c r="L313" s="7" t="inlineStr">
        <is>
          <t>Défaut batterie / charge</t>
        </is>
      </c>
      <c r="M313" s="7" t="inlineStr">
        <is>
          <t>Usure</t>
        </is>
      </c>
      <c r="N313" s="7" t="inlineStr">
        <is>
          <t>Contrôle chargeur, remplacement batterie</t>
        </is>
      </c>
      <c r="O313" s="7" t="inlineStr">
        <is>
          <t>Julien Moreau</t>
        </is>
      </c>
      <c r="P313" s="65" t="n"/>
      <c r="Q313" s="75" t="n">
        <v>45791.20277777778</v>
      </c>
      <c r="R313" s="75" t="n">
        <v>45791.28611111111</v>
      </c>
      <c r="S313" s="76" t="n">
        <v>0.6</v>
      </c>
      <c r="T313" s="76" t="n">
        <v>2</v>
      </c>
      <c r="U313" s="70">
        <f>IF($A313="","",IFERROR(INDEX('Techniciens'!$F$5:$F$44,MATCH(O313,'Techniciens'!$B$5:$B$44,0)),'Paramètres'!$AA$10))</f>
        <v/>
      </c>
      <c r="V313" s="70">
        <f>IF($A313="","",IF(OR(AC313="Demandé",AC313="Planifié",AC313="Annulé"),0,N(T313)*N(U313)))</f>
        <v/>
      </c>
      <c r="W313" s="70">
        <f>IF($A313="","",SUMIFS('Mouvements stock'!$H$5:$H$3004,'Mouvements stock'!$I$5:$I$3004,$A313,'Mouvements stock'!$C$5:$C$3004,"Sortie")-SUMIFS('Mouvements stock'!$H$5:$H$3004,'Mouvements stock'!$I$5:$I$3004,$A313,'Mouvements stock'!$C$5:$C$3004,"Retour"))</f>
        <v/>
      </c>
      <c r="X313" s="66" t="n">
        <v>814</v>
      </c>
      <c r="Y313" s="66" t="n">
        <v>0</v>
      </c>
      <c r="Z313" s="7" t="n"/>
      <c r="AA313" s="70">
        <f>IF($A313="","",N(V313)+N(W313)+N(X313)+N(Y313))</f>
        <v/>
      </c>
      <c r="AB313" s="70">
        <f>IF($A313="","",N(S313)*'Paramètres'!$AA$9*IFERROR(INDEX('Paramètres'!$O$5:$O$7,MATCH(G313,'Paramètres'!$N$5:$N$7,0)),0))</f>
        <v/>
      </c>
      <c r="AC313" s="7" t="inlineStr">
        <is>
          <t>Clôturé</t>
        </is>
      </c>
      <c r="AD313" s="69">
        <f>IF(OR($A313="",Q313=""),"",(Q313-B313)*24)</f>
        <v/>
      </c>
      <c r="AE313" s="69">
        <f>IF(OR(Q313="",R313=""),"",(R313-Q313)*24)</f>
        <v/>
      </c>
      <c r="AF313" s="77">
        <f>IF(OR($A313="",B313=""),"",YEAR(B313))</f>
        <v/>
      </c>
      <c r="AG313" s="77">
        <f>IF(OR($A313="",B313=""),"",MONTH(B313))</f>
        <v/>
      </c>
    </row>
    <row r="314">
      <c r="A314" s="7" t="inlineStr">
        <is>
          <t>OT-2025-0310</t>
        </is>
      </c>
      <c r="B314" s="75" t="n">
        <v>45790.77708333333</v>
      </c>
      <c r="C314" s="7" t="inlineStr">
        <is>
          <t>Opérateur usinage</t>
        </is>
      </c>
      <c r="D314" s="7" t="inlineStr">
        <is>
          <t>EQ-USI-002</t>
        </is>
      </c>
      <c r="E314" s="9">
        <f>IF(D314="","",IFERROR(INDEX('Équipements'!$B$5:$B$304,MATCH(D314,'Équipements'!$A$5:$A$304,0)),"Code inconnu"))</f>
        <v/>
      </c>
      <c r="F314" s="9">
        <f>IF(D314="","",IFERROR(INDEX('Équipements'!$D$5:$D$304,MATCH(D314,'Équipements'!$A$5:$A$304,0)),""))</f>
        <v/>
      </c>
      <c r="G314" s="9">
        <f>IF(D314="","",IFERROR(INDEX('Équipements'!$K$5:$K$304,MATCH(D314,'Équipements'!$A$5:$A$304,0)),""))</f>
        <v/>
      </c>
      <c r="H314" s="7" t="inlineStr">
        <is>
          <t>Correctif</t>
        </is>
      </c>
      <c r="I314" s="7" t="n"/>
      <c r="J314" s="7" t="inlineStr">
        <is>
          <t>Électrique</t>
        </is>
      </c>
      <c r="K314" s="7" t="inlineStr">
        <is>
          <t>P2 - Haute</t>
        </is>
      </c>
      <c r="L314" s="7" t="inlineStr">
        <is>
          <t>Arrêt d'urgence intempestif</t>
        </is>
      </c>
      <c r="M314" s="7" t="inlineStr">
        <is>
          <t>Défaut électrique</t>
        </is>
      </c>
      <c r="N314" s="7" t="inlineStr">
        <is>
          <t>Recherche de panne, remplacement relais de sécurité</t>
        </is>
      </c>
      <c r="O314" s="7" t="inlineStr">
        <is>
          <t>Antoine Mercier</t>
        </is>
      </c>
      <c r="P314" s="65" t="n"/>
      <c r="Q314" s="75" t="n">
        <v>45790.99444444444</v>
      </c>
      <c r="R314" s="75" t="n">
        <v>45791.48402777778</v>
      </c>
      <c r="S314" s="76" t="n">
        <v>17</v>
      </c>
      <c r="T314" s="76" t="n">
        <v>11.75</v>
      </c>
      <c r="U314" s="70">
        <f>IF($A314="","",IFERROR(INDEX('Techniciens'!$F$5:$F$44,MATCH(O314,'Techniciens'!$B$5:$B$44,0)),'Paramètres'!$AA$10))</f>
        <v/>
      </c>
      <c r="V314" s="70">
        <f>IF($A314="","",IF(OR(AC314="Demandé",AC314="Planifié",AC314="Annulé"),0,N(T314)*N(U314)))</f>
        <v/>
      </c>
      <c r="W314" s="70">
        <f>IF($A314="","",SUMIFS('Mouvements stock'!$H$5:$H$3004,'Mouvements stock'!$I$5:$I$3004,$A314,'Mouvements stock'!$C$5:$C$3004,"Sortie")-SUMIFS('Mouvements stock'!$H$5:$H$3004,'Mouvements stock'!$I$5:$I$3004,$A314,'Mouvements stock'!$C$5:$C$3004,"Retour"))</f>
        <v/>
      </c>
      <c r="X314" s="66" t="n">
        <v>0</v>
      </c>
      <c r="Y314" s="66" t="n">
        <v>0</v>
      </c>
      <c r="Z314" s="7" t="n"/>
      <c r="AA314" s="70">
        <f>IF($A314="","",N(V314)+N(W314)+N(X314)+N(Y314))</f>
        <v/>
      </c>
      <c r="AB314" s="70">
        <f>IF($A314="","",N(S314)*'Paramètres'!$AA$9*IFERROR(INDEX('Paramètres'!$O$5:$O$7,MATCH(G314,'Paramètres'!$N$5:$N$7,0)),0))</f>
        <v/>
      </c>
      <c r="AC314" s="7" t="inlineStr">
        <is>
          <t>Clôturé</t>
        </is>
      </c>
      <c r="AD314" s="69">
        <f>IF(OR($A314="",Q314=""),"",(Q314-B314)*24)</f>
        <v/>
      </c>
      <c r="AE314" s="69">
        <f>IF(OR(Q314="",R314=""),"",(R314-Q314)*24)</f>
        <v/>
      </c>
      <c r="AF314" s="77">
        <f>IF(OR($A314="",B314=""),"",YEAR(B314))</f>
        <v/>
      </c>
      <c r="AG314" s="77">
        <f>IF(OR($A314="",B314=""),"",MONTH(B314))</f>
        <v/>
      </c>
    </row>
    <row r="315">
      <c r="A315" s="7" t="inlineStr">
        <is>
          <t>OT-2025-0311</t>
        </is>
      </c>
      <c r="B315" s="75" t="n">
        <v>45791.39583333334</v>
      </c>
      <c r="C315" s="7" t="inlineStr">
        <is>
          <t>Plan préventif</t>
        </is>
      </c>
      <c r="D315" s="7" t="inlineStr">
        <is>
          <t>EQ-PEI-002</t>
        </is>
      </c>
      <c r="E315" s="9">
        <f>IF(D315="","",IFERROR(INDEX('Équipements'!$B$5:$B$304,MATCH(D315,'Équipements'!$A$5:$A$304,0)),"Code inconnu"))</f>
        <v/>
      </c>
      <c r="F315" s="9">
        <f>IF(D315="","",IFERROR(INDEX('Équipements'!$D$5:$D$304,MATCH(D315,'Équipements'!$A$5:$A$304,0)),""))</f>
        <v/>
      </c>
      <c r="G315" s="9">
        <f>IF(D315="","",IFERROR(INDEX('Équipements'!$K$5:$K$304,MATCH(D315,'Équipements'!$A$5:$A$304,0)),""))</f>
        <v/>
      </c>
      <c r="H315" s="7" t="inlineStr">
        <is>
          <t>Préventif systématique</t>
        </is>
      </c>
      <c r="I315" s="7" t="inlineStr">
        <is>
          <t>GP-068</t>
        </is>
      </c>
      <c r="J315" s="7" t="inlineStr">
        <is>
          <t>Mécanique</t>
        </is>
      </c>
      <c r="K315" s="7" t="inlineStr">
        <is>
          <t>P3 - Normale</t>
        </is>
      </c>
      <c r="L315" s="7" t="inlineStr">
        <is>
          <t>Nettoyage et remplacement des filtres</t>
        </is>
      </c>
      <c r="M315" s="7" t="n"/>
      <c r="N315" s="7" t="inlineStr">
        <is>
          <t>Gamme réalisée - RAS</t>
        </is>
      </c>
      <c r="O315" s="7" t="inlineStr">
        <is>
          <t>Karim Benali</t>
        </is>
      </c>
      <c r="P315" s="65" t="n">
        <v>45798.55208333334</v>
      </c>
      <c r="Q315" s="75" t="n">
        <v>45798.4375</v>
      </c>
      <c r="R315" s="75" t="n">
        <v>45798.58333333334</v>
      </c>
      <c r="S315" s="76" t="n">
        <v>3.5</v>
      </c>
      <c r="T315" s="76" t="n">
        <v>3.5</v>
      </c>
      <c r="U315" s="70">
        <f>IF($A315="","",IFERROR(INDEX('Techniciens'!$F$5:$F$44,MATCH(O315,'Techniciens'!$B$5:$B$44,0)),'Paramètres'!$AA$10))</f>
        <v/>
      </c>
      <c r="V315" s="70">
        <f>IF($A315="","",IF(OR(AC315="Demandé",AC315="Planifié",AC315="Annulé"),0,N(T315)*N(U315)))</f>
        <v/>
      </c>
      <c r="W315" s="70">
        <f>IF($A315="","",SUMIFS('Mouvements stock'!$H$5:$H$3004,'Mouvements stock'!$I$5:$I$3004,$A315,'Mouvements stock'!$C$5:$C$3004,"Sortie")-SUMIFS('Mouvements stock'!$H$5:$H$3004,'Mouvements stock'!$I$5:$I$3004,$A315,'Mouvements stock'!$C$5:$C$3004,"Retour"))</f>
        <v/>
      </c>
      <c r="X315" s="66" t="n">
        <v>0</v>
      </c>
      <c r="Y315" s="66" t="n">
        <v>0</v>
      </c>
      <c r="Z315" s="7" t="n"/>
      <c r="AA315" s="70">
        <f>IF($A315="","",N(V315)+N(W315)+N(X315)+N(Y315))</f>
        <v/>
      </c>
      <c r="AB315" s="70">
        <f>IF($A315="","",N(S315)*'Paramètres'!$AA$9*IFERROR(INDEX('Paramètres'!$O$5:$O$7,MATCH(G315,'Paramètres'!$N$5:$N$7,0)),0))</f>
        <v/>
      </c>
      <c r="AC315" s="7" t="inlineStr">
        <is>
          <t>Clôturé</t>
        </is>
      </c>
      <c r="AD315" s="69">
        <f>IF(OR($A315="",Q315=""),"",(Q315-B315)*24)</f>
        <v/>
      </c>
      <c r="AE315" s="69">
        <f>IF(OR(Q315="",R315=""),"",(R315-Q315)*24)</f>
        <v/>
      </c>
      <c r="AF315" s="77">
        <f>IF(OR($A315="",B315=""),"",YEAR(B315))</f>
        <v/>
      </c>
      <c r="AG315" s="77">
        <f>IF(OR($A315="",B315=""),"",MONTH(B315))</f>
        <v/>
      </c>
    </row>
    <row r="316">
      <c r="A316" s="7" t="inlineStr">
        <is>
          <t>OT-2025-0312</t>
        </is>
      </c>
      <c r="B316" s="75" t="n">
        <v>45791.41666666666</v>
      </c>
      <c r="C316" s="7" t="inlineStr">
        <is>
          <t>Plan préventif</t>
        </is>
      </c>
      <c r="D316" s="7" t="inlineStr">
        <is>
          <t>EQ-UTI-001</t>
        </is>
      </c>
      <c r="E316" s="9">
        <f>IF(D316="","",IFERROR(INDEX('Équipements'!$B$5:$B$304,MATCH(D316,'Équipements'!$A$5:$A$304,0)),"Code inconnu"))</f>
        <v/>
      </c>
      <c r="F316" s="9">
        <f>IF(D316="","",IFERROR(INDEX('Équipements'!$D$5:$D$304,MATCH(D316,'Équipements'!$A$5:$A$304,0)),""))</f>
        <v/>
      </c>
      <c r="G316" s="9">
        <f>IF(D316="","",IFERROR(INDEX('Équipements'!$K$5:$K$304,MATCH(D316,'Équipements'!$A$5:$A$304,0)),""))</f>
        <v/>
      </c>
      <c r="H316" s="7" t="inlineStr">
        <is>
          <t>Préventif systématique</t>
        </is>
      </c>
      <c r="I316" s="7" t="inlineStr">
        <is>
          <t>GP-088</t>
        </is>
      </c>
      <c r="J316" s="7" t="inlineStr">
        <is>
          <t>Pneumatique</t>
        </is>
      </c>
      <c r="K316" s="7" t="inlineStr">
        <is>
          <t>P3 - Normale</t>
        </is>
      </c>
      <c r="L316" s="7" t="inlineStr">
        <is>
          <t>Purge, contrôle fuites et point de rosée</t>
        </is>
      </c>
      <c r="M316" s="7" t="n"/>
      <c r="N316" s="7" t="inlineStr">
        <is>
          <t>Gamme réalisée - RAS</t>
        </is>
      </c>
      <c r="O316" s="7" t="inlineStr">
        <is>
          <t>Julien Moreau</t>
        </is>
      </c>
      <c r="P316" s="65" t="n">
        <v>45798.37152777778</v>
      </c>
      <c r="Q316" s="75" t="n">
        <v>45798.33333333334</v>
      </c>
      <c r="R316" s="75" t="n">
        <v>45798.39583333334</v>
      </c>
      <c r="S316" s="76" t="n">
        <v>0</v>
      </c>
      <c r="T316" s="76" t="n">
        <v>1.5</v>
      </c>
      <c r="U316" s="70">
        <f>IF($A316="","",IFERROR(INDEX('Techniciens'!$F$5:$F$44,MATCH(O316,'Techniciens'!$B$5:$B$44,0)),'Paramètres'!$AA$10))</f>
        <v/>
      </c>
      <c r="V316" s="70">
        <f>IF($A316="","",IF(OR(AC316="Demandé",AC316="Planifié",AC316="Annulé"),0,N(T316)*N(U316)))</f>
        <v/>
      </c>
      <c r="W316" s="70">
        <f>IF($A316="","",SUMIFS('Mouvements stock'!$H$5:$H$3004,'Mouvements stock'!$I$5:$I$3004,$A316,'Mouvements stock'!$C$5:$C$3004,"Sortie")-SUMIFS('Mouvements stock'!$H$5:$H$3004,'Mouvements stock'!$I$5:$I$3004,$A316,'Mouvements stock'!$C$5:$C$3004,"Retour"))</f>
        <v/>
      </c>
      <c r="X316" s="66" t="n">
        <v>0</v>
      </c>
      <c r="Y316" s="66" t="n">
        <v>0</v>
      </c>
      <c r="Z316" s="7" t="n"/>
      <c r="AA316" s="70">
        <f>IF($A316="","",N(V316)+N(W316)+N(X316)+N(Y316))</f>
        <v/>
      </c>
      <c r="AB316" s="70">
        <f>IF($A316="","",N(S316)*'Paramètres'!$AA$9*IFERROR(INDEX('Paramètres'!$O$5:$O$7,MATCH(G316,'Paramètres'!$N$5:$N$7,0)),0))</f>
        <v/>
      </c>
      <c r="AC316" s="7" t="inlineStr">
        <is>
          <t>Clôturé</t>
        </is>
      </c>
      <c r="AD316" s="69">
        <f>IF(OR($A316="",Q316=""),"",(Q316-B316)*24)</f>
        <v/>
      </c>
      <c r="AE316" s="69">
        <f>IF(OR(Q316="",R316=""),"",(R316-Q316)*24)</f>
        <v/>
      </c>
      <c r="AF316" s="77">
        <f>IF(OR($A316="",B316=""),"",YEAR(B316))</f>
        <v/>
      </c>
      <c r="AG316" s="77">
        <f>IF(OR($A316="",B316=""),"",MONTH(B316))</f>
        <v/>
      </c>
    </row>
    <row r="317">
      <c r="A317" s="7" t="inlineStr">
        <is>
          <t>OT-2025-0313</t>
        </is>
      </c>
      <c r="B317" s="75" t="n">
        <v>45791.76388888889</v>
      </c>
      <c r="C317" s="7" t="inlineStr">
        <is>
          <t>Paul Roux (chef d'atelier)</t>
        </is>
      </c>
      <c r="D317" s="7" t="inlineStr">
        <is>
          <t>EQ-ASS-001</t>
        </is>
      </c>
      <c r="E317" s="9">
        <f>IF(D317="","",IFERROR(INDEX('Équipements'!$B$5:$B$304,MATCH(D317,'Équipements'!$A$5:$A$304,0)),"Code inconnu"))</f>
        <v/>
      </c>
      <c r="F317" s="9">
        <f>IF(D317="","",IFERROR(INDEX('Équipements'!$D$5:$D$304,MATCH(D317,'Équipements'!$A$5:$A$304,0)),""))</f>
        <v/>
      </c>
      <c r="G317" s="9">
        <f>IF(D317="","",IFERROR(INDEX('Équipements'!$K$5:$K$304,MATCH(D317,'Équipements'!$A$5:$A$304,0)),""))</f>
        <v/>
      </c>
      <c r="H317" s="7" t="inlineStr">
        <is>
          <t>Correctif</t>
        </is>
      </c>
      <c r="I317" s="7" t="n"/>
      <c r="J317" s="7" t="inlineStr">
        <is>
          <t>Électrique</t>
        </is>
      </c>
      <c r="K317" s="7" t="inlineStr">
        <is>
          <t>P1 - Urgent</t>
        </is>
      </c>
      <c r="L317" s="7" t="inlineStr">
        <is>
          <t>Moteur d'entraînement en défaut thermique</t>
        </is>
      </c>
      <c r="M317" s="7" t="inlineStr">
        <is>
          <t>Défaut électrique</t>
        </is>
      </c>
      <c r="N317" s="7" t="inlineStr">
        <is>
          <t>Remplacement motoréducteur / disjoncteur moteur</t>
        </is>
      </c>
      <c r="O317" s="7" t="inlineStr">
        <is>
          <t>Antoine Mercier</t>
        </is>
      </c>
      <c r="P317" s="65" t="n"/>
      <c r="Q317" s="75" t="n">
        <v>45791.78125</v>
      </c>
      <c r="R317" s="75" t="n">
        <v>45791.9375</v>
      </c>
      <c r="S317" s="76" t="n">
        <v>4.2</v>
      </c>
      <c r="T317" s="76" t="n">
        <v>3.75</v>
      </c>
      <c r="U317" s="70">
        <f>IF($A317="","",IFERROR(INDEX('Techniciens'!$F$5:$F$44,MATCH(O317,'Techniciens'!$B$5:$B$44,0)),'Paramètres'!$AA$10))</f>
        <v/>
      </c>
      <c r="V317" s="70">
        <f>IF($A317="","",IF(OR(AC317="Demandé",AC317="Planifié",AC317="Annulé"),0,N(T317)*N(U317)))</f>
        <v/>
      </c>
      <c r="W317" s="70">
        <f>IF($A317="","",SUMIFS('Mouvements stock'!$H$5:$H$3004,'Mouvements stock'!$I$5:$I$3004,$A317,'Mouvements stock'!$C$5:$C$3004,"Sortie")-SUMIFS('Mouvements stock'!$H$5:$H$3004,'Mouvements stock'!$I$5:$I$3004,$A317,'Mouvements stock'!$C$5:$C$3004,"Retour"))</f>
        <v/>
      </c>
      <c r="X317" s="66" t="n">
        <v>0</v>
      </c>
      <c r="Y317" s="66" t="n">
        <v>0</v>
      </c>
      <c r="Z317" s="7" t="n"/>
      <c r="AA317" s="70">
        <f>IF($A317="","",N(V317)+N(W317)+N(X317)+N(Y317))</f>
        <v/>
      </c>
      <c r="AB317" s="70">
        <f>IF($A317="","",N(S317)*'Paramètres'!$AA$9*IFERROR(INDEX('Paramètres'!$O$5:$O$7,MATCH(G317,'Paramètres'!$N$5:$N$7,0)),0))</f>
        <v/>
      </c>
      <c r="AC317" s="7" t="inlineStr">
        <is>
          <t>Clôturé</t>
        </is>
      </c>
      <c r="AD317" s="69">
        <f>IF(OR($A317="",Q317=""),"",(Q317-B317)*24)</f>
        <v/>
      </c>
      <c r="AE317" s="69">
        <f>IF(OR(Q317="",R317=""),"",(R317-Q317)*24)</f>
        <v/>
      </c>
      <c r="AF317" s="77">
        <f>IF(OR($A317="",B317=""),"",YEAR(B317))</f>
        <v/>
      </c>
      <c r="AG317" s="77">
        <f>IF(OR($A317="",B317=""),"",MONTH(B317))</f>
        <v/>
      </c>
    </row>
    <row r="318">
      <c r="A318" s="7" t="inlineStr">
        <is>
          <t>OT-2025-0314</t>
        </is>
      </c>
      <c r="B318" s="75" t="n">
        <v>45792.36458333334</v>
      </c>
      <c r="C318" s="7" t="inlineStr">
        <is>
          <t>Plan préventif</t>
        </is>
      </c>
      <c r="D318" s="7" t="inlineStr">
        <is>
          <t>EQ-USI-003</t>
        </is>
      </c>
      <c r="E318" s="9">
        <f>IF(D318="","",IFERROR(INDEX('Équipements'!$B$5:$B$304,MATCH(D318,'Équipements'!$A$5:$A$304,0)),"Code inconnu"))</f>
        <v/>
      </c>
      <c r="F318" s="9">
        <f>IF(D318="","",IFERROR(INDEX('Équipements'!$D$5:$D$304,MATCH(D318,'Équipements'!$A$5:$A$304,0)),""))</f>
        <v/>
      </c>
      <c r="G318" s="9">
        <f>IF(D318="","",IFERROR(INDEX('Équipements'!$K$5:$K$304,MATCH(D318,'Équipements'!$A$5:$A$304,0)),""))</f>
        <v/>
      </c>
      <c r="H318" s="7" t="inlineStr">
        <is>
          <t>Préventif systématique</t>
        </is>
      </c>
      <c r="I318" s="7" t="inlineStr">
        <is>
          <t>GP-010</t>
        </is>
      </c>
      <c r="J318" s="7" t="inlineStr">
        <is>
          <t>Mécanique</t>
        </is>
      </c>
      <c r="K318" s="7" t="inlineStr">
        <is>
          <t>P3 - Normale</t>
        </is>
      </c>
      <c r="L318" s="7" t="inlineStr">
        <is>
          <t>Contrôle géométrie, jeux et graissage des axes</t>
        </is>
      </c>
      <c r="M318" s="7" t="n"/>
      <c r="N318" s="7" t="inlineStr">
        <is>
          <t>Gamme réalisée - RAS</t>
        </is>
      </c>
      <c r="O318" s="7" t="inlineStr">
        <is>
          <t>Antoine Mercier</t>
        </is>
      </c>
      <c r="P318" s="65" t="n">
        <v>45799</v>
      </c>
      <c r="Q318" s="75" t="n">
        <v>45799.55555555555</v>
      </c>
      <c r="R318" s="75" t="n">
        <v>45799.80555555555</v>
      </c>
      <c r="S318" s="76" t="n">
        <v>3</v>
      </c>
      <c r="T318" s="76" t="n">
        <v>6</v>
      </c>
      <c r="U318" s="70">
        <f>IF($A318="","",IFERROR(INDEX('Techniciens'!$F$5:$F$44,MATCH(O318,'Techniciens'!$B$5:$B$44,0)),'Paramètres'!$AA$10))</f>
        <v/>
      </c>
      <c r="V318" s="70">
        <f>IF($A318="","",IF(OR(AC318="Demandé",AC318="Planifié",AC318="Annulé"),0,N(T318)*N(U318)))</f>
        <v/>
      </c>
      <c r="W318" s="70">
        <f>IF($A318="","",SUMIFS('Mouvements stock'!$H$5:$H$3004,'Mouvements stock'!$I$5:$I$3004,$A318,'Mouvements stock'!$C$5:$C$3004,"Sortie")-SUMIFS('Mouvements stock'!$H$5:$H$3004,'Mouvements stock'!$I$5:$I$3004,$A318,'Mouvements stock'!$C$5:$C$3004,"Retour"))</f>
        <v/>
      </c>
      <c r="X318" s="66" t="n">
        <v>0</v>
      </c>
      <c r="Y318" s="66" t="n">
        <v>0</v>
      </c>
      <c r="Z318" s="7" t="n"/>
      <c r="AA318" s="70">
        <f>IF($A318="","",N(V318)+N(W318)+N(X318)+N(Y318))</f>
        <v/>
      </c>
      <c r="AB318" s="70">
        <f>IF($A318="","",N(S318)*'Paramètres'!$AA$9*IFERROR(INDEX('Paramètres'!$O$5:$O$7,MATCH(G318,'Paramètres'!$N$5:$N$7,0)),0))</f>
        <v/>
      </c>
      <c r="AC318" s="7" t="inlineStr">
        <is>
          <t>Clôturé</t>
        </is>
      </c>
      <c r="AD318" s="69">
        <f>IF(OR($A318="",Q318=""),"",(Q318-B318)*24)</f>
        <v/>
      </c>
      <c r="AE318" s="69">
        <f>IF(OR(Q318="",R318=""),"",(R318-Q318)*24)</f>
        <v/>
      </c>
      <c r="AF318" s="77">
        <f>IF(OR($A318="",B318=""),"",YEAR(B318))</f>
        <v/>
      </c>
      <c r="AG318" s="77">
        <f>IF(OR($A318="",B318=""),"",MONTH(B318))</f>
        <v/>
      </c>
    </row>
    <row r="319">
      <c r="A319" s="7" t="inlineStr">
        <is>
          <t>OT-2025-0315</t>
        </is>
      </c>
      <c r="B319" s="75" t="n">
        <v>45793.40625</v>
      </c>
      <c r="C319" s="7" t="inlineStr">
        <is>
          <t>Plan préventif</t>
        </is>
      </c>
      <c r="D319" s="7" t="inlineStr">
        <is>
          <t>EQ-UTI-009</t>
        </is>
      </c>
      <c r="E319" s="9">
        <f>IF(D319="","",IFERROR(INDEX('Équipements'!$B$5:$B$304,MATCH(D319,'Équipements'!$A$5:$A$304,0)),"Code inconnu"))</f>
        <v/>
      </c>
      <c r="F319" s="9">
        <f>IF(D319="","",IFERROR(INDEX('Équipements'!$D$5:$D$304,MATCH(D319,'Équipements'!$A$5:$A$304,0)),""))</f>
        <v/>
      </c>
      <c r="G319" s="9">
        <f>IF(D319="","",IFERROR(INDEX('Équipements'!$K$5:$K$304,MATCH(D319,'Équipements'!$A$5:$A$304,0)),""))</f>
        <v/>
      </c>
      <c r="H319" s="7" t="inlineStr">
        <is>
          <t>Préventif systématique</t>
        </is>
      </c>
      <c r="I319" s="7" t="inlineStr">
        <is>
          <t>GP-101</t>
        </is>
      </c>
      <c r="J319" s="7" t="inlineStr">
        <is>
          <t>Électrique</t>
        </is>
      </c>
      <c r="K319" s="7" t="inlineStr">
        <is>
          <t>P3 - Normale</t>
        </is>
      </c>
      <c r="L319" s="7" t="inlineStr">
        <is>
          <t>Étalonnage des sondes pH / redox</t>
        </is>
      </c>
      <c r="M319" s="7" t="n"/>
      <c r="N319" s="7" t="inlineStr">
        <is>
          <t>Gamme réalisée - RAS</t>
        </is>
      </c>
      <c r="O319" s="7" t="inlineStr">
        <is>
          <t>Thomas Petit</t>
        </is>
      </c>
      <c r="P319" s="65" t="n">
        <v>45800.67361111111</v>
      </c>
      <c r="Q319" s="75" t="n">
        <v>45800.61111111111</v>
      </c>
      <c r="R319" s="75" t="n">
        <v>45800.68402777778</v>
      </c>
      <c r="S319" s="76" t="n">
        <v>0</v>
      </c>
      <c r="T319" s="76" t="n">
        <v>1.75</v>
      </c>
      <c r="U319" s="70">
        <f>IF($A319="","",IFERROR(INDEX('Techniciens'!$F$5:$F$44,MATCH(O319,'Techniciens'!$B$5:$B$44,0)),'Paramètres'!$AA$10))</f>
        <v/>
      </c>
      <c r="V319" s="70">
        <f>IF($A319="","",IF(OR(AC319="Demandé",AC319="Planifié",AC319="Annulé"),0,N(T319)*N(U319)))</f>
        <v/>
      </c>
      <c r="W319" s="70">
        <f>IF($A319="","",SUMIFS('Mouvements stock'!$H$5:$H$3004,'Mouvements stock'!$I$5:$I$3004,$A319,'Mouvements stock'!$C$5:$C$3004,"Sortie")-SUMIFS('Mouvements stock'!$H$5:$H$3004,'Mouvements stock'!$I$5:$I$3004,$A319,'Mouvements stock'!$C$5:$C$3004,"Retour"))</f>
        <v/>
      </c>
      <c r="X319" s="66" t="n">
        <v>0</v>
      </c>
      <c r="Y319" s="66" t="n">
        <v>0</v>
      </c>
      <c r="Z319" s="7" t="n"/>
      <c r="AA319" s="70">
        <f>IF($A319="","",N(V319)+N(W319)+N(X319)+N(Y319))</f>
        <v/>
      </c>
      <c r="AB319" s="70">
        <f>IF($A319="","",N(S319)*'Paramètres'!$AA$9*IFERROR(INDEX('Paramètres'!$O$5:$O$7,MATCH(G319,'Paramètres'!$N$5:$N$7,0)),0))</f>
        <v/>
      </c>
      <c r="AC319" s="7" t="inlineStr">
        <is>
          <t>Clôturé</t>
        </is>
      </c>
      <c r="AD319" s="69">
        <f>IF(OR($A319="",Q319=""),"",(Q319-B319)*24)</f>
        <v/>
      </c>
      <c r="AE319" s="69">
        <f>IF(OR(Q319="",R319=""),"",(R319-Q319)*24)</f>
        <v/>
      </c>
      <c r="AF319" s="77">
        <f>IF(OR($A319="",B319=""),"",YEAR(B319))</f>
        <v/>
      </c>
      <c r="AG319" s="77">
        <f>IF(OR($A319="",B319=""),"",MONTH(B319))</f>
        <v/>
      </c>
    </row>
    <row r="320">
      <c r="A320" s="7" t="inlineStr">
        <is>
          <t>OT-2025-0316</t>
        </is>
      </c>
      <c r="B320" s="75" t="n">
        <v>45793.47222222222</v>
      </c>
      <c r="C320" s="7" t="inlineStr">
        <is>
          <t>Plan préventif</t>
        </is>
      </c>
      <c r="D320" s="7" t="inlineStr">
        <is>
          <t>EQ-LOG-010</t>
        </is>
      </c>
      <c r="E320" s="9">
        <f>IF(D320="","",IFERROR(INDEX('Équipements'!$B$5:$B$304,MATCH(D320,'Équipements'!$A$5:$A$304,0)),"Code inconnu"))</f>
        <v/>
      </c>
      <c r="F320" s="9">
        <f>IF(D320="","",IFERROR(INDEX('Équipements'!$D$5:$D$304,MATCH(D320,'Équipements'!$A$5:$A$304,0)),""))</f>
        <v/>
      </c>
      <c r="G320" s="9">
        <f>IF(D320="","",IFERROR(INDEX('Équipements'!$K$5:$K$304,MATCH(D320,'Équipements'!$A$5:$A$304,0)),""))</f>
        <v/>
      </c>
      <c r="H320" s="7" t="inlineStr">
        <is>
          <t>Préventif systématique</t>
        </is>
      </c>
      <c r="I320" s="7" t="inlineStr">
        <is>
          <t>GP-121</t>
        </is>
      </c>
      <c r="J320" s="7" t="inlineStr">
        <is>
          <t>Bâtiment</t>
        </is>
      </c>
      <c r="K320" s="7" t="inlineStr">
        <is>
          <t>P3 - Normale</t>
        </is>
      </c>
      <c r="L320" s="7" t="inlineStr">
        <is>
          <t>Graissage et contrôle des sécurités</t>
        </is>
      </c>
      <c r="M320" s="7" t="n"/>
      <c r="N320" s="7" t="inlineStr">
        <is>
          <t>Gamme réalisée - RAS</t>
        </is>
      </c>
      <c r="O320" s="7" t="inlineStr">
        <is>
          <t>Karim Benali</t>
        </is>
      </c>
      <c r="P320" s="65" t="n">
        <v>45800</v>
      </c>
      <c r="Q320" s="75" t="n">
        <v>45800.52777777778</v>
      </c>
      <c r="R320" s="75" t="n">
        <v>45800.60069444445</v>
      </c>
      <c r="S320" s="76" t="n">
        <v>0</v>
      </c>
      <c r="T320" s="76" t="n">
        <v>1.75</v>
      </c>
      <c r="U320" s="70">
        <f>IF($A320="","",IFERROR(INDEX('Techniciens'!$F$5:$F$44,MATCH(O320,'Techniciens'!$B$5:$B$44,0)),'Paramètres'!$AA$10))</f>
        <v/>
      </c>
      <c r="V320" s="70">
        <f>IF($A320="","",IF(OR(AC320="Demandé",AC320="Planifié",AC320="Annulé"),0,N(T320)*N(U320)))</f>
        <v/>
      </c>
      <c r="W320" s="70">
        <f>IF($A320="","",SUMIFS('Mouvements stock'!$H$5:$H$3004,'Mouvements stock'!$I$5:$I$3004,$A320,'Mouvements stock'!$C$5:$C$3004,"Sortie")-SUMIFS('Mouvements stock'!$H$5:$H$3004,'Mouvements stock'!$I$5:$I$3004,$A320,'Mouvements stock'!$C$5:$C$3004,"Retour"))</f>
        <v/>
      </c>
      <c r="X320" s="66" t="n">
        <v>0</v>
      </c>
      <c r="Y320" s="66" t="n">
        <v>0</v>
      </c>
      <c r="Z320" s="7" t="n"/>
      <c r="AA320" s="70">
        <f>IF($A320="","",N(V320)+N(W320)+N(X320)+N(Y320))</f>
        <v/>
      </c>
      <c r="AB320" s="70">
        <f>IF($A320="","",N(S320)*'Paramètres'!$AA$9*IFERROR(INDEX('Paramètres'!$O$5:$O$7,MATCH(G320,'Paramètres'!$N$5:$N$7,0)),0))</f>
        <v/>
      </c>
      <c r="AC320" s="7" t="inlineStr">
        <is>
          <t>Clôturé</t>
        </is>
      </c>
      <c r="AD320" s="69">
        <f>IF(OR($A320="",Q320=""),"",(Q320-B320)*24)</f>
        <v/>
      </c>
      <c r="AE320" s="69">
        <f>IF(OR(Q320="",R320=""),"",(R320-Q320)*24)</f>
        <v/>
      </c>
      <c r="AF320" s="77">
        <f>IF(OR($A320="",B320=""),"",YEAR(B320))</f>
        <v/>
      </c>
      <c r="AG320" s="77">
        <f>IF(OR($A320="",B320=""),"",MONTH(B320))</f>
        <v/>
      </c>
    </row>
    <row r="321">
      <c r="A321" s="7" t="inlineStr">
        <is>
          <t>OT-2025-0317</t>
        </is>
      </c>
      <c r="B321" s="75" t="n">
        <v>45793.91319444445</v>
      </c>
      <c r="C321" s="7" t="inlineStr">
        <is>
          <t>Services généraux</t>
        </is>
      </c>
      <c r="D321" s="7" t="inlineStr">
        <is>
          <t>EQ-BAT-002</t>
        </is>
      </c>
      <c r="E321" s="9">
        <f>IF(D321="","",IFERROR(INDEX('Équipements'!$B$5:$B$304,MATCH(D321,'Équipements'!$A$5:$A$304,0)),"Code inconnu"))</f>
        <v/>
      </c>
      <c r="F321" s="9">
        <f>IF(D321="","",IFERROR(INDEX('Équipements'!$D$5:$D$304,MATCH(D321,'Équipements'!$A$5:$A$304,0)),""))</f>
        <v/>
      </c>
      <c r="G321" s="9">
        <f>IF(D321="","",IFERROR(INDEX('Équipements'!$K$5:$K$304,MATCH(D321,'Équipements'!$A$5:$A$304,0)),""))</f>
        <v/>
      </c>
      <c r="H321" s="7" t="inlineStr">
        <is>
          <t>Correctif</t>
        </is>
      </c>
      <c r="I321" s="7" t="n"/>
      <c r="J321" s="7" t="inlineStr">
        <is>
          <t>Électrique</t>
        </is>
      </c>
      <c r="K321" s="7" t="inlineStr">
        <is>
          <t>P1 - Urgent</t>
        </is>
      </c>
      <c r="L321" s="7" t="inlineStr">
        <is>
          <t>Cellule photoélectrique HS</t>
        </is>
      </c>
      <c r="M321" s="7" t="inlineStr">
        <is>
          <t>Défaut capteur</t>
        </is>
      </c>
      <c r="N321" s="7" t="inlineStr">
        <is>
          <t>Remplacement cellule</t>
        </is>
      </c>
      <c r="O321" s="7" t="inlineStr">
        <is>
          <t>Antoine Mercier</t>
        </is>
      </c>
      <c r="P321" s="65" t="n"/>
      <c r="Q321" s="75" t="n">
        <v>45793.93611111111</v>
      </c>
      <c r="R321" s="75" t="n">
        <v>45794.11319444444</v>
      </c>
      <c r="S321" s="76" t="n">
        <v>1.4</v>
      </c>
      <c r="T321" s="76" t="n">
        <v>4.25</v>
      </c>
      <c r="U321" s="70">
        <f>IF($A321="","",IFERROR(INDEX('Techniciens'!$F$5:$F$44,MATCH(O321,'Techniciens'!$B$5:$B$44,0)),'Paramètres'!$AA$10))</f>
        <v/>
      </c>
      <c r="V321" s="70">
        <f>IF($A321="","",IF(OR(AC321="Demandé",AC321="Planifié",AC321="Annulé"),0,N(T321)*N(U321)))</f>
        <v/>
      </c>
      <c r="W321" s="70">
        <f>IF($A321="","",SUMIFS('Mouvements stock'!$H$5:$H$3004,'Mouvements stock'!$I$5:$I$3004,$A321,'Mouvements stock'!$C$5:$C$3004,"Sortie")-SUMIFS('Mouvements stock'!$H$5:$H$3004,'Mouvements stock'!$I$5:$I$3004,$A321,'Mouvements stock'!$C$5:$C$3004,"Retour"))</f>
        <v/>
      </c>
      <c r="X321" s="66" t="n">
        <v>510</v>
      </c>
      <c r="Y321" s="66" t="n">
        <v>0</v>
      </c>
      <c r="Z321" s="7" t="n"/>
      <c r="AA321" s="70">
        <f>IF($A321="","",N(V321)+N(W321)+N(X321)+N(Y321))</f>
        <v/>
      </c>
      <c r="AB321" s="70">
        <f>IF($A321="","",N(S321)*'Paramètres'!$AA$9*IFERROR(INDEX('Paramètres'!$O$5:$O$7,MATCH(G321,'Paramètres'!$N$5:$N$7,0)),0))</f>
        <v/>
      </c>
      <c r="AC321" s="7" t="inlineStr">
        <is>
          <t>Clôturé</t>
        </is>
      </c>
      <c r="AD321" s="69">
        <f>IF(OR($A321="",Q321=""),"",(Q321-B321)*24)</f>
        <v/>
      </c>
      <c r="AE321" s="69">
        <f>IF(OR(Q321="",R321=""),"",(R321-Q321)*24)</f>
        <v/>
      </c>
      <c r="AF321" s="77">
        <f>IF(OR($A321="",B321=""),"",YEAR(B321))</f>
        <v/>
      </c>
      <c r="AG321" s="77">
        <f>IF(OR($A321="",B321=""),"",MONTH(B321))</f>
        <v/>
      </c>
    </row>
    <row r="322">
      <c r="A322" s="7" t="inlineStr">
        <is>
          <t>OT-2025-0318</t>
        </is>
      </c>
      <c r="B322" s="75" t="n">
        <v>45796.34375</v>
      </c>
      <c r="C322" s="7" t="inlineStr">
        <is>
          <t>Plan préventif</t>
        </is>
      </c>
      <c r="D322" s="7" t="inlineStr">
        <is>
          <t>EQ-TOL-001</t>
        </is>
      </c>
      <c r="E322" s="9">
        <f>IF(D322="","",IFERROR(INDEX('Équipements'!$B$5:$B$304,MATCH(D322,'Équipements'!$A$5:$A$304,0)),"Code inconnu"))</f>
        <v/>
      </c>
      <c r="F322" s="9">
        <f>IF(D322="","",IFERROR(INDEX('Équipements'!$D$5:$D$304,MATCH(D322,'Équipements'!$A$5:$A$304,0)),""))</f>
        <v/>
      </c>
      <c r="G322" s="9">
        <f>IF(D322="","",IFERROR(INDEX('Équipements'!$K$5:$K$304,MATCH(D322,'Équipements'!$A$5:$A$304,0)),""))</f>
        <v/>
      </c>
      <c r="H322" s="7" t="inlineStr">
        <is>
          <t>Préventif systématique</t>
        </is>
      </c>
      <c r="I322" s="7" t="inlineStr">
        <is>
          <t>GP-038</t>
        </is>
      </c>
      <c r="J322" s="7" t="inlineStr">
        <is>
          <t>Mécanique</t>
        </is>
      </c>
      <c r="K322" s="7" t="inlineStr">
        <is>
          <t>P3 - Normale</t>
        </is>
      </c>
      <c r="L322" s="7" t="inlineStr">
        <is>
          <t>Nettoyage optique, contrôle buse et lentille</t>
        </is>
      </c>
      <c r="M322" s="7" t="n"/>
      <c r="N322" s="7" t="inlineStr">
        <is>
          <t>Gamme réalisée - RAS</t>
        </is>
      </c>
      <c r="O322" s="7" t="inlineStr">
        <is>
          <t>Karim Benali</t>
        </is>
      </c>
      <c r="P322" s="65" t="n">
        <v>45803.61111111111</v>
      </c>
      <c r="Q322" s="75" t="n">
        <v>45803.30208333334</v>
      </c>
      <c r="R322" s="75" t="n">
        <v>45803.40625</v>
      </c>
      <c r="S322" s="76" t="n">
        <v>2.5</v>
      </c>
      <c r="T322" s="76" t="n">
        <v>2.5</v>
      </c>
      <c r="U322" s="70">
        <f>IF($A322="","",IFERROR(INDEX('Techniciens'!$F$5:$F$44,MATCH(O322,'Techniciens'!$B$5:$B$44,0)),'Paramètres'!$AA$10))</f>
        <v/>
      </c>
      <c r="V322" s="70">
        <f>IF($A322="","",IF(OR(AC322="Demandé",AC322="Planifié",AC322="Annulé"),0,N(T322)*N(U322)))</f>
        <v/>
      </c>
      <c r="W322" s="70">
        <f>IF($A322="","",SUMIFS('Mouvements stock'!$H$5:$H$3004,'Mouvements stock'!$I$5:$I$3004,$A322,'Mouvements stock'!$C$5:$C$3004,"Sortie")-SUMIFS('Mouvements stock'!$H$5:$H$3004,'Mouvements stock'!$I$5:$I$3004,$A322,'Mouvements stock'!$C$5:$C$3004,"Retour"))</f>
        <v/>
      </c>
      <c r="X322" s="66" t="n">
        <v>0</v>
      </c>
      <c r="Y322" s="66" t="n">
        <v>0</v>
      </c>
      <c r="Z322" s="7" t="n"/>
      <c r="AA322" s="70">
        <f>IF($A322="","",N(V322)+N(W322)+N(X322)+N(Y322))</f>
        <v/>
      </c>
      <c r="AB322" s="70">
        <f>IF($A322="","",N(S322)*'Paramètres'!$AA$9*IFERROR(INDEX('Paramètres'!$O$5:$O$7,MATCH(G322,'Paramètres'!$N$5:$N$7,0)),0))</f>
        <v/>
      </c>
      <c r="AC322" s="7" t="inlineStr">
        <is>
          <t>Clôturé</t>
        </is>
      </c>
      <c r="AD322" s="69">
        <f>IF(OR($A322="",Q322=""),"",(Q322-B322)*24)</f>
        <v/>
      </c>
      <c r="AE322" s="69">
        <f>IF(OR(Q322="",R322=""),"",(R322-Q322)*24)</f>
        <v/>
      </c>
      <c r="AF322" s="77">
        <f>IF(OR($A322="",B322=""),"",YEAR(B322))</f>
        <v/>
      </c>
      <c r="AG322" s="77">
        <f>IF(OR($A322="",B322=""),"",MONTH(B322))</f>
        <v/>
      </c>
    </row>
    <row r="323">
      <c r="A323" s="7" t="inlineStr">
        <is>
          <t>OT-2025-0319</t>
        </is>
      </c>
      <c r="B323" s="75" t="n">
        <v>45796.38194444445</v>
      </c>
      <c r="C323" s="7" t="inlineStr">
        <is>
          <t>Plan préventif</t>
        </is>
      </c>
      <c r="D323" s="7" t="inlineStr">
        <is>
          <t>EQ-TOL-003</t>
        </is>
      </c>
      <c r="E323" s="9">
        <f>IF(D323="","",IFERROR(INDEX('Équipements'!$B$5:$B$304,MATCH(D323,'Équipements'!$A$5:$A$304,0)),"Code inconnu"))</f>
        <v/>
      </c>
      <c r="F323" s="9">
        <f>IF(D323="","",IFERROR(INDEX('Équipements'!$D$5:$D$304,MATCH(D323,'Équipements'!$A$5:$A$304,0)),""))</f>
        <v/>
      </c>
      <c r="G323" s="9">
        <f>IF(D323="","",IFERROR(INDEX('Équipements'!$K$5:$K$304,MATCH(D323,'Équipements'!$A$5:$A$304,0)),""))</f>
        <v/>
      </c>
      <c r="H323" s="7" t="inlineStr">
        <is>
          <t>Préventif systématique</t>
        </is>
      </c>
      <c r="I323" s="7" t="inlineStr">
        <is>
          <t>GP-046</t>
        </is>
      </c>
      <c r="J323" s="7" t="inlineStr">
        <is>
          <t>Électrique</t>
        </is>
      </c>
      <c r="K323" s="7" t="inlineStr">
        <is>
          <t>P3 - Normale</t>
        </is>
      </c>
      <c r="L323" s="7" t="inlineStr">
        <is>
          <t>Contrôle des sécurités (barrages, AU, pédale)</t>
        </is>
      </c>
      <c r="M323" s="7" t="n"/>
      <c r="N323" s="7" t="inlineStr">
        <is>
          <t>Gamme réalisée - RAS</t>
        </is>
      </c>
      <c r="O323" s="7" t="inlineStr">
        <is>
          <t>Antoine Mercier</t>
        </is>
      </c>
      <c r="P323" s="65" t="n">
        <v>45803.58333333334</v>
      </c>
      <c r="Q323" s="75" t="n">
        <v>45803.50694444445</v>
      </c>
      <c r="R323" s="75" t="n">
        <v>45803.56944444445</v>
      </c>
      <c r="S323" s="76" t="n">
        <v>1.5</v>
      </c>
      <c r="T323" s="76" t="n">
        <v>1.5</v>
      </c>
      <c r="U323" s="70">
        <f>IF($A323="","",IFERROR(INDEX('Techniciens'!$F$5:$F$44,MATCH(O323,'Techniciens'!$B$5:$B$44,0)),'Paramètres'!$AA$10))</f>
        <v/>
      </c>
      <c r="V323" s="70">
        <f>IF($A323="","",IF(OR(AC323="Demandé",AC323="Planifié",AC323="Annulé"),0,N(T323)*N(U323)))</f>
        <v/>
      </c>
      <c r="W323" s="70">
        <f>IF($A323="","",SUMIFS('Mouvements stock'!$H$5:$H$3004,'Mouvements stock'!$I$5:$I$3004,$A323,'Mouvements stock'!$C$5:$C$3004,"Sortie")-SUMIFS('Mouvements stock'!$H$5:$H$3004,'Mouvements stock'!$I$5:$I$3004,$A323,'Mouvements stock'!$C$5:$C$3004,"Retour"))</f>
        <v/>
      </c>
      <c r="X323" s="66" t="n">
        <v>0</v>
      </c>
      <c r="Y323" s="66" t="n">
        <v>0</v>
      </c>
      <c r="Z323" s="7" t="n"/>
      <c r="AA323" s="70">
        <f>IF($A323="","",N(V323)+N(W323)+N(X323)+N(Y323))</f>
        <v/>
      </c>
      <c r="AB323" s="70">
        <f>IF($A323="","",N(S323)*'Paramètres'!$AA$9*IFERROR(INDEX('Paramètres'!$O$5:$O$7,MATCH(G323,'Paramètres'!$N$5:$N$7,0)),0))</f>
        <v/>
      </c>
      <c r="AC323" s="7" t="inlineStr">
        <is>
          <t>Clôturé</t>
        </is>
      </c>
      <c r="AD323" s="69">
        <f>IF(OR($A323="",Q323=""),"",(Q323-B323)*24)</f>
        <v/>
      </c>
      <c r="AE323" s="69">
        <f>IF(OR(Q323="",R323=""),"",(R323-Q323)*24)</f>
        <v/>
      </c>
      <c r="AF323" s="77">
        <f>IF(OR($A323="",B323=""),"",YEAR(B323))</f>
        <v/>
      </c>
      <c r="AG323" s="77">
        <f>IF(OR($A323="",B323=""),"",MONTH(B323))</f>
        <v/>
      </c>
    </row>
    <row r="324">
      <c r="A324" s="7" t="inlineStr">
        <is>
          <t>OT-2025-0320</t>
        </is>
      </c>
      <c r="B324" s="75" t="n">
        <v>45796.40277777778</v>
      </c>
      <c r="C324" s="7" t="inlineStr">
        <is>
          <t>Plan préventif</t>
        </is>
      </c>
      <c r="D324" s="7" t="inlineStr">
        <is>
          <t>EQ-PEI-003</t>
        </is>
      </c>
      <c r="E324" s="9">
        <f>IF(D324="","",IFERROR(INDEX('Équipements'!$B$5:$B$304,MATCH(D324,'Équipements'!$A$5:$A$304,0)),"Code inconnu"))</f>
        <v/>
      </c>
      <c r="F324" s="9">
        <f>IF(D324="","",IFERROR(INDEX('Équipements'!$D$5:$D$304,MATCH(D324,'Équipements'!$A$5:$A$304,0)),""))</f>
        <v/>
      </c>
      <c r="G324" s="9">
        <f>IF(D324="","",IFERROR(INDEX('Équipements'!$K$5:$K$304,MATCH(D324,'Équipements'!$A$5:$A$304,0)),""))</f>
        <v/>
      </c>
      <c r="H324" s="7" t="inlineStr">
        <is>
          <t>Préventif systématique</t>
        </is>
      </c>
      <c r="I324" s="7" t="inlineStr">
        <is>
          <t>GP-070</t>
        </is>
      </c>
      <c r="J324" s="7" t="inlineStr">
        <is>
          <t>Mécanique</t>
        </is>
      </c>
      <c r="K324" s="7" t="inlineStr">
        <is>
          <t>P3 - Normale</t>
        </is>
      </c>
      <c r="L324" s="7" t="inlineStr">
        <is>
          <t>Nettoyage et remplacement des filtres</t>
        </is>
      </c>
      <c r="M324" s="7" t="n"/>
      <c r="N324" s="7" t="inlineStr">
        <is>
          <t>Gamme réalisée - RAS</t>
        </is>
      </c>
      <c r="O324" s="7" t="inlineStr">
        <is>
          <t>Antoine Mercier</t>
        </is>
      </c>
      <c r="P324" s="65" t="n">
        <v>45803.5</v>
      </c>
      <c r="Q324" s="75" t="n">
        <v>45803.29166666666</v>
      </c>
      <c r="R324" s="75" t="n">
        <v>45803.39583333334</v>
      </c>
      <c r="S324" s="76" t="n">
        <v>2.5</v>
      </c>
      <c r="T324" s="76" t="n">
        <v>2.5</v>
      </c>
      <c r="U324" s="70">
        <f>IF($A324="","",IFERROR(INDEX('Techniciens'!$F$5:$F$44,MATCH(O324,'Techniciens'!$B$5:$B$44,0)),'Paramètres'!$AA$10))</f>
        <v/>
      </c>
      <c r="V324" s="70">
        <f>IF($A324="","",IF(OR(AC324="Demandé",AC324="Planifié",AC324="Annulé"),0,N(T324)*N(U324)))</f>
        <v/>
      </c>
      <c r="W324" s="70">
        <f>IF($A324="","",SUMIFS('Mouvements stock'!$H$5:$H$3004,'Mouvements stock'!$I$5:$I$3004,$A324,'Mouvements stock'!$C$5:$C$3004,"Sortie")-SUMIFS('Mouvements stock'!$H$5:$H$3004,'Mouvements stock'!$I$5:$I$3004,$A324,'Mouvements stock'!$C$5:$C$3004,"Retour"))</f>
        <v/>
      </c>
      <c r="X324" s="66" t="n">
        <v>0</v>
      </c>
      <c r="Y324" s="66" t="n">
        <v>0</v>
      </c>
      <c r="Z324" s="7" t="n"/>
      <c r="AA324" s="70">
        <f>IF($A324="","",N(V324)+N(W324)+N(X324)+N(Y324))</f>
        <v/>
      </c>
      <c r="AB324" s="70">
        <f>IF($A324="","",N(S324)*'Paramètres'!$AA$9*IFERROR(INDEX('Paramètres'!$O$5:$O$7,MATCH(G324,'Paramètres'!$N$5:$N$7,0)),0))</f>
        <v/>
      </c>
      <c r="AC324" s="7" t="inlineStr">
        <is>
          <t>Clôturé</t>
        </is>
      </c>
      <c r="AD324" s="69">
        <f>IF(OR($A324="",Q324=""),"",(Q324-B324)*24)</f>
        <v/>
      </c>
      <c r="AE324" s="69">
        <f>IF(OR(Q324="",R324=""),"",(R324-Q324)*24)</f>
        <v/>
      </c>
      <c r="AF324" s="77">
        <f>IF(OR($A324="",B324=""),"",YEAR(B324))</f>
        <v/>
      </c>
      <c r="AG324" s="77">
        <f>IF(OR($A324="",B324=""),"",MONTH(B324))</f>
        <v/>
      </c>
    </row>
    <row r="325">
      <c r="A325" s="7" t="inlineStr">
        <is>
          <t>OT-2025-0321</t>
        </is>
      </c>
      <c r="B325" s="75" t="n">
        <v>45796.41666666666</v>
      </c>
      <c r="C325" s="7" t="inlineStr">
        <is>
          <t>Plan préventif</t>
        </is>
      </c>
      <c r="D325" s="7" t="inlineStr">
        <is>
          <t>EQ-PEI-005</t>
        </is>
      </c>
      <c r="E325" s="9">
        <f>IF(D325="","",IFERROR(INDEX('Équipements'!$B$5:$B$304,MATCH(D325,'Équipements'!$A$5:$A$304,0)),"Code inconnu"))</f>
        <v/>
      </c>
      <c r="F325" s="9">
        <f>IF(D325="","",IFERROR(INDEX('Équipements'!$D$5:$D$304,MATCH(D325,'Équipements'!$A$5:$A$304,0)),""))</f>
        <v/>
      </c>
      <c r="G325" s="9">
        <f>IF(D325="","",IFERROR(INDEX('Équipements'!$K$5:$K$304,MATCH(D325,'Équipements'!$A$5:$A$304,0)),""))</f>
        <v/>
      </c>
      <c r="H325" s="7" t="inlineStr">
        <is>
          <t>Préventif systématique</t>
        </is>
      </c>
      <c r="I325" s="7" t="inlineStr">
        <is>
          <t>GP-075</t>
        </is>
      </c>
      <c r="J325" s="7" t="inlineStr">
        <is>
          <t>Multi-technique</t>
        </is>
      </c>
      <c r="K325" s="7" t="inlineStr">
        <is>
          <t>P3 - Normale</t>
        </is>
      </c>
      <c r="L325" s="7" t="inlineStr">
        <is>
          <t>Contrôle ventilation, brûleurs, pompes et sécurités</t>
        </is>
      </c>
      <c r="M325" s="7" t="n"/>
      <c r="N325" s="7" t="inlineStr">
        <is>
          <t>Gamme réalisée - RAS</t>
        </is>
      </c>
      <c r="O325" s="7" t="inlineStr">
        <is>
          <t>Antoine Mercier</t>
        </is>
      </c>
      <c r="P325" s="65" t="n">
        <v>45803</v>
      </c>
      <c r="Q325" s="75" t="n">
        <v>45803.40625</v>
      </c>
      <c r="R325" s="75" t="n">
        <v>45803.60416666666</v>
      </c>
      <c r="S325" s="76" t="n">
        <v>2.4</v>
      </c>
      <c r="T325" s="76" t="n">
        <v>4.75</v>
      </c>
      <c r="U325" s="70">
        <f>IF($A325="","",IFERROR(INDEX('Techniciens'!$F$5:$F$44,MATCH(O325,'Techniciens'!$B$5:$B$44,0)),'Paramètres'!$AA$10))</f>
        <v/>
      </c>
      <c r="V325" s="70">
        <f>IF($A325="","",IF(OR(AC325="Demandé",AC325="Planifié",AC325="Annulé"),0,N(T325)*N(U325)))</f>
        <v/>
      </c>
      <c r="W325" s="70">
        <f>IF($A325="","",SUMIFS('Mouvements stock'!$H$5:$H$3004,'Mouvements stock'!$I$5:$I$3004,$A325,'Mouvements stock'!$C$5:$C$3004,"Sortie")-SUMIFS('Mouvements stock'!$H$5:$H$3004,'Mouvements stock'!$I$5:$I$3004,$A325,'Mouvements stock'!$C$5:$C$3004,"Retour"))</f>
        <v/>
      </c>
      <c r="X325" s="66" t="n">
        <v>0</v>
      </c>
      <c r="Y325" s="66" t="n">
        <v>0</v>
      </c>
      <c r="Z325" s="7" t="n"/>
      <c r="AA325" s="70">
        <f>IF($A325="","",N(V325)+N(W325)+N(X325)+N(Y325))</f>
        <v/>
      </c>
      <c r="AB325" s="70">
        <f>IF($A325="","",N(S325)*'Paramètres'!$AA$9*IFERROR(INDEX('Paramètres'!$O$5:$O$7,MATCH(G325,'Paramètres'!$N$5:$N$7,0)),0))</f>
        <v/>
      </c>
      <c r="AC325" s="7" t="inlineStr">
        <is>
          <t>Clôturé</t>
        </is>
      </c>
      <c r="AD325" s="69">
        <f>IF(OR($A325="",Q325=""),"",(Q325-B325)*24)</f>
        <v/>
      </c>
      <c r="AE325" s="69">
        <f>IF(OR(Q325="",R325=""),"",(R325-Q325)*24)</f>
        <v/>
      </c>
      <c r="AF325" s="77">
        <f>IF(OR($A325="",B325=""),"",YEAR(B325))</f>
        <v/>
      </c>
      <c r="AG325" s="77">
        <f>IF(OR($A325="",B325=""),"",MONTH(B325))</f>
        <v/>
      </c>
    </row>
    <row r="326">
      <c r="A326" s="7" t="inlineStr">
        <is>
          <t>OT-2025-0322</t>
        </is>
      </c>
      <c r="B326" s="75" t="n">
        <v>45796.42708333334</v>
      </c>
      <c r="C326" s="7" t="inlineStr">
        <is>
          <t>Plan préventif</t>
        </is>
      </c>
      <c r="D326" s="7" t="inlineStr">
        <is>
          <t>EQ-UTI-008</t>
        </is>
      </c>
      <c r="E326" s="9">
        <f>IF(D326="","",IFERROR(INDEX('Équipements'!$B$5:$B$304,MATCH(D326,'Équipements'!$A$5:$A$304,0)),"Code inconnu"))</f>
        <v/>
      </c>
      <c r="F326" s="9">
        <f>IF(D326="","",IFERROR(INDEX('Équipements'!$D$5:$D$304,MATCH(D326,'Équipements'!$A$5:$A$304,0)),""))</f>
        <v/>
      </c>
      <c r="G326" s="9">
        <f>IF(D326="","",IFERROR(INDEX('Équipements'!$K$5:$K$304,MATCH(D326,'Équipements'!$A$5:$A$304,0)),""))</f>
        <v/>
      </c>
      <c r="H326" s="7" t="inlineStr">
        <is>
          <t>Préventif systématique</t>
        </is>
      </c>
      <c r="I326" s="7" t="inlineStr">
        <is>
          <t>GP-100</t>
        </is>
      </c>
      <c r="J326" s="7" t="inlineStr">
        <is>
          <t>Électrique</t>
        </is>
      </c>
      <c r="K326" s="7" t="inlineStr">
        <is>
          <t>P3 - Normale</t>
        </is>
      </c>
      <c r="L326" s="7" t="inlineStr">
        <is>
          <t>Essai de fonctionnement / contrôle visuel</t>
        </is>
      </c>
      <c r="M326" s="7" t="n"/>
      <c r="N326" s="7" t="inlineStr">
        <is>
          <t>Gamme réalisée - RAS</t>
        </is>
      </c>
      <c r="O326" s="7" t="inlineStr">
        <is>
          <t>Julien Moreau</t>
        </is>
      </c>
      <c r="P326" s="65" t="n">
        <v>45803.375</v>
      </c>
      <c r="Q326" s="75" t="n">
        <v>45803.5</v>
      </c>
      <c r="R326" s="75" t="n">
        <v>45803.55208333334</v>
      </c>
      <c r="S326" s="76" t="n">
        <v>0</v>
      </c>
      <c r="T326" s="76" t="n">
        <v>1.25</v>
      </c>
      <c r="U326" s="70">
        <f>IF($A326="","",IFERROR(INDEX('Techniciens'!$F$5:$F$44,MATCH(O326,'Techniciens'!$B$5:$B$44,0)),'Paramètres'!$AA$10))</f>
        <v/>
      </c>
      <c r="V326" s="70">
        <f>IF($A326="","",IF(OR(AC326="Demandé",AC326="Planifié",AC326="Annulé"),0,N(T326)*N(U326)))</f>
        <v/>
      </c>
      <c r="W326" s="70">
        <f>IF($A326="","",SUMIFS('Mouvements stock'!$H$5:$H$3004,'Mouvements stock'!$I$5:$I$3004,$A326,'Mouvements stock'!$C$5:$C$3004,"Sortie")-SUMIFS('Mouvements stock'!$H$5:$H$3004,'Mouvements stock'!$I$5:$I$3004,$A326,'Mouvements stock'!$C$5:$C$3004,"Retour"))</f>
        <v/>
      </c>
      <c r="X326" s="66" t="n">
        <v>0</v>
      </c>
      <c r="Y326" s="66" t="n">
        <v>0</v>
      </c>
      <c r="Z326" s="7" t="n"/>
      <c r="AA326" s="70">
        <f>IF($A326="","",N(V326)+N(W326)+N(X326)+N(Y326))</f>
        <v/>
      </c>
      <c r="AB326" s="70">
        <f>IF($A326="","",N(S326)*'Paramètres'!$AA$9*IFERROR(INDEX('Paramètres'!$O$5:$O$7,MATCH(G326,'Paramètres'!$N$5:$N$7,0)),0))</f>
        <v/>
      </c>
      <c r="AC326" s="7" t="inlineStr">
        <is>
          <t>Clôturé</t>
        </is>
      </c>
      <c r="AD326" s="69">
        <f>IF(OR($A326="",Q326=""),"",(Q326-B326)*24)</f>
        <v/>
      </c>
      <c r="AE326" s="69">
        <f>IF(OR(Q326="",R326=""),"",(R326-Q326)*24)</f>
        <v/>
      </c>
      <c r="AF326" s="77">
        <f>IF(OR($A326="",B326=""),"",YEAR(B326))</f>
        <v/>
      </c>
      <c r="AG326" s="77">
        <f>IF(OR($A326="",B326=""),"",MONTH(B326))</f>
        <v/>
      </c>
    </row>
    <row r="327">
      <c r="A327" s="7" t="inlineStr">
        <is>
          <t>OT-2025-0323</t>
        </is>
      </c>
      <c r="B327" s="75" t="n">
        <v>45796.44791666666</v>
      </c>
      <c r="C327" s="7" t="inlineStr">
        <is>
          <t>Plan préventif</t>
        </is>
      </c>
      <c r="D327" s="7" t="inlineStr">
        <is>
          <t>EQ-ASS-006</t>
        </is>
      </c>
      <c r="E327" s="9">
        <f>IF(D327="","",IFERROR(INDEX('Équipements'!$B$5:$B$304,MATCH(D327,'Équipements'!$A$5:$A$304,0)),"Code inconnu"))</f>
        <v/>
      </c>
      <c r="F327" s="9">
        <f>IF(D327="","",IFERROR(INDEX('Équipements'!$D$5:$D$304,MATCH(D327,'Équipements'!$A$5:$A$304,0)),""))</f>
        <v/>
      </c>
      <c r="G327" s="9">
        <f>IF(D327="","",IFERROR(INDEX('Équipements'!$K$5:$K$304,MATCH(D327,'Équipements'!$A$5:$A$304,0)),""))</f>
        <v/>
      </c>
      <c r="H327" s="7" t="inlineStr">
        <is>
          <t>Préventif systématique</t>
        </is>
      </c>
      <c r="I327" s="7" t="inlineStr">
        <is>
          <t>GP-085</t>
        </is>
      </c>
      <c r="J327" s="7" t="inlineStr">
        <is>
          <t>Mécanique</t>
        </is>
      </c>
      <c r="K327" s="7" t="inlineStr">
        <is>
          <t>P3 - Normale</t>
        </is>
      </c>
      <c r="L327" s="7" t="inlineStr">
        <is>
          <t>Graissage chaîne / galets et contrôle tension</t>
        </is>
      </c>
      <c r="M327" s="7" t="n"/>
      <c r="N327" s="7" t="inlineStr">
        <is>
          <t>Gamme réalisée - RAS</t>
        </is>
      </c>
      <c r="O327" s="7" t="inlineStr">
        <is>
          <t>Lucas Fontaine</t>
        </is>
      </c>
      <c r="P327" s="65" t="n">
        <v>45803.56944444445</v>
      </c>
      <c r="Q327" s="75" t="n">
        <v>45803.56944444445</v>
      </c>
      <c r="R327" s="75" t="n">
        <v>45803.68402777778</v>
      </c>
      <c r="S327" s="76" t="n">
        <v>0</v>
      </c>
      <c r="T327" s="76" t="n">
        <v>2.75</v>
      </c>
      <c r="U327" s="70">
        <f>IF($A327="","",IFERROR(INDEX('Techniciens'!$F$5:$F$44,MATCH(O327,'Techniciens'!$B$5:$B$44,0)),'Paramètres'!$AA$10))</f>
        <v/>
      </c>
      <c r="V327" s="70">
        <f>IF($A327="","",IF(OR(AC327="Demandé",AC327="Planifié",AC327="Annulé"),0,N(T327)*N(U327)))</f>
        <v/>
      </c>
      <c r="W327" s="70">
        <f>IF($A327="","",SUMIFS('Mouvements stock'!$H$5:$H$3004,'Mouvements stock'!$I$5:$I$3004,$A327,'Mouvements stock'!$C$5:$C$3004,"Sortie")-SUMIFS('Mouvements stock'!$H$5:$H$3004,'Mouvements stock'!$I$5:$I$3004,$A327,'Mouvements stock'!$C$5:$C$3004,"Retour"))</f>
        <v/>
      </c>
      <c r="X327" s="66" t="n">
        <v>0</v>
      </c>
      <c r="Y327" s="66" t="n">
        <v>0</v>
      </c>
      <c r="Z327" s="7" t="n"/>
      <c r="AA327" s="70">
        <f>IF($A327="","",N(V327)+N(W327)+N(X327)+N(Y327))</f>
        <v/>
      </c>
      <c r="AB327" s="70">
        <f>IF($A327="","",N(S327)*'Paramètres'!$AA$9*IFERROR(INDEX('Paramètres'!$O$5:$O$7,MATCH(G327,'Paramètres'!$N$5:$N$7,0)),0))</f>
        <v/>
      </c>
      <c r="AC327" s="7" t="inlineStr">
        <is>
          <t>Clôturé</t>
        </is>
      </c>
      <c r="AD327" s="69">
        <f>IF(OR($A327="",Q327=""),"",(Q327-B327)*24)</f>
        <v/>
      </c>
      <c r="AE327" s="69">
        <f>IF(OR(Q327="",R327=""),"",(R327-Q327)*24)</f>
        <v/>
      </c>
      <c r="AF327" s="77">
        <f>IF(OR($A327="",B327=""),"",YEAR(B327))</f>
        <v/>
      </c>
      <c r="AG327" s="77">
        <f>IF(OR($A327="",B327=""),"",MONTH(B327))</f>
        <v/>
      </c>
    </row>
    <row r="328">
      <c r="A328" s="7" t="inlineStr">
        <is>
          <t>OT-2025-0324</t>
        </is>
      </c>
      <c r="B328" s="75" t="n">
        <v>45796.48611111111</v>
      </c>
      <c r="C328" s="7" t="inlineStr">
        <is>
          <t>Plan préventif</t>
        </is>
      </c>
      <c r="D328" s="7" t="inlineStr">
        <is>
          <t>EQ-SOU-005</t>
        </is>
      </c>
      <c r="E328" s="9">
        <f>IF(D328="","",IFERROR(INDEX('Équipements'!$B$5:$B$304,MATCH(D328,'Équipements'!$A$5:$A$304,0)),"Code inconnu"))</f>
        <v/>
      </c>
      <c r="F328" s="9">
        <f>IF(D328="","",IFERROR(INDEX('Équipements'!$D$5:$D$304,MATCH(D328,'Équipements'!$A$5:$A$304,0)),""))</f>
        <v/>
      </c>
      <c r="G328" s="9">
        <f>IF(D328="","",IFERROR(INDEX('Équipements'!$K$5:$K$304,MATCH(D328,'Équipements'!$A$5:$A$304,0)),""))</f>
        <v/>
      </c>
      <c r="H328" s="7" t="inlineStr">
        <is>
          <t>Préventif systématique</t>
        </is>
      </c>
      <c r="I328" s="7" t="inlineStr">
        <is>
          <t>GP-064</t>
        </is>
      </c>
      <c r="J328" s="7" t="inlineStr">
        <is>
          <t>Mécanique</t>
        </is>
      </c>
      <c r="K328" s="7" t="inlineStr">
        <is>
          <t>P3 - Normale</t>
        </is>
      </c>
      <c r="L328" s="7" t="inlineStr">
        <is>
          <t>Remplacement filtres et nettoyage batteries</t>
        </is>
      </c>
      <c r="M328" s="7" t="n"/>
      <c r="N328" s="7" t="inlineStr">
        <is>
          <t>Gamme réalisée - DI émise pour remplacement pièce</t>
        </is>
      </c>
      <c r="O328" s="7" t="inlineStr">
        <is>
          <t>Antoine Mercier</t>
        </is>
      </c>
      <c r="P328" s="65" t="n">
        <v>45803.375</v>
      </c>
      <c r="Q328" s="75" t="n">
        <v>45803.34027777778</v>
      </c>
      <c r="R328" s="75" t="n">
        <v>45803.43402777778</v>
      </c>
      <c r="S328" s="76" t="n">
        <v>0</v>
      </c>
      <c r="T328" s="76" t="n">
        <v>2.25</v>
      </c>
      <c r="U328" s="70">
        <f>IF($A328="","",IFERROR(INDEX('Techniciens'!$F$5:$F$44,MATCH(O328,'Techniciens'!$B$5:$B$44,0)),'Paramètres'!$AA$10))</f>
        <v/>
      </c>
      <c r="V328" s="70">
        <f>IF($A328="","",IF(OR(AC328="Demandé",AC328="Planifié",AC328="Annulé"),0,N(T328)*N(U328)))</f>
        <v/>
      </c>
      <c r="W328" s="70">
        <f>IF($A328="","",SUMIFS('Mouvements stock'!$H$5:$H$3004,'Mouvements stock'!$I$5:$I$3004,$A328,'Mouvements stock'!$C$5:$C$3004,"Sortie")-SUMIFS('Mouvements stock'!$H$5:$H$3004,'Mouvements stock'!$I$5:$I$3004,$A328,'Mouvements stock'!$C$5:$C$3004,"Retour"))</f>
        <v/>
      </c>
      <c r="X328" s="66" t="n">
        <v>0</v>
      </c>
      <c r="Y328" s="66" t="n">
        <v>0</v>
      </c>
      <c r="Z328" s="7" t="n"/>
      <c r="AA328" s="70">
        <f>IF($A328="","",N(V328)+N(W328)+N(X328)+N(Y328))</f>
        <v/>
      </c>
      <c r="AB328" s="70">
        <f>IF($A328="","",N(S328)*'Paramètres'!$AA$9*IFERROR(INDEX('Paramètres'!$O$5:$O$7,MATCH(G328,'Paramètres'!$N$5:$N$7,0)),0))</f>
        <v/>
      </c>
      <c r="AC328" s="7" t="inlineStr">
        <is>
          <t>Clôturé</t>
        </is>
      </c>
      <c r="AD328" s="69">
        <f>IF(OR($A328="",Q328=""),"",(Q328-B328)*24)</f>
        <v/>
      </c>
      <c r="AE328" s="69">
        <f>IF(OR(Q328="",R328=""),"",(R328-Q328)*24)</f>
        <v/>
      </c>
      <c r="AF328" s="77">
        <f>IF(OR($A328="",B328=""),"",YEAR(B328))</f>
        <v/>
      </c>
      <c r="AG328" s="77">
        <f>IF(OR($A328="",B328=""),"",MONTH(B328))</f>
        <v/>
      </c>
    </row>
    <row r="329">
      <c r="A329" s="7" t="inlineStr">
        <is>
          <t>OT-2025-0325</t>
        </is>
      </c>
      <c r="B329" s="75" t="n">
        <v>45796.6625</v>
      </c>
      <c r="C329" s="7" t="inlineStr">
        <is>
          <t>Éric Laurent (chef d'atelier)</t>
        </is>
      </c>
      <c r="D329" s="7" t="inlineStr">
        <is>
          <t>EQ-USI-002</t>
        </is>
      </c>
      <c r="E329" s="9">
        <f>IF(D329="","",IFERROR(INDEX('Équipements'!$B$5:$B$304,MATCH(D329,'Équipements'!$A$5:$A$304,0)),"Code inconnu"))</f>
        <v/>
      </c>
      <c r="F329" s="9">
        <f>IF(D329="","",IFERROR(INDEX('Équipements'!$D$5:$D$304,MATCH(D329,'Équipements'!$A$5:$A$304,0)),""))</f>
        <v/>
      </c>
      <c r="G329" s="9">
        <f>IF(D329="","",IFERROR(INDEX('Équipements'!$K$5:$K$304,MATCH(D329,'Équipements'!$A$5:$A$304,0)),""))</f>
        <v/>
      </c>
      <c r="H329" s="7" t="inlineStr">
        <is>
          <t>Correctif</t>
        </is>
      </c>
      <c r="I329" s="7" t="n"/>
      <c r="J329" s="7" t="inlineStr">
        <is>
          <t>Automatisme</t>
        </is>
      </c>
      <c r="K329" s="7" t="inlineStr">
        <is>
          <t>P1 - Urgent</t>
        </is>
      </c>
      <c r="L329" s="7" t="inlineStr">
        <is>
          <t>Perte des origines machine après coupure</t>
        </is>
      </c>
      <c r="M329" s="7" t="inlineStr">
        <is>
          <t>Défaut logiciel/automate</t>
        </is>
      </c>
      <c r="N329" s="7" t="inlineStr">
        <is>
          <t>Reprise des origines, remplacement pile de sauvegarde CN</t>
        </is>
      </c>
      <c r="O329" s="7" t="inlineStr">
        <is>
          <t>Julien Moreau</t>
        </is>
      </c>
      <c r="P329" s="65" t="n"/>
      <c r="Q329" s="75" t="n">
        <v>45796.68263888889</v>
      </c>
      <c r="R329" s="75" t="n">
        <v>45796.74513888889</v>
      </c>
      <c r="S329" s="76" t="n">
        <v>2</v>
      </c>
      <c r="T329" s="76" t="n">
        <v>1.5</v>
      </c>
      <c r="U329" s="70">
        <f>IF($A329="","",IFERROR(INDEX('Techniciens'!$F$5:$F$44,MATCH(O329,'Techniciens'!$B$5:$B$44,0)),'Paramètres'!$AA$10))</f>
        <v/>
      </c>
      <c r="V329" s="70">
        <f>IF($A329="","",IF(OR(AC329="Demandé",AC329="Planifié",AC329="Annulé"),0,N(T329)*N(U329)))</f>
        <v/>
      </c>
      <c r="W329" s="70">
        <f>IF($A329="","",SUMIFS('Mouvements stock'!$H$5:$H$3004,'Mouvements stock'!$I$5:$I$3004,$A329,'Mouvements stock'!$C$5:$C$3004,"Sortie")-SUMIFS('Mouvements stock'!$H$5:$H$3004,'Mouvements stock'!$I$5:$I$3004,$A329,'Mouvements stock'!$C$5:$C$3004,"Retour"))</f>
        <v/>
      </c>
      <c r="X329" s="66" t="n">
        <v>0</v>
      </c>
      <c r="Y329" s="66" t="n">
        <v>870</v>
      </c>
      <c r="Z329" s="7" t="inlineStr">
        <is>
          <t>SAV Machines-Outils Atlantique</t>
        </is>
      </c>
      <c r="AA329" s="70">
        <f>IF($A329="","",N(V329)+N(W329)+N(X329)+N(Y329))</f>
        <v/>
      </c>
      <c r="AB329" s="70">
        <f>IF($A329="","",N(S329)*'Paramètres'!$AA$9*IFERROR(INDEX('Paramètres'!$O$5:$O$7,MATCH(G329,'Paramètres'!$N$5:$N$7,0)),0))</f>
        <v/>
      </c>
      <c r="AC329" s="7" t="inlineStr">
        <is>
          <t>Clôturé</t>
        </is>
      </c>
      <c r="AD329" s="69">
        <f>IF(OR($A329="",Q329=""),"",(Q329-B329)*24)</f>
        <v/>
      </c>
      <c r="AE329" s="69">
        <f>IF(OR(Q329="",R329=""),"",(R329-Q329)*24)</f>
        <v/>
      </c>
      <c r="AF329" s="77">
        <f>IF(OR($A329="",B329=""),"",YEAR(B329))</f>
        <v/>
      </c>
      <c r="AG329" s="77">
        <f>IF(OR($A329="",B329=""),"",MONTH(B329))</f>
        <v/>
      </c>
    </row>
    <row r="330">
      <c r="A330" s="7" t="inlineStr">
        <is>
          <t>OT-2025-0326</t>
        </is>
      </c>
      <c r="B330" s="75" t="n">
        <v>45797.34027777778</v>
      </c>
      <c r="C330" s="7" t="inlineStr">
        <is>
          <t>Plan préventif</t>
        </is>
      </c>
      <c r="D330" s="7" t="inlineStr">
        <is>
          <t>EQ-TOL-004</t>
        </is>
      </c>
      <c r="E330" s="9">
        <f>IF(D330="","",IFERROR(INDEX('Équipements'!$B$5:$B$304,MATCH(D330,'Équipements'!$A$5:$A$304,0)),"Code inconnu"))</f>
        <v/>
      </c>
      <c r="F330" s="9">
        <f>IF(D330="","",IFERROR(INDEX('Équipements'!$D$5:$D$304,MATCH(D330,'Équipements'!$A$5:$A$304,0)),""))</f>
        <v/>
      </c>
      <c r="G330" s="9">
        <f>IF(D330="","",IFERROR(INDEX('Équipements'!$K$5:$K$304,MATCH(D330,'Équipements'!$A$5:$A$304,0)),""))</f>
        <v/>
      </c>
      <c r="H330" s="7" t="inlineStr">
        <is>
          <t>Préventif systématique</t>
        </is>
      </c>
      <c r="I330" s="7" t="inlineStr">
        <is>
          <t>GP-047</t>
        </is>
      </c>
      <c r="J330" s="7" t="inlineStr">
        <is>
          <t>Hydraulique</t>
        </is>
      </c>
      <c r="K330" s="7" t="inlineStr">
        <is>
          <t>P3 - Normale</t>
        </is>
      </c>
      <c r="L330" s="7" t="inlineStr">
        <is>
          <t>Contrôle hydraulique : fuites, niveaux, pressions</t>
        </is>
      </c>
      <c r="M330" s="7" t="n"/>
      <c r="N330" s="7" t="inlineStr">
        <is>
          <t>Gamme réalisée - RAS</t>
        </is>
      </c>
      <c r="O330" s="7" t="inlineStr">
        <is>
          <t>Antoine Mercier</t>
        </is>
      </c>
      <c r="P330" s="65" t="n">
        <v>45804.57986111111</v>
      </c>
      <c r="Q330" s="75" t="n">
        <v>45804.26388888889</v>
      </c>
      <c r="R330" s="75" t="n">
        <v>45804.34722222222</v>
      </c>
      <c r="S330" s="76" t="n">
        <v>2</v>
      </c>
      <c r="T330" s="76" t="n">
        <v>2</v>
      </c>
      <c r="U330" s="70">
        <f>IF($A330="","",IFERROR(INDEX('Techniciens'!$F$5:$F$44,MATCH(O330,'Techniciens'!$B$5:$B$44,0)),'Paramètres'!$AA$10))</f>
        <v/>
      </c>
      <c r="V330" s="70">
        <f>IF($A330="","",IF(OR(AC330="Demandé",AC330="Planifié",AC330="Annulé"),0,N(T330)*N(U330)))</f>
        <v/>
      </c>
      <c r="W330" s="70">
        <f>IF($A330="","",SUMIFS('Mouvements stock'!$H$5:$H$3004,'Mouvements stock'!$I$5:$I$3004,$A330,'Mouvements stock'!$C$5:$C$3004,"Sortie")-SUMIFS('Mouvements stock'!$H$5:$H$3004,'Mouvements stock'!$I$5:$I$3004,$A330,'Mouvements stock'!$C$5:$C$3004,"Retour"))</f>
        <v/>
      </c>
      <c r="X330" s="66" t="n">
        <v>0</v>
      </c>
      <c r="Y330" s="66" t="n">
        <v>0</v>
      </c>
      <c r="Z330" s="7" t="n"/>
      <c r="AA330" s="70">
        <f>IF($A330="","",N(V330)+N(W330)+N(X330)+N(Y330))</f>
        <v/>
      </c>
      <c r="AB330" s="70">
        <f>IF($A330="","",N(S330)*'Paramètres'!$AA$9*IFERROR(INDEX('Paramètres'!$O$5:$O$7,MATCH(G330,'Paramètres'!$N$5:$N$7,0)),0))</f>
        <v/>
      </c>
      <c r="AC330" s="7" t="inlineStr">
        <is>
          <t>Clôturé</t>
        </is>
      </c>
      <c r="AD330" s="69">
        <f>IF(OR($A330="",Q330=""),"",(Q330-B330)*24)</f>
        <v/>
      </c>
      <c r="AE330" s="69">
        <f>IF(OR(Q330="",R330=""),"",(R330-Q330)*24)</f>
        <v/>
      </c>
      <c r="AF330" s="77">
        <f>IF(OR($A330="",B330=""),"",YEAR(B330))</f>
        <v/>
      </c>
      <c r="AG330" s="77">
        <f>IF(OR($A330="",B330=""),"",MONTH(B330))</f>
        <v/>
      </c>
    </row>
    <row r="331">
      <c r="A331" s="7" t="inlineStr">
        <is>
          <t>OT-2025-0327</t>
        </is>
      </c>
      <c r="B331" s="75" t="n">
        <v>45797.38888888889</v>
      </c>
      <c r="C331" s="7" t="inlineStr">
        <is>
          <t>Plan préventif</t>
        </is>
      </c>
      <c r="D331" s="7" t="inlineStr">
        <is>
          <t>EQ-SOU-004</t>
        </is>
      </c>
      <c r="E331" s="9">
        <f>IF(D331="","",IFERROR(INDEX('Équipements'!$B$5:$B$304,MATCH(D331,'Équipements'!$A$5:$A$304,0)),"Code inconnu"))</f>
        <v/>
      </c>
      <c r="F331" s="9">
        <f>IF(D331="","",IFERROR(INDEX('Équipements'!$D$5:$D$304,MATCH(D331,'Équipements'!$A$5:$A$304,0)),""))</f>
        <v/>
      </c>
      <c r="G331" s="9">
        <f>IF(D331="","",IFERROR(INDEX('Équipements'!$K$5:$K$304,MATCH(D331,'Équipements'!$A$5:$A$304,0)),""))</f>
        <v/>
      </c>
      <c r="H331" s="7" t="inlineStr">
        <is>
          <t>Préventif systématique</t>
        </is>
      </c>
      <c r="I331" s="7" t="inlineStr">
        <is>
          <t>GP-063</t>
        </is>
      </c>
      <c r="J331" s="7" t="inlineStr">
        <is>
          <t>Électrique</t>
        </is>
      </c>
      <c r="K331" s="7" t="inlineStr">
        <is>
          <t>P3 - Normale</t>
        </is>
      </c>
      <c r="L331" s="7" t="inlineStr">
        <is>
          <t>Contrôle et nettoyage poste, dévidoir, câbles</t>
        </is>
      </c>
      <c r="M331" s="7" t="n"/>
      <c r="N331" s="7" t="inlineStr">
        <is>
          <t>Gamme réalisée - RAS</t>
        </is>
      </c>
      <c r="O331" s="7" t="inlineStr">
        <is>
          <t>Antoine Mercier</t>
        </is>
      </c>
      <c r="P331" s="65" t="n">
        <v>45804</v>
      </c>
      <c r="Q331" s="75" t="n">
        <v>45804.4375</v>
      </c>
      <c r="R331" s="75" t="n">
        <v>45804.51041666666</v>
      </c>
      <c r="S331" s="76" t="n">
        <v>1.8</v>
      </c>
      <c r="T331" s="76" t="n">
        <v>1.75</v>
      </c>
      <c r="U331" s="70">
        <f>IF($A331="","",IFERROR(INDEX('Techniciens'!$F$5:$F$44,MATCH(O331,'Techniciens'!$B$5:$B$44,0)),'Paramètres'!$AA$10))</f>
        <v/>
      </c>
      <c r="V331" s="70">
        <f>IF($A331="","",IF(OR(AC331="Demandé",AC331="Planifié",AC331="Annulé"),0,N(T331)*N(U331)))</f>
        <v/>
      </c>
      <c r="W331" s="70">
        <f>IF($A331="","",SUMIFS('Mouvements stock'!$H$5:$H$3004,'Mouvements stock'!$I$5:$I$3004,$A331,'Mouvements stock'!$C$5:$C$3004,"Sortie")-SUMIFS('Mouvements stock'!$H$5:$H$3004,'Mouvements stock'!$I$5:$I$3004,$A331,'Mouvements stock'!$C$5:$C$3004,"Retour"))</f>
        <v/>
      </c>
      <c r="X331" s="66" t="n">
        <v>0</v>
      </c>
      <c r="Y331" s="66" t="n">
        <v>0</v>
      </c>
      <c r="Z331" s="7" t="n"/>
      <c r="AA331" s="70">
        <f>IF($A331="","",N(V331)+N(W331)+N(X331)+N(Y331))</f>
        <v/>
      </c>
      <c r="AB331" s="70">
        <f>IF($A331="","",N(S331)*'Paramètres'!$AA$9*IFERROR(INDEX('Paramètres'!$O$5:$O$7,MATCH(G331,'Paramètres'!$N$5:$N$7,0)),0))</f>
        <v/>
      </c>
      <c r="AC331" s="7" t="inlineStr">
        <is>
          <t>Clôturé</t>
        </is>
      </c>
      <c r="AD331" s="69">
        <f>IF(OR($A331="",Q331=""),"",(Q331-B331)*24)</f>
        <v/>
      </c>
      <c r="AE331" s="69">
        <f>IF(OR(Q331="",R331=""),"",(R331-Q331)*24)</f>
        <v/>
      </c>
      <c r="AF331" s="77">
        <f>IF(OR($A331="",B331=""),"",YEAR(B331))</f>
        <v/>
      </c>
      <c r="AG331" s="77">
        <f>IF(OR($A331="",B331=""),"",MONTH(B331))</f>
        <v/>
      </c>
    </row>
    <row r="332">
      <c r="A332" s="7" t="inlineStr">
        <is>
          <t>OT-2025-0328</t>
        </is>
      </c>
      <c r="B332" s="75" t="n">
        <v>45797.49305555555</v>
      </c>
      <c r="C332" s="7" t="inlineStr">
        <is>
          <t>Plan préventif</t>
        </is>
      </c>
      <c r="D332" s="7" t="inlineStr">
        <is>
          <t>EQ-UTI-007</t>
        </is>
      </c>
      <c r="E332" s="9">
        <f>IF(D332="","",IFERROR(INDEX('Équipements'!$B$5:$B$304,MATCH(D332,'Équipements'!$A$5:$A$304,0)),"Code inconnu"))</f>
        <v/>
      </c>
      <c r="F332" s="9">
        <f>IF(D332="","",IFERROR(INDEX('Équipements'!$D$5:$D$304,MATCH(D332,'Équipements'!$A$5:$A$304,0)),""))</f>
        <v/>
      </c>
      <c r="G332" s="9">
        <f>IF(D332="","",IFERROR(INDEX('Équipements'!$K$5:$K$304,MATCH(D332,'Équipements'!$A$5:$A$304,0)),""))</f>
        <v/>
      </c>
      <c r="H332" s="7" t="inlineStr">
        <is>
          <t>Préventif systématique</t>
        </is>
      </c>
      <c r="I332" s="7" t="inlineStr">
        <is>
          <t>GP-098</t>
        </is>
      </c>
      <c r="J332" s="7" t="inlineStr">
        <is>
          <t>Électrique</t>
        </is>
      </c>
      <c r="K332" s="7" t="inlineStr">
        <is>
          <t>P3 - Normale</t>
        </is>
      </c>
      <c r="L332" s="7" t="inlineStr">
        <is>
          <t>Essai de fonctionnement / contrôle visuel</t>
        </is>
      </c>
      <c r="M332" s="7" t="n"/>
      <c r="N332" s="7" t="inlineStr">
        <is>
          <t>Gamme réalisée - petite fuite corrigée</t>
        </is>
      </c>
      <c r="O332" s="7" t="inlineStr">
        <is>
          <t>Antoine Mercier</t>
        </is>
      </c>
      <c r="P332" s="65" t="n">
        <v>45804.48958333334</v>
      </c>
      <c r="Q332" s="75" t="n">
        <v>45804.53472222222</v>
      </c>
      <c r="R332" s="75" t="n">
        <v>45804.61805555555</v>
      </c>
      <c r="S332" s="76" t="n">
        <v>0</v>
      </c>
      <c r="T332" s="76" t="n">
        <v>2</v>
      </c>
      <c r="U332" s="70">
        <f>IF($A332="","",IFERROR(INDEX('Techniciens'!$F$5:$F$44,MATCH(O332,'Techniciens'!$B$5:$B$44,0)),'Paramètres'!$AA$10))</f>
        <v/>
      </c>
      <c r="V332" s="70">
        <f>IF($A332="","",IF(OR(AC332="Demandé",AC332="Planifié",AC332="Annulé"),0,N(T332)*N(U332)))</f>
        <v/>
      </c>
      <c r="W332" s="70">
        <f>IF($A332="","",SUMIFS('Mouvements stock'!$H$5:$H$3004,'Mouvements stock'!$I$5:$I$3004,$A332,'Mouvements stock'!$C$5:$C$3004,"Sortie")-SUMIFS('Mouvements stock'!$H$5:$H$3004,'Mouvements stock'!$I$5:$I$3004,$A332,'Mouvements stock'!$C$5:$C$3004,"Retour"))</f>
        <v/>
      </c>
      <c r="X332" s="66" t="n">
        <v>0</v>
      </c>
      <c r="Y332" s="66" t="n">
        <v>0</v>
      </c>
      <c r="Z332" s="7" t="n"/>
      <c r="AA332" s="70">
        <f>IF($A332="","",N(V332)+N(W332)+N(X332)+N(Y332))</f>
        <v/>
      </c>
      <c r="AB332" s="70">
        <f>IF($A332="","",N(S332)*'Paramètres'!$AA$9*IFERROR(INDEX('Paramètres'!$O$5:$O$7,MATCH(G332,'Paramètres'!$N$5:$N$7,0)),0))</f>
        <v/>
      </c>
      <c r="AC332" s="7" t="inlineStr">
        <is>
          <t>Clôturé</t>
        </is>
      </c>
      <c r="AD332" s="69">
        <f>IF(OR($A332="",Q332=""),"",(Q332-B332)*24)</f>
        <v/>
      </c>
      <c r="AE332" s="69">
        <f>IF(OR(Q332="",R332=""),"",(R332-Q332)*24)</f>
        <v/>
      </c>
      <c r="AF332" s="77">
        <f>IF(OR($A332="",B332=""),"",YEAR(B332))</f>
        <v/>
      </c>
      <c r="AG332" s="77">
        <f>IF(OR($A332="",B332=""),"",MONTH(B332))</f>
        <v/>
      </c>
    </row>
    <row r="333">
      <c r="A333" s="7" t="inlineStr">
        <is>
          <t>OT-2025-0329</t>
        </is>
      </c>
      <c r="B333" s="75" t="n">
        <v>45798.46458333333</v>
      </c>
      <c r="C333" s="7" t="inlineStr">
        <is>
          <t>Sylvie Mathieu (resp. logistique)</t>
        </is>
      </c>
      <c r="D333" s="7" t="inlineStr">
        <is>
          <t>EQ-LOG-002</t>
        </is>
      </c>
      <c r="E333" s="9">
        <f>IF(D333="","",IFERROR(INDEX('Équipements'!$B$5:$B$304,MATCH(D333,'Équipements'!$A$5:$A$304,0)),"Code inconnu"))</f>
        <v/>
      </c>
      <c r="F333" s="9">
        <f>IF(D333="","",IFERROR(INDEX('Équipements'!$D$5:$D$304,MATCH(D333,'Équipements'!$A$5:$A$304,0)),""))</f>
        <v/>
      </c>
      <c r="G333" s="9">
        <f>IF(D333="","",IFERROR(INDEX('Équipements'!$K$5:$K$304,MATCH(D333,'Équipements'!$A$5:$A$304,0)),""))</f>
        <v/>
      </c>
      <c r="H333" s="7" t="inlineStr">
        <is>
          <t>Correctif</t>
        </is>
      </c>
      <c r="I333" s="7" t="n"/>
      <c r="J333" s="7" t="inlineStr">
        <is>
          <t>Électrique</t>
        </is>
      </c>
      <c r="K333" s="7" t="inlineStr">
        <is>
          <t>P2 - Haute</t>
        </is>
      </c>
      <c r="L333" s="7" t="inlineStr">
        <is>
          <t>Avertisseur / feux défectueux</t>
        </is>
      </c>
      <c r="M333" s="7" t="inlineStr">
        <is>
          <t>Défaut électrique</t>
        </is>
      </c>
      <c r="N333" s="7" t="inlineStr">
        <is>
          <t>Remplacement contacteur</t>
        </is>
      </c>
      <c r="O333" s="7" t="inlineStr">
        <is>
          <t>Antoine Mercier</t>
        </is>
      </c>
      <c r="P333" s="65" t="n"/>
      <c r="Q333" s="75" t="n">
        <v>45798.66319444445</v>
      </c>
      <c r="R333" s="75" t="n">
        <v>45798.74652777778</v>
      </c>
      <c r="S333" s="76" t="n">
        <v>2</v>
      </c>
      <c r="T333" s="76" t="n">
        <v>2</v>
      </c>
      <c r="U333" s="70">
        <f>IF($A333="","",IFERROR(INDEX('Techniciens'!$F$5:$F$44,MATCH(O333,'Techniciens'!$B$5:$B$44,0)),'Paramètres'!$AA$10))</f>
        <v/>
      </c>
      <c r="V333" s="70">
        <f>IF($A333="","",IF(OR(AC333="Demandé",AC333="Planifié",AC333="Annulé"),0,N(T333)*N(U333)))</f>
        <v/>
      </c>
      <c r="W333" s="70">
        <f>IF($A333="","",SUMIFS('Mouvements stock'!$H$5:$H$3004,'Mouvements stock'!$I$5:$I$3004,$A333,'Mouvements stock'!$C$5:$C$3004,"Sortie")-SUMIFS('Mouvements stock'!$H$5:$H$3004,'Mouvements stock'!$I$5:$I$3004,$A333,'Mouvements stock'!$C$5:$C$3004,"Retour"))</f>
        <v/>
      </c>
      <c r="X333" s="66" t="n">
        <v>0</v>
      </c>
      <c r="Y333" s="66" t="n">
        <v>0</v>
      </c>
      <c r="Z333" s="7" t="n"/>
      <c r="AA333" s="70">
        <f>IF($A333="","",N(V333)+N(W333)+N(X333)+N(Y333))</f>
        <v/>
      </c>
      <c r="AB333" s="70">
        <f>IF($A333="","",N(S333)*'Paramètres'!$AA$9*IFERROR(INDEX('Paramètres'!$O$5:$O$7,MATCH(G333,'Paramètres'!$N$5:$N$7,0)),0))</f>
        <v/>
      </c>
      <c r="AC333" s="7" t="inlineStr">
        <is>
          <t>Clôturé</t>
        </is>
      </c>
      <c r="AD333" s="69">
        <f>IF(OR($A333="",Q333=""),"",(Q333-B333)*24)</f>
        <v/>
      </c>
      <c r="AE333" s="69">
        <f>IF(OR(Q333="",R333=""),"",(R333-Q333)*24)</f>
        <v/>
      </c>
      <c r="AF333" s="77">
        <f>IF(OR($A333="",B333=""),"",YEAR(B333))</f>
        <v/>
      </c>
      <c r="AG333" s="77">
        <f>IF(OR($A333="",B333=""),"",MONTH(B333))</f>
        <v/>
      </c>
    </row>
    <row r="334">
      <c r="A334" s="7" t="inlineStr">
        <is>
          <t>OT-2025-0330</t>
        </is>
      </c>
      <c r="B334" s="75" t="n">
        <v>45798.49305555555</v>
      </c>
      <c r="C334" s="7" t="inlineStr">
        <is>
          <t>Plan préventif</t>
        </is>
      </c>
      <c r="D334" s="7" t="inlineStr">
        <is>
          <t>EQ-UTI-010</t>
        </is>
      </c>
      <c r="E334" s="9">
        <f>IF(D334="","",IFERROR(INDEX('Équipements'!$B$5:$B$304,MATCH(D334,'Équipements'!$A$5:$A$304,0)),"Code inconnu"))</f>
        <v/>
      </c>
      <c r="F334" s="9">
        <f>IF(D334="","",IFERROR(INDEX('Équipements'!$D$5:$D$304,MATCH(D334,'Équipements'!$A$5:$A$304,0)),""))</f>
        <v/>
      </c>
      <c r="G334" s="9">
        <f>IF(D334="","",IFERROR(INDEX('Équipements'!$K$5:$K$304,MATCH(D334,'Équipements'!$A$5:$A$304,0)),""))</f>
        <v/>
      </c>
      <c r="H334" s="7" t="inlineStr">
        <is>
          <t>Préventif systématique</t>
        </is>
      </c>
      <c r="I334" s="7" t="inlineStr">
        <is>
          <t>GP-104</t>
        </is>
      </c>
      <c r="J334" s="7" t="inlineStr">
        <is>
          <t>Électrique</t>
        </is>
      </c>
      <c r="K334" s="7" t="inlineStr">
        <is>
          <t>P3 - Normale</t>
        </is>
      </c>
      <c r="L334" s="7" t="inlineStr">
        <is>
          <t>Essai mensuel à charge du groupe électrogène</t>
        </is>
      </c>
      <c r="M334" s="7" t="n"/>
      <c r="N334" s="7" t="inlineStr">
        <is>
          <t>Gamme réalisée - RAS</t>
        </is>
      </c>
      <c r="O334" s="7" t="inlineStr">
        <is>
          <t>Julien Moreau</t>
        </is>
      </c>
      <c r="P334" s="65" t="n">
        <v>45805.59375</v>
      </c>
      <c r="Q334" s="75" t="n">
        <v>45805.38888888889</v>
      </c>
      <c r="R334" s="75" t="n">
        <v>45805.44097222222</v>
      </c>
      <c r="S334" s="76" t="n">
        <v>0</v>
      </c>
      <c r="T334" s="76" t="n">
        <v>1.25</v>
      </c>
      <c r="U334" s="70">
        <f>IF($A334="","",IFERROR(INDEX('Techniciens'!$F$5:$F$44,MATCH(O334,'Techniciens'!$B$5:$B$44,0)),'Paramètres'!$AA$10))</f>
        <v/>
      </c>
      <c r="V334" s="70">
        <f>IF($A334="","",IF(OR(AC334="Demandé",AC334="Planifié",AC334="Annulé"),0,N(T334)*N(U334)))</f>
        <v/>
      </c>
      <c r="W334" s="70">
        <f>IF($A334="","",SUMIFS('Mouvements stock'!$H$5:$H$3004,'Mouvements stock'!$I$5:$I$3004,$A334,'Mouvements stock'!$C$5:$C$3004,"Sortie")-SUMIFS('Mouvements stock'!$H$5:$H$3004,'Mouvements stock'!$I$5:$I$3004,$A334,'Mouvements stock'!$C$5:$C$3004,"Retour"))</f>
        <v/>
      </c>
      <c r="X334" s="66" t="n">
        <v>0</v>
      </c>
      <c r="Y334" s="66" t="n">
        <v>0</v>
      </c>
      <c r="Z334" s="7" t="n"/>
      <c r="AA334" s="70">
        <f>IF($A334="","",N(V334)+N(W334)+N(X334)+N(Y334))</f>
        <v/>
      </c>
      <c r="AB334" s="70">
        <f>IF($A334="","",N(S334)*'Paramètres'!$AA$9*IFERROR(INDEX('Paramètres'!$O$5:$O$7,MATCH(G334,'Paramètres'!$N$5:$N$7,0)),0))</f>
        <v/>
      </c>
      <c r="AC334" s="7" t="inlineStr">
        <is>
          <t>Clôturé</t>
        </is>
      </c>
      <c r="AD334" s="69">
        <f>IF(OR($A334="",Q334=""),"",(Q334-B334)*24)</f>
        <v/>
      </c>
      <c r="AE334" s="69">
        <f>IF(OR(Q334="",R334=""),"",(R334-Q334)*24)</f>
        <v/>
      </c>
      <c r="AF334" s="77">
        <f>IF(OR($A334="",B334=""),"",YEAR(B334))</f>
        <v/>
      </c>
      <c r="AG334" s="77">
        <f>IF(OR($A334="",B334=""),"",MONTH(B334))</f>
        <v/>
      </c>
    </row>
    <row r="335">
      <c r="A335" s="7" t="inlineStr">
        <is>
          <t>OT-2025-0331</t>
        </is>
      </c>
      <c r="B335" s="75" t="n">
        <v>45799.36458333334</v>
      </c>
      <c r="C335" s="7" t="inlineStr">
        <is>
          <t>Plan préventif</t>
        </is>
      </c>
      <c r="D335" s="7" t="inlineStr">
        <is>
          <t>EQ-USI-009</t>
        </is>
      </c>
      <c r="E335" s="9">
        <f>IF(D335="","",IFERROR(INDEX('Équipements'!$B$5:$B$304,MATCH(D335,'Équipements'!$A$5:$A$304,0)),"Code inconnu"))</f>
        <v/>
      </c>
      <c r="F335" s="9">
        <f>IF(D335="","",IFERROR(INDEX('Équipements'!$D$5:$D$304,MATCH(D335,'Équipements'!$A$5:$A$304,0)),""))</f>
        <v/>
      </c>
      <c r="G335" s="9">
        <f>IF(D335="","",IFERROR(INDEX('Équipements'!$K$5:$K$304,MATCH(D335,'Équipements'!$A$5:$A$304,0)),""))</f>
        <v/>
      </c>
      <c r="H335" s="7" t="inlineStr">
        <is>
          <t>Préventif systématique</t>
        </is>
      </c>
      <c r="I335" s="7" t="inlineStr">
        <is>
          <t>GP-030</t>
        </is>
      </c>
      <c r="J335" s="7" t="inlineStr">
        <is>
          <t>Mécanique</t>
        </is>
      </c>
      <c r="K335" s="7" t="inlineStr">
        <is>
          <t>P3 - Normale</t>
        </is>
      </c>
      <c r="L335" s="7" t="inlineStr">
        <is>
          <t>Contrôle lame, guides et liquide de coupe</t>
        </is>
      </c>
      <c r="M335" s="7" t="n"/>
      <c r="N335" s="7" t="inlineStr">
        <is>
          <t>Gamme réalisée - RAS</t>
        </is>
      </c>
      <c r="O335" s="7" t="inlineStr">
        <is>
          <t>Karim Benali</t>
        </is>
      </c>
      <c r="P335" s="65" t="n">
        <v>45806.29513888889</v>
      </c>
      <c r="Q335" s="75" t="n">
        <v>45806.28125</v>
      </c>
      <c r="R335" s="75" t="n">
        <v>45806.3125</v>
      </c>
      <c r="S335" s="76" t="n">
        <v>0.8</v>
      </c>
      <c r="T335" s="76" t="n">
        <v>0.75</v>
      </c>
      <c r="U335" s="70">
        <f>IF($A335="","",IFERROR(INDEX('Techniciens'!$F$5:$F$44,MATCH(O335,'Techniciens'!$B$5:$B$44,0)),'Paramètres'!$AA$10))</f>
        <v/>
      </c>
      <c r="V335" s="70">
        <f>IF($A335="","",IF(OR(AC335="Demandé",AC335="Planifié",AC335="Annulé"),0,N(T335)*N(U335)))</f>
        <v/>
      </c>
      <c r="W335" s="70">
        <f>IF($A335="","",SUMIFS('Mouvements stock'!$H$5:$H$3004,'Mouvements stock'!$I$5:$I$3004,$A335,'Mouvements stock'!$C$5:$C$3004,"Sortie")-SUMIFS('Mouvements stock'!$H$5:$H$3004,'Mouvements stock'!$I$5:$I$3004,$A335,'Mouvements stock'!$C$5:$C$3004,"Retour"))</f>
        <v/>
      </c>
      <c r="X335" s="66" t="n">
        <v>0</v>
      </c>
      <c r="Y335" s="66" t="n">
        <v>0</v>
      </c>
      <c r="Z335" s="7" t="n"/>
      <c r="AA335" s="70">
        <f>IF($A335="","",N(V335)+N(W335)+N(X335)+N(Y335))</f>
        <v/>
      </c>
      <c r="AB335" s="70">
        <f>IF($A335="","",N(S335)*'Paramètres'!$AA$9*IFERROR(INDEX('Paramètres'!$O$5:$O$7,MATCH(G335,'Paramètres'!$N$5:$N$7,0)),0))</f>
        <v/>
      </c>
      <c r="AC335" s="7" t="inlineStr">
        <is>
          <t>Clôturé</t>
        </is>
      </c>
      <c r="AD335" s="69">
        <f>IF(OR($A335="",Q335=""),"",(Q335-B335)*24)</f>
        <v/>
      </c>
      <c r="AE335" s="69">
        <f>IF(OR(Q335="",R335=""),"",(R335-Q335)*24)</f>
        <v/>
      </c>
      <c r="AF335" s="77">
        <f>IF(OR($A335="",B335=""),"",YEAR(B335))</f>
        <v/>
      </c>
      <c r="AG335" s="77">
        <f>IF(OR($A335="",B335=""),"",MONTH(B335))</f>
        <v/>
      </c>
    </row>
    <row r="336">
      <c r="A336" s="7" t="inlineStr">
        <is>
          <t>OT-2025-0332</t>
        </is>
      </c>
      <c r="B336" s="75" t="n">
        <v>45799.48958333334</v>
      </c>
      <c r="C336" s="7" t="inlineStr">
        <is>
          <t>Plan préventif</t>
        </is>
      </c>
      <c r="D336" s="7" t="inlineStr">
        <is>
          <t>EQ-PEI-005</t>
        </is>
      </c>
      <c r="E336" s="9">
        <f>IF(D336="","",IFERROR(INDEX('Équipements'!$B$5:$B$304,MATCH(D336,'Équipements'!$A$5:$A$304,0)),"Code inconnu"))</f>
        <v/>
      </c>
      <c r="F336" s="9">
        <f>IF(D336="","",IFERROR(INDEX('Équipements'!$D$5:$D$304,MATCH(D336,'Équipements'!$A$5:$A$304,0)),""))</f>
        <v/>
      </c>
      <c r="G336" s="9">
        <f>IF(D336="","",IFERROR(INDEX('Équipements'!$K$5:$K$304,MATCH(D336,'Équipements'!$A$5:$A$304,0)),""))</f>
        <v/>
      </c>
      <c r="H336" s="7" t="inlineStr">
        <is>
          <t>Préventif systématique</t>
        </is>
      </c>
      <c r="I336" s="7" t="inlineStr">
        <is>
          <t>GP-074</t>
        </is>
      </c>
      <c r="J336" s="7" t="inlineStr">
        <is>
          <t>Mécanique</t>
        </is>
      </c>
      <c r="K336" s="7" t="inlineStr">
        <is>
          <t>P3 - Normale</t>
        </is>
      </c>
      <c r="L336" s="7" t="inlineStr">
        <is>
          <t>Nettoyage et remplacement des filtres</t>
        </is>
      </c>
      <c r="M336" s="7" t="n"/>
      <c r="N336" s="7" t="inlineStr">
        <is>
          <t>Gamme réalisée - RAS</t>
        </is>
      </c>
      <c r="O336" s="7" t="inlineStr">
        <is>
          <t>Lucas Fontaine</t>
        </is>
      </c>
      <c r="P336" s="65" t="n">
        <v>45806.4375</v>
      </c>
      <c r="Q336" s="75" t="n">
        <v>45806.28472222222</v>
      </c>
      <c r="R336" s="75" t="n">
        <v>45806.42013888889</v>
      </c>
      <c r="S336" s="76" t="n">
        <v>3.2</v>
      </c>
      <c r="T336" s="76" t="n">
        <v>3.25</v>
      </c>
      <c r="U336" s="70">
        <f>IF($A336="","",IFERROR(INDEX('Techniciens'!$F$5:$F$44,MATCH(O336,'Techniciens'!$B$5:$B$44,0)),'Paramètres'!$AA$10))</f>
        <v/>
      </c>
      <c r="V336" s="70">
        <f>IF($A336="","",IF(OR(AC336="Demandé",AC336="Planifié",AC336="Annulé"),0,N(T336)*N(U336)))</f>
        <v/>
      </c>
      <c r="W336" s="70">
        <f>IF($A336="","",SUMIFS('Mouvements stock'!$H$5:$H$3004,'Mouvements stock'!$I$5:$I$3004,$A336,'Mouvements stock'!$C$5:$C$3004,"Sortie")-SUMIFS('Mouvements stock'!$H$5:$H$3004,'Mouvements stock'!$I$5:$I$3004,$A336,'Mouvements stock'!$C$5:$C$3004,"Retour"))</f>
        <v/>
      </c>
      <c r="X336" s="66" t="n">
        <v>0</v>
      </c>
      <c r="Y336" s="66" t="n">
        <v>0</v>
      </c>
      <c r="Z336" s="7" t="n"/>
      <c r="AA336" s="70">
        <f>IF($A336="","",N(V336)+N(W336)+N(X336)+N(Y336))</f>
        <v/>
      </c>
      <c r="AB336" s="70">
        <f>IF($A336="","",N(S336)*'Paramètres'!$AA$9*IFERROR(INDEX('Paramètres'!$O$5:$O$7,MATCH(G336,'Paramètres'!$N$5:$N$7,0)),0))</f>
        <v/>
      </c>
      <c r="AC336" s="7" t="inlineStr">
        <is>
          <t>Clôturé</t>
        </is>
      </c>
      <c r="AD336" s="69">
        <f>IF(OR($A336="",Q336=""),"",(Q336-B336)*24)</f>
        <v/>
      </c>
      <c r="AE336" s="69">
        <f>IF(OR(Q336="",R336=""),"",(R336-Q336)*24)</f>
        <v/>
      </c>
      <c r="AF336" s="77">
        <f>IF(OR($A336="",B336=""),"",YEAR(B336))</f>
        <v/>
      </c>
      <c r="AG336" s="77">
        <f>IF(OR($A336="",B336=""),"",MONTH(B336))</f>
        <v/>
      </c>
    </row>
    <row r="337">
      <c r="A337" s="7" t="inlineStr">
        <is>
          <t>OT-2025-0333</t>
        </is>
      </c>
      <c r="B337" s="75" t="n">
        <v>45799.73611111111</v>
      </c>
      <c r="C337" s="7" t="inlineStr">
        <is>
          <t>Éric Laurent (chef d'atelier)</t>
        </is>
      </c>
      <c r="D337" s="7" t="inlineStr">
        <is>
          <t>EQ-USI-004</t>
        </is>
      </c>
      <c r="E337" s="9">
        <f>IF(D337="","",IFERROR(INDEX('Équipements'!$B$5:$B$304,MATCH(D337,'Équipements'!$A$5:$A$304,0)),"Code inconnu"))</f>
        <v/>
      </c>
      <c r="F337" s="9">
        <f>IF(D337="","",IFERROR(INDEX('Équipements'!$D$5:$D$304,MATCH(D337,'Équipements'!$A$5:$A$304,0)),""))</f>
        <v/>
      </c>
      <c r="G337" s="9">
        <f>IF(D337="","",IFERROR(INDEX('Équipements'!$K$5:$K$304,MATCH(D337,'Équipements'!$A$5:$A$304,0)),""))</f>
        <v/>
      </c>
      <c r="H337" s="7" t="inlineStr">
        <is>
          <t>Correctif</t>
        </is>
      </c>
      <c r="I337" s="7" t="n"/>
      <c r="J337" s="7" t="inlineStr">
        <is>
          <t>Électrique</t>
        </is>
      </c>
      <c r="K337" s="7" t="inlineStr">
        <is>
          <t>P1 - Urgent</t>
        </is>
      </c>
      <c r="L337" s="7" t="inlineStr">
        <is>
          <t>Arrêt d'urgence intempestif</t>
        </is>
      </c>
      <c r="M337" s="7" t="inlineStr">
        <is>
          <t>Défaut électrique</t>
        </is>
      </c>
      <c r="N337" s="7" t="inlineStr">
        <is>
          <t>Recherche de panne, remplacement relais de sécurité</t>
        </is>
      </c>
      <c r="O337" s="7" t="inlineStr">
        <is>
          <t>Antoine Mercier</t>
        </is>
      </c>
      <c r="P337" s="65" t="n"/>
      <c r="Q337" s="75" t="n">
        <v>45799.75486111111</v>
      </c>
      <c r="R337" s="75" t="n">
        <v>45799.87986111111</v>
      </c>
      <c r="S337" s="76" t="n">
        <v>3.5</v>
      </c>
      <c r="T337" s="76" t="n">
        <v>3</v>
      </c>
      <c r="U337" s="70">
        <f>IF($A337="","",IFERROR(INDEX('Techniciens'!$F$5:$F$44,MATCH(O337,'Techniciens'!$B$5:$B$44,0)),'Paramètres'!$AA$10))</f>
        <v/>
      </c>
      <c r="V337" s="70">
        <f>IF($A337="","",IF(OR(AC337="Demandé",AC337="Planifié",AC337="Annulé"),0,N(T337)*N(U337)))</f>
        <v/>
      </c>
      <c r="W337" s="70">
        <f>IF($A337="","",SUMIFS('Mouvements stock'!$H$5:$H$3004,'Mouvements stock'!$I$5:$I$3004,$A337,'Mouvements stock'!$C$5:$C$3004,"Sortie")-SUMIFS('Mouvements stock'!$H$5:$H$3004,'Mouvements stock'!$I$5:$I$3004,$A337,'Mouvements stock'!$C$5:$C$3004,"Retour"))</f>
        <v/>
      </c>
      <c r="X337" s="66" t="n">
        <v>0</v>
      </c>
      <c r="Y337" s="66" t="n">
        <v>0</v>
      </c>
      <c r="Z337" s="7" t="n"/>
      <c r="AA337" s="70">
        <f>IF($A337="","",N(V337)+N(W337)+N(X337)+N(Y337))</f>
        <v/>
      </c>
      <c r="AB337" s="70">
        <f>IF($A337="","",N(S337)*'Paramètres'!$AA$9*IFERROR(INDEX('Paramètres'!$O$5:$O$7,MATCH(G337,'Paramètres'!$N$5:$N$7,0)),0))</f>
        <v/>
      </c>
      <c r="AC337" s="7" t="inlineStr">
        <is>
          <t>Clôturé</t>
        </is>
      </c>
      <c r="AD337" s="69">
        <f>IF(OR($A337="",Q337=""),"",(Q337-B337)*24)</f>
        <v/>
      </c>
      <c r="AE337" s="69">
        <f>IF(OR(Q337="",R337=""),"",(R337-Q337)*24)</f>
        <v/>
      </c>
      <c r="AF337" s="77">
        <f>IF(OR($A337="",B337=""),"",YEAR(B337))</f>
        <v/>
      </c>
      <c r="AG337" s="77">
        <f>IF(OR($A337="",B337=""),"",MONTH(B337))</f>
        <v/>
      </c>
    </row>
    <row r="338">
      <c r="A338" s="7" t="inlineStr">
        <is>
          <t>OT-2025-0334</t>
        </is>
      </c>
      <c r="B338" s="75" t="n">
        <v>45800.25208333333</v>
      </c>
      <c r="C338" s="7" t="inlineStr">
        <is>
          <t>Opérateur usinage</t>
        </is>
      </c>
      <c r="D338" s="7" t="inlineStr">
        <is>
          <t>EQ-USI-002</t>
        </is>
      </c>
      <c r="E338" s="9">
        <f>IF(D338="","",IFERROR(INDEX('Équipements'!$B$5:$B$304,MATCH(D338,'Équipements'!$A$5:$A$304,0)),"Code inconnu"))</f>
        <v/>
      </c>
      <c r="F338" s="9">
        <f>IF(D338="","",IFERROR(INDEX('Équipements'!$D$5:$D$304,MATCH(D338,'Équipements'!$A$5:$A$304,0)),""))</f>
        <v/>
      </c>
      <c r="G338" s="9">
        <f>IF(D338="","",IFERROR(INDEX('Équipements'!$K$5:$K$304,MATCH(D338,'Équipements'!$A$5:$A$304,0)),""))</f>
        <v/>
      </c>
      <c r="H338" s="7" t="inlineStr">
        <is>
          <t>Correctif</t>
        </is>
      </c>
      <c r="I338" s="7" t="n"/>
      <c r="J338" s="7" t="inlineStr">
        <is>
          <t>Mécanique</t>
        </is>
      </c>
      <c r="K338" s="7" t="inlineStr">
        <is>
          <t>P1 - Urgent</t>
        </is>
      </c>
      <c r="L338" s="7" t="inlineStr">
        <is>
          <t>Alarme surchauffe broche</t>
        </is>
      </c>
      <c r="M338" s="7" t="inlineStr">
        <is>
          <t>Défaut lubrification</t>
        </is>
      </c>
      <c r="N338" s="7" t="inlineStr">
        <is>
          <t>Nettoyage circuit de refroidissement broche, appoint huile, contrôle groupe froid</t>
        </is>
      </c>
      <c r="O338" s="7" t="inlineStr">
        <is>
          <t>Antoine Mercier</t>
        </is>
      </c>
      <c r="P338" s="65" t="n"/>
      <c r="Q338" s="75" t="n">
        <v>45800.27430555555</v>
      </c>
      <c r="R338" s="75" t="n">
        <v>45800.43055555555</v>
      </c>
      <c r="S338" s="76" t="n">
        <v>4.3</v>
      </c>
      <c r="T338" s="76" t="n">
        <v>3.75</v>
      </c>
      <c r="U338" s="70">
        <f>IF($A338="","",IFERROR(INDEX('Techniciens'!$F$5:$F$44,MATCH(O338,'Techniciens'!$B$5:$B$44,0)),'Paramètres'!$AA$10))</f>
        <v/>
      </c>
      <c r="V338" s="70">
        <f>IF($A338="","",IF(OR(AC338="Demandé",AC338="Planifié",AC338="Annulé"),0,N(T338)*N(U338)))</f>
        <v/>
      </c>
      <c r="W338" s="70">
        <f>IF($A338="","",SUMIFS('Mouvements stock'!$H$5:$H$3004,'Mouvements stock'!$I$5:$I$3004,$A338,'Mouvements stock'!$C$5:$C$3004,"Sortie")-SUMIFS('Mouvements stock'!$H$5:$H$3004,'Mouvements stock'!$I$5:$I$3004,$A338,'Mouvements stock'!$C$5:$C$3004,"Retour"))</f>
        <v/>
      </c>
      <c r="X338" s="66" t="n">
        <v>0</v>
      </c>
      <c r="Y338" s="66" t="n">
        <v>0</v>
      </c>
      <c r="Z338" s="7" t="n"/>
      <c r="AA338" s="70">
        <f>IF($A338="","",N(V338)+N(W338)+N(X338)+N(Y338))</f>
        <v/>
      </c>
      <c r="AB338" s="70">
        <f>IF($A338="","",N(S338)*'Paramètres'!$AA$9*IFERROR(INDEX('Paramètres'!$O$5:$O$7,MATCH(G338,'Paramètres'!$N$5:$N$7,0)),0))</f>
        <v/>
      </c>
      <c r="AC338" s="7" t="inlineStr">
        <is>
          <t>Clôturé</t>
        </is>
      </c>
      <c r="AD338" s="69">
        <f>IF(OR($A338="",Q338=""),"",(Q338-B338)*24)</f>
        <v/>
      </c>
      <c r="AE338" s="69">
        <f>IF(OR(Q338="",R338=""),"",(R338-Q338)*24)</f>
        <v/>
      </c>
      <c r="AF338" s="77">
        <f>IF(OR($A338="",B338=""),"",YEAR(B338))</f>
        <v/>
      </c>
      <c r="AG338" s="77">
        <f>IF(OR($A338="",B338=""),"",MONTH(B338))</f>
        <v/>
      </c>
    </row>
    <row r="339">
      <c r="A339" s="7" t="inlineStr">
        <is>
          <t>OT-2025-0335</t>
        </is>
      </c>
      <c r="B339" s="75" t="n">
        <v>45800.41666666666</v>
      </c>
      <c r="C339" s="7" t="inlineStr">
        <is>
          <t>Plan préventif</t>
        </is>
      </c>
      <c r="D339" s="7" t="inlineStr">
        <is>
          <t>EQ-LOG-004</t>
        </is>
      </c>
      <c r="E339" s="9">
        <f>IF(D339="","",IFERROR(INDEX('Équipements'!$B$5:$B$304,MATCH(D339,'Équipements'!$A$5:$A$304,0)),"Code inconnu"))</f>
        <v/>
      </c>
      <c r="F339" s="9">
        <f>IF(D339="","",IFERROR(INDEX('Équipements'!$D$5:$D$304,MATCH(D339,'Équipements'!$A$5:$A$304,0)),""))</f>
        <v/>
      </c>
      <c r="G339" s="9">
        <f>IF(D339="","",IFERROR(INDEX('Équipements'!$K$5:$K$304,MATCH(D339,'Équipements'!$A$5:$A$304,0)),""))</f>
        <v/>
      </c>
      <c r="H339" s="7" t="inlineStr">
        <is>
          <t>Préventif systématique</t>
        </is>
      </c>
      <c r="I339" s="7" t="inlineStr">
        <is>
          <t>GP-111</t>
        </is>
      </c>
      <c r="J339" s="7" t="inlineStr">
        <is>
          <t>Multi-technique</t>
        </is>
      </c>
      <c r="K339" s="7" t="inlineStr">
        <is>
          <t>P3 - Normale</t>
        </is>
      </c>
      <c r="L339" s="7" t="inlineStr">
        <is>
          <t>Entretien périodique constructeur</t>
        </is>
      </c>
      <c r="M339" s="7" t="n"/>
      <c r="N339" s="7" t="inlineStr">
        <is>
          <t>Gamme réalisée - RAS</t>
        </is>
      </c>
      <c r="O339" s="7" t="inlineStr">
        <is>
          <t>Antoine Mercier</t>
        </is>
      </c>
      <c r="P339" s="65" t="n">
        <v>45807</v>
      </c>
      <c r="Q339" s="75" t="n">
        <v>45807.59375</v>
      </c>
      <c r="R339" s="75" t="n">
        <v>45807.79166666666</v>
      </c>
      <c r="S339" s="76" t="n">
        <v>0</v>
      </c>
      <c r="T339" s="76" t="n">
        <v>2</v>
      </c>
      <c r="U339" s="70">
        <f>IF($A339="","",IFERROR(INDEX('Techniciens'!$F$5:$F$44,MATCH(O339,'Techniciens'!$B$5:$B$44,0)),'Paramètres'!$AA$10))</f>
        <v/>
      </c>
      <c r="V339" s="70">
        <f>IF($A339="","",IF(OR(AC339="Demandé",AC339="Planifié",AC339="Annulé"),0,N(T339)*N(U339)))</f>
        <v/>
      </c>
      <c r="W339" s="70">
        <f>IF($A339="","",SUMIFS('Mouvements stock'!$H$5:$H$3004,'Mouvements stock'!$I$5:$I$3004,$A339,'Mouvements stock'!$C$5:$C$3004,"Sortie")-SUMIFS('Mouvements stock'!$H$5:$H$3004,'Mouvements stock'!$I$5:$I$3004,$A339,'Mouvements stock'!$C$5:$C$3004,"Retour"))</f>
        <v/>
      </c>
      <c r="X339" s="66" t="n">
        <v>0</v>
      </c>
      <c r="Y339" s="66" t="n">
        <v>390</v>
      </c>
      <c r="Z339" s="7" t="inlineStr">
        <is>
          <t>Manutention Services 44</t>
        </is>
      </c>
      <c r="AA339" s="70">
        <f>IF($A339="","",N(V339)+N(W339)+N(X339)+N(Y339))</f>
        <v/>
      </c>
      <c r="AB339" s="70">
        <f>IF($A339="","",N(S339)*'Paramètres'!$AA$9*IFERROR(INDEX('Paramètres'!$O$5:$O$7,MATCH(G339,'Paramètres'!$N$5:$N$7,0)),0))</f>
        <v/>
      </c>
      <c r="AC339" s="7" t="inlineStr">
        <is>
          <t>Clôturé</t>
        </is>
      </c>
      <c r="AD339" s="69">
        <f>IF(OR($A339="",Q339=""),"",(Q339-B339)*24)</f>
        <v/>
      </c>
      <c r="AE339" s="69">
        <f>IF(OR(Q339="",R339=""),"",(R339-Q339)*24)</f>
        <v/>
      </c>
      <c r="AF339" s="77">
        <f>IF(OR($A339="",B339=""),"",YEAR(B339))</f>
        <v/>
      </c>
      <c r="AG339" s="77">
        <f>IF(OR($A339="",B339=""),"",MONTH(B339))</f>
        <v/>
      </c>
    </row>
    <row r="340">
      <c r="A340" s="7" t="inlineStr">
        <is>
          <t>OT-2025-0336</t>
        </is>
      </c>
      <c r="B340" s="75" t="n">
        <v>45801.88125</v>
      </c>
      <c r="C340" s="7" t="inlineStr">
        <is>
          <t>Marc Lefèvre</t>
        </is>
      </c>
      <c r="D340" s="7" t="inlineStr">
        <is>
          <t>EQ-UTI-008</t>
        </is>
      </c>
      <c r="E340" s="9">
        <f>IF(D340="","",IFERROR(INDEX('Équipements'!$B$5:$B$304,MATCH(D340,'Équipements'!$A$5:$A$304,0)),"Code inconnu"))</f>
        <v/>
      </c>
      <c r="F340" s="9">
        <f>IF(D340="","",IFERROR(INDEX('Équipements'!$D$5:$D$304,MATCH(D340,'Équipements'!$A$5:$A$304,0)),""))</f>
        <v/>
      </c>
      <c r="G340" s="9">
        <f>IF(D340="","",IFERROR(INDEX('Équipements'!$K$5:$K$304,MATCH(D340,'Équipements'!$A$5:$A$304,0)),""))</f>
        <v/>
      </c>
      <c r="H340" s="7" t="inlineStr">
        <is>
          <t>Correctif</t>
        </is>
      </c>
      <c r="I340" s="7" t="n"/>
      <c r="J340" s="7" t="inlineStr">
        <is>
          <t>Électrique</t>
        </is>
      </c>
      <c r="K340" s="7" t="inlineStr">
        <is>
          <t>P1 - Urgent</t>
        </is>
      </c>
      <c r="L340" s="7" t="inlineStr">
        <is>
          <t>Déclenchement disjoncteur départ atelier</t>
        </is>
      </c>
      <c r="M340" s="7" t="n"/>
      <c r="N340" s="7" t="inlineStr">
        <is>
          <t>Doublon de demande - annulé</t>
        </is>
      </c>
      <c r="O340" s="7" t="inlineStr">
        <is>
          <t>Thomas Petit</t>
        </is>
      </c>
      <c r="P340" s="65" t="n"/>
      <c r="Q340" s="75" t="n"/>
      <c r="R340" s="75" t="n"/>
      <c r="S340" s="76" t="n">
        <v>0</v>
      </c>
      <c r="T340" s="76" t="n">
        <v>0</v>
      </c>
      <c r="U340" s="70">
        <f>IF($A340="","",IFERROR(INDEX('Techniciens'!$F$5:$F$44,MATCH(O340,'Techniciens'!$B$5:$B$44,0)),'Paramètres'!$AA$10))</f>
        <v/>
      </c>
      <c r="V340" s="70">
        <f>IF($A340="","",IF(OR(AC340="Demandé",AC340="Planifié",AC340="Annulé"),0,N(T340)*N(U340)))</f>
        <v/>
      </c>
      <c r="W340" s="70">
        <f>IF($A340="","",SUMIFS('Mouvements stock'!$H$5:$H$3004,'Mouvements stock'!$I$5:$I$3004,$A340,'Mouvements stock'!$C$5:$C$3004,"Sortie")-SUMIFS('Mouvements stock'!$H$5:$H$3004,'Mouvements stock'!$I$5:$I$3004,$A340,'Mouvements stock'!$C$5:$C$3004,"Retour"))</f>
        <v/>
      </c>
      <c r="X340" s="66" t="n">
        <v>0</v>
      </c>
      <c r="Y340" s="66" t="n">
        <v>0</v>
      </c>
      <c r="Z340" s="7" t="n"/>
      <c r="AA340" s="70">
        <f>IF($A340="","",N(V340)+N(W340)+N(X340)+N(Y340))</f>
        <v/>
      </c>
      <c r="AB340" s="70">
        <f>IF($A340="","",N(S340)*'Paramètres'!$AA$9*IFERROR(INDEX('Paramètres'!$O$5:$O$7,MATCH(G340,'Paramètres'!$N$5:$N$7,0)),0))</f>
        <v/>
      </c>
      <c r="AC340" s="7" t="inlineStr">
        <is>
          <t>Annulé</t>
        </is>
      </c>
      <c r="AD340" s="69">
        <f>IF(OR($A340="",Q340=""),"",(Q340-B340)*24)</f>
        <v/>
      </c>
      <c r="AE340" s="69">
        <f>IF(OR(Q340="",R340=""),"",(R340-Q340)*24)</f>
        <v/>
      </c>
      <c r="AF340" s="77">
        <f>IF(OR($A340="",B340=""),"",YEAR(B340))</f>
        <v/>
      </c>
      <c r="AG340" s="77">
        <f>IF(OR($A340="",B340=""),"",MONTH(B340))</f>
        <v/>
      </c>
    </row>
    <row r="341">
      <c r="A341" s="7" t="inlineStr">
        <is>
          <t>OT-2025-0337</t>
        </is>
      </c>
      <c r="B341" s="75" t="n">
        <v>45803.42708333334</v>
      </c>
      <c r="C341" s="7" t="inlineStr">
        <is>
          <t>Plan préventif</t>
        </is>
      </c>
      <c r="D341" s="7" t="inlineStr">
        <is>
          <t>EQ-TOL-007</t>
        </is>
      </c>
      <c r="E341" s="9">
        <f>IF(D341="","",IFERROR(INDEX('Équipements'!$B$5:$B$304,MATCH(D341,'Équipements'!$A$5:$A$304,0)),"Code inconnu"))</f>
        <v/>
      </c>
      <c r="F341" s="9">
        <f>IF(D341="","",IFERROR(INDEX('Équipements'!$D$5:$D$304,MATCH(D341,'Équipements'!$A$5:$A$304,0)),""))</f>
        <v/>
      </c>
      <c r="G341" s="9">
        <f>IF(D341="","",IFERROR(INDEX('Équipements'!$K$5:$K$304,MATCH(D341,'Équipements'!$A$5:$A$304,0)),""))</f>
        <v/>
      </c>
      <c r="H341" s="7" t="inlineStr">
        <is>
          <t>Préventif systématique</t>
        </is>
      </c>
      <c r="I341" s="7" t="inlineStr">
        <is>
          <t>GP-056</t>
        </is>
      </c>
      <c r="J341" s="7" t="inlineStr">
        <is>
          <t>Mécanique</t>
        </is>
      </c>
      <c r="K341" s="7" t="inlineStr">
        <is>
          <t>P3 - Normale</t>
        </is>
      </c>
      <c r="L341" s="7" t="inlineStr">
        <is>
          <t>Graissage chaîne / galets et contrôle tension</t>
        </is>
      </c>
      <c r="M341" s="7" t="n"/>
      <c r="N341" s="7" t="inlineStr">
        <is>
          <t>Gamme réalisée - RAS</t>
        </is>
      </c>
      <c r="O341" s="7" t="inlineStr">
        <is>
          <t>Antoine Mercier</t>
        </is>
      </c>
      <c r="P341" s="65" t="n">
        <v>45810.46180555555</v>
      </c>
      <c r="Q341" s="75" t="n">
        <v>45810.30208333334</v>
      </c>
      <c r="R341" s="75" t="n">
        <v>45810.40625</v>
      </c>
      <c r="S341" s="76" t="n">
        <v>2.5</v>
      </c>
      <c r="T341" s="76" t="n">
        <v>2.5</v>
      </c>
      <c r="U341" s="70">
        <f>IF($A341="","",IFERROR(INDEX('Techniciens'!$F$5:$F$44,MATCH(O341,'Techniciens'!$B$5:$B$44,0)),'Paramètres'!$AA$10))</f>
        <v/>
      </c>
      <c r="V341" s="70">
        <f>IF($A341="","",IF(OR(AC341="Demandé",AC341="Planifié",AC341="Annulé"),0,N(T341)*N(U341)))</f>
        <v/>
      </c>
      <c r="W341" s="70">
        <f>IF($A341="","",SUMIFS('Mouvements stock'!$H$5:$H$3004,'Mouvements stock'!$I$5:$I$3004,$A341,'Mouvements stock'!$C$5:$C$3004,"Sortie")-SUMIFS('Mouvements stock'!$H$5:$H$3004,'Mouvements stock'!$I$5:$I$3004,$A341,'Mouvements stock'!$C$5:$C$3004,"Retour"))</f>
        <v/>
      </c>
      <c r="X341" s="66" t="n">
        <v>0</v>
      </c>
      <c r="Y341" s="66" t="n">
        <v>0</v>
      </c>
      <c r="Z341" s="7" t="n"/>
      <c r="AA341" s="70">
        <f>IF($A341="","",N(V341)+N(W341)+N(X341)+N(Y341))</f>
        <v/>
      </c>
      <c r="AB341" s="70">
        <f>IF($A341="","",N(S341)*'Paramètres'!$AA$9*IFERROR(INDEX('Paramètres'!$O$5:$O$7,MATCH(G341,'Paramètres'!$N$5:$N$7,0)),0))</f>
        <v/>
      </c>
      <c r="AC341" s="7" t="inlineStr">
        <is>
          <t>Clôturé</t>
        </is>
      </c>
      <c r="AD341" s="69">
        <f>IF(OR($A341="",Q341=""),"",(Q341-B341)*24)</f>
        <v/>
      </c>
      <c r="AE341" s="69">
        <f>IF(OR(Q341="",R341=""),"",(R341-Q341)*24)</f>
        <v/>
      </c>
      <c r="AF341" s="77">
        <f>IF(OR($A341="",B341=""),"",YEAR(B341))</f>
        <v/>
      </c>
      <c r="AG341" s="77">
        <f>IF(OR($A341="",B341=""),"",MONTH(B341))</f>
        <v/>
      </c>
    </row>
    <row r="342">
      <c r="A342" s="7" t="inlineStr">
        <is>
          <t>OT-2025-0338</t>
        </is>
      </c>
      <c r="B342" s="75" t="n">
        <v>45803.4375</v>
      </c>
      <c r="C342" s="7" t="inlineStr">
        <is>
          <t>Plan préventif</t>
        </is>
      </c>
      <c r="D342" s="7" t="inlineStr">
        <is>
          <t>EQ-USI-007</t>
        </is>
      </c>
      <c r="E342" s="9">
        <f>IF(D342="","",IFERROR(INDEX('Équipements'!$B$5:$B$304,MATCH(D342,'Équipements'!$A$5:$A$304,0)),"Code inconnu"))</f>
        <v/>
      </c>
      <c r="F342" s="9">
        <f>IF(D342="","",IFERROR(INDEX('Équipements'!$D$5:$D$304,MATCH(D342,'Équipements'!$A$5:$A$304,0)),""))</f>
        <v/>
      </c>
      <c r="G342" s="9">
        <f>IF(D342="","",IFERROR(INDEX('Équipements'!$K$5:$K$304,MATCH(D342,'Équipements'!$A$5:$A$304,0)),""))</f>
        <v/>
      </c>
      <c r="H342" s="7" t="inlineStr">
        <is>
          <t>Préventif systématique</t>
        </is>
      </c>
      <c r="I342" s="7" t="inlineStr">
        <is>
          <t>GP-027</t>
        </is>
      </c>
      <c r="J342" s="7" t="inlineStr">
        <is>
          <t>Hydraulique</t>
        </is>
      </c>
      <c r="K342" s="7" t="inlineStr">
        <is>
          <t>P3 - Normale</t>
        </is>
      </c>
      <c r="L342" s="7" t="inlineStr">
        <is>
          <t>Vidange groupe hydraulique et remplacement filtres</t>
        </is>
      </c>
      <c r="M342" s="7" t="n"/>
      <c r="N342" s="7" t="inlineStr">
        <is>
          <t>Gamme réalisée - RAS</t>
        </is>
      </c>
      <c r="O342" s="7" t="inlineStr">
        <is>
          <t>Antoine Mercier</t>
        </is>
      </c>
      <c r="P342" s="65" t="n">
        <v>45810</v>
      </c>
      <c r="Q342" s="75" t="n">
        <v>45810.57291666666</v>
      </c>
      <c r="R342" s="75" t="n">
        <v>45810.77083333334</v>
      </c>
      <c r="S342" s="76" t="n">
        <v>2.4</v>
      </c>
      <c r="T342" s="76" t="n">
        <v>4.75</v>
      </c>
      <c r="U342" s="70">
        <f>IF($A342="","",IFERROR(INDEX('Techniciens'!$F$5:$F$44,MATCH(O342,'Techniciens'!$B$5:$B$44,0)),'Paramètres'!$AA$10))</f>
        <v/>
      </c>
      <c r="V342" s="70">
        <f>IF($A342="","",IF(OR(AC342="Demandé",AC342="Planifié",AC342="Annulé"),0,N(T342)*N(U342)))</f>
        <v/>
      </c>
      <c r="W342" s="70">
        <f>IF($A342="","",SUMIFS('Mouvements stock'!$H$5:$H$3004,'Mouvements stock'!$I$5:$I$3004,$A342,'Mouvements stock'!$C$5:$C$3004,"Sortie")-SUMIFS('Mouvements stock'!$H$5:$H$3004,'Mouvements stock'!$I$5:$I$3004,$A342,'Mouvements stock'!$C$5:$C$3004,"Retour"))</f>
        <v/>
      </c>
      <c r="X342" s="66" t="n">
        <v>0</v>
      </c>
      <c r="Y342" s="66" t="n">
        <v>0</v>
      </c>
      <c r="Z342" s="7" t="n"/>
      <c r="AA342" s="70">
        <f>IF($A342="","",N(V342)+N(W342)+N(X342)+N(Y342))</f>
        <v/>
      </c>
      <c r="AB342" s="70">
        <f>IF($A342="","",N(S342)*'Paramètres'!$AA$9*IFERROR(INDEX('Paramètres'!$O$5:$O$7,MATCH(G342,'Paramètres'!$N$5:$N$7,0)),0))</f>
        <v/>
      </c>
      <c r="AC342" s="7" t="inlineStr">
        <is>
          <t>Clôturé</t>
        </is>
      </c>
      <c r="AD342" s="69">
        <f>IF(OR($A342="",Q342=""),"",(Q342-B342)*24)</f>
        <v/>
      </c>
      <c r="AE342" s="69">
        <f>IF(OR(Q342="",R342=""),"",(R342-Q342)*24)</f>
        <v/>
      </c>
      <c r="AF342" s="77">
        <f>IF(OR($A342="",B342=""),"",YEAR(B342))</f>
        <v/>
      </c>
      <c r="AG342" s="77">
        <f>IF(OR($A342="",B342=""),"",MONTH(B342))</f>
        <v/>
      </c>
    </row>
    <row r="343">
      <c r="A343" s="7" t="inlineStr">
        <is>
          <t>OT-2025-0339</t>
        </is>
      </c>
      <c r="B343" s="75" t="n">
        <v>45803.44444444445</v>
      </c>
      <c r="C343" s="7" t="inlineStr">
        <is>
          <t>Planning réglementaire</t>
        </is>
      </c>
      <c r="D343" s="7" t="inlineStr">
        <is>
          <t>EQ-LOG-003</t>
        </is>
      </c>
      <c r="E343" s="9">
        <f>IF(D343="","",IFERROR(INDEX('Équipements'!$B$5:$B$304,MATCH(D343,'Équipements'!$A$5:$A$304,0)),"Code inconnu"))</f>
        <v/>
      </c>
      <c r="F343" s="9">
        <f>IF(D343="","",IFERROR(INDEX('Équipements'!$D$5:$D$304,MATCH(D343,'Équipements'!$A$5:$A$304,0)),""))</f>
        <v/>
      </c>
      <c r="G343" s="9">
        <f>IF(D343="","",IFERROR(INDEX('Équipements'!$K$5:$K$304,MATCH(D343,'Équipements'!$A$5:$A$304,0)),""))</f>
        <v/>
      </c>
      <c r="H343" s="7" t="inlineStr">
        <is>
          <t>Réglementaire</t>
        </is>
      </c>
      <c r="I343" s="7" t="inlineStr">
        <is>
          <t>CR-006</t>
        </is>
      </c>
      <c r="J343" s="7" t="inlineStr">
        <is>
          <t>Multi-technique</t>
        </is>
      </c>
      <c r="K343" s="7" t="inlineStr">
        <is>
          <t>P2 - Haute</t>
        </is>
      </c>
      <c r="L343" s="7" t="inlineStr">
        <is>
          <t>VGP chariot automoteur</t>
        </is>
      </c>
      <c r="M343" s="7" t="n"/>
      <c r="N343" s="7" t="inlineStr">
        <is>
          <t>Contrôle réalisé - aucune observation</t>
        </is>
      </c>
      <c r="O343" s="7" t="inlineStr">
        <is>
          <t>Marc Lefèvre</t>
        </is>
      </c>
      <c r="P343" s="65" t="n">
        <v>45824</v>
      </c>
      <c r="Q343" s="75" t="n">
        <v>45824.55208333334</v>
      </c>
      <c r="R343" s="75" t="n">
        <v>45824.59375</v>
      </c>
      <c r="S343" s="76" t="n">
        <v>0</v>
      </c>
      <c r="T343" s="76" t="n">
        <v>1</v>
      </c>
      <c r="U343" s="70">
        <f>IF($A343="","",IFERROR(INDEX('Techniciens'!$F$5:$F$44,MATCH(O343,'Techniciens'!$B$5:$B$44,0)),'Paramètres'!$AA$10))</f>
        <v/>
      </c>
      <c r="V343" s="70">
        <f>IF($A343="","",IF(OR(AC343="Demandé",AC343="Planifié",AC343="Annulé"),0,N(T343)*N(U343)))</f>
        <v/>
      </c>
      <c r="W343" s="70">
        <f>IF($A343="","",SUMIFS('Mouvements stock'!$H$5:$H$3004,'Mouvements stock'!$I$5:$I$3004,$A343,'Mouvements stock'!$C$5:$C$3004,"Sortie")-SUMIFS('Mouvements stock'!$H$5:$H$3004,'Mouvements stock'!$I$5:$I$3004,$A343,'Mouvements stock'!$C$5:$C$3004,"Retour"))</f>
        <v/>
      </c>
      <c r="X343" s="66" t="n">
        <v>0</v>
      </c>
      <c r="Y343" s="66" t="n">
        <v>110</v>
      </c>
      <c r="Z343" s="7" t="inlineStr">
        <is>
          <t>CONTROLIS (organisme fictif)</t>
        </is>
      </c>
      <c r="AA343" s="70">
        <f>IF($A343="","",N(V343)+N(W343)+N(X343)+N(Y343))</f>
        <v/>
      </c>
      <c r="AB343" s="70">
        <f>IF($A343="","",N(S343)*'Paramètres'!$AA$9*IFERROR(INDEX('Paramètres'!$O$5:$O$7,MATCH(G343,'Paramètres'!$N$5:$N$7,0)),0))</f>
        <v/>
      </c>
      <c r="AC343" s="7" t="inlineStr">
        <is>
          <t>Clôturé</t>
        </is>
      </c>
      <c r="AD343" s="69">
        <f>IF(OR($A343="",Q343=""),"",(Q343-B343)*24)</f>
        <v/>
      </c>
      <c r="AE343" s="69">
        <f>IF(OR(Q343="",R343=""),"",(R343-Q343)*24)</f>
        <v/>
      </c>
      <c r="AF343" s="77">
        <f>IF(OR($A343="",B343=""),"",YEAR(B343))</f>
        <v/>
      </c>
      <c r="AG343" s="77">
        <f>IF(OR($A343="",B343=""),"",MONTH(B343))</f>
        <v/>
      </c>
    </row>
    <row r="344">
      <c r="A344" s="7" t="inlineStr">
        <is>
          <t>OT-2025-0340</t>
        </is>
      </c>
      <c r="B344" s="75" t="n">
        <v>45803.46875</v>
      </c>
      <c r="C344" s="7" t="inlineStr">
        <is>
          <t>Plan préventif</t>
        </is>
      </c>
      <c r="D344" s="7" t="inlineStr">
        <is>
          <t>EQ-USI-002</t>
        </is>
      </c>
      <c r="E344" s="9">
        <f>IF(D344="","",IFERROR(INDEX('Équipements'!$B$5:$B$304,MATCH(D344,'Équipements'!$A$5:$A$304,0)),"Code inconnu"))</f>
        <v/>
      </c>
      <c r="F344" s="9">
        <f>IF(D344="","",IFERROR(INDEX('Équipements'!$D$5:$D$304,MATCH(D344,'Équipements'!$A$5:$A$304,0)),""))</f>
        <v/>
      </c>
      <c r="G344" s="9">
        <f>IF(D344="","",IFERROR(INDEX('Équipements'!$K$5:$K$304,MATCH(D344,'Équipements'!$A$5:$A$304,0)),""))</f>
        <v/>
      </c>
      <c r="H344" s="7" t="inlineStr">
        <is>
          <t>Préventif systématique</t>
        </is>
      </c>
      <c r="I344" s="7" t="inlineStr">
        <is>
          <t>GP-008</t>
        </is>
      </c>
      <c r="J344" s="7" t="inlineStr">
        <is>
          <t>Électrique</t>
        </is>
      </c>
      <c r="K344" s="7" t="inlineStr">
        <is>
          <t>P3 - Normale</t>
        </is>
      </c>
      <c r="L344" s="7" t="inlineStr">
        <is>
          <t>Contrôle armoire électrique (ventilation, serrages)</t>
        </is>
      </c>
      <c r="M344" s="7" t="n"/>
      <c r="N344" s="7" t="inlineStr">
        <is>
          <t>Gamme réalisée - DI émise pour remplacement pièce</t>
        </is>
      </c>
      <c r="O344" s="7" t="inlineStr">
        <is>
          <t>Thomas Petit</t>
        </is>
      </c>
      <c r="P344" s="65" t="n">
        <v>45810</v>
      </c>
      <c r="Q344" s="75" t="n">
        <v>45810.61111111111</v>
      </c>
      <c r="R344" s="75" t="n">
        <v>45810.74652777778</v>
      </c>
      <c r="S344" s="76" t="n">
        <v>0</v>
      </c>
      <c r="T344" s="76" t="n">
        <v>3.25</v>
      </c>
      <c r="U344" s="70">
        <f>IF($A344="","",IFERROR(INDEX('Techniciens'!$F$5:$F$44,MATCH(O344,'Techniciens'!$B$5:$B$44,0)),'Paramètres'!$AA$10))</f>
        <v/>
      </c>
      <c r="V344" s="70">
        <f>IF($A344="","",IF(OR(AC344="Demandé",AC344="Planifié",AC344="Annulé"),0,N(T344)*N(U344)))</f>
        <v/>
      </c>
      <c r="W344" s="70">
        <f>IF($A344="","",SUMIFS('Mouvements stock'!$H$5:$H$3004,'Mouvements stock'!$I$5:$I$3004,$A344,'Mouvements stock'!$C$5:$C$3004,"Sortie")-SUMIFS('Mouvements stock'!$H$5:$H$3004,'Mouvements stock'!$I$5:$I$3004,$A344,'Mouvements stock'!$C$5:$C$3004,"Retour"))</f>
        <v/>
      </c>
      <c r="X344" s="66" t="n">
        <v>0</v>
      </c>
      <c r="Y344" s="66" t="n">
        <v>0</v>
      </c>
      <c r="Z344" s="7" t="n"/>
      <c r="AA344" s="70">
        <f>IF($A344="","",N(V344)+N(W344)+N(X344)+N(Y344))</f>
        <v/>
      </c>
      <c r="AB344" s="70">
        <f>IF($A344="","",N(S344)*'Paramètres'!$AA$9*IFERROR(INDEX('Paramètres'!$O$5:$O$7,MATCH(G344,'Paramètres'!$N$5:$N$7,0)),0))</f>
        <v/>
      </c>
      <c r="AC344" s="7" t="inlineStr">
        <is>
          <t>Clôturé</t>
        </is>
      </c>
      <c r="AD344" s="69">
        <f>IF(OR($A344="",Q344=""),"",(Q344-B344)*24)</f>
        <v/>
      </c>
      <c r="AE344" s="69">
        <f>IF(OR(Q344="",R344=""),"",(R344-Q344)*24)</f>
        <v/>
      </c>
      <c r="AF344" s="77">
        <f>IF(OR($A344="",B344=""),"",YEAR(B344))</f>
        <v/>
      </c>
      <c r="AG344" s="77">
        <f>IF(OR($A344="",B344=""),"",MONTH(B344))</f>
        <v/>
      </c>
    </row>
    <row r="345">
      <c r="A345" s="7" t="inlineStr">
        <is>
          <t>OT-2025-0341</t>
        </is>
      </c>
      <c r="B345" s="75" t="n">
        <v>45804.42361111111</v>
      </c>
      <c r="C345" s="7" t="inlineStr">
        <is>
          <t>Plan préventif</t>
        </is>
      </c>
      <c r="D345" s="7" t="inlineStr">
        <is>
          <t>EQ-UTI-009</t>
        </is>
      </c>
      <c r="E345" s="9">
        <f>IF(D345="","",IFERROR(INDEX('Équipements'!$B$5:$B$304,MATCH(D345,'Équipements'!$A$5:$A$304,0)),"Code inconnu"))</f>
        <v/>
      </c>
      <c r="F345" s="9">
        <f>IF(D345="","",IFERROR(INDEX('Équipements'!$D$5:$D$304,MATCH(D345,'Équipements'!$A$5:$A$304,0)),""))</f>
        <v/>
      </c>
      <c r="G345" s="9">
        <f>IF(D345="","",IFERROR(INDEX('Équipements'!$K$5:$K$304,MATCH(D345,'Équipements'!$A$5:$A$304,0)),""))</f>
        <v/>
      </c>
      <c r="H345" s="7" t="inlineStr">
        <is>
          <t>Préventif systématique</t>
        </is>
      </c>
      <c r="I345" s="7" t="inlineStr">
        <is>
          <t>GP-102</t>
        </is>
      </c>
      <c r="J345" s="7" t="inlineStr">
        <is>
          <t>Mécanique</t>
        </is>
      </c>
      <c r="K345" s="7" t="inlineStr">
        <is>
          <t>P3 - Normale</t>
        </is>
      </c>
      <c r="L345" s="7" t="inlineStr">
        <is>
          <t>Nettoyage décanteur et filtre-presse</t>
        </is>
      </c>
      <c r="M345" s="7" t="n"/>
      <c r="N345" s="7" t="inlineStr">
        <is>
          <t>Gamme réalisée - RAS</t>
        </is>
      </c>
      <c r="O345" s="7" t="inlineStr">
        <is>
          <t>Lucas Fontaine</t>
        </is>
      </c>
      <c r="P345" s="65" t="n">
        <v>45811.73958333334</v>
      </c>
      <c r="Q345" s="75" t="n">
        <v>45811.25</v>
      </c>
      <c r="R345" s="75" t="n">
        <v>45811.48958333334</v>
      </c>
      <c r="S345" s="76" t="n">
        <v>0</v>
      </c>
      <c r="T345" s="76" t="n">
        <v>5.75</v>
      </c>
      <c r="U345" s="70">
        <f>IF($A345="","",IFERROR(INDEX('Techniciens'!$F$5:$F$44,MATCH(O345,'Techniciens'!$B$5:$B$44,0)),'Paramètres'!$AA$10))</f>
        <v/>
      </c>
      <c r="V345" s="70">
        <f>IF($A345="","",IF(OR(AC345="Demandé",AC345="Planifié",AC345="Annulé"),0,N(T345)*N(U345)))</f>
        <v/>
      </c>
      <c r="W345" s="70">
        <f>IF($A345="","",SUMIFS('Mouvements stock'!$H$5:$H$3004,'Mouvements stock'!$I$5:$I$3004,$A345,'Mouvements stock'!$C$5:$C$3004,"Sortie")-SUMIFS('Mouvements stock'!$H$5:$H$3004,'Mouvements stock'!$I$5:$I$3004,$A345,'Mouvements stock'!$C$5:$C$3004,"Retour"))</f>
        <v/>
      </c>
      <c r="X345" s="66" t="n">
        <v>0</v>
      </c>
      <c r="Y345" s="66" t="n">
        <v>0</v>
      </c>
      <c r="Z345" s="7" t="n"/>
      <c r="AA345" s="70">
        <f>IF($A345="","",N(V345)+N(W345)+N(X345)+N(Y345))</f>
        <v/>
      </c>
      <c r="AB345" s="70">
        <f>IF($A345="","",N(S345)*'Paramètres'!$AA$9*IFERROR(INDEX('Paramètres'!$O$5:$O$7,MATCH(G345,'Paramètres'!$N$5:$N$7,0)),0))</f>
        <v/>
      </c>
      <c r="AC345" s="7" t="inlineStr">
        <is>
          <t>Clôturé</t>
        </is>
      </c>
      <c r="AD345" s="69">
        <f>IF(OR($A345="",Q345=""),"",(Q345-B345)*24)</f>
        <v/>
      </c>
      <c r="AE345" s="69">
        <f>IF(OR(Q345="",R345=""),"",(R345-Q345)*24)</f>
        <v/>
      </c>
      <c r="AF345" s="77">
        <f>IF(OR($A345="",B345=""),"",YEAR(B345))</f>
        <v/>
      </c>
      <c r="AG345" s="77">
        <f>IF(OR($A345="",B345=""),"",MONTH(B345))</f>
        <v/>
      </c>
    </row>
    <row r="346">
      <c r="A346" s="7" t="inlineStr">
        <is>
          <t>OT-2025-0342</t>
        </is>
      </c>
      <c r="B346" s="75" t="n">
        <v>45804.43055555555</v>
      </c>
      <c r="C346" s="7" t="inlineStr">
        <is>
          <t>Plan préventif</t>
        </is>
      </c>
      <c r="D346" s="7" t="inlineStr">
        <is>
          <t>EQ-UTI-002</t>
        </is>
      </c>
      <c r="E346" s="9">
        <f>IF(D346="","",IFERROR(INDEX('Équipements'!$B$5:$B$304,MATCH(D346,'Équipements'!$A$5:$A$304,0)),"Code inconnu"))</f>
        <v/>
      </c>
      <c r="F346" s="9">
        <f>IF(D346="","",IFERROR(INDEX('Équipements'!$D$5:$D$304,MATCH(D346,'Équipements'!$A$5:$A$304,0)),""))</f>
        <v/>
      </c>
      <c r="G346" s="9">
        <f>IF(D346="","",IFERROR(INDEX('Équipements'!$K$5:$K$304,MATCH(D346,'Équipements'!$A$5:$A$304,0)),""))</f>
        <v/>
      </c>
      <c r="H346" s="7" t="inlineStr">
        <is>
          <t>Préventif systématique</t>
        </is>
      </c>
      <c r="I346" s="7" t="inlineStr">
        <is>
          <t>GP-090</t>
        </is>
      </c>
      <c r="J346" s="7" t="inlineStr">
        <is>
          <t>Pneumatique</t>
        </is>
      </c>
      <c r="K346" s="7" t="inlineStr">
        <is>
          <t>P3 - Normale</t>
        </is>
      </c>
      <c r="L346" s="7" t="inlineStr">
        <is>
          <t>Purge, contrôle fuites et point de rosée</t>
        </is>
      </c>
      <c r="M346" s="7" t="n"/>
      <c r="N346" s="7" t="inlineStr">
        <is>
          <t>Gamme réalisée - RAS</t>
        </is>
      </c>
      <c r="O346" s="7" t="inlineStr">
        <is>
          <t>Lucas Fontaine</t>
        </is>
      </c>
      <c r="P346" s="65" t="n">
        <v>45811.35416666666</v>
      </c>
      <c r="Q346" s="75" t="n">
        <v>45811.35416666666</v>
      </c>
      <c r="R346" s="75" t="n">
        <v>45811.4375</v>
      </c>
      <c r="S346" s="76" t="n">
        <v>0</v>
      </c>
      <c r="T346" s="76" t="n">
        <v>2</v>
      </c>
      <c r="U346" s="70">
        <f>IF($A346="","",IFERROR(INDEX('Techniciens'!$F$5:$F$44,MATCH(O346,'Techniciens'!$B$5:$B$44,0)),'Paramètres'!$AA$10))</f>
        <v/>
      </c>
      <c r="V346" s="70">
        <f>IF($A346="","",IF(OR(AC346="Demandé",AC346="Planifié",AC346="Annulé"),0,N(T346)*N(U346)))</f>
        <v/>
      </c>
      <c r="W346" s="70">
        <f>IF($A346="","",SUMIFS('Mouvements stock'!$H$5:$H$3004,'Mouvements stock'!$I$5:$I$3004,$A346,'Mouvements stock'!$C$5:$C$3004,"Sortie")-SUMIFS('Mouvements stock'!$H$5:$H$3004,'Mouvements stock'!$I$5:$I$3004,$A346,'Mouvements stock'!$C$5:$C$3004,"Retour"))</f>
        <v/>
      </c>
      <c r="X346" s="66" t="n">
        <v>0</v>
      </c>
      <c r="Y346" s="66" t="n">
        <v>0</v>
      </c>
      <c r="Z346" s="7" t="n"/>
      <c r="AA346" s="70">
        <f>IF($A346="","",N(V346)+N(W346)+N(X346)+N(Y346))</f>
        <v/>
      </c>
      <c r="AB346" s="70">
        <f>IF($A346="","",N(S346)*'Paramètres'!$AA$9*IFERROR(INDEX('Paramètres'!$O$5:$O$7,MATCH(G346,'Paramètres'!$N$5:$N$7,0)),0))</f>
        <v/>
      </c>
      <c r="AC346" s="7" t="inlineStr">
        <is>
          <t>Clôturé</t>
        </is>
      </c>
      <c r="AD346" s="69">
        <f>IF(OR($A346="",Q346=""),"",(Q346-B346)*24)</f>
        <v/>
      </c>
      <c r="AE346" s="69">
        <f>IF(OR(Q346="",R346=""),"",(R346-Q346)*24)</f>
        <v/>
      </c>
      <c r="AF346" s="77">
        <f>IF(OR($A346="",B346=""),"",YEAR(B346))</f>
        <v/>
      </c>
      <c r="AG346" s="77">
        <f>IF(OR($A346="",B346=""),"",MONTH(B346))</f>
        <v/>
      </c>
    </row>
    <row r="347">
      <c r="A347" s="7" t="inlineStr">
        <is>
          <t>OT-2025-0343</t>
        </is>
      </c>
      <c r="B347" s="75" t="n">
        <v>45804.52083333334</v>
      </c>
      <c r="C347" s="7" t="inlineStr">
        <is>
          <t>Opérateur usinage</t>
        </is>
      </c>
      <c r="D347" s="7" t="inlineStr">
        <is>
          <t>EQ-USI-004</t>
        </is>
      </c>
      <c r="E347" s="9">
        <f>IF(D347="","",IFERROR(INDEX('Équipements'!$B$5:$B$304,MATCH(D347,'Équipements'!$A$5:$A$304,0)),"Code inconnu"))</f>
        <v/>
      </c>
      <c r="F347" s="9">
        <f>IF(D347="","",IFERROR(INDEX('Équipements'!$D$5:$D$304,MATCH(D347,'Équipements'!$A$5:$A$304,0)),""))</f>
        <v/>
      </c>
      <c r="G347" s="9">
        <f>IF(D347="","",IFERROR(INDEX('Équipements'!$K$5:$K$304,MATCH(D347,'Équipements'!$A$5:$A$304,0)),""))</f>
        <v/>
      </c>
      <c r="H347" s="7" t="inlineStr">
        <is>
          <t>Correctif</t>
        </is>
      </c>
      <c r="I347" s="7" t="n"/>
      <c r="J347" s="7" t="inlineStr">
        <is>
          <t>Électrique</t>
        </is>
      </c>
      <c r="K347" s="7" t="inlineStr">
        <is>
          <t>P2 - Haute</t>
        </is>
      </c>
      <c r="L347" s="7" t="inlineStr">
        <is>
          <t>Alarme codeur axe X</t>
        </is>
      </c>
      <c r="M347" s="7" t="inlineStr">
        <is>
          <t>Défaut capteur</t>
        </is>
      </c>
      <c r="N347" s="7" t="inlineStr">
        <is>
          <t>Contrôle câblage, remplacement codeur</t>
        </is>
      </c>
      <c r="O347" s="7" t="inlineStr">
        <is>
          <t>Antoine Mercier</t>
        </is>
      </c>
      <c r="P347" s="65" t="n"/>
      <c r="Q347" s="75" t="n">
        <v>45804.59166666667</v>
      </c>
      <c r="R347" s="75" t="n">
        <v>45804.83125</v>
      </c>
      <c r="S347" s="76" t="n">
        <v>7.5</v>
      </c>
      <c r="T347" s="76" t="n">
        <v>5.75</v>
      </c>
      <c r="U347" s="70">
        <f>IF($A347="","",IFERROR(INDEX('Techniciens'!$F$5:$F$44,MATCH(O347,'Techniciens'!$B$5:$B$44,0)),'Paramètres'!$AA$10))</f>
        <v/>
      </c>
      <c r="V347" s="70">
        <f>IF($A347="","",IF(OR(AC347="Demandé",AC347="Planifié",AC347="Annulé"),0,N(T347)*N(U347)))</f>
        <v/>
      </c>
      <c r="W347" s="70">
        <f>IF($A347="","",SUMIFS('Mouvements stock'!$H$5:$H$3004,'Mouvements stock'!$I$5:$I$3004,$A347,'Mouvements stock'!$C$5:$C$3004,"Sortie")-SUMIFS('Mouvements stock'!$H$5:$H$3004,'Mouvements stock'!$I$5:$I$3004,$A347,'Mouvements stock'!$C$5:$C$3004,"Retour"))</f>
        <v/>
      </c>
      <c r="X347" s="66" t="n">
        <v>0</v>
      </c>
      <c r="Y347" s="66" t="n">
        <v>1060</v>
      </c>
      <c r="Z347" s="7" t="inlineStr">
        <is>
          <t>SAV Machines-Outils Atlantique</t>
        </is>
      </c>
      <c r="AA347" s="70">
        <f>IF($A347="","",N(V347)+N(W347)+N(X347)+N(Y347))</f>
        <v/>
      </c>
      <c r="AB347" s="70">
        <f>IF($A347="","",N(S347)*'Paramètres'!$AA$9*IFERROR(INDEX('Paramètres'!$O$5:$O$7,MATCH(G347,'Paramètres'!$N$5:$N$7,0)),0))</f>
        <v/>
      </c>
      <c r="AC347" s="7" t="inlineStr">
        <is>
          <t>Clôturé</t>
        </is>
      </c>
      <c r="AD347" s="69">
        <f>IF(OR($A347="",Q347=""),"",(Q347-B347)*24)</f>
        <v/>
      </c>
      <c r="AE347" s="69">
        <f>IF(OR(Q347="",R347=""),"",(R347-Q347)*24)</f>
        <v/>
      </c>
      <c r="AF347" s="77">
        <f>IF(OR($A347="",B347=""),"",YEAR(B347))</f>
        <v/>
      </c>
      <c r="AG347" s="77">
        <f>IF(OR($A347="",B347=""),"",MONTH(B347))</f>
        <v/>
      </c>
    </row>
    <row r="348">
      <c r="A348" s="7" t="inlineStr">
        <is>
          <t>OT-2025-0344</t>
        </is>
      </c>
      <c r="B348" s="75" t="n">
        <v>45805.46875</v>
      </c>
      <c r="C348" s="7" t="inlineStr">
        <is>
          <t>Plan préventif</t>
        </is>
      </c>
      <c r="D348" s="7" t="inlineStr">
        <is>
          <t>EQ-PEI-003</t>
        </is>
      </c>
      <c r="E348" s="9">
        <f>IF(D348="","",IFERROR(INDEX('Équipements'!$B$5:$B$304,MATCH(D348,'Équipements'!$A$5:$A$304,0)),"Code inconnu"))</f>
        <v/>
      </c>
      <c r="F348" s="9">
        <f>IF(D348="","",IFERROR(INDEX('Équipements'!$D$5:$D$304,MATCH(D348,'Équipements'!$A$5:$A$304,0)),""))</f>
        <v/>
      </c>
      <c r="G348" s="9">
        <f>IF(D348="","",IFERROR(INDEX('Équipements'!$K$5:$K$304,MATCH(D348,'Équipements'!$A$5:$A$304,0)),""))</f>
        <v/>
      </c>
      <c r="H348" s="7" t="inlineStr">
        <is>
          <t>Préventif systématique</t>
        </is>
      </c>
      <c r="I348" s="7" t="inlineStr">
        <is>
          <t>GP-071</t>
        </is>
      </c>
      <c r="J348" s="7" t="inlineStr">
        <is>
          <t>Multi-technique</t>
        </is>
      </c>
      <c r="K348" s="7" t="inlineStr">
        <is>
          <t>P3 - Normale</t>
        </is>
      </c>
      <c r="L348" s="7" t="inlineStr">
        <is>
          <t>Contrôle ventilation, brûleurs, pompes et sécurités</t>
        </is>
      </c>
      <c r="M348" s="7" t="n"/>
      <c r="N348" s="7" t="inlineStr">
        <is>
          <t>Gamme réalisée - RAS</t>
        </is>
      </c>
      <c r="O348" s="7" t="inlineStr">
        <is>
          <t>Antoine Mercier</t>
        </is>
      </c>
      <c r="P348" s="65" t="n">
        <v>45812</v>
      </c>
      <c r="Q348" s="75" t="n">
        <v>45812.55208333334</v>
      </c>
      <c r="R348" s="75" t="n">
        <v>45812.78125</v>
      </c>
      <c r="S348" s="76" t="n">
        <v>5.5</v>
      </c>
      <c r="T348" s="76" t="n">
        <v>5.5</v>
      </c>
      <c r="U348" s="70">
        <f>IF($A348="","",IFERROR(INDEX('Techniciens'!$F$5:$F$44,MATCH(O348,'Techniciens'!$B$5:$B$44,0)),'Paramètres'!$AA$10))</f>
        <v/>
      </c>
      <c r="V348" s="70">
        <f>IF($A348="","",IF(OR(AC348="Demandé",AC348="Planifié",AC348="Annulé"),0,N(T348)*N(U348)))</f>
        <v/>
      </c>
      <c r="W348" s="70">
        <f>IF($A348="","",SUMIFS('Mouvements stock'!$H$5:$H$3004,'Mouvements stock'!$I$5:$I$3004,$A348,'Mouvements stock'!$C$5:$C$3004,"Sortie")-SUMIFS('Mouvements stock'!$H$5:$H$3004,'Mouvements stock'!$I$5:$I$3004,$A348,'Mouvements stock'!$C$5:$C$3004,"Retour"))</f>
        <v/>
      </c>
      <c r="X348" s="66" t="n">
        <v>0</v>
      </c>
      <c r="Y348" s="66" t="n">
        <v>0</v>
      </c>
      <c r="Z348" s="7" t="n"/>
      <c r="AA348" s="70">
        <f>IF($A348="","",N(V348)+N(W348)+N(X348)+N(Y348))</f>
        <v/>
      </c>
      <c r="AB348" s="70">
        <f>IF($A348="","",N(S348)*'Paramètres'!$AA$9*IFERROR(INDEX('Paramètres'!$O$5:$O$7,MATCH(G348,'Paramètres'!$N$5:$N$7,0)),0))</f>
        <v/>
      </c>
      <c r="AC348" s="7" t="inlineStr">
        <is>
          <t>Clôturé</t>
        </is>
      </c>
      <c r="AD348" s="69">
        <f>IF(OR($A348="",Q348=""),"",(Q348-B348)*24)</f>
        <v/>
      </c>
      <c r="AE348" s="69">
        <f>IF(OR(Q348="",R348=""),"",(R348-Q348)*24)</f>
        <v/>
      </c>
      <c r="AF348" s="77">
        <f>IF(OR($A348="",B348=""),"",YEAR(B348))</f>
        <v/>
      </c>
      <c r="AG348" s="77">
        <f>IF(OR($A348="",B348=""),"",MONTH(B348))</f>
        <v/>
      </c>
    </row>
    <row r="349">
      <c r="A349" s="7" t="inlineStr">
        <is>
          <t>OT-2025-0345</t>
        </is>
      </c>
      <c r="B349" s="75" t="n">
        <v>45805.76666666667</v>
      </c>
      <c r="C349" s="7" t="inlineStr">
        <is>
          <t>Éric Laurent (chef d'atelier)</t>
        </is>
      </c>
      <c r="D349" s="7" t="inlineStr">
        <is>
          <t>EQ-USI-004</t>
        </is>
      </c>
      <c r="E349" s="9">
        <f>IF(D349="","",IFERROR(INDEX('Équipements'!$B$5:$B$304,MATCH(D349,'Équipements'!$A$5:$A$304,0)),"Code inconnu"))</f>
        <v/>
      </c>
      <c r="F349" s="9">
        <f>IF(D349="","",IFERROR(INDEX('Équipements'!$D$5:$D$304,MATCH(D349,'Équipements'!$A$5:$A$304,0)),""))</f>
        <v/>
      </c>
      <c r="G349" s="9">
        <f>IF(D349="","",IFERROR(INDEX('Équipements'!$K$5:$K$304,MATCH(D349,'Équipements'!$A$5:$A$304,0)),""))</f>
        <v/>
      </c>
      <c r="H349" s="7" t="inlineStr">
        <is>
          <t>Correctif</t>
        </is>
      </c>
      <c r="I349" s="7" t="n"/>
      <c r="J349" s="7" t="inlineStr">
        <is>
          <t>Mécanique</t>
        </is>
      </c>
      <c r="K349" s="7" t="inlineStr">
        <is>
          <t>P1 - Urgent</t>
        </is>
      </c>
      <c r="L349" s="7" t="inlineStr">
        <is>
          <t>Broche bruyante / vibrations anormales</t>
        </is>
      </c>
      <c r="M349" s="7" t="inlineStr">
        <is>
          <t>Usure</t>
        </is>
      </c>
      <c r="N349" s="7" t="inlineStr">
        <is>
          <t>Analyse vibratoire puis remplacement roulements de broche</t>
        </is>
      </c>
      <c r="O349" s="7" t="inlineStr">
        <is>
          <t>Lucas Fontaine</t>
        </is>
      </c>
      <c r="P349" s="65" t="n"/>
      <c r="Q349" s="75" t="n">
        <v>45805.78194444445</v>
      </c>
      <c r="R349" s="75" t="n">
        <v>45805.94861111111</v>
      </c>
      <c r="S349" s="76" t="n">
        <v>4.4</v>
      </c>
      <c r="T349" s="76" t="n">
        <v>4</v>
      </c>
      <c r="U349" s="70">
        <f>IF($A349="","",IFERROR(INDEX('Techniciens'!$F$5:$F$44,MATCH(O349,'Techniciens'!$B$5:$B$44,0)),'Paramètres'!$AA$10))</f>
        <v/>
      </c>
      <c r="V349" s="70">
        <f>IF($A349="","",IF(OR(AC349="Demandé",AC349="Planifié",AC349="Annulé"),0,N(T349)*N(U349)))</f>
        <v/>
      </c>
      <c r="W349" s="70">
        <f>IF($A349="","",SUMIFS('Mouvements stock'!$H$5:$H$3004,'Mouvements stock'!$I$5:$I$3004,$A349,'Mouvements stock'!$C$5:$C$3004,"Sortie")-SUMIFS('Mouvements stock'!$H$5:$H$3004,'Mouvements stock'!$I$5:$I$3004,$A349,'Mouvements stock'!$C$5:$C$3004,"Retour"))</f>
        <v/>
      </c>
      <c r="X349" s="66" t="n">
        <v>0</v>
      </c>
      <c r="Y349" s="66" t="n">
        <v>5010</v>
      </c>
      <c r="Z349" s="7" t="inlineStr">
        <is>
          <t>SAV Machines-Outils Atlantique</t>
        </is>
      </c>
      <c r="AA349" s="70">
        <f>IF($A349="","",N(V349)+N(W349)+N(X349)+N(Y349))</f>
        <v/>
      </c>
      <c r="AB349" s="70">
        <f>IF($A349="","",N(S349)*'Paramètres'!$AA$9*IFERROR(INDEX('Paramètres'!$O$5:$O$7,MATCH(G349,'Paramètres'!$N$5:$N$7,0)),0))</f>
        <v/>
      </c>
      <c r="AC349" s="7" t="inlineStr">
        <is>
          <t>Clôturé</t>
        </is>
      </c>
      <c r="AD349" s="69">
        <f>IF(OR($A349="",Q349=""),"",(Q349-B349)*24)</f>
        <v/>
      </c>
      <c r="AE349" s="69">
        <f>IF(OR(Q349="",R349=""),"",(R349-Q349)*24)</f>
        <v/>
      </c>
      <c r="AF349" s="77">
        <f>IF(OR($A349="",B349=""),"",YEAR(B349))</f>
        <v/>
      </c>
      <c r="AG349" s="77">
        <f>IF(OR($A349="",B349=""),"",MONTH(B349))</f>
        <v/>
      </c>
    </row>
    <row r="350">
      <c r="A350" s="7" t="inlineStr">
        <is>
          <t>OT-2025-0346</t>
        </is>
      </c>
      <c r="B350" s="75" t="n">
        <v>45806.40277777778</v>
      </c>
      <c r="C350" s="7" t="inlineStr">
        <is>
          <t>Nadia Rousseau</t>
        </is>
      </c>
      <c r="D350" s="7" t="inlineStr">
        <is>
          <t>EQ-UTI-001</t>
        </is>
      </c>
      <c r="E350" s="9">
        <f>IF(D350="","",IFERROR(INDEX('Équipements'!$B$5:$B$304,MATCH(D350,'Équipements'!$A$5:$A$304,0)),"Code inconnu"))</f>
        <v/>
      </c>
      <c r="F350" s="9">
        <f>IF(D350="","",IFERROR(INDEX('Équipements'!$D$5:$D$304,MATCH(D350,'Équipements'!$A$5:$A$304,0)),""))</f>
        <v/>
      </c>
      <c r="G350" s="9">
        <f>IF(D350="","",IFERROR(INDEX('Équipements'!$K$5:$K$304,MATCH(D350,'Équipements'!$A$5:$A$304,0)),""))</f>
        <v/>
      </c>
      <c r="H350" s="7" t="inlineStr">
        <is>
          <t>Amélioratif</t>
        </is>
      </c>
      <c r="I350" s="7" t="n"/>
      <c r="J350" s="7" t="inlineStr">
        <is>
          <t>Électrique</t>
        </is>
      </c>
      <c r="K350" s="7" t="inlineStr">
        <is>
          <t>P4 - Basse</t>
        </is>
      </c>
      <c r="L350" s="7" t="inlineStr">
        <is>
          <t>Installation compteur d'énergie air comprimé</t>
        </is>
      </c>
      <c r="M350" s="7" t="n"/>
      <c r="N350" s="7" t="inlineStr">
        <is>
          <t>Réalisé conformément au devis / dossier technique</t>
        </is>
      </c>
      <c r="O350" s="7" t="inlineStr">
        <is>
          <t>Julien Moreau</t>
        </is>
      </c>
      <c r="P350" s="65" t="n">
        <v>45845</v>
      </c>
      <c r="Q350" s="75" t="n">
        <v>45845.39583333334</v>
      </c>
      <c r="R350" s="75" t="n">
        <v>45845.8625</v>
      </c>
      <c r="S350" s="76" t="n">
        <v>4</v>
      </c>
      <c r="T350" s="76" t="n">
        <v>8</v>
      </c>
      <c r="U350" s="70">
        <f>IF($A350="","",IFERROR(INDEX('Techniciens'!$F$5:$F$44,MATCH(O350,'Techniciens'!$B$5:$B$44,0)),'Paramètres'!$AA$10))</f>
        <v/>
      </c>
      <c r="V350" s="70">
        <f>IF($A350="","",IF(OR(AC350="Demandé",AC350="Planifié",AC350="Annulé"),0,N(T350)*N(U350)))</f>
        <v/>
      </c>
      <c r="W350" s="70">
        <f>IF($A350="","",SUMIFS('Mouvements stock'!$H$5:$H$3004,'Mouvements stock'!$I$5:$I$3004,$A350,'Mouvements stock'!$C$5:$C$3004,"Sortie")-SUMIFS('Mouvements stock'!$H$5:$H$3004,'Mouvements stock'!$I$5:$I$3004,$A350,'Mouvements stock'!$C$5:$C$3004,"Retour"))</f>
        <v/>
      </c>
      <c r="X350" s="66" t="n">
        <v>1200</v>
      </c>
      <c r="Y350" s="66" t="n">
        <v>0</v>
      </c>
      <c r="Z350" s="7" t="n"/>
      <c r="AA350" s="70">
        <f>IF($A350="","",N(V350)+N(W350)+N(X350)+N(Y350))</f>
        <v/>
      </c>
      <c r="AB350" s="70">
        <f>IF($A350="","",N(S350)*'Paramètres'!$AA$9*IFERROR(INDEX('Paramètres'!$O$5:$O$7,MATCH(G350,'Paramètres'!$N$5:$N$7,0)),0))</f>
        <v/>
      </c>
      <c r="AC350" s="7" t="inlineStr">
        <is>
          <t>Clôturé</t>
        </is>
      </c>
      <c r="AD350" s="69">
        <f>IF(OR($A350="",Q350=""),"",(Q350-B350)*24)</f>
        <v/>
      </c>
      <c r="AE350" s="69">
        <f>IF(OR(Q350="",R350=""),"",(R350-Q350)*24)</f>
        <v/>
      </c>
      <c r="AF350" s="77">
        <f>IF(OR($A350="",B350=""),"",YEAR(B350))</f>
        <v/>
      </c>
      <c r="AG350" s="77">
        <f>IF(OR($A350="",B350=""),"",MONTH(B350))</f>
        <v/>
      </c>
    </row>
    <row r="351">
      <c r="A351" s="7" t="inlineStr">
        <is>
          <t>OT-2025-0347</t>
        </is>
      </c>
      <c r="B351" s="75" t="n">
        <v>45807.34027777778</v>
      </c>
      <c r="C351" s="7" t="inlineStr">
        <is>
          <t>Plan préventif</t>
        </is>
      </c>
      <c r="D351" s="7" t="inlineStr">
        <is>
          <t>EQ-TOL-006</t>
        </is>
      </c>
      <c r="E351" s="9">
        <f>IF(D351="","",IFERROR(INDEX('Équipements'!$B$5:$B$304,MATCH(D351,'Équipements'!$A$5:$A$304,0)),"Code inconnu"))</f>
        <v/>
      </c>
      <c r="F351" s="9">
        <f>IF(D351="","",IFERROR(INDEX('Équipements'!$D$5:$D$304,MATCH(D351,'Équipements'!$A$5:$A$304,0)),""))</f>
        <v/>
      </c>
      <c r="G351" s="9">
        <f>IF(D351="","",IFERROR(INDEX('Équipements'!$K$5:$K$304,MATCH(D351,'Équipements'!$A$5:$A$304,0)),""))</f>
        <v/>
      </c>
      <c r="H351" s="7" t="inlineStr">
        <is>
          <t>Préventif systématique</t>
        </is>
      </c>
      <c r="I351" s="7" t="inlineStr">
        <is>
          <t>GP-053</t>
        </is>
      </c>
      <c r="J351" s="7" t="inlineStr">
        <is>
          <t>Hydraulique</t>
        </is>
      </c>
      <c r="K351" s="7" t="inlineStr">
        <is>
          <t>P3 - Normale</t>
        </is>
      </c>
      <c r="L351" s="7" t="inlineStr">
        <is>
          <t>Contrôle hydraulique : fuites, niveaux, pressions</t>
        </is>
      </c>
      <c r="M351" s="7" t="n"/>
      <c r="N351" s="7" t="inlineStr">
        <is>
          <t>Gamme réalisée - RAS</t>
        </is>
      </c>
      <c r="O351" s="7" t="inlineStr">
        <is>
          <t>Antoine Mercier</t>
        </is>
      </c>
      <c r="P351" s="65" t="n">
        <v>45814.35416666666</v>
      </c>
      <c r="Q351" s="75" t="n">
        <v>45814.54861111111</v>
      </c>
      <c r="R351" s="75" t="n">
        <v>45814.63194444445</v>
      </c>
      <c r="S351" s="76" t="n">
        <v>1</v>
      </c>
      <c r="T351" s="76" t="n">
        <v>2</v>
      </c>
      <c r="U351" s="70">
        <f>IF($A351="","",IFERROR(INDEX('Techniciens'!$F$5:$F$44,MATCH(O351,'Techniciens'!$B$5:$B$44,0)),'Paramètres'!$AA$10))</f>
        <v/>
      </c>
      <c r="V351" s="70">
        <f>IF($A351="","",IF(OR(AC351="Demandé",AC351="Planifié",AC351="Annulé"),0,N(T351)*N(U351)))</f>
        <v/>
      </c>
      <c r="W351" s="70">
        <f>IF($A351="","",SUMIFS('Mouvements stock'!$H$5:$H$3004,'Mouvements stock'!$I$5:$I$3004,$A351,'Mouvements stock'!$C$5:$C$3004,"Sortie")-SUMIFS('Mouvements stock'!$H$5:$H$3004,'Mouvements stock'!$I$5:$I$3004,$A351,'Mouvements stock'!$C$5:$C$3004,"Retour"))</f>
        <v/>
      </c>
      <c r="X351" s="66" t="n">
        <v>0</v>
      </c>
      <c r="Y351" s="66" t="n">
        <v>0</v>
      </c>
      <c r="Z351" s="7" t="n"/>
      <c r="AA351" s="70">
        <f>IF($A351="","",N(V351)+N(W351)+N(X351)+N(Y351))</f>
        <v/>
      </c>
      <c r="AB351" s="70">
        <f>IF($A351="","",N(S351)*'Paramètres'!$AA$9*IFERROR(INDEX('Paramètres'!$O$5:$O$7,MATCH(G351,'Paramètres'!$N$5:$N$7,0)),0))</f>
        <v/>
      </c>
      <c r="AC351" s="7" t="inlineStr">
        <is>
          <t>Clôturé</t>
        </is>
      </c>
      <c r="AD351" s="69">
        <f>IF(OR($A351="",Q351=""),"",(Q351-B351)*24)</f>
        <v/>
      </c>
      <c r="AE351" s="69">
        <f>IF(OR(Q351="",R351=""),"",(R351-Q351)*24)</f>
        <v/>
      </c>
      <c r="AF351" s="77">
        <f>IF(OR($A351="",B351=""),"",YEAR(B351))</f>
        <v/>
      </c>
      <c r="AG351" s="77">
        <f>IF(OR($A351="",B351=""),"",MONTH(B351))</f>
        <v/>
      </c>
    </row>
    <row r="352">
      <c r="A352" s="7" t="inlineStr">
        <is>
          <t>OT-2025-0348</t>
        </is>
      </c>
      <c r="B352" s="75" t="n">
        <v>45810.38541666666</v>
      </c>
      <c r="C352" s="7" t="inlineStr">
        <is>
          <t>Plan préventif</t>
        </is>
      </c>
      <c r="D352" s="7" t="inlineStr">
        <is>
          <t>EQ-TOL-005</t>
        </is>
      </c>
      <c r="E352" s="9">
        <f>IF(D352="","",IFERROR(INDEX('Équipements'!$B$5:$B$304,MATCH(D352,'Équipements'!$A$5:$A$304,0)),"Code inconnu"))</f>
        <v/>
      </c>
      <c r="F352" s="9">
        <f>IF(D352="","",IFERROR(INDEX('Équipements'!$D$5:$D$304,MATCH(D352,'Équipements'!$A$5:$A$304,0)),""))</f>
        <v/>
      </c>
      <c r="G352" s="9">
        <f>IF(D352="","",IFERROR(INDEX('Équipements'!$K$5:$K$304,MATCH(D352,'Équipements'!$A$5:$A$304,0)),""))</f>
        <v/>
      </c>
      <c r="H352" s="7" t="inlineStr">
        <is>
          <t>Préventif systématique</t>
        </is>
      </c>
      <c r="I352" s="7" t="inlineStr">
        <is>
          <t>GP-052</t>
        </is>
      </c>
      <c r="J352" s="7" t="inlineStr">
        <is>
          <t>Électrique</t>
        </is>
      </c>
      <c r="K352" s="7" t="inlineStr">
        <is>
          <t>P3 - Normale</t>
        </is>
      </c>
      <c r="L352" s="7" t="inlineStr">
        <is>
          <t>Contrôle des sécurités (barrages, AU, pédale)</t>
        </is>
      </c>
      <c r="M352" s="7" t="n"/>
      <c r="N352" s="7" t="inlineStr">
        <is>
          <t>Gamme réalisée - RAS</t>
        </is>
      </c>
      <c r="O352" s="7" t="inlineStr">
        <is>
          <t>Julien Moreau</t>
        </is>
      </c>
      <c r="P352" s="65" t="n">
        <v>45817.48263888889</v>
      </c>
      <c r="Q352" s="75" t="n">
        <v>45817.40277777778</v>
      </c>
      <c r="R352" s="75" t="n">
        <v>45817.45486111111</v>
      </c>
      <c r="S352" s="76" t="n">
        <v>1.2</v>
      </c>
      <c r="T352" s="76" t="n">
        <v>1.25</v>
      </c>
      <c r="U352" s="70">
        <f>IF($A352="","",IFERROR(INDEX('Techniciens'!$F$5:$F$44,MATCH(O352,'Techniciens'!$B$5:$B$44,0)),'Paramètres'!$AA$10))</f>
        <v/>
      </c>
      <c r="V352" s="70">
        <f>IF($A352="","",IF(OR(AC352="Demandé",AC352="Planifié",AC352="Annulé"),0,N(T352)*N(U352)))</f>
        <v/>
      </c>
      <c r="W352" s="70">
        <f>IF($A352="","",SUMIFS('Mouvements stock'!$H$5:$H$3004,'Mouvements stock'!$I$5:$I$3004,$A352,'Mouvements stock'!$C$5:$C$3004,"Sortie")-SUMIFS('Mouvements stock'!$H$5:$H$3004,'Mouvements stock'!$I$5:$I$3004,$A352,'Mouvements stock'!$C$5:$C$3004,"Retour"))</f>
        <v/>
      </c>
      <c r="X352" s="66" t="n">
        <v>0</v>
      </c>
      <c r="Y352" s="66" t="n">
        <v>0</v>
      </c>
      <c r="Z352" s="7" t="n"/>
      <c r="AA352" s="70">
        <f>IF($A352="","",N(V352)+N(W352)+N(X352)+N(Y352))</f>
        <v/>
      </c>
      <c r="AB352" s="70">
        <f>IF($A352="","",N(S352)*'Paramètres'!$AA$9*IFERROR(INDEX('Paramètres'!$O$5:$O$7,MATCH(G352,'Paramètres'!$N$5:$N$7,0)),0))</f>
        <v/>
      </c>
      <c r="AC352" s="7" t="inlineStr">
        <is>
          <t>Clôturé</t>
        </is>
      </c>
      <c r="AD352" s="69">
        <f>IF(OR($A352="",Q352=""),"",(Q352-B352)*24)</f>
        <v/>
      </c>
      <c r="AE352" s="69">
        <f>IF(OR(Q352="",R352=""),"",(R352-Q352)*24)</f>
        <v/>
      </c>
      <c r="AF352" s="77">
        <f>IF(OR($A352="",B352=""),"",YEAR(B352))</f>
        <v/>
      </c>
      <c r="AG352" s="77">
        <f>IF(OR($A352="",B352=""),"",MONTH(B352))</f>
        <v/>
      </c>
    </row>
    <row r="353">
      <c r="A353" s="7" t="inlineStr">
        <is>
          <t>OT-2025-0349</t>
        </is>
      </c>
      <c r="B353" s="75" t="n">
        <v>45810.56388888889</v>
      </c>
      <c r="C353" s="7" t="inlineStr">
        <is>
          <t>Paul Roux (chef d'atelier)</t>
        </is>
      </c>
      <c r="D353" s="7" t="inlineStr">
        <is>
          <t>EQ-ASS-001</t>
        </is>
      </c>
      <c r="E353" s="9">
        <f>IF(D353="","",IFERROR(INDEX('Équipements'!$B$5:$B$304,MATCH(D353,'Équipements'!$A$5:$A$304,0)),"Code inconnu"))</f>
        <v/>
      </c>
      <c r="F353" s="9">
        <f>IF(D353="","",IFERROR(INDEX('Équipements'!$D$5:$D$304,MATCH(D353,'Équipements'!$A$5:$A$304,0)),""))</f>
        <v/>
      </c>
      <c r="G353" s="9">
        <f>IF(D353="","",IFERROR(INDEX('Équipements'!$K$5:$K$304,MATCH(D353,'Équipements'!$A$5:$A$304,0)),""))</f>
        <v/>
      </c>
      <c r="H353" s="7" t="inlineStr">
        <is>
          <t>Correctif</t>
        </is>
      </c>
      <c r="I353" s="7" t="n"/>
      <c r="J353" s="7" t="inlineStr">
        <is>
          <t>Électrique</t>
        </is>
      </c>
      <c r="K353" s="7" t="inlineStr">
        <is>
          <t>P1 - Urgent</t>
        </is>
      </c>
      <c r="L353" s="7" t="inlineStr">
        <is>
          <t>Moteur d'entraînement en défaut thermique</t>
        </is>
      </c>
      <c r="M353" s="7" t="inlineStr">
        <is>
          <t>Cause inconnue</t>
        </is>
      </c>
      <c r="N353" s="7" t="inlineStr">
        <is>
          <t>Remplacement motoréducteur / disjoncteur moteur</t>
        </is>
      </c>
      <c r="O353" s="7" t="inlineStr">
        <is>
          <t>Antoine Mercier</t>
        </is>
      </c>
      <c r="P353" s="65" t="n"/>
      <c r="Q353" s="75" t="n">
        <v>45810.57361111111</v>
      </c>
      <c r="R353" s="75" t="n">
        <v>45811.03194444445</v>
      </c>
      <c r="S353" s="76" t="n">
        <v>11.2</v>
      </c>
      <c r="T353" s="76" t="n">
        <v>11</v>
      </c>
      <c r="U353" s="70">
        <f>IF($A353="","",IFERROR(INDEX('Techniciens'!$F$5:$F$44,MATCH(O353,'Techniciens'!$B$5:$B$44,0)),'Paramètres'!$AA$10))</f>
        <v/>
      </c>
      <c r="V353" s="70">
        <f>IF($A353="","",IF(OR(AC353="Demandé",AC353="Planifié",AC353="Annulé"),0,N(T353)*N(U353)))</f>
        <v/>
      </c>
      <c r="W353" s="70">
        <f>IF($A353="","",SUMIFS('Mouvements stock'!$H$5:$H$3004,'Mouvements stock'!$I$5:$I$3004,$A353,'Mouvements stock'!$C$5:$C$3004,"Sortie")-SUMIFS('Mouvements stock'!$H$5:$H$3004,'Mouvements stock'!$I$5:$I$3004,$A353,'Mouvements stock'!$C$5:$C$3004,"Retour"))</f>
        <v/>
      </c>
      <c r="X353" s="66" t="n">
        <v>0</v>
      </c>
      <c r="Y353" s="66" t="n">
        <v>0</v>
      </c>
      <c r="Z353" s="7" t="n"/>
      <c r="AA353" s="70">
        <f>IF($A353="","",N(V353)+N(W353)+N(X353)+N(Y353))</f>
        <v/>
      </c>
      <c r="AB353" s="70">
        <f>IF($A353="","",N(S353)*'Paramètres'!$AA$9*IFERROR(INDEX('Paramètres'!$O$5:$O$7,MATCH(G353,'Paramètres'!$N$5:$N$7,0)),0))</f>
        <v/>
      </c>
      <c r="AC353" s="7" t="inlineStr">
        <is>
          <t>Clôturé</t>
        </is>
      </c>
      <c r="AD353" s="69">
        <f>IF(OR($A353="",Q353=""),"",(Q353-B353)*24)</f>
        <v/>
      </c>
      <c r="AE353" s="69">
        <f>IF(OR(Q353="",R353=""),"",(R353-Q353)*24)</f>
        <v/>
      </c>
      <c r="AF353" s="77">
        <f>IF(OR($A353="",B353=""),"",YEAR(B353))</f>
        <v/>
      </c>
      <c r="AG353" s="77">
        <f>IF(OR($A353="",B353=""),"",MONTH(B353))</f>
        <v/>
      </c>
    </row>
    <row r="354">
      <c r="A354" s="7" t="inlineStr">
        <is>
          <t>OT-2025-0350</t>
        </is>
      </c>
      <c r="B354" s="75" t="n">
        <v>45811.33333333334</v>
      </c>
      <c r="C354" s="7" t="inlineStr">
        <is>
          <t>Plan préventif</t>
        </is>
      </c>
      <c r="D354" s="7" t="inlineStr">
        <is>
          <t>EQ-ASS-001</t>
        </is>
      </c>
      <c r="E354" s="9">
        <f>IF(D354="","",IFERROR(INDEX('Équipements'!$B$5:$B$304,MATCH(D354,'Équipements'!$A$5:$A$304,0)),"Code inconnu"))</f>
        <v/>
      </c>
      <c r="F354" s="9">
        <f>IF(D354="","",IFERROR(INDEX('Équipements'!$D$5:$D$304,MATCH(D354,'Équipements'!$A$5:$A$304,0)),""))</f>
        <v/>
      </c>
      <c r="G354" s="9">
        <f>IF(D354="","",IFERROR(INDEX('Équipements'!$K$5:$K$304,MATCH(D354,'Équipements'!$A$5:$A$304,0)),""))</f>
        <v/>
      </c>
      <c r="H354" s="7" t="inlineStr">
        <is>
          <t>Préventif systématique</t>
        </is>
      </c>
      <c r="I354" s="7" t="inlineStr">
        <is>
          <t>GP-076</t>
        </is>
      </c>
      <c r="J354" s="7" t="inlineStr">
        <is>
          <t>Mécanique</t>
        </is>
      </c>
      <c r="K354" s="7" t="inlineStr">
        <is>
          <t>P3 - Normale</t>
        </is>
      </c>
      <c r="L354" s="7" t="inlineStr">
        <is>
          <t>Graissage chaîne / galets et contrôle tension</t>
        </is>
      </c>
      <c r="M354" s="7" t="n"/>
      <c r="N354" s="7" t="inlineStr">
        <is>
          <t>Gamme réalisée - RAS</t>
        </is>
      </c>
      <c r="O354" s="7" t="inlineStr">
        <is>
          <t>Lucas Fontaine</t>
        </is>
      </c>
      <c r="P354" s="65" t="n">
        <v>45818.54513888889</v>
      </c>
      <c r="Q354" s="75" t="n">
        <v>45818.30555555555</v>
      </c>
      <c r="R354" s="75" t="n">
        <v>45818.39930555555</v>
      </c>
      <c r="S354" s="76" t="n">
        <v>2.2</v>
      </c>
      <c r="T354" s="76" t="n">
        <v>2.25</v>
      </c>
      <c r="U354" s="70">
        <f>IF($A354="","",IFERROR(INDEX('Techniciens'!$F$5:$F$44,MATCH(O354,'Techniciens'!$B$5:$B$44,0)),'Paramètres'!$AA$10))</f>
        <v/>
      </c>
      <c r="V354" s="70">
        <f>IF($A354="","",IF(OR(AC354="Demandé",AC354="Planifié",AC354="Annulé"),0,N(T354)*N(U354)))</f>
        <v/>
      </c>
      <c r="W354" s="70">
        <f>IF($A354="","",SUMIFS('Mouvements stock'!$H$5:$H$3004,'Mouvements stock'!$I$5:$I$3004,$A354,'Mouvements stock'!$C$5:$C$3004,"Sortie")-SUMIFS('Mouvements stock'!$H$5:$H$3004,'Mouvements stock'!$I$5:$I$3004,$A354,'Mouvements stock'!$C$5:$C$3004,"Retour"))</f>
        <v/>
      </c>
      <c r="X354" s="66" t="n">
        <v>0</v>
      </c>
      <c r="Y354" s="66" t="n">
        <v>0</v>
      </c>
      <c r="Z354" s="7" t="n"/>
      <c r="AA354" s="70">
        <f>IF($A354="","",N(V354)+N(W354)+N(X354)+N(Y354))</f>
        <v/>
      </c>
      <c r="AB354" s="70">
        <f>IF($A354="","",N(S354)*'Paramètres'!$AA$9*IFERROR(INDEX('Paramètres'!$O$5:$O$7,MATCH(G354,'Paramètres'!$N$5:$N$7,0)),0))</f>
        <v/>
      </c>
      <c r="AC354" s="7" t="inlineStr">
        <is>
          <t>Clôturé</t>
        </is>
      </c>
      <c r="AD354" s="69">
        <f>IF(OR($A354="",Q354=""),"",(Q354-B354)*24)</f>
        <v/>
      </c>
      <c r="AE354" s="69">
        <f>IF(OR(Q354="",R354=""),"",(R354-Q354)*24)</f>
        <v/>
      </c>
      <c r="AF354" s="77">
        <f>IF(OR($A354="",B354=""),"",YEAR(B354))</f>
        <v/>
      </c>
      <c r="AG354" s="77">
        <f>IF(OR($A354="",B354=""),"",MONTH(B354))</f>
        <v/>
      </c>
    </row>
    <row r="355">
      <c r="A355" s="7" t="inlineStr">
        <is>
          <t>OT-2025-0351</t>
        </is>
      </c>
      <c r="B355" s="75" t="n">
        <v>45811.45138888889</v>
      </c>
      <c r="C355" s="7" t="inlineStr">
        <is>
          <t>Plan préventif</t>
        </is>
      </c>
      <c r="D355" s="7" t="inlineStr">
        <is>
          <t>EQ-USI-001</t>
        </is>
      </c>
      <c r="E355" s="9">
        <f>IF(D355="","",IFERROR(INDEX('Équipements'!$B$5:$B$304,MATCH(D355,'Équipements'!$A$5:$A$304,0)),"Code inconnu"))</f>
        <v/>
      </c>
      <c r="F355" s="9">
        <f>IF(D355="","",IFERROR(INDEX('Équipements'!$D$5:$D$304,MATCH(D355,'Équipements'!$A$5:$A$304,0)),""))</f>
        <v/>
      </c>
      <c r="G355" s="9">
        <f>IF(D355="","",IFERROR(INDEX('Équipements'!$K$5:$K$304,MATCH(D355,'Équipements'!$A$5:$A$304,0)),""))</f>
        <v/>
      </c>
      <c r="H355" s="7" t="inlineStr">
        <is>
          <t>Préventif systématique</t>
        </is>
      </c>
      <c r="I355" s="7" t="inlineStr">
        <is>
          <t>GP-001</t>
        </is>
      </c>
      <c r="J355" s="7" t="inlineStr">
        <is>
          <t>Mécanique</t>
        </is>
      </c>
      <c r="K355" s="7" t="inlineStr">
        <is>
          <t>P3 - Normale</t>
        </is>
      </c>
      <c r="L355" s="7" t="inlineStr">
        <is>
          <t>Contrôle niveaux, nettoyage filtres et bac à copeaux</t>
        </is>
      </c>
      <c r="M355" s="7" t="n"/>
      <c r="N355" s="7" t="inlineStr">
        <is>
          <t>Gamme réalisée - serrages repris</t>
        </is>
      </c>
      <c r="O355" s="7" t="inlineStr">
        <is>
          <t>Antoine Mercier</t>
        </is>
      </c>
      <c r="P355" s="65" t="n">
        <v>45818.35416666666</v>
      </c>
      <c r="Q355" s="75" t="n">
        <v>45818.60416666666</v>
      </c>
      <c r="R355" s="75" t="n">
        <v>45818.66666666666</v>
      </c>
      <c r="S355" s="76" t="n">
        <v>0.8</v>
      </c>
      <c r="T355" s="76" t="n">
        <v>1.5</v>
      </c>
      <c r="U355" s="70">
        <f>IF($A355="","",IFERROR(INDEX('Techniciens'!$F$5:$F$44,MATCH(O355,'Techniciens'!$B$5:$B$44,0)),'Paramètres'!$AA$10))</f>
        <v/>
      </c>
      <c r="V355" s="70">
        <f>IF($A355="","",IF(OR(AC355="Demandé",AC355="Planifié",AC355="Annulé"),0,N(T355)*N(U355)))</f>
        <v/>
      </c>
      <c r="W355" s="70">
        <f>IF($A355="","",SUMIFS('Mouvements stock'!$H$5:$H$3004,'Mouvements stock'!$I$5:$I$3004,$A355,'Mouvements stock'!$C$5:$C$3004,"Sortie")-SUMIFS('Mouvements stock'!$H$5:$H$3004,'Mouvements stock'!$I$5:$I$3004,$A355,'Mouvements stock'!$C$5:$C$3004,"Retour"))</f>
        <v/>
      </c>
      <c r="X355" s="66" t="n">
        <v>0</v>
      </c>
      <c r="Y355" s="66" t="n">
        <v>0</v>
      </c>
      <c r="Z355" s="7" t="n"/>
      <c r="AA355" s="70">
        <f>IF($A355="","",N(V355)+N(W355)+N(X355)+N(Y355))</f>
        <v/>
      </c>
      <c r="AB355" s="70">
        <f>IF($A355="","",N(S355)*'Paramètres'!$AA$9*IFERROR(INDEX('Paramètres'!$O$5:$O$7,MATCH(G355,'Paramètres'!$N$5:$N$7,0)),0))</f>
        <v/>
      </c>
      <c r="AC355" s="7" t="inlineStr">
        <is>
          <t>Clôturé</t>
        </is>
      </c>
      <c r="AD355" s="69">
        <f>IF(OR($A355="",Q355=""),"",(Q355-B355)*24)</f>
        <v/>
      </c>
      <c r="AE355" s="69">
        <f>IF(OR(Q355="",R355=""),"",(R355-Q355)*24)</f>
        <v/>
      </c>
      <c r="AF355" s="77">
        <f>IF(OR($A355="",B355=""),"",YEAR(B355))</f>
        <v/>
      </c>
      <c r="AG355" s="77">
        <f>IF(OR($A355="",B355=""),"",MONTH(B355))</f>
        <v/>
      </c>
    </row>
    <row r="356">
      <c r="A356" s="7" t="inlineStr">
        <is>
          <t>OT-2025-0352</t>
        </is>
      </c>
      <c r="B356" s="75" t="n">
        <v>45811.76875</v>
      </c>
      <c r="C356" s="7" t="inlineStr">
        <is>
          <t>Marc Lefèvre</t>
        </is>
      </c>
      <c r="D356" s="7" t="inlineStr">
        <is>
          <t>EQ-BAT-002</t>
        </is>
      </c>
      <c r="E356" s="9">
        <f>IF(D356="","",IFERROR(INDEX('Équipements'!$B$5:$B$304,MATCH(D356,'Équipements'!$A$5:$A$304,0)),"Code inconnu"))</f>
        <v/>
      </c>
      <c r="F356" s="9">
        <f>IF(D356="","",IFERROR(INDEX('Équipements'!$D$5:$D$304,MATCH(D356,'Équipements'!$A$5:$A$304,0)),""))</f>
        <v/>
      </c>
      <c r="G356" s="9">
        <f>IF(D356="","",IFERROR(INDEX('Équipements'!$K$5:$K$304,MATCH(D356,'Équipements'!$A$5:$A$304,0)),""))</f>
        <v/>
      </c>
      <c r="H356" s="7" t="inlineStr">
        <is>
          <t>Correctif</t>
        </is>
      </c>
      <c r="I356" s="7" t="n"/>
      <c r="J356" s="7" t="inlineStr">
        <is>
          <t>Bâtiment</t>
        </is>
      </c>
      <c r="K356" s="7" t="inlineStr">
        <is>
          <t>P3 - Normale</t>
        </is>
      </c>
      <c r="L356" s="7" t="inlineStr">
        <is>
          <t>Porte bloquée en position ouverte</t>
        </is>
      </c>
      <c r="M356" s="7" t="inlineStr">
        <is>
          <t>Casse mécanique</t>
        </is>
      </c>
      <c r="N356" s="7" t="inlineStr">
        <is>
          <t>Remplacement câble, réglage ressorts</t>
        </is>
      </c>
      <c r="O356" s="7" t="inlineStr">
        <is>
          <t>Lucas Fontaine</t>
        </is>
      </c>
      <c r="P356" s="65" t="n"/>
      <c r="Q356" s="75" t="n">
        <v>45813.17430555556</v>
      </c>
      <c r="R356" s="75" t="n">
        <v>45813.43472222222</v>
      </c>
      <c r="S356" s="76" t="n">
        <v>0</v>
      </c>
      <c r="T356" s="76" t="n">
        <v>6.25</v>
      </c>
      <c r="U356" s="70">
        <f>IF($A356="","",IFERROR(INDEX('Techniciens'!$F$5:$F$44,MATCH(O356,'Techniciens'!$B$5:$B$44,0)),'Paramètres'!$AA$10))</f>
        <v/>
      </c>
      <c r="V356" s="70">
        <f>IF($A356="","",IF(OR(AC356="Demandé",AC356="Planifié",AC356="Annulé"),0,N(T356)*N(U356)))</f>
        <v/>
      </c>
      <c r="W356" s="70">
        <f>IF($A356="","",SUMIFS('Mouvements stock'!$H$5:$H$3004,'Mouvements stock'!$I$5:$I$3004,$A356,'Mouvements stock'!$C$5:$C$3004,"Sortie")-SUMIFS('Mouvements stock'!$H$5:$H$3004,'Mouvements stock'!$I$5:$I$3004,$A356,'Mouvements stock'!$C$5:$C$3004,"Retour"))</f>
        <v/>
      </c>
      <c r="X356" s="66" t="n">
        <v>0</v>
      </c>
      <c r="Y356" s="66" t="n">
        <v>710</v>
      </c>
      <c r="Z356" s="7" t="inlineStr">
        <is>
          <t>Fournitures Industrielles Générales</t>
        </is>
      </c>
      <c r="AA356" s="70">
        <f>IF($A356="","",N(V356)+N(W356)+N(X356)+N(Y356))</f>
        <v/>
      </c>
      <c r="AB356" s="70">
        <f>IF($A356="","",N(S356)*'Paramètres'!$AA$9*IFERROR(INDEX('Paramètres'!$O$5:$O$7,MATCH(G356,'Paramètres'!$N$5:$N$7,0)),0))</f>
        <v/>
      </c>
      <c r="AC356" s="7" t="inlineStr">
        <is>
          <t>Clôturé</t>
        </is>
      </c>
      <c r="AD356" s="69">
        <f>IF(OR($A356="",Q356=""),"",(Q356-B356)*24)</f>
        <v/>
      </c>
      <c r="AE356" s="69">
        <f>IF(OR(Q356="",R356=""),"",(R356-Q356)*24)</f>
        <v/>
      </c>
      <c r="AF356" s="77">
        <f>IF(OR($A356="",B356=""),"",YEAR(B356))</f>
        <v/>
      </c>
      <c r="AG356" s="77">
        <f>IF(OR($A356="",B356=""),"",MONTH(B356))</f>
        <v/>
      </c>
    </row>
    <row r="357">
      <c r="A357" s="7" t="inlineStr">
        <is>
          <t>OT-2025-0353</t>
        </is>
      </c>
      <c r="B357" s="75" t="n">
        <v>45812.35416666666</v>
      </c>
      <c r="C357" s="7" t="inlineStr">
        <is>
          <t>Plan préventif</t>
        </is>
      </c>
      <c r="D357" s="7" t="inlineStr">
        <is>
          <t>EQ-SOU-001</t>
        </is>
      </c>
      <c r="E357" s="9">
        <f>IF(D357="","",IFERROR(INDEX('Équipements'!$B$5:$B$304,MATCH(D357,'Équipements'!$A$5:$A$304,0)),"Code inconnu"))</f>
        <v/>
      </c>
      <c r="F357" s="9">
        <f>IF(D357="","",IFERROR(INDEX('Équipements'!$D$5:$D$304,MATCH(D357,'Équipements'!$A$5:$A$304,0)),""))</f>
        <v/>
      </c>
      <c r="G357" s="9">
        <f>IF(D357="","",IFERROR(INDEX('Équipements'!$K$5:$K$304,MATCH(D357,'Équipements'!$A$5:$A$304,0)),""))</f>
        <v/>
      </c>
      <c r="H357" s="7" t="inlineStr">
        <is>
          <t>Préventif systématique</t>
        </is>
      </c>
      <c r="I357" s="7" t="inlineStr">
        <is>
          <t>GP-058</t>
        </is>
      </c>
      <c r="J357" s="7" t="inlineStr">
        <is>
          <t>Mécanique</t>
        </is>
      </c>
      <c r="K357" s="7" t="inlineStr">
        <is>
          <t>P3 - Normale</t>
        </is>
      </c>
      <c r="L357" s="7" t="inlineStr">
        <is>
          <t>Nettoyage torche et contrôle faisceau</t>
        </is>
      </c>
      <c r="M357" s="7" t="n"/>
      <c r="N357" s="7" t="inlineStr">
        <is>
          <t>Gamme réalisée - RAS</t>
        </is>
      </c>
      <c r="O357" s="7" t="inlineStr">
        <is>
          <t>Lucas Fontaine</t>
        </is>
      </c>
      <c r="P357" s="65" t="n">
        <v>45819.47916666666</v>
      </c>
      <c r="Q357" s="75" t="n">
        <v>45819.47916666666</v>
      </c>
      <c r="R357" s="75" t="n">
        <v>45819.51041666666</v>
      </c>
      <c r="S357" s="76" t="n">
        <v>0.8</v>
      </c>
      <c r="T357" s="76" t="n">
        <v>0.75</v>
      </c>
      <c r="U357" s="70">
        <f>IF($A357="","",IFERROR(INDEX('Techniciens'!$F$5:$F$44,MATCH(O357,'Techniciens'!$B$5:$B$44,0)),'Paramètres'!$AA$10))</f>
        <v/>
      </c>
      <c r="V357" s="70">
        <f>IF($A357="","",IF(OR(AC357="Demandé",AC357="Planifié",AC357="Annulé"),0,N(T357)*N(U357)))</f>
        <v/>
      </c>
      <c r="W357" s="70">
        <f>IF($A357="","",SUMIFS('Mouvements stock'!$H$5:$H$3004,'Mouvements stock'!$I$5:$I$3004,$A357,'Mouvements stock'!$C$5:$C$3004,"Sortie")-SUMIFS('Mouvements stock'!$H$5:$H$3004,'Mouvements stock'!$I$5:$I$3004,$A357,'Mouvements stock'!$C$5:$C$3004,"Retour"))</f>
        <v/>
      </c>
      <c r="X357" s="66" t="n">
        <v>0</v>
      </c>
      <c r="Y357" s="66" t="n">
        <v>0</v>
      </c>
      <c r="Z357" s="7" t="n"/>
      <c r="AA357" s="70">
        <f>IF($A357="","",N(V357)+N(W357)+N(X357)+N(Y357))</f>
        <v/>
      </c>
      <c r="AB357" s="70">
        <f>IF($A357="","",N(S357)*'Paramètres'!$AA$9*IFERROR(INDEX('Paramètres'!$O$5:$O$7,MATCH(G357,'Paramètres'!$N$5:$N$7,0)),0))</f>
        <v/>
      </c>
      <c r="AC357" s="7" t="inlineStr">
        <is>
          <t>Clôturé</t>
        </is>
      </c>
      <c r="AD357" s="69">
        <f>IF(OR($A357="",Q357=""),"",(Q357-B357)*24)</f>
        <v/>
      </c>
      <c r="AE357" s="69">
        <f>IF(OR(Q357="",R357=""),"",(R357-Q357)*24)</f>
        <v/>
      </c>
      <c r="AF357" s="77">
        <f>IF(OR($A357="",B357=""),"",YEAR(B357))</f>
        <v/>
      </c>
      <c r="AG357" s="77">
        <f>IF(OR($A357="",B357=""),"",MONTH(B357))</f>
        <v/>
      </c>
    </row>
    <row r="358">
      <c r="A358" s="7" t="inlineStr">
        <is>
          <t>OT-2025-0354</t>
        </is>
      </c>
      <c r="B358" s="75" t="n">
        <v>45812.42708333334</v>
      </c>
      <c r="C358" s="7" t="inlineStr">
        <is>
          <t>Plan préventif</t>
        </is>
      </c>
      <c r="D358" s="7" t="inlineStr">
        <is>
          <t>EQ-BAT-003</t>
        </is>
      </c>
      <c r="E358" s="9">
        <f>IF(D358="","",IFERROR(INDEX('Équipements'!$B$5:$B$304,MATCH(D358,'Équipements'!$A$5:$A$304,0)),"Code inconnu"))</f>
        <v/>
      </c>
      <c r="F358" s="9">
        <f>IF(D358="","",IFERROR(INDEX('Équipements'!$D$5:$D$304,MATCH(D358,'Équipements'!$A$5:$A$304,0)),""))</f>
        <v/>
      </c>
      <c r="G358" s="9">
        <f>IF(D358="","",IFERROR(INDEX('Équipements'!$K$5:$K$304,MATCH(D358,'Équipements'!$A$5:$A$304,0)),""))</f>
        <v/>
      </c>
      <c r="H358" s="7" t="inlineStr">
        <is>
          <t>Préventif systématique</t>
        </is>
      </c>
      <c r="I358" s="7" t="inlineStr">
        <is>
          <t>GP-125</t>
        </is>
      </c>
      <c r="J358" s="7" t="inlineStr">
        <is>
          <t>Multi-technique</t>
        </is>
      </c>
      <c r="K358" s="7" t="inlineStr">
        <is>
          <t>P3 - Normale</t>
        </is>
      </c>
      <c r="L358" s="7" t="inlineStr">
        <is>
          <t>Entretien annuel complet</t>
        </is>
      </c>
      <c r="M358" s="7" t="n"/>
      <c r="N358" s="7" t="inlineStr">
        <is>
          <t>Gamme réalisée - petite fuite corrigée</t>
        </is>
      </c>
      <c r="O358" s="7" t="inlineStr">
        <is>
          <t>Antoine Mercier</t>
        </is>
      </c>
      <c r="P358" s="65" t="n">
        <v>45819</v>
      </c>
      <c r="Q358" s="75" t="n">
        <v>45819.58333333334</v>
      </c>
      <c r="R358" s="75" t="n">
        <v>45819.88541666666</v>
      </c>
      <c r="S358" s="76" t="n">
        <v>0</v>
      </c>
      <c r="T358" s="76" t="n">
        <v>2</v>
      </c>
      <c r="U358" s="70">
        <f>IF($A358="","",IFERROR(INDEX('Techniciens'!$F$5:$F$44,MATCH(O358,'Techniciens'!$B$5:$B$44,0)),'Paramètres'!$AA$10))</f>
        <v/>
      </c>
      <c r="V358" s="70">
        <f>IF($A358="","",IF(OR(AC358="Demandé",AC358="Planifié",AC358="Annulé"),0,N(T358)*N(U358)))</f>
        <v/>
      </c>
      <c r="W358" s="70">
        <f>IF($A358="","",SUMIFS('Mouvements stock'!$H$5:$H$3004,'Mouvements stock'!$I$5:$I$3004,$A358,'Mouvements stock'!$C$5:$C$3004,"Sortie")-SUMIFS('Mouvements stock'!$H$5:$H$3004,'Mouvements stock'!$I$5:$I$3004,$A358,'Mouvements stock'!$C$5:$C$3004,"Retour"))</f>
        <v/>
      </c>
      <c r="X358" s="66" t="n">
        <v>0</v>
      </c>
      <c r="Y358" s="66" t="n">
        <v>740</v>
      </c>
      <c r="Z358" s="7" t="inlineStr">
        <is>
          <t>Thermique &amp; Clim Services</t>
        </is>
      </c>
      <c r="AA358" s="70">
        <f>IF($A358="","",N(V358)+N(W358)+N(X358)+N(Y358))</f>
        <v/>
      </c>
      <c r="AB358" s="70">
        <f>IF($A358="","",N(S358)*'Paramètres'!$AA$9*IFERROR(INDEX('Paramètres'!$O$5:$O$7,MATCH(G358,'Paramètres'!$N$5:$N$7,0)),0))</f>
        <v/>
      </c>
      <c r="AC358" s="7" t="inlineStr">
        <is>
          <t>Clôturé</t>
        </is>
      </c>
      <c r="AD358" s="69">
        <f>IF(OR($A358="",Q358=""),"",(Q358-B358)*24)</f>
        <v/>
      </c>
      <c r="AE358" s="69">
        <f>IF(OR(Q358="",R358=""),"",(R358-Q358)*24)</f>
        <v/>
      </c>
      <c r="AF358" s="77">
        <f>IF(OR($A358="",B358=""),"",YEAR(B358))</f>
        <v/>
      </c>
      <c r="AG358" s="77">
        <f>IF(OR($A358="",B358=""),"",MONTH(B358))</f>
        <v/>
      </c>
    </row>
    <row r="359">
      <c r="A359" s="7" t="inlineStr">
        <is>
          <t>OT-2025-0355</t>
        </is>
      </c>
      <c r="B359" s="75" t="n">
        <v>45812.88472222222</v>
      </c>
      <c r="C359" s="7" t="inlineStr">
        <is>
          <t>Hugo Blanc (chef d'équipe)</t>
        </is>
      </c>
      <c r="D359" s="7" t="inlineStr">
        <is>
          <t>EQ-SOU-001</t>
        </is>
      </c>
      <c r="E359" s="9">
        <f>IF(D359="","",IFERROR(INDEX('Équipements'!$B$5:$B$304,MATCH(D359,'Équipements'!$A$5:$A$304,0)),"Code inconnu"))</f>
        <v/>
      </c>
      <c r="F359" s="9">
        <f>IF(D359="","",IFERROR(INDEX('Équipements'!$D$5:$D$304,MATCH(D359,'Équipements'!$A$5:$A$304,0)),""))</f>
        <v/>
      </c>
      <c r="G359" s="9">
        <f>IF(D359="","",IFERROR(INDEX('Équipements'!$K$5:$K$304,MATCH(D359,'Équipements'!$A$5:$A$304,0)),""))</f>
        <v/>
      </c>
      <c r="H359" s="7" t="inlineStr">
        <is>
          <t>Correctif</t>
        </is>
      </c>
      <c r="I359" s="7" t="n"/>
      <c r="J359" s="7" t="inlineStr">
        <is>
          <t>Automatisme</t>
        </is>
      </c>
      <c r="K359" s="7" t="inlineStr">
        <is>
          <t>P2 - Haute</t>
        </is>
      </c>
      <c r="L359" s="7" t="inlineStr">
        <is>
          <t>Défaut préhenseur / capteur de présence pièce</t>
        </is>
      </c>
      <c r="M359" s="7" t="inlineStr">
        <is>
          <t>Défaut capteur</t>
        </is>
      </c>
      <c r="N359" s="7" t="inlineStr">
        <is>
          <t>Remplacement détecteur, réglage préhenseur</t>
        </is>
      </c>
      <c r="O359" s="7" t="inlineStr">
        <is>
          <t>Sophie Garnier</t>
        </is>
      </c>
      <c r="P359" s="65" t="n"/>
      <c r="Q359" s="75" t="n">
        <v>45813.10208333333</v>
      </c>
      <c r="R359" s="75" t="n">
        <v>45813.19583333333</v>
      </c>
      <c r="S359" s="76" t="n">
        <v>0</v>
      </c>
      <c r="T359" s="76" t="n">
        <v>2.25</v>
      </c>
      <c r="U359" s="70">
        <f>IF($A359="","",IFERROR(INDEX('Techniciens'!$F$5:$F$44,MATCH(O359,'Techniciens'!$B$5:$B$44,0)),'Paramètres'!$AA$10))</f>
        <v/>
      </c>
      <c r="V359" s="70">
        <f>IF($A359="","",IF(OR(AC359="Demandé",AC359="Planifié",AC359="Annulé"),0,N(T359)*N(U359)))</f>
        <v/>
      </c>
      <c r="W359" s="70">
        <f>IF($A359="","",SUMIFS('Mouvements stock'!$H$5:$H$3004,'Mouvements stock'!$I$5:$I$3004,$A359,'Mouvements stock'!$C$5:$C$3004,"Sortie")-SUMIFS('Mouvements stock'!$H$5:$H$3004,'Mouvements stock'!$I$5:$I$3004,$A359,'Mouvements stock'!$C$5:$C$3004,"Retour"))</f>
        <v/>
      </c>
      <c r="X359" s="66" t="n">
        <v>99</v>
      </c>
      <c r="Y359" s="66" t="n">
        <v>0</v>
      </c>
      <c r="Z359" s="7" t="n"/>
      <c r="AA359" s="70">
        <f>IF($A359="","",N(V359)+N(W359)+N(X359)+N(Y359))</f>
        <v/>
      </c>
      <c r="AB359" s="70">
        <f>IF($A359="","",N(S359)*'Paramètres'!$AA$9*IFERROR(INDEX('Paramètres'!$O$5:$O$7,MATCH(G359,'Paramètres'!$N$5:$N$7,0)),0))</f>
        <v/>
      </c>
      <c r="AC359" s="7" t="inlineStr">
        <is>
          <t>Clôturé</t>
        </is>
      </c>
      <c r="AD359" s="69">
        <f>IF(OR($A359="",Q359=""),"",(Q359-B359)*24)</f>
        <v/>
      </c>
      <c r="AE359" s="69">
        <f>IF(OR(Q359="",R359=""),"",(R359-Q359)*24)</f>
        <v/>
      </c>
      <c r="AF359" s="77">
        <f>IF(OR($A359="",B359=""),"",YEAR(B359))</f>
        <v/>
      </c>
      <c r="AG359" s="77">
        <f>IF(OR($A359="",B359=""),"",MONTH(B359))</f>
        <v/>
      </c>
    </row>
    <row r="360">
      <c r="A360" s="7" t="inlineStr">
        <is>
          <t>OT-2025-0356</t>
        </is>
      </c>
      <c r="B360" s="75" t="n">
        <v>45813.325</v>
      </c>
      <c r="C360" s="7" t="inlineStr">
        <is>
          <t>Opérateur tôlerie</t>
        </is>
      </c>
      <c r="D360" s="7" t="inlineStr">
        <is>
          <t>EQ-TOL-002</t>
        </is>
      </c>
      <c r="E360" s="9">
        <f>IF(D360="","",IFERROR(INDEX('Équipements'!$B$5:$B$304,MATCH(D360,'Équipements'!$A$5:$A$304,0)),"Code inconnu"))</f>
        <v/>
      </c>
      <c r="F360" s="9">
        <f>IF(D360="","",IFERROR(INDEX('Équipements'!$D$5:$D$304,MATCH(D360,'Équipements'!$A$5:$A$304,0)),""))</f>
        <v/>
      </c>
      <c r="G360" s="9">
        <f>IF(D360="","",IFERROR(INDEX('Équipements'!$K$5:$K$304,MATCH(D360,'Équipements'!$A$5:$A$304,0)),""))</f>
        <v/>
      </c>
      <c r="H360" s="7" t="inlineStr">
        <is>
          <t>Correctif</t>
        </is>
      </c>
      <c r="I360" s="7" t="n"/>
      <c r="J360" s="7" t="inlineStr">
        <is>
          <t>Hydraulique</t>
        </is>
      </c>
      <c r="K360" s="7" t="inlineStr">
        <is>
          <t>P1 - Urgent</t>
        </is>
      </c>
      <c r="L360" s="7" t="inlineStr">
        <is>
          <t>Fuite d'huile vérin principal</t>
        </is>
      </c>
      <c r="M360" s="7" t="inlineStr">
        <is>
          <t>Fuite</t>
        </is>
      </c>
      <c r="N360" s="7" t="inlineStr">
        <is>
          <t>Remplacement kit joints vérin</t>
        </is>
      </c>
      <c r="O360" s="7" t="inlineStr">
        <is>
          <t>Karim Benali</t>
        </is>
      </c>
      <c r="P360" s="65" t="n"/>
      <c r="Q360" s="75" t="n">
        <v>45813.35902777778</v>
      </c>
      <c r="R360" s="75" t="n">
        <v>45813.80694444444</v>
      </c>
      <c r="S360" s="76" t="n">
        <v>11.6</v>
      </c>
      <c r="T360" s="76" t="n">
        <v>10.75</v>
      </c>
      <c r="U360" s="70">
        <f>IF($A360="","",IFERROR(INDEX('Techniciens'!$F$5:$F$44,MATCH(O360,'Techniciens'!$B$5:$B$44,0)),'Paramètres'!$AA$10))</f>
        <v/>
      </c>
      <c r="V360" s="70">
        <f>IF($A360="","",IF(OR(AC360="Demandé",AC360="Planifié",AC360="Annulé"),0,N(T360)*N(U360)))</f>
        <v/>
      </c>
      <c r="W360" s="70">
        <f>IF($A360="","",SUMIFS('Mouvements stock'!$H$5:$H$3004,'Mouvements stock'!$I$5:$I$3004,$A360,'Mouvements stock'!$C$5:$C$3004,"Sortie")-SUMIFS('Mouvements stock'!$H$5:$H$3004,'Mouvements stock'!$I$5:$I$3004,$A360,'Mouvements stock'!$C$5:$C$3004,"Retour"))</f>
        <v/>
      </c>
      <c r="X360" s="66" t="n">
        <v>0</v>
      </c>
      <c r="Y360" s="66" t="n">
        <v>0</v>
      </c>
      <c r="Z360" s="7" t="n"/>
      <c r="AA360" s="70">
        <f>IF($A360="","",N(V360)+N(W360)+N(X360)+N(Y360))</f>
        <v/>
      </c>
      <c r="AB360" s="70">
        <f>IF($A360="","",N(S360)*'Paramètres'!$AA$9*IFERROR(INDEX('Paramètres'!$O$5:$O$7,MATCH(G360,'Paramètres'!$N$5:$N$7,0)),0))</f>
        <v/>
      </c>
      <c r="AC360" s="7" t="inlineStr">
        <is>
          <t>Clôturé</t>
        </is>
      </c>
      <c r="AD360" s="69">
        <f>IF(OR($A360="",Q360=""),"",(Q360-B360)*24)</f>
        <v/>
      </c>
      <c r="AE360" s="69">
        <f>IF(OR(Q360="",R360=""),"",(R360-Q360)*24)</f>
        <v/>
      </c>
      <c r="AF360" s="77">
        <f>IF(OR($A360="",B360=""),"",YEAR(B360))</f>
        <v/>
      </c>
      <c r="AG360" s="77">
        <f>IF(OR($A360="",B360=""),"",MONTH(B360))</f>
        <v/>
      </c>
    </row>
    <row r="361">
      <c r="A361" s="7" t="inlineStr">
        <is>
          <t>OT-2025-0357</t>
        </is>
      </c>
      <c r="B361" s="75" t="n">
        <v>45814.29097222222</v>
      </c>
      <c r="C361" s="7" t="inlineStr">
        <is>
          <t>Cariste</t>
        </is>
      </c>
      <c r="D361" s="7" t="inlineStr">
        <is>
          <t>EQ-LOG-006</t>
        </is>
      </c>
      <c r="E361" s="9">
        <f>IF(D361="","",IFERROR(INDEX('Équipements'!$B$5:$B$304,MATCH(D361,'Équipements'!$A$5:$A$304,0)),"Code inconnu"))</f>
        <v/>
      </c>
      <c r="F361" s="9">
        <f>IF(D361="","",IFERROR(INDEX('Équipements'!$D$5:$D$304,MATCH(D361,'Équipements'!$A$5:$A$304,0)),""))</f>
        <v/>
      </c>
      <c r="G361" s="9">
        <f>IF(D361="","",IFERROR(INDEX('Équipements'!$K$5:$K$304,MATCH(D361,'Équipements'!$A$5:$A$304,0)),""))</f>
        <v/>
      </c>
      <c r="H361" s="7" t="inlineStr">
        <is>
          <t>Correctif</t>
        </is>
      </c>
      <c r="I361" s="7" t="n"/>
      <c r="J361" s="7" t="inlineStr">
        <is>
          <t>Électrique</t>
        </is>
      </c>
      <c r="K361" s="7" t="inlineStr">
        <is>
          <t>P2 - Haute</t>
        </is>
      </c>
      <c r="L361" s="7" t="inlineStr">
        <is>
          <t>Défaut boîte à boutons de commande</t>
        </is>
      </c>
      <c r="M361" s="7" t="inlineStr">
        <is>
          <t>Défaut électrique</t>
        </is>
      </c>
      <c r="N361" s="7" t="inlineStr">
        <is>
          <t>Remplacement contacteur de boîte à boutons</t>
        </is>
      </c>
      <c r="O361" s="7" t="inlineStr">
        <is>
          <t>Julien Moreau</t>
        </is>
      </c>
      <c r="P361" s="65" t="n"/>
      <c r="Q361" s="75" t="n">
        <v>45814.44166666667</v>
      </c>
      <c r="R361" s="75" t="n">
        <v>45814.63958333333</v>
      </c>
      <c r="S361" s="76" t="n">
        <v>0</v>
      </c>
      <c r="T361" s="76" t="n">
        <v>4.75</v>
      </c>
      <c r="U361" s="70">
        <f>IF($A361="","",IFERROR(INDEX('Techniciens'!$F$5:$F$44,MATCH(O361,'Techniciens'!$B$5:$B$44,0)),'Paramètres'!$AA$10))</f>
        <v/>
      </c>
      <c r="V361" s="70">
        <f>IF($A361="","",IF(OR(AC361="Demandé",AC361="Planifié",AC361="Annulé"),0,N(T361)*N(U361)))</f>
        <v/>
      </c>
      <c r="W361" s="70">
        <f>IF($A361="","",SUMIFS('Mouvements stock'!$H$5:$H$3004,'Mouvements stock'!$I$5:$I$3004,$A361,'Mouvements stock'!$C$5:$C$3004,"Sortie")-SUMIFS('Mouvements stock'!$H$5:$H$3004,'Mouvements stock'!$I$5:$I$3004,$A361,'Mouvements stock'!$C$5:$C$3004,"Retour"))</f>
        <v/>
      </c>
      <c r="X361" s="66" t="n">
        <v>0</v>
      </c>
      <c r="Y361" s="66" t="n">
        <v>0</v>
      </c>
      <c r="Z361" s="7" t="n"/>
      <c r="AA361" s="70">
        <f>IF($A361="","",N(V361)+N(W361)+N(X361)+N(Y361))</f>
        <v/>
      </c>
      <c r="AB361" s="70">
        <f>IF($A361="","",N(S361)*'Paramètres'!$AA$9*IFERROR(INDEX('Paramètres'!$O$5:$O$7,MATCH(G361,'Paramètres'!$N$5:$N$7,0)),0))</f>
        <v/>
      </c>
      <c r="AC361" s="7" t="inlineStr">
        <is>
          <t>Clôturé</t>
        </is>
      </c>
      <c r="AD361" s="69">
        <f>IF(OR($A361="",Q361=""),"",(Q361-B361)*24)</f>
        <v/>
      </c>
      <c r="AE361" s="69">
        <f>IF(OR(Q361="",R361=""),"",(R361-Q361)*24)</f>
        <v/>
      </c>
      <c r="AF361" s="77">
        <f>IF(OR($A361="",B361=""),"",YEAR(B361))</f>
        <v/>
      </c>
      <c r="AG361" s="77">
        <f>IF(OR($A361="",B361=""),"",MONTH(B361))</f>
        <v/>
      </c>
    </row>
    <row r="362">
      <c r="A362" s="7" t="inlineStr">
        <is>
          <t>OT-2025-0358</t>
        </is>
      </c>
      <c r="B362" s="75" t="n">
        <v>45814.40972222222</v>
      </c>
      <c r="C362" s="7" t="inlineStr">
        <is>
          <t>Plan préventif</t>
        </is>
      </c>
      <c r="D362" s="7" t="inlineStr">
        <is>
          <t>EQ-UTI-003</t>
        </is>
      </c>
      <c r="E362" s="9">
        <f>IF(D362="","",IFERROR(INDEX('Équipements'!$B$5:$B$304,MATCH(D362,'Équipements'!$A$5:$A$304,0)),"Code inconnu"))</f>
        <v/>
      </c>
      <c r="F362" s="9">
        <f>IF(D362="","",IFERROR(INDEX('Équipements'!$D$5:$D$304,MATCH(D362,'Équipements'!$A$5:$A$304,0)),""))</f>
        <v/>
      </c>
      <c r="G362" s="9">
        <f>IF(D362="","",IFERROR(INDEX('Équipements'!$K$5:$K$304,MATCH(D362,'Équipements'!$A$5:$A$304,0)),""))</f>
        <v/>
      </c>
      <c r="H362" s="7" t="inlineStr">
        <is>
          <t>Préventif systématique</t>
        </is>
      </c>
      <c r="I362" s="7" t="inlineStr">
        <is>
          <t>GP-092</t>
        </is>
      </c>
      <c r="J362" s="7" t="inlineStr">
        <is>
          <t>Pneumatique</t>
        </is>
      </c>
      <c r="K362" s="7" t="inlineStr">
        <is>
          <t>P3 - Normale</t>
        </is>
      </c>
      <c r="L362" s="7" t="inlineStr">
        <is>
          <t>Purge, contrôle fuites et point de rosée</t>
        </is>
      </c>
      <c r="M362" s="7" t="n"/>
      <c r="N362" s="7" t="inlineStr">
        <is>
          <t>Gamme réalisée - RAS</t>
        </is>
      </c>
      <c r="O362" s="7" t="inlineStr">
        <is>
          <t>Julien Moreau</t>
        </is>
      </c>
      <c r="P362" s="65" t="n">
        <v>45821.625</v>
      </c>
      <c r="Q362" s="75" t="n">
        <v>45821.61111111111</v>
      </c>
      <c r="R362" s="75" t="n">
        <v>45821.67361111111</v>
      </c>
      <c r="S362" s="76" t="n">
        <v>0</v>
      </c>
      <c r="T362" s="76" t="n">
        <v>1.5</v>
      </c>
      <c r="U362" s="70">
        <f>IF($A362="","",IFERROR(INDEX('Techniciens'!$F$5:$F$44,MATCH(O362,'Techniciens'!$B$5:$B$44,0)),'Paramètres'!$AA$10))</f>
        <v/>
      </c>
      <c r="V362" s="70">
        <f>IF($A362="","",IF(OR(AC362="Demandé",AC362="Planifié",AC362="Annulé"),0,N(T362)*N(U362)))</f>
        <v/>
      </c>
      <c r="W362" s="70">
        <f>IF($A362="","",SUMIFS('Mouvements stock'!$H$5:$H$3004,'Mouvements stock'!$I$5:$I$3004,$A362,'Mouvements stock'!$C$5:$C$3004,"Sortie")-SUMIFS('Mouvements stock'!$H$5:$H$3004,'Mouvements stock'!$I$5:$I$3004,$A362,'Mouvements stock'!$C$5:$C$3004,"Retour"))</f>
        <v/>
      </c>
      <c r="X362" s="66" t="n">
        <v>0</v>
      </c>
      <c r="Y362" s="66" t="n">
        <v>0</v>
      </c>
      <c r="Z362" s="7" t="n"/>
      <c r="AA362" s="70">
        <f>IF($A362="","",N(V362)+N(W362)+N(X362)+N(Y362))</f>
        <v/>
      </c>
      <c r="AB362" s="70">
        <f>IF($A362="","",N(S362)*'Paramètres'!$AA$9*IFERROR(INDEX('Paramètres'!$O$5:$O$7,MATCH(G362,'Paramètres'!$N$5:$N$7,0)),0))</f>
        <v/>
      </c>
      <c r="AC362" s="7" t="inlineStr">
        <is>
          <t>Clôturé</t>
        </is>
      </c>
      <c r="AD362" s="69">
        <f>IF(OR($A362="",Q362=""),"",(Q362-B362)*24)</f>
        <v/>
      </c>
      <c r="AE362" s="69">
        <f>IF(OR(Q362="",R362=""),"",(R362-Q362)*24)</f>
        <v/>
      </c>
      <c r="AF362" s="77">
        <f>IF(OR($A362="",B362=""),"",YEAR(B362))</f>
        <v/>
      </c>
      <c r="AG362" s="77">
        <f>IF(OR($A362="",B362=""),"",MONTH(B362))</f>
        <v/>
      </c>
    </row>
    <row r="363">
      <c r="A363" s="7" t="inlineStr">
        <is>
          <t>OT-2025-0359</t>
        </is>
      </c>
      <c r="B363" s="75" t="n">
        <v>45817.25347222222</v>
      </c>
      <c r="C363" s="7" t="inlineStr">
        <is>
          <t>Cariste</t>
        </is>
      </c>
      <c r="D363" s="7" t="inlineStr">
        <is>
          <t>EQ-LOG-010</t>
        </is>
      </c>
      <c r="E363" s="9">
        <f>IF(D363="","",IFERROR(INDEX('Équipements'!$B$5:$B$304,MATCH(D363,'Équipements'!$A$5:$A$304,0)),"Code inconnu"))</f>
        <v/>
      </c>
      <c r="F363" s="9">
        <f>IF(D363="","",IFERROR(INDEX('Équipements'!$D$5:$D$304,MATCH(D363,'Équipements'!$A$5:$A$304,0)),""))</f>
        <v/>
      </c>
      <c r="G363" s="9">
        <f>IF(D363="","",IFERROR(INDEX('Équipements'!$K$5:$K$304,MATCH(D363,'Équipements'!$A$5:$A$304,0)),""))</f>
        <v/>
      </c>
      <c r="H363" s="7" t="inlineStr">
        <is>
          <t>Correctif</t>
        </is>
      </c>
      <c r="I363" s="7" t="n"/>
      <c r="J363" s="7" t="inlineStr">
        <is>
          <t>Bâtiment</t>
        </is>
      </c>
      <c r="K363" s="7" t="inlineStr">
        <is>
          <t>P3 - Normale</t>
        </is>
      </c>
      <c r="L363" s="7" t="inlineStr">
        <is>
          <t>Panneau endommagé par un chariot</t>
        </is>
      </c>
      <c r="M363" s="7" t="inlineStr">
        <is>
          <t>Choc / accident</t>
        </is>
      </c>
      <c r="N363" s="7" t="inlineStr">
        <is>
          <t>Remplacement panneau</t>
        </is>
      </c>
      <c r="O363" s="7" t="inlineStr">
        <is>
          <t>Lucas Fontaine</t>
        </is>
      </c>
      <c r="P363" s="65" t="n"/>
      <c r="Q363" s="75" t="n">
        <v>45817.66527777778</v>
      </c>
      <c r="R363" s="75" t="n">
        <v>45817.72777777778</v>
      </c>
      <c r="S363" s="76" t="n">
        <v>0</v>
      </c>
      <c r="T363" s="76" t="n">
        <v>1.5</v>
      </c>
      <c r="U363" s="70">
        <f>IF($A363="","",IFERROR(INDEX('Techniciens'!$F$5:$F$44,MATCH(O363,'Techniciens'!$B$5:$B$44,0)),'Paramètres'!$AA$10))</f>
        <v/>
      </c>
      <c r="V363" s="70">
        <f>IF($A363="","",IF(OR(AC363="Demandé",AC363="Planifié",AC363="Annulé"),0,N(T363)*N(U363)))</f>
        <v/>
      </c>
      <c r="W363" s="70">
        <f>IF($A363="","",SUMIFS('Mouvements stock'!$H$5:$H$3004,'Mouvements stock'!$I$5:$I$3004,$A363,'Mouvements stock'!$C$5:$C$3004,"Sortie")-SUMIFS('Mouvements stock'!$H$5:$H$3004,'Mouvements stock'!$I$5:$I$3004,$A363,'Mouvements stock'!$C$5:$C$3004,"Retour"))</f>
        <v/>
      </c>
      <c r="X363" s="66" t="n">
        <v>0</v>
      </c>
      <c r="Y363" s="66" t="n">
        <v>670</v>
      </c>
      <c r="Z363" s="7" t="inlineStr">
        <is>
          <t>Fournitures Industrielles Générales</t>
        </is>
      </c>
      <c r="AA363" s="70">
        <f>IF($A363="","",N(V363)+N(W363)+N(X363)+N(Y363))</f>
        <v/>
      </c>
      <c r="AB363" s="70">
        <f>IF($A363="","",N(S363)*'Paramètres'!$AA$9*IFERROR(INDEX('Paramètres'!$O$5:$O$7,MATCH(G363,'Paramètres'!$N$5:$N$7,0)),0))</f>
        <v/>
      </c>
      <c r="AC363" s="7" t="inlineStr">
        <is>
          <t>Clôturé</t>
        </is>
      </c>
      <c r="AD363" s="69">
        <f>IF(OR($A363="",Q363=""),"",(Q363-B363)*24)</f>
        <v/>
      </c>
      <c r="AE363" s="69">
        <f>IF(OR(Q363="",R363=""),"",(R363-Q363)*24)</f>
        <v/>
      </c>
      <c r="AF363" s="77">
        <f>IF(OR($A363="",B363=""),"",YEAR(B363))</f>
        <v/>
      </c>
      <c r="AG363" s="77">
        <f>IF(OR($A363="",B363=""),"",MONTH(B363))</f>
        <v/>
      </c>
    </row>
    <row r="364">
      <c r="A364" s="7" t="inlineStr">
        <is>
          <t>OT-2025-0360</t>
        </is>
      </c>
      <c r="B364" s="75" t="n">
        <v>45817.40277777778</v>
      </c>
      <c r="C364" s="7" t="inlineStr">
        <is>
          <t>Planning réglementaire</t>
        </is>
      </c>
      <c r="D364" s="7" t="inlineStr">
        <is>
          <t>EQ-LOG-002</t>
        </is>
      </c>
      <c r="E364" s="9">
        <f>IF(D364="","",IFERROR(INDEX('Équipements'!$B$5:$B$304,MATCH(D364,'Équipements'!$A$5:$A$304,0)),"Code inconnu"))</f>
        <v/>
      </c>
      <c r="F364" s="9">
        <f>IF(D364="","",IFERROR(INDEX('Équipements'!$D$5:$D$304,MATCH(D364,'Équipements'!$A$5:$A$304,0)),""))</f>
        <v/>
      </c>
      <c r="G364" s="9">
        <f>IF(D364="","",IFERROR(INDEX('Équipements'!$K$5:$K$304,MATCH(D364,'Équipements'!$A$5:$A$304,0)),""))</f>
        <v/>
      </c>
      <c r="H364" s="7" t="inlineStr">
        <is>
          <t>Réglementaire</t>
        </is>
      </c>
      <c r="I364" s="7" t="inlineStr">
        <is>
          <t>CR-005</t>
        </is>
      </c>
      <c r="J364" s="7" t="inlineStr">
        <is>
          <t>Multi-technique</t>
        </is>
      </c>
      <c r="K364" s="7" t="inlineStr">
        <is>
          <t>P2 - Haute</t>
        </is>
      </c>
      <c r="L364" s="7" t="inlineStr">
        <is>
          <t>VGP chariot automoteur</t>
        </is>
      </c>
      <c r="M364" s="7" t="n"/>
      <c r="N364" s="7" t="inlineStr">
        <is>
          <t>Contrôle réalisé - aucune observation</t>
        </is>
      </c>
      <c r="O364" s="7" t="inlineStr">
        <is>
          <t>Nadia Rousseau</t>
        </is>
      </c>
      <c r="P364" s="65" t="n">
        <v>45838</v>
      </c>
      <c r="Q364" s="75" t="n">
        <v>45838.52777777778</v>
      </c>
      <c r="R364" s="75" t="n">
        <v>45838.54861111111</v>
      </c>
      <c r="S364" s="76" t="n">
        <v>0</v>
      </c>
      <c r="T364" s="76" t="n">
        <v>0.5</v>
      </c>
      <c r="U364" s="70">
        <f>IF($A364="","",IFERROR(INDEX('Techniciens'!$F$5:$F$44,MATCH(O364,'Techniciens'!$B$5:$B$44,0)),'Paramètres'!$AA$10))</f>
        <v/>
      </c>
      <c r="V364" s="70">
        <f>IF($A364="","",IF(OR(AC364="Demandé",AC364="Planifié",AC364="Annulé"),0,N(T364)*N(U364)))</f>
        <v/>
      </c>
      <c r="W364" s="70">
        <f>IF($A364="","",SUMIFS('Mouvements stock'!$H$5:$H$3004,'Mouvements stock'!$I$5:$I$3004,$A364,'Mouvements stock'!$C$5:$C$3004,"Sortie")-SUMIFS('Mouvements stock'!$H$5:$H$3004,'Mouvements stock'!$I$5:$I$3004,$A364,'Mouvements stock'!$C$5:$C$3004,"Retour"))</f>
        <v/>
      </c>
      <c r="X364" s="66" t="n">
        <v>0</v>
      </c>
      <c r="Y364" s="66" t="n">
        <v>120</v>
      </c>
      <c r="Z364" s="7" t="inlineStr">
        <is>
          <t>CONTROLIS (organisme fictif)</t>
        </is>
      </c>
      <c r="AA364" s="70">
        <f>IF($A364="","",N(V364)+N(W364)+N(X364)+N(Y364))</f>
        <v/>
      </c>
      <c r="AB364" s="70">
        <f>IF($A364="","",N(S364)*'Paramètres'!$AA$9*IFERROR(INDEX('Paramètres'!$O$5:$O$7,MATCH(G364,'Paramètres'!$N$5:$N$7,0)),0))</f>
        <v/>
      </c>
      <c r="AC364" s="7" t="inlineStr">
        <is>
          <t>Clôturé</t>
        </is>
      </c>
      <c r="AD364" s="69">
        <f>IF(OR($A364="",Q364=""),"",(Q364-B364)*24)</f>
        <v/>
      </c>
      <c r="AE364" s="69">
        <f>IF(OR(Q364="",R364=""),"",(R364-Q364)*24)</f>
        <v/>
      </c>
      <c r="AF364" s="77">
        <f>IF(OR($A364="",B364=""),"",YEAR(B364))</f>
        <v/>
      </c>
      <c r="AG364" s="77">
        <f>IF(OR($A364="",B364=""),"",MONTH(B364))</f>
        <v/>
      </c>
    </row>
    <row r="365">
      <c r="A365" s="7" t="inlineStr">
        <is>
          <t>OT-2025-0361</t>
        </is>
      </c>
      <c r="B365" s="75" t="n">
        <v>45817.47222222222</v>
      </c>
      <c r="C365" s="7" t="inlineStr">
        <is>
          <t>Plan préventif</t>
        </is>
      </c>
      <c r="D365" s="7" t="inlineStr">
        <is>
          <t>EQ-USI-005</t>
        </is>
      </c>
      <c r="E365" s="9">
        <f>IF(D365="","",IFERROR(INDEX('Équipements'!$B$5:$B$304,MATCH(D365,'Équipements'!$A$5:$A$304,0)),"Code inconnu"))</f>
        <v/>
      </c>
      <c r="F365" s="9">
        <f>IF(D365="","",IFERROR(INDEX('Équipements'!$D$5:$D$304,MATCH(D365,'Équipements'!$A$5:$A$304,0)),""))</f>
        <v/>
      </c>
      <c r="G365" s="9">
        <f>IF(D365="","",IFERROR(INDEX('Équipements'!$K$5:$K$304,MATCH(D365,'Équipements'!$A$5:$A$304,0)),""))</f>
        <v/>
      </c>
      <c r="H365" s="7" t="inlineStr">
        <is>
          <t>Préventif systématique</t>
        </is>
      </c>
      <c r="I365" s="7" t="inlineStr">
        <is>
          <t>GP-017</t>
        </is>
      </c>
      <c r="J365" s="7" t="inlineStr">
        <is>
          <t>Mécanique</t>
        </is>
      </c>
      <c r="K365" s="7" t="inlineStr">
        <is>
          <t>P3 - Normale</t>
        </is>
      </c>
      <c r="L365" s="7" t="inlineStr">
        <is>
          <t>Contrôle niveaux, nettoyage filtres et bac à copeaux</t>
        </is>
      </c>
      <c r="M365" s="7" t="n"/>
      <c r="N365" s="7" t="inlineStr">
        <is>
          <t>Gamme réalisée - RAS</t>
        </is>
      </c>
      <c r="O365" s="7" t="inlineStr">
        <is>
          <t>Karim Benali</t>
        </is>
      </c>
      <c r="P365" s="65" t="n">
        <v>45824.59027777778</v>
      </c>
      <c r="Q365" s="75" t="n">
        <v>45824.53125</v>
      </c>
      <c r="R365" s="75" t="n">
        <v>45824.60416666666</v>
      </c>
      <c r="S365" s="76" t="n">
        <v>0</v>
      </c>
      <c r="T365" s="76" t="n">
        <v>1.75</v>
      </c>
      <c r="U365" s="70">
        <f>IF($A365="","",IFERROR(INDEX('Techniciens'!$F$5:$F$44,MATCH(O365,'Techniciens'!$B$5:$B$44,0)),'Paramètres'!$AA$10))</f>
        <v/>
      </c>
      <c r="V365" s="70">
        <f>IF($A365="","",IF(OR(AC365="Demandé",AC365="Planifié",AC365="Annulé"),0,N(T365)*N(U365)))</f>
        <v/>
      </c>
      <c r="W365" s="70">
        <f>IF($A365="","",SUMIFS('Mouvements stock'!$H$5:$H$3004,'Mouvements stock'!$I$5:$I$3004,$A365,'Mouvements stock'!$C$5:$C$3004,"Sortie")-SUMIFS('Mouvements stock'!$H$5:$H$3004,'Mouvements stock'!$I$5:$I$3004,$A365,'Mouvements stock'!$C$5:$C$3004,"Retour"))</f>
        <v/>
      </c>
      <c r="X365" s="66" t="n">
        <v>0</v>
      </c>
      <c r="Y365" s="66" t="n">
        <v>0</v>
      </c>
      <c r="Z365" s="7" t="n"/>
      <c r="AA365" s="70">
        <f>IF($A365="","",N(V365)+N(W365)+N(X365)+N(Y365))</f>
        <v/>
      </c>
      <c r="AB365" s="70">
        <f>IF($A365="","",N(S365)*'Paramètres'!$AA$9*IFERROR(INDEX('Paramètres'!$O$5:$O$7,MATCH(G365,'Paramètres'!$N$5:$N$7,0)),0))</f>
        <v/>
      </c>
      <c r="AC365" s="7" t="inlineStr">
        <is>
          <t>Clôturé</t>
        </is>
      </c>
      <c r="AD365" s="69">
        <f>IF(OR($A365="",Q365=""),"",(Q365-B365)*24)</f>
        <v/>
      </c>
      <c r="AE365" s="69">
        <f>IF(OR(Q365="",R365=""),"",(R365-Q365)*24)</f>
        <v/>
      </c>
      <c r="AF365" s="77">
        <f>IF(OR($A365="",B365=""),"",YEAR(B365))</f>
        <v/>
      </c>
      <c r="AG365" s="77">
        <f>IF(OR($A365="",B365=""),"",MONTH(B365))</f>
        <v/>
      </c>
    </row>
    <row r="366">
      <c r="A366" s="7" t="inlineStr">
        <is>
          <t>OT-2025-0362</t>
        </is>
      </c>
      <c r="B366" s="75" t="n">
        <v>45818.36805555555</v>
      </c>
      <c r="C366" s="7" t="inlineStr">
        <is>
          <t>Plan préventif</t>
        </is>
      </c>
      <c r="D366" s="7" t="inlineStr">
        <is>
          <t>EQ-TOL-004</t>
        </is>
      </c>
      <c r="E366" s="9">
        <f>IF(D366="","",IFERROR(INDEX('Équipements'!$B$5:$B$304,MATCH(D366,'Équipements'!$A$5:$A$304,0)),"Code inconnu"))</f>
        <v/>
      </c>
      <c r="F366" s="9">
        <f>IF(D366="","",IFERROR(INDEX('Équipements'!$D$5:$D$304,MATCH(D366,'Équipements'!$A$5:$A$304,0)),""))</f>
        <v/>
      </c>
      <c r="G366" s="9">
        <f>IF(D366="","",IFERROR(INDEX('Équipements'!$K$5:$K$304,MATCH(D366,'Équipements'!$A$5:$A$304,0)),""))</f>
        <v/>
      </c>
      <c r="H366" s="7" t="inlineStr">
        <is>
          <t>Préventif systématique</t>
        </is>
      </c>
      <c r="I366" s="7" t="inlineStr">
        <is>
          <t>GP-049</t>
        </is>
      </c>
      <c r="J366" s="7" t="inlineStr">
        <is>
          <t>Électrique</t>
        </is>
      </c>
      <c r="K366" s="7" t="inlineStr">
        <is>
          <t>P3 - Normale</t>
        </is>
      </c>
      <c r="L366" s="7" t="inlineStr">
        <is>
          <t>Contrôle des sécurités (barrages, AU, pédale)</t>
        </is>
      </c>
      <c r="M366" s="7" t="n"/>
      <c r="N366" s="7" t="inlineStr">
        <is>
          <t>Gamme réalisée - DI émise pour remplacement pièce</t>
        </is>
      </c>
      <c r="O366" s="7" t="inlineStr">
        <is>
          <t>Antoine Mercier</t>
        </is>
      </c>
      <c r="P366" s="65" t="n">
        <v>45825.59027777778</v>
      </c>
      <c r="Q366" s="75" t="n">
        <v>45825.47222222222</v>
      </c>
      <c r="R366" s="75" t="n">
        <v>45825.54513888889</v>
      </c>
      <c r="S366" s="76" t="n">
        <v>0</v>
      </c>
      <c r="T366" s="76" t="n">
        <v>1.75</v>
      </c>
      <c r="U366" s="70">
        <f>IF($A366="","",IFERROR(INDEX('Techniciens'!$F$5:$F$44,MATCH(O366,'Techniciens'!$B$5:$B$44,0)),'Paramètres'!$AA$10))</f>
        <v/>
      </c>
      <c r="V366" s="70">
        <f>IF($A366="","",IF(OR(AC366="Demandé",AC366="Planifié",AC366="Annulé"),0,N(T366)*N(U366)))</f>
        <v/>
      </c>
      <c r="W366" s="70">
        <f>IF($A366="","",SUMIFS('Mouvements stock'!$H$5:$H$3004,'Mouvements stock'!$I$5:$I$3004,$A366,'Mouvements stock'!$C$5:$C$3004,"Sortie")-SUMIFS('Mouvements stock'!$H$5:$H$3004,'Mouvements stock'!$I$5:$I$3004,$A366,'Mouvements stock'!$C$5:$C$3004,"Retour"))</f>
        <v/>
      </c>
      <c r="X366" s="66" t="n">
        <v>0</v>
      </c>
      <c r="Y366" s="66" t="n">
        <v>0</v>
      </c>
      <c r="Z366" s="7" t="n"/>
      <c r="AA366" s="70">
        <f>IF($A366="","",N(V366)+N(W366)+N(X366)+N(Y366))</f>
        <v/>
      </c>
      <c r="AB366" s="70">
        <f>IF($A366="","",N(S366)*'Paramètres'!$AA$9*IFERROR(INDEX('Paramètres'!$O$5:$O$7,MATCH(G366,'Paramètres'!$N$5:$N$7,0)),0))</f>
        <v/>
      </c>
      <c r="AC366" s="7" t="inlineStr">
        <is>
          <t>Clôturé</t>
        </is>
      </c>
      <c r="AD366" s="69">
        <f>IF(OR($A366="",Q366=""),"",(Q366-B366)*24)</f>
        <v/>
      </c>
      <c r="AE366" s="69">
        <f>IF(OR(Q366="",R366=""),"",(R366-Q366)*24)</f>
        <v/>
      </c>
      <c r="AF366" s="77">
        <f>IF(OR($A366="",B366=""),"",YEAR(B366))</f>
        <v/>
      </c>
      <c r="AG366" s="77">
        <f>IF(OR($A366="",B366=""),"",MONTH(B366))</f>
        <v/>
      </c>
    </row>
    <row r="367">
      <c r="A367" s="7" t="inlineStr">
        <is>
          <t>OT-2025-0363</t>
        </is>
      </c>
      <c r="B367" s="75" t="n">
        <v>45818.4375</v>
      </c>
      <c r="C367" s="7" t="inlineStr">
        <is>
          <t>Plan préventif</t>
        </is>
      </c>
      <c r="D367" s="7" t="inlineStr">
        <is>
          <t>EQ-PEI-001</t>
        </is>
      </c>
      <c r="E367" s="9">
        <f>IF(D367="","",IFERROR(INDEX('Équipements'!$B$5:$B$304,MATCH(D367,'Équipements'!$A$5:$A$304,0)),"Code inconnu"))</f>
        <v/>
      </c>
      <c r="F367" s="9">
        <f>IF(D367="","",IFERROR(INDEX('Équipements'!$D$5:$D$304,MATCH(D367,'Équipements'!$A$5:$A$304,0)),""))</f>
        <v/>
      </c>
      <c r="G367" s="9">
        <f>IF(D367="","",IFERROR(INDEX('Équipements'!$K$5:$K$304,MATCH(D367,'Équipements'!$A$5:$A$304,0)),""))</f>
        <v/>
      </c>
      <c r="H367" s="7" t="inlineStr">
        <is>
          <t>Préventif systématique</t>
        </is>
      </c>
      <c r="I367" s="7" t="inlineStr">
        <is>
          <t>GP-066</t>
        </is>
      </c>
      <c r="J367" s="7" t="inlineStr">
        <is>
          <t>Mécanique</t>
        </is>
      </c>
      <c r="K367" s="7" t="inlineStr">
        <is>
          <t>P3 - Normale</t>
        </is>
      </c>
      <c r="L367" s="7" t="inlineStr">
        <is>
          <t>Nettoyage et remplacement des filtres</t>
        </is>
      </c>
      <c r="M367" s="7" t="n"/>
      <c r="N367" s="7" t="inlineStr">
        <is>
          <t>Gamme réalisée - RAS</t>
        </is>
      </c>
      <c r="O367" s="7" t="inlineStr">
        <is>
          <t>Lucas Fontaine</t>
        </is>
      </c>
      <c r="P367" s="65" t="n">
        <v>45825.375</v>
      </c>
      <c r="Q367" s="75" t="n">
        <v>45825.47916666666</v>
      </c>
      <c r="R367" s="75" t="n">
        <v>45825.60416666666</v>
      </c>
      <c r="S367" s="76" t="n">
        <v>3</v>
      </c>
      <c r="T367" s="76" t="n">
        <v>3</v>
      </c>
      <c r="U367" s="70">
        <f>IF($A367="","",IFERROR(INDEX('Techniciens'!$F$5:$F$44,MATCH(O367,'Techniciens'!$B$5:$B$44,0)),'Paramètres'!$AA$10))</f>
        <v/>
      </c>
      <c r="V367" s="70">
        <f>IF($A367="","",IF(OR(AC367="Demandé",AC367="Planifié",AC367="Annulé"),0,N(T367)*N(U367)))</f>
        <v/>
      </c>
      <c r="W367" s="70">
        <f>IF($A367="","",SUMIFS('Mouvements stock'!$H$5:$H$3004,'Mouvements stock'!$I$5:$I$3004,$A367,'Mouvements stock'!$C$5:$C$3004,"Sortie")-SUMIFS('Mouvements stock'!$H$5:$H$3004,'Mouvements stock'!$I$5:$I$3004,$A367,'Mouvements stock'!$C$5:$C$3004,"Retour"))</f>
        <v/>
      </c>
      <c r="X367" s="66" t="n">
        <v>0</v>
      </c>
      <c r="Y367" s="66" t="n">
        <v>0</v>
      </c>
      <c r="Z367" s="7" t="n"/>
      <c r="AA367" s="70">
        <f>IF($A367="","",N(V367)+N(W367)+N(X367)+N(Y367))</f>
        <v/>
      </c>
      <c r="AB367" s="70">
        <f>IF($A367="","",N(S367)*'Paramètres'!$AA$9*IFERROR(INDEX('Paramètres'!$O$5:$O$7,MATCH(G367,'Paramètres'!$N$5:$N$7,0)),0))</f>
        <v/>
      </c>
      <c r="AC367" s="7" t="inlineStr">
        <is>
          <t>Clôturé</t>
        </is>
      </c>
      <c r="AD367" s="69">
        <f>IF(OR($A367="",Q367=""),"",(Q367-B367)*24)</f>
        <v/>
      </c>
      <c r="AE367" s="69">
        <f>IF(OR(Q367="",R367=""),"",(R367-Q367)*24)</f>
        <v/>
      </c>
      <c r="AF367" s="77">
        <f>IF(OR($A367="",B367=""),"",YEAR(B367))</f>
        <v/>
      </c>
      <c r="AG367" s="77">
        <f>IF(OR($A367="",B367=""),"",MONTH(B367))</f>
        <v/>
      </c>
    </row>
    <row r="368">
      <c r="A368" s="7" t="inlineStr">
        <is>
          <t>OT-2025-0364</t>
        </is>
      </c>
      <c r="B368" s="75" t="n">
        <v>45818.44444444445</v>
      </c>
      <c r="C368" s="7" t="inlineStr">
        <is>
          <t>Plan préventif</t>
        </is>
      </c>
      <c r="D368" s="7" t="inlineStr">
        <is>
          <t>EQ-USI-009</t>
        </is>
      </c>
      <c r="E368" s="9">
        <f>IF(D368="","",IFERROR(INDEX('Équipements'!$B$5:$B$304,MATCH(D368,'Équipements'!$A$5:$A$304,0)),"Code inconnu"))</f>
        <v/>
      </c>
      <c r="F368" s="9">
        <f>IF(D368="","",IFERROR(INDEX('Équipements'!$D$5:$D$304,MATCH(D368,'Équipements'!$A$5:$A$304,0)),""))</f>
        <v/>
      </c>
      <c r="G368" s="9">
        <f>IF(D368="","",IFERROR(INDEX('Équipements'!$K$5:$K$304,MATCH(D368,'Équipements'!$A$5:$A$304,0)),""))</f>
        <v/>
      </c>
      <c r="H368" s="7" t="inlineStr">
        <is>
          <t>Préventif systématique</t>
        </is>
      </c>
      <c r="I368" s="7" t="inlineStr">
        <is>
          <t>GP-031</t>
        </is>
      </c>
      <c r="J368" s="7" t="inlineStr">
        <is>
          <t>Hydraulique</t>
        </is>
      </c>
      <c r="K368" s="7" t="inlineStr">
        <is>
          <t>P3 - Normale</t>
        </is>
      </c>
      <c r="L368" s="7" t="inlineStr">
        <is>
          <t>Vidange hydraulique</t>
        </is>
      </c>
      <c r="M368" s="7" t="n"/>
      <c r="N368" s="7" t="inlineStr">
        <is>
          <t>Gamme réalisée - RAS</t>
        </is>
      </c>
      <c r="O368" s="7" t="inlineStr">
        <is>
          <t>Karim Benali</t>
        </is>
      </c>
      <c r="P368" s="65" t="n">
        <v>45825</v>
      </c>
      <c r="Q368" s="75" t="n">
        <v>45825.55555555555</v>
      </c>
      <c r="R368" s="75" t="n">
        <v>45825.71180555555</v>
      </c>
      <c r="S368" s="76" t="n">
        <v>0</v>
      </c>
      <c r="T368" s="76" t="n">
        <v>3.75</v>
      </c>
      <c r="U368" s="70">
        <f>IF($A368="","",IFERROR(INDEX('Techniciens'!$F$5:$F$44,MATCH(O368,'Techniciens'!$B$5:$B$44,0)),'Paramètres'!$AA$10))</f>
        <v/>
      </c>
      <c r="V368" s="70">
        <f>IF($A368="","",IF(OR(AC368="Demandé",AC368="Planifié",AC368="Annulé"),0,N(T368)*N(U368)))</f>
        <v/>
      </c>
      <c r="W368" s="70">
        <f>IF($A368="","",SUMIFS('Mouvements stock'!$H$5:$H$3004,'Mouvements stock'!$I$5:$I$3004,$A368,'Mouvements stock'!$C$5:$C$3004,"Sortie")-SUMIFS('Mouvements stock'!$H$5:$H$3004,'Mouvements stock'!$I$5:$I$3004,$A368,'Mouvements stock'!$C$5:$C$3004,"Retour"))</f>
        <v/>
      </c>
      <c r="X368" s="66" t="n">
        <v>0</v>
      </c>
      <c r="Y368" s="66" t="n">
        <v>0</v>
      </c>
      <c r="Z368" s="7" t="n"/>
      <c r="AA368" s="70">
        <f>IF($A368="","",N(V368)+N(W368)+N(X368)+N(Y368))</f>
        <v/>
      </c>
      <c r="AB368" s="70">
        <f>IF($A368="","",N(S368)*'Paramètres'!$AA$9*IFERROR(INDEX('Paramètres'!$O$5:$O$7,MATCH(G368,'Paramètres'!$N$5:$N$7,0)),0))</f>
        <v/>
      </c>
      <c r="AC368" s="7" t="inlineStr">
        <is>
          <t>Clôturé</t>
        </is>
      </c>
      <c r="AD368" s="69">
        <f>IF(OR($A368="",Q368=""),"",(Q368-B368)*24)</f>
        <v/>
      </c>
      <c r="AE368" s="69">
        <f>IF(OR(Q368="",R368=""),"",(R368-Q368)*24)</f>
        <v/>
      </c>
      <c r="AF368" s="77">
        <f>IF(OR($A368="",B368=""),"",YEAR(B368))</f>
        <v/>
      </c>
      <c r="AG368" s="77">
        <f>IF(OR($A368="",B368=""),"",MONTH(B368))</f>
        <v/>
      </c>
    </row>
    <row r="369">
      <c r="A369" s="7" t="inlineStr">
        <is>
          <t>OT-2025-0365</t>
        </is>
      </c>
      <c r="B369" s="75" t="n">
        <v>45820.42361111111</v>
      </c>
      <c r="C369" s="7" t="inlineStr">
        <is>
          <t>Plan préventif</t>
        </is>
      </c>
      <c r="D369" s="7" t="inlineStr">
        <is>
          <t>EQ-USI-007</t>
        </is>
      </c>
      <c r="E369" s="9">
        <f>IF(D369="","",IFERROR(INDEX('Équipements'!$B$5:$B$304,MATCH(D369,'Équipements'!$A$5:$A$304,0)),"Code inconnu"))</f>
        <v/>
      </c>
      <c r="F369" s="9">
        <f>IF(D369="","",IFERROR(INDEX('Équipements'!$D$5:$D$304,MATCH(D369,'Équipements'!$A$5:$A$304,0)),""))</f>
        <v/>
      </c>
      <c r="G369" s="9">
        <f>IF(D369="","",IFERROR(INDEX('Équipements'!$K$5:$K$304,MATCH(D369,'Équipements'!$A$5:$A$304,0)),""))</f>
        <v/>
      </c>
      <c r="H369" s="7" t="inlineStr">
        <is>
          <t>Préventif systématique</t>
        </is>
      </c>
      <c r="I369" s="7" t="inlineStr">
        <is>
          <t>GP-028</t>
        </is>
      </c>
      <c r="J369" s="7" t="inlineStr">
        <is>
          <t>Électrique</t>
        </is>
      </c>
      <c r="K369" s="7" t="inlineStr">
        <is>
          <t>P3 - Normale</t>
        </is>
      </c>
      <c r="L369" s="7" t="inlineStr">
        <is>
          <t>Contrôle armoire électrique (ventilation, serrages)</t>
        </is>
      </c>
      <c r="M369" s="7" t="n"/>
      <c r="N369" s="7" t="inlineStr">
        <is>
          <t>Gamme réalisée - RAS</t>
        </is>
      </c>
      <c r="O369" s="7" t="inlineStr">
        <is>
          <t>Antoine Mercier</t>
        </is>
      </c>
      <c r="P369" s="65" t="n">
        <v>45827</v>
      </c>
      <c r="Q369" s="75" t="n">
        <v>45827.34722222222</v>
      </c>
      <c r="R369" s="75" t="n">
        <v>45827.46180555555</v>
      </c>
      <c r="S369" s="76" t="n">
        <v>2.8</v>
      </c>
      <c r="T369" s="76" t="n">
        <v>2.75</v>
      </c>
      <c r="U369" s="70">
        <f>IF($A369="","",IFERROR(INDEX('Techniciens'!$F$5:$F$44,MATCH(O369,'Techniciens'!$B$5:$B$44,0)),'Paramètres'!$AA$10))</f>
        <v/>
      </c>
      <c r="V369" s="70">
        <f>IF($A369="","",IF(OR(AC369="Demandé",AC369="Planifié",AC369="Annulé"),0,N(T369)*N(U369)))</f>
        <v/>
      </c>
      <c r="W369" s="70">
        <f>IF($A369="","",SUMIFS('Mouvements stock'!$H$5:$H$3004,'Mouvements stock'!$I$5:$I$3004,$A369,'Mouvements stock'!$C$5:$C$3004,"Sortie")-SUMIFS('Mouvements stock'!$H$5:$H$3004,'Mouvements stock'!$I$5:$I$3004,$A369,'Mouvements stock'!$C$5:$C$3004,"Retour"))</f>
        <v/>
      </c>
      <c r="X369" s="66" t="n">
        <v>0</v>
      </c>
      <c r="Y369" s="66" t="n">
        <v>0</v>
      </c>
      <c r="Z369" s="7" t="n"/>
      <c r="AA369" s="70">
        <f>IF($A369="","",N(V369)+N(W369)+N(X369)+N(Y369))</f>
        <v/>
      </c>
      <c r="AB369" s="70">
        <f>IF($A369="","",N(S369)*'Paramètres'!$AA$9*IFERROR(INDEX('Paramètres'!$O$5:$O$7,MATCH(G369,'Paramètres'!$N$5:$N$7,0)),0))</f>
        <v/>
      </c>
      <c r="AC369" s="7" t="inlineStr">
        <is>
          <t>Clôturé</t>
        </is>
      </c>
      <c r="AD369" s="69">
        <f>IF(OR($A369="",Q369=""),"",(Q369-B369)*24)</f>
        <v/>
      </c>
      <c r="AE369" s="69">
        <f>IF(OR(Q369="",R369=""),"",(R369-Q369)*24)</f>
        <v/>
      </c>
      <c r="AF369" s="77">
        <f>IF(OR($A369="",B369=""),"",YEAR(B369))</f>
        <v/>
      </c>
      <c r="AG369" s="77">
        <f>IF(OR($A369="",B369=""),"",MONTH(B369))</f>
        <v/>
      </c>
    </row>
    <row r="370">
      <c r="A370" s="7" t="inlineStr">
        <is>
          <t>OT-2025-0366</t>
        </is>
      </c>
      <c r="B370" s="75" t="n">
        <v>45821.32430555556</v>
      </c>
      <c r="C370" s="7" t="inlineStr">
        <is>
          <t>Paul Roux (chef d'atelier)</t>
        </is>
      </c>
      <c r="D370" s="7" t="inlineStr">
        <is>
          <t>EQ-ASS-003</t>
        </is>
      </c>
      <c r="E370" s="9">
        <f>IF(D370="","",IFERROR(INDEX('Équipements'!$B$5:$B$304,MATCH(D370,'Équipements'!$A$5:$A$304,0)),"Code inconnu"))</f>
        <v/>
      </c>
      <c r="F370" s="9">
        <f>IF(D370="","",IFERROR(INDEX('Équipements'!$D$5:$D$304,MATCH(D370,'Équipements'!$A$5:$A$304,0)),""))</f>
        <v/>
      </c>
      <c r="G370" s="9">
        <f>IF(D370="","",IFERROR(INDEX('Équipements'!$K$5:$K$304,MATCH(D370,'Équipements'!$A$5:$A$304,0)),""))</f>
        <v/>
      </c>
      <c r="H370" s="7" t="inlineStr">
        <is>
          <t>Correctif</t>
        </is>
      </c>
      <c r="I370" s="7" t="n"/>
      <c r="J370" s="7" t="inlineStr">
        <is>
          <t>Pneumatique</t>
        </is>
      </c>
      <c r="K370" s="7" t="inlineStr">
        <is>
          <t>P3 - Normale</t>
        </is>
      </c>
      <c r="L370" s="7" t="inlineStr">
        <is>
          <t>Vérin pneumatique en défaut</t>
        </is>
      </c>
      <c r="M370" s="7" t="inlineStr">
        <is>
          <t>Défaut pneumatique</t>
        </is>
      </c>
      <c r="N370" s="7" t="inlineStr">
        <is>
          <t>Remplacement vérin / électrovanne</t>
        </is>
      </c>
      <c r="O370" s="7" t="inlineStr">
        <is>
          <t>Lucas Fontaine</t>
        </is>
      </c>
      <c r="P370" s="65" t="n"/>
      <c r="Q370" s="75" t="n">
        <v>45821.59097222222</v>
      </c>
      <c r="R370" s="75" t="n">
        <v>45821.72638888889</v>
      </c>
      <c r="S370" s="76" t="n">
        <v>0</v>
      </c>
      <c r="T370" s="76" t="n">
        <v>3.25</v>
      </c>
      <c r="U370" s="70">
        <f>IF($A370="","",IFERROR(INDEX('Techniciens'!$F$5:$F$44,MATCH(O370,'Techniciens'!$B$5:$B$44,0)),'Paramètres'!$AA$10))</f>
        <v/>
      </c>
      <c r="V370" s="70">
        <f>IF($A370="","",IF(OR(AC370="Demandé",AC370="Planifié",AC370="Annulé"),0,N(T370)*N(U370)))</f>
        <v/>
      </c>
      <c r="W370" s="70">
        <f>IF($A370="","",SUMIFS('Mouvements stock'!$H$5:$H$3004,'Mouvements stock'!$I$5:$I$3004,$A370,'Mouvements stock'!$C$5:$C$3004,"Sortie")-SUMIFS('Mouvements stock'!$H$5:$H$3004,'Mouvements stock'!$I$5:$I$3004,$A370,'Mouvements stock'!$C$5:$C$3004,"Retour"))</f>
        <v/>
      </c>
      <c r="X370" s="66" t="n">
        <v>0</v>
      </c>
      <c r="Y370" s="66" t="n">
        <v>0</v>
      </c>
      <c r="Z370" s="7" t="n"/>
      <c r="AA370" s="70">
        <f>IF($A370="","",N(V370)+N(W370)+N(X370)+N(Y370))</f>
        <v/>
      </c>
      <c r="AB370" s="70">
        <f>IF($A370="","",N(S370)*'Paramètres'!$AA$9*IFERROR(INDEX('Paramètres'!$O$5:$O$7,MATCH(G370,'Paramètres'!$N$5:$N$7,0)),0))</f>
        <v/>
      </c>
      <c r="AC370" s="7" t="inlineStr">
        <is>
          <t>Clôturé</t>
        </is>
      </c>
      <c r="AD370" s="69">
        <f>IF(OR($A370="",Q370=""),"",(Q370-B370)*24)</f>
        <v/>
      </c>
      <c r="AE370" s="69">
        <f>IF(OR(Q370="",R370=""),"",(R370-Q370)*24)</f>
        <v/>
      </c>
      <c r="AF370" s="77">
        <f>IF(OR($A370="",B370=""),"",YEAR(B370))</f>
        <v/>
      </c>
      <c r="AG370" s="77">
        <f>IF(OR($A370="",B370=""),"",MONTH(B370))</f>
        <v/>
      </c>
    </row>
    <row r="371">
      <c r="A371" s="7" t="inlineStr">
        <is>
          <t>OT-2025-0367</t>
        </is>
      </c>
      <c r="B371" s="75" t="n">
        <v>45821.34027777778</v>
      </c>
      <c r="C371" s="7" t="inlineStr">
        <is>
          <t>Plan préventif</t>
        </is>
      </c>
      <c r="D371" s="7" t="inlineStr">
        <is>
          <t>EQ-USI-002</t>
        </is>
      </c>
      <c r="E371" s="9">
        <f>IF(D371="","",IFERROR(INDEX('Équipements'!$B$5:$B$304,MATCH(D371,'Équipements'!$A$5:$A$304,0)),"Code inconnu"))</f>
        <v/>
      </c>
      <c r="F371" s="9">
        <f>IF(D371="","",IFERROR(INDEX('Équipements'!$D$5:$D$304,MATCH(D371,'Équipements'!$A$5:$A$304,0)),""))</f>
        <v/>
      </c>
      <c r="G371" s="9">
        <f>IF(D371="","",IFERROR(INDEX('Équipements'!$K$5:$K$304,MATCH(D371,'Équipements'!$A$5:$A$304,0)),""))</f>
        <v/>
      </c>
      <c r="H371" s="7" t="inlineStr">
        <is>
          <t>Préventif systématique</t>
        </is>
      </c>
      <c r="I371" s="7" t="inlineStr">
        <is>
          <t>GP-005</t>
        </is>
      </c>
      <c r="J371" s="7" t="inlineStr">
        <is>
          <t>Mécanique</t>
        </is>
      </c>
      <c r="K371" s="7" t="inlineStr">
        <is>
          <t>P3 - Normale</t>
        </is>
      </c>
      <c r="L371" s="7" t="inlineStr">
        <is>
          <t>Contrôle niveaux, nettoyage filtres et bac à copeaux</t>
        </is>
      </c>
      <c r="M371" s="7" t="n"/>
      <c r="N371" s="7" t="inlineStr">
        <is>
          <t>Gamme réalisée - serrages repris</t>
        </is>
      </c>
      <c r="O371" s="7" t="inlineStr">
        <is>
          <t>Antoine Mercier</t>
        </is>
      </c>
      <c r="P371" s="65" t="n">
        <v>45828.30208333334</v>
      </c>
      <c r="Q371" s="75" t="n">
        <v>45828.57638888889</v>
      </c>
      <c r="R371" s="75" t="n">
        <v>45828.64930555555</v>
      </c>
      <c r="S371" s="76" t="n">
        <v>0.9</v>
      </c>
      <c r="T371" s="76" t="n">
        <v>1.75</v>
      </c>
      <c r="U371" s="70">
        <f>IF($A371="","",IFERROR(INDEX('Techniciens'!$F$5:$F$44,MATCH(O371,'Techniciens'!$B$5:$B$44,0)),'Paramètres'!$AA$10))</f>
        <v/>
      </c>
      <c r="V371" s="70">
        <f>IF($A371="","",IF(OR(AC371="Demandé",AC371="Planifié",AC371="Annulé"),0,N(T371)*N(U371)))</f>
        <v/>
      </c>
      <c r="W371" s="70">
        <f>IF($A371="","",SUMIFS('Mouvements stock'!$H$5:$H$3004,'Mouvements stock'!$I$5:$I$3004,$A371,'Mouvements stock'!$C$5:$C$3004,"Sortie")-SUMIFS('Mouvements stock'!$H$5:$H$3004,'Mouvements stock'!$I$5:$I$3004,$A371,'Mouvements stock'!$C$5:$C$3004,"Retour"))</f>
        <v/>
      </c>
      <c r="X371" s="66" t="n">
        <v>0</v>
      </c>
      <c r="Y371" s="66" t="n">
        <v>0</v>
      </c>
      <c r="Z371" s="7" t="n"/>
      <c r="AA371" s="70">
        <f>IF($A371="","",N(V371)+N(W371)+N(X371)+N(Y371))</f>
        <v/>
      </c>
      <c r="AB371" s="70">
        <f>IF($A371="","",N(S371)*'Paramètres'!$AA$9*IFERROR(INDEX('Paramètres'!$O$5:$O$7,MATCH(G371,'Paramètres'!$N$5:$N$7,0)),0))</f>
        <v/>
      </c>
      <c r="AC371" s="7" t="inlineStr">
        <is>
          <t>Clôturé</t>
        </is>
      </c>
      <c r="AD371" s="69">
        <f>IF(OR($A371="",Q371=""),"",(Q371-B371)*24)</f>
        <v/>
      </c>
      <c r="AE371" s="69">
        <f>IF(OR(Q371="",R371=""),"",(R371-Q371)*24)</f>
        <v/>
      </c>
      <c r="AF371" s="77">
        <f>IF(OR($A371="",B371=""),"",YEAR(B371))</f>
        <v/>
      </c>
      <c r="AG371" s="77">
        <f>IF(OR($A371="",B371=""),"",MONTH(B371))</f>
        <v/>
      </c>
    </row>
    <row r="372">
      <c r="A372" s="7" t="inlineStr">
        <is>
          <t>OT-2025-0368</t>
        </is>
      </c>
      <c r="B372" s="75" t="n">
        <v>45821.40277777778</v>
      </c>
      <c r="C372" s="7" t="inlineStr">
        <is>
          <t>Plan préventif</t>
        </is>
      </c>
      <c r="D372" s="7" t="inlineStr">
        <is>
          <t>EQ-PEI-001</t>
        </is>
      </c>
      <c r="E372" s="9">
        <f>IF(D372="","",IFERROR(INDEX('Équipements'!$B$5:$B$304,MATCH(D372,'Équipements'!$A$5:$A$304,0)),"Code inconnu"))</f>
        <v/>
      </c>
      <c r="F372" s="9">
        <f>IF(D372="","",IFERROR(INDEX('Équipements'!$D$5:$D$304,MATCH(D372,'Équipements'!$A$5:$A$304,0)),""))</f>
        <v/>
      </c>
      <c r="G372" s="9">
        <f>IF(D372="","",IFERROR(INDEX('Équipements'!$K$5:$K$304,MATCH(D372,'Équipements'!$A$5:$A$304,0)),""))</f>
        <v/>
      </c>
      <c r="H372" s="7" t="inlineStr">
        <is>
          <t>Préventif systématique</t>
        </is>
      </c>
      <c r="I372" s="7" t="inlineStr">
        <is>
          <t>GP-067</t>
        </is>
      </c>
      <c r="J372" s="7" t="inlineStr">
        <is>
          <t>Multi-technique</t>
        </is>
      </c>
      <c r="K372" s="7" t="inlineStr">
        <is>
          <t>P3 - Normale</t>
        </is>
      </c>
      <c r="L372" s="7" t="inlineStr">
        <is>
          <t>Contrôle ventilation, brûleurs, pompes et sécurités</t>
        </is>
      </c>
      <c r="M372" s="7" t="n"/>
      <c r="N372" s="7" t="inlineStr">
        <is>
          <t>Gamme réalisée - RAS</t>
        </is>
      </c>
      <c r="O372" s="7" t="inlineStr">
        <is>
          <t>Antoine Mercier</t>
        </is>
      </c>
      <c r="P372" s="65" t="n">
        <v>45828</v>
      </c>
      <c r="Q372" s="75" t="n">
        <v>45828.61458333334</v>
      </c>
      <c r="R372" s="75" t="n">
        <v>45828.85416666666</v>
      </c>
      <c r="S372" s="76" t="n">
        <v>2.9</v>
      </c>
      <c r="T372" s="76" t="n">
        <v>5.75</v>
      </c>
      <c r="U372" s="70">
        <f>IF($A372="","",IFERROR(INDEX('Techniciens'!$F$5:$F$44,MATCH(O372,'Techniciens'!$B$5:$B$44,0)),'Paramètres'!$AA$10))</f>
        <v/>
      </c>
      <c r="V372" s="70">
        <f>IF($A372="","",IF(OR(AC372="Demandé",AC372="Planifié",AC372="Annulé"),0,N(T372)*N(U372)))</f>
        <v/>
      </c>
      <c r="W372" s="70">
        <f>IF($A372="","",SUMIFS('Mouvements stock'!$H$5:$H$3004,'Mouvements stock'!$I$5:$I$3004,$A372,'Mouvements stock'!$C$5:$C$3004,"Sortie")-SUMIFS('Mouvements stock'!$H$5:$H$3004,'Mouvements stock'!$I$5:$I$3004,$A372,'Mouvements stock'!$C$5:$C$3004,"Retour"))</f>
        <v/>
      </c>
      <c r="X372" s="66" t="n">
        <v>0</v>
      </c>
      <c r="Y372" s="66" t="n">
        <v>0</v>
      </c>
      <c r="Z372" s="7" t="n"/>
      <c r="AA372" s="70">
        <f>IF($A372="","",N(V372)+N(W372)+N(X372)+N(Y372))</f>
        <v/>
      </c>
      <c r="AB372" s="70">
        <f>IF($A372="","",N(S372)*'Paramètres'!$AA$9*IFERROR(INDEX('Paramètres'!$O$5:$O$7,MATCH(G372,'Paramètres'!$N$5:$N$7,0)),0))</f>
        <v/>
      </c>
      <c r="AC372" s="7" t="inlineStr">
        <is>
          <t>Clôturé</t>
        </is>
      </c>
      <c r="AD372" s="69">
        <f>IF(OR($A372="",Q372=""),"",(Q372-B372)*24)</f>
        <v/>
      </c>
      <c r="AE372" s="69">
        <f>IF(OR(Q372="",R372=""),"",(R372-Q372)*24)</f>
        <v/>
      </c>
      <c r="AF372" s="77">
        <f>IF(OR($A372="",B372=""),"",YEAR(B372))</f>
        <v/>
      </c>
      <c r="AG372" s="77">
        <f>IF(OR($A372="",B372=""),"",MONTH(B372))</f>
        <v/>
      </c>
    </row>
    <row r="373">
      <c r="A373" s="7" t="inlineStr">
        <is>
          <t>OT-2025-0369</t>
        </is>
      </c>
      <c r="B373" s="75" t="n">
        <v>45821.46875</v>
      </c>
      <c r="C373" s="7" t="inlineStr">
        <is>
          <t>Plan préventif</t>
        </is>
      </c>
      <c r="D373" s="7" t="inlineStr">
        <is>
          <t>EQ-ASS-002</t>
        </is>
      </c>
      <c r="E373" s="9">
        <f>IF(D373="","",IFERROR(INDEX('Équipements'!$B$5:$B$304,MATCH(D373,'Équipements'!$A$5:$A$304,0)),"Code inconnu"))</f>
        <v/>
      </c>
      <c r="F373" s="9">
        <f>IF(D373="","",IFERROR(INDEX('Équipements'!$D$5:$D$304,MATCH(D373,'Équipements'!$A$5:$A$304,0)),""))</f>
        <v/>
      </c>
      <c r="G373" s="9">
        <f>IF(D373="","",IFERROR(INDEX('Équipements'!$K$5:$K$304,MATCH(D373,'Équipements'!$A$5:$A$304,0)),""))</f>
        <v/>
      </c>
      <c r="H373" s="7" t="inlineStr">
        <is>
          <t>Préventif systématique</t>
        </is>
      </c>
      <c r="I373" s="7" t="inlineStr">
        <is>
          <t>GP-080</t>
        </is>
      </c>
      <c r="J373" s="7" t="inlineStr">
        <is>
          <t>Électrique</t>
        </is>
      </c>
      <c r="K373" s="7" t="inlineStr">
        <is>
          <t>P3 - Normale</t>
        </is>
      </c>
      <c r="L373" s="7" t="inlineStr">
        <is>
          <t>Contrôle des sécurités (barrages, AU, pédale)</t>
        </is>
      </c>
      <c r="M373" s="7" t="n"/>
      <c r="N373" s="7" t="inlineStr">
        <is>
          <t>Gamme réalisée - RAS</t>
        </is>
      </c>
      <c r="O373" s="7" t="inlineStr">
        <is>
          <t>Thomas Petit</t>
        </is>
      </c>
      <c r="P373" s="65" t="n">
        <v>45828.51041666666</v>
      </c>
      <c r="Q373" s="75" t="n">
        <v>45828.5625</v>
      </c>
      <c r="R373" s="75" t="n">
        <v>45828.63541666666</v>
      </c>
      <c r="S373" s="76" t="n">
        <v>0.9</v>
      </c>
      <c r="T373" s="76" t="n">
        <v>1.75</v>
      </c>
      <c r="U373" s="70">
        <f>IF($A373="","",IFERROR(INDEX('Techniciens'!$F$5:$F$44,MATCH(O373,'Techniciens'!$B$5:$B$44,0)),'Paramètres'!$AA$10))</f>
        <v/>
      </c>
      <c r="V373" s="70">
        <f>IF($A373="","",IF(OR(AC373="Demandé",AC373="Planifié",AC373="Annulé"),0,N(T373)*N(U373)))</f>
        <v/>
      </c>
      <c r="W373" s="70">
        <f>IF($A373="","",SUMIFS('Mouvements stock'!$H$5:$H$3004,'Mouvements stock'!$I$5:$I$3004,$A373,'Mouvements stock'!$C$5:$C$3004,"Sortie")-SUMIFS('Mouvements stock'!$H$5:$H$3004,'Mouvements stock'!$I$5:$I$3004,$A373,'Mouvements stock'!$C$5:$C$3004,"Retour"))</f>
        <v/>
      </c>
      <c r="X373" s="66" t="n">
        <v>0</v>
      </c>
      <c r="Y373" s="66" t="n">
        <v>0</v>
      </c>
      <c r="Z373" s="7" t="n"/>
      <c r="AA373" s="70">
        <f>IF($A373="","",N(V373)+N(W373)+N(X373)+N(Y373))</f>
        <v/>
      </c>
      <c r="AB373" s="70">
        <f>IF($A373="","",N(S373)*'Paramètres'!$AA$9*IFERROR(INDEX('Paramètres'!$O$5:$O$7,MATCH(G373,'Paramètres'!$N$5:$N$7,0)),0))</f>
        <v/>
      </c>
      <c r="AC373" s="7" t="inlineStr">
        <is>
          <t>Clôturé</t>
        </is>
      </c>
      <c r="AD373" s="69">
        <f>IF(OR($A373="",Q373=""),"",(Q373-B373)*24)</f>
        <v/>
      </c>
      <c r="AE373" s="69">
        <f>IF(OR(Q373="",R373=""),"",(R373-Q373)*24)</f>
        <v/>
      </c>
      <c r="AF373" s="77">
        <f>IF(OR($A373="",B373=""),"",YEAR(B373))</f>
        <v/>
      </c>
      <c r="AG373" s="77">
        <f>IF(OR($A373="",B373=""),"",MONTH(B373))</f>
        <v/>
      </c>
    </row>
    <row r="374">
      <c r="A374" s="7" t="inlineStr">
        <is>
          <t>OT-2025-0370</t>
        </is>
      </c>
      <c r="B374" s="75" t="n">
        <v>45824.34375</v>
      </c>
      <c r="C374" s="7" t="inlineStr">
        <is>
          <t>Planning réglementaire</t>
        </is>
      </c>
      <c r="D374" s="7" t="inlineStr">
        <is>
          <t>EQ-BAT-004</t>
        </is>
      </c>
      <c r="E374" s="9">
        <f>IF(D374="","",IFERROR(INDEX('Équipements'!$B$5:$B$304,MATCH(D374,'Équipements'!$A$5:$A$304,0)),"Code inconnu"))</f>
        <v/>
      </c>
      <c r="F374" s="9">
        <f>IF(D374="","",IFERROR(INDEX('Équipements'!$D$5:$D$304,MATCH(D374,'Équipements'!$A$5:$A$304,0)),""))</f>
        <v/>
      </c>
      <c r="G374" s="9">
        <f>IF(D374="","",IFERROR(INDEX('Équipements'!$K$5:$K$304,MATCH(D374,'Équipements'!$A$5:$A$304,0)),""))</f>
        <v/>
      </c>
      <c r="H374" s="7" t="inlineStr">
        <is>
          <t>Réglementaire</t>
        </is>
      </c>
      <c r="I374" s="7" t="inlineStr">
        <is>
          <t>CR-018</t>
        </is>
      </c>
      <c r="J374" s="7" t="inlineStr">
        <is>
          <t>Multi-technique</t>
        </is>
      </c>
      <c r="K374" s="7" t="inlineStr">
        <is>
          <t>P2 - Haute</t>
        </is>
      </c>
      <c r="L374" s="7" t="inlineStr">
        <is>
          <t>Vérification semestrielle installation sprinklers</t>
        </is>
      </c>
      <c r="M374" s="7" t="n"/>
      <c r="N374" s="7" t="inlineStr">
        <is>
          <t>Contrôle réalisé - rapport reçu</t>
        </is>
      </c>
      <c r="O374" s="7" t="inlineStr">
        <is>
          <t>Nadia Rousseau</t>
        </is>
      </c>
      <c r="P374" s="65" t="n">
        <v>45845</v>
      </c>
      <c r="Q374" s="75" t="n">
        <v>45845.43055555555</v>
      </c>
      <c r="R374" s="75" t="n">
        <v>45845.46180555555</v>
      </c>
      <c r="S374" s="76" t="n">
        <v>0</v>
      </c>
      <c r="T374" s="76" t="n">
        <v>0.75</v>
      </c>
      <c r="U374" s="70">
        <f>IF($A374="","",IFERROR(INDEX('Techniciens'!$F$5:$F$44,MATCH(O374,'Techniciens'!$B$5:$B$44,0)),'Paramètres'!$AA$10))</f>
        <v/>
      </c>
      <c r="V374" s="70">
        <f>IF($A374="","",IF(OR(AC374="Demandé",AC374="Planifié",AC374="Annulé"),0,N(T374)*N(U374)))</f>
        <v/>
      </c>
      <c r="W374" s="70">
        <f>IF($A374="","",SUMIFS('Mouvements stock'!$H$5:$H$3004,'Mouvements stock'!$I$5:$I$3004,$A374,'Mouvements stock'!$C$5:$C$3004,"Sortie")-SUMIFS('Mouvements stock'!$H$5:$H$3004,'Mouvements stock'!$I$5:$I$3004,$A374,'Mouvements stock'!$C$5:$C$3004,"Retour"))</f>
        <v/>
      </c>
      <c r="X374" s="66" t="n">
        <v>0</v>
      </c>
      <c r="Y374" s="66" t="n">
        <v>920</v>
      </c>
      <c r="Z374" s="7" t="inlineStr">
        <is>
          <t>Sécurité Incendie Ouest</t>
        </is>
      </c>
      <c r="AA374" s="70">
        <f>IF($A374="","",N(V374)+N(W374)+N(X374)+N(Y374))</f>
        <v/>
      </c>
      <c r="AB374" s="70">
        <f>IF($A374="","",N(S374)*'Paramètres'!$AA$9*IFERROR(INDEX('Paramètres'!$O$5:$O$7,MATCH(G374,'Paramètres'!$N$5:$N$7,0)),0))</f>
        <v/>
      </c>
      <c r="AC374" s="7" t="inlineStr">
        <is>
          <t>Clôturé</t>
        </is>
      </c>
      <c r="AD374" s="69">
        <f>IF(OR($A374="",Q374=""),"",(Q374-B374)*24)</f>
        <v/>
      </c>
      <c r="AE374" s="69">
        <f>IF(OR(Q374="",R374=""),"",(R374-Q374)*24)</f>
        <v/>
      </c>
      <c r="AF374" s="77">
        <f>IF(OR($A374="",B374=""),"",YEAR(B374))</f>
        <v/>
      </c>
      <c r="AG374" s="77">
        <f>IF(OR($A374="",B374=""),"",MONTH(B374))</f>
        <v/>
      </c>
    </row>
    <row r="375">
      <c r="A375" s="7" t="inlineStr">
        <is>
          <t>OT-2025-0371</t>
        </is>
      </c>
      <c r="B375" s="75" t="n">
        <v>45824.36111111111</v>
      </c>
      <c r="C375" s="7" t="inlineStr">
        <is>
          <t>Plan préventif</t>
        </is>
      </c>
      <c r="D375" s="7" t="inlineStr">
        <is>
          <t>EQ-SOU-002</t>
        </is>
      </c>
      <c r="E375" s="9">
        <f>IF(D375="","",IFERROR(INDEX('Équipements'!$B$5:$B$304,MATCH(D375,'Équipements'!$A$5:$A$304,0)),"Code inconnu"))</f>
        <v/>
      </c>
      <c r="F375" s="9">
        <f>IF(D375="","",IFERROR(INDEX('Équipements'!$D$5:$D$304,MATCH(D375,'Équipements'!$A$5:$A$304,0)),""))</f>
        <v/>
      </c>
      <c r="G375" s="9">
        <f>IF(D375="","",IFERROR(INDEX('Équipements'!$K$5:$K$304,MATCH(D375,'Équipements'!$A$5:$A$304,0)),""))</f>
        <v/>
      </c>
      <c r="H375" s="7" t="inlineStr">
        <is>
          <t>Préventif systématique</t>
        </is>
      </c>
      <c r="I375" s="7" t="inlineStr">
        <is>
          <t>GP-061</t>
        </is>
      </c>
      <c r="J375" s="7" t="inlineStr">
        <is>
          <t>Électrique</t>
        </is>
      </c>
      <c r="K375" s="7" t="inlineStr">
        <is>
          <t>P3 - Normale</t>
        </is>
      </c>
      <c r="L375" s="7" t="inlineStr">
        <is>
          <t>Contrôle et nettoyage poste, dévidoir, câbles</t>
        </is>
      </c>
      <c r="M375" s="7" t="n"/>
      <c r="N375" s="7" t="inlineStr">
        <is>
          <t>Gamme réalisée - RAS</t>
        </is>
      </c>
      <c r="O375" s="7" t="inlineStr">
        <is>
          <t>Julien Moreau</t>
        </is>
      </c>
      <c r="P375" s="65" t="n">
        <v>45831</v>
      </c>
      <c r="Q375" s="75" t="n">
        <v>45831.56944444445</v>
      </c>
      <c r="R375" s="75" t="n">
        <v>45831.65277777778</v>
      </c>
      <c r="S375" s="76" t="n">
        <v>1</v>
      </c>
      <c r="T375" s="76" t="n">
        <v>2</v>
      </c>
      <c r="U375" s="70">
        <f>IF($A375="","",IFERROR(INDEX('Techniciens'!$F$5:$F$44,MATCH(O375,'Techniciens'!$B$5:$B$44,0)),'Paramètres'!$AA$10))</f>
        <v/>
      </c>
      <c r="V375" s="70">
        <f>IF($A375="","",IF(OR(AC375="Demandé",AC375="Planifié",AC375="Annulé"),0,N(T375)*N(U375)))</f>
        <v/>
      </c>
      <c r="W375" s="70">
        <f>IF($A375="","",SUMIFS('Mouvements stock'!$H$5:$H$3004,'Mouvements stock'!$I$5:$I$3004,$A375,'Mouvements stock'!$C$5:$C$3004,"Sortie")-SUMIFS('Mouvements stock'!$H$5:$H$3004,'Mouvements stock'!$I$5:$I$3004,$A375,'Mouvements stock'!$C$5:$C$3004,"Retour"))</f>
        <v/>
      </c>
      <c r="X375" s="66" t="n">
        <v>0</v>
      </c>
      <c r="Y375" s="66" t="n">
        <v>0</v>
      </c>
      <c r="Z375" s="7" t="n"/>
      <c r="AA375" s="70">
        <f>IF($A375="","",N(V375)+N(W375)+N(X375)+N(Y375))</f>
        <v/>
      </c>
      <c r="AB375" s="70">
        <f>IF($A375="","",N(S375)*'Paramètres'!$AA$9*IFERROR(INDEX('Paramètres'!$O$5:$O$7,MATCH(G375,'Paramètres'!$N$5:$N$7,0)),0))</f>
        <v/>
      </c>
      <c r="AC375" s="7" t="inlineStr">
        <is>
          <t>Clôturé</t>
        </is>
      </c>
      <c r="AD375" s="69">
        <f>IF(OR($A375="",Q375=""),"",(Q375-B375)*24)</f>
        <v/>
      </c>
      <c r="AE375" s="69">
        <f>IF(OR(Q375="",R375=""),"",(R375-Q375)*24)</f>
        <v/>
      </c>
      <c r="AF375" s="77">
        <f>IF(OR($A375="",B375=""),"",YEAR(B375))</f>
        <v/>
      </c>
      <c r="AG375" s="77">
        <f>IF(OR($A375="",B375=""),"",MONTH(B375))</f>
        <v/>
      </c>
    </row>
    <row r="376">
      <c r="A376" s="7" t="inlineStr">
        <is>
          <t>OT-2025-0372</t>
        </is>
      </c>
      <c r="B376" s="75" t="n">
        <v>45824.36458333334</v>
      </c>
      <c r="C376" s="7" t="inlineStr">
        <is>
          <t>Plan préventif</t>
        </is>
      </c>
      <c r="D376" s="7" t="inlineStr">
        <is>
          <t>EQ-USI-004</t>
        </is>
      </c>
      <c r="E376" s="9">
        <f>IF(D376="","",IFERROR(INDEX('Équipements'!$B$5:$B$304,MATCH(D376,'Équipements'!$A$5:$A$304,0)),"Code inconnu"))</f>
        <v/>
      </c>
      <c r="F376" s="9">
        <f>IF(D376="","",IFERROR(INDEX('Équipements'!$D$5:$D$304,MATCH(D376,'Équipements'!$A$5:$A$304,0)),""))</f>
        <v/>
      </c>
      <c r="G376" s="9">
        <f>IF(D376="","",IFERROR(INDEX('Équipements'!$K$5:$K$304,MATCH(D376,'Équipements'!$A$5:$A$304,0)),""))</f>
        <v/>
      </c>
      <c r="H376" s="7" t="inlineStr">
        <is>
          <t>Préventif systématique</t>
        </is>
      </c>
      <c r="I376" s="7" t="inlineStr">
        <is>
          <t>GP-013</t>
        </is>
      </c>
      <c r="J376" s="7" t="inlineStr">
        <is>
          <t>Mécanique</t>
        </is>
      </c>
      <c r="K376" s="7" t="inlineStr">
        <is>
          <t>P3 - Normale</t>
        </is>
      </c>
      <c r="L376" s="7" t="inlineStr">
        <is>
          <t>Contrôle niveaux, nettoyage filtres et bac à copeaux</t>
        </is>
      </c>
      <c r="M376" s="7" t="n"/>
      <c r="N376" s="7" t="inlineStr">
        <is>
          <t>Gamme réalisée - RAS</t>
        </is>
      </c>
      <c r="O376" s="7" t="inlineStr">
        <is>
          <t>Lucas Fontaine</t>
        </is>
      </c>
      <c r="P376" s="65" t="n">
        <v>45831.35416666666</v>
      </c>
      <c r="Q376" s="75" t="n">
        <v>45831.53125</v>
      </c>
      <c r="R376" s="75" t="n">
        <v>45831.60416666666</v>
      </c>
      <c r="S376" s="76" t="n">
        <v>0</v>
      </c>
      <c r="T376" s="76" t="n">
        <v>1.75</v>
      </c>
      <c r="U376" s="70">
        <f>IF($A376="","",IFERROR(INDEX('Techniciens'!$F$5:$F$44,MATCH(O376,'Techniciens'!$B$5:$B$44,0)),'Paramètres'!$AA$10))</f>
        <v/>
      </c>
      <c r="V376" s="70">
        <f>IF($A376="","",IF(OR(AC376="Demandé",AC376="Planifié",AC376="Annulé"),0,N(T376)*N(U376)))</f>
        <v/>
      </c>
      <c r="W376" s="70">
        <f>IF($A376="","",SUMIFS('Mouvements stock'!$H$5:$H$3004,'Mouvements stock'!$I$5:$I$3004,$A376,'Mouvements stock'!$C$5:$C$3004,"Sortie")-SUMIFS('Mouvements stock'!$H$5:$H$3004,'Mouvements stock'!$I$5:$I$3004,$A376,'Mouvements stock'!$C$5:$C$3004,"Retour"))</f>
        <v/>
      </c>
      <c r="X376" s="66" t="n">
        <v>0</v>
      </c>
      <c r="Y376" s="66" t="n">
        <v>0</v>
      </c>
      <c r="Z376" s="7" t="n"/>
      <c r="AA376" s="70">
        <f>IF($A376="","",N(V376)+N(W376)+N(X376)+N(Y376))</f>
        <v/>
      </c>
      <c r="AB376" s="70">
        <f>IF($A376="","",N(S376)*'Paramètres'!$AA$9*IFERROR(INDEX('Paramètres'!$O$5:$O$7,MATCH(G376,'Paramètres'!$N$5:$N$7,0)),0))</f>
        <v/>
      </c>
      <c r="AC376" s="7" t="inlineStr">
        <is>
          <t>Clôturé</t>
        </is>
      </c>
      <c r="AD376" s="69">
        <f>IF(OR($A376="",Q376=""),"",(Q376-B376)*24)</f>
        <v/>
      </c>
      <c r="AE376" s="69">
        <f>IF(OR(Q376="",R376=""),"",(R376-Q376)*24)</f>
        <v/>
      </c>
      <c r="AF376" s="77">
        <f>IF(OR($A376="",B376=""),"",YEAR(B376))</f>
        <v/>
      </c>
      <c r="AG376" s="77">
        <f>IF(OR($A376="",B376=""),"",MONTH(B376))</f>
        <v/>
      </c>
    </row>
    <row r="377">
      <c r="A377" s="7" t="inlineStr">
        <is>
          <t>OT-2025-0373</t>
        </is>
      </c>
      <c r="B377" s="75" t="n">
        <v>45824.38194444445</v>
      </c>
      <c r="C377" s="7" t="inlineStr">
        <is>
          <t>Plan préventif</t>
        </is>
      </c>
      <c r="D377" s="7" t="inlineStr">
        <is>
          <t>EQ-PEI-004</t>
        </is>
      </c>
      <c r="E377" s="9">
        <f>IF(D377="","",IFERROR(INDEX('Équipements'!$B$5:$B$304,MATCH(D377,'Équipements'!$A$5:$A$304,0)),"Code inconnu"))</f>
        <v/>
      </c>
      <c r="F377" s="9">
        <f>IF(D377="","",IFERROR(INDEX('Équipements'!$D$5:$D$304,MATCH(D377,'Équipements'!$A$5:$A$304,0)),""))</f>
        <v/>
      </c>
      <c r="G377" s="9">
        <f>IF(D377="","",IFERROR(INDEX('Équipements'!$K$5:$K$304,MATCH(D377,'Équipements'!$A$5:$A$304,0)),""))</f>
        <v/>
      </c>
      <c r="H377" s="7" t="inlineStr">
        <is>
          <t>Préventif systématique</t>
        </is>
      </c>
      <c r="I377" s="7" t="inlineStr">
        <is>
          <t>GP-072</t>
        </is>
      </c>
      <c r="J377" s="7" t="inlineStr">
        <is>
          <t>Mécanique</t>
        </is>
      </c>
      <c r="K377" s="7" t="inlineStr">
        <is>
          <t>P3 - Normale</t>
        </is>
      </c>
      <c r="L377" s="7" t="inlineStr">
        <is>
          <t>Graissage chaîne / galets et contrôle tension</t>
        </is>
      </c>
      <c r="M377" s="7" t="n"/>
      <c r="N377" s="7" t="inlineStr">
        <is>
          <t>Gamme réalisée - RAS</t>
        </is>
      </c>
      <c r="O377" s="7" t="inlineStr">
        <is>
          <t>Karim Benali</t>
        </is>
      </c>
      <c r="P377" s="65" t="n">
        <v>45831.51041666666</v>
      </c>
      <c r="Q377" s="75" t="n">
        <v>45831.38541666666</v>
      </c>
      <c r="R377" s="75" t="n">
        <v>45831.48958333334</v>
      </c>
      <c r="S377" s="76" t="n">
        <v>2.5</v>
      </c>
      <c r="T377" s="76" t="n">
        <v>2.5</v>
      </c>
      <c r="U377" s="70">
        <f>IF($A377="","",IFERROR(INDEX('Techniciens'!$F$5:$F$44,MATCH(O377,'Techniciens'!$B$5:$B$44,0)),'Paramètres'!$AA$10))</f>
        <v/>
      </c>
      <c r="V377" s="70">
        <f>IF($A377="","",IF(OR(AC377="Demandé",AC377="Planifié",AC377="Annulé"),0,N(T377)*N(U377)))</f>
        <v/>
      </c>
      <c r="W377" s="70">
        <f>IF($A377="","",SUMIFS('Mouvements stock'!$H$5:$H$3004,'Mouvements stock'!$I$5:$I$3004,$A377,'Mouvements stock'!$C$5:$C$3004,"Sortie")-SUMIFS('Mouvements stock'!$H$5:$H$3004,'Mouvements stock'!$I$5:$I$3004,$A377,'Mouvements stock'!$C$5:$C$3004,"Retour"))</f>
        <v/>
      </c>
      <c r="X377" s="66" t="n">
        <v>0</v>
      </c>
      <c r="Y377" s="66" t="n">
        <v>0</v>
      </c>
      <c r="Z377" s="7" t="n"/>
      <c r="AA377" s="70">
        <f>IF($A377="","",N(V377)+N(W377)+N(X377)+N(Y377))</f>
        <v/>
      </c>
      <c r="AB377" s="70">
        <f>IF($A377="","",N(S377)*'Paramètres'!$AA$9*IFERROR(INDEX('Paramètres'!$O$5:$O$7,MATCH(G377,'Paramètres'!$N$5:$N$7,0)),0))</f>
        <v/>
      </c>
      <c r="AC377" s="7" t="inlineStr">
        <is>
          <t>Clôturé</t>
        </is>
      </c>
      <c r="AD377" s="69">
        <f>IF(OR($A377="",Q377=""),"",(Q377-B377)*24)</f>
        <v/>
      </c>
      <c r="AE377" s="69">
        <f>IF(OR(Q377="",R377=""),"",(R377-Q377)*24)</f>
        <v/>
      </c>
      <c r="AF377" s="77">
        <f>IF(OR($A377="",B377=""),"",YEAR(B377))</f>
        <v/>
      </c>
      <c r="AG377" s="77">
        <f>IF(OR($A377="",B377=""),"",MONTH(B377))</f>
        <v/>
      </c>
    </row>
    <row r="378">
      <c r="A378" s="7" t="inlineStr">
        <is>
          <t>OT-2025-0374</t>
        </is>
      </c>
      <c r="B378" s="75" t="n">
        <v>45824.38541666666</v>
      </c>
      <c r="C378" s="7" t="inlineStr">
        <is>
          <t>Plan préventif</t>
        </is>
      </c>
      <c r="D378" s="7" t="inlineStr">
        <is>
          <t>EQ-PEI-002</t>
        </is>
      </c>
      <c r="E378" s="9">
        <f>IF(D378="","",IFERROR(INDEX('Équipements'!$B$5:$B$304,MATCH(D378,'Équipements'!$A$5:$A$304,0)),"Code inconnu"))</f>
        <v/>
      </c>
      <c r="F378" s="9">
        <f>IF(D378="","",IFERROR(INDEX('Équipements'!$D$5:$D$304,MATCH(D378,'Équipements'!$A$5:$A$304,0)),""))</f>
        <v/>
      </c>
      <c r="G378" s="9">
        <f>IF(D378="","",IFERROR(INDEX('Équipements'!$K$5:$K$304,MATCH(D378,'Équipements'!$A$5:$A$304,0)),""))</f>
        <v/>
      </c>
      <c r="H378" s="7" t="inlineStr">
        <is>
          <t>Préventif systématique</t>
        </is>
      </c>
      <c r="I378" s="7" t="inlineStr">
        <is>
          <t>GP-068</t>
        </is>
      </c>
      <c r="J378" s="7" t="inlineStr">
        <is>
          <t>Mécanique</t>
        </is>
      </c>
      <c r="K378" s="7" t="inlineStr">
        <is>
          <t>P3 - Normale</t>
        </is>
      </c>
      <c r="L378" s="7" t="inlineStr">
        <is>
          <t>Nettoyage et remplacement des filtres</t>
        </is>
      </c>
      <c r="M378" s="7" t="n"/>
      <c r="N378" s="7" t="inlineStr">
        <is>
          <t>Gamme réalisée - DI émise pour remplacement pièce</t>
        </is>
      </c>
      <c r="O378" s="7" t="inlineStr">
        <is>
          <t>Karim Benali</t>
        </is>
      </c>
      <c r="P378" s="65" t="n">
        <v>45831.58333333334</v>
      </c>
      <c r="Q378" s="75" t="n">
        <v>45831.27083333334</v>
      </c>
      <c r="R378" s="75" t="n">
        <v>45831.38541666666</v>
      </c>
      <c r="S378" s="76" t="n">
        <v>2.8</v>
      </c>
      <c r="T378" s="76" t="n">
        <v>2.75</v>
      </c>
      <c r="U378" s="70">
        <f>IF($A378="","",IFERROR(INDEX('Techniciens'!$F$5:$F$44,MATCH(O378,'Techniciens'!$B$5:$B$44,0)),'Paramètres'!$AA$10))</f>
        <v/>
      </c>
      <c r="V378" s="70">
        <f>IF($A378="","",IF(OR(AC378="Demandé",AC378="Planifié",AC378="Annulé"),0,N(T378)*N(U378)))</f>
        <v/>
      </c>
      <c r="W378" s="70">
        <f>IF($A378="","",SUMIFS('Mouvements stock'!$H$5:$H$3004,'Mouvements stock'!$I$5:$I$3004,$A378,'Mouvements stock'!$C$5:$C$3004,"Sortie")-SUMIFS('Mouvements stock'!$H$5:$H$3004,'Mouvements stock'!$I$5:$I$3004,$A378,'Mouvements stock'!$C$5:$C$3004,"Retour"))</f>
        <v/>
      </c>
      <c r="X378" s="66" t="n">
        <v>0</v>
      </c>
      <c r="Y378" s="66" t="n">
        <v>0</v>
      </c>
      <c r="Z378" s="7" t="n"/>
      <c r="AA378" s="70">
        <f>IF($A378="","",N(V378)+N(W378)+N(X378)+N(Y378))</f>
        <v/>
      </c>
      <c r="AB378" s="70">
        <f>IF($A378="","",N(S378)*'Paramètres'!$AA$9*IFERROR(INDEX('Paramètres'!$O$5:$O$7,MATCH(G378,'Paramètres'!$N$5:$N$7,0)),0))</f>
        <v/>
      </c>
      <c r="AC378" s="7" t="inlineStr">
        <is>
          <t>Clôturé</t>
        </is>
      </c>
      <c r="AD378" s="69">
        <f>IF(OR($A378="",Q378=""),"",(Q378-B378)*24)</f>
        <v/>
      </c>
      <c r="AE378" s="69">
        <f>IF(OR(Q378="",R378=""),"",(R378-Q378)*24)</f>
        <v/>
      </c>
      <c r="AF378" s="77">
        <f>IF(OR($A378="",B378=""),"",YEAR(B378))</f>
        <v/>
      </c>
      <c r="AG378" s="77">
        <f>IF(OR($A378="",B378=""),"",MONTH(B378))</f>
        <v/>
      </c>
    </row>
    <row r="379">
      <c r="A379" s="7" t="inlineStr">
        <is>
          <t>OT-2025-0375</t>
        </is>
      </c>
      <c r="B379" s="75" t="n">
        <v>45824.40277777778</v>
      </c>
      <c r="C379" s="7" t="inlineStr">
        <is>
          <t>Plan préventif</t>
        </is>
      </c>
      <c r="D379" s="7" t="inlineStr">
        <is>
          <t>EQ-TOL-002</t>
        </is>
      </c>
      <c r="E379" s="9">
        <f>IF(D379="","",IFERROR(INDEX('Équipements'!$B$5:$B$304,MATCH(D379,'Équipements'!$A$5:$A$304,0)),"Code inconnu"))</f>
        <v/>
      </c>
      <c r="F379" s="9">
        <f>IF(D379="","",IFERROR(INDEX('Équipements'!$D$5:$D$304,MATCH(D379,'Équipements'!$A$5:$A$304,0)),""))</f>
        <v/>
      </c>
      <c r="G379" s="9">
        <f>IF(D379="","",IFERROR(INDEX('Équipements'!$K$5:$K$304,MATCH(D379,'Équipements'!$A$5:$A$304,0)),""))</f>
        <v/>
      </c>
      <c r="H379" s="7" t="inlineStr">
        <is>
          <t>Préventif systématique</t>
        </is>
      </c>
      <c r="I379" s="7" t="inlineStr">
        <is>
          <t>GP-043</t>
        </is>
      </c>
      <c r="J379" s="7" t="inlineStr">
        <is>
          <t>Électrique</t>
        </is>
      </c>
      <c r="K379" s="7" t="inlineStr">
        <is>
          <t>P3 - Normale</t>
        </is>
      </c>
      <c r="L379" s="7" t="inlineStr">
        <is>
          <t>Contrôle des sécurités (barrages, AU, pédale)</t>
        </is>
      </c>
      <c r="M379" s="7" t="n"/>
      <c r="N379" s="7" t="inlineStr">
        <is>
          <t>Gamme réalisée - usure constatée, à surveiller</t>
        </is>
      </c>
      <c r="O379" s="7" t="inlineStr">
        <is>
          <t>Julien Moreau</t>
        </is>
      </c>
      <c r="P379" s="65" t="n">
        <v>45831.60416666666</v>
      </c>
      <c r="Q379" s="75" t="n">
        <v>45831.59027777778</v>
      </c>
      <c r="R379" s="75" t="n">
        <v>45831.64236111111</v>
      </c>
      <c r="S379" s="76" t="n">
        <v>0</v>
      </c>
      <c r="T379" s="76" t="n">
        <v>1.25</v>
      </c>
      <c r="U379" s="70">
        <f>IF($A379="","",IFERROR(INDEX('Techniciens'!$F$5:$F$44,MATCH(O379,'Techniciens'!$B$5:$B$44,0)),'Paramètres'!$AA$10))</f>
        <v/>
      </c>
      <c r="V379" s="70">
        <f>IF($A379="","",IF(OR(AC379="Demandé",AC379="Planifié",AC379="Annulé"),0,N(T379)*N(U379)))</f>
        <v/>
      </c>
      <c r="W379" s="70">
        <f>IF($A379="","",SUMIFS('Mouvements stock'!$H$5:$H$3004,'Mouvements stock'!$I$5:$I$3004,$A379,'Mouvements stock'!$C$5:$C$3004,"Sortie")-SUMIFS('Mouvements stock'!$H$5:$H$3004,'Mouvements stock'!$I$5:$I$3004,$A379,'Mouvements stock'!$C$5:$C$3004,"Retour"))</f>
        <v/>
      </c>
      <c r="X379" s="66" t="n">
        <v>0</v>
      </c>
      <c r="Y379" s="66" t="n">
        <v>0</v>
      </c>
      <c r="Z379" s="7" t="n"/>
      <c r="AA379" s="70">
        <f>IF($A379="","",N(V379)+N(W379)+N(X379)+N(Y379))</f>
        <v/>
      </c>
      <c r="AB379" s="70">
        <f>IF($A379="","",N(S379)*'Paramètres'!$AA$9*IFERROR(INDEX('Paramètres'!$O$5:$O$7,MATCH(G379,'Paramètres'!$N$5:$N$7,0)),0))</f>
        <v/>
      </c>
      <c r="AC379" s="7" t="inlineStr">
        <is>
          <t>Clôturé</t>
        </is>
      </c>
      <c r="AD379" s="69">
        <f>IF(OR($A379="",Q379=""),"",(Q379-B379)*24)</f>
        <v/>
      </c>
      <c r="AE379" s="69">
        <f>IF(OR(Q379="",R379=""),"",(R379-Q379)*24)</f>
        <v/>
      </c>
      <c r="AF379" s="77">
        <f>IF(OR($A379="",B379=""),"",YEAR(B379))</f>
        <v/>
      </c>
      <c r="AG379" s="77">
        <f>IF(OR($A379="",B379=""),"",MONTH(B379))</f>
        <v/>
      </c>
    </row>
    <row r="380">
      <c r="A380" s="7" t="inlineStr">
        <is>
          <t>OT-2025-0376</t>
        </is>
      </c>
      <c r="B380" s="75" t="n">
        <v>45824.44791666666</v>
      </c>
      <c r="C380" s="7" t="inlineStr">
        <is>
          <t>Plan préventif</t>
        </is>
      </c>
      <c r="D380" s="7" t="inlineStr">
        <is>
          <t>EQ-USI-005</t>
        </is>
      </c>
      <c r="E380" s="9">
        <f>IF(D380="","",IFERROR(INDEX('Équipements'!$B$5:$B$304,MATCH(D380,'Équipements'!$A$5:$A$304,0)),"Code inconnu"))</f>
        <v/>
      </c>
      <c r="F380" s="9">
        <f>IF(D380="","",IFERROR(INDEX('Équipements'!$D$5:$D$304,MATCH(D380,'Équipements'!$A$5:$A$304,0)),""))</f>
        <v/>
      </c>
      <c r="G380" s="9">
        <f>IF(D380="","",IFERROR(INDEX('Équipements'!$K$5:$K$304,MATCH(D380,'Équipements'!$A$5:$A$304,0)),""))</f>
        <v/>
      </c>
      <c r="H380" s="7" t="inlineStr">
        <is>
          <t>Préventif systématique</t>
        </is>
      </c>
      <c r="I380" s="7" t="inlineStr">
        <is>
          <t>GP-020</t>
        </is>
      </c>
      <c r="J380" s="7" t="inlineStr">
        <is>
          <t>Électrique</t>
        </is>
      </c>
      <c r="K380" s="7" t="inlineStr">
        <is>
          <t>P3 - Normale</t>
        </is>
      </c>
      <c r="L380" s="7" t="inlineStr">
        <is>
          <t>Contrôle armoire électrique (ventilation, serrages)</t>
        </is>
      </c>
      <c r="M380" s="7" t="n"/>
      <c r="N380" s="7" t="inlineStr">
        <is>
          <t>Gamme réalisée - RAS</t>
        </is>
      </c>
      <c r="O380" s="7" t="inlineStr">
        <is>
          <t>Antoine Mercier</t>
        </is>
      </c>
      <c r="P380" s="65" t="n">
        <v>45831</v>
      </c>
      <c r="Q380" s="75" t="n">
        <v>45831.58333333334</v>
      </c>
      <c r="R380" s="75" t="n">
        <v>45831.71875</v>
      </c>
      <c r="S380" s="76" t="n">
        <v>0</v>
      </c>
      <c r="T380" s="76" t="n">
        <v>3.25</v>
      </c>
      <c r="U380" s="70">
        <f>IF($A380="","",IFERROR(INDEX('Techniciens'!$F$5:$F$44,MATCH(O380,'Techniciens'!$B$5:$B$44,0)),'Paramètres'!$AA$10))</f>
        <v/>
      </c>
      <c r="V380" s="70">
        <f>IF($A380="","",IF(OR(AC380="Demandé",AC380="Planifié",AC380="Annulé"),0,N(T380)*N(U380)))</f>
        <v/>
      </c>
      <c r="W380" s="70">
        <f>IF($A380="","",SUMIFS('Mouvements stock'!$H$5:$H$3004,'Mouvements stock'!$I$5:$I$3004,$A380,'Mouvements stock'!$C$5:$C$3004,"Sortie")-SUMIFS('Mouvements stock'!$H$5:$H$3004,'Mouvements stock'!$I$5:$I$3004,$A380,'Mouvements stock'!$C$5:$C$3004,"Retour"))</f>
        <v/>
      </c>
      <c r="X380" s="66" t="n">
        <v>0</v>
      </c>
      <c r="Y380" s="66" t="n">
        <v>0</v>
      </c>
      <c r="Z380" s="7" t="n"/>
      <c r="AA380" s="70">
        <f>IF($A380="","",N(V380)+N(W380)+N(X380)+N(Y380))</f>
        <v/>
      </c>
      <c r="AB380" s="70">
        <f>IF($A380="","",N(S380)*'Paramètres'!$AA$9*IFERROR(INDEX('Paramètres'!$O$5:$O$7,MATCH(G380,'Paramètres'!$N$5:$N$7,0)),0))</f>
        <v/>
      </c>
      <c r="AC380" s="7" t="inlineStr">
        <is>
          <t>Clôturé</t>
        </is>
      </c>
      <c r="AD380" s="69">
        <f>IF(OR($A380="",Q380=""),"",(Q380-B380)*24)</f>
        <v/>
      </c>
      <c r="AE380" s="69">
        <f>IF(OR(Q380="",R380=""),"",(R380-Q380)*24)</f>
        <v/>
      </c>
      <c r="AF380" s="77">
        <f>IF(OR($A380="",B380=""),"",YEAR(B380))</f>
        <v/>
      </c>
      <c r="AG380" s="77">
        <f>IF(OR($A380="",B380=""),"",MONTH(B380))</f>
        <v/>
      </c>
    </row>
    <row r="381">
      <c r="A381" s="7" t="inlineStr">
        <is>
          <t>OT-2025-0377</t>
        </is>
      </c>
      <c r="B381" s="75" t="n">
        <v>45824.45833333334</v>
      </c>
      <c r="C381" s="7" t="inlineStr">
        <is>
          <t>Plan préventif</t>
        </is>
      </c>
      <c r="D381" s="7" t="inlineStr">
        <is>
          <t>EQ-TOL-001</t>
        </is>
      </c>
      <c r="E381" s="9">
        <f>IF(D381="","",IFERROR(INDEX('Équipements'!$B$5:$B$304,MATCH(D381,'Équipements'!$A$5:$A$304,0)),"Code inconnu"))</f>
        <v/>
      </c>
      <c r="F381" s="9">
        <f>IF(D381="","",IFERROR(INDEX('Équipements'!$D$5:$D$304,MATCH(D381,'Équipements'!$A$5:$A$304,0)),""))</f>
        <v/>
      </c>
      <c r="G381" s="9">
        <f>IF(D381="","",IFERROR(INDEX('Équipements'!$K$5:$K$304,MATCH(D381,'Équipements'!$A$5:$A$304,0)),""))</f>
        <v/>
      </c>
      <c r="H381" s="7" t="inlineStr">
        <is>
          <t>Préventif systématique</t>
        </is>
      </c>
      <c r="I381" s="7" t="inlineStr">
        <is>
          <t>GP-038</t>
        </is>
      </c>
      <c r="J381" s="7" t="inlineStr">
        <is>
          <t>Mécanique</t>
        </is>
      </c>
      <c r="K381" s="7" t="inlineStr">
        <is>
          <t>P3 - Normale</t>
        </is>
      </c>
      <c r="L381" s="7" t="inlineStr">
        <is>
          <t>Nettoyage optique, contrôle buse et lentille</t>
        </is>
      </c>
      <c r="M381" s="7" t="n"/>
      <c r="N381" s="7" t="inlineStr">
        <is>
          <t>Gamme réalisée - RAS</t>
        </is>
      </c>
      <c r="O381" s="7" t="inlineStr">
        <is>
          <t>Karim Benali</t>
        </is>
      </c>
      <c r="P381" s="65" t="n">
        <v>45831.40625</v>
      </c>
      <c r="Q381" s="75" t="n">
        <v>45831.57638888889</v>
      </c>
      <c r="R381" s="75" t="n">
        <v>45831.64930555555</v>
      </c>
      <c r="S381" s="76" t="n">
        <v>1.8</v>
      </c>
      <c r="T381" s="76" t="n">
        <v>1.75</v>
      </c>
      <c r="U381" s="70">
        <f>IF($A381="","",IFERROR(INDEX('Techniciens'!$F$5:$F$44,MATCH(O381,'Techniciens'!$B$5:$B$44,0)),'Paramètres'!$AA$10))</f>
        <v/>
      </c>
      <c r="V381" s="70">
        <f>IF($A381="","",IF(OR(AC381="Demandé",AC381="Planifié",AC381="Annulé"),0,N(T381)*N(U381)))</f>
        <v/>
      </c>
      <c r="W381" s="70">
        <f>IF($A381="","",SUMIFS('Mouvements stock'!$H$5:$H$3004,'Mouvements stock'!$I$5:$I$3004,$A381,'Mouvements stock'!$C$5:$C$3004,"Sortie")-SUMIFS('Mouvements stock'!$H$5:$H$3004,'Mouvements stock'!$I$5:$I$3004,$A381,'Mouvements stock'!$C$5:$C$3004,"Retour"))</f>
        <v/>
      </c>
      <c r="X381" s="66" t="n">
        <v>0</v>
      </c>
      <c r="Y381" s="66" t="n">
        <v>0</v>
      </c>
      <c r="Z381" s="7" t="n"/>
      <c r="AA381" s="70">
        <f>IF($A381="","",N(V381)+N(W381)+N(X381)+N(Y381))</f>
        <v/>
      </c>
      <c r="AB381" s="70">
        <f>IF($A381="","",N(S381)*'Paramètres'!$AA$9*IFERROR(INDEX('Paramètres'!$O$5:$O$7,MATCH(G381,'Paramètres'!$N$5:$N$7,0)),0))</f>
        <v/>
      </c>
      <c r="AC381" s="7" t="inlineStr">
        <is>
          <t>Clôturé</t>
        </is>
      </c>
      <c r="AD381" s="69">
        <f>IF(OR($A381="",Q381=""),"",(Q381-B381)*24)</f>
        <v/>
      </c>
      <c r="AE381" s="69">
        <f>IF(OR(Q381="",R381=""),"",(R381-Q381)*24)</f>
        <v/>
      </c>
      <c r="AF381" s="77">
        <f>IF(OR($A381="",B381=""),"",YEAR(B381))</f>
        <v/>
      </c>
      <c r="AG381" s="77">
        <f>IF(OR($A381="",B381=""),"",MONTH(B381))</f>
        <v/>
      </c>
    </row>
    <row r="382">
      <c r="A382" s="7" t="inlineStr">
        <is>
          <t>OT-2025-0378</t>
        </is>
      </c>
      <c r="B382" s="75" t="n">
        <v>45825.34722222222</v>
      </c>
      <c r="C382" s="7" t="inlineStr">
        <is>
          <t>Plan préventif</t>
        </is>
      </c>
      <c r="D382" s="7" t="inlineStr">
        <is>
          <t>EQ-UTI-010</t>
        </is>
      </c>
      <c r="E382" s="9">
        <f>IF(D382="","",IFERROR(INDEX('Équipements'!$B$5:$B$304,MATCH(D382,'Équipements'!$A$5:$A$304,0)),"Code inconnu"))</f>
        <v/>
      </c>
      <c r="F382" s="9">
        <f>IF(D382="","",IFERROR(INDEX('Équipements'!$D$5:$D$304,MATCH(D382,'Équipements'!$A$5:$A$304,0)),""))</f>
        <v/>
      </c>
      <c r="G382" s="9">
        <f>IF(D382="","",IFERROR(INDEX('Équipements'!$K$5:$K$304,MATCH(D382,'Équipements'!$A$5:$A$304,0)),""))</f>
        <v/>
      </c>
      <c r="H382" s="7" t="inlineStr">
        <is>
          <t>Préventif systématique</t>
        </is>
      </c>
      <c r="I382" s="7" t="inlineStr">
        <is>
          <t>GP-104</t>
        </is>
      </c>
      <c r="J382" s="7" t="inlineStr">
        <is>
          <t>Électrique</t>
        </is>
      </c>
      <c r="K382" s="7" t="inlineStr">
        <is>
          <t>P3 - Normale</t>
        </is>
      </c>
      <c r="L382" s="7" t="inlineStr">
        <is>
          <t>Essai mensuel à charge du groupe électrogène</t>
        </is>
      </c>
      <c r="M382" s="7" t="n"/>
      <c r="N382" s="7" t="inlineStr">
        <is>
          <t>Gamme réalisée - RAS</t>
        </is>
      </c>
      <c r="O382" s="7" t="inlineStr">
        <is>
          <t>Julien Moreau</t>
        </is>
      </c>
      <c r="P382" s="65" t="n">
        <v>45832.44097222222</v>
      </c>
      <c r="Q382" s="75" t="n">
        <v>45832.46527777778</v>
      </c>
      <c r="R382" s="75" t="n">
        <v>45832.54861111111</v>
      </c>
      <c r="S382" s="76" t="n">
        <v>0</v>
      </c>
      <c r="T382" s="76" t="n">
        <v>2</v>
      </c>
      <c r="U382" s="70">
        <f>IF($A382="","",IFERROR(INDEX('Techniciens'!$F$5:$F$44,MATCH(O382,'Techniciens'!$B$5:$B$44,0)),'Paramètres'!$AA$10))</f>
        <v/>
      </c>
      <c r="V382" s="70">
        <f>IF($A382="","",IF(OR(AC382="Demandé",AC382="Planifié",AC382="Annulé"),0,N(T382)*N(U382)))</f>
        <v/>
      </c>
      <c r="W382" s="70">
        <f>IF($A382="","",SUMIFS('Mouvements stock'!$H$5:$H$3004,'Mouvements stock'!$I$5:$I$3004,$A382,'Mouvements stock'!$C$5:$C$3004,"Sortie")-SUMIFS('Mouvements stock'!$H$5:$H$3004,'Mouvements stock'!$I$5:$I$3004,$A382,'Mouvements stock'!$C$5:$C$3004,"Retour"))</f>
        <v/>
      </c>
      <c r="X382" s="66" t="n">
        <v>0</v>
      </c>
      <c r="Y382" s="66" t="n">
        <v>0</v>
      </c>
      <c r="Z382" s="7" t="n"/>
      <c r="AA382" s="70">
        <f>IF($A382="","",N(V382)+N(W382)+N(X382)+N(Y382))</f>
        <v/>
      </c>
      <c r="AB382" s="70">
        <f>IF($A382="","",N(S382)*'Paramètres'!$AA$9*IFERROR(INDEX('Paramètres'!$O$5:$O$7,MATCH(G382,'Paramètres'!$N$5:$N$7,0)),0))</f>
        <v/>
      </c>
      <c r="AC382" s="7" t="inlineStr">
        <is>
          <t>Clôturé</t>
        </is>
      </c>
      <c r="AD382" s="69">
        <f>IF(OR($A382="",Q382=""),"",(Q382-B382)*24)</f>
        <v/>
      </c>
      <c r="AE382" s="69">
        <f>IF(OR(Q382="",R382=""),"",(R382-Q382)*24)</f>
        <v/>
      </c>
      <c r="AF382" s="77">
        <f>IF(OR($A382="",B382=""),"",YEAR(B382))</f>
        <v/>
      </c>
      <c r="AG382" s="77">
        <f>IF(OR($A382="",B382=""),"",MONTH(B382))</f>
        <v/>
      </c>
    </row>
    <row r="383">
      <c r="A383" s="7" t="inlineStr">
        <is>
          <t>OT-2025-0379</t>
        </is>
      </c>
      <c r="B383" s="75" t="n">
        <v>45825.45208333333</v>
      </c>
      <c r="C383" s="7" t="inlineStr">
        <is>
          <t>Opérateur usinage</t>
        </is>
      </c>
      <c r="D383" s="7" t="inlineStr">
        <is>
          <t>EQ-USI-001</t>
        </is>
      </c>
      <c r="E383" s="9">
        <f>IF(D383="","",IFERROR(INDEX('Équipements'!$B$5:$B$304,MATCH(D383,'Équipements'!$A$5:$A$304,0)),"Code inconnu"))</f>
        <v/>
      </c>
      <c r="F383" s="9">
        <f>IF(D383="","",IFERROR(INDEX('Équipements'!$D$5:$D$304,MATCH(D383,'Équipements'!$A$5:$A$304,0)),""))</f>
        <v/>
      </c>
      <c r="G383" s="9">
        <f>IF(D383="","",IFERROR(INDEX('Équipements'!$K$5:$K$304,MATCH(D383,'Équipements'!$A$5:$A$304,0)),""))</f>
        <v/>
      </c>
      <c r="H383" s="7" t="inlineStr">
        <is>
          <t>Correctif</t>
        </is>
      </c>
      <c r="I383" s="7" t="n"/>
      <c r="J383" s="7" t="inlineStr">
        <is>
          <t>Électrique</t>
        </is>
      </c>
      <c r="K383" s="7" t="inlineStr">
        <is>
          <t>P1 - Urgent</t>
        </is>
      </c>
      <c r="L383" s="7" t="inlineStr">
        <is>
          <t>Arrêt d'urgence intempestif</t>
        </is>
      </c>
      <c r="M383" s="7" t="inlineStr">
        <is>
          <t>Défaut électrique</t>
        </is>
      </c>
      <c r="N383" s="7" t="inlineStr">
        <is>
          <t>Recherche de panne, remplacement relais de sécurité</t>
        </is>
      </c>
      <c r="O383" s="7" t="inlineStr">
        <is>
          <t>Antoine Mercier</t>
        </is>
      </c>
      <c r="P383" s="65" t="n"/>
      <c r="Q383" s="75" t="n">
        <v>45825.47291666667</v>
      </c>
      <c r="R383" s="75" t="n">
        <v>45825.54583333333</v>
      </c>
      <c r="S383" s="76" t="n">
        <v>2.3</v>
      </c>
      <c r="T383" s="76" t="n">
        <v>1.75</v>
      </c>
      <c r="U383" s="70">
        <f>IF($A383="","",IFERROR(INDEX('Techniciens'!$F$5:$F$44,MATCH(O383,'Techniciens'!$B$5:$B$44,0)),'Paramètres'!$AA$10))</f>
        <v/>
      </c>
      <c r="V383" s="70">
        <f>IF($A383="","",IF(OR(AC383="Demandé",AC383="Planifié",AC383="Annulé"),0,N(T383)*N(U383)))</f>
        <v/>
      </c>
      <c r="W383" s="70">
        <f>IF($A383="","",SUMIFS('Mouvements stock'!$H$5:$H$3004,'Mouvements stock'!$I$5:$I$3004,$A383,'Mouvements stock'!$C$5:$C$3004,"Sortie")-SUMIFS('Mouvements stock'!$H$5:$H$3004,'Mouvements stock'!$I$5:$I$3004,$A383,'Mouvements stock'!$C$5:$C$3004,"Retour"))</f>
        <v/>
      </c>
      <c r="X383" s="66" t="n">
        <v>0</v>
      </c>
      <c r="Y383" s="66" t="n">
        <v>0</v>
      </c>
      <c r="Z383" s="7" t="n"/>
      <c r="AA383" s="70">
        <f>IF($A383="","",N(V383)+N(W383)+N(X383)+N(Y383))</f>
        <v/>
      </c>
      <c r="AB383" s="70">
        <f>IF($A383="","",N(S383)*'Paramètres'!$AA$9*IFERROR(INDEX('Paramètres'!$O$5:$O$7,MATCH(G383,'Paramètres'!$N$5:$N$7,0)),0))</f>
        <v/>
      </c>
      <c r="AC383" s="7" t="inlineStr">
        <is>
          <t>Clôturé</t>
        </is>
      </c>
      <c r="AD383" s="69">
        <f>IF(OR($A383="",Q383=""),"",(Q383-B383)*24)</f>
        <v/>
      </c>
      <c r="AE383" s="69">
        <f>IF(OR(Q383="",R383=""),"",(R383-Q383)*24)</f>
        <v/>
      </c>
      <c r="AF383" s="77">
        <f>IF(OR($A383="",B383=""),"",YEAR(B383))</f>
        <v/>
      </c>
      <c r="AG383" s="77">
        <f>IF(OR($A383="",B383=""),"",MONTH(B383))</f>
        <v/>
      </c>
    </row>
    <row r="384">
      <c r="A384" s="7" t="inlineStr">
        <is>
          <t>OT-2025-0380</t>
        </is>
      </c>
      <c r="B384" s="75" t="n">
        <v>45825.48680555556</v>
      </c>
      <c r="C384" s="7" t="inlineStr">
        <is>
          <t>Céline Morel (cheffe d'atelier)</t>
        </is>
      </c>
      <c r="D384" s="7" t="inlineStr">
        <is>
          <t>EQ-TOL-002</t>
        </is>
      </c>
      <c r="E384" s="9">
        <f>IF(D384="","",IFERROR(INDEX('Équipements'!$B$5:$B$304,MATCH(D384,'Équipements'!$A$5:$A$304,0)),"Code inconnu"))</f>
        <v/>
      </c>
      <c r="F384" s="9">
        <f>IF(D384="","",IFERROR(INDEX('Équipements'!$D$5:$D$304,MATCH(D384,'Équipements'!$A$5:$A$304,0)),""))</f>
        <v/>
      </c>
      <c r="G384" s="9">
        <f>IF(D384="","",IFERROR(INDEX('Équipements'!$K$5:$K$304,MATCH(D384,'Équipements'!$A$5:$A$304,0)),""))</f>
        <v/>
      </c>
      <c r="H384" s="7" t="inlineStr">
        <is>
          <t>Correctif</t>
        </is>
      </c>
      <c r="I384" s="7" t="n"/>
      <c r="J384" s="7" t="inlineStr">
        <is>
          <t>Hydraulique</t>
        </is>
      </c>
      <c r="K384" s="7" t="inlineStr">
        <is>
          <t>P2 - Haute</t>
        </is>
      </c>
      <c r="L384" s="7" t="inlineStr">
        <is>
          <t>Fuite d'huile vérin principal</t>
        </is>
      </c>
      <c r="M384" s="7" t="inlineStr">
        <is>
          <t>Fuite</t>
        </is>
      </c>
      <c r="N384" s="7" t="inlineStr">
        <is>
          <t>Remplacement kit joints vérin</t>
        </is>
      </c>
      <c r="O384" s="7" t="inlineStr">
        <is>
          <t>Antoine Mercier</t>
        </is>
      </c>
      <c r="P384" s="65" t="n"/>
      <c r="Q384" s="75" t="n">
        <v>45825.59444444445</v>
      </c>
      <c r="R384" s="75" t="n">
        <v>45825.81319444445</v>
      </c>
      <c r="S384" s="76" t="n">
        <v>0</v>
      </c>
      <c r="T384" s="76" t="n">
        <v>5.25</v>
      </c>
      <c r="U384" s="70">
        <f>IF($A384="","",IFERROR(INDEX('Techniciens'!$F$5:$F$44,MATCH(O384,'Techniciens'!$B$5:$B$44,0)),'Paramètres'!$AA$10))</f>
        <v/>
      </c>
      <c r="V384" s="70">
        <f>IF($A384="","",IF(OR(AC384="Demandé",AC384="Planifié",AC384="Annulé"),0,N(T384)*N(U384)))</f>
        <v/>
      </c>
      <c r="W384" s="70">
        <f>IF($A384="","",SUMIFS('Mouvements stock'!$H$5:$H$3004,'Mouvements stock'!$I$5:$I$3004,$A384,'Mouvements stock'!$C$5:$C$3004,"Sortie")-SUMIFS('Mouvements stock'!$H$5:$H$3004,'Mouvements stock'!$I$5:$I$3004,$A384,'Mouvements stock'!$C$5:$C$3004,"Retour"))</f>
        <v/>
      </c>
      <c r="X384" s="66" t="n">
        <v>0</v>
      </c>
      <c r="Y384" s="66" t="n">
        <v>0</v>
      </c>
      <c r="Z384" s="7" t="n"/>
      <c r="AA384" s="70">
        <f>IF($A384="","",N(V384)+N(W384)+N(X384)+N(Y384))</f>
        <v/>
      </c>
      <c r="AB384" s="70">
        <f>IF($A384="","",N(S384)*'Paramètres'!$AA$9*IFERROR(INDEX('Paramètres'!$O$5:$O$7,MATCH(G384,'Paramètres'!$N$5:$N$7,0)),0))</f>
        <v/>
      </c>
      <c r="AC384" s="7" t="inlineStr">
        <is>
          <t>Clôturé</t>
        </is>
      </c>
      <c r="AD384" s="69">
        <f>IF(OR($A384="",Q384=""),"",(Q384-B384)*24)</f>
        <v/>
      </c>
      <c r="AE384" s="69">
        <f>IF(OR(Q384="",R384=""),"",(R384-Q384)*24)</f>
        <v/>
      </c>
      <c r="AF384" s="77">
        <f>IF(OR($A384="",B384=""),"",YEAR(B384))</f>
        <v/>
      </c>
      <c r="AG384" s="77">
        <f>IF(OR($A384="",B384=""),"",MONTH(B384))</f>
        <v/>
      </c>
    </row>
    <row r="385">
      <c r="A385" s="7" t="inlineStr">
        <is>
          <t>OT-2025-0381</t>
        </is>
      </c>
      <c r="B385" s="75" t="n">
        <v>45826.38194444445</v>
      </c>
      <c r="C385" s="7" t="inlineStr">
        <is>
          <t>Plan préventif</t>
        </is>
      </c>
      <c r="D385" s="7" t="inlineStr">
        <is>
          <t>EQ-PEI-003</t>
        </is>
      </c>
      <c r="E385" s="9">
        <f>IF(D385="","",IFERROR(INDEX('Équipements'!$B$5:$B$304,MATCH(D385,'Équipements'!$A$5:$A$304,0)),"Code inconnu"))</f>
        <v/>
      </c>
      <c r="F385" s="9">
        <f>IF(D385="","",IFERROR(INDEX('Équipements'!$D$5:$D$304,MATCH(D385,'Équipements'!$A$5:$A$304,0)),""))</f>
        <v/>
      </c>
      <c r="G385" s="9">
        <f>IF(D385="","",IFERROR(INDEX('Équipements'!$K$5:$K$304,MATCH(D385,'Équipements'!$A$5:$A$304,0)),""))</f>
        <v/>
      </c>
      <c r="H385" s="7" t="inlineStr">
        <is>
          <t>Préventif systématique</t>
        </is>
      </c>
      <c r="I385" s="7" t="inlineStr">
        <is>
          <t>GP-070</t>
        </is>
      </c>
      <c r="J385" s="7" t="inlineStr">
        <is>
          <t>Mécanique</t>
        </is>
      </c>
      <c r="K385" s="7" t="inlineStr">
        <is>
          <t>P3 - Normale</t>
        </is>
      </c>
      <c r="L385" s="7" t="inlineStr">
        <is>
          <t>Nettoyage et remplacement des filtres</t>
        </is>
      </c>
      <c r="M385" s="7" t="n"/>
      <c r="N385" s="7" t="inlineStr">
        <is>
          <t>Gamme réalisée - RAS</t>
        </is>
      </c>
      <c r="O385" s="7" t="inlineStr">
        <is>
          <t>Antoine Mercier</t>
        </is>
      </c>
      <c r="P385" s="65" t="n">
        <v>45833.39583333334</v>
      </c>
      <c r="Q385" s="75" t="n">
        <v>45833.5625</v>
      </c>
      <c r="R385" s="75" t="n">
        <v>45833.71875</v>
      </c>
      <c r="S385" s="76" t="n">
        <v>3.8</v>
      </c>
      <c r="T385" s="76" t="n">
        <v>3.75</v>
      </c>
      <c r="U385" s="70">
        <f>IF($A385="","",IFERROR(INDEX('Techniciens'!$F$5:$F$44,MATCH(O385,'Techniciens'!$B$5:$B$44,0)),'Paramètres'!$AA$10))</f>
        <v/>
      </c>
      <c r="V385" s="70">
        <f>IF($A385="","",IF(OR(AC385="Demandé",AC385="Planifié",AC385="Annulé"),0,N(T385)*N(U385)))</f>
        <v/>
      </c>
      <c r="W385" s="70">
        <f>IF($A385="","",SUMIFS('Mouvements stock'!$H$5:$H$3004,'Mouvements stock'!$I$5:$I$3004,$A385,'Mouvements stock'!$C$5:$C$3004,"Sortie")-SUMIFS('Mouvements stock'!$H$5:$H$3004,'Mouvements stock'!$I$5:$I$3004,$A385,'Mouvements stock'!$C$5:$C$3004,"Retour"))</f>
        <v/>
      </c>
      <c r="X385" s="66" t="n">
        <v>0</v>
      </c>
      <c r="Y385" s="66" t="n">
        <v>0</v>
      </c>
      <c r="Z385" s="7" t="n"/>
      <c r="AA385" s="70">
        <f>IF($A385="","",N(V385)+N(W385)+N(X385)+N(Y385))</f>
        <v/>
      </c>
      <c r="AB385" s="70">
        <f>IF($A385="","",N(S385)*'Paramètres'!$AA$9*IFERROR(INDEX('Paramètres'!$O$5:$O$7,MATCH(G385,'Paramètres'!$N$5:$N$7,0)),0))</f>
        <v/>
      </c>
      <c r="AC385" s="7" t="inlineStr">
        <is>
          <t>Clôturé</t>
        </is>
      </c>
      <c r="AD385" s="69">
        <f>IF(OR($A385="",Q385=""),"",(Q385-B385)*24)</f>
        <v/>
      </c>
      <c r="AE385" s="69">
        <f>IF(OR(Q385="",R385=""),"",(R385-Q385)*24)</f>
        <v/>
      </c>
      <c r="AF385" s="77">
        <f>IF(OR($A385="",B385=""),"",YEAR(B385))</f>
        <v/>
      </c>
      <c r="AG385" s="77">
        <f>IF(OR($A385="",B385=""),"",MONTH(B385))</f>
        <v/>
      </c>
    </row>
    <row r="386">
      <c r="A386" s="7" t="inlineStr">
        <is>
          <t>OT-2025-0382</t>
        </is>
      </c>
      <c r="B386" s="75" t="n">
        <v>45826.38541666666</v>
      </c>
      <c r="C386" s="7" t="inlineStr">
        <is>
          <t>Plan préventif</t>
        </is>
      </c>
      <c r="D386" s="7" t="inlineStr">
        <is>
          <t>EQ-PEI-002</t>
        </is>
      </c>
      <c r="E386" s="9">
        <f>IF(D386="","",IFERROR(INDEX('Équipements'!$B$5:$B$304,MATCH(D386,'Équipements'!$A$5:$A$304,0)),"Code inconnu"))</f>
        <v/>
      </c>
      <c r="F386" s="9">
        <f>IF(D386="","",IFERROR(INDEX('Équipements'!$D$5:$D$304,MATCH(D386,'Équipements'!$A$5:$A$304,0)),""))</f>
        <v/>
      </c>
      <c r="G386" s="9">
        <f>IF(D386="","",IFERROR(INDEX('Équipements'!$K$5:$K$304,MATCH(D386,'Équipements'!$A$5:$A$304,0)),""))</f>
        <v/>
      </c>
      <c r="H386" s="7" t="inlineStr">
        <is>
          <t>Préventif systématique</t>
        </is>
      </c>
      <c r="I386" s="7" t="inlineStr">
        <is>
          <t>GP-069</t>
        </is>
      </c>
      <c r="J386" s="7" t="inlineStr">
        <is>
          <t>Multi-technique</t>
        </is>
      </c>
      <c r="K386" s="7" t="inlineStr">
        <is>
          <t>P3 - Normale</t>
        </is>
      </c>
      <c r="L386" s="7" t="inlineStr">
        <is>
          <t>Contrôle ventilation, brûleurs, pompes et sécurités</t>
        </is>
      </c>
      <c r="M386" s="7" t="n"/>
      <c r="N386" s="7" t="inlineStr">
        <is>
          <t>Gamme réalisée - RAS</t>
        </is>
      </c>
      <c r="O386" s="7" t="inlineStr">
        <is>
          <t>Antoine Mercier</t>
        </is>
      </c>
      <c r="P386" s="65" t="n">
        <v>45833</v>
      </c>
      <c r="Q386" s="75" t="n">
        <v>45833.52777777778</v>
      </c>
      <c r="R386" s="75" t="n">
        <v>45833.76736111111</v>
      </c>
      <c r="S386" s="76" t="n">
        <v>5.8</v>
      </c>
      <c r="T386" s="76" t="n">
        <v>5.75</v>
      </c>
      <c r="U386" s="70">
        <f>IF($A386="","",IFERROR(INDEX('Techniciens'!$F$5:$F$44,MATCH(O386,'Techniciens'!$B$5:$B$44,0)),'Paramètres'!$AA$10))</f>
        <v/>
      </c>
      <c r="V386" s="70">
        <f>IF($A386="","",IF(OR(AC386="Demandé",AC386="Planifié",AC386="Annulé"),0,N(T386)*N(U386)))</f>
        <v/>
      </c>
      <c r="W386" s="70">
        <f>IF($A386="","",SUMIFS('Mouvements stock'!$H$5:$H$3004,'Mouvements stock'!$I$5:$I$3004,$A386,'Mouvements stock'!$C$5:$C$3004,"Sortie")-SUMIFS('Mouvements stock'!$H$5:$H$3004,'Mouvements stock'!$I$5:$I$3004,$A386,'Mouvements stock'!$C$5:$C$3004,"Retour"))</f>
        <v/>
      </c>
      <c r="X386" s="66" t="n">
        <v>0</v>
      </c>
      <c r="Y386" s="66" t="n">
        <v>0</v>
      </c>
      <c r="Z386" s="7" t="n"/>
      <c r="AA386" s="70">
        <f>IF($A386="","",N(V386)+N(W386)+N(X386)+N(Y386))</f>
        <v/>
      </c>
      <c r="AB386" s="70">
        <f>IF($A386="","",N(S386)*'Paramètres'!$AA$9*IFERROR(INDEX('Paramètres'!$O$5:$O$7,MATCH(G386,'Paramètres'!$N$5:$N$7,0)),0))</f>
        <v/>
      </c>
      <c r="AC386" s="7" t="inlineStr">
        <is>
          <t>Clôturé</t>
        </is>
      </c>
      <c r="AD386" s="69">
        <f>IF(OR($A386="",Q386=""),"",(Q386-B386)*24)</f>
        <v/>
      </c>
      <c r="AE386" s="69">
        <f>IF(OR(Q386="",R386=""),"",(R386-Q386)*24)</f>
        <v/>
      </c>
      <c r="AF386" s="77">
        <f>IF(OR($A386="",B386=""),"",YEAR(B386))</f>
        <v/>
      </c>
      <c r="AG386" s="77">
        <f>IF(OR($A386="",B386=""),"",MONTH(B386))</f>
        <v/>
      </c>
    </row>
    <row r="387">
      <c r="A387" s="7" t="inlineStr">
        <is>
          <t>OT-2025-0383</t>
        </is>
      </c>
      <c r="B387" s="75" t="n">
        <v>45826.45833333334</v>
      </c>
      <c r="C387" s="7" t="inlineStr">
        <is>
          <t>Plan préventif</t>
        </is>
      </c>
      <c r="D387" s="7" t="inlineStr">
        <is>
          <t>EQ-USI-009</t>
        </is>
      </c>
      <c r="E387" s="9">
        <f>IF(D387="","",IFERROR(INDEX('Équipements'!$B$5:$B$304,MATCH(D387,'Équipements'!$A$5:$A$304,0)),"Code inconnu"))</f>
        <v/>
      </c>
      <c r="F387" s="9">
        <f>IF(D387="","",IFERROR(INDEX('Équipements'!$D$5:$D$304,MATCH(D387,'Équipements'!$A$5:$A$304,0)),""))</f>
        <v/>
      </c>
      <c r="G387" s="9">
        <f>IF(D387="","",IFERROR(INDEX('Équipements'!$K$5:$K$304,MATCH(D387,'Équipements'!$A$5:$A$304,0)),""))</f>
        <v/>
      </c>
      <c r="H387" s="7" t="inlineStr">
        <is>
          <t>Préventif systématique</t>
        </is>
      </c>
      <c r="I387" s="7" t="inlineStr">
        <is>
          <t>GP-030</t>
        </is>
      </c>
      <c r="J387" s="7" t="inlineStr">
        <is>
          <t>Mécanique</t>
        </is>
      </c>
      <c r="K387" s="7" t="inlineStr">
        <is>
          <t>P3 - Normale</t>
        </is>
      </c>
      <c r="L387" s="7" t="inlineStr">
        <is>
          <t>Contrôle lame, guides et liquide de coupe</t>
        </is>
      </c>
      <c r="M387" s="7" t="n"/>
      <c r="N387" s="7" t="inlineStr">
        <is>
          <t>Gamme réalisée - RAS</t>
        </is>
      </c>
      <c r="O387" s="7" t="inlineStr">
        <is>
          <t>Karim Benali</t>
        </is>
      </c>
      <c r="P387" s="65" t="n">
        <v>45833.3125</v>
      </c>
      <c r="Q387" s="75" t="n">
        <v>45833.32291666666</v>
      </c>
      <c r="R387" s="75" t="n">
        <v>45833.36458333334</v>
      </c>
      <c r="S387" s="76" t="n">
        <v>0.5</v>
      </c>
      <c r="T387" s="76" t="n">
        <v>1</v>
      </c>
      <c r="U387" s="70">
        <f>IF($A387="","",IFERROR(INDEX('Techniciens'!$F$5:$F$44,MATCH(O387,'Techniciens'!$B$5:$B$44,0)),'Paramètres'!$AA$10))</f>
        <v/>
      </c>
      <c r="V387" s="70">
        <f>IF($A387="","",IF(OR(AC387="Demandé",AC387="Planifié",AC387="Annulé"),0,N(T387)*N(U387)))</f>
        <v/>
      </c>
      <c r="W387" s="70">
        <f>IF($A387="","",SUMIFS('Mouvements stock'!$H$5:$H$3004,'Mouvements stock'!$I$5:$I$3004,$A387,'Mouvements stock'!$C$5:$C$3004,"Sortie")-SUMIFS('Mouvements stock'!$H$5:$H$3004,'Mouvements stock'!$I$5:$I$3004,$A387,'Mouvements stock'!$C$5:$C$3004,"Retour"))</f>
        <v/>
      </c>
      <c r="X387" s="66" t="n">
        <v>0</v>
      </c>
      <c r="Y387" s="66" t="n">
        <v>0</v>
      </c>
      <c r="Z387" s="7" t="n"/>
      <c r="AA387" s="70">
        <f>IF($A387="","",N(V387)+N(W387)+N(X387)+N(Y387))</f>
        <v/>
      </c>
      <c r="AB387" s="70">
        <f>IF($A387="","",N(S387)*'Paramètres'!$AA$9*IFERROR(INDEX('Paramètres'!$O$5:$O$7,MATCH(G387,'Paramètres'!$N$5:$N$7,0)),0))</f>
        <v/>
      </c>
      <c r="AC387" s="7" t="inlineStr">
        <is>
          <t>Clôturé</t>
        </is>
      </c>
      <c r="AD387" s="69">
        <f>IF(OR($A387="",Q387=""),"",(Q387-B387)*24)</f>
        <v/>
      </c>
      <c r="AE387" s="69">
        <f>IF(OR(Q387="",R387=""),"",(R387-Q387)*24)</f>
        <v/>
      </c>
      <c r="AF387" s="77">
        <f>IF(OR($A387="",B387=""),"",YEAR(B387))</f>
        <v/>
      </c>
      <c r="AG387" s="77">
        <f>IF(OR($A387="",B387=""),"",MONTH(B387))</f>
        <v/>
      </c>
    </row>
    <row r="388">
      <c r="A388" s="7" t="inlineStr">
        <is>
          <t>OT-2025-0384</t>
        </is>
      </c>
      <c r="B388" s="75" t="n">
        <v>45827.35416666666</v>
      </c>
      <c r="C388" s="7" t="inlineStr">
        <is>
          <t>Plan préventif</t>
        </is>
      </c>
      <c r="D388" s="7" t="inlineStr">
        <is>
          <t>EQ-UTI-006</t>
        </is>
      </c>
      <c r="E388" s="9">
        <f>IF(D388="","",IFERROR(INDEX('Équipements'!$B$5:$B$304,MATCH(D388,'Équipements'!$A$5:$A$304,0)),"Code inconnu"))</f>
        <v/>
      </c>
      <c r="F388" s="9">
        <f>IF(D388="","",IFERROR(INDEX('Équipements'!$D$5:$D$304,MATCH(D388,'Équipements'!$A$5:$A$304,0)),""))</f>
        <v/>
      </c>
      <c r="G388" s="9">
        <f>IF(D388="","",IFERROR(INDEX('Équipements'!$K$5:$K$304,MATCH(D388,'Équipements'!$A$5:$A$304,0)),""))</f>
        <v/>
      </c>
      <c r="H388" s="7" t="inlineStr">
        <is>
          <t>Préventif systématique</t>
        </is>
      </c>
      <c r="I388" s="7" t="inlineStr">
        <is>
          <t>GP-095</t>
        </is>
      </c>
      <c r="J388" s="7" t="inlineStr">
        <is>
          <t>Mécanique</t>
        </is>
      </c>
      <c r="K388" s="7" t="inlineStr">
        <is>
          <t>P3 - Normale</t>
        </is>
      </c>
      <c r="L388" s="7" t="inlineStr">
        <is>
          <t>Remplacement filtres et nettoyage batteries</t>
        </is>
      </c>
      <c r="M388" s="7" t="n"/>
      <c r="N388" s="7" t="inlineStr">
        <is>
          <t>Gamme réalisée - RAS</t>
        </is>
      </c>
      <c r="O388" s="7" t="inlineStr">
        <is>
          <t>Karim Benali</t>
        </is>
      </c>
      <c r="P388" s="65" t="n">
        <v>45834.6875</v>
      </c>
      <c r="Q388" s="75" t="n">
        <v>45834.54166666666</v>
      </c>
      <c r="R388" s="75" t="n">
        <v>45834.625</v>
      </c>
      <c r="S388" s="76" t="n">
        <v>0</v>
      </c>
      <c r="T388" s="76" t="n">
        <v>2</v>
      </c>
      <c r="U388" s="70">
        <f>IF($A388="","",IFERROR(INDEX('Techniciens'!$F$5:$F$44,MATCH(O388,'Techniciens'!$B$5:$B$44,0)),'Paramètres'!$AA$10))</f>
        <v/>
      </c>
      <c r="V388" s="70">
        <f>IF($A388="","",IF(OR(AC388="Demandé",AC388="Planifié",AC388="Annulé"),0,N(T388)*N(U388)))</f>
        <v/>
      </c>
      <c r="W388" s="70">
        <f>IF($A388="","",SUMIFS('Mouvements stock'!$H$5:$H$3004,'Mouvements stock'!$I$5:$I$3004,$A388,'Mouvements stock'!$C$5:$C$3004,"Sortie")-SUMIFS('Mouvements stock'!$H$5:$H$3004,'Mouvements stock'!$I$5:$I$3004,$A388,'Mouvements stock'!$C$5:$C$3004,"Retour"))</f>
        <v/>
      </c>
      <c r="X388" s="66" t="n">
        <v>0</v>
      </c>
      <c r="Y388" s="66" t="n">
        <v>0</v>
      </c>
      <c r="Z388" s="7" t="n"/>
      <c r="AA388" s="70">
        <f>IF($A388="","",N(V388)+N(W388)+N(X388)+N(Y388))</f>
        <v/>
      </c>
      <c r="AB388" s="70">
        <f>IF($A388="","",N(S388)*'Paramètres'!$AA$9*IFERROR(INDEX('Paramètres'!$O$5:$O$7,MATCH(G388,'Paramètres'!$N$5:$N$7,0)),0))</f>
        <v/>
      </c>
      <c r="AC388" s="7" t="inlineStr">
        <is>
          <t>Clôturé</t>
        </is>
      </c>
      <c r="AD388" s="69">
        <f>IF(OR($A388="",Q388=""),"",(Q388-B388)*24)</f>
        <v/>
      </c>
      <c r="AE388" s="69">
        <f>IF(OR(Q388="",R388=""),"",(R388-Q388)*24)</f>
        <v/>
      </c>
      <c r="AF388" s="77">
        <f>IF(OR($A388="",B388=""),"",YEAR(B388))</f>
        <v/>
      </c>
      <c r="AG388" s="77">
        <f>IF(OR($A388="",B388=""),"",MONTH(B388))</f>
        <v/>
      </c>
    </row>
    <row r="389">
      <c r="A389" s="7" t="inlineStr">
        <is>
          <t>OT-2025-0385</t>
        </is>
      </c>
      <c r="B389" s="75" t="n">
        <v>45827.44444444445</v>
      </c>
      <c r="C389" s="7" t="inlineStr">
        <is>
          <t>Plan préventif</t>
        </is>
      </c>
      <c r="D389" s="7" t="inlineStr">
        <is>
          <t>EQ-UTI-001</t>
        </is>
      </c>
      <c r="E389" s="9">
        <f>IF(D389="","",IFERROR(INDEX('Équipements'!$B$5:$B$304,MATCH(D389,'Équipements'!$A$5:$A$304,0)),"Code inconnu"))</f>
        <v/>
      </c>
      <c r="F389" s="9">
        <f>IF(D389="","",IFERROR(INDEX('Équipements'!$D$5:$D$304,MATCH(D389,'Équipements'!$A$5:$A$304,0)),""))</f>
        <v/>
      </c>
      <c r="G389" s="9">
        <f>IF(D389="","",IFERROR(INDEX('Équipements'!$K$5:$K$304,MATCH(D389,'Équipements'!$A$5:$A$304,0)),""))</f>
        <v/>
      </c>
      <c r="H389" s="7" t="inlineStr">
        <is>
          <t>Préventif systématique</t>
        </is>
      </c>
      <c r="I389" s="7" t="inlineStr">
        <is>
          <t>GP-088</t>
        </is>
      </c>
      <c r="J389" s="7" t="inlineStr">
        <is>
          <t>Pneumatique</t>
        </is>
      </c>
      <c r="K389" s="7" t="inlineStr">
        <is>
          <t>P3 - Normale</t>
        </is>
      </c>
      <c r="L389" s="7" t="inlineStr">
        <is>
          <t>Purge, contrôle fuites et point de rosée</t>
        </is>
      </c>
      <c r="M389" s="7" t="n"/>
      <c r="N389" s="7" t="inlineStr">
        <is>
          <t>Gamme réalisée - RAS</t>
        </is>
      </c>
      <c r="O389" s="7" t="inlineStr">
        <is>
          <t>Julien Moreau</t>
        </is>
      </c>
      <c r="P389" s="65" t="n">
        <v>45834.39583333334</v>
      </c>
      <c r="Q389" s="75" t="n">
        <v>45834.5625</v>
      </c>
      <c r="R389" s="75" t="n">
        <v>45834.63541666666</v>
      </c>
      <c r="S389" s="76" t="n">
        <v>0</v>
      </c>
      <c r="T389" s="76" t="n">
        <v>1.75</v>
      </c>
      <c r="U389" s="70">
        <f>IF($A389="","",IFERROR(INDEX('Techniciens'!$F$5:$F$44,MATCH(O389,'Techniciens'!$B$5:$B$44,0)),'Paramètres'!$AA$10))</f>
        <v/>
      </c>
      <c r="V389" s="70">
        <f>IF($A389="","",IF(OR(AC389="Demandé",AC389="Planifié",AC389="Annulé"),0,N(T389)*N(U389)))</f>
        <v/>
      </c>
      <c r="W389" s="70">
        <f>IF($A389="","",SUMIFS('Mouvements stock'!$H$5:$H$3004,'Mouvements stock'!$I$5:$I$3004,$A389,'Mouvements stock'!$C$5:$C$3004,"Sortie")-SUMIFS('Mouvements stock'!$H$5:$H$3004,'Mouvements stock'!$I$5:$I$3004,$A389,'Mouvements stock'!$C$5:$C$3004,"Retour"))</f>
        <v/>
      </c>
      <c r="X389" s="66" t="n">
        <v>0</v>
      </c>
      <c r="Y389" s="66" t="n">
        <v>0</v>
      </c>
      <c r="Z389" s="7" t="n"/>
      <c r="AA389" s="70">
        <f>IF($A389="","",N(V389)+N(W389)+N(X389)+N(Y389))</f>
        <v/>
      </c>
      <c r="AB389" s="70">
        <f>IF($A389="","",N(S389)*'Paramètres'!$AA$9*IFERROR(INDEX('Paramètres'!$O$5:$O$7,MATCH(G389,'Paramètres'!$N$5:$N$7,0)),0))</f>
        <v/>
      </c>
      <c r="AC389" s="7" t="inlineStr">
        <is>
          <t>Clôturé</t>
        </is>
      </c>
      <c r="AD389" s="69">
        <f>IF(OR($A389="",Q389=""),"",(Q389-B389)*24)</f>
        <v/>
      </c>
      <c r="AE389" s="69">
        <f>IF(OR(Q389="",R389=""),"",(R389-Q389)*24)</f>
        <v/>
      </c>
      <c r="AF389" s="77">
        <f>IF(OR($A389="",B389=""),"",YEAR(B389))</f>
        <v/>
      </c>
      <c r="AG389" s="77">
        <f>IF(OR($A389="",B389=""),"",MONTH(B389))</f>
        <v/>
      </c>
    </row>
    <row r="390">
      <c r="A390" s="7" t="inlineStr">
        <is>
          <t>OT-2025-0386</t>
        </is>
      </c>
      <c r="B390" s="75" t="n">
        <v>45827.57222222222</v>
      </c>
      <c r="C390" s="7" t="inlineStr">
        <is>
          <t>Opérateur soudure</t>
        </is>
      </c>
      <c r="D390" s="7" t="inlineStr">
        <is>
          <t>EQ-SOU-001</t>
        </is>
      </c>
      <c r="E390" s="9">
        <f>IF(D390="","",IFERROR(INDEX('Équipements'!$B$5:$B$304,MATCH(D390,'Équipements'!$A$5:$A$304,0)),"Code inconnu"))</f>
        <v/>
      </c>
      <c r="F390" s="9">
        <f>IF(D390="","",IFERROR(INDEX('Équipements'!$D$5:$D$304,MATCH(D390,'Équipements'!$A$5:$A$304,0)),""))</f>
        <v/>
      </c>
      <c r="G390" s="9">
        <f>IF(D390="","",IFERROR(INDEX('Équipements'!$K$5:$K$304,MATCH(D390,'Équipements'!$A$5:$A$304,0)),""))</f>
        <v/>
      </c>
      <c r="H390" s="7" t="inlineStr">
        <is>
          <t>Correctif</t>
        </is>
      </c>
      <c r="I390" s="7" t="n"/>
      <c r="J390" s="7" t="inlineStr">
        <is>
          <t>Automatisme</t>
        </is>
      </c>
      <c r="K390" s="7" t="inlineStr">
        <is>
          <t>P2 - Haute</t>
        </is>
      </c>
      <c r="L390" s="7" t="inlineStr">
        <is>
          <t>Défaut préhenseur / capteur de présence pièce</t>
        </is>
      </c>
      <c r="M390" s="7" t="inlineStr">
        <is>
          <t>Défaut capteur</t>
        </is>
      </c>
      <c r="N390" s="7" t="inlineStr">
        <is>
          <t>Remplacement détecteur, réglage préhenseur</t>
        </is>
      </c>
      <c r="O390" s="7" t="inlineStr">
        <is>
          <t>Sophie Garnier</t>
        </is>
      </c>
      <c r="P390" s="65" t="n"/>
      <c r="Q390" s="75" t="n">
        <v>45827.67916666667</v>
      </c>
      <c r="R390" s="75" t="n">
        <v>45828.08541666667</v>
      </c>
      <c r="S390" s="76" t="n">
        <v>12.3</v>
      </c>
      <c r="T390" s="76" t="n">
        <v>9.75</v>
      </c>
      <c r="U390" s="70">
        <f>IF($A390="","",IFERROR(INDEX('Techniciens'!$F$5:$F$44,MATCH(O390,'Techniciens'!$B$5:$B$44,0)),'Paramètres'!$AA$10))</f>
        <v/>
      </c>
      <c r="V390" s="70">
        <f>IF($A390="","",IF(OR(AC390="Demandé",AC390="Planifié",AC390="Annulé"),0,N(T390)*N(U390)))</f>
        <v/>
      </c>
      <c r="W390" s="70">
        <f>IF($A390="","",SUMIFS('Mouvements stock'!$H$5:$H$3004,'Mouvements stock'!$I$5:$I$3004,$A390,'Mouvements stock'!$C$5:$C$3004,"Sortie")-SUMIFS('Mouvements stock'!$H$5:$H$3004,'Mouvements stock'!$I$5:$I$3004,$A390,'Mouvements stock'!$C$5:$C$3004,"Retour"))</f>
        <v/>
      </c>
      <c r="X390" s="66" t="n">
        <v>0</v>
      </c>
      <c r="Y390" s="66" t="n">
        <v>0</v>
      </c>
      <c r="Z390" s="7" t="n"/>
      <c r="AA390" s="70">
        <f>IF($A390="","",N(V390)+N(W390)+N(X390)+N(Y390))</f>
        <v/>
      </c>
      <c r="AB390" s="70">
        <f>IF($A390="","",N(S390)*'Paramètres'!$AA$9*IFERROR(INDEX('Paramètres'!$O$5:$O$7,MATCH(G390,'Paramètres'!$N$5:$N$7,0)),0))</f>
        <v/>
      </c>
      <c r="AC390" s="7" t="inlineStr">
        <is>
          <t>Clôturé</t>
        </is>
      </c>
      <c r="AD390" s="69">
        <f>IF(OR($A390="",Q390=""),"",(Q390-B390)*24)</f>
        <v/>
      </c>
      <c r="AE390" s="69">
        <f>IF(OR(Q390="",R390=""),"",(R390-Q390)*24)</f>
        <v/>
      </c>
      <c r="AF390" s="77">
        <f>IF(OR($A390="",B390=""),"",YEAR(B390))</f>
        <v/>
      </c>
      <c r="AG390" s="77">
        <f>IF(OR($A390="",B390=""),"",MONTH(B390))</f>
        <v/>
      </c>
    </row>
    <row r="391">
      <c r="A391" s="7" t="inlineStr">
        <is>
          <t>OT-2025-0387</t>
        </is>
      </c>
      <c r="B391" s="75" t="n">
        <v>45828.33333333334</v>
      </c>
      <c r="C391" s="7" t="inlineStr">
        <is>
          <t>Plan préventif</t>
        </is>
      </c>
      <c r="D391" s="7" t="inlineStr">
        <is>
          <t>EQ-PEI-004</t>
        </is>
      </c>
      <c r="E391" s="9">
        <f>IF(D391="","",IFERROR(INDEX('Équipements'!$B$5:$B$304,MATCH(D391,'Équipements'!$A$5:$A$304,0)),"Code inconnu"))</f>
        <v/>
      </c>
      <c r="F391" s="9">
        <f>IF(D391="","",IFERROR(INDEX('Équipements'!$D$5:$D$304,MATCH(D391,'Équipements'!$A$5:$A$304,0)),""))</f>
        <v/>
      </c>
      <c r="G391" s="9">
        <f>IF(D391="","",IFERROR(INDEX('Équipements'!$K$5:$K$304,MATCH(D391,'Équipements'!$A$5:$A$304,0)),""))</f>
        <v/>
      </c>
      <c r="H391" s="7" t="inlineStr">
        <is>
          <t>Préventif systématique</t>
        </is>
      </c>
      <c r="I391" s="7" t="inlineStr">
        <is>
          <t>GP-073</t>
        </is>
      </c>
      <c r="J391" s="7" t="inlineStr">
        <is>
          <t>Mécanique</t>
        </is>
      </c>
      <c r="K391" s="7" t="inlineStr">
        <is>
          <t>P3 - Normale</t>
        </is>
      </c>
      <c r="L391" s="7" t="inlineStr">
        <is>
          <t>Contrôle motoréducteurs et usure</t>
        </is>
      </c>
      <c r="M391" s="7" t="n"/>
      <c r="N391" s="7" t="inlineStr">
        <is>
          <t>Gamme réalisée - RAS</t>
        </is>
      </c>
      <c r="O391" s="7" t="inlineStr">
        <is>
          <t>Antoine Mercier</t>
        </is>
      </c>
      <c r="P391" s="65" t="n">
        <v>45835</v>
      </c>
      <c r="Q391" s="75" t="n">
        <v>45835.61805555555</v>
      </c>
      <c r="R391" s="75" t="n">
        <v>45835.82638888889</v>
      </c>
      <c r="S391" s="76" t="n">
        <v>2.5</v>
      </c>
      <c r="T391" s="76" t="n">
        <v>5</v>
      </c>
      <c r="U391" s="70">
        <f>IF($A391="","",IFERROR(INDEX('Techniciens'!$F$5:$F$44,MATCH(O391,'Techniciens'!$B$5:$B$44,0)),'Paramètres'!$AA$10))</f>
        <v/>
      </c>
      <c r="V391" s="70">
        <f>IF($A391="","",IF(OR(AC391="Demandé",AC391="Planifié",AC391="Annulé"),0,N(T391)*N(U391)))</f>
        <v/>
      </c>
      <c r="W391" s="70">
        <f>IF($A391="","",SUMIFS('Mouvements stock'!$H$5:$H$3004,'Mouvements stock'!$I$5:$I$3004,$A391,'Mouvements stock'!$C$5:$C$3004,"Sortie")-SUMIFS('Mouvements stock'!$H$5:$H$3004,'Mouvements stock'!$I$5:$I$3004,$A391,'Mouvements stock'!$C$5:$C$3004,"Retour"))</f>
        <v/>
      </c>
      <c r="X391" s="66" t="n">
        <v>0</v>
      </c>
      <c r="Y391" s="66" t="n">
        <v>0</v>
      </c>
      <c r="Z391" s="7" t="n"/>
      <c r="AA391" s="70">
        <f>IF($A391="","",N(V391)+N(W391)+N(X391)+N(Y391))</f>
        <v/>
      </c>
      <c r="AB391" s="70">
        <f>IF($A391="","",N(S391)*'Paramètres'!$AA$9*IFERROR(INDEX('Paramètres'!$O$5:$O$7,MATCH(G391,'Paramètres'!$N$5:$N$7,0)),0))</f>
        <v/>
      </c>
      <c r="AC391" s="7" t="inlineStr">
        <is>
          <t>Clôturé</t>
        </is>
      </c>
      <c r="AD391" s="69">
        <f>IF(OR($A391="",Q391=""),"",(Q391-B391)*24)</f>
        <v/>
      </c>
      <c r="AE391" s="69">
        <f>IF(OR(Q391="",R391=""),"",(R391-Q391)*24)</f>
        <v/>
      </c>
      <c r="AF391" s="77">
        <f>IF(OR($A391="",B391=""),"",YEAR(B391))</f>
        <v/>
      </c>
      <c r="AG391" s="77">
        <f>IF(OR($A391="",B391=""),"",MONTH(B391))</f>
        <v/>
      </c>
    </row>
    <row r="392">
      <c r="A392" s="7" t="inlineStr">
        <is>
          <t>OT-2025-0388</t>
        </is>
      </c>
      <c r="B392" s="75" t="n">
        <v>45828.68194444444</v>
      </c>
      <c r="C392" s="7" t="inlineStr">
        <is>
          <t>Éric Laurent (chef d'atelier)</t>
        </is>
      </c>
      <c r="D392" s="7" t="inlineStr">
        <is>
          <t>EQ-USI-006</t>
        </is>
      </c>
      <c r="E392" s="9">
        <f>IF(D392="","",IFERROR(INDEX('Équipements'!$B$5:$B$304,MATCH(D392,'Équipements'!$A$5:$A$304,0)),"Code inconnu"))</f>
        <v/>
      </c>
      <c r="F392" s="9">
        <f>IF(D392="","",IFERROR(INDEX('Équipements'!$D$5:$D$304,MATCH(D392,'Équipements'!$A$5:$A$304,0)),""))</f>
        <v/>
      </c>
      <c r="G392" s="9">
        <f>IF(D392="","",IFERROR(INDEX('Équipements'!$K$5:$K$304,MATCH(D392,'Équipements'!$A$5:$A$304,0)),""))</f>
        <v/>
      </c>
      <c r="H392" s="7" t="inlineStr">
        <is>
          <t>Correctif</t>
        </is>
      </c>
      <c r="I392" s="7" t="n"/>
      <c r="J392" s="7" t="inlineStr">
        <is>
          <t>Mécanique</t>
        </is>
      </c>
      <c r="K392" s="7" t="inlineStr">
        <is>
          <t>P2 - Haute</t>
        </is>
      </c>
      <c r="L392" s="7" t="inlineStr">
        <is>
          <t>Bourrage convoyeur à copeaux</t>
        </is>
      </c>
      <c r="M392" s="7" t="inlineStr">
        <is>
          <t>Encrassement</t>
        </is>
      </c>
      <c r="N392" s="7" t="inlineStr">
        <is>
          <t>Dégagement et nettoyage convoyeur, retension chaîne</t>
        </is>
      </c>
      <c r="O392" s="7" t="inlineStr">
        <is>
          <t>Lucas Fontaine</t>
        </is>
      </c>
      <c r="P392" s="65" t="n"/>
      <c r="Q392" s="75" t="n">
        <v>45828.87083333333</v>
      </c>
      <c r="R392" s="75" t="n">
        <v>45829.01666666667</v>
      </c>
      <c r="S392" s="76" t="n">
        <v>8</v>
      </c>
      <c r="T392" s="76" t="n">
        <v>3.5</v>
      </c>
      <c r="U392" s="70">
        <f>IF($A392="","",IFERROR(INDEX('Techniciens'!$F$5:$F$44,MATCH(O392,'Techniciens'!$B$5:$B$44,0)),'Paramètres'!$AA$10))</f>
        <v/>
      </c>
      <c r="V392" s="70">
        <f>IF($A392="","",IF(OR(AC392="Demandé",AC392="Planifié",AC392="Annulé"),0,N(T392)*N(U392)))</f>
        <v/>
      </c>
      <c r="W392" s="70">
        <f>IF($A392="","",SUMIFS('Mouvements stock'!$H$5:$H$3004,'Mouvements stock'!$I$5:$I$3004,$A392,'Mouvements stock'!$C$5:$C$3004,"Sortie")-SUMIFS('Mouvements stock'!$H$5:$H$3004,'Mouvements stock'!$I$5:$I$3004,$A392,'Mouvements stock'!$C$5:$C$3004,"Retour"))</f>
        <v/>
      </c>
      <c r="X392" s="66" t="n">
        <v>97</v>
      </c>
      <c r="Y392" s="66" t="n">
        <v>0</v>
      </c>
      <c r="Z392" s="7" t="n"/>
      <c r="AA392" s="70">
        <f>IF($A392="","",N(V392)+N(W392)+N(X392)+N(Y392))</f>
        <v/>
      </c>
      <c r="AB392" s="70">
        <f>IF($A392="","",N(S392)*'Paramètres'!$AA$9*IFERROR(INDEX('Paramètres'!$O$5:$O$7,MATCH(G392,'Paramètres'!$N$5:$N$7,0)),0))</f>
        <v/>
      </c>
      <c r="AC392" s="7" t="inlineStr">
        <is>
          <t>Clôturé</t>
        </is>
      </c>
      <c r="AD392" s="69">
        <f>IF(OR($A392="",Q392=""),"",(Q392-B392)*24)</f>
        <v/>
      </c>
      <c r="AE392" s="69">
        <f>IF(OR(Q392="",R392=""),"",(R392-Q392)*24)</f>
        <v/>
      </c>
      <c r="AF392" s="77">
        <f>IF(OR($A392="",B392=""),"",YEAR(B392))</f>
        <v/>
      </c>
      <c r="AG392" s="77">
        <f>IF(OR($A392="",B392=""),"",MONTH(B392))</f>
        <v/>
      </c>
    </row>
    <row r="393">
      <c r="A393" s="7" t="inlineStr">
        <is>
          <t>OT-2025-0389</t>
        </is>
      </c>
      <c r="B393" s="75" t="n">
        <v>45831.38888888889</v>
      </c>
      <c r="C393" s="7" t="inlineStr">
        <is>
          <t>Plan préventif</t>
        </is>
      </c>
      <c r="D393" s="7" t="inlineStr">
        <is>
          <t>EQ-PEI-005</t>
        </is>
      </c>
      <c r="E393" s="9">
        <f>IF(D393="","",IFERROR(INDEX('Équipements'!$B$5:$B$304,MATCH(D393,'Équipements'!$A$5:$A$304,0)),"Code inconnu"))</f>
        <v/>
      </c>
      <c r="F393" s="9">
        <f>IF(D393="","",IFERROR(INDEX('Équipements'!$D$5:$D$304,MATCH(D393,'Équipements'!$A$5:$A$304,0)),""))</f>
        <v/>
      </c>
      <c r="G393" s="9">
        <f>IF(D393="","",IFERROR(INDEX('Équipements'!$K$5:$K$304,MATCH(D393,'Équipements'!$A$5:$A$304,0)),""))</f>
        <v/>
      </c>
      <c r="H393" s="7" t="inlineStr">
        <is>
          <t>Préventif systématique</t>
        </is>
      </c>
      <c r="I393" s="7" t="inlineStr">
        <is>
          <t>GP-074</t>
        </is>
      </c>
      <c r="J393" s="7" t="inlineStr">
        <is>
          <t>Mécanique</t>
        </is>
      </c>
      <c r="K393" s="7" t="inlineStr">
        <is>
          <t>P3 - Normale</t>
        </is>
      </c>
      <c r="L393" s="7" t="inlineStr">
        <is>
          <t>Nettoyage et remplacement des filtres</t>
        </is>
      </c>
      <c r="M393" s="7" t="n"/>
      <c r="N393" s="7" t="inlineStr">
        <is>
          <t>Gamme réalisée - RAS</t>
        </is>
      </c>
      <c r="O393" s="7" t="inlineStr">
        <is>
          <t>Lucas Fontaine</t>
        </is>
      </c>
      <c r="P393" s="65" t="n">
        <v>45838.42013888889</v>
      </c>
      <c r="Q393" s="75" t="n">
        <v>45838.30555555555</v>
      </c>
      <c r="R393" s="75" t="n">
        <v>45838.42013888889</v>
      </c>
      <c r="S393" s="76" t="n">
        <v>0</v>
      </c>
      <c r="T393" s="76" t="n">
        <v>2.75</v>
      </c>
      <c r="U393" s="70">
        <f>IF($A393="","",IFERROR(INDEX('Techniciens'!$F$5:$F$44,MATCH(O393,'Techniciens'!$B$5:$B$44,0)),'Paramètres'!$AA$10))</f>
        <v/>
      </c>
      <c r="V393" s="70">
        <f>IF($A393="","",IF(OR(AC393="Demandé",AC393="Planifié",AC393="Annulé"),0,N(T393)*N(U393)))</f>
        <v/>
      </c>
      <c r="W393" s="70">
        <f>IF($A393="","",SUMIFS('Mouvements stock'!$H$5:$H$3004,'Mouvements stock'!$I$5:$I$3004,$A393,'Mouvements stock'!$C$5:$C$3004,"Sortie")-SUMIFS('Mouvements stock'!$H$5:$H$3004,'Mouvements stock'!$I$5:$I$3004,$A393,'Mouvements stock'!$C$5:$C$3004,"Retour"))</f>
        <v/>
      </c>
      <c r="X393" s="66" t="n">
        <v>0</v>
      </c>
      <c r="Y393" s="66" t="n">
        <v>0</v>
      </c>
      <c r="Z393" s="7" t="n"/>
      <c r="AA393" s="70">
        <f>IF($A393="","",N(V393)+N(W393)+N(X393)+N(Y393))</f>
        <v/>
      </c>
      <c r="AB393" s="70">
        <f>IF($A393="","",N(S393)*'Paramètres'!$AA$9*IFERROR(INDEX('Paramètres'!$O$5:$O$7,MATCH(G393,'Paramètres'!$N$5:$N$7,0)),0))</f>
        <v/>
      </c>
      <c r="AC393" s="7" t="inlineStr">
        <is>
          <t>Clôturé</t>
        </is>
      </c>
      <c r="AD393" s="69">
        <f>IF(OR($A393="",Q393=""),"",(Q393-B393)*24)</f>
        <v/>
      </c>
      <c r="AE393" s="69">
        <f>IF(OR(Q393="",R393=""),"",(R393-Q393)*24)</f>
        <v/>
      </c>
      <c r="AF393" s="77">
        <f>IF(OR($A393="",B393=""),"",YEAR(B393))</f>
        <v/>
      </c>
      <c r="AG393" s="77">
        <f>IF(OR($A393="",B393=""),"",MONTH(B393))</f>
        <v/>
      </c>
    </row>
    <row r="394">
      <c r="A394" s="7" t="inlineStr">
        <is>
          <t>OT-2025-0390</t>
        </is>
      </c>
      <c r="B394" s="75" t="n">
        <v>45831.43055555555</v>
      </c>
      <c r="C394" s="7" t="inlineStr">
        <is>
          <t>Plan préventif</t>
        </is>
      </c>
      <c r="D394" s="7" t="inlineStr">
        <is>
          <t>EQ-LOG-001</t>
        </is>
      </c>
      <c r="E394" s="9">
        <f>IF(D394="","",IFERROR(INDEX('Équipements'!$B$5:$B$304,MATCH(D394,'Équipements'!$A$5:$A$304,0)),"Code inconnu"))</f>
        <v/>
      </c>
      <c r="F394" s="9">
        <f>IF(D394="","",IFERROR(INDEX('Équipements'!$D$5:$D$304,MATCH(D394,'Équipements'!$A$5:$A$304,0)),""))</f>
        <v/>
      </c>
      <c r="G394" s="9">
        <f>IF(D394="","",IFERROR(INDEX('Équipements'!$K$5:$K$304,MATCH(D394,'Équipements'!$A$5:$A$304,0)),""))</f>
        <v/>
      </c>
      <c r="H394" s="7" t="inlineStr">
        <is>
          <t>Préventif systématique</t>
        </is>
      </c>
      <c r="I394" s="7" t="inlineStr">
        <is>
          <t>GP-105</t>
        </is>
      </c>
      <c r="J394" s="7" t="inlineStr">
        <is>
          <t>Multi-technique</t>
        </is>
      </c>
      <c r="K394" s="7" t="inlineStr">
        <is>
          <t>P3 - Normale</t>
        </is>
      </c>
      <c r="L394" s="7" t="inlineStr">
        <is>
          <t>Entretien périodique constructeur</t>
        </is>
      </c>
      <c r="M394" s="7" t="n"/>
      <c r="N394" s="7" t="inlineStr">
        <is>
          <t>Gamme réalisée - RAS</t>
        </is>
      </c>
      <c r="O394" s="7" t="inlineStr">
        <is>
          <t>Antoine Mercier</t>
        </is>
      </c>
      <c r="P394" s="65" t="n">
        <v>45838</v>
      </c>
      <c r="Q394" s="75" t="n">
        <v>45838.56944444445</v>
      </c>
      <c r="R394" s="75" t="n">
        <v>45838.72569444445</v>
      </c>
      <c r="S394" s="76" t="n">
        <v>3.8</v>
      </c>
      <c r="T394" s="76" t="n">
        <v>2</v>
      </c>
      <c r="U394" s="70">
        <f>IF($A394="","",IFERROR(INDEX('Techniciens'!$F$5:$F$44,MATCH(O394,'Techniciens'!$B$5:$B$44,0)),'Paramètres'!$AA$10))</f>
        <v/>
      </c>
      <c r="V394" s="70">
        <f>IF($A394="","",IF(OR(AC394="Demandé",AC394="Planifié",AC394="Annulé"),0,N(T394)*N(U394)))</f>
        <v/>
      </c>
      <c r="W394" s="70">
        <f>IF($A394="","",SUMIFS('Mouvements stock'!$H$5:$H$3004,'Mouvements stock'!$I$5:$I$3004,$A394,'Mouvements stock'!$C$5:$C$3004,"Sortie")-SUMIFS('Mouvements stock'!$H$5:$H$3004,'Mouvements stock'!$I$5:$I$3004,$A394,'Mouvements stock'!$C$5:$C$3004,"Retour"))</f>
        <v/>
      </c>
      <c r="X394" s="66" t="n">
        <v>0</v>
      </c>
      <c r="Y394" s="66" t="n">
        <v>420</v>
      </c>
      <c r="Z394" s="7" t="inlineStr">
        <is>
          <t>Manutention Services 44</t>
        </is>
      </c>
      <c r="AA394" s="70">
        <f>IF($A394="","",N(V394)+N(W394)+N(X394)+N(Y394))</f>
        <v/>
      </c>
      <c r="AB394" s="70">
        <f>IF($A394="","",N(S394)*'Paramètres'!$AA$9*IFERROR(INDEX('Paramètres'!$O$5:$O$7,MATCH(G394,'Paramètres'!$N$5:$N$7,0)),0))</f>
        <v/>
      </c>
      <c r="AC394" s="7" t="inlineStr">
        <is>
          <t>Clôturé</t>
        </is>
      </c>
      <c r="AD394" s="69">
        <f>IF(OR($A394="",Q394=""),"",(Q394-B394)*24)</f>
        <v/>
      </c>
      <c r="AE394" s="69">
        <f>IF(OR(Q394="",R394=""),"",(R394-Q394)*24)</f>
        <v/>
      </c>
      <c r="AF394" s="77">
        <f>IF(OR($A394="",B394=""),"",YEAR(B394))</f>
        <v/>
      </c>
      <c r="AG394" s="77">
        <f>IF(OR($A394="",B394=""),"",MONTH(B394))</f>
        <v/>
      </c>
    </row>
    <row r="395">
      <c r="A395" s="7" t="inlineStr">
        <is>
          <t>OT-2025-0391</t>
        </is>
      </c>
      <c r="B395" s="75" t="n">
        <v>45831.4375</v>
      </c>
      <c r="C395" s="7" t="inlineStr">
        <is>
          <t>Plan préventif</t>
        </is>
      </c>
      <c r="D395" s="7" t="inlineStr">
        <is>
          <t>EQ-USI-006</t>
        </is>
      </c>
      <c r="E395" s="9">
        <f>IF(D395="","",IFERROR(INDEX('Équipements'!$B$5:$B$304,MATCH(D395,'Équipements'!$A$5:$A$304,0)),"Code inconnu"))</f>
        <v/>
      </c>
      <c r="F395" s="9">
        <f>IF(D395="","",IFERROR(INDEX('Équipements'!$D$5:$D$304,MATCH(D395,'Équipements'!$A$5:$A$304,0)),""))</f>
        <v/>
      </c>
      <c r="G395" s="9">
        <f>IF(D395="","",IFERROR(INDEX('Équipements'!$K$5:$K$304,MATCH(D395,'Équipements'!$A$5:$A$304,0)),""))</f>
        <v/>
      </c>
      <c r="H395" s="7" t="inlineStr">
        <is>
          <t>Préventif systématique</t>
        </is>
      </c>
      <c r="I395" s="7" t="inlineStr">
        <is>
          <t>GP-021</t>
        </is>
      </c>
      <c r="J395" s="7" t="inlineStr">
        <is>
          <t>Mécanique</t>
        </is>
      </c>
      <c r="K395" s="7" t="inlineStr">
        <is>
          <t>P3 - Normale</t>
        </is>
      </c>
      <c r="L395" s="7" t="inlineStr">
        <is>
          <t>Contrôle niveaux, nettoyage filtres et bac à copeaux</t>
        </is>
      </c>
      <c r="M395" s="7" t="n"/>
      <c r="N395" s="7" t="inlineStr">
        <is>
          <t>Gamme réalisée - RAS</t>
        </is>
      </c>
      <c r="O395" s="7" t="inlineStr">
        <is>
          <t>Lucas Fontaine</t>
        </is>
      </c>
      <c r="P395" s="65" t="n">
        <v>45838.55208333334</v>
      </c>
      <c r="Q395" s="75" t="n">
        <v>45838.55555555555</v>
      </c>
      <c r="R395" s="75" t="n">
        <v>45838.62847222222</v>
      </c>
      <c r="S395" s="76" t="n">
        <v>0.9</v>
      </c>
      <c r="T395" s="76" t="n">
        <v>1.75</v>
      </c>
      <c r="U395" s="70">
        <f>IF($A395="","",IFERROR(INDEX('Techniciens'!$F$5:$F$44,MATCH(O395,'Techniciens'!$B$5:$B$44,0)),'Paramètres'!$AA$10))</f>
        <v/>
      </c>
      <c r="V395" s="70">
        <f>IF($A395="","",IF(OR(AC395="Demandé",AC395="Planifié",AC395="Annulé"),0,N(T395)*N(U395)))</f>
        <v/>
      </c>
      <c r="W395" s="70">
        <f>IF($A395="","",SUMIFS('Mouvements stock'!$H$5:$H$3004,'Mouvements stock'!$I$5:$I$3004,$A395,'Mouvements stock'!$C$5:$C$3004,"Sortie")-SUMIFS('Mouvements stock'!$H$5:$H$3004,'Mouvements stock'!$I$5:$I$3004,$A395,'Mouvements stock'!$C$5:$C$3004,"Retour"))</f>
        <v/>
      </c>
      <c r="X395" s="66" t="n">
        <v>0</v>
      </c>
      <c r="Y395" s="66" t="n">
        <v>0</v>
      </c>
      <c r="Z395" s="7" t="n"/>
      <c r="AA395" s="70">
        <f>IF($A395="","",N(V395)+N(W395)+N(X395)+N(Y395))</f>
        <v/>
      </c>
      <c r="AB395" s="70">
        <f>IF($A395="","",N(S395)*'Paramètres'!$AA$9*IFERROR(INDEX('Paramètres'!$O$5:$O$7,MATCH(G395,'Paramètres'!$N$5:$N$7,0)),0))</f>
        <v/>
      </c>
      <c r="AC395" s="7" t="inlineStr">
        <is>
          <t>Clôturé</t>
        </is>
      </c>
      <c r="AD395" s="69">
        <f>IF(OR($A395="",Q395=""),"",(Q395-B395)*24)</f>
        <v/>
      </c>
      <c r="AE395" s="69">
        <f>IF(OR(Q395="",R395=""),"",(R395-Q395)*24)</f>
        <v/>
      </c>
      <c r="AF395" s="77">
        <f>IF(OR($A395="",B395=""),"",YEAR(B395))</f>
        <v/>
      </c>
      <c r="AG395" s="77">
        <f>IF(OR($A395="",B395=""),"",MONTH(B395))</f>
        <v/>
      </c>
    </row>
    <row r="396">
      <c r="A396" s="7" t="inlineStr">
        <is>
          <t>OT-2025-0392</t>
        </is>
      </c>
      <c r="B396" s="75" t="n">
        <v>45831.45833333334</v>
      </c>
      <c r="C396" s="7" t="inlineStr">
        <is>
          <t>Plan préventif</t>
        </is>
      </c>
      <c r="D396" s="7" t="inlineStr">
        <is>
          <t>EQ-ASS-006</t>
        </is>
      </c>
      <c r="E396" s="9">
        <f>IF(D396="","",IFERROR(INDEX('Équipements'!$B$5:$B$304,MATCH(D396,'Équipements'!$A$5:$A$304,0)),"Code inconnu"))</f>
        <v/>
      </c>
      <c r="F396" s="9">
        <f>IF(D396="","",IFERROR(INDEX('Équipements'!$D$5:$D$304,MATCH(D396,'Équipements'!$A$5:$A$304,0)),""))</f>
        <v/>
      </c>
      <c r="G396" s="9">
        <f>IF(D396="","",IFERROR(INDEX('Équipements'!$K$5:$K$304,MATCH(D396,'Équipements'!$A$5:$A$304,0)),""))</f>
        <v/>
      </c>
      <c r="H396" s="7" t="inlineStr">
        <is>
          <t>Préventif systématique</t>
        </is>
      </c>
      <c r="I396" s="7" t="inlineStr">
        <is>
          <t>GP-086</t>
        </is>
      </c>
      <c r="J396" s="7" t="inlineStr">
        <is>
          <t>Mécanique</t>
        </is>
      </c>
      <c r="K396" s="7" t="inlineStr">
        <is>
          <t>P3 - Normale</t>
        </is>
      </c>
      <c r="L396" s="7" t="inlineStr">
        <is>
          <t>Contrôle motoréducteurs et usure</t>
        </is>
      </c>
      <c r="M396" s="7" t="n"/>
      <c r="N396" s="7" t="inlineStr">
        <is>
          <t>Gamme réalisée - RAS</t>
        </is>
      </c>
      <c r="O396" s="7" t="inlineStr">
        <is>
          <t>Karim Benali</t>
        </is>
      </c>
      <c r="P396" s="65" t="n">
        <v>45838.77083333334</v>
      </c>
      <c r="Q396" s="75" t="n">
        <v>45838.34375</v>
      </c>
      <c r="R396" s="75" t="n">
        <v>45838.5625</v>
      </c>
      <c r="S396" s="76" t="n">
        <v>5.2</v>
      </c>
      <c r="T396" s="76" t="n">
        <v>5.25</v>
      </c>
      <c r="U396" s="70">
        <f>IF($A396="","",IFERROR(INDEX('Techniciens'!$F$5:$F$44,MATCH(O396,'Techniciens'!$B$5:$B$44,0)),'Paramètres'!$AA$10))</f>
        <v/>
      </c>
      <c r="V396" s="70">
        <f>IF($A396="","",IF(OR(AC396="Demandé",AC396="Planifié",AC396="Annulé"),0,N(T396)*N(U396)))</f>
        <v/>
      </c>
      <c r="W396" s="70">
        <f>IF($A396="","",SUMIFS('Mouvements stock'!$H$5:$H$3004,'Mouvements stock'!$I$5:$I$3004,$A396,'Mouvements stock'!$C$5:$C$3004,"Sortie")-SUMIFS('Mouvements stock'!$H$5:$H$3004,'Mouvements stock'!$I$5:$I$3004,$A396,'Mouvements stock'!$C$5:$C$3004,"Retour"))</f>
        <v/>
      </c>
      <c r="X396" s="66" t="n">
        <v>0</v>
      </c>
      <c r="Y396" s="66" t="n">
        <v>0</v>
      </c>
      <c r="Z396" s="7" t="n"/>
      <c r="AA396" s="70">
        <f>IF($A396="","",N(V396)+N(W396)+N(X396)+N(Y396))</f>
        <v/>
      </c>
      <c r="AB396" s="70">
        <f>IF($A396="","",N(S396)*'Paramètres'!$AA$9*IFERROR(INDEX('Paramètres'!$O$5:$O$7,MATCH(G396,'Paramètres'!$N$5:$N$7,0)),0))</f>
        <v/>
      </c>
      <c r="AC396" s="7" t="inlineStr">
        <is>
          <t>Clôturé</t>
        </is>
      </c>
      <c r="AD396" s="69">
        <f>IF(OR($A396="",Q396=""),"",(Q396-B396)*24)</f>
        <v/>
      </c>
      <c r="AE396" s="69">
        <f>IF(OR(Q396="",R396=""),"",(R396-Q396)*24)</f>
        <v/>
      </c>
      <c r="AF396" s="77">
        <f>IF(OR($A396="",B396=""),"",YEAR(B396))</f>
        <v/>
      </c>
      <c r="AG396" s="77">
        <f>IF(OR($A396="",B396=""),"",MONTH(B396))</f>
        <v/>
      </c>
    </row>
    <row r="397">
      <c r="A397" s="7" t="inlineStr">
        <is>
          <t>OT-2025-0393</t>
        </is>
      </c>
      <c r="B397" s="75" t="n">
        <v>45831.47222222222</v>
      </c>
      <c r="C397" s="7" t="inlineStr">
        <is>
          <t>Plan préventif</t>
        </is>
      </c>
      <c r="D397" s="7" t="inlineStr">
        <is>
          <t>EQ-UTI-009</t>
        </is>
      </c>
      <c r="E397" s="9">
        <f>IF(D397="","",IFERROR(INDEX('Équipements'!$B$5:$B$304,MATCH(D397,'Équipements'!$A$5:$A$304,0)),"Code inconnu"))</f>
        <v/>
      </c>
      <c r="F397" s="9">
        <f>IF(D397="","",IFERROR(INDEX('Équipements'!$D$5:$D$304,MATCH(D397,'Équipements'!$A$5:$A$304,0)),""))</f>
        <v/>
      </c>
      <c r="G397" s="9">
        <f>IF(D397="","",IFERROR(INDEX('Équipements'!$K$5:$K$304,MATCH(D397,'Équipements'!$A$5:$A$304,0)),""))</f>
        <v/>
      </c>
      <c r="H397" s="7" t="inlineStr">
        <is>
          <t>Préventif systématique</t>
        </is>
      </c>
      <c r="I397" s="7" t="inlineStr">
        <is>
          <t>GP-101</t>
        </is>
      </c>
      <c r="J397" s="7" t="inlineStr">
        <is>
          <t>Électrique</t>
        </is>
      </c>
      <c r="K397" s="7" t="inlineStr">
        <is>
          <t>P3 - Normale</t>
        </is>
      </c>
      <c r="L397" s="7" t="inlineStr">
        <is>
          <t>Étalonnage des sondes pH / redox</t>
        </is>
      </c>
      <c r="M397" s="7" t="n"/>
      <c r="N397" s="7" t="inlineStr">
        <is>
          <t>Gamme réalisée - RAS</t>
        </is>
      </c>
      <c r="O397" s="7" t="inlineStr">
        <is>
          <t>Thomas Petit</t>
        </is>
      </c>
      <c r="P397" s="65" t="n">
        <v>45838.68402777778</v>
      </c>
      <c r="Q397" s="75" t="n">
        <v>45838.25</v>
      </c>
      <c r="R397" s="75" t="n">
        <v>45838.3125</v>
      </c>
      <c r="S397" s="76" t="n">
        <v>0</v>
      </c>
      <c r="T397" s="76" t="n">
        <v>1.5</v>
      </c>
      <c r="U397" s="70">
        <f>IF($A397="","",IFERROR(INDEX('Techniciens'!$F$5:$F$44,MATCH(O397,'Techniciens'!$B$5:$B$44,0)),'Paramètres'!$AA$10))</f>
        <v/>
      </c>
      <c r="V397" s="70">
        <f>IF($A397="","",IF(OR(AC397="Demandé",AC397="Planifié",AC397="Annulé"),0,N(T397)*N(U397)))</f>
        <v/>
      </c>
      <c r="W397" s="70">
        <f>IF($A397="","",SUMIFS('Mouvements stock'!$H$5:$H$3004,'Mouvements stock'!$I$5:$I$3004,$A397,'Mouvements stock'!$C$5:$C$3004,"Sortie")-SUMIFS('Mouvements stock'!$H$5:$H$3004,'Mouvements stock'!$I$5:$I$3004,$A397,'Mouvements stock'!$C$5:$C$3004,"Retour"))</f>
        <v/>
      </c>
      <c r="X397" s="66" t="n">
        <v>0</v>
      </c>
      <c r="Y397" s="66" t="n">
        <v>0</v>
      </c>
      <c r="Z397" s="7" t="n"/>
      <c r="AA397" s="70">
        <f>IF($A397="","",N(V397)+N(W397)+N(X397)+N(Y397))</f>
        <v/>
      </c>
      <c r="AB397" s="70">
        <f>IF($A397="","",N(S397)*'Paramètres'!$AA$9*IFERROR(INDEX('Paramètres'!$O$5:$O$7,MATCH(G397,'Paramètres'!$N$5:$N$7,0)),0))</f>
        <v/>
      </c>
      <c r="AC397" s="7" t="inlineStr">
        <is>
          <t>Clôturé</t>
        </is>
      </c>
      <c r="AD397" s="69">
        <f>IF(OR($A397="",Q397=""),"",(Q397-B397)*24)</f>
        <v/>
      </c>
      <c r="AE397" s="69">
        <f>IF(OR(Q397="",R397=""),"",(R397-Q397)*24)</f>
        <v/>
      </c>
      <c r="AF397" s="77">
        <f>IF(OR($A397="",B397=""),"",YEAR(B397))</f>
        <v/>
      </c>
      <c r="AG397" s="77">
        <f>IF(OR($A397="",B397=""),"",MONTH(B397))</f>
        <v/>
      </c>
    </row>
    <row r="398">
      <c r="A398" s="7" t="inlineStr">
        <is>
          <t>OT-2025-0394</t>
        </is>
      </c>
      <c r="B398" s="75" t="n">
        <v>45831.48611111111</v>
      </c>
      <c r="C398" s="7" t="inlineStr">
        <is>
          <t>Plan préventif</t>
        </is>
      </c>
      <c r="D398" s="7" t="inlineStr">
        <is>
          <t>EQ-ASS-006</t>
        </is>
      </c>
      <c r="E398" s="9">
        <f>IF(D398="","",IFERROR(INDEX('Équipements'!$B$5:$B$304,MATCH(D398,'Équipements'!$A$5:$A$304,0)),"Code inconnu"))</f>
        <v/>
      </c>
      <c r="F398" s="9">
        <f>IF(D398="","",IFERROR(INDEX('Équipements'!$D$5:$D$304,MATCH(D398,'Équipements'!$A$5:$A$304,0)),""))</f>
        <v/>
      </c>
      <c r="G398" s="9">
        <f>IF(D398="","",IFERROR(INDEX('Équipements'!$K$5:$K$304,MATCH(D398,'Équipements'!$A$5:$A$304,0)),""))</f>
        <v/>
      </c>
      <c r="H398" s="7" t="inlineStr">
        <is>
          <t>Préventif systématique</t>
        </is>
      </c>
      <c r="I398" s="7" t="inlineStr">
        <is>
          <t>GP-085</t>
        </is>
      </c>
      <c r="J398" s="7" t="inlineStr">
        <is>
          <t>Mécanique</t>
        </is>
      </c>
      <c r="K398" s="7" t="inlineStr">
        <is>
          <t>P3 - Normale</t>
        </is>
      </c>
      <c r="L398" s="7" t="inlineStr">
        <is>
          <t>Graissage chaîne / galets et contrôle tension</t>
        </is>
      </c>
      <c r="M398" s="7" t="n"/>
      <c r="N398" s="7" t="inlineStr">
        <is>
          <t>Gamme réalisée - RAS</t>
        </is>
      </c>
      <c r="O398" s="7" t="inlineStr">
        <is>
          <t>Lucas Fontaine</t>
        </is>
      </c>
      <c r="P398" s="65" t="n">
        <v>45838.68402777778</v>
      </c>
      <c r="Q398" s="75" t="n">
        <v>45838.59027777778</v>
      </c>
      <c r="R398" s="75" t="n">
        <v>45838.69444444445</v>
      </c>
      <c r="S398" s="76" t="n">
        <v>2.5</v>
      </c>
      <c r="T398" s="76" t="n">
        <v>2.5</v>
      </c>
      <c r="U398" s="70">
        <f>IF($A398="","",IFERROR(INDEX('Techniciens'!$F$5:$F$44,MATCH(O398,'Techniciens'!$B$5:$B$44,0)),'Paramètres'!$AA$10))</f>
        <v/>
      </c>
      <c r="V398" s="70">
        <f>IF($A398="","",IF(OR(AC398="Demandé",AC398="Planifié",AC398="Annulé"),0,N(T398)*N(U398)))</f>
        <v/>
      </c>
      <c r="W398" s="70">
        <f>IF($A398="","",SUMIFS('Mouvements stock'!$H$5:$H$3004,'Mouvements stock'!$I$5:$I$3004,$A398,'Mouvements stock'!$C$5:$C$3004,"Sortie")-SUMIFS('Mouvements stock'!$H$5:$H$3004,'Mouvements stock'!$I$5:$I$3004,$A398,'Mouvements stock'!$C$5:$C$3004,"Retour"))</f>
        <v/>
      </c>
      <c r="X398" s="66" t="n">
        <v>0</v>
      </c>
      <c r="Y398" s="66" t="n">
        <v>0</v>
      </c>
      <c r="Z398" s="7" t="n"/>
      <c r="AA398" s="70">
        <f>IF($A398="","",N(V398)+N(W398)+N(X398)+N(Y398))</f>
        <v/>
      </c>
      <c r="AB398" s="70">
        <f>IF($A398="","",N(S398)*'Paramètres'!$AA$9*IFERROR(INDEX('Paramètres'!$O$5:$O$7,MATCH(G398,'Paramètres'!$N$5:$N$7,0)),0))</f>
        <v/>
      </c>
      <c r="AC398" s="7" t="inlineStr">
        <is>
          <t>Clôturé</t>
        </is>
      </c>
      <c r="AD398" s="69">
        <f>IF(OR($A398="",Q398=""),"",(Q398-B398)*24)</f>
        <v/>
      </c>
      <c r="AE398" s="69">
        <f>IF(OR(Q398="",R398=""),"",(R398-Q398)*24)</f>
        <v/>
      </c>
      <c r="AF398" s="77">
        <f>IF(OR($A398="",B398=""),"",YEAR(B398))</f>
        <v/>
      </c>
      <c r="AG398" s="77">
        <f>IF(OR($A398="",B398=""),"",MONTH(B398))</f>
        <v/>
      </c>
    </row>
    <row r="399">
      <c r="A399" s="7" t="inlineStr">
        <is>
          <t>OT-2025-0395</t>
        </is>
      </c>
      <c r="B399" s="75" t="n">
        <v>45832.27847222222</v>
      </c>
      <c r="C399" s="7" t="inlineStr">
        <is>
          <t>Cariste</t>
        </is>
      </c>
      <c r="D399" s="7" t="inlineStr">
        <is>
          <t>EQ-LOG-002</t>
        </is>
      </c>
      <c r="E399" s="9">
        <f>IF(D399="","",IFERROR(INDEX('Équipements'!$B$5:$B$304,MATCH(D399,'Équipements'!$A$5:$A$304,0)),"Code inconnu"))</f>
        <v/>
      </c>
      <c r="F399" s="9">
        <f>IF(D399="","",IFERROR(INDEX('Équipements'!$D$5:$D$304,MATCH(D399,'Équipements'!$A$5:$A$304,0)),""))</f>
        <v/>
      </c>
      <c r="G399" s="9">
        <f>IF(D399="","",IFERROR(INDEX('Équipements'!$K$5:$K$304,MATCH(D399,'Équipements'!$A$5:$A$304,0)),""))</f>
        <v/>
      </c>
      <c r="H399" s="7" t="inlineStr">
        <is>
          <t>Correctif</t>
        </is>
      </c>
      <c r="I399" s="7" t="n"/>
      <c r="J399" s="7" t="inlineStr">
        <is>
          <t>Électrique</t>
        </is>
      </c>
      <c r="K399" s="7" t="inlineStr">
        <is>
          <t>P3 - Normale</t>
        </is>
      </c>
      <c r="L399" s="7" t="inlineStr">
        <is>
          <t>Défaut batterie / charge</t>
        </is>
      </c>
      <c r="M399" s="7" t="inlineStr">
        <is>
          <t>Usure</t>
        </is>
      </c>
      <c r="N399" s="7" t="inlineStr">
        <is>
          <t>Contrôle chargeur, remplacement batterie</t>
        </is>
      </c>
      <c r="O399" s="7" t="inlineStr">
        <is>
          <t>Thomas Petit</t>
        </is>
      </c>
      <c r="P399" s="65" t="n"/>
      <c r="Q399" s="75" t="n">
        <v>45832.56666666667</v>
      </c>
      <c r="R399" s="75" t="n">
        <v>45834.62728801458</v>
      </c>
      <c r="S399" s="76" t="n">
        <v>1.6</v>
      </c>
      <c r="T399" s="76" t="n">
        <v>5.5</v>
      </c>
      <c r="U399" s="70">
        <f>IF($A399="","",IFERROR(INDEX('Techniciens'!$F$5:$F$44,MATCH(O399,'Techniciens'!$B$5:$B$44,0)),'Paramètres'!$AA$10))</f>
        <v/>
      </c>
      <c r="V399" s="70">
        <f>IF($A399="","",IF(OR(AC399="Demandé",AC399="Planifié",AC399="Annulé"),0,N(T399)*N(U399)))</f>
        <v/>
      </c>
      <c r="W399" s="70">
        <f>IF($A399="","",SUMIFS('Mouvements stock'!$H$5:$H$3004,'Mouvements stock'!$I$5:$I$3004,$A399,'Mouvements stock'!$C$5:$C$3004,"Sortie")-SUMIFS('Mouvements stock'!$H$5:$H$3004,'Mouvements stock'!$I$5:$I$3004,$A399,'Mouvements stock'!$C$5:$C$3004,"Retour"))</f>
        <v/>
      </c>
      <c r="X399" s="66" t="n">
        <v>0</v>
      </c>
      <c r="Y399" s="66" t="n">
        <v>0</v>
      </c>
      <c r="Z399" s="7" t="n"/>
      <c r="AA399" s="70">
        <f>IF($A399="","",N(V399)+N(W399)+N(X399)+N(Y399))</f>
        <v/>
      </c>
      <c r="AB399" s="70">
        <f>IF($A399="","",N(S399)*'Paramètres'!$AA$9*IFERROR(INDEX('Paramètres'!$O$5:$O$7,MATCH(G399,'Paramètres'!$N$5:$N$7,0)),0))</f>
        <v/>
      </c>
      <c r="AC399" s="7" t="inlineStr">
        <is>
          <t>Clôturé</t>
        </is>
      </c>
      <c r="AD399" s="69">
        <f>IF(OR($A399="",Q399=""),"",(Q399-B399)*24)</f>
        <v/>
      </c>
      <c r="AE399" s="69">
        <f>IF(OR(Q399="",R399=""),"",(R399-Q399)*24)</f>
        <v/>
      </c>
      <c r="AF399" s="77">
        <f>IF(OR($A399="",B399=""),"",YEAR(B399))</f>
        <v/>
      </c>
      <c r="AG399" s="77">
        <f>IF(OR($A399="",B399=""),"",MONTH(B399))</f>
        <v/>
      </c>
    </row>
    <row r="400">
      <c r="A400" s="7" t="inlineStr">
        <is>
          <t>OT-2025-0396</t>
        </is>
      </c>
      <c r="B400" s="75" t="n">
        <v>45833.36111111111</v>
      </c>
      <c r="C400" s="7" t="inlineStr">
        <is>
          <t>Planning réglementaire</t>
        </is>
      </c>
      <c r="D400" s="7" t="inlineStr">
        <is>
          <t>EQ-TOL-002</t>
        </is>
      </c>
      <c r="E400" s="9">
        <f>IF(D400="","",IFERROR(INDEX('Équipements'!$B$5:$B$304,MATCH(D400,'Équipements'!$A$5:$A$304,0)),"Code inconnu"))</f>
        <v/>
      </c>
      <c r="F400" s="9">
        <f>IF(D400="","",IFERROR(INDEX('Équipements'!$D$5:$D$304,MATCH(D400,'Équipements'!$A$5:$A$304,0)),""))</f>
        <v/>
      </c>
      <c r="G400" s="9">
        <f>IF(D400="","",IFERROR(INDEX('Équipements'!$K$5:$K$304,MATCH(D400,'Équipements'!$A$5:$A$304,0)),""))</f>
        <v/>
      </c>
      <c r="H400" s="7" t="inlineStr">
        <is>
          <t>Réglementaire</t>
        </is>
      </c>
      <c r="I400" s="7" t="inlineStr">
        <is>
          <t>CR-010</t>
        </is>
      </c>
      <c r="J400" s="7" t="inlineStr">
        <is>
          <t>Multi-technique</t>
        </is>
      </c>
      <c r="K400" s="7" t="inlineStr">
        <is>
          <t>P2 - Haute</t>
        </is>
      </c>
      <c r="L400" s="7" t="inlineStr">
        <is>
          <t>Vérification périodique presse plieuse</t>
        </is>
      </c>
      <c r="M400" s="7" t="n"/>
      <c r="N400" s="7" t="inlineStr">
        <is>
          <t>Contrôle réalisé - rapport reçu</t>
        </is>
      </c>
      <c r="O400" s="7" t="inlineStr">
        <is>
          <t>Marc Lefèvre</t>
        </is>
      </c>
      <c r="P400" s="65" t="n">
        <v>45854</v>
      </c>
      <c r="Q400" s="75" t="n">
        <v>45854.38541666666</v>
      </c>
      <c r="R400" s="75" t="n">
        <v>45854.47916666666</v>
      </c>
      <c r="S400" s="76" t="n">
        <v>1</v>
      </c>
      <c r="T400" s="76" t="n">
        <v>2.25</v>
      </c>
      <c r="U400" s="70">
        <f>IF($A400="","",IFERROR(INDEX('Techniciens'!$F$5:$F$44,MATCH(O400,'Techniciens'!$B$5:$B$44,0)),'Paramètres'!$AA$10))</f>
        <v/>
      </c>
      <c r="V400" s="70">
        <f>IF($A400="","",IF(OR(AC400="Demandé",AC400="Planifié",AC400="Annulé"),0,N(T400)*N(U400)))</f>
        <v/>
      </c>
      <c r="W400" s="70">
        <f>IF($A400="","",SUMIFS('Mouvements stock'!$H$5:$H$3004,'Mouvements stock'!$I$5:$I$3004,$A400,'Mouvements stock'!$C$5:$C$3004,"Sortie")-SUMIFS('Mouvements stock'!$H$5:$H$3004,'Mouvements stock'!$I$5:$I$3004,$A400,'Mouvements stock'!$C$5:$C$3004,"Retour"))</f>
        <v/>
      </c>
      <c r="X400" s="66" t="n">
        <v>0</v>
      </c>
      <c r="Y400" s="66" t="n">
        <v>220</v>
      </c>
      <c r="Z400" s="7" t="inlineStr">
        <is>
          <t>CONTROLIS (organisme fictif)</t>
        </is>
      </c>
      <c r="AA400" s="70">
        <f>IF($A400="","",N(V400)+N(W400)+N(X400)+N(Y400))</f>
        <v/>
      </c>
      <c r="AB400" s="70">
        <f>IF($A400="","",N(S400)*'Paramètres'!$AA$9*IFERROR(INDEX('Paramètres'!$O$5:$O$7,MATCH(G400,'Paramètres'!$N$5:$N$7,0)),0))</f>
        <v/>
      </c>
      <c r="AC400" s="7" t="inlineStr">
        <is>
          <t>Clôturé</t>
        </is>
      </c>
      <c r="AD400" s="69">
        <f>IF(OR($A400="",Q400=""),"",(Q400-B400)*24)</f>
        <v/>
      </c>
      <c r="AE400" s="69">
        <f>IF(OR(Q400="",R400=""),"",(R400-Q400)*24)</f>
        <v/>
      </c>
      <c r="AF400" s="77">
        <f>IF(OR($A400="",B400=""),"",YEAR(B400))</f>
        <v/>
      </c>
      <c r="AG400" s="77">
        <f>IF(OR($A400="",B400=""),"",MONTH(B400))</f>
        <v/>
      </c>
    </row>
    <row r="401">
      <c r="A401" s="7" t="inlineStr">
        <is>
          <t>OT-2025-0397</t>
        </is>
      </c>
      <c r="B401" s="75" t="n">
        <v>45833.44444444445</v>
      </c>
      <c r="C401" s="7" t="inlineStr">
        <is>
          <t>Plan préventif</t>
        </is>
      </c>
      <c r="D401" s="7" t="inlineStr">
        <is>
          <t>EQ-SOU-001</t>
        </is>
      </c>
      <c r="E401" s="9">
        <f>IF(D401="","",IFERROR(INDEX('Équipements'!$B$5:$B$304,MATCH(D401,'Équipements'!$A$5:$A$304,0)),"Code inconnu"))</f>
        <v/>
      </c>
      <c r="F401" s="9">
        <f>IF(D401="","",IFERROR(INDEX('Équipements'!$D$5:$D$304,MATCH(D401,'Équipements'!$A$5:$A$304,0)),""))</f>
        <v/>
      </c>
      <c r="G401" s="9">
        <f>IF(D401="","",IFERROR(INDEX('Équipements'!$K$5:$K$304,MATCH(D401,'Équipements'!$A$5:$A$304,0)),""))</f>
        <v/>
      </c>
      <c r="H401" s="7" t="inlineStr">
        <is>
          <t>Préventif systématique</t>
        </is>
      </c>
      <c r="I401" s="7" t="inlineStr">
        <is>
          <t>GP-059</t>
        </is>
      </c>
      <c r="J401" s="7" t="inlineStr">
        <is>
          <t>Mécanique</t>
        </is>
      </c>
      <c r="K401" s="7" t="inlineStr">
        <is>
          <t>P3 - Normale</t>
        </is>
      </c>
      <c r="L401" s="7" t="inlineStr">
        <is>
          <t>Graissage réducteurs et contrôle câblage</t>
        </is>
      </c>
      <c r="M401" s="7" t="n"/>
      <c r="N401" s="7" t="inlineStr">
        <is>
          <t>Gamme réalisée - RAS</t>
        </is>
      </c>
      <c r="O401" s="7" t="inlineStr">
        <is>
          <t>Karim Benali</t>
        </is>
      </c>
      <c r="P401" s="65" t="n">
        <v>45840</v>
      </c>
      <c r="Q401" s="75" t="n">
        <v>45840.40972222222</v>
      </c>
      <c r="R401" s="75" t="n">
        <v>45840.61805555555</v>
      </c>
      <c r="S401" s="76" t="n">
        <v>0</v>
      </c>
      <c r="T401" s="76" t="n">
        <v>5</v>
      </c>
      <c r="U401" s="70">
        <f>IF($A401="","",IFERROR(INDEX('Techniciens'!$F$5:$F$44,MATCH(O401,'Techniciens'!$B$5:$B$44,0)),'Paramètres'!$AA$10))</f>
        <v/>
      </c>
      <c r="V401" s="70">
        <f>IF($A401="","",IF(OR(AC401="Demandé",AC401="Planifié",AC401="Annulé"),0,N(T401)*N(U401)))</f>
        <v/>
      </c>
      <c r="W401" s="70">
        <f>IF($A401="","",SUMIFS('Mouvements stock'!$H$5:$H$3004,'Mouvements stock'!$I$5:$I$3004,$A401,'Mouvements stock'!$C$5:$C$3004,"Sortie")-SUMIFS('Mouvements stock'!$H$5:$H$3004,'Mouvements stock'!$I$5:$I$3004,$A401,'Mouvements stock'!$C$5:$C$3004,"Retour"))</f>
        <v/>
      </c>
      <c r="X401" s="66" t="n">
        <v>0</v>
      </c>
      <c r="Y401" s="66" t="n">
        <v>0</v>
      </c>
      <c r="Z401" s="7" t="n"/>
      <c r="AA401" s="70">
        <f>IF($A401="","",N(V401)+N(W401)+N(X401)+N(Y401))</f>
        <v/>
      </c>
      <c r="AB401" s="70">
        <f>IF($A401="","",N(S401)*'Paramètres'!$AA$9*IFERROR(INDEX('Paramètres'!$O$5:$O$7,MATCH(G401,'Paramètres'!$N$5:$N$7,0)),0))</f>
        <v/>
      </c>
      <c r="AC401" s="7" t="inlineStr">
        <is>
          <t>Clôturé</t>
        </is>
      </c>
      <c r="AD401" s="69">
        <f>IF(OR($A401="",Q401=""),"",(Q401-B401)*24)</f>
        <v/>
      </c>
      <c r="AE401" s="69">
        <f>IF(OR(Q401="",R401=""),"",(R401-Q401)*24)</f>
        <v/>
      </c>
      <c r="AF401" s="77">
        <f>IF(OR($A401="",B401=""),"",YEAR(B401))</f>
        <v/>
      </c>
      <c r="AG401" s="77">
        <f>IF(OR($A401="",B401=""),"",MONTH(B401))</f>
        <v/>
      </c>
    </row>
    <row r="402">
      <c r="A402" s="7" t="inlineStr">
        <is>
          <t>OT-2025-0398</t>
        </is>
      </c>
      <c r="B402" s="75" t="n">
        <v>45834.38541666666</v>
      </c>
      <c r="C402" s="7" t="inlineStr">
        <is>
          <t>Plan préventif</t>
        </is>
      </c>
      <c r="D402" s="7" t="inlineStr">
        <is>
          <t>EQ-TOL-002</t>
        </is>
      </c>
      <c r="E402" s="9">
        <f>IF(D402="","",IFERROR(INDEX('Équipements'!$B$5:$B$304,MATCH(D402,'Équipements'!$A$5:$A$304,0)),"Code inconnu"))</f>
        <v/>
      </c>
      <c r="F402" s="9">
        <f>IF(D402="","",IFERROR(INDEX('Équipements'!$D$5:$D$304,MATCH(D402,'Équipements'!$A$5:$A$304,0)),""))</f>
        <v/>
      </c>
      <c r="G402" s="9">
        <f>IF(D402="","",IFERROR(INDEX('Équipements'!$K$5:$K$304,MATCH(D402,'Équipements'!$A$5:$A$304,0)),""))</f>
        <v/>
      </c>
      <c r="H402" s="7" t="inlineStr">
        <is>
          <t>Préventif systématique</t>
        </is>
      </c>
      <c r="I402" s="7" t="inlineStr">
        <is>
          <t>GP-041</t>
        </is>
      </c>
      <c r="J402" s="7" t="inlineStr">
        <is>
          <t>Hydraulique</t>
        </is>
      </c>
      <c r="K402" s="7" t="inlineStr">
        <is>
          <t>P3 - Normale</t>
        </is>
      </c>
      <c r="L402" s="7" t="inlineStr">
        <is>
          <t>Contrôle hydraulique : fuites, niveaux, pressions</t>
        </is>
      </c>
      <c r="M402" s="7" t="n"/>
      <c r="N402" s="7" t="inlineStr">
        <is>
          <t>Gamme réalisée - RAS</t>
        </is>
      </c>
      <c r="O402" s="7" t="inlineStr">
        <is>
          <t>Antoine Mercier</t>
        </is>
      </c>
      <c r="P402" s="65" t="n">
        <v>45841.63541666666</v>
      </c>
      <c r="Q402" s="75" t="n">
        <v>45841.61805555555</v>
      </c>
      <c r="R402" s="75" t="n">
        <v>45841.72222222222</v>
      </c>
      <c r="S402" s="76" t="n">
        <v>1.2</v>
      </c>
      <c r="T402" s="76" t="n">
        <v>2.5</v>
      </c>
      <c r="U402" s="70">
        <f>IF($A402="","",IFERROR(INDEX('Techniciens'!$F$5:$F$44,MATCH(O402,'Techniciens'!$B$5:$B$44,0)),'Paramètres'!$AA$10))</f>
        <v/>
      </c>
      <c r="V402" s="70">
        <f>IF($A402="","",IF(OR(AC402="Demandé",AC402="Planifié",AC402="Annulé"),0,N(T402)*N(U402)))</f>
        <v/>
      </c>
      <c r="W402" s="70">
        <f>IF($A402="","",SUMIFS('Mouvements stock'!$H$5:$H$3004,'Mouvements stock'!$I$5:$I$3004,$A402,'Mouvements stock'!$C$5:$C$3004,"Sortie")-SUMIFS('Mouvements stock'!$H$5:$H$3004,'Mouvements stock'!$I$5:$I$3004,$A402,'Mouvements stock'!$C$5:$C$3004,"Retour"))</f>
        <v/>
      </c>
      <c r="X402" s="66" t="n">
        <v>0</v>
      </c>
      <c r="Y402" s="66" t="n">
        <v>0</v>
      </c>
      <c r="Z402" s="7" t="n"/>
      <c r="AA402" s="70">
        <f>IF($A402="","",N(V402)+N(W402)+N(X402)+N(Y402))</f>
        <v/>
      </c>
      <c r="AB402" s="70">
        <f>IF($A402="","",N(S402)*'Paramètres'!$AA$9*IFERROR(INDEX('Paramètres'!$O$5:$O$7,MATCH(G402,'Paramètres'!$N$5:$N$7,0)),0))</f>
        <v/>
      </c>
      <c r="AC402" s="7" t="inlineStr">
        <is>
          <t>Clôturé</t>
        </is>
      </c>
      <c r="AD402" s="69">
        <f>IF(OR($A402="",Q402=""),"",(Q402-B402)*24)</f>
        <v/>
      </c>
      <c r="AE402" s="69">
        <f>IF(OR(Q402="",R402=""),"",(R402-Q402)*24)</f>
        <v/>
      </c>
      <c r="AF402" s="77">
        <f>IF(OR($A402="",B402=""),"",YEAR(B402))</f>
        <v/>
      </c>
      <c r="AG402" s="77">
        <f>IF(OR($A402="",B402=""),"",MONTH(B402))</f>
        <v/>
      </c>
    </row>
    <row r="403">
      <c r="A403" s="7" t="inlineStr">
        <is>
          <t>OT-2025-0399</t>
        </is>
      </c>
      <c r="B403" s="75" t="n">
        <v>45834.49305555555</v>
      </c>
      <c r="C403" s="7" t="inlineStr">
        <is>
          <t>Plan préventif</t>
        </is>
      </c>
      <c r="D403" s="7" t="inlineStr">
        <is>
          <t>EQ-USI-007</t>
        </is>
      </c>
      <c r="E403" s="9">
        <f>IF(D403="","",IFERROR(INDEX('Équipements'!$B$5:$B$304,MATCH(D403,'Équipements'!$A$5:$A$304,0)),"Code inconnu"))</f>
        <v/>
      </c>
      <c r="F403" s="9">
        <f>IF(D403="","",IFERROR(INDEX('Équipements'!$D$5:$D$304,MATCH(D403,'Équipements'!$A$5:$A$304,0)),""))</f>
        <v/>
      </c>
      <c r="G403" s="9">
        <f>IF(D403="","",IFERROR(INDEX('Équipements'!$K$5:$K$304,MATCH(D403,'Équipements'!$A$5:$A$304,0)),""))</f>
        <v/>
      </c>
      <c r="H403" s="7" t="inlineStr">
        <is>
          <t>Préventif systématique</t>
        </is>
      </c>
      <c r="I403" s="7" t="inlineStr">
        <is>
          <t>GP-026</t>
        </is>
      </c>
      <c r="J403" s="7" t="inlineStr">
        <is>
          <t>Mécanique</t>
        </is>
      </c>
      <c r="K403" s="7" t="inlineStr">
        <is>
          <t>P3 - Normale</t>
        </is>
      </c>
      <c r="L403" s="7" t="inlineStr">
        <is>
          <t>Contrôle géométrie, jeux et graissage des axes</t>
        </is>
      </c>
      <c r="M403" s="7" t="n"/>
      <c r="N403" s="7" t="inlineStr">
        <is>
          <t>Gamme réalisée - RAS</t>
        </is>
      </c>
      <c r="O403" s="7" t="inlineStr">
        <is>
          <t>Karim Benali</t>
        </is>
      </c>
      <c r="P403" s="65" t="n">
        <v>45841</v>
      </c>
      <c r="Q403" s="75" t="n">
        <v>45841.53472222222</v>
      </c>
      <c r="R403" s="75" t="n">
        <v>45841.84722222222</v>
      </c>
      <c r="S403" s="76" t="n">
        <v>3.8</v>
      </c>
      <c r="T403" s="76" t="n">
        <v>7.5</v>
      </c>
      <c r="U403" s="70">
        <f>IF($A403="","",IFERROR(INDEX('Techniciens'!$F$5:$F$44,MATCH(O403,'Techniciens'!$B$5:$B$44,0)),'Paramètres'!$AA$10))</f>
        <v/>
      </c>
      <c r="V403" s="70">
        <f>IF($A403="","",IF(OR(AC403="Demandé",AC403="Planifié",AC403="Annulé"),0,N(T403)*N(U403)))</f>
        <v/>
      </c>
      <c r="W403" s="70">
        <f>IF($A403="","",SUMIFS('Mouvements stock'!$H$5:$H$3004,'Mouvements stock'!$I$5:$I$3004,$A403,'Mouvements stock'!$C$5:$C$3004,"Sortie")-SUMIFS('Mouvements stock'!$H$5:$H$3004,'Mouvements stock'!$I$5:$I$3004,$A403,'Mouvements stock'!$C$5:$C$3004,"Retour"))</f>
        <v/>
      </c>
      <c r="X403" s="66" t="n">
        <v>0</v>
      </c>
      <c r="Y403" s="66" t="n">
        <v>0</v>
      </c>
      <c r="Z403" s="7" t="n"/>
      <c r="AA403" s="70">
        <f>IF($A403="","",N(V403)+N(W403)+N(X403)+N(Y403))</f>
        <v/>
      </c>
      <c r="AB403" s="70">
        <f>IF($A403="","",N(S403)*'Paramètres'!$AA$9*IFERROR(INDEX('Paramètres'!$O$5:$O$7,MATCH(G403,'Paramètres'!$N$5:$N$7,0)),0))</f>
        <v/>
      </c>
      <c r="AC403" s="7" t="inlineStr">
        <is>
          <t>Clôturé</t>
        </is>
      </c>
      <c r="AD403" s="69">
        <f>IF(OR($A403="",Q403=""),"",(Q403-B403)*24)</f>
        <v/>
      </c>
      <c r="AE403" s="69">
        <f>IF(OR(Q403="",R403=""),"",(R403-Q403)*24)</f>
        <v/>
      </c>
      <c r="AF403" s="77">
        <f>IF(OR($A403="",B403=""),"",YEAR(B403))</f>
        <v/>
      </c>
      <c r="AG403" s="77">
        <f>IF(OR($A403="",B403=""),"",MONTH(B403))</f>
        <v/>
      </c>
    </row>
    <row r="404">
      <c r="A404" s="7" t="inlineStr">
        <is>
          <t>OT-2025-0400</t>
        </is>
      </c>
      <c r="B404" s="75" t="n">
        <v>45834.49305555555</v>
      </c>
      <c r="C404" s="7" t="inlineStr">
        <is>
          <t>Plan préventif</t>
        </is>
      </c>
      <c r="D404" s="7" t="inlineStr">
        <is>
          <t>EQ-TOL-003</t>
        </is>
      </c>
      <c r="E404" s="9">
        <f>IF(D404="","",IFERROR(INDEX('Équipements'!$B$5:$B$304,MATCH(D404,'Équipements'!$A$5:$A$304,0)),"Code inconnu"))</f>
        <v/>
      </c>
      <c r="F404" s="9">
        <f>IF(D404="","",IFERROR(INDEX('Équipements'!$D$5:$D$304,MATCH(D404,'Équipements'!$A$5:$A$304,0)),""))</f>
        <v/>
      </c>
      <c r="G404" s="9">
        <f>IF(D404="","",IFERROR(INDEX('Équipements'!$K$5:$K$304,MATCH(D404,'Équipements'!$A$5:$A$304,0)),""))</f>
        <v/>
      </c>
      <c r="H404" s="7" t="inlineStr">
        <is>
          <t>Préventif systématique</t>
        </is>
      </c>
      <c r="I404" s="7" t="inlineStr">
        <is>
          <t>GP-044</t>
        </is>
      </c>
      <c r="J404" s="7" t="inlineStr">
        <is>
          <t>Hydraulique</t>
        </is>
      </c>
      <c r="K404" s="7" t="inlineStr">
        <is>
          <t>P3 - Normale</t>
        </is>
      </c>
      <c r="L404" s="7" t="inlineStr">
        <is>
          <t>Contrôle hydraulique : fuites, niveaux, pressions</t>
        </is>
      </c>
      <c r="M404" s="7" t="n"/>
      <c r="N404" s="7" t="inlineStr">
        <is>
          <t>Gamme réalisée - DI émise pour remplacement pièce</t>
        </is>
      </c>
      <c r="O404" s="7" t="inlineStr">
        <is>
          <t>Karim Benali</t>
        </is>
      </c>
      <c r="P404" s="65" t="n">
        <v>45841.51388888889</v>
      </c>
      <c r="Q404" s="75" t="n">
        <v>45841.40972222222</v>
      </c>
      <c r="R404" s="75" t="n">
        <v>45841.52430555555</v>
      </c>
      <c r="S404" s="76" t="n">
        <v>1.4</v>
      </c>
      <c r="T404" s="76" t="n">
        <v>2.75</v>
      </c>
      <c r="U404" s="70">
        <f>IF($A404="","",IFERROR(INDEX('Techniciens'!$F$5:$F$44,MATCH(O404,'Techniciens'!$B$5:$B$44,0)),'Paramètres'!$AA$10))</f>
        <v/>
      </c>
      <c r="V404" s="70">
        <f>IF($A404="","",IF(OR(AC404="Demandé",AC404="Planifié",AC404="Annulé"),0,N(T404)*N(U404)))</f>
        <v/>
      </c>
      <c r="W404" s="70">
        <f>IF($A404="","",SUMIFS('Mouvements stock'!$H$5:$H$3004,'Mouvements stock'!$I$5:$I$3004,$A404,'Mouvements stock'!$C$5:$C$3004,"Sortie")-SUMIFS('Mouvements stock'!$H$5:$H$3004,'Mouvements stock'!$I$5:$I$3004,$A404,'Mouvements stock'!$C$5:$C$3004,"Retour"))</f>
        <v/>
      </c>
      <c r="X404" s="66" t="n">
        <v>0</v>
      </c>
      <c r="Y404" s="66" t="n">
        <v>0</v>
      </c>
      <c r="Z404" s="7" t="n"/>
      <c r="AA404" s="70">
        <f>IF($A404="","",N(V404)+N(W404)+N(X404)+N(Y404))</f>
        <v/>
      </c>
      <c r="AB404" s="70">
        <f>IF($A404="","",N(S404)*'Paramètres'!$AA$9*IFERROR(INDEX('Paramètres'!$O$5:$O$7,MATCH(G404,'Paramètres'!$N$5:$N$7,0)),0))</f>
        <v/>
      </c>
      <c r="AC404" s="7" t="inlineStr">
        <is>
          <t>Clôturé</t>
        </is>
      </c>
      <c r="AD404" s="69">
        <f>IF(OR($A404="",Q404=""),"",(Q404-B404)*24)</f>
        <v/>
      </c>
      <c r="AE404" s="69">
        <f>IF(OR(Q404="",R404=""),"",(R404-Q404)*24)</f>
        <v/>
      </c>
      <c r="AF404" s="77">
        <f>IF(OR($A404="",B404=""),"",YEAR(B404))</f>
        <v/>
      </c>
      <c r="AG404" s="77">
        <f>IF(OR($A404="",B404=""),"",MONTH(B404))</f>
        <v/>
      </c>
    </row>
    <row r="405">
      <c r="A405" s="7" t="inlineStr">
        <is>
          <t>OT-2025-0401</t>
        </is>
      </c>
      <c r="B405" s="75" t="n">
        <v>45835.40972222222</v>
      </c>
      <c r="C405" s="7" t="inlineStr">
        <is>
          <t>Plan préventif</t>
        </is>
      </c>
      <c r="D405" s="7" t="inlineStr">
        <is>
          <t>EQ-LOG-004</t>
        </is>
      </c>
      <c r="E405" s="9">
        <f>IF(D405="","",IFERROR(INDEX('Équipements'!$B$5:$B$304,MATCH(D405,'Équipements'!$A$5:$A$304,0)),"Code inconnu"))</f>
        <v/>
      </c>
      <c r="F405" s="9">
        <f>IF(D405="","",IFERROR(INDEX('Équipements'!$D$5:$D$304,MATCH(D405,'Équipements'!$A$5:$A$304,0)),""))</f>
        <v/>
      </c>
      <c r="G405" s="9">
        <f>IF(D405="","",IFERROR(INDEX('Équipements'!$K$5:$K$304,MATCH(D405,'Équipements'!$A$5:$A$304,0)),""))</f>
        <v/>
      </c>
      <c r="H405" s="7" t="inlineStr">
        <is>
          <t>Préventif systématique</t>
        </is>
      </c>
      <c r="I405" s="7" t="inlineStr">
        <is>
          <t>GP-112</t>
        </is>
      </c>
      <c r="J405" s="7" t="inlineStr">
        <is>
          <t>Mécanique</t>
        </is>
      </c>
      <c r="K405" s="7" t="inlineStr">
        <is>
          <t>P3 - Normale</t>
        </is>
      </c>
      <c r="L405" s="7" t="inlineStr">
        <is>
          <t>Contrôle batterie, niveaux et bandages</t>
        </is>
      </c>
      <c r="M405" s="7" t="n"/>
      <c r="N405" s="7" t="inlineStr">
        <is>
          <t>Gamme réalisée - RAS</t>
        </is>
      </c>
      <c r="O405" s="7" t="inlineStr">
        <is>
          <t>Karim Benali</t>
        </is>
      </c>
      <c r="P405" s="65" t="n">
        <v>45842.54166666666</v>
      </c>
      <c r="Q405" s="75" t="n">
        <v>45842.40625</v>
      </c>
      <c r="R405" s="75" t="n">
        <v>45842.4375</v>
      </c>
      <c r="S405" s="76" t="n">
        <v>0</v>
      </c>
      <c r="T405" s="76" t="n">
        <v>0.75</v>
      </c>
      <c r="U405" s="70">
        <f>IF($A405="","",IFERROR(INDEX('Techniciens'!$F$5:$F$44,MATCH(O405,'Techniciens'!$B$5:$B$44,0)),'Paramètres'!$AA$10))</f>
        <v/>
      </c>
      <c r="V405" s="70">
        <f>IF($A405="","",IF(OR(AC405="Demandé",AC405="Planifié",AC405="Annulé"),0,N(T405)*N(U405)))</f>
        <v/>
      </c>
      <c r="W405" s="70">
        <f>IF($A405="","",SUMIFS('Mouvements stock'!$H$5:$H$3004,'Mouvements stock'!$I$5:$I$3004,$A405,'Mouvements stock'!$C$5:$C$3004,"Sortie")-SUMIFS('Mouvements stock'!$H$5:$H$3004,'Mouvements stock'!$I$5:$I$3004,$A405,'Mouvements stock'!$C$5:$C$3004,"Retour"))</f>
        <v/>
      </c>
      <c r="X405" s="66" t="n">
        <v>0</v>
      </c>
      <c r="Y405" s="66" t="n">
        <v>0</v>
      </c>
      <c r="Z405" s="7" t="n"/>
      <c r="AA405" s="70">
        <f>IF($A405="","",N(V405)+N(W405)+N(X405)+N(Y405))</f>
        <v/>
      </c>
      <c r="AB405" s="70">
        <f>IF($A405="","",N(S405)*'Paramètres'!$AA$9*IFERROR(INDEX('Paramètres'!$O$5:$O$7,MATCH(G405,'Paramètres'!$N$5:$N$7,0)),0))</f>
        <v/>
      </c>
      <c r="AC405" s="7" t="inlineStr">
        <is>
          <t>Clôturé</t>
        </is>
      </c>
      <c r="AD405" s="69">
        <f>IF(OR($A405="",Q405=""),"",(Q405-B405)*24)</f>
        <v/>
      </c>
      <c r="AE405" s="69">
        <f>IF(OR(Q405="",R405=""),"",(R405-Q405)*24)</f>
        <v/>
      </c>
      <c r="AF405" s="77">
        <f>IF(OR($A405="",B405=""),"",YEAR(B405))</f>
        <v/>
      </c>
      <c r="AG405" s="77">
        <f>IF(OR($A405="",B405=""),"",MONTH(B405))</f>
        <v/>
      </c>
    </row>
    <row r="406">
      <c r="A406" s="7" t="inlineStr">
        <is>
          <t>OT-2025-0402</t>
        </is>
      </c>
      <c r="B406" s="75" t="n">
        <v>45835.80277777778</v>
      </c>
      <c r="C406" s="7" t="inlineStr">
        <is>
          <t>Opérateur assemblage</t>
        </is>
      </c>
      <c r="D406" s="7" t="inlineStr">
        <is>
          <t>EQ-ASS-002</t>
        </is>
      </c>
      <c r="E406" s="9">
        <f>IF(D406="","",IFERROR(INDEX('Équipements'!$B$5:$B$304,MATCH(D406,'Équipements'!$A$5:$A$304,0)),"Code inconnu"))</f>
        <v/>
      </c>
      <c r="F406" s="9">
        <f>IF(D406="","",IFERROR(INDEX('Équipements'!$D$5:$D$304,MATCH(D406,'Équipements'!$A$5:$A$304,0)),""))</f>
        <v/>
      </c>
      <c r="G406" s="9">
        <f>IF(D406="","",IFERROR(INDEX('Équipements'!$K$5:$K$304,MATCH(D406,'Équipements'!$A$5:$A$304,0)),""))</f>
        <v/>
      </c>
      <c r="H406" s="7" t="inlineStr">
        <is>
          <t>Correctif</t>
        </is>
      </c>
      <c r="I406" s="7" t="n"/>
      <c r="J406" s="7" t="inlineStr">
        <is>
          <t>Mécanique</t>
        </is>
      </c>
      <c r="K406" s="7" t="inlineStr">
        <is>
          <t>P2 - Haute</t>
        </is>
      </c>
      <c r="L406" s="7" t="inlineStr">
        <is>
          <t>Butée arrière bloquée</t>
        </is>
      </c>
      <c r="M406" s="7" t="inlineStr">
        <is>
          <t>Casse mécanique</t>
        </is>
      </c>
      <c r="N406" s="7" t="inlineStr">
        <is>
          <t>Remplacement courroie et réglage butée</t>
        </is>
      </c>
      <c r="O406" s="7" t="inlineStr">
        <is>
          <t>Lucas Fontaine</t>
        </is>
      </c>
      <c r="P406" s="65" t="n"/>
      <c r="Q406" s="75" t="n">
        <v>45835.97222222222</v>
      </c>
      <c r="R406" s="75" t="n">
        <v>45836.18055555555</v>
      </c>
      <c r="S406" s="76" t="n">
        <v>0</v>
      </c>
      <c r="T406" s="76" t="n">
        <v>5</v>
      </c>
      <c r="U406" s="70">
        <f>IF($A406="","",IFERROR(INDEX('Techniciens'!$F$5:$F$44,MATCH(O406,'Techniciens'!$B$5:$B$44,0)),'Paramètres'!$AA$10))</f>
        <v/>
      </c>
      <c r="V406" s="70">
        <f>IF($A406="","",IF(OR(AC406="Demandé",AC406="Planifié",AC406="Annulé"),0,N(T406)*N(U406)))</f>
        <v/>
      </c>
      <c r="W406" s="70">
        <f>IF($A406="","",SUMIFS('Mouvements stock'!$H$5:$H$3004,'Mouvements stock'!$I$5:$I$3004,$A406,'Mouvements stock'!$C$5:$C$3004,"Sortie")-SUMIFS('Mouvements stock'!$H$5:$H$3004,'Mouvements stock'!$I$5:$I$3004,$A406,'Mouvements stock'!$C$5:$C$3004,"Retour"))</f>
        <v/>
      </c>
      <c r="X406" s="66" t="n">
        <v>0</v>
      </c>
      <c r="Y406" s="66" t="n">
        <v>0</v>
      </c>
      <c r="Z406" s="7" t="n"/>
      <c r="AA406" s="70">
        <f>IF($A406="","",N(V406)+N(W406)+N(X406)+N(Y406))</f>
        <v/>
      </c>
      <c r="AB406" s="70">
        <f>IF($A406="","",N(S406)*'Paramètres'!$AA$9*IFERROR(INDEX('Paramètres'!$O$5:$O$7,MATCH(G406,'Paramètres'!$N$5:$N$7,0)),0))</f>
        <v/>
      </c>
      <c r="AC406" s="7" t="inlineStr">
        <is>
          <t>Clôturé</t>
        </is>
      </c>
      <c r="AD406" s="69">
        <f>IF(OR($A406="",Q406=""),"",(Q406-B406)*24)</f>
        <v/>
      </c>
      <c r="AE406" s="69">
        <f>IF(OR(Q406="",R406=""),"",(R406-Q406)*24)</f>
        <v/>
      </c>
      <c r="AF406" s="77">
        <f>IF(OR($A406="",B406=""),"",YEAR(B406))</f>
        <v/>
      </c>
      <c r="AG406" s="77">
        <f>IF(OR($A406="",B406=""),"",MONTH(B406))</f>
        <v/>
      </c>
    </row>
    <row r="407">
      <c r="A407" s="7" t="inlineStr">
        <is>
          <t>OT-2025-0403</t>
        </is>
      </c>
      <c r="B407" s="75" t="n">
        <v>45836.20902777778</v>
      </c>
      <c r="C407" s="7" t="inlineStr">
        <is>
          <t>Éric Laurent (chef d'atelier)</t>
        </is>
      </c>
      <c r="D407" s="7" t="inlineStr">
        <is>
          <t>EQ-USI-002</t>
        </is>
      </c>
      <c r="E407" s="9">
        <f>IF(D407="","",IFERROR(INDEX('Équipements'!$B$5:$B$304,MATCH(D407,'Équipements'!$A$5:$A$304,0)),"Code inconnu"))</f>
        <v/>
      </c>
      <c r="F407" s="9">
        <f>IF(D407="","",IFERROR(INDEX('Équipements'!$D$5:$D$304,MATCH(D407,'Équipements'!$A$5:$A$304,0)),""))</f>
        <v/>
      </c>
      <c r="G407" s="9">
        <f>IF(D407="","",IFERROR(INDEX('Équipements'!$K$5:$K$304,MATCH(D407,'Équipements'!$A$5:$A$304,0)),""))</f>
        <v/>
      </c>
      <c r="H407" s="7" t="inlineStr">
        <is>
          <t>Correctif</t>
        </is>
      </c>
      <c r="I407" s="7" t="n"/>
      <c r="J407" s="7" t="inlineStr">
        <is>
          <t>Mécanique</t>
        </is>
      </c>
      <c r="K407" s="7" t="inlineStr">
        <is>
          <t>P1 - Urgent</t>
        </is>
      </c>
      <c r="L407" s="7" t="inlineStr">
        <is>
          <t>Défaut pression graissage centralisé</t>
        </is>
      </c>
      <c r="M407" s="7" t="inlineStr">
        <is>
          <t>Défaut lubrification</t>
        </is>
      </c>
      <c r="N407" s="7" t="inlineStr">
        <is>
          <t>Nettoyage pompe de graissage, remplacement doseurs</t>
        </is>
      </c>
      <c r="O407" s="7" t="inlineStr">
        <is>
          <t>Antoine Mercier</t>
        </is>
      </c>
      <c r="P407" s="65" t="n"/>
      <c r="Q407" s="75" t="n">
        <v>45836.23402777778</v>
      </c>
      <c r="R407" s="75" t="n">
        <v>45836.55694444444</v>
      </c>
      <c r="S407" s="76" t="n">
        <v>8.4</v>
      </c>
      <c r="T407" s="76" t="n">
        <v>7.75</v>
      </c>
      <c r="U407" s="70">
        <f>IF($A407="","",IFERROR(INDEX('Techniciens'!$F$5:$F$44,MATCH(O407,'Techniciens'!$B$5:$B$44,0)),'Paramètres'!$AA$10))</f>
        <v/>
      </c>
      <c r="V407" s="70">
        <f>IF($A407="","",IF(OR(AC407="Demandé",AC407="Planifié",AC407="Annulé"),0,N(T407)*N(U407)))</f>
        <v/>
      </c>
      <c r="W407" s="70">
        <f>IF($A407="","",SUMIFS('Mouvements stock'!$H$5:$H$3004,'Mouvements stock'!$I$5:$I$3004,$A407,'Mouvements stock'!$C$5:$C$3004,"Sortie")-SUMIFS('Mouvements stock'!$H$5:$H$3004,'Mouvements stock'!$I$5:$I$3004,$A407,'Mouvements stock'!$C$5:$C$3004,"Retour"))</f>
        <v/>
      </c>
      <c r="X407" s="66" t="n">
        <v>0</v>
      </c>
      <c r="Y407" s="66" t="n">
        <v>0</v>
      </c>
      <c r="Z407" s="7" t="n"/>
      <c r="AA407" s="70">
        <f>IF($A407="","",N(V407)+N(W407)+N(X407)+N(Y407))</f>
        <v/>
      </c>
      <c r="AB407" s="70">
        <f>IF($A407="","",N(S407)*'Paramètres'!$AA$9*IFERROR(INDEX('Paramètres'!$O$5:$O$7,MATCH(G407,'Paramètres'!$N$5:$N$7,0)),0))</f>
        <v/>
      </c>
      <c r="AC407" s="7" t="inlineStr">
        <is>
          <t>Clôturé</t>
        </is>
      </c>
      <c r="AD407" s="69">
        <f>IF(OR($A407="",Q407=""),"",(Q407-B407)*24)</f>
        <v/>
      </c>
      <c r="AE407" s="69">
        <f>IF(OR(Q407="",R407=""),"",(R407-Q407)*24)</f>
        <v/>
      </c>
      <c r="AF407" s="77">
        <f>IF(OR($A407="",B407=""),"",YEAR(B407))</f>
        <v/>
      </c>
      <c r="AG407" s="77">
        <f>IF(OR($A407="",B407=""),"",MONTH(B407))</f>
        <v/>
      </c>
    </row>
    <row r="408">
      <c r="A408" s="7" t="inlineStr">
        <is>
          <t>OT-2025-0404</t>
        </is>
      </c>
      <c r="B408" s="75" t="n">
        <v>45836.85833333333</v>
      </c>
      <c r="C408" s="7" t="inlineStr">
        <is>
          <t>Céline Morel (cheffe d'atelier)</t>
        </is>
      </c>
      <c r="D408" s="7" t="inlineStr">
        <is>
          <t>EQ-TOL-003</t>
        </is>
      </c>
      <c r="E408" s="9">
        <f>IF(D408="","",IFERROR(INDEX('Équipements'!$B$5:$B$304,MATCH(D408,'Équipements'!$A$5:$A$304,0)),"Code inconnu"))</f>
        <v/>
      </c>
      <c r="F408" s="9">
        <f>IF(D408="","",IFERROR(INDEX('Équipements'!$D$5:$D$304,MATCH(D408,'Équipements'!$A$5:$A$304,0)),""))</f>
        <v/>
      </c>
      <c r="G408" s="9">
        <f>IF(D408="","",IFERROR(INDEX('Équipements'!$K$5:$K$304,MATCH(D408,'Équipements'!$A$5:$A$304,0)),""))</f>
        <v/>
      </c>
      <c r="H408" s="7" t="inlineStr">
        <is>
          <t>Correctif</t>
        </is>
      </c>
      <c r="I408" s="7" t="n"/>
      <c r="J408" s="7" t="inlineStr">
        <is>
          <t>Hydraulique</t>
        </is>
      </c>
      <c r="K408" s="7" t="inlineStr">
        <is>
          <t>P1 - Urgent</t>
        </is>
      </c>
      <c r="L408" s="7" t="inlineStr">
        <is>
          <t>Montée en température huile hydraulique</t>
        </is>
      </c>
      <c r="M408" s="7" t="inlineStr">
        <is>
          <t>Encrassement</t>
        </is>
      </c>
      <c r="N408" s="7" t="inlineStr">
        <is>
          <t>Nettoyage échangeur, remplacement filtre</t>
        </is>
      </c>
      <c r="O408" s="7" t="inlineStr">
        <is>
          <t>Antoine Mercier</t>
        </is>
      </c>
      <c r="P408" s="65" t="n"/>
      <c r="Q408" s="75" t="n">
        <v>45836.86666666667</v>
      </c>
      <c r="R408" s="75" t="n">
        <v>45836.99166666667</v>
      </c>
      <c r="S408" s="76" t="n">
        <v>3.2</v>
      </c>
      <c r="T408" s="76" t="n">
        <v>3</v>
      </c>
      <c r="U408" s="70">
        <f>IF($A408="","",IFERROR(INDEX('Techniciens'!$F$5:$F$44,MATCH(O408,'Techniciens'!$B$5:$B$44,0)),'Paramètres'!$AA$10))</f>
        <v/>
      </c>
      <c r="V408" s="70">
        <f>IF($A408="","",IF(OR(AC408="Demandé",AC408="Planifié",AC408="Annulé"),0,N(T408)*N(U408)))</f>
        <v/>
      </c>
      <c r="W408" s="70">
        <f>IF($A408="","",SUMIFS('Mouvements stock'!$H$5:$H$3004,'Mouvements stock'!$I$5:$I$3004,$A408,'Mouvements stock'!$C$5:$C$3004,"Sortie")-SUMIFS('Mouvements stock'!$H$5:$H$3004,'Mouvements stock'!$I$5:$I$3004,$A408,'Mouvements stock'!$C$5:$C$3004,"Retour"))</f>
        <v/>
      </c>
      <c r="X408" s="66" t="n">
        <v>0</v>
      </c>
      <c r="Y408" s="66" t="n">
        <v>0</v>
      </c>
      <c r="Z408" s="7" t="n"/>
      <c r="AA408" s="70">
        <f>IF($A408="","",N(V408)+N(W408)+N(X408)+N(Y408))</f>
        <v/>
      </c>
      <c r="AB408" s="70">
        <f>IF($A408="","",N(S408)*'Paramètres'!$AA$9*IFERROR(INDEX('Paramètres'!$O$5:$O$7,MATCH(G408,'Paramètres'!$N$5:$N$7,0)),0))</f>
        <v/>
      </c>
      <c r="AC408" s="7" t="inlineStr">
        <is>
          <t>Clôturé</t>
        </is>
      </c>
      <c r="AD408" s="69">
        <f>IF(OR($A408="",Q408=""),"",(Q408-B408)*24)</f>
        <v/>
      </c>
      <c r="AE408" s="69">
        <f>IF(OR(Q408="",R408=""),"",(R408-Q408)*24)</f>
        <v/>
      </c>
      <c r="AF408" s="77">
        <f>IF(OR($A408="",B408=""),"",YEAR(B408))</f>
        <v/>
      </c>
      <c r="AG408" s="77">
        <f>IF(OR($A408="",B408=""),"",MONTH(B408))</f>
        <v/>
      </c>
    </row>
    <row r="409">
      <c r="A409" s="7" t="inlineStr">
        <is>
          <t>OT-2025-0405</t>
        </is>
      </c>
      <c r="B409" s="75" t="n">
        <v>45838.33333333334</v>
      </c>
      <c r="C409" s="7" t="inlineStr">
        <is>
          <t>Planning réglementaire</t>
        </is>
      </c>
      <c r="D409" s="7" t="inlineStr">
        <is>
          <t>EQ-SOU-005</t>
        </is>
      </c>
      <c r="E409" s="9">
        <f>IF(D409="","",IFERROR(INDEX('Équipements'!$B$5:$B$304,MATCH(D409,'Équipements'!$A$5:$A$304,0)),"Code inconnu"))</f>
        <v/>
      </c>
      <c r="F409" s="9">
        <f>IF(D409="","",IFERROR(INDEX('Équipements'!$D$5:$D$304,MATCH(D409,'Équipements'!$A$5:$A$304,0)),""))</f>
        <v/>
      </c>
      <c r="G409" s="9">
        <f>IF(D409="","",IFERROR(INDEX('Équipements'!$K$5:$K$304,MATCH(D409,'Équipements'!$A$5:$A$304,0)),""))</f>
        <v/>
      </c>
      <c r="H409" s="7" t="inlineStr">
        <is>
          <t>Réglementaire</t>
        </is>
      </c>
      <c r="I409" s="7" t="inlineStr">
        <is>
          <t>CR-023</t>
        </is>
      </c>
      <c r="J409" s="7" t="inlineStr">
        <is>
          <t>Multi-technique</t>
        </is>
      </c>
      <c r="K409" s="7" t="inlineStr">
        <is>
          <t>P2 - Haute</t>
        </is>
      </c>
      <c r="L409" s="7" t="inlineStr">
        <is>
          <t>Contrôle annuel installation d'aspiration (ventilation)</t>
        </is>
      </c>
      <c r="M409" s="7" t="n"/>
      <c r="N409" s="7" t="inlineStr">
        <is>
          <t>Contrôle réalisé - observations mineures au rapport</t>
        </is>
      </c>
      <c r="O409" s="7" t="inlineStr">
        <is>
          <t>Nadia Rousseau</t>
        </is>
      </c>
      <c r="P409" s="65" t="n">
        <v>45859</v>
      </c>
      <c r="Q409" s="75" t="n">
        <v>45859.47916666666</v>
      </c>
      <c r="R409" s="75" t="n">
        <v>45859.51041666666</v>
      </c>
      <c r="S409" s="76" t="n">
        <v>0</v>
      </c>
      <c r="T409" s="76" t="n">
        <v>0.75</v>
      </c>
      <c r="U409" s="70">
        <f>IF($A409="","",IFERROR(INDEX('Techniciens'!$F$5:$F$44,MATCH(O409,'Techniciens'!$B$5:$B$44,0)),'Paramètres'!$AA$10))</f>
        <v/>
      </c>
      <c r="V409" s="70">
        <f>IF($A409="","",IF(OR(AC409="Demandé",AC409="Planifié",AC409="Annulé"),0,N(T409)*N(U409)))</f>
        <v/>
      </c>
      <c r="W409" s="70">
        <f>IF($A409="","",SUMIFS('Mouvements stock'!$H$5:$H$3004,'Mouvements stock'!$I$5:$I$3004,$A409,'Mouvements stock'!$C$5:$C$3004,"Sortie")-SUMIFS('Mouvements stock'!$H$5:$H$3004,'Mouvements stock'!$I$5:$I$3004,$A409,'Mouvements stock'!$C$5:$C$3004,"Retour"))</f>
        <v/>
      </c>
      <c r="X409" s="66" t="n">
        <v>0</v>
      </c>
      <c r="Y409" s="66" t="n">
        <v>610</v>
      </c>
      <c r="Z409" s="7" t="inlineStr">
        <is>
          <t>CONTROLIS (organisme fictif)</t>
        </is>
      </c>
      <c r="AA409" s="70">
        <f>IF($A409="","",N(V409)+N(W409)+N(X409)+N(Y409))</f>
        <v/>
      </c>
      <c r="AB409" s="70">
        <f>IF($A409="","",N(S409)*'Paramètres'!$AA$9*IFERROR(INDEX('Paramètres'!$O$5:$O$7,MATCH(G409,'Paramètres'!$N$5:$N$7,0)),0))</f>
        <v/>
      </c>
      <c r="AC409" s="7" t="inlineStr">
        <is>
          <t>Clôturé</t>
        </is>
      </c>
      <c r="AD409" s="69">
        <f>IF(OR($A409="",Q409=""),"",(Q409-B409)*24)</f>
        <v/>
      </c>
      <c r="AE409" s="69">
        <f>IF(OR(Q409="",R409=""),"",(R409-Q409)*24)</f>
        <v/>
      </c>
      <c r="AF409" s="77">
        <f>IF(OR($A409="",B409=""),"",YEAR(B409))</f>
        <v/>
      </c>
      <c r="AG409" s="77">
        <f>IF(OR($A409="",B409=""),"",MONTH(B409))</f>
        <v/>
      </c>
    </row>
    <row r="410">
      <c r="A410" s="7" t="inlineStr">
        <is>
          <t>OT-2025-0406</t>
        </is>
      </c>
      <c r="B410" s="75" t="n">
        <v>45838.34305555555</v>
      </c>
      <c r="C410" s="7" t="inlineStr">
        <is>
          <t>Éric Laurent (chef d'atelier)</t>
        </is>
      </c>
      <c r="D410" s="7" t="inlineStr">
        <is>
          <t>EQ-USI-005</t>
        </is>
      </c>
      <c r="E410" s="9">
        <f>IF(D410="","",IFERROR(INDEX('Équipements'!$B$5:$B$304,MATCH(D410,'Équipements'!$A$5:$A$304,0)),"Code inconnu"))</f>
        <v/>
      </c>
      <c r="F410" s="9">
        <f>IF(D410="","",IFERROR(INDEX('Équipements'!$D$5:$D$304,MATCH(D410,'Équipements'!$A$5:$A$304,0)),""))</f>
        <v/>
      </c>
      <c r="G410" s="9">
        <f>IF(D410="","",IFERROR(INDEX('Équipements'!$K$5:$K$304,MATCH(D410,'Équipements'!$A$5:$A$304,0)),""))</f>
        <v/>
      </c>
      <c r="H410" s="7" t="inlineStr">
        <is>
          <t>Correctif</t>
        </is>
      </c>
      <c r="I410" s="7" t="n"/>
      <c r="J410" s="7" t="inlineStr">
        <is>
          <t>Mécanique</t>
        </is>
      </c>
      <c r="K410" s="7" t="inlineStr">
        <is>
          <t>P2 - Haute</t>
        </is>
      </c>
      <c r="L410" s="7" t="inlineStr">
        <is>
          <t>Défaut changeur d'outils (blocage bras)</t>
        </is>
      </c>
      <c r="M410" s="7" t="inlineStr">
        <is>
          <t>Usure</t>
        </is>
      </c>
      <c r="N410" s="7" t="inlineStr">
        <is>
          <t>Remplacement détecteur position bras et réglage</t>
        </is>
      </c>
      <c r="O410" s="7" t="inlineStr">
        <is>
          <t>Karim Benali</t>
        </is>
      </c>
      <c r="P410" s="65" t="n"/>
      <c r="Q410" s="75" t="n">
        <v>45838.51805555556</v>
      </c>
      <c r="R410" s="75" t="n">
        <v>45838.72638888889</v>
      </c>
      <c r="S410" s="76" t="n">
        <v>9.199999999999999</v>
      </c>
      <c r="T410" s="76" t="n">
        <v>5</v>
      </c>
      <c r="U410" s="70">
        <f>IF($A410="","",IFERROR(INDEX('Techniciens'!$F$5:$F$44,MATCH(O410,'Techniciens'!$B$5:$B$44,0)),'Paramètres'!$AA$10))</f>
        <v/>
      </c>
      <c r="V410" s="70">
        <f>IF($A410="","",IF(OR(AC410="Demandé",AC410="Planifié",AC410="Annulé"),0,N(T410)*N(U410)))</f>
        <v/>
      </c>
      <c r="W410" s="70">
        <f>IF($A410="","",SUMIFS('Mouvements stock'!$H$5:$H$3004,'Mouvements stock'!$I$5:$I$3004,$A410,'Mouvements stock'!$C$5:$C$3004,"Sortie")-SUMIFS('Mouvements stock'!$H$5:$H$3004,'Mouvements stock'!$I$5:$I$3004,$A410,'Mouvements stock'!$C$5:$C$3004,"Retour"))</f>
        <v/>
      </c>
      <c r="X410" s="66" t="n">
        <v>138</v>
      </c>
      <c r="Y410" s="66" t="n">
        <v>0</v>
      </c>
      <c r="Z410" s="7" t="n"/>
      <c r="AA410" s="70">
        <f>IF($A410="","",N(V410)+N(W410)+N(X410)+N(Y410))</f>
        <v/>
      </c>
      <c r="AB410" s="70">
        <f>IF($A410="","",N(S410)*'Paramètres'!$AA$9*IFERROR(INDEX('Paramètres'!$O$5:$O$7,MATCH(G410,'Paramètres'!$N$5:$N$7,0)),0))</f>
        <v/>
      </c>
      <c r="AC410" s="7" t="inlineStr">
        <is>
          <t>Clôturé</t>
        </is>
      </c>
      <c r="AD410" s="69">
        <f>IF(OR($A410="",Q410=""),"",(Q410-B410)*24)</f>
        <v/>
      </c>
      <c r="AE410" s="69">
        <f>IF(OR(Q410="",R410=""),"",(R410-Q410)*24)</f>
        <v/>
      </c>
      <c r="AF410" s="77">
        <f>IF(OR($A410="",B410=""),"",YEAR(B410))</f>
        <v/>
      </c>
      <c r="AG410" s="77">
        <f>IF(OR($A410="",B410=""),"",MONTH(B410))</f>
        <v/>
      </c>
    </row>
    <row r="411">
      <c r="A411" s="7" t="inlineStr">
        <is>
          <t>OT-2025-0407</t>
        </is>
      </c>
      <c r="B411" s="75" t="n">
        <v>45838.38541666666</v>
      </c>
      <c r="C411" s="7" t="inlineStr">
        <is>
          <t>Plan préventif</t>
        </is>
      </c>
      <c r="D411" s="7" t="inlineStr">
        <is>
          <t>EQ-UTI-002</t>
        </is>
      </c>
      <c r="E411" s="9">
        <f>IF(D411="","",IFERROR(INDEX('Équipements'!$B$5:$B$304,MATCH(D411,'Équipements'!$A$5:$A$304,0)),"Code inconnu"))</f>
        <v/>
      </c>
      <c r="F411" s="9">
        <f>IF(D411="","",IFERROR(INDEX('Équipements'!$D$5:$D$304,MATCH(D411,'Équipements'!$A$5:$A$304,0)),""))</f>
        <v/>
      </c>
      <c r="G411" s="9">
        <f>IF(D411="","",IFERROR(INDEX('Équipements'!$K$5:$K$304,MATCH(D411,'Équipements'!$A$5:$A$304,0)),""))</f>
        <v/>
      </c>
      <c r="H411" s="7" t="inlineStr">
        <is>
          <t>Préventif systématique</t>
        </is>
      </c>
      <c r="I411" s="7" t="inlineStr">
        <is>
          <t>GP-090</t>
        </is>
      </c>
      <c r="J411" s="7" t="inlineStr">
        <is>
          <t>Pneumatique</t>
        </is>
      </c>
      <c r="K411" s="7" t="inlineStr">
        <is>
          <t>P3 - Normale</t>
        </is>
      </c>
      <c r="L411" s="7" t="inlineStr">
        <is>
          <t>Purge, contrôle fuites et point de rosée</t>
        </is>
      </c>
      <c r="M411" s="7" t="n"/>
      <c r="N411" s="7" t="inlineStr">
        <is>
          <t>Gamme réalisée - RAS</t>
        </is>
      </c>
      <c r="O411" s="7" t="inlineStr">
        <is>
          <t>Lucas Fontaine</t>
        </is>
      </c>
      <c r="P411" s="65" t="n">
        <v>45845.4375</v>
      </c>
      <c r="Q411" s="75" t="n">
        <v>45845.45833333334</v>
      </c>
      <c r="R411" s="75" t="n">
        <v>45845.52083333334</v>
      </c>
      <c r="S411" s="76" t="n">
        <v>0</v>
      </c>
      <c r="T411" s="76" t="n">
        <v>1.5</v>
      </c>
      <c r="U411" s="70">
        <f>IF($A411="","",IFERROR(INDEX('Techniciens'!$F$5:$F$44,MATCH(O411,'Techniciens'!$B$5:$B$44,0)),'Paramètres'!$AA$10))</f>
        <v/>
      </c>
      <c r="V411" s="70">
        <f>IF($A411="","",IF(OR(AC411="Demandé",AC411="Planifié",AC411="Annulé"),0,N(T411)*N(U411)))</f>
        <v/>
      </c>
      <c r="W411" s="70">
        <f>IF($A411="","",SUMIFS('Mouvements stock'!$H$5:$H$3004,'Mouvements stock'!$I$5:$I$3004,$A411,'Mouvements stock'!$C$5:$C$3004,"Sortie")-SUMIFS('Mouvements stock'!$H$5:$H$3004,'Mouvements stock'!$I$5:$I$3004,$A411,'Mouvements stock'!$C$5:$C$3004,"Retour"))</f>
        <v/>
      </c>
      <c r="X411" s="66" t="n">
        <v>0</v>
      </c>
      <c r="Y411" s="66" t="n">
        <v>0</v>
      </c>
      <c r="Z411" s="7" t="n"/>
      <c r="AA411" s="70">
        <f>IF($A411="","",N(V411)+N(W411)+N(X411)+N(Y411))</f>
        <v/>
      </c>
      <c r="AB411" s="70">
        <f>IF($A411="","",N(S411)*'Paramètres'!$AA$9*IFERROR(INDEX('Paramètres'!$O$5:$O$7,MATCH(G411,'Paramètres'!$N$5:$N$7,0)),0))</f>
        <v/>
      </c>
      <c r="AC411" s="7" t="inlineStr">
        <is>
          <t>Clôturé</t>
        </is>
      </c>
      <c r="AD411" s="69">
        <f>IF(OR($A411="",Q411=""),"",(Q411-B411)*24)</f>
        <v/>
      </c>
      <c r="AE411" s="69">
        <f>IF(OR(Q411="",R411=""),"",(R411-Q411)*24)</f>
        <v/>
      </c>
      <c r="AF411" s="77">
        <f>IF(OR($A411="",B411=""),"",YEAR(B411))</f>
        <v/>
      </c>
      <c r="AG411" s="77">
        <f>IF(OR($A411="",B411=""),"",MONTH(B411))</f>
        <v/>
      </c>
    </row>
    <row r="412">
      <c r="A412" s="7" t="inlineStr">
        <is>
          <t>OT-2025-0408</t>
        </is>
      </c>
      <c r="B412" s="75" t="n">
        <v>45838.39583333334</v>
      </c>
      <c r="C412" s="7" t="inlineStr">
        <is>
          <t>Plan préventif</t>
        </is>
      </c>
      <c r="D412" s="7" t="inlineStr">
        <is>
          <t>EQ-ASS-001</t>
        </is>
      </c>
      <c r="E412" s="9">
        <f>IF(D412="","",IFERROR(INDEX('Équipements'!$B$5:$B$304,MATCH(D412,'Équipements'!$A$5:$A$304,0)),"Code inconnu"))</f>
        <v/>
      </c>
      <c r="F412" s="9">
        <f>IF(D412="","",IFERROR(INDEX('Équipements'!$D$5:$D$304,MATCH(D412,'Équipements'!$A$5:$A$304,0)),""))</f>
        <v/>
      </c>
      <c r="G412" s="9">
        <f>IF(D412="","",IFERROR(INDEX('Équipements'!$K$5:$K$304,MATCH(D412,'Équipements'!$A$5:$A$304,0)),""))</f>
        <v/>
      </c>
      <c r="H412" s="7" t="inlineStr">
        <is>
          <t>Préventif systématique</t>
        </is>
      </c>
      <c r="I412" s="7" t="inlineStr">
        <is>
          <t>GP-076</t>
        </is>
      </c>
      <c r="J412" s="7" t="inlineStr">
        <is>
          <t>Mécanique</t>
        </is>
      </c>
      <c r="K412" s="7" t="inlineStr">
        <is>
          <t>P3 - Normale</t>
        </is>
      </c>
      <c r="L412" s="7" t="inlineStr">
        <is>
          <t>Graissage chaîne / galets et contrôle tension</t>
        </is>
      </c>
      <c r="M412" s="7" t="n"/>
      <c r="N412" s="7" t="inlineStr">
        <is>
          <t>Gamme réalisée - RAS</t>
        </is>
      </c>
      <c r="O412" s="7" t="inlineStr">
        <is>
          <t>Lucas Fontaine</t>
        </is>
      </c>
      <c r="P412" s="65" t="n">
        <v>45845.39930555555</v>
      </c>
      <c r="Q412" s="75" t="n">
        <v>45845.61805555555</v>
      </c>
      <c r="R412" s="75" t="n">
        <v>45845.71180555555</v>
      </c>
      <c r="S412" s="76" t="n">
        <v>0</v>
      </c>
      <c r="T412" s="76" t="n">
        <v>2.25</v>
      </c>
      <c r="U412" s="70">
        <f>IF($A412="","",IFERROR(INDEX('Techniciens'!$F$5:$F$44,MATCH(O412,'Techniciens'!$B$5:$B$44,0)),'Paramètres'!$AA$10))</f>
        <v/>
      </c>
      <c r="V412" s="70">
        <f>IF($A412="","",IF(OR(AC412="Demandé",AC412="Planifié",AC412="Annulé"),0,N(T412)*N(U412)))</f>
        <v/>
      </c>
      <c r="W412" s="70">
        <f>IF($A412="","",SUMIFS('Mouvements stock'!$H$5:$H$3004,'Mouvements stock'!$I$5:$I$3004,$A412,'Mouvements stock'!$C$5:$C$3004,"Sortie")-SUMIFS('Mouvements stock'!$H$5:$H$3004,'Mouvements stock'!$I$5:$I$3004,$A412,'Mouvements stock'!$C$5:$C$3004,"Retour"))</f>
        <v/>
      </c>
      <c r="X412" s="66" t="n">
        <v>0</v>
      </c>
      <c r="Y412" s="66" t="n">
        <v>0</v>
      </c>
      <c r="Z412" s="7" t="n"/>
      <c r="AA412" s="70">
        <f>IF($A412="","",N(V412)+N(W412)+N(X412)+N(Y412))</f>
        <v/>
      </c>
      <c r="AB412" s="70">
        <f>IF($A412="","",N(S412)*'Paramètres'!$AA$9*IFERROR(INDEX('Paramètres'!$O$5:$O$7,MATCH(G412,'Paramètres'!$N$5:$N$7,0)),0))</f>
        <v/>
      </c>
      <c r="AC412" s="7" t="inlineStr">
        <is>
          <t>Clôturé</t>
        </is>
      </c>
      <c r="AD412" s="69">
        <f>IF(OR($A412="",Q412=""),"",(Q412-B412)*24)</f>
        <v/>
      </c>
      <c r="AE412" s="69">
        <f>IF(OR(Q412="",R412=""),"",(R412-Q412)*24)</f>
        <v/>
      </c>
      <c r="AF412" s="77">
        <f>IF(OR($A412="",B412=""),"",YEAR(B412))</f>
        <v/>
      </c>
      <c r="AG412" s="77">
        <f>IF(OR($A412="",B412=""),"",MONTH(B412))</f>
        <v/>
      </c>
    </row>
    <row r="413">
      <c r="A413" s="7" t="inlineStr">
        <is>
          <t>OT-2025-0409</t>
        </is>
      </c>
      <c r="B413" s="75" t="n">
        <v>45838.4375</v>
      </c>
      <c r="C413" s="7" t="inlineStr">
        <is>
          <t>Plan préventif</t>
        </is>
      </c>
      <c r="D413" s="7" t="inlineStr">
        <is>
          <t>EQ-TOL-007</t>
        </is>
      </c>
      <c r="E413" s="9">
        <f>IF(D413="","",IFERROR(INDEX('Équipements'!$B$5:$B$304,MATCH(D413,'Équipements'!$A$5:$A$304,0)),"Code inconnu"))</f>
        <v/>
      </c>
      <c r="F413" s="9">
        <f>IF(D413="","",IFERROR(INDEX('Équipements'!$D$5:$D$304,MATCH(D413,'Équipements'!$A$5:$A$304,0)),""))</f>
        <v/>
      </c>
      <c r="G413" s="9">
        <f>IF(D413="","",IFERROR(INDEX('Équipements'!$K$5:$K$304,MATCH(D413,'Équipements'!$A$5:$A$304,0)),""))</f>
        <v/>
      </c>
      <c r="H413" s="7" t="inlineStr">
        <is>
          <t>Préventif systématique</t>
        </is>
      </c>
      <c r="I413" s="7" t="inlineStr">
        <is>
          <t>GP-056</t>
        </is>
      </c>
      <c r="J413" s="7" t="inlineStr">
        <is>
          <t>Mécanique</t>
        </is>
      </c>
      <c r="K413" s="7" t="inlineStr">
        <is>
          <t>P3 - Normale</t>
        </is>
      </c>
      <c r="L413" s="7" t="inlineStr">
        <is>
          <t>Graissage chaîne / galets et contrôle tension</t>
        </is>
      </c>
      <c r="M413" s="7" t="n"/>
      <c r="N413" s="7" t="inlineStr">
        <is>
          <t>Gamme réalisée - RAS</t>
        </is>
      </c>
      <c r="O413" s="7" t="inlineStr">
        <is>
          <t>Antoine Mercier</t>
        </is>
      </c>
      <c r="P413" s="65" t="n">
        <v>45845.40625</v>
      </c>
      <c r="Q413" s="75" t="n">
        <v>45845.44444444445</v>
      </c>
      <c r="R413" s="75" t="n">
        <v>45845.52777777778</v>
      </c>
      <c r="S413" s="76" t="n">
        <v>0</v>
      </c>
      <c r="T413" s="76" t="n">
        <v>2</v>
      </c>
      <c r="U413" s="70">
        <f>IF($A413="","",IFERROR(INDEX('Techniciens'!$F$5:$F$44,MATCH(O413,'Techniciens'!$B$5:$B$44,0)),'Paramètres'!$AA$10))</f>
        <v/>
      </c>
      <c r="V413" s="70">
        <f>IF($A413="","",IF(OR(AC413="Demandé",AC413="Planifié",AC413="Annulé"),0,N(T413)*N(U413)))</f>
        <v/>
      </c>
      <c r="W413" s="70">
        <f>IF($A413="","",SUMIFS('Mouvements stock'!$H$5:$H$3004,'Mouvements stock'!$I$5:$I$3004,$A413,'Mouvements stock'!$C$5:$C$3004,"Sortie")-SUMIFS('Mouvements stock'!$H$5:$H$3004,'Mouvements stock'!$I$5:$I$3004,$A413,'Mouvements stock'!$C$5:$C$3004,"Retour"))</f>
        <v/>
      </c>
      <c r="X413" s="66" t="n">
        <v>0</v>
      </c>
      <c r="Y413" s="66" t="n">
        <v>0</v>
      </c>
      <c r="Z413" s="7" t="n"/>
      <c r="AA413" s="70">
        <f>IF($A413="","",N(V413)+N(W413)+N(X413)+N(Y413))</f>
        <v/>
      </c>
      <c r="AB413" s="70">
        <f>IF($A413="","",N(S413)*'Paramètres'!$AA$9*IFERROR(INDEX('Paramètres'!$O$5:$O$7,MATCH(G413,'Paramètres'!$N$5:$N$7,0)),0))</f>
        <v/>
      </c>
      <c r="AC413" s="7" t="inlineStr">
        <is>
          <t>Clôturé</t>
        </is>
      </c>
      <c r="AD413" s="69">
        <f>IF(OR($A413="",Q413=""),"",(Q413-B413)*24)</f>
        <v/>
      </c>
      <c r="AE413" s="69">
        <f>IF(OR(Q413="",R413=""),"",(R413-Q413)*24)</f>
        <v/>
      </c>
      <c r="AF413" s="77">
        <f>IF(OR($A413="",B413=""),"",YEAR(B413))</f>
        <v/>
      </c>
      <c r="AG413" s="77">
        <f>IF(OR($A413="",B413=""),"",MONTH(B413))</f>
        <v/>
      </c>
    </row>
    <row r="414">
      <c r="A414" s="7" t="inlineStr">
        <is>
          <t>OT-2025-0410</t>
        </is>
      </c>
      <c r="B414" s="75" t="n">
        <v>45838.49722222222</v>
      </c>
      <c r="C414" s="7" t="inlineStr">
        <is>
          <t>Inès Girard (cheffe d'équipe)</t>
        </is>
      </c>
      <c r="D414" s="7" t="inlineStr">
        <is>
          <t>EQ-PEI-001</t>
        </is>
      </c>
      <c r="E414" s="9">
        <f>IF(D414="","",IFERROR(INDEX('Équipements'!$B$5:$B$304,MATCH(D414,'Équipements'!$A$5:$A$304,0)),"Code inconnu"))</f>
        <v/>
      </c>
      <c r="F414" s="9">
        <f>IF(D414="","",IFERROR(INDEX('Équipements'!$D$5:$D$304,MATCH(D414,'Équipements'!$A$5:$A$304,0)),""))</f>
        <v/>
      </c>
      <c r="G414" s="9">
        <f>IF(D414="","",IFERROR(INDEX('Équipements'!$K$5:$K$304,MATCH(D414,'Équipements'!$A$5:$A$304,0)),""))</f>
        <v/>
      </c>
      <c r="H414" s="7" t="inlineStr">
        <is>
          <t>Correctif</t>
        </is>
      </c>
      <c r="I414" s="7" t="n"/>
      <c r="J414" s="7" t="inlineStr">
        <is>
          <t>Électrique</t>
        </is>
      </c>
      <c r="K414" s="7" t="inlineStr">
        <is>
          <t>P1 - Urgent</t>
        </is>
      </c>
      <c r="L414" s="7" t="inlineStr">
        <is>
          <t>Brûleur en sécurité (défaut flamme)</t>
        </is>
      </c>
      <c r="M414" s="7" t="inlineStr">
        <is>
          <t>Défaut capteur</t>
        </is>
      </c>
      <c r="N414" s="7" t="inlineStr">
        <is>
          <t>Remplacement sonde, réglage brûleur</t>
        </is>
      </c>
      <c r="O414" s="7" t="inlineStr">
        <is>
          <t>Julien Moreau</t>
        </is>
      </c>
      <c r="P414" s="65" t="n"/>
      <c r="Q414" s="75" t="n">
        <v>45838.50763888889</v>
      </c>
      <c r="R414" s="75" t="n">
        <v>45838.60138888889</v>
      </c>
      <c r="S414" s="76" t="n">
        <v>2.5</v>
      </c>
      <c r="T414" s="76" t="n">
        <v>2.25</v>
      </c>
      <c r="U414" s="70">
        <f>IF($A414="","",IFERROR(INDEX('Techniciens'!$F$5:$F$44,MATCH(O414,'Techniciens'!$B$5:$B$44,0)),'Paramètres'!$AA$10))</f>
        <v/>
      </c>
      <c r="V414" s="70">
        <f>IF($A414="","",IF(OR(AC414="Demandé",AC414="Planifié",AC414="Annulé"),0,N(T414)*N(U414)))</f>
        <v/>
      </c>
      <c r="W414" s="70">
        <f>IF($A414="","",SUMIFS('Mouvements stock'!$H$5:$H$3004,'Mouvements stock'!$I$5:$I$3004,$A414,'Mouvements stock'!$C$5:$C$3004,"Sortie")-SUMIFS('Mouvements stock'!$H$5:$H$3004,'Mouvements stock'!$I$5:$I$3004,$A414,'Mouvements stock'!$C$5:$C$3004,"Retour"))</f>
        <v/>
      </c>
      <c r="X414" s="66" t="n">
        <v>313</v>
      </c>
      <c r="Y414" s="66" t="n">
        <v>1010</v>
      </c>
      <c r="Z414" s="7" t="inlineStr">
        <is>
          <t>Surface Process Assistance</t>
        </is>
      </c>
      <c r="AA414" s="70">
        <f>IF($A414="","",N(V414)+N(W414)+N(X414)+N(Y414))</f>
        <v/>
      </c>
      <c r="AB414" s="70">
        <f>IF($A414="","",N(S414)*'Paramètres'!$AA$9*IFERROR(INDEX('Paramètres'!$O$5:$O$7,MATCH(G414,'Paramètres'!$N$5:$N$7,0)),0))</f>
        <v/>
      </c>
      <c r="AC414" s="7" t="inlineStr">
        <is>
          <t>Clôturé</t>
        </is>
      </c>
      <c r="AD414" s="69">
        <f>IF(OR($A414="",Q414=""),"",(Q414-B414)*24)</f>
        <v/>
      </c>
      <c r="AE414" s="69">
        <f>IF(OR(Q414="",R414=""),"",(R414-Q414)*24)</f>
        <v/>
      </c>
      <c r="AF414" s="77">
        <f>IF(OR($A414="",B414=""),"",YEAR(B414))</f>
        <v/>
      </c>
      <c r="AG414" s="77">
        <f>IF(OR($A414="",B414=""),"",MONTH(B414))</f>
        <v/>
      </c>
    </row>
    <row r="415">
      <c r="A415" s="7" t="inlineStr">
        <is>
          <t>OT-2025-0411</t>
        </is>
      </c>
      <c r="B415" s="75" t="n">
        <v>45839.38541666666</v>
      </c>
      <c r="C415" s="7" t="inlineStr">
        <is>
          <t>Plan préventif</t>
        </is>
      </c>
      <c r="D415" s="7" t="inlineStr">
        <is>
          <t>EQ-USI-001</t>
        </is>
      </c>
      <c r="E415" s="9">
        <f>IF(D415="","",IFERROR(INDEX('Équipements'!$B$5:$B$304,MATCH(D415,'Équipements'!$A$5:$A$304,0)),"Code inconnu"))</f>
        <v/>
      </c>
      <c r="F415" s="9">
        <f>IF(D415="","",IFERROR(INDEX('Équipements'!$D$5:$D$304,MATCH(D415,'Équipements'!$A$5:$A$304,0)),""))</f>
        <v/>
      </c>
      <c r="G415" s="9">
        <f>IF(D415="","",IFERROR(INDEX('Équipements'!$K$5:$K$304,MATCH(D415,'Équipements'!$A$5:$A$304,0)),""))</f>
        <v/>
      </c>
      <c r="H415" s="7" t="inlineStr">
        <is>
          <t>Préventif systématique</t>
        </is>
      </c>
      <c r="I415" s="7" t="inlineStr">
        <is>
          <t>GP-001</t>
        </is>
      </c>
      <c r="J415" s="7" t="inlineStr">
        <is>
          <t>Mécanique</t>
        </is>
      </c>
      <c r="K415" s="7" t="inlineStr">
        <is>
          <t>P3 - Normale</t>
        </is>
      </c>
      <c r="L415" s="7" t="inlineStr">
        <is>
          <t>Contrôle niveaux, nettoyage filtres et bac à copeaux</t>
        </is>
      </c>
      <c r="M415" s="7" t="n"/>
      <c r="N415" s="7" t="inlineStr">
        <is>
          <t>Gamme réalisée - serrages repris</t>
        </is>
      </c>
      <c r="O415" s="7" t="inlineStr">
        <is>
          <t>Antoine Mercier</t>
        </is>
      </c>
      <c r="P415" s="65" t="n">
        <v>45846.66666666666</v>
      </c>
      <c r="Q415" s="75" t="n">
        <v>45846.375</v>
      </c>
      <c r="R415" s="75" t="n">
        <v>45846.4375</v>
      </c>
      <c r="S415" s="76" t="n">
        <v>0</v>
      </c>
      <c r="T415" s="76" t="n">
        <v>1.5</v>
      </c>
      <c r="U415" s="70">
        <f>IF($A415="","",IFERROR(INDEX('Techniciens'!$F$5:$F$44,MATCH(O415,'Techniciens'!$B$5:$B$44,0)),'Paramètres'!$AA$10))</f>
        <v/>
      </c>
      <c r="V415" s="70">
        <f>IF($A415="","",IF(OR(AC415="Demandé",AC415="Planifié",AC415="Annulé"),0,N(T415)*N(U415)))</f>
        <v/>
      </c>
      <c r="W415" s="70">
        <f>IF($A415="","",SUMIFS('Mouvements stock'!$H$5:$H$3004,'Mouvements stock'!$I$5:$I$3004,$A415,'Mouvements stock'!$C$5:$C$3004,"Sortie")-SUMIFS('Mouvements stock'!$H$5:$H$3004,'Mouvements stock'!$I$5:$I$3004,$A415,'Mouvements stock'!$C$5:$C$3004,"Retour"))</f>
        <v/>
      </c>
      <c r="X415" s="66" t="n">
        <v>0</v>
      </c>
      <c r="Y415" s="66" t="n">
        <v>0</v>
      </c>
      <c r="Z415" s="7" t="n"/>
      <c r="AA415" s="70">
        <f>IF($A415="","",N(V415)+N(W415)+N(X415)+N(Y415))</f>
        <v/>
      </c>
      <c r="AB415" s="70">
        <f>IF($A415="","",N(S415)*'Paramètres'!$AA$9*IFERROR(INDEX('Paramètres'!$O$5:$O$7,MATCH(G415,'Paramètres'!$N$5:$N$7,0)),0))</f>
        <v/>
      </c>
      <c r="AC415" s="7" t="inlineStr">
        <is>
          <t>Clôturé</t>
        </is>
      </c>
      <c r="AD415" s="69">
        <f>IF(OR($A415="",Q415=""),"",(Q415-B415)*24)</f>
        <v/>
      </c>
      <c r="AE415" s="69">
        <f>IF(OR(Q415="",R415=""),"",(R415-Q415)*24)</f>
        <v/>
      </c>
      <c r="AF415" s="77">
        <f>IF(OR($A415="",B415=""),"",YEAR(B415))</f>
        <v/>
      </c>
      <c r="AG415" s="77">
        <f>IF(OR($A415="",B415=""),"",MONTH(B415))</f>
        <v/>
      </c>
    </row>
    <row r="416">
      <c r="A416" s="7" t="inlineStr">
        <is>
          <t>OT-2025-0412</t>
        </is>
      </c>
      <c r="B416" s="75" t="n">
        <v>45839.45833333334</v>
      </c>
      <c r="C416" s="7" t="inlineStr">
        <is>
          <t>Plan préventif</t>
        </is>
      </c>
      <c r="D416" s="7" t="inlineStr">
        <is>
          <t>EQ-SOU-001</t>
        </is>
      </c>
      <c r="E416" s="9">
        <f>IF(D416="","",IFERROR(INDEX('Équipements'!$B$5:$B$304,MATCH(D416,'Équipements'!$A$5:$A$304,0)),"Code inconnu"))</f>
        <v/>
      </c>
      <c r="F416" s="9">
        <f>IF(D416="","",IFERROR(INDEX('Équipements'!$D$5:$D$304,MATCH(D416,'Équipements'!$A$5:$A$304,0)),""))</f>
        <v/>
      </c>
      <c r="G416" s="9">
        <f>IF(D416="","",IFERROR(INDEX('Équipements'!$K$5:$K$304,MATCH(D416,'Équipements'!$A$5:$A$304,0)),""))</f>
        <v/>
      </c>
      <c r="H416" s="7" t="inlineStr">
        <is>
          <t>Préventif systématique</t>
        </is>
      </c>
      <c r="I416" s="7" t="inlineStr">
        <is>
          <t>GP-058</t>
        </is>
      </c>
      <c r="J416" s="7" t="inlineStr">
        <is>
          <t>Mécanique</t>
        </is>
      </c>
      <c r="K416" s="7" t="inlineStr">
        <is>
          <t>P3 - Normale</t>
        </is>
      </c>
      <c r="L416" s="7" t="inlineStr">
        <is>
          <t>Nettoyage torche et contrôle faisceau</t>
        </is>
      </c>
      <c r="M416" s="7" t="n"/>
      <c r="N416" s="7" t="inlineStr">
        <is>
          <t>Gamme réalisée - RAS</t>
        </is>
      </c>
      <c r="O416" s="7" t="inlineStr">
        <is>
          <t>Lucas Fontaine</t>
        </is>
      </c>
      <c r="P416" s="65" t="n">
        <v>45846.51041666666</v>
      </c>
      <c r="Q416" s="75" t="n">
        <v>45846.29166666666</v>
      </c>
      <c r="R416" s="75" t="n">
        <v>45846.33333333334</v>
      </c>
      <c r="S416" s="76" t="n">
        <v>1</v>
      </c>
      <c r="T416" s="76" t="n">
        <v>1</v>
      </c>
      <c r="U416" s="70">
        <f>IF($A416="","",IFERROR(INDEX('Techniciens'!$F$5:$F$44,MATCH(O416,'Techniciens'!$B$5:$B$44,0)),'Paramètres'!$AA$10))</f>
        <v/>
      </c>
      <c r="V416" s="70">
        <f>IF($A416="","",IF(OR(AC416="Demandé",AC416="Planifié",AC416="Annulé"),0,N(T416)*N(U416)))</f>
        <v/>
      </c>
      <c r="W416" s="70">
        <f>IF($A416="","",SUMIFS('Mouvements stock'!$H$5:$H$3004,'Mouvements stock'!$I$5:$I$3004,$A416,'Mouvements stock'!$C$5:$C$3004,"Sortie")-SUMIFS('Mouvements stock'!$H$5:$H$3004,'Mouvements stock'!$I$5:$I$3004,$A416,'Mouvements stock'!$C$5:$C$3004,"Retour"))</f>
        <v/>
      </c>
      <c r="X416" s="66" t="n">
        <v>0</v>
      </c>
      <c r="Y416" s="66" t="n">
        <v>0</v>
      </c>
      <c r="Z416" s="7" t="n"/>
      <c r="AA416" s="70">
        <f>IF($A416="","",N(V416)+N(W416)+N(X416)+N(Y416))</f>
        <v/>
      </c>
      <c r="AB416" s="70">
        <f>IF($A416="","",N(S416)*'Paramètres'!$AA$9*IFERROR(INDEX('Paramètres'!$O$5:$O$7,MATCH(G416,'Paramètres'!$N$5:$N$7,0)),0))</f>
        <v/>
      </c>
      <c r="AC416" s="7" t="inlineStr">
        <is>
          <t>Clôturé</t>
        </is>
      </c>
      <c r="AD416" s="69">
        <f>IF(OR($A416="",Q416=""),"",(Q416-B416)*24)</f>
        <v/>
      </c>
      <c r="AE416" s="69">
        <f>IF(OR(Q416="",R416=""),"",(R416-Q416)*24)</f>
        <v/>
      </c>
      <c r="AF416" s="77">
        <f>IF(OR($A416="",B416=""),"",YEAR(B416))</f>
        <v/>
      </c>
      <c r="AG416" s="77">
        <f>IF(OR($A416="",B416=""),"",MONTH(B416))</f>
        <v/>
      </c>
    </row>
    <row r="417">
      <c r="A417" s="7" t="inlineStr">
        <is>
          <t>OT-2025-0413</t>
        </is>
      </c>
      <c r="B417" s="75" t="n">
        <v>45840.625</v>
      </c>
      <c r="C417" s="7" t="inlineStr">
        <is>
          <t>Éric Laurent (chef d'atelier)</t>
        </is>
      </c>
      <c r="D417" s="7" t="inlineStr">
        <is>
          <t>EQ-USI-007</t>
        </is>
      </c>
      <c r="E417" s="9">
        <f>IF(D417="","",IFERROR(INDEX('Équipements'!$B$5:$B$304,MATCH(D417,'Équipements'!$A$5:$A$304,0)),"Code inconnu"))</f>
        <v/>
      </c>
      <c r="F417" s="9">
        <f>IF(D417="","",IFERROR(INDEX('Équipements'!$D$5:$D$304,MATCH(D417,'Équipements'!$A$5:$A$304,0)),""))</f>
        <v/>
      </c>
      <c r="G417" s="9">
        <f>IF(D417="","",IFERROR(INDEX('Équipements'!$K$5:$K$304,MATCH(D417,'Équipements'!$A$5:$A$304,0)),""))</f>
        <v/>
      </c>
      <c r="H417" s="7" t="inlineStr">
        <is>
          <t>Correctif</t>
        </is>
      </c>
      <c r="I417" s="7" t="n"/>
      <c r="J417" s="7" t="inlineStr">
        <is>
          <t>Mécanique</t>
        </is>
      </c>
      <c r="K417" s="7" t="inlineStr">
        <is>
          <t>P3 - Normale</t>
        </is>
      </c>
      <c r="L417" s="7" t="inlineStr">
        <is>
          <t>Défaut changeur d'outils (blocage bras)</t>
        </is>
      </c>
      <c r="M417" s="7" t="inlineStr">
        <is>
          <t>Usure</t>
        </is>
      </c>
      <c r="N417" s="7" t="inlineStr">
        <is>
          <t>Remplacement détecteur position bras et réglage</t>
        </is>
      </c>
      <c r="O417" s="7" t="inlineStr">
        <is>
          <t>Karim Benali</t>
        </is>
      </c>
      <c r="P417" s="65" t="n"/>
      <c r="Q417" s="75" t="n">
        <v>45841.775</v>
      </c>
      <c r="R417" s="75" t="n">
        <v>45841.95208333333</v>
      </c>
      <c r="S417" s="76" t="n">
        <v>4.2</v>
      </c>
      <c r="T417" s="76" t="n">
        <v>4.25</v>
      </c>
      <c r="U417" s="70">
        <f>IF($A417="","",IFERROR(INDEX('Techniciens'!$F$5:$F$44,MATCH(O417,'Techniciens'!$B$5:$B$44,0)),'Paramètres'!$AA$10))</f>
        <v/>
      </c>
      <c r="V417" s="70">
        <f>IF($A417="","",IF(OR(AC417="Demandé",AC417="Planifié",AC417="Annulé"),0,N(T417)*N(U417)))</f>
        <v/>
      </c>
      <c r="W417" s="70">
        <f>IF($A417="","",SUMIFS('Mouvements stock'!$H$5:$H$3004,'Mouvements stock'!$I$5:$I$3004,$A417,'Mouvements stock'!$C$5:$C$3004,"Sortie")-SUMIFS('Mouvements stock'!$H$5:$H$3004,'Mouvements stock'!$I$5:$I$3004,$A417,'Mouvements stock'!$C$5:$C$3004,"Retour"))</f>
        <v/>
      </c>
      <c r="X417" s="66" t="n">
        <v>0</v>
      </c>
      <c r="Y417" s="66" t="n">
        <v>0</v>
      </c>
      <c r="Z417" s="7" t="n"/>
      <c r="AA417" s="70">
        <f>IF($A417="","",N(V417)+N(W417)+N(X417)+N(Y417))</f>
        <v/>
      </c>
      <c r="AB417" s="70">
        <f>IF($A417="","",N(S417)*'Paramètres'!$AA$9*IFERROR(INDEX('Paramètres'!$O$5:$O$7,MATCH(G417,'Paramètres'!$N$5:$N$7,0)),0))</f>
        <v/>
      </c>
      <c r="AC417" s="7" t="inlineStr">
        <is>
          <t>Clôturé</t>
        </is>
      </c>
      <c r="AD417" s="69">
        <f>IF(OR($A417="",Q417=""),"",(Q417-B417)*24)</f>
        <v/>
      </c>
      <c r="AE417" s="69">
        <f>IF(OR(Q417="",R417=""),"",(R417-Q417)*24)</f>
        <v/>
      </c>
      <c r="AF417" s="77">
        <f>IF(OR($A417="",B417=""),"",YEAR(B417))</f>
        <v/>
      </c>
      <c r="AG417" s="77">
        <f>IF(OR($A417="",B417=""),"",MONTH(B417))</f>
        <v/>
      </c>
    </row>
    <row r="418">
      <c r="A418" s="7" t="inlineStr">
        <is>
          <t>OT-2025-0414</t>
        </is>
      </c>
      <c r="B418" s="75" t="n">
        <v>45841.36111111111</v>
      </c>
      <c r="C418" s="7" t="inlineStr">
        <is>
          <t>Plan préventif</t>
        </is>
      </c>
      <c r="D418" s="7" t="inlineStr">
        <is>
          <t>EQ-UTI-002</t>
        </is>
      </c>
      <c r="E418" s="9">
        <f>IF(D418="","",IFERROR(INDEX('Équipements'!$B$5:$B$304,MATCH(D418,'Équipements'!$A$5:$A$304,0)),"Code inconnu"))</f>
        <v/>
      </c>
      <c r="F418" s="9">
        <f>IF(D418="","",IFERROR(INDEX('Équipements'!$D$5:$D$304,MATCH(D418,'Équipements'!$A$5:$A$304,0)),""))</f>
        <v/>
      </c>
      <c r="G418" s="9">
        <f>IF(D418="","",IFERROR(INDEX('Équipements'!$K$5:$K$304,MATCH(D418,'Équipements'!$A$5:$A$304,0)),""))</f>
        <v/>
      </c>
      <c r="H418" s="7" t="inlineStr">
        <is>
          <t>Préventif conditionnel</t>
        </is>
      </c>
      <c r="I418" s="7" t="inlineStr">
        <is>
          <t>GP-089</t>
        </is>
      </c>
      <c r="J418" s="7" t="inlineStr">
        <is>
          <t>Mécanique</t>
        </is>
      </c>
      <c r="K418" s="7" t="inlineStr">
        <is>
          <t>P3 - Normale</t>
        </is>
      </c>
      <c r="L418" s="7" t="inlineStr">
        <is>
          <t>Entretien 2000 h : filtres air/huile, séparateur</t>
        </is>
      </c>
      <c r="M418" s="7" t="n"/>
      <c r="N418" s="7" t="inlineStr">
        <is>
          <t>Gamme réalisée - RAS</t>
        </is>
      </c>
      <c r="O418" s="7" t="inlineStr">
        <is>
          <t>Antoine Mercier</t>
        </is>
      </c>
      <c r="P418" s="65" t="n">
        <v>45848.67361111111</v>
      </c>
      <c r="Q418" s="75" t="n">
        <v>45848.38194444445</v>
      </c>
      <c r="R418" s="75" t="n">
        <v>45848.53819444445</v>
      </c>
      <c r="S418" s="76" t="n">
        <v>0</v>
      </c>
      <c r="T418" s="76" t="n">
        <v>3.75</v>
      </c>
      <c r="U418" s="70">
        <f>IF($A418="","",IFERROR(INDEX('Techniciens'!$F$5:$F$44,MATCH(O418,'Techniciens'!$B$5:$B$44,0)),'Paramètres'!$AA$10))</f>
        <v/>
      </c>
      <c r="V418" s="70">
        <f>IF($A418="","",IF(OR(AC418="Demandé",AC418="Planifié",AC418="Annulé"),0,N(T418)*N(U418)))</f>
        <v/>
      </c>
      <c r="W418" s="70">
        <f>IF($A418="","",SUMIFS('Mouvements stock'!$H$5:$H$3004,'Mouvements stock'!$I$5:$I$3004,$A418,'Mouvements stock'!$C$5:$C$3004,"Sortie")-SUMIFS('Mouvements stock'!$H$5:$H$3004,'Mouvements stock'!$I$5:$I$3004,$A418,'Mouvements stock'!$C$5:$C$3004,"Retour"))</f>
        <v/>
      </c>
      <c r="X418" s="66" t="n">
        <v>0</v>
      </c>
      <c r="Y418" s="66" t="n">
        <v>0</v>
      </c>
      <c r="Z418" s="7" t="n"/>
      <c r="AA418" s="70">
        <f>IF($A418="","",N(V418)+N(W418)+N(X418)+N(Y418))</f>
        <v/>
      </c>
      <c r="AB418" s="70">
        <f>IF($A418="","",N(S418)*'Paramètres'!$AA$9*IFERROR(INDEX('Paramètres'!$O$5:$O$7,MATCH(G418,'Paramètres'!$N$5:$N$7,0)),0))</f>
        <v/>
      </c>
      <c r="AC418" s="7" t="inlineStr">
        <is>
          <t>Clôturé</t>
        </is>
      </c>
      <c r="AD418" s="69">
        <f>IF(OR($A418="",Q418=""),"",(Q418-B418)*24)</f>
        <v/>
      </c>
      <c r="AE418" s="69">
        <f>IF(OR(Q418="",R418=""),"",(R418-Q418)*24)</f>
        <v/>
      </c>
      <c r="AF418" s="77">
        <f>IF(OR($A418="",B418=""),"",YEAR(B418))</f>
        <v/>
      </c>
      <c r="AG418" s="77">
        <f>IF(OR($A418="",B418=""),"",MONTH(B418))</f>
        <v/>
      </c>
    </row>
    <row r="419">
      <c r="A419" s="7" t="inlineStr">
        <is>
          <t>OT-2025-0415</t>
        </is>
      </c>
      <c r="B419" s="75" t="n">
        <v>45842.34027777778</v>
      </c>
      <c r="C419" s="7" t="inlineStr">
        <is>
          <t>Plan préventif</t>
        </is>
      </c>
      <c r="D419" s="7" t="inlineStr">
        <is>
          <t>EQ-ASS-002</t>
        </is>
      </c>
      <c r="E419" s="9">
        <f>IF(D419="","",IFERROR(INDEX('Équipements'!$B$5:$B$304,MATCH(D419,'Équipements'!$A$5:$A$304,0)),"Code inconnu"))</f>
        <v/>
      </c>
      <c r="F419" s="9">
        <f>IF(D419="","",IFERROR(INDEX('Équipements'!$D$5:$D$304,MATCH(D419,'Équipements'!$A$5:$A$304,0)),""))</f>
        <v/>
      </c>
      <c r="G419" s="9">
        <f>IF(D419="","",IFERROR(INDEX('Équipements'!$K$5:$K$304,MATCH(D419,'Équipements'!$A$5:$A$304,0)),""))</f>
        <v/>
      </c>
      <c r="H419" s="7" t="inlineStr">
        <is>
          <t>Préventif systématique</t>
        </is>
      </c>
      <c r="I419" s="7" t="inlineStr">
        <is>
          <t>GP-078</t>
        </is>
      </c>
      <c r="J419" s="7" t="inlineStr">
        <is>
          <t>Hydraulique</t>
        </is>
      </c>
      <c r="K419" s="7" t="inlineStr">
        <is>
          <t>P3 - Normale</t>
        </is>
      </c>
      <c r="L419" s="7" t="inlineStr">
        <is>
          <t>Contrôle hydraulique : fuites, niveaux, pressions</t>
        </is>
      </c>
      <c r="M419" s="7" t="n"/>
      <c r="N419" s="7" t="inlineStr">
        <is>
          <t>Gamme réalisée - RAS</t>
        </is>
      </c>
      <c r="O419" s="7" t="inlineStr">
        <is>
          <t>Karim Benali</t>
        </is>
      </c>
      <c r="P419" s="65" t="n">
        <v>45849.50694444445</v>
      </c>
      <c r="Q419" s="75" t="n">
        <v>45849.36458333334</v>
      </c>
      <c r="R419" s="75" t="n">
        <v>45849.47916666666</v>
      </c>
      <c r="S419" s="76" t="n">
        <v>2.8</v>
      </c>
      <c r="T419" s="76" t="n">
        <v>2.75</v>
      </c>
      <c r="U419" s="70">
        <f>IF($A419="","",IFERROR(INDEX('Techniciens'!$F$5:$F$44,MATCH(O419,'Techniciens'!$B$5:$B$44,0)),'Paramètres'!$AA$10))</f>
        <v/>
      </c>
      <c r="V419" s="70">
        <f>IF($A419="","",IF(OR(AC419="Demandé",AC419="Planifié",AC419="Annulé"),0,N(T419)*N(U419)))</f>
        <v/>
      </c>
      <c r="W419" s="70">
        <f>IF($A419="","",SUMIFS('Mouvements stock'!$H$5:$H$3004,'Mouvements stock'!$I$5:$I$3004,$A419,'Mouvements stock'!$C$5:$C$3004,"Sortie")-SUMIFS('Mouvements stock'!$H$5:$H$3004,'Mouvements stock'!$I$5:$I$3004,$A419,'Mouvements stock'!$C$5:$C$3004,"Retour"))</f>
        <v/>
      </c>
      <c r="X419" s="66" t="n">
        <v>0</v>
      </c>
      <c r="Y419" s="66" t="n">
        <v>0</v>
      </c>
      <c r="Z419" s="7" t="n"/>
      <c r="AA419" s="70">
        <f>IF($A419="","",N(V419)+N(W419)+N(X419)+N(Y419))</f>
        <v/>
      </c>
      <c r="AB419" s="70">
        <f>IF($A419="","",N(S419)*'Paramètres'!$AA$9*IFERROR(INDEX('Paramètres'!$O$5:$O$7,MATCH(G419,'Paramètres'!$N$5:$N$7,0)),0))</f>
        <v/>
      </c>
      <c r="AC419" s="7" t="inlineStr">
        <is>
          <t>Clôturé</t>
        </is>
      </c>
      <c r="AD419" s="69">
        <f>IF(OR($A419="",Q419=""),"",(Q419-B419)*24)</f>
        <v/>
      </c>
      <c r="AE419" s="69">
        <f>IF(OR(Q419="",R419=""),"",(R419-Q419)*24)</f>
        <v/>
      </c>
      <c r="AF419" s="77">
        <f>IF(OR($A419="",B419=""),"",YEAR(B419))</f>
        <v/>
      </c>
      <c r="AG419" s="77">
        <f>IF(OR($A419="",B419=""),"",MONTH(B419))</f>
        <v/>
      </c>
    </row>
    <row r="420">
      <c r="A420" s="7" t="inlineStr">
        <is>
          <t>OT-2025-0416</t>
        </is>
      </c>
      <c r="B420" s="75" t="n">
        <v>45843.43402777778</v>
      </c>
      <c r="C420" s="7" t="inlineStr">
        <is>
          <t>Opérateur peinture</t>
        </is>
      </c>
      <c r="D420" s="7" t="inlineStr">
        <is>
          <t>EQ-PEI-005</t>
        </is>
      </c>
      <c r="E420" s="9">
        <f>IF(D420="","",IFERROR(INDEX('Équipements'!$B$5:$B$304,MATCH(D420,'Équipements'!$A$5:$A$304,0)),"Code inconnu"))</f>
        <v/>
      </c>
      <c r="F420" s="9">
        <f>IF(D420="","",IFERROR(INDEX('Équipements'!$D$5:$D$304,MATCH(D420,'Équipements'!$A$5:$A$304,0)),""))</f>
        <v/>
      </c>
      <c r="G420" s="9">
        <f>IF(D420="","",IFERROR(INDEX('Équipements'!$K$5:$K$304,MATCH(D420,'Équipements'!$A$5:$A$304,0)),""))</f>
        <v/>
      </c>
      <c r="H420" s="7" t="inlineStr">
        <is>
          <t>Correctif</t>
        </is>
      </c>
      <c r="I420" s="7" t="n"/>
      <c r="J420" s="7" t="inlineStr">
        <is>
          <t>Électrique</t>
        </is>
      </c>
      <c r="K420" s="7" t="inlineStr">
        <is>
          <t>P3 - Normale</t>
        </is>
      </c>
      <c r="L420" s="7" t="inlineStr">
        <is>
          <t>Température de bain hors tolérance</t>
        </is>
      </c>
      <c r="M420" s="7" t="inlineStr">
        <is>
          <t>Cause inconnue</t>
        </is>
      </c>
      <c r="N420" s="7" t="inlineStr">
        <is>
          <t>Remplacement sonde PT100</t>
        </is>
      </c>
      <c r="O420" s="7" t="inlineStr">
        <is>
          <t>Antoine Mercier</t>
        </is>
      </c>
      <c r="P420" s="65" t="n"/>
      <c r="Q420" s="75" t="n">
        <v>45844.22152777778</v>
      </c>
      <c r="R420" s="75" t="n">
        <v>45844.39861111111</v>
      </c>
      <c r="S420" s="76" t="n">
        <v>0</v>
      </c>
      <c r="T420" s="76" t="n">
        <v>4.25</v>
      </c>
      <c r="U420" s="70">
        <f>IF($A420="","",IFERROR(INDEX('Techniciens'!$F$5:$F$44,MATCH(O420,'Techniciens'!$B$5:$B$44,0)),'Paramètres'!$AA$10))</f>
        <v/>
      </c>
      <c r="V420" s="70">
        <f>IF($A420="","",IF(OR(AC420="Demandé",AC420="Planifié",AC420="Annulé"),0,N(T420)*N(U420)))</f>
        <v/>
      </c>
      <c r="W420" s="70">
        <f>IF($A420="","",SUMIFS('Mouvements stock'!$H$5:$H$3004,'Mouvements stock'!$I$5:$I$3004,$A420,'Mouvements stock'!$C$5:$C$3004,"Sortie")-SUMIFS('Mouvements stock'!$H$5:$H$3004,'Mouvements stock'!$I$5:$I$3004,$A420,'Mouvements stock'!$C$5:$C$3004,"Retour"))</f>
        <v/>
      </c>
      <c r="X420" s="66" t="n">
        <v>0</v>
      </c>
      <c r="Y420" s="66" t="n">
        <v>0</v>
      </c>
      <c r="Z420" s="7" t="n"/>
      <c r="AA420" s="70">
        <f>IF($A420="","",N(V420)+N(W420)+N(X420)+N(Y420))</f>
        <v/>
      </c>
      <c r="AB420" s="70">
        <f>IF($A420="","",N(S420)*'Paramètres'!$AA$9*IFERROR(INDEX('Paramètres'!$O$5:$O$7,MATCH(G420,'Paramètres'!$N$5:$N$7,0)),0))</f>
        <v/>
      </c>
      <c r="AC420" s="7" t="inlineStr">
        <is>
          <t>Clôturé</t>
        </is>
      </c>
      <c r="AD420" s="69">
        <f>IF(OR($A420="",Q420=""),"",(Q420-B420)*24)</f>
        <v/>
      </c>
      <c r="AE420" s="69">
        <f>IF(OR(Q420="",R420=""),"",(R420-Q420)*24)</f>
        <v/>
      </c>
      <c r="AF420" s="77">
        <f>IF(OR($A420="",B420=""),"",YEAR(B420))</f>
        <v/>
      </c>
      <c r="AG420" s="77">
        <f>IF(OR($A420="",B420=""),"",MONTH(B420))</f>
        <v/>
      </c>
    </row>
    <row r="421">
      <c r="A421" s="7" t="inlineStr">
        <is>
          <t>OT-2025-0417</t>
        </is>
      </c>
      <c r="B421" s="75" t="n">
        <v>45845.34375</v>
      </c>
      <c r="C421" s="7" t="inlineStr">
        <is>
          <t>Plan préventif</t>
        </is>
      </c>
      <c r="D421" s="7" t="inlineStr">
        <is>
          <t>EQ-USI-012</t>
        </is>
      </c>
      <c r="E421" s="9">
        <f>IF(D421="","",IFERROR(INDEX('Équipements'!$B$5:$B$304,MATCH(D421,'Équipements'!$A$5:$A$304,0)),"Code inconnu"))</f>
        <v/>
      </c>
      <c r="F421" s="9">
        <f>IF(D421="","",IFERROR(INDEX('Équipements'!$D$5:$D$304,MATCH(D421,'Équipements'!$A$5:$A$304,0)),""))</f>
        <v/>
      </c>
      <c r="G421" s="9">
        <f>IF(D421="","",IFERROR(INDEX('Équipements'!$K$5:$K$304,MATCH(D421,'Équipements'!$A$5:$A$304,0)),""))</f>
        <v/>
      </c>
      <c r="H421" s="7" t="inlineStr">
        <is>
          <t>Préventif systématique</t>
        </is>
      </c>
      <c r="I421" s="7" t="inlineStr">
        <is>
          <t>GP-035</t>
        </is>
      </c>
      <c r="J421" s="7" t="inlineStr">
        <is>
          <t>Mécanique</t>
        </is>
      </c>
      <c r="K421" s="7" t="inlineStr">
        <is>
          <t>P3 - Normale</t>
        </is>
      </c>
      <c r="L421" s="7" t="inlineStr">
        <is>
          <t>Nettoyage torche et contrôle faisceau</t>
        </is>
      </c>
      <c r="M421" s="7" t="n"/>
      <c r="N421" s="7" t="inlineStr">
        <is>
          <t>Gamme réalisée - RAS</t>
        </is>
      </c>
      <c r="O421" s="7" t="inlineStr">
        <is>
          <t>Lucas Fontaine</t>
        </is>
      </c>
      <c r="P421" s="65" t="n">
        <v>45852</v>
      </c>
      <c r="Q421" s="75" t="n">
        <v>45852.27083333334</v>
      </c>
      <c r="R421" s="75" t="n">
        <v>45852.30208333334</v>
      </c>
      <c r="S421" s="76" t="n">
        <v>0.4</v>
      </c>
      <c r="T421" s="76" t="n">
        <v>0.75</v>
      </c>
      <c r="U421" s="70">
        <f>IF($A421="","",IFERROR(INDEX('Techniciens'!$F$5:$F$44,MATCH(O421,'Techniciens'!$B$5:$B$44,0)),'Paramètres'!$AA$10))</f>
        <v/>
      </c>
      <c r="V421" s="70">
        <f>IF($A421="","",IF(OR(AC421="Demandé",AC421="Planifié",AC421="Annulé"),0,N(T421)*N(U421)))</f>
        <v/>
      </c>
      <c r="W421" s="70">
        <f>IF($A421="","",SUMIFS('Mouvements stock'!$H$5:$H$3004,'Mouvements stock'!$I$5:$I$3004,$A421,'Mouvements stock'!$C$5:$C$3004,"Sortie")-SUMIFS('Mouvements stock'!$H$5:$H$3004,'Mouvements stock'!$I$5:$I$3004,$A421,'Mouvements stock'!$C$5:$C$3004,"Retour"))</f>
        <v/>
      </c>
      <c r="X421" s="66" t="n">
        <v>0</v>
      </c>
      <c r="Y421" s="66" t="n">
        <v>0</v>
      </c>
      <c r="Z421" s="7" t="n"/>
      <c r="AA421" s="70">
        <f>IF($A421="","",N(V421)+N(W421)+N(X421)+N(Y421))</f>
        <v/>
      </c>
      <c r="AB421" s="70">
        <f>IF($A421="","",N(S421)*'Paramètres'!$AA$9*IFERROR(INDEX('Paramètres'!$O$5:$O$7,MATCH(G421,'Paramètres'!$N$5:$N$7,0)),0))</f>
        <v/>
      </c>
      <c r="AC421" s="7" t="inlineStr">
        <is>
          <t>Clôturé</t>
        </is>
      </c>
      <c r="AD421" s="69">
        <f>IF(OR($A421="",Q421=""),"",(Q421-B421)*24)</f>
        <v/>
      </c>
      <c r="AE421" s="69">
        <f>IF(OR(Q421="",R421=""),"",(R421-Q421)*24)</f>
        <v/>
      </c>
      <c r="AF421" s="77">
        <f>IF(OR($A421="",B421=""),"",YEAR(B421))</f>
        <v/>
      </c>
      <c r="AG421" s="77">
        <f>IF(OR($A421="",B421=""),"",MONTH(B421))</f>
        <v/>
      </c>
    </row>
    <row r="422">
      <c r="A422" s="7" t="inlineStr">
        <is>
          <t>OT-2025-0418</t>
        </is>
      </c>
      <c r="B422" s="75" t="n">
        <v>45845.40625</v>
      </c>
      <c r="C422" s="7" t="inlineStr">
        <is>
          <t>Plan préventif</t>
        </is>
      </c>
      <c r="D422" s="7" t="inlineStr">
        <is>
          <t>EQ-UTI-003</t>
        </is>
      </c>
      <c r="E422" s="9">
        <f>IF(D422="","",IFERROR(INDEX('Équipements'!$B$5:$B$304,MATCH(D422,'Équipements'!$A$5:$A$304,0)),"Code inconnu"))</f>
        <v/>
      </c>
      <c r="F422" s="9">
        <f>IF(D422="","",IFERROR(INDEX('Équipements'!$D$5:$D$304,MATCH(D422,'Équipements'!$A$5:$A$304,0)),""))</f>
        <v/>
      </c>
      <c r="G422" s="9">
        <f>IF(D422="","",IFERROR(INDEX('Équipements'!$K$5:$K$304,MATCH(D422,'Équipements'!$A$5:$A$304,0)),""))</f>
        <v/>
      </c>
      <c r="H422" s="7" t="inlineStr">
        <is>
          <t>Préventif systématique</t>
        </is>
      </c>
      <c r="I422" s="7" t="inlineStr">
        <is>
          <t>GP-092</t>
        </is>
      </c>
      <c r="J422" s="7" t="inlineStr">
        <is>
          <t>Pneumatique</t>
        </is>
      </c>
      <c r="K422" s="7" t="inlineStr">
        <is>
          <t>P3 - Normale</t>
        </is>
      </c>
      <c r="L422" s="7" t="inlineStr">
        <is>
          <t>Purge, contrôle fuites et point de rosée</t>
        </is>
      </c>
      <c r="M422" s="7" t="n"/>
      <c r="N422" s="7" t="inlineStr">
        <is>
          <t>Gamme réalisée - RAS</t>
        </is>
      </c>
      <c r="O422" s="7" t="inlineStr">
        <is>
          <t>Julien Moreau</t>
        </is>
      </c>
      <c r="P422" s="65" t="n">
        <v>45852.67361111111</v>
      </c>
      <c r="Q422" s="75" t="n">
        <v>45852.5</v>
      </c>
      <c r="R422" s="75" t="n">
        <v>45852.5625</v>
      </c>
      <c r="S422" s="76" t="n">
        <v>0</v>
      </c>
      <c r="T422" s="76" t="n">
        <v>1.5</v>
      </c>
      <c r="U422" s="70">
        <f>IF($A422="","",IFERROR(INDEX('Techniciens'!$F$5:$F$44,MATCH(O422,'Techniciens'!$B$5:$B$44,0)),'Paramètres'!$AA$10))</f>
        <v/>
      </c>
      <c r="V422" s="70">
        <f>IF($A422="","",IF(OR(AC422="Demandé",AC422="Planifié",AC422="Annulé"),0,N(T422)*N(U422)))</f>
        <v/>
      </c>
      <c r="W422" s="70">
        <f>IF($A422="","",SUMIFS('Mouvements stock'!$H$5:$H$3004,'Mouvements stock'!$I$5:$I$3004,$A422,'Mouvements stock'!$C$5:$C$3004,"Sortie")-SUMIFS('Mouvements stock'!$H$5:$H$3004,'Mouvements stock'!$I$5:$I$3004,$A422,'Mouvements stock'!$C$5:$C$3004,"Retour"))</f>
        <v/>
      </c>
      <c r="X422" s="66" t="n">
        <v>0</v>
      </c>
      <c r="Y422" s="66" t="n">
        <v>0</v>
      </c>
      <c r="Z422" s="7" t="n"/>
      <c r="AA422" s="70">
        <f>IF($A422="","",N(V422)+N(W422)+N(X422)+N(Y422))</f>
        <v/>
      </c>
      <c r="AB422" s="70">
        <f>IF($A422="","",N(S422)*'Paramètres'!$AA$9*IFERROR(INDEX('Paramètres'!$O$5:$O$7,MATCH(G422,'Paramètres'!$N$5:$N$7,0)),0))</f>
        <v/>
      </c>
      <c r="AC422" s="7" t="inlineStr">
        <is>
          <t>Clôturé</t>
        </is>
      </c>
      <c r="AD422" s="69">
        <f>IF(OR($A422="",Q422=""),"",(Q422-B422)*24)</f>
        <v/>
      </c>
      <c r="AE422" s="69">
        <f>IF(OR(Q422="",R422=""),"",(R422-Q422)*24)</f>
        <v/>
      </c>
      <c r="AF422" s="77">
        <f>IF(OR($A422="",B422=""),"",YEAR(B422))</f>
        <v/>
      </c>
      <c r="AG422" s="77">
        <f>IF(OR($A422="",B422=""),"",MONTH(B422))</f>
        <v/>
      </c>
    </row>
    <row r="423">
      <c r="A423" s="7" t="inlineStr">
        <is>
          <t>OT-2025-0419</t>
        </is>
      </c>
      <c r="B423" s="75" t="n">
        <v>45845.40625</v>
      </c>
      <c r="C423" s="7" t="inlineStr">
        <is>
          <t>Plan préventif</t>
        </is>
      </c>
      <c r="D423" s="7" t="inlineStr">
        <is>
          <t>EQ-LOG-008</t>
        </is>
      </c>
      <c r="E423" s="9">
        <f>IF(D423="","",IFERROR(INDEX('Équipements'!$B$5:$B$304,MATCH(D423,'Équipements'!$A$5:$A$304,0)),"Code inconnu"))</f>
        <v/>
      </c>
      <c r="F423" s="9">
        <f>IF(D423="","",IFERROR(INDEX('Équipements'!$D$5:$D$304,MATCH(D423,'Équipements'!$A$5:$A$304,0)),""))</f>
        <v/>
      </c>
      <c r="G423" s="9">
        <f>IF(D423="","",IFERROR(INDEX('Équipements'!$K$5:$K$304,MATCH(D423,'Équipements'!$A$5:$A$304,0)),""))</f>
        <v/>
      </c>
      <c r="H423" s="7" t="inlineStr">
        <is>
          <t>Préventif systématique</t>
        </is>
      </c>
      <c r="I423" s="7" t="inlineStr">
        <is>
          <t>GP-119</t>
        </is>
      </c>
      <c r="J423" s="7" t="inlineStr">
        <is>
          <t>Mécanique</t>
        </is>
      </c>
      <c r="K423" s="7" t="inlineStr">
        <is>
          <t>P3 - Normale</t>
        </is>
      </c>
      <c r="L423" s="7" t="inlineStr">
        <is>
          <t>Contrôle câbles, crochets, freins et fins de course</t>
        </is>
      </c>
      <c r="M423" s="7" t="n"/>
      <c r="N423" s="7" t="inlineStr">
        <is>
          <t>Gamme réalisée - RAS</t>
        </is>
      </c>
      <c r="O423" s="7" t="inlineStr">
        <is>
          <t>Karim Benali</t>
        </is>
      </c>
      <c r="P423" s="65" t="n">
        <v>45852.39930555555</v>
      </c>
      <c r="Q423" s="75" t="n">
        <v>45852.47222222222</v>
      </c>
      <c r="R423" s="75" t="n">
        <v>45852.57638888889</v>
      </c>
      <c r="S423" s="76" t="n">
        <v>0</v>
      </c>
      <c r="T423" s="76" t="n">
        <v>2.5</v>
      </c>
      <c r="U423" s="70">
        <f>IF($A423="","",IFERROR(INDEX('Techniciens'!$F$5:$F$44,MATCH(O423,'Techniciens'!$B$5:$B$44,0)),'Paramètres'!$AA$10))</f>
        <v/>
      </c>
      <c r="V423" s="70">
        <f>IF($A423="","",IF(OR(AC423="Demandé",AC423="Planifié",AC423="Annulé"),0,N(T423)*N(U423)))</f>
        <v/>
      </c>
      <c r="W423" s="70">
        <f>IF($A423="","",SUMIFS('Mouvements stock'!$H$5:$H$3004,'Mouvements stock'!$I$5:$I$3004,$A423,'Mouvements stock'!$C$5:$C$3004,"Sortie")-SUMIFS('Mouvements stock'!$H$5:$H$3004,'Mouvements stock'!$I$5:$I$3004,$A423,'Mouvements stock'!$C$5:$C$3004,"Retour"))</f>
        <v/>
      </c>
      <c r="X423" s="66" t="n">
        <v>0</v>
      </c>
      <c r="Y423" s="66" t="n">
        <v>0</v>
      </c>
      <c r="Z423" s="7" t="n"/>
      <c r="AA423" s="70">
        <f>IF($A423="","",N(V423)+N(W423)+N(X423)+N(Y423))</f>
        <v/>
      </c>
      <c r="AB423" s="70">
        <f>IF($A423="","",N(S423)*'Paramètres'!$AA$9*IFERROR(INDEX('Paramètres'!$O$5:$O$7,MATCH(G423,'Paramètres'!$N$5:$N$7,0)),0))</f>
        <v/>
      </c>
      <c r="AC423" s="7" t="inlineStr">
        <is>
          <t>Clôturé</t>
        </is>
      </c>
      <c r="AD423" s="69">
        <f>IF(OR($A423="",Q423=""),"",(Q423-B423)*24)</f>
        <v/>
      </c>
      <c r="AE423" s="69">
        <f>IF(OR(Q423="",R423=""),"",(R423-Q423)*24)</f>
        <v/>
      </c>
      <c r="AF423" s="77">
        <f>IF(OR($A423="",B423=""),"",YEAR(B423))</f>
        <v/>
      </c>
      <c r="AG423" s="77">
        <f>IF(OR($A423="",B423=""),"",MONTH(B423))</f>
        <v/>
      </c>
    </row>
    <row r="424">
      <c r="A424" s="7" t="inlineStr">
        <is>
          <t>OT-2025-0420</t>
        </is>
      </c>
      <c r="B424" s="75" t="n">
        <v>45845.40972222222</v>
      </c>
      <c r="C424" s="7" t="inlineStr">
        <is>
          <t>Plan préventif</t>
        </is>
      </c>
      <c r="D424" s="7" t="inlineStr">
        <is>
          <t>EQ-USI-003</t>
        </is>
      </c>
      <c r="E424" s="9">
        <f>IF(D424="","",IFERROR(INDEX('Équipements'!$B$5:$B$304,MATCH(D424,'Équipements'!$A$5:$A$304,0)),"Code inconnu"))</f>
        <v/>
      </c>
      <c r="F424" s="9">
        <f>IF(D424="","",IFERROR(INDEX('Équipements'!$D$5:$D$304,MATCH(D424,'Équipements'!$A$5:$A$304,0)),""))</f>
        <v/>
      </c>
      <c r="G424" s="9">
        <f>IF(D424="","",IFERROR(INDEX('Équipements'!$K$5:$K$304,MATCH(D424,'Équipements'!$A$5:$A$304,0)),""))</f>
        <v/>
      </c>
      <c r="H424" s="7" t="inlineStr">
        <is>
          <t>Préventif systématique</t>
        </is>
      </c>
      <c r="I424" s="7" t="inlineStr">
        <is>
          <t>GP-009</t>
        </is>
      </c>
      <c r="J424" s="7" t="inlineStr">
        <is>
          <t>Mécanique</t>
        </is>
      </c>
      <c r="K424" s="7" t="inlineStr">
        <is>
          <t>P3 - Normale</t>
        </is>
      </c>
      <c r="L424" s="7" t="inlineStr">
        <is>
          <t>Contrôle niveaux, nettoyage filtres et bac à copeaux</t>
        </is>
      </c>
      <c r="M424" s="7" t="n"/>
      <c r="N424" s="7" t="inlineStr">
        <is>
          <t>Gamme réalisée - RAS</t>
        </is>
      </c>
      <c r="O424" s="7" t="inlineStr">
        <is>
          <t>Lucas Fontaine</t>
        </is>
      </c>
      <c r="P424" s="65" t="n">
        <v>45852.54166666666</v>
      </c>
      <c r="Q424" s="75" t="n">
        <v>45852.51388888889</v>
      </c>
      <c r="R424" s="75" t="n">
        <v>45852.56597222222</v>
      </c>
      <c r="S424" s="76" t="n">
        <v>1.2</v>
      </c>
      <c r="T424" s="76" t="n">
        <v>1.25</v>
      </c>
      <c r="U424" s="70">
        <f>IF($A424="","",IFERROR(INDEX('Techniciens'!$F$5:$F$44,MATCH(O424,'Techniciens'!$B$5:$B$44,0)),'Paramètres'!$AA$10))</f>
        <v/>
      </c>
      <c r="V424" s="70">
        <f>IF($A424="","",IF(OR(AC424="Demandé",AC424="Planifié",AC424="Annulé"),0,N(T424)*N(U424)))</f>
        <v/>
      </c>
      <c r="W424" s="70">
        <f>IF($A424="","",SUMIFS('Mouvements stock'!$H$5:$H$3004,'Mouvements stock'!$I$5:$I$3004,$A424,'Mouvements stock'!$C$5:$C$3004,"Sortie")-SUMIFS('Mouvements stock'!$H$5:$H$3004,'Mouvements stock'!$I$5:$I$3004,$A424,'Mouvements stock'!$C$5:$C$3004,"Retour"))</f>
        <v/>
      </c>
      <c r="X424" s="66" t="n">
        <v>0</v>
      </c>
      <c r="Y424" s="66" t="n">
        <v>0</v>
      </c>
      <c r="Z424" s="7" t="n"/>
      <c r="AA424" s="70">
        <f>IF($A424="","",N(V424)+N(W424)+N(X424)+N(Y424))</f>
        <v/>
      </c>
      <c r="AB424" s="70">
        <f>IF($A424="","",N(S424)*'Paramètres'!$AA$9*IFERROR(INDEX('Paramètres'!$O$5:$O$7,MATCH(G424,'Paramètres'!$N$5:$N$7,0)),0))</f>
        <v/>
      </c>
      <c r="AC424" s="7" t="inlineStr">
        <is>
          <t>Clôturé</t>
        </is>
      </c>
      <c r="AD424" s="69">
        <f>IF(OR($A424="",Q424=""),"",(Q424-B424)*24)</f>
        <v/>
      </c>
      <c r="AE424" s="69">
        <f>IF(OR(Q424="",R424=""),"",(R424-Q424)*24)</f>
        <v/>
      </c>
      <c r="AF424" s="77">
        <f>IF(OR($A424="",B424=""),"",YEAR(B424))</f>
        <v/>
      </c>
      <c r="AG424" s="77">
        <f>IF(OR($A424="",B424=""),"",MONTH(B424))</f>
        <v/>
      </c>
    </row>
    <row r="425">
      <c r="A425" s="7" t="inlineStr">
        <is>
          <t>OT-2025-0421</t>
        </is>
      </c>
      <c r="B425" s="75" t="n">
        <v>45845.40972222222</v>
      </c>
      <c r="C425" s="7" t="inlineStr">
        <is>
          <t>Plan préventif</t>
        </is>
      </c>
      <c r="D425" s="7" t="inlineStr">
        <is>
          <t>EQ-LOG-002</t>
        </is>
      </c>
      <c r="E425" s="9">
        <f>IF(D425="","",IFERROR(INDEX('Équipements'!$B$5:$B$304,MATCH(D425,'Équipements'!$A$5:$A$304,0)),"Code inconnu"))</f>
        <v/>
      </c>
      <c r="F425" s="9">
        <f>IF(D425="","",IFERROR(INDEX('Équipements'!$D$5:$D$304,MATCH(D425,'Équipements'!$A$5:$A$304,0)),""))</f>
        <v/>
      </c>
      <c r="G425" s="9">
        <f>IF(D425="","",IFERROR(INDEX('Équipements'!$K$5:$K$304,MATCH(D425,'Équipements'!$A$5:$A$304,0)),""))</f>
        <v/>
      </c>
      <c r="H425" s="7" t="inlineStr">
        <is>
          <t>Préventif systématique</t>
        </is>
      </c>
      <c r="I425" s="7" t="inlineStr">
        <is>
          <t>GP-107</t>
        </is>
      </c>
      <c r="J425" s="7" t="inlineStr">
        <is>
          <t>Multi-technique</t>
        </is>
      </c>
      <c r="K425" s="7" t="inlineStr">
        <is>
          <t>P3 - Normale</t>
        </is>
      </c>
      <c r="L425" s="7" t="inlineStr">
        <is>
          <t>Entretien périodique constructeur</t>
        </is>
      </c>
      <c r="M425" s="7" t="n"/>
      <c r="N425" s="7" t="inlineStr">
        <is>
          <t>Gamme réalisée - RAS</t>
        </is>
      </c>
      <c r="O425" s="7" t="inlineStr">
        <is>
          <t>Antoine Mercier</t>
        </is>
      </c>
      <c r="P425" s="65" t="n">
        <v>45852.71527777778</v>
      </c>
      <c r="Q425" s="75" t="n">
        <v>45852.27083333334</v>
      </c>
      <c r="R425" s="75" t="n">
        <v>45852.44791666666</v>
      </c>
      <c r="S425" s="76" t="n">
        <v>4.2</v>
      </c>
      <c r="T425" s="76" t="n">
        <v>2</v>
      </c>
      <c r="U425" s="70">
        <f>IF($A425="","",IFERROR(INDEX('Techniciens'!$F$5:$F$44,MATCH(O425,'Techniciens'!$B$5:$B$44,0)),'Paramètres'!$AA$10))</f>
        <v/>
      </c>
      <c r="V425" s="70">
        <f>IF($A425="","",IF(OR(AC425="Demandé",AC425="Planifié",AC425="Annulé"),0,N(T425)*N(U425)))</f>
        <v/>
      </c>
      <c r="W425" s="70">
        <f>IF($A425="","",SUMIFS('Mouvements stock'!$H$5:$H$3004,'Mouvements stock'!$I$5:$I$3004,$A425,'Mouvements stock'!$C$5:$C$3004,"Sortie")-SUMIFS('Mouvements stock'!$H$5:$H$3004,'Mouvements stock'!$I$5:$I$3004,$A425,'Mouvements stock'!$C$5:$C$3004,"Retour"))</f>
        <v/>
      </c>
      <c r="X425" s="66" t="n">
        <v>0</v>
      </c>
      <c r="Y425" s="66" t="n">
        <v>400</v>
      </c>
      <c r="Z425" s="7" t="inlineStr">
        <is>
          <t>Manutention Services 44</t>
        </is>
      </c>
      <c r="AA425" s="70">
        <f>IF($A425="","",N(V425)+N(W425)+N(X425)+N(Y425))</f>
        <v/>
      </c>
      <c r="AB425" s="70">
        <f>IF($A425="","",N(S425)*'Paramètres'!$AA$9*IFERROR(INDEX('Paramètres'!$O$5:$O$7,MATCH(G425,'Paramètres'!$N$5:$N$7,0)),0))</f>
        <v/>
      </c>
      <c r="AC425" s="7" t="inlineStr">
        <is>
          <t>Clôturé</t>
        </is>
      </c>
      <c r="AD425" s="69">
        <f>IF(OR($A425="",Q425=""),"",(Q425-B425)*24)</f>
        <v/>
      </c>
      <c r="AE425" s="69">
        <f>IF(OR(Q425="",R425=""),"",(R425-Q425)*24)</f>
        <v/>
      </c>
      <c r="AF425" s="77">
        <f>IF(OR($A425="",B425=""),"",YEAR(B425))</f>
        <v/>
      </c>
      <c r="AG425" s="77">
        <f>IF(OR($A425="",B425=""),"",MONTH(B425))</f>
        <v/>
      </c>
    </row>
    <row r="426">
      <c r="A426" s="7" t="inlineStr">
        <is>
          <t>OT-2025-0422</t>
        </is>
      </c>
      <c r="B426" s="75" t="n">
        <v>45845.70138888889</v>
      </c>
      <c r="C426" s="7" t="inlineStr">
        <is>
          <t>Cariste</t>
        </is>
      </c>
      <c r="D426" s="7" t="inlineStr">
        <is>
          <t>EQ-LOG-007</t>
        </is>
      </c>
      <c r="E426" s="9">
        <f>IF(D426="","",IFERROR(INDEX('Équipements'!$B$5:$B$304,MATCH(D426,'Équipements'!$A$5:$A$304,0)),"Code inconnu"))</f>
        <v/>
      </c>
      <c r="F426" s="9">
        <f>IF(D426="","",IFERROR(INDEX('Équipements'!$D$5:$D$304,MATCH(D426,'Équipements'!$A$5:$A$304,0)),""))</f>
        <v/>
      </c>
      <c r="G426" s="9">
        <f>IF(D426="","",IFERROR(INDEX('Équipements'!$K$5:$K$304,MATCH(D426,'Équipements'!$A$5:$A$304,0)),""))</f>
        <v/>
      </c>
      <c r="H426" s="7" t="inlineStr">
        <is>
          <t>Correctif</t>
        </is>
      </c>
      <c r="I426" s="7" t="n"/>
      <c r="J426" s="7" t="inlineStr">
        <is>
          <t>Mécanique</t>
        </is>
      </c>
      <c r="K426" s="7" t="inlineStr">
        <is>
          <t>P1 - Urgent</t>
        </is>
      </c>
      <c r="L426" s="7" t="inlineStr">
        <is>
          <t>Frein de levée bruyant</t>
        </is>
      </c>
      <c r="M426" s="7" t="inlineStr">
        <is>
          <t>Usure</t>
        </is>
      </c>
      <c r="N426" s="7" t="inlineStr">
        <is>
          <t>Réglage et remplacement garnitures</t>
        </is>
      </c>
      <c r="O426" s="7" t="inlineStr">
        <is>
          <t>Karim Benali</t>
        </is>
      </c>
      <c r="P426" s="65" t="n"/>
      <c r="Q426" s="75" t="n">
        <v>45845.74027777778</v>
      </c>
      <c r="R426" s="75" t="n">
        <v>45845.88611111111</v>
      </c>
      <c r="S426" s="76" t="n">
        <v>4.4</v>
      </c>
      <c r="T426" s="76" t="n">
        <v>3.5</v>
      </c>
      <c r="U426" s="70">
        <f>IF($A426="","",IFERROR(INDEX('Techniciens'!$F$5:$F$44,MATCH(O426,'Techniciens'!$B$5:$B$44,0)),'Paramètres'!$AA$10))</f>
        <v/>
      </c>
      <c r="V426" s="70">
        <f>IF($A426="","",IF(OR(AC426="Demandé",AC426="Planifié",AC426="Annulé"),0,N(T426)*N(U426)))</f>
        <v/>
      </c>
      <c r="W426" s="70">
        <f>IF($A426="","",SUMIFS('Mouvements stock'!$H$5:$H$3004,'Mouvements stock'!$I$5:$I$3004,$A426,'Mouvements stock'!$C$5:$C$3004,"Sortie")-SUMIFS('Mouvements stock'!$H$5:$H$3004,'Mouvements stock'!$I$5:$I$3004,$A426,'Mouvements stock'!$C$5:$C$3004,"Retour"))</f>
        <v/>
      </c>
      <c r="X426" s="66" t="n">
        <v>0</v>
      </c>
      <c r="Y426" s="66" t="n">
        <v>860</v>
      </c>
      <c r="Z426" s="7" t="inlineStr">
        <is>
          <t>Levage Expertise Ouest</t>
        </is>
      </c>
      <c r="AA426" s="70">
        <f>IF($A426="","",N(V426)+N(W426)+N(X426)+N(Y426))</f>
        <v/>
      </c>
      <c r="AB426" s="70">
        <f>IF($A426="","",N(S426)*'Paramètres'!$AA$9*IFERROR(INDEX('Paramètres'!$O$5:$O$7,MATCH(G426,'Paramètres'!$N$5:$N$7,0)),0))</f>
        <v/>
      </c>
      <c r="AC426" s="7" t="inlineStr">
        <is>
          <t>Clôturé</t>
        </is>
      </c>
      <c r="AD426" s="69">
        <f>IF(OR($A426="",Q426=""),"",(Q426-B426)*24)</f>
        <v/>
      </c>
      <c r="AE426" s="69">
        <f>IF(OR(Q426="",R426=""),"",(R426-Q426)*24)</f>
        <v/>
      </c>
      <c r="AF426" s="77">
        <f>IF(OR($A426="",B426=""),"",YEAR(B426))</f>
        <v/>
      </c>
      <c r="AG426" s="77">
        <f>IF(OR($A426="",B426=""),"",MONTH(B426))</f>
        <v/>
      </c>
    </row>
    <row r="427">
      <c r="A427" s="7" t="inlineStr">
        <is>
          <t>OT-2025-0423</t>
        </is>
      </c>
      <c r="B427" s="75" t="n">
        <v>45845.74722222222</v>
      </c>
      <c r="C427" s="7" t="inlineStr">
        <is>
          <t>Services généraux</t>
        </is>
      </c>
      <c r="D427" s="7" t="inlineStr">
        <is>
          <t>EQ-BAT-003</t>
        </is>
      </c>
      <c r="E427" s="9">
        <f>IF(D427="","",IFERROR(INDEX('Équipements'!$B$5:$B$304,MATCH(D427,'Équipements'!$A$5:$A$304,0)),"Code inconnu"))</f>
        <v/>
      </c>
      <c r="F427" s="9">
        <f>IF(D427="","",IFERROR(INDEX('Équipements'!$D$5:$D$304,MATCH(D427,'Équipements'!$A$5:$A$304,0)),""))</f>
        <v/>
      </c>
      <c r="G427" s="9">
        <f>IF(D427="","",IFERROR(INDEX('Équipements'!$K$5:$K$304,MATCH(D427,'Équipements'!$A$5:$A$304,0)),""))</f>
        <v/>
      </c>
      <c r="H427" s="7" t="inlineStr">
        <is>
          <t>Correctif</t>
        </is>
      </c>
      <c r="I427" s="7" t="n"/>
      <c r="J427" s="7" t="inlineStr">
        <is>
          <t>Électrique</t>
        </is>
      </c>
      <c r="K427" s="7" t="inlineStr">
        <is>
          <t>P3 - Normale</t>
        </is>
      </c>
      <c r="L427" s="7" t="inlineStr">
        <is>
          <t>Mise en sécurité (défaut allumage)</t>
        </is>
      </c>
      <c r="M427" s="7" t="inlineStr">
        <is>
          <t>Défaut capteur</t>
        </is>
      </c>
      <c r="N427" s="7" t="inlineStr">
        <is>
          <t>Remplacement sonde, réglage combustion</t>
        </is>
      </c>
      <c r="O427" s="7" t="inlineStr">
        <is>
          <t>Thomas Petit</t>
        </is>
      </c>
      <c r="P427" s="65" t="n"/>
      <c r="Q427" s="75" t="n">
        <v>45846.04930555556</v>
      </c>
      <c r="R427" s="75" t="n">
        <v>45846.18472222222</v>
      </c>
      <c r="S427" s="76" t="n">
        <v>0</v>
      </c>
      <c r="T427" s="76" t="n">
        <v>3.25</v>
      </c>
      <c r="U427" s="70">
        <f>IF($A427="","",IFERROR(INDEX('Techniciens'!$F$5:$F$44,MATCH(O427,'Techniciens'!$B$5:$B$44,0)),'Paramètres'!$AA$10))</f>
        <v/>
      </c>
      <c r="V427" s="70">
        <f>IF($A427="","",IF(OR(AC427="Demandé",AC427="Planifié",AC427="Annulé"),0,N(T427)*N(U427)))</f>
        <v/>
      </c>
      <c r="W427" s="70">
        <f>IF($A427="","",SUMIFS('Mouvements stock'!$H$5:$H$3004,'Mouvements stock'!$I$5:$I$3004,$A427,'Mouvements stock'!$C$5:$C$3004,"Sortie")-SUMIFS('Mouvements stock'!$H$5:$H$3004,'Mouvements stock'!$I$5:$I$3004,$A427,'Mouvements stock'!$C$5:$C$3004,"Retour"))</f>
        <v/>
      </c>
      <c r="X427" s="66" t="n">
        <v>0</v>
      </c>
      <c r="Y427" s="66" t="n">
        <v>0</v>
      </c>
      <c r="Z427" s="7" t="n"/>
      <c r="AA427" s="70">
        <f>IF($A427="","",N(V427)+N(W427)+N(X427)+N(Y427))</f>
        <v/>
      </c>
      <c r="AB427" s="70">
        <f>IF($A427="","",N(S427)*'Paramètres'!$AA$9*IFERROR(INDEX('Paramètres'!$O$5:$O$7,MATCH(G427,'Paramètres'!$N$5:$N$7,0)),0))</f>
        <v/>
      </c>
      <c r="AC427" s="7" t="inlineStr">
        <is>
          <t>Clôturé</t>
        </is>
      </c>
      <c r="AD427" s="69">
        <f>IF(OR($A427="",Q427=""),"",(Q427-B427)*24)</f>
        <v/>
      </c>
      <c r="AE427" s="69">
        <f>IF(OR(Q427="",R427=""),"",(R427-Q427)*24)</f>
        <v/>
      </c>
      <c r="AF427" s="77">
        <f>IF(OR($A427="",B427=""),"",YEAR(B427))</f>
        <v/>
      </c>
      <c r="AG427" s="77">
        <f>IF(OR($A427="",B427=""),"",MONTH(B427))</f>
        <v/>
      </c>
    </row>
    <row r="428">
      <c r="A428" s="7" t="inlineStr">
        <is>
          <t>OT-2025-0424</t>
        </is>
      </c>
      <c r="B428" s="75" t="n">
        <v>45845.85416666666</v>
      </c>
      <c r="C428" s="7" t="inlineStr">
        <is>
          <t>Opérateur tôlerie</t>
        </is>
      </c>
      <c r="D428" s="7" t="inlineStr">
        <is>
          <t>EQ-TOL-005</t>
        </is>
      </c>
      <c r="E428" s="9">
        <f>IF(D428="","",IFERROR(INDEX('Équipements'!$B$5:$B$304,MATCH(D428,'Équipements'!$A$5:$A$304,0)),"Code inconnu"))</f>
        <v/>
      </c>
      <c r="F428" s="9">
        <f>IF(D428="","",IFERROR(INDEX('Équipements'!$D$5:$D$304,MATCH(D428,'Équipements'!$A$5:$A$304,0)),""))</f>
        <v/>
      </c>
      <c r="G428" s="9">
        <f>IF(D428="","",IFERROR(INDEX('Équipements'!$K$5:$K$304,MATCH(D428,'Équipements'!$A$5:$A$304,0)),""))</f>
        <v/>
      </c>
      <c r="H428" s="7" t="inlineStr">
        <is>
          <t>Correctif</t>
        </is>
      </c>
      <c r="I428" s="7" t="n"/>
      <c r="J428" s="7" t="inlineStr">
        <is>
          <t>Automatisme</t>
        </is>
      </c>
      <c r="K428" s="7" t="inlineStr">
        <is>
          <t>P2 - Haute</t>
        </is>
      </c>
      <c r="L428" s="7" t="inlineStr">
        <is>
          <t>Défaut de synchronisation Y1/Y2</t>
        </is>
      </c>
      <c r="M428" s="7" t="inlineStr">
        <is>
          <t>Défaut capteur</t>
        </is>
      </c>
      <c r="N428" s="7" t="inlineStr">
        <is>
          <t>Recalage règles de mesure, contrôle distributeur proportionnel</t>
        </is>
      </c>
      <c r="O428" s="7" t="inlineStr">
        <is>
          <t>Sophie Garnier</t>
        </is>
      </c>
      <c r="P428" s="65" t="n"/>
      <c r="Q428" s="75" t="n">
        <v>45846.0625</v>
      </c>
      <c r="R428" s="75" t="n">
        <v>45846.26041666666</v>
      </c>
      <c r="S428" s="76" t="n">
        <v>9.800000000000001</v>
      </c>
      <c r="T428" s="76" t="n">
        <v>4.75</v>
      </c>
      <c r="U428" s="70">
        <f>IF($A428="","",IFERROR(INDEX('Techniciens'!$F$5:$F$44,MATCH(O428,'Techniciens'!$B$5:$B$44,0)),'Paramètres'!$AA$10))</f>
        <v/>
      </c>
      <c r="V428" s="70">
        <f>IF($A428="","",IF(OR(AC428="Demandé",AC428="Planifié",AC428="Annulé"),0,N(T428)*N(U428)))</f>
        <v/>
      </c>
      <c r="W428" s="70">
        <f>IF($A428="","",SUMIFS('Mouvements stock'!$H$5:$H$3004,'Mouvements stock'!$I$5:$I$3004,$A428,'Mouvements stock'!$C$5:$C$3004,"Sortie")-SUMIFS('Mouvements stock'!$H$5:$H$3004,'Mouvements stock'!$I$5:$I$3004,$A428,'Mouvements stock'!$C$5:$C$3004,"Retour"))</f>
        <v/>
      </c>
      <c r="X428" s="66" t="n">
        <v>0</v>
      </c>
      <c r="Y428" s="66" t="n">
        <v>460</v>
      </c>
      <c r="Z428" s="7" t="inlineStr">
        <is>
          <t>HydroFluid Services</t>
        </is>
      </c>
      <c r="AA428" s="70">
        <f>IF($A428="","",N(V428)+N(W428)+N(X428)+N(Y428))</f>
        <v/>
      </c>
      <c r="AB428" s="70">
        <f>IF($A428="","",N(S428)*'Paramètres'!$AA$9*IFERROR(INDEX('Paramètres'!$O$5:$O$7,MATCH(G428,'Paramètres'!$N$5:$N$7,0)),0))</f>
        <v/>
      </c>
      <c r="AC428" s="7" t="inlineStr">
        <is>
          <t>Clôturé</t>
        </is>
      </c>
      <c r="AD428" s="69">
        <f>IF(OR($A428="",Q428=""),"",(Q428-B428)*24)</f>
        <v/>
      </c>
      <c r="AE428" s="69">
        <f>IF(OR(Q428="",R428=""),"",(R428-Q428)*24)</f>
        <v/>
      </c>
      <c r="AF428" s="77">
        <f>IF(OR($A428="",B428=""),"",YEAR(B428))</f>
        <v/>
      </c>
      <c r="AG428" s="77">
        <f>IF(OR($A428="",B428=""),"",MONTH(B428))</f>
        <v/>
      </c>
    </row>
    <row r="429">
      <c r="A429" s="7" t="inlineStr">
        <is>
          <t>OT-2025-0425</t>
        </is>
      </c>
      <c r="B429" s="75" t="n">
        <v>45846.46527777778</v>
      </c>
      <c r="C429" s="7" t="inlineStr">
        <is>
          <t>Plan préventif</t>
        </is>
      </c>
      <c r="D429" s="7" t="inlineStr">
        <is>
          <t>EQ-BAT-003</t>
        </is>
      </c>
      <c r="E429" s="9">
        <f>IF(D429="","",IFERROR(INDEX('Équipements'!$B$5:$B$304,MATCH(D429,'Équipements'!$A$5:$A$304,0)),"Code inconnu"))</f>
        <v/>
      </c>
      <c r="F429" s="9">
        <f>IF(D429="","",IFERROR(INDEX('Équipements'!$D$5:$D$304,MATCH(D429,'Équipements'!$A$5:$A$304,0)),""))</f>
        <v/>
      </c>
      <c r="G429" s="9">
        <f>IF(D429="","",IFERROR(INDEX('Équipements'!$K$5:$K$304,MATCH(D429,'Équipements'!$A$5:$A$304,0)),""))</f>
        <v/>
      </c>
      <c r="H429" s="7" t="inlineStr">
        <is>
          <t>Préventif systématique</t>
        </is>
      </c>
      <c r="I429" s="7" t="inlineStr">
        <is>
          <t>GP-124</t>
        </is>
      </c>
      <c r="J429" s="7" t="inlineStr">
        <is>
          <t>Mécanique</t>
        </is>
      </c>
      <c r="K429" s="7" t="inlineStr">
        <is>
          <t>P3 - Normale</t>
        </is>
      </c>
      <c r="L429" s="7" t="inlineStr">
        <is>
          <t>Remplacement filtres et nettoyage batteries</t>
        </is>
      </c>
      <c r="M429" s="7" t="n"/>
      <c r="N429" s="7" t="inlineStr">
        <is>
          <t>Gamme réalisée - RAS</t>
        </is>
      </c>
      <c r="O429" s="7" t="inlineStr">
        <is>
          <t>Lucas Fontaine</t>
        </is>
      </c>
      <c r="P429" s="65" t="n">
        <v>45853.36805555555</v>
      </c>
      <c r="Q429" s="75" t="n">
        <v>45853.55555555555</v>
      </c>
      <c r="R429" s="75" t="n">
        <v>45853.65972222222</v>
      </c>
      <c r="S429" s="76" t="n">
        <v>0</v>
      </c>
      <c r="T429" s="76" t="n">
        <v>2.5</v>
      </c>
      <c r="U429" s="70">
        <f>IF($A429="","",IFERROR(INDEX('Techniciens'!$F$5:$F$44,MATCH(O429,'Techniciens'!$B$5:$B$44,0)),'Paramètres'!$AA$10))</f>
        <v/>
      </c>
      <c r="V429" s="70">
        <f>IF($A429="","",IF(OR(AC429="Demandé",AC429="Planifié",AC429="Annulé"),0,N(T429)*N(U429)))</f>
        <v/>
      </c>
      <c r="W429" s="70">
        <f>IF($A429="","",SUMIFS('Mouvements stock'!$H$5:$H$3004,'Mouvements stock'!$I$5:$I$3004,$A429,'Mouvements stock'!$C$5:$C$3004,"Sortie")-SUMIFS('Mouvements stock'!$H$5:$H$3004,'Mouvements stock'!$I$5:$I$3004,$A429,'Mouvements stock'!$C$5:$C$3004,"Retour"))</f>
        <v/>
      </c>
      <c r="X429" s="66" t="n">
        <v>0</v>
      </c>
      <c r="Y429" s="66" t="n">
        <v>0</v>
      </c>
      <c r="Z429" s="7" t="n"/>
      <c r="AA429" s="70">
        <f>IF($A429="","",N(V429)+N(W429)+N(X429)+N(Y429))</f>
        <v/>
      </c>
      <c r="AB429" s="70">
        <f>IF($A429="","",N(S429)*'Paramètres'!$AA$9*IFERROR(INDEX('Paramètres'!$O$5:$O$7,MATCH(G429,'Paramètres'!$N$5:$N$7,0)),0))</f>
        <v/>
      </c>
      <c r="AC429" s="7" t="inlineStr">
        <is>
          <t>Clôturé</t>
        </is>
      </c>
      <c r="AD429" s="69">
        <f>IF(OR($A429="",Q429=""),"",(Q429-B429)*24)</f>
        <v/>
      </c>
      <c r="AE429" s="69">
        <f>IF(OR(Q429="",R429=""),"",(R429-Q429)*24)</f>
        <v/>
      </c>
      <c r="AF429" s="77">
        <f>IF(OR($A429="",B429=""),"",YEAR(B429))</f>
        <v/>
      </c>
      <c r="AG429" s="77">
        <f>IF(OR($A429="",B429=""),"",MONTH(B429))</f>
        <v/>
      </c>
    </row>
    <row r="430">
      <c r="A430" s="7" t="inlineStr">
        <is>
          <t>OT-2025-0426</t>
        </is>
      </c>
      <c r="B430" s="75" t="n">
        <v>45847.375</v>
      </c>
      <c r="C430" s="7" t="inlineStr">
        <is>
          <t>Plan préventif</t>
        </is>
      </c>
      <c r="D430" s="7" t="inlineStr">
        <is>
          <t>EQ-PEI-001</t>
        </is>
      </c>
      <c r="E430" s="9">
        <f>IF(D430="","",IFERROR(INDEX('Équipements'!$B$5:$B$304,MATCH(D430,'Équipements'!$A$5:$A$304,0)),"Code inconnu"))</f>
        <v/>
      </c>
      <c r="F430" s="9">
        <f>IF(D430="","",IFERROR(INDEX('Équipements'!$D$5:$D$304,MATCH(D430,'Équipements'!$A$5:$A$304,0)),""))</f>
        <v/>
      </c>
      <c r="G430" s="9">
        <f>IF(D430="","",IFERROR(INDEX('Équipements'!$K$5:$K$304,MATCH(D430,'Équipements'!$A$5:$A$304,0)),""))</f>
        <v/>
      </c>
      <c r="H430" s="7" t="inlineStr">
        <is>
          <t>Préventif systématique</t>
        </is>
      </c>
      <c r="I430" s="7" t="inlineStr">
        <is>
          <t>GP-066</t>
        </is>
      </c>
      <c r="J430" s="7" t="inlineStr">
        <is>
          <t>Mécanique</t>
        </is>
      </c>
      <c r="K430" s="7" t="inlineStr">
        <is>
          <t>P3 - Normale</t>
        </is>
      </c>
      <c r="L430" s="7" t="inlineStr">
        <is>
          <t>Nettoyage et remplacement des filtres</t>
        </is>
      </c>
      <c r="M430" s="7" t="n"/>
      <c r="N430" s="7" t="inlineStr">
        <is>
          <t>Gamme réalisée - RAS</t>
        </is>
      </c>
      <c r="O430" s="7" t="inlineStr">
        <is>
          <t>Lucas Fontaine</t>
        </is>
      </c>
      <c r="P430" s="65" t="n">
        <v>45854.60416666666</v>
      </c>
      <c r="Q430" s="75" t="n">
        <v>45854.38888888889</v>
      </c>
      <c r="R430" s="75" t="n">
        <v>45854.49305555555</v>
      </c>
      <c r="S430" s="76" t="n">
        <v>0</v>
      </c>
      <c r="T430" s="76" t="n">
        <v>2.5</v>
      </c>
      <c r="U430" s="70">
        <f>IF($A430="","",IFERROR(INDEX('Techniciens'!$F$5:$F$44,MATCH(O430,'Techniciens'!$B$5:$B$44,0)),'Paramètres'!$AA$10))</f>
        <v/>
      </c>
      <c r="V430" s="70">
        <f>IF($A430="","",IF(OR(AC430="Demandé",AC430="Planifié",AC430="Annulé"),0,N(T430)*N(U430)))</f>
        <v/>
      </c>
      <c r="W430" s="70">
        <f>IF($A430="","",SUMIFS('Mouvements stock'!$H$5:$H$3004,'Mouvements stock'!$I$5:$I$3004,$A430,'Mouvements stock'!$C$5:$C$3004,"Sortie")-SUMIFS('Mouvements stock'!$H$5:$H$3004,'Mouvements stock'!$I$5:$I$3004,$A430,'Mouvements stock'!$C$5:$C$3004,"Retour"))</f>
        <v/>
      </c>
      <c r="X430" s="66" t="n">
        <v>0</v>
      </c>
      <c r="Y430" s="66" t="n">
        <v>0</v>
      </c>
      <c r="Z430" s="7" t="n"/>
      <c r="AA430" s="70">
        <f>IF($A430="","",N(V430)+N(W430)+N(X430)+N(Y430))</f>
        <v/>
      </c>
      <c r="AB430" s="70">
        <f>IF($A430="","",N(S430)*'Paramètres'!$AA$9*IFERROR(INDEX('Paramètres'!$O$5:$O$7,MATCH(G430,'Paramètres'!$N$5:$N$7,0)),0))</f>
        <v/>
      </c>
      <c r="AC430" s="7" t="inlineStr">
        <is>
          <t>Clôturé</t>
        </is>
      </c>
      <c r="AD430" s="69">
        <f>IF(OR($A430="",Q430=""),"",(Q430-B430)*24)</f>
        <v/>
      </c>
      <c r="AE430" s="69">
        <f>IF(OR(Q430="",R430=""),"",(R430-Q430)*24)</f>
        <v/>
      </c>
      <c r="AF430" s="77">
        <f>IF(OR($A430="",B430=""),"",YEAR(B430))</f>
        <v/>
      </c>
      <c r="AG430" s="77">
        <f>IF(OR($A430="",B430=""),"",MONTH(B430))</f>
        <v/>
      </c>
    </row>
    <row r="431">
      <c r="A431" s="7" t="inlineStr">
        <is>
          <t>OT-2025-0427</t>
        </is>
      </c>
      <c r="B431" s="75" t="n">
        <v>45848.38194444445</v>
      </c>
      <c r="C431" s="7" t="inlineStr">
        <is>
          <t>Plan préventif</t>
        </is>
      </c>
      <c r="D431" s="7" t="inlineStr">
        <is>
          <t>EQ-USI-007</t>
        </is>
      </c>
      <c r="E431" s="9">
        <f>IF(D431="","",IFERROR(INDEX('Équipements'!$B$5:$B$304,MATCH(D431,'Équipements'!$A$5:$A$304,0)),"Code inconnu"))</f>
        <v/>
      </c>
      <c r="F431" s="9">
        <f>IF(D431="","",IFERROR(INDEX('Équipements'!$D$5:$D$304,MATCH(D431,'Équipements'!$A$5:$A$304,0)),""))</f>
        <v/>
      </c>
      <c r="G431" s="9">
        <f>IF(D431="","",IFERROR(INDEX('Équipements'!$K$5:$K$304,MATCH(D431,'Équipements'!$A$5:$A$304,0)),""))</f>
        <v/>
      </c>
      <c r="H431" s="7" t="inlineStr">
        <is>
          <t>Préventif systématique</t>
        </is>
      </c>
      <c r="I431" s="7" t="inlineStr">
        <is>
          <t>GP-025</t>
        </is>
      </c>
      <c r="J431" s="7" t="inlineStr">
        <is>
          <t>Mécanique</t>
        </is>
      </c>
      <c r="K431" s="7" t="inlineStr">
        <is>
          <t>P3 - Normale</t>
        </is>
      </c>
      <c r="L431" s="7" t="inlineStr">
        <is>
          <t>Contrôle niveaux, nettoyage filtres et bac à copeaux</t>
        </is>
      </c>
      <c r="M431" s="7" t="n"/>
      <c r="N431" s="7" t="inlineStr">
        <is>
          <t>Gamme réalisée - RAS</t>
        </is>
      </c>
      <c r="O431" s="7" t="inlineStr">
        <is>
          <t>Lucas Fontaine</t>
        </is>
      </c>
      <c r="P431" s="65" t="n">
        <v>45855.41666666666</v>
      </c>
      <c r="Q431" s="75" t="n">
        <v>45855.53125</v>
      </c>
      <c r="R431" s="75" t="n">
        <v>45855.58333333334</v>
      </c>
      <c r="S431" s="76" t="n">
        <v>1.2</v>
      </c>
      <c r="T431" s="76" t="n">
        <v>1.25</v>
      </c>
      <c r="U431" s="70">
        <f>IF($A431="","",IFERROR(INDEX('Techniciens'!$F$5:$F$44,MATCH(O431,'Techniciens'!$B$5:$B$44,0)),'Paramètres'!$AA$10))</f>
        <v/>
      </c>
      <c r="V431" s="70">
        <f>IF($A431="","",IF(OR(AC431="Demandé",AC431="Planifié",AC431="Annulé"),0,N(T431)*N(U431)))</f>
        <v/>
      </c>
      <c r="W431" s="70">
        <f>IF($A431="","",SUMIFS('Mouvements stock'!$H$5:$H$3004,'Mouvements stock'!$I$5:$I$3004,$A431,'Mouvements stock'!$C$5:$C$3004,"Sortie")-SUMIFS('Mouvements stock'!$H$5:$H$3004,'Mouvements stock'!$I$5:$I$3004,$A431,'Mouvements stock'!$C$5:$C$3004,"Retour"))</f>
        <v/>
      </c>
      <c r="X431" s="66" t="n">
        <v>0</v>
      </c>
      <c r="Y431" s="66" t="n">
        <v>0</v>
      </c>
      <c r="Z431" s="7" t="n"/>
      <c r="AA431" s="70">
        <f>IF($A431="","",N(V431)+N(W431)+N(X431)+N(Y431))</f>
        <v/>
      </c>
      <c r="AB431" s="70">
        <f>IF($A431="","",N(S431)*'Paramètres'!$AA$9*IFERROR(INDEX('Paramètres'!$O$5:$O$7,MATCH(G431,'Paramètres'!$N$5:$N$7,0)),0))</f>
        <v/>
      </c>
      <c r="AC431" s="7" t="inlineStr">
        <is>
          <t>Clôturé</t>
        </is>
      </c>
      <c r="AD431" s="69">
        <f>IF(OR($A431="",Q431=""),"",(Q431-B431)*24)</f>
        <v/>
      </c>
      <c r="AE431" s="69">
        <f>IF(OR(Q431="",R431=""),"",(R431-Q431)*24)</f>
        <v/>
      </c>
      <c r="AF431" s="77">
        <f>IF(OR($A431="",B431=""),"",YEAR(B431))</f>
        <v/>
      </c>
      <c r="AG431" s="77">
        <f>IF(OR($A431="",B431=""),"",MONTH(B431))</f>
        <v/>
      </c>
    </row>
    <row r="432">
      <c r="A432" s="7" t="inlineStr">
        <is>
          <t>OT-2025-0428</t>
        </is>
      </c>
      <c r="B432" s="75" t="n">
        <v>45848.45138888889</v>
      </c>
      <c r="C432" s="7" t="inlineStr">
        <is>
          <t>Planning réglementaire</t>
        </is>
      </c>
      <c r="D432" s="7" t="inlineStr">
        <is>
          <t>EQ-ASS-002</t>
        </is>
      </c>
      <c r="E432" s="9">
        <f>IF(D432="","",IFERROR(INDEX('Équipements'!$B$5:$B$304,MATCH(D432,'Équipements'!$A$5:$A$304,0)),"Code inconnu"))</f>
        <v/>
      </c>
      <c r="F432" s="9">
        <f>IF(D432="","",IFERROR(INDEX('Équipements'!$D$5:$D$304,MATCH(D432,'Équipements'!$A$5:$A$304,0)),""))</f>
        <v/>
      </c>
      <c r="G432" s="9">
        <f>IF(D432="","",IFERROR(INDEX('Équipements'!$K$5:$K$304,MATCH(D432,'Équipements'!$A$5:$A$304,0)),""))</f>
        <v/>
      </c>
      <c r="H432" s="7" t="inlineStr">
        <is>
          <t>Réglementaire</t>
        </is>
      </c>
      <c r="I432" s="7" t="inlineStr">
        <is>
          <t>CR-012</t>
        </is>
      </c>
      <c r="J432" s="7" t="inlineStr">
        <is>
          <t>Multi-technique</t>
        </is>
      </c>
      <c r="K432" s="7" t="inlineStr">
        <is>
          <t>P2 - Haute</t>
        </is>
      </c>
      <c r="L432" s="7" t="inlineStr">
        <is>
          <t>Vérification périodique presse hydraulique</t>
        </is>
      </c>
      <c r="M432" s="7" t="n"/>
      <c r="N432" s="7" t="inlineStr">
        <is>
          <t>Contrôle réalisé - observations mineures au rapport</t>
        </is>
      </c>
      <c r="O432" s="7" t="inlineStr">
        <is>
          <t>Nadia Rousseau</t>
        </is>
      </c>
      <c r="P432" s="65" t="n">
        <v>45869</v>
      </c>
      <c r="Q432" s="75" t="n">
        <v>45869.45138888889</v>
      </c>
      <c r="R432" s="75" t="n">
        <v>45869.57638888889</v>
      </c>
      <c r="S432" s="76" t="n">
        <v>1</v>
      </c>
      <c r="T432" s="76" t="n">
        <v>3</v>
      </c>
      <c r="U432" s="70">
        <f>IF($A432="","",IFERROR(INDEX('Techniciens'!$F$5:$F$44,MATCH(O432,'Techniciens'!$B$5:$B$44,0)),'Paramètres'!$AA$10))</f>
        <v/>
      </c>
      <c r="V432" s="70">
        <f>IF($A432="","",IF(OR(AC432="Demandé",AC432="Planifié",AC432="Annulé"),0,N(T432)*N(U432)))</f>
        <v/>
      </c>
      <c r="W432" s="70">
        <f>IF($A432="","",SUMIFS('Mouvements stock'!$H$5:$H$3004,'Mouvements stock'!$I$5:$I$3004,$A432,'Mouvements stock'!$C$5:$C$3004,"Sortie")-SUMIFS('Mouvements stock'!$H$5:$H$3004,'Mouvements stock'!$I$5:$I$3004,$A432,'Mouvements stock'!$C$5:$C$3004,"Retour"))</f>
        <v/>
      </c>
      <c r="X432" s="66" t="n">
        <v>0</v>
      </c>
      <c r="Y432" s="66" t="n">
        <v>180</v>
      </c>
      <c r="Z432" s="7" t="inlineStr">
        <is>
          <t>CONTROLIS (organisme fictif)</t>
        </is>
      </c>
      <c r="AA432" s="70">
        <f>IF($A432="","",N(V432)+N(W432)+N(X432)+N(Y432))</f>
        <v/>
      </c>
      <c r="AB432" s="70">
        <f>IF($A432="","",N(S432)*'Paramètres'!$AA$9*IFERROR(INDEX('Paramètres'!$O$5:$O$7,MATCH(G432,'Paramètres'!$N$5:$N$7,0)),0))</f>
        <v/>
      </c>
      <c r="AC432" s="7" t="inlineStr">
        <is>
          <t>Clôturé</t>
        </is>
      </c>
      <c r="AD432" s="69">
        <f>IF(OR($A432="",Q432=""),"",(Q432-B432)*24)</f>
        <v/>
      </c>
      <c r="AE432" s="69">
        <f>IF(OR(Q432="",R432=""),"",(R432-Q432)*24)</f>
        <v/>
      </c>
      <c r="AF432" s="77">
        <f>IF(OR($A432="",B432=""),"",YEAR(B432))</f>
        <v/>
      </c>
      <c r="AG432" s="77">
        <f>IF(OR($A432="",B432=""),"",MONTH(B432))</f>
        <v/>
      </c>
    </row>
    <row r="433">
      <c r="A433" s="7" t="inlineStr">
        <is>
          <t>OT-2025-0429</t>
        </is>
      </c>
      <c r="B433" s="75" t="n">
        <v>45848.81944444445</v>
      </c>
      <c r="C433" s="7" t="inlineStr">
        <is>
          <t>Hugo Blanc (chef d'équipe)</t>
        </is>
      </c>
      <c r="D433" s="7" t="inlineStr">
        <is>
          <t>EQ-SOU-001</t>
        </is>
      </c>
      <c r="E433" s="9">
        <f>IF(D433="","",IFERROR(INDEX('Équipements'!$B$5:$B$304,MATCH(D433,'Équipements'!$A$5:$A$304,0)),"Code inconnu"))</f>
        <v/>
      </c>
      <c r="F433" s="9">
        <f>IF(D433="","",IFERROR(INDEX('Équipements'!$D$5:$D$304,MATCH(D433,'Équipements'!$A$5:$A$304,0)),""))</f>
        <v/>
      </c>
      <c r="G433" s="9">
        <f>IF(D433="","",IFERROR(INDEX('Équipements'!$K$5:$K$304,MATCH(D433,'Équipements'!$A$5:$A$304,0)),""))</f>
        <v/>
      </c>
      <c r="H433" s="7" t="inlineStr">
        <is>
          <t>Correctif</t>
        </is>
      </c>
      <c r="I433" s="7" t="n"/>
      <c r="J433" s="7" t="inlineStr">
        <is>
          <t>Automatisme</t>
        </is>
      </c>
      <c r="K433" s="7" t="inlineStr">
        <is>
          <t>P2 - Haute</t>
        </is>
      </c>
      <c r="L433" s="7" t="inlineStr">
        <is>
          <t>Défaut préhenseur / capteur de présence pièce</t>
        </is>
      </c>
      <c r="M433" s="7" t="inlineStr">
        <is>
          <t>Défaut capteur</t>
        </is>
      </c>
      <c r="N433" s="7" t="inlineStr">
        <is>
          <t>Remplacement détecteur, réglage préhenseur</t>
        </is>
      </c>
      <c r="O433" s="7" t="inlineStr">
        <is>
          <t>Sophie Garnier</t>
        </is>
      </c>
      <c r="P433" s="65" t="n"/>
      <c r="Q433" s="75" t="n">
        <v>45848.99236111111</v>
      </c>
      <c r="R433" s="75" t="n">
        <v>45849.02361111111</v>
      </c>
      <c r="S433" s="76" t="n">
        <v>4.9</v>
      </c>
      <c r="T433" s="76" t="n">
        <v>0.75</v>
      </c>
      <c r="U433" s="70">
        <f>IF($A433="","",IFERROR(INDEX('Techniciens'!$F$5:$F$44,MATCH(O433,'Techniciens'!$B$5:$B$44,0)),'Paramètres'!$AA$10))</f>
        <v/>
      </c>
      <c r="V433" s="70">
        <f>IF($A433="","",IF(OR(AC433="Demandé",AC433="Planifié",AC433="Annulé"),0,N(T433)*N(U433)))</f>
        <v/>
      </c>
      <c r="W433" s="70">
        <f>IF($A433="","",SUMIFS('Mouvements stock'!$H$5:$H$3004,'Mouvements stock'!$I$5:$I$3004,$A433,'Mouvements stock'!$C$5:$C$3004,"Sortie")-SUMIFS('Mouvements stock'!$H$5:$H$3004,'Mouvements stock'!$I$5:$I$3004,$A433,'Mouvements stock'!$C$5:$C$3004,"Retour"))</f>
        <v/>
      </c>
      <c r="X433" s="66" t="n">
        <v>0</v>
      </c>
      <c r="Y433" s="66" t="n">
        <v>0</v>
      </c>
      <c r="Z433" s="7" t="n"/>
      <c r="AA433" s="70">
        <f>IF($A433="","",N(V433)+N(W433)+N(X433)+N(Y433))</f>
        <v/>
      </c>
      <c r="AB433" s="70">
        <f>IF($A433="","",N(S433)*'Paramètres'!$AA$9*IFERROR(INDEX('Paramètres'!$O$5:$O$7,MATCH(G433,'Paramètres'!$N$5:$N$7,0)),0))</f>
        <v/>
      </c>
      <c r="AC433" s="7" t="inlineStr">
        <is>
          <t>Clôturé</t>
        </is>
      </c>
      <c r="AD433" s="69">
        <f>IF(OR($A433="",Q433=""),"",(Q433-B433)*24)</f>
        <v/>
      </c>
      <c r="AE433" s="69">
        <f>IF(OR(Q433="",R433=""),"",(R433-Q433)*24)</f>
        <v/>
      </c>
      <c r="AF433" s="77">
        <f>IF(OR($A433="",B433=""),"",YEAR(B433))</f>
        <v/>
      </c>
      <c r="AG433" s="77">
        <f>IF(OR($A433="",B433=""),"",MONTH(B433))</f>
        <v/>
      </c>
    </row>
    <row r="434">
      <c r="A434" s="7" t="inlineStr">
        <is>
          <t>OT-2025-0430</t>
        </is>
      </c>
      <c r="B434" s="75" t="n">
        <v>45849.48611111111</v>
      </c>
      <c r="C434" s="7" t="inlineStr">
        <is>
          <t>Plan préventif</t>
        </is>
      </c>
      <c r="D434" s="7" t="inlineStr">
        <is>
          <t>EQ-USI-005</t>
        </is>
      </c>
      <c r="E434" s="9">
        <f>IF(D434="","",IFERROR(INDEX('Équipements'!$B$5:$B$304,MATCH(D434,'Équipements'!$A$5:$A$304,0)),"Code inconnu"))</f>
        <v/>
      </c>
      <c r="F434" s="9">
        <f>IF(D434="","",IFERROR(INDEX('Équipements'!$D$5:$D$304,MATCH(D434,'Équipements'!$A$5:$A$304,0)),""))</f>
        <v/>
      </c>
      <c r="G434" s="9">
        <f>IF(D434="","",IFERROR(INDEX('Équipements'!$K$5:$K$304,MATCH(D434,'Équipements'!$A$5:$A$304,0)),""))</f>
        <v/>
      </c>
      <c r="H434" s="7" t="inlineStr">
        <is>
          <t>Préventif systématique</t>
        </is>
      </c>
      <c r="I434" s="7" t="inlineStr">
        <is>
          <t>GP-017</t>
        </is>
      </c>
      <c r="J434" s="7" t="inlineStr">
        <is>
          <t>Mécanique</t>
        </is>
      </c>
      <c r="K434" s="7" t="inlineStr">
        <is>
          <t>P3 - Normale</t>
        </is>
      </c>
      <c r="L434" s="7" t="inlineStr">
        <is>
          <t>Contrôle niveaux, nettoyage filtres et bac à copeaux</t>
        </is>
      </c>
      <c r="M434" s="7" t="n"/>
      <c r="N434" s="7" t="inlineStr">
        <is>
          <t>Gamme réalisée - RAS</t>
        </is>
      </c>
      <c r="O434" s="7" t="inlineStr">
        <is>
          <t>Karim Benali</t>
        </is>
      </c>
      <c r="P434" s="65" t="n">
        <v>45856.60416666666</v>
      </c>
      <c r="Q434" s="75" t="n">
        <v>45856.61458333334</v>
      </c>
      <c r="R434" s="75" t="n">
        <v>45856.67708333334</v>
      </c>
      <c r="S434" s="76" t="n">
        <v>0.8</v>
      </c>
      <c r="T434" s="76" t="n">
        <v>1.5</v>
      </c>
      <c r="U434" s="70">
        <f>IF($A434="","",IFERROR(INDEX('Techniciens'!$F$5:$F$44,MATCH(O434,'Techniciens'!$B$5:$B$44,0)),'Paramètres'!$AA$10))</f>
        <v/>
      </c>
      <c r="V434" s="70">
        <f>IF($A434="","",IF(OR(AC434="Demandé",AC434="Planifié",AC434="Annulé"),0,N(T434)*N(U434)))</f>
        <v/>
      </c>
      <c r="W434" s="70">
        <f>IF($A434="","",SUMIFS('Mouvements stock'!$H$5:$H$3004,'Mouvements stock'!$I$5:$I$3004,$A434,'Mouvements stock'!$C$5:$C$3004,"Sortie")-SUMIFS('Mouvements stock'!$H$5:$H$3004,'Mouvements stock'!$I$5:$I$3004,$A434,'Mouvements stock'!$C$5:$C$3004,"Retour"))</f>
        <v/>
      </c>
      <c r="X434" s="66" t="n">
        <v>0</v>
      </c>
      <c r="Y434" s="66" t="n">
        <v>0</v>
      </c>
      <c r="Z434" s="7" t="n"/>
      <c r="AA434" s="70">
        <f>IF($A434="","",N(V434)+N(W434)+N(X434)+N(Y434))</f>
        <v/>
      </c>
      <c r="AB434" s="70">
        <f>IF($A434="","",N(S434)*'Paramètres'!$AA$9*IFERROR(INDEX('Paramètres'!$O$5:$O$7,MATCH(G434,'Paramètres'!$N$5:$N$7,0)),0))</f>
        <v/>
      </c>
      <c r="AC434" s="7" t="inlineStr">
        <is>
          <t>Clôturé</t>
        </is>
      </c>
      <c r="AD434" s="69">
        <f>IF(OR($A434="",Q434=""),"",(Q434-B434)*24)</f>
        <v/>
      </c>
      <c r="AE434" s="69">
        <f>IF(OR(Q434="",R434=""),"",(R434-Q434)*24)</f>
        <v/>
      </c>
      <c r="AF434" s="77">
        <f>IF(OR($A434="",B434=""),"",YEAR(B434))</f>
        <v/>
      </c>
      <c r="AG434" s="77">
        <f>IF(OR($A434="",B434=""),"",MONTH(B434))</f>
        <v/>
      </c>
    </row>
    <row r="435">
      <c r="A435" s="7" t="inlineStr">
        <is>
          <t>OT-2025-0431</t>
        </is>
      </c>
      <c r="B435" s="75" t="n">
        <v>45852.45833333334</v>
      </c>
      <c r="C435" s="7" t="inlineStr">
        <is>
          <t>Plan préventif</t>
        </is>
      </c>
      <c r="D435" s="7" t="inlineStr">
        <is>
          <t>EQ-TOL-001</t>
        </is>
      </c>
      <c r="E435" s="9">
        <f>IF(D435="","",IFERROR(INDEX('Équipements'!$B$5:$B$304,MATCH(D435,'Équipements'!$A$5:$A$304,0)),"Code inconnu"))</f>
        <v/>
      </c>
      <c r="F435" s="9">
        <f>IF(D435="","",IFERROR(INDEX('Équipements'!$D$5:$D$304,MATCH(D435,'Équipements'!$A$5:$A$304,0)),""))</f>
        <v/>
      </c>
      <c r="G435" s="9">
        <f>IF(D435="","",IFERROR(INDEX('Équipements'!$K$5:$K$304,MATCH(D435,'Équipements'!$A$5:$A$304,0)),""))</f>
        <v/>
      </c>
      <c r="H435" s="7" t="inlineStr">
        <is>
          <t>Préventif systématique</t>
        </is>
      </c>
      <c r="I435" s="7" t="inlineStr">
        <is>
          <t>GP-039</t>
        </is>
      </c>
      <c r="J435" s="7" t="inlineStr">
        <is>
          <t>Mécanique</t>
        </is>
      </c>
      <c r="K435" s="7" t="inlineStr">
        <is>
          <t>P3 - Normale</t>
        </is>
      </c>
      <c r="L435" s="7" t="inlineStr">
        <is>
          <t>Maintenance groupe froid laser (filtres, eau)</t>
        </is>
      </c>
      <c r="M435" s="7" t="n"/>
      <c r="N435" s="7" t="inlineStr">
        <is>
          <t>Gamme réalisée - RAS</t>
        </is>
      </c>
      <c r="O435" s="7" t="inlineStr">
        <is>
          <t>Antoine Mercier</t>
        </is>
      </c>
      <c r="P435" s="65" t="n">
        <v>45859.72916666666</v>
      </c>
      <c r="Q435" s="75" t="n">
        <v>45859.58333333334</v>
      </c>
      <c r="R435" s="75" t="n">
        <v>45859.69791666666</v>
      </c>
      <c r="S435" s="76" t="n">
        <v>1.4</v>
      </c>
      <c r="T435" s="76" t="n">
        <v>2.75</v>
      </c>
      <c r="U435" s="70">
        <f>IF($A435="","",IFERROR(INDEX('Techniciens'!$F$5:$F$44,MATCH(O435,'Techniciens'!$B$5:$B$44,0)),'Paramètres'!$AA$10))</f>
        <v/>
      </c>
      <c r="V435" s="70">
        <f>IF($A435="","",IF(OR(AC435="Demandé",AC435="Planifié",AC435="Annulé"),0,N(T435)*N(U435)))</f>
        <v/>
      </c>
      <c r="W435" s="70">
        <f>IF($A435="","",SUMIFS('Mouvements stock'!$H$5:$H$3004,'Mouvements stock'!$I$5:$I$3004,$A435,'Mouvements stock'!$C$5:$C$3004,"Sortie")-SUMIFS('Mouvements stock'!$H$5:$H$3004,'Mouvements stock'!$I$5:$I$3004,$A435,'Mouvements stock'!$C$5:$C$3004,"Retour"))</f>
        <v/>
      </c>
      <c r="X435" s="66" t="n">
        <v>0</v>
      </c>
      <c r="Y435" s="66" t="n">
        <v>0</v>
      </c>
      <c r="Z435" s="7" t="n"/>
      <c r="AA435" s="70">
        <f>IF($A435="","",N(V435)+N(W435)+N(X435)+N(Y435))</f>
        <v/>
      </c>
      <c r="AB435" s="70">
        <f>IF($A435="","",N(S435)*'Paramètres'!$AA$9*IFERROR(INDEX('Paramètres'!$O$5:$O$7,MATCH(G435,'Paramètres'!$N$5:$N$7,0)),0))</f>
        <v/>
      </c>
      <c r="AC435" s="7" t="inlineStr">
        <is>
          <t>Clôturé</t>
        </is>
      </c>
      <c r="AD435" s="69">
        <f>IF(OR($A435="",Q435=""),"",(Q435-B435)*24)</f>
        <v/>
      </c>
      <c r="AE435" s="69">
        <f>IF(OR(Q435="",R435=""),"",(R435-Q435)*24)</f>
        <v/>
      </c>
      <c r="AF435" s="77">
        <f>IF(OR($A435="",B435=""),"",YEAR(B435))</f>
        <v/>
      </c>
      <c r="AG435" s="77">
        <f>IF(OR($A435="",B435=""),"",MONTH(B435))</f>
        <v/>
      </c>
    </row>
    <row r="436">
      <c r="A436" s="7" t="inlineStr">
        <is>
          <t>OT-2025-0432</t>
        </is>
      </c>
      <c r="B436" s="75" t="n">
        <v>45853.45833333334</v>
      </c>
      <c r="C436" s="7" t="inlineStr">
        <is>
          <t>Plan préventif</t>
        </is>
      </c>
      <c r="D436" s="7" t="inlineStr">
        <is>
          <t>EQ-USI-002</t>
        </is>
      </c>
      <c r="E436" s="9">
        <f>IF(D436="","",IFERROR(INDEX('Équipements'!$B$5:$B$304,MATCH(D436,'Équipements'!$A$5:$A$304,0)),"Code inconnu"))</f>
        <v/>
      </c>
      <c r="F436" s="9">
        <f>IF(D436="","",IFERROR(INDEX('Équipements'!$D$5:$D$304,MATCH(D436,'Équipements'!$A$5:$A$304,0)),""))</f>
        <v/>
      </c>
      <c r="G436" s="9">
        <f>IF(D436="","",IFERROR(INDEX('Équipements'!$K$5:$K$304,MATCH(D436,'Équipements'!$A$5:$A$304,0)),""))</f>
        <v/>
      </c>
      <c r="H436" s="7" t="inlineStr">
        <is>
          <t>Préventif systématique</t>
        </is>
      </c>
      <c r="I436" s="7" t="inlineStr">
        <is>
          <t>GP-005</t>
        </is>
      </c>
      <c r="J436" s="7" t="inlineStr">
        <is>
          <t>Mécanique</t>
        </is>
      </c>
      <c r="K436" s="7" t="inlineStr">
        <is>
          <t>P3 - Normale</t>
        </is>
      </c>
      <c r="L436" s="7" t="inlineStr">
        <is>
          <t>Contrôle niveaux, nettoyage filtres et bac à copeaux</t>
        </is>
      </c>
      <c r="M436" s="7" t="n"/>
      <c r="N436" s="7" t="inlineStr">
        <is>
          <t>Gamme réalisée - RAS</t>
        </is>
      </c>
      <c r="O436" s="7" t="inlineStr">
        <is>
          <t>Antoine Mercier</t>
        </is>
      </c>
      <c r="P436" s="65" t="n">
        <v>45860.64930555555</v>
      </c>
      <c r="Q436" s="75" t="n">
        <v>45860.40972222222</v>
      </c>
      <c r="R436" s="75" t="n">
        <v>45860.47222222222</v>
      </c>
      <c r="S436" s="76" t="n">
        <v>1.5</v>
      </c>
      <c r="T436" s="76" t="n">
        <v>1.5</v>
      </c>
      <c r="U436" s="70">
        <f>IF($A436="","",IFERROR(INDEX('Techniciens'!$F$5:$F$44,MATCH(O436,'Techniciens'!$B$5:$B$44,0)),'Paramètres'!$AA$10))</f>
        <v/>
      </c>
      <c r="V436" s="70">
        <f>IF($A436="","",IF(OR(AC436="Demandé",AC436="Planifié",AC436="Annulé"),0,N(T436)*N(U436)))</f>
        <v/>
      </c>
      <c r="W436" s="70">
        <f>IF($A436="","",SUMIFS('Mouvements stock'!$H$5:$H$3004,'Mouvements stock'!$I$5:$I$3004,$A436,'Mouvements stock'!$C$5:$C$3004,"Sortie")-SUMIFS('Mouvements stock'!$H$5:$H$3004,'Mouvements stock'!$I$5:$I$3004,$A436,'Mouvements stock'!$C$5:$C$3004,"Retour"))</f>
        <v/>
      </c>
      <c r="X436" s="66" t="n">
        <v>0</v>
      </c>
      <c r="Y436" s="66" t="n">
        <v>0</v>
      </c>
      <c r="Z436" s="7" t="n"/>
      <c r="AA436" s="70">
        <f>IF($A436="","",N(V436)+N(W436)+N(X436)+N(Y436))</f>
        <v/>
      </c>
      <c r="AB436" s="70">
        <f>IF($A436="","",N(S436)*'Paramètres'!$AA$9*IFERROR(INDEX('Paramètres'!$O$5:$O$7,MATCH(G436,'Paramètres'!$N$5:$N$7,0)),0))</f>
        <v/>
      </c>
      <c r="AC436" s="7" t="inlineStr">
        <is>
          <t>Clôturé</t>
        </is>
      </c>
      <c r="AD436" s="69">
        <f>IF(OR($A436="",Q436=""),"",(Q436-B436)*24)</f>
        <v/>
      </c>
      <c r="AE436" s="69">
        <f>IF(OR(Q436="",R436=""),"",(R436-Q436)*24)</f>
        <v/>
      </c>
      <c r="AF436" s="77">
        <f>IF(OR($A436="",B436=""),"",YEAR(B436))</f>
        <v/>
      </c>
      <c r="AG436" s="77">
        <f>IF(OR($A436="",B436=""),"",MONTH(B436))</f>
        <v/>
      </c>
    </row>
    <row r="437">
      <c r="A437" s="7" t="inlineStr">
        <is>
          <t>OT-2025-0433</t>
        </is>
      </c>
      <c r="B437" s="75" t="n">
        <v>45853.52152777778</v>
      </c>
      <c r="C437" s="7" t="inlineStr">
        <is>
          <t>Opérateur usinage</t>
        </is>
      </c>
      <c r="D437" s="7" t="inlineStr">
        <is>
          <t>EQ-USI-009</t>
        </is>
      </c>
      <c r="E437" s="9">
        <f>IF(D437="","",IFERROR(INDEX('Équipements'!$B$5:$B$304,MATCH(D437,'Équipements'!$A$5:$A$304,0)),"Code inconnu"))</f>
        <v/>
      </c>
      <c r="F437" s="9">
        <f>IF(D437="","",IFERROR(INDEX('Équipements'!$D$5:$D$304,MATCH(D437,'Équipements'!$A$5:$A$304,0)),""))</f>
        <v/>
      </c>
      <c r="G437" s="9">
        <f>IF(D437="","",IFERROR(INDEX('Équipements'!$K$5:$K$304,MATCH(D437,'Équipements'!$A$5:$A$304,0)),""))</f>
        <v/>
      </c>
      <c r="H437" s="7" t="inlineStr">
        <is>
          <t>Correctif</t>
        </is>
      </c>
      <c r="I437" s="7" t="n"/>
      <c r="J437" s="7" t="inlineStr">
        <is>
          <t>Hydraulique</t>
        </is>
      </c>
      <c r="K437" s="7" t="inlineStr">
        <is>
          <t>P2 - Haute</t>
        </is>
      </c>
      <c r="L437" s="7" t="inlineStr">
        <is>
          <t>Défaut avance hydraulique</t>
        </is>
      </c>
      <c r="M437" s="7" t="inlineStr">
        <is>
          <t>Fuite</t>
        </is>
      </c>
      <c r="N437" s="7" t="inlineStr">
        <is>
          <t>Remplacement joint et flexible</t>
        </is>
      </c>
      <c r="O437" s="7" t="inlineStr">
        <is>
          <t>Karim Benali</t>
        </is>
      </c>
      <c r="P437" s="65" t="n"/>
      <c r="Q437" s="75" t="n">
        <v>45853.58958333333</v>
      </c>
      <c r="R437" s="75" t="n">
        <v>45853.71458333333</v>
      </c>
      <c r="S437" s="76" t="n">
        <v>4.6</v>
      </c>
      <c r="T437" s="76" t="n">
        <v>3</v>
      </c>
      <c r="U437" s="70">
        <f>IF($A437="","",IFERROR(INDEX('Techniciens'!$F$5:$F$44,MATCH(O437,'Techniciens'!$B$5:$B$44,0)),'Paramètres'!$AA$10))</f>
        <v/>
      </c>
      <c r="V437" s="70">
        <f>IF($A437="","",IF(OR(AC437="Demandé",AC437="Planifié",AC437="Annulé"),0,N(T437)*N(U437)))</f>
        <v/>
      </c>
      <c r="W437" s="70">
        <f>IF($A437="","",SUMIFS('Mouvements stock'!$H$5:$H$3004,'Mouvements stock'!$I$5:$I$3004,$A437,'Mouvements stock'!$C$5:$C$3004,"Sortie")-SUMIFS('Mouvements stock'!$H$5:$H$3004,'Mouvements stock'!$I$5:$I$3004,$A437,'Mouvements stock'!$C$5:$C$3004,"Retour"))</f>
        <v/>
      </c>
      <c r="X437" s="66" t="n">
        <v>0</v>
      </c>
      <c r="Y437" s="66" t="n">
        <v>0</v>
      </c>
      <c r="Z437" s="7" t="n"/>
      <c r="AA437" s="70">
        <f>IF($A437="","",N(V437)+N(W437)+N(X437)+N(Y437))</f>
        <v/>
      </c>
      <c r="AB437" s="70">
        <f>IF($A437="","",N(S437)*'Paramètres'!$AA$9*IFERROR(INDEX('Paramètres'!$O$5:$O$7,MATCH(G437,'Paramètres'!$N$5:$N$7,0)),0))</f>
        <v/>
      </c>
      <c r="AC437" s="7" t="inlineStr">
        <is>
          <t>Clôturé</t>
        </is>
      </c>
      <c r="AD437" s="69">
        <f>IF(OR($A437="",Q437=""),"",(Q437-B437)*24)</f>
        <v/>
      </c>
      <c r="AE437" s="69">
        <f>IF(OR(Q437="",R437=""),"",(R437-Q437)*24)</f>
        <v/>
      </c>
      <c r="AF437" s="77">
        <f>IF(OR($A437="",B437=""),"",YEAR(B437))</f>
        <v/>
      </c>
      <c r="AG437" s="77">
        <f>IF(OR($A437="",B437=""),"",MONTH(B437))</f>
        <v/>
      </c>
    </row>
    <row r="438">
      <c r="A438" s="7" t="inlineStr">
        <is>
          <t>OT-2025-0434</t>
        </is>
      </c>
      <c r="B438" s="75" t="n">
        <v>45854.34027777778</v>
      </c>
      <c r="C438" s="7" t="inlineStr">
        <is>
          <t>Plan préventif</t>
        </is>
      </c>
      <c r="D438" s="7" t="inlineStr">
        <is>
          <t>EQ-TOL-006</t>
        </is>
      </c>
      <c r="E438" s="9">
        <f>IF(D438="","",IFERROR(INDEX('Équipements'!$B$5:$B$304,MATCH(D438,'Équipements'!$A$5:$A$304,0)),"Code inconnu"))</f>
        <v/>
      </c>
      <c r="F438" s="9">
        <f>IF(D438="","",IFERROR(INDEX('Équipements'!$D$5:$D$304,MATCH(D438,'Équipements'!$A$5:$A$304,0)),""))</f>
        <v/>
      </c>
      <c r="G438" s="9">
        <f>IF(D438="","",IFERROR(INDEX('Équipements'!$K$5:$K$304,MATCH(D438,'Équipements'!$A$5:$A$304,0)),""))</f>
        <v/>
      </c>
      <c r="H438" s="7" t="inlineStr">
        <is>
          <t>Préventif systématique</t>
        </is>
      </c>
      <c r="I438" s="7" t="inlineStr">
        <is>
          <t>GP-055</t>
        </is>
      </c>
      <c r="J438" s="7" t="inlineStr">
        <is>
          <t>Électrique</t>
        </is>
      </c>
      <c r="K438" s="7" t="inlineStr">
        <is>
          <t>P3 - Normale</t>
        </is>
      </c>
      <c r="L438" s="7" t="inlineStr">
        <is>
          <t>Contrôle des sécurités (barrages, AU, pédale)</t>
        </is>
      </c>
      <c r="M438" s="7" t="n"/>
      <c r="N438" s="7" t="inlineStr">
        <is>
          <t>Gamme réalisée - RAS</t>
        </is>
      </c>
      <c r="O438" s="7" t="inlineStr">
        <is>
          <t>Thomas Petit</t>
        </is>
      </c>
      <c r="P438" s="65" t="n">
        <v>45861.47569444445</v>
      </c>
      <c r="Q438" s="75" t="n">
        <v>45861.3125</v>
      </c>
      <c r="R438" s="75" t="n">
        <v>45861.375</v>
      </c>
      <c r="S438" s="76" t="n">
        <v>0.8</v>
      </c>
      <c r="T438" s="76" t="n">
        <v>1.5</v>
      </c>
      <c r="U438" s="70">
        <f>IF($A438="","",IFERROR(INDEX('Techniciens'!$F$5:$F$44,MATCH(O438,'Techniciens'!$B$5:$B$44,0)),'Paramètres'!$AA$10))</f>
        <v/>
      </c>
      <c r="V438" s="70">
        <f>IF($A438="","",IF(OR(AC438="Demandé",AC438="Planifié",AC438="Annulé"),0,N(T438)*N(U438)))</f>
        <v/>
      </c>
      <c r="W438" s="70">
        <f>IF($A438="","",SUMIFS('Mouvements stock'!$H$5:$H$3004,'Mouvements stock'!$I$5:$I$3004,$A438,'Mouvements stock'!$C$5:$C$3004,"Sortie")-SUMIFS('Mouvements stock'!$H$5:$H$3004,'Mouvements stock'!$I$5:$I$3004,$A438,'Mouvements stock'!$C$5:$C$3004,"Retour"))</f>
        <v/>
      </c>
      <c r="X438" s="66" t="n">
        <v>0</v>
      </c>
      <c r="Y438" s="66" t="n">
        <v>0</v>
      </c>
      <c r="Z438" s="7" t="n"/>
      <c r="AA438" s="70">
        <f>IF($A438="","",N(V438)+N(W438)+N(X438)+N(Y438))</f>
        <v/>
      </c>
      <c r="AB438" s="70">
        <f>IF($A438="","",N(S438)*'Paramètres'!$AA$9*IFERROR(INDEX('Paramètres'!$O$5:$O$7,MATCH(G438,'Paramètres'!$N$5:$N$7,0)),0))</f>
        <v/>
      </c>
      <c r="AC438" s="7" t="inlineStr">
        <is>
          <t>Clôturé</t>
        </is>
      </c>
      <c r="AD438" s="69">
        <f>IF(OR($A438="",Q438=""),"",(Q438-B438)*24)</f>
        <v/>
      </c>
      <c r="AE438" s="69">
        <f>IF(OR(Q438="",R438=""),"",(R438-Q438)*24)</f>
        <v/>
      </c>
      <c r="AF438" s="77">
        <f>IF(OR($A438="",B438=""),"",YEAR(B438))</f>
        <v/>
      </c>
      <c r="AG438" s="77">
        <f>IF(OR($A438="",B438=""),"",MONTH(B438))</f>
        <v/>
      </c>
    </row>
    <row r="439">
      <c r="A439" s="7" t="inlineStr">
        <is>
          <t>OT-2025-0435</t>
        </is>
      </c>
      <c r="B439" s="75" t="n">
        <v>45854.47222222222</v>
      </c>
      <c r="C439" s="7" t="inlineStr">
        <is>
          <t>Plan préventif</t>
        </is>
      </c>
      <c r="D439" s="7" t="inlineStr">
        <is>
          <t>EQ-UTI-005</t>
        </is>
      </c>
      <c r="E439" s="9">
        <f>IF(D439="","",IFERROR(INDEX('Équipements'!$B$5:$B$304,MATCH(D439,'Équipements'!$A$5:$A$304,0)),"Code inconnu"))</f>
        <v/>
      </c>
      <c r="F439" s="9">
        <f>IF(D439="","",IFERROR(INDEX('Équipements'!$D$5:$D$304,MATCH(D439,'Équipements'!$A$5:$A$304,0)),""))</f>
        <v/>
      </c>
      <c r="G439" s="9">
        <f>IF(D439="","",IFERROR(INDEX('Équipements'!$K$5:$K$304,MATCH(D439,'Équipements'!$A$5:$A$304,0)),""))</f>
        <v/>
      </c>
      <c r="H439" s="7" t="inlineStr">
        <is>
          <t>Préventif systématique</t>
        </is>
      </c>
      <c r="I439" s="7" t="inlineStr">
        <is>
          <t>GP-094</t>
        </is>
      </c>
      <c r="J439" s="7" t="inlineStr">
        <is>
          <t>Multi-technique</t>
        </is>
      </c>
      <c r="K439" s="7" t="inlineStr">
        <is>
          <t>P3 - Normale</t>
        </is>
      </c>
      <c r="L439" s="7" t="inlineStr">
        <is>
          <t>Entretien annuel complet</t>
        </is>
      </c>
      <c r="M439" s="7" t="n"/>
      <c r="N439" s="7" t="inlineStr">
        <is>
          <t>Gamme réalisée - RAS</t>
        </is>
      </c>
      <c r="O439" s="7" t="inlineStr">
        <is>
          <t>Antoine Mercier</t>
        </is>
      </c>
      <c r="P439" s="65" t="n">
        <v>45861</v>
      </c>
      <c r="Q439" s="75" t="n">
        <v>45861.29166666666</v>
      </c>
      <c r="R439" s="75" t="n">
        <v>45861.51041666666</v>
      </c>
      <c r="S439" s="76" t="n">
        <v>0</v>
      </c>
      <c r="T439" s="76" t="n">
        <v>2</v>
      </c>
      <c r="U439" s="70">
        <f>IF($A439="","",IFERROR(INDEX('Techniciens'!$F$5:$F$44,MATCH(O439,'Techniciens'!$B$5:$B$44,0)),'Paramètres'!$AA$10))</f>
        <v/>
      </c>
      <c r="V439" s="70">
        <f>IF($A439="","",IF(OR(AC439="Demandé",AC439="Planifié",AC439="Annulé"),0,N(T439)*N(U439)))</f>
        <v/>
      </c>
      <c r="W439" s="70">
        <f>IF($A439="","",SUMIFS('Mouvements stock'!$H$5:$H$3004,'Mouvements stock'!$I$5:$I$3004,$A439,'Mouvements stock'!$C$5:$C$3004,"Sortie")-SUMIFS('Mouvements stock'!$H$5:$H$3004,'Mouvements stock'!$I$5:$I$3004,$A439,'Mouvements stock'!$C$5:$C$3004,"Retour"))</f>
        <v/>
      </c>
      <c r="X439" s="66" t="n">
        <v>0</v>
      </c>
      <c r="Y439" s="66" t="n">
        <v>780</v>
      </c>
      <c r="Z439" s="7" t="inlineStr">
        <is>
          <t>Thermique &amp; Clim Services</t>
        </is>
      </c>
      <c r="AA439" s="70">
        <f>IF($A439="","",N(V439)+N(W439)+N(X439)+N(Y439))</f>
        <v/>
      </c>
      <c r="AB439" s="70">
        <f>IF($A439="","",N(S439)*'Paramètres'!$AA$9*IFERROR(INDEX('Paramètres'!$O$5:$O$7,MATCH(G439,'Paramètres'!$N$5:$N$7,0)),0))</f>
        <v/>
      </c>
      <c r="AC439" s="7" t="inlineStr">
        <is>
          <t>Clôturé</t>
        </is>
      </c>
      <c r="AD439" s="69">
        <f>IF(OR($A439="",Q439=""),"",(Q439-B439)*24)</f>
        <v/>
      </c>
      <c r="AE439" s="69">
        <f>IF(OR(Q439="",R439=""),"",(R439-Q439)*24)</f>
        <v/>
      </c>
      <c r="AF439" s="77">
        <f>IF(OR($A439="",B439=""),"",YEAR(B439))</f>
        <v/>
      </c>
      <c r="AG439" s="77">
        <f>IF(OR($A439="",B439=""),"",MONTH(B439))</f>
        <v/>
      </c>
    </row>
    <row r="440">
      <c r="A440" s="7" t="inlineStr">
        <is>
          <t>OT-2025-0436</t>
        </is>
      </c>
      <c r="B440" s="75" t="n">
        <v>45854.78888888889</v>
      </c>
      <c r="C440" s="7" t="inlineStr">
        <is>
          <t>Céline Morel (cheffe d'atelier)</t>
        </is>
      </c>
      <c r="D440" s="7" t="inlineStr">
        <is>
          <t>EQ-TOL-007</t>
        </is>
      </c>
      <c r="E440" s="9">
        <f>IF(D440="","",IFERROR(INDEX('Équipements'!$B$5:$B$304,MATCH(D440,'Équipements'!$A$5:$A$304,0)),"Code inconnu"))</f>
        <v/>
      </c>
      <c r="F440" s="9">
        <f>IF(D440="","",IFERROR(INDEX('Équipements'!$D$5:$D$304,MATCH(D440,'Équipements'!$A$5:$A$304,0)),""))</f>
        <v/>
      </c>
      <c r="G440" s="9">
        <f>IF(D440="","",IFERROR(INDEX('Équipements'!$K$5:$K$304,MATCH(D440,'Équipements'!$A$5:$A$304,0)),""))</f>
        <v/>
      </c>
      <c r="H440" s="7" t="inlineStr">
        <is>
          <t>Correctif</t>
        </is>
      </c>
      <c r="I440" s="7" t="n"/>
      <c r="J440" s="7" t="inlineStr">
        <is>
          <t>Mécanique</t>
        </is>
      </c>
      <c r="K440" s="7" t="inlineStr">
        <is>
          <t>P4 - Basse</t>
        </is>
      </c>
      <c r="L440" s="7" t="inlineStr">
        <is>
          <t>Roulement de tambour bruyant</t>
        </is>
      </c>
      <c r="M440" s="7" t="inlineStr">
        <is>
          <t>Usure</t>
        </is>
      </c>
      <c r="N440" s="7" t="inlineStr">
        <is>
          <t>Remplacement roulements et palier</t>
        </is>
      </c>
      <c r="O440" s="7" t="inlineStr">
        <is>
          <t>Antoine Mercier</t>
        </is>
      </c>
      <c r="P440" s="65" t="n"/>
      <c r="Q440" s="75" t="n">
        <v>45858.51875</v>
      </c>
      <c r="R440" s="75" t="n">
        <v>45858.58125</v>
      </c>
      <c r="S440" s="76" t="n">
        <v>0</v>
      </c>
      <c r="T440" s="76" t="n">
        <v>1.5</v>
      </c>
      <c r="U440" s="70">
        <f>IF($A440="","",IFERROR(INDEX('Techniciens'!$F$5:$F$44,MATCH(O440,'Techniciens'!$B$5:$B$44,0)),'Paramètres'!$AA$10))</f>
        <v/>
      </c>
      <c r="V440" s="70">
        <f>IF($A440="","",IF(OR(AC440="Demandé",AC440="Planifié",AC440="Annulé"),0,N(T440)*N(U440)))</f>
        <v/>
      </c>
      <c r="W440" s="70">
        <f>IF($A440="","",SUMIFS('Mouvements stock'!$H$5:$H$3004,'Mouvements stock'!$I$5:$I$3004,$A440,'Mouvements stock'!$C$5:$C$3004,"Sortie")-SUMIFS('Mouvements stock'!$H$5:$H$3004,'Mouvements stock'!$I$5:$I$3004,$A440,'Mouvements stock'!$C$5:$C$3004,"Retour"))</f>
        <v/>
      </c>
      <c r="X440" s="66" t="n">
        <v>0</v>
      </c>
      <c r="Y440" s="66" t="n">
        <v>0</v>
      </c>
      <c r="Z440" s="7" t="n"/>
      <c r="AA440" s="70">
        <f>IF($A440="","",N(V440)+N(W440)+N(X440)+N(Y440))</f>
        <v/>
      </c>
      <c r="AB440" s="70">
        <f>IF($A440="","",N(S440)*'Paramètres'!$AA$9*IFERROR(INDEX('Paramètres'!$O$5:$O$7,MATCH(G440,'Paramètres'!$N$5:$N$7,0)),0))</f>
        <v/>
      </c>
      <c r="AC440" s="7" t="inlineStr">
        <is>
          <t>Clôturé</t>
        </is>
      </c>
      <c r="AD440" s="69">
        <f>IF(OR($A440="",Q440=""),"",(Q440-B440)*24)</f>
        <v/>
      </c>
      <c r="AE440" s="69">
        <f>IF(OR(Q440="",R440=""),"",(R440-Q440)*24)</f>
        <v/>
      </c>
      <c r="AF440" s="77">
        <f>IF(OR($A440="",B440=""),"",YEAR(B440))</f>
        <v/>
      </c>
      <c r="AG440" s="77">
        <f>IF(OR($A440="",B440=""),"",MONTH(B440))</f>
        <v/>
      </c>
    </row>
    <row r="441">
      <c r="A441" s="7" t="inlineStr">
        <is>
          <t>OT-2025-0437</t>
        </is>
      </c>
      <c r="B441" s="75" t="n">
        <v>45855.38541666666</v>
      </c>
      <c r="C441" s="7" t="inlineStr">
        <is>
          <t>Plan préventif</t>
        </is>
      </c>
      <c r="D441" s="7" t="inlineStr">
        <is>
          <t>EQ-PEI-002</t>
        </is>
      </c>
      <c r="E441" s="9">
        <f>IF(D441="","",IFERROR(INDEX('Équipements'!$B$5:$B$304,MATCH(D441,'Équipements'!$A$5:$A$304,0)),"Code inconnu"))</f>
        <v/>
      </c>
      <c r="F441" s="9">
        <f>IF(D441="","",IFERROR(INDEX('Équipements'!$D$5:$D$304,MATCH(D441,'Équipements'!$A$5:$A$304,0)),""))</f>
        <v/>
      </c>
      <c r="G441" s="9">
        <f>IF(D441="","",IFERROR(INDEX('Équipements'!$K$5:$K$304,MATCH(D441,'Équipements'!$A$5:$A$304,0)),""))</f>
        <v/>
      </c>
      <c r="H441" s="7" t="inlineStr">
        <is>
          <t>Préventif systématique</t>
        </is>
      </c>
      <c r="I441" s="7" t="inlineStr">
        <is>
          <t>GP-068</t>
        </is>
      </c>
      <c r="J441" s="7" t="inlineStr">
        <is>
          <t>Mécanique</t>
        </is>
      </c>
      <c r="K441" s="7" t="inlineStr">
        <is>
          <t>P3 - Normale</t>
        </is>
      </c>
      <c r="L441" s="7" t="inlineStr">
        <is>
          <t>Nettoyage et remplacement des filtres</t>
        </is>
      </c>
      <c r="M441" s="7" t="n"/>
      <c r="N441" s="7" t="inlineStr">
        <is>
          <t>Gamme réalisée - RAS</t>
        </is>
      </c>
      <c r="O441" s="7" t="inlineStr">
        <is>
          <t>Karim Benali</t>
        </is>
      </c>
      <c r="P441" s="65" t="n">
        <v>45862.38541666666</v>
      </c>
      <c r="Q441" s="75" t="n">
        <v>45862.29861111111</v>
      </c>
      <c r="R441" s="75" t="n">
        <v>45862.44444444445</v>
      </c>
      <c r="S441" s="76" t="n">
        <v>0</v>
      </c>
      <c r="T441" s="76" t="n">
        <v>3.5</v>
      </c>
      <c r="U441" s="70">
        <f>IF($A441="","",IFERROR(INDEX('Techniciens'!$F$5:$F$44,MATCH(O441,'Techniciens'!$B$5:$B$44,0)),'Paramètres'!$AA$10))</f>
        <v/>
      </c>
      <c r="V441" s="70">
        <f>IF($A441="","",IF(OR(AC441="Demandé",AC441="Planifié",AC441="Annulé"),0,N(T441)*N(U441)))</f>
        <v/>
      </c>
      <c r="W441" s="70">
        <f>IF($A441="","",SUMIFS('Mouvements stock'!$H$5:$H$3004,'Mouvements stock'!$I$5:$I$3004,$A441,'Mouvements stock'!$C$5:$C$3004,"Sortie")-SUMIFS('Mouvements stock'!$H$5:$H$3004,'Mouvements stock'!$I$5:$I$3004,$A441,'Mouvements stock'!$C$5:$C$3004,"Retour"))</f>
        <v/>
      </c>
      <c r="X441" s="66" t="n">
        <v>0</v>
      </c>
      <c r="Y441" s="66" t="n">
        <v>0</v>
      </c>
      <c r="Z441" s="7" t="n"/>
      <c r="AA441" s="70">
        <f>IF($A441="","",N(V441)+N(W441)+N(X441)+N(Y441))</f>
        <v/>
      </c>
      <c r="AB441" s="70">
        <f>IF($A441="","",N(S441)*'Paramètres'!$AA$9*IFERROR(INDEX('Paramètres'!$O$5:$O$7,MATCH(G441,'Paramètres'!$N$5:$N$7,0)),0))</f>
        <v/>
      </c>
      <c r="AC441" s="7" t="inlineStr">
        <is>
          <t>Clôturé</t>
        </is>
      </c>
      <c r="AD441" s="69">
        <f>IF(OR($A441="",Q441=""),"",(Q441-B441)*24)</f>
        <v/>
      </c>
      <c r="AE441" s="69">
        <f>IF(OR(Q441="",R441=""),"",(R441-Q441)*24)</f>
        <v/>
      </c>
      <c r="AF441" s="77">
        <f>IF(OR($A441="",B441=""),"",YEAR(B441))</f>
        <v/>
      </c>
      <c r="AG441" s="77">
        <f>IF(OR($A441="",B441=""),"",MONTH(B441))</f>
        <v/>
      </c>
    </row>
    <row r="442">
      <c r="A442" s="7" t="inlineStr">
        <is>
          <t>OT-2025-0438</t>
        </is>
      </c>
      <c r="B442" s="75" t="n">
        <v>45855.60694444444</v>
      </c>
      <c r="C442" s="7" t="inlineStr">
        <is>
          <t>Paul Roux (chef d'atelier)</t>
        </is>
      </c>
      <c r="D442" s="7" t="inlineStr">
        <is>
          <t>EQ-ASS-001</t>
        </is>
      </c>
      <c r="E442" s="9">
        <f>IF(D442="","",IFERROR(INDEX('Équipements'!$B$5:$B$304,MATCH(D442,'Équipements'!$A$5:$A$304,0)),"Code inconnu"))</f>
        <v/>
      </c>
      <c r="F442" s="9">
        <f>IF(D442="","",IFERROR(INDEX('Équipements'!$D$5:$D$304,MATCH(D442,'Équipements'!$A$5:$A$304,0)),""))</f>
        <v/>
      </c>
      <c r="G442" s="9">
        <f>IF(D442="","",IFERROR(INDEX('Équipements'!$K$5:$K$304,MATCH(D442,'Équipements'!$A$5:$A$304,0)),""))</f>
        <v/>
      </c>
      <c r="H442" s="7" t="inlineStr">
        <is>
          <t>Correctif</t>
        </is>
      </c>
      <c r="I442" s="7" t="n"/>
      <c r="J442" s="7" t="inlineStr">
        <is>
          <t>Mécanique</t>
        </is>
      </c>
      <c r="K442" s="7" t="inlineStr">
        <is>
          <t>P2 - Haute</t>
        </is>
      </c>
      <c r="L442" s="7" t="inlineStr">
        <is>
          <t>Roulement de tambour bruyant</t>
        </is>
      </c>
      <c r="M442" s="7" t="inlineStr">
        <is>
          <t>Usure</t>
        </is>
      </c>
      <c r="N442" s="7" t="inlineStr">
        <is>
          <t>Remplacement roulements et palier</t>
        </is>
      </c>
      <c r="O442" s="7" t="inlineStr">
        <is>
          <t>Antoine Mercier</t>
        </is>
      </c>
      <c r="P442" s="65" t="n"/>
      <c r="Q442" s="75" t="n">
        <v>45855.75</v>
      </c>
      <c r="R442" s="75" t="n">
        <v>45855.875</v>
      </c>
      <c r="S442" s="76" t="n">
        <v>6.4</v>
      </c>
      <c r="T442" s="76" t="n">
        <v>3</v>
      </c>
      <c r="U442" s="70">
        <f>IF($A442="","",IFERROR(INDEX('Techniciens'!$F$5:$F$44,MATCH(O442,'Techniciens'!$B$5:$B$44,0)),'Paramètres'!$AA$10))</f>
        <v/>
      </c>
      <c r="V442" s="70">
        <f>IF($A442="","",IF(OR(AC442="Demandé",AC442="Planifié",AC442="Annulé"),0,N(T442)*N(U442)))</f>
        <v/>
      </c>
      <c r="W442" s="70">
        <f>IF($A442="","",SUMIFS('Mouvements stock'!$H$5:$H$3004,'Mouvements stock'!$I$5:$I$3004,$A442,'Mouvements stock'!$C$5:$C$3004,"Sortie")-SUMIFS('Mouvements stock'!$H$5:$H$3004,'Mouvements stock'!$I$5:$I$3004,$A442,'Mouvements stock'!$C$5:$C$3004,"Retour"))</f>
        <v/>
      </c>
      <c r="X442" s="66" t="n">
        <v>0</v>
      </c>
      <c r="Y442" s="66" t="n">
        <v>0</v>
      </c>
      <c r="Z442" s="7" t="n"/>
      <c r="AA442" s="70">
        <f>IF($A442="","",N(V442)+N(W442)+N(X442)+N(Y442))</f>
        <v/>
      </c>
      <c r="AB442" s="70">
        <f>IF($A442="","",N(S442)*'Paramètres'!$AA$9*IFERROR(INDEX('Paramètres'!$O$5:$O$7,MATCH(G442,'Paramètres'!$N$5:$N$7,0)),0))</f>
        <v/>
      </c>
      <c r="AC442" s="7" t="inlineStr">
        <is>
          <t>Clôturé</t>
        </is>
      </c>
      <c r="AD442" s="69">
        <f>IF(OR($A442="",Q442=""),"",(Q442-B442)*24)</f>
        <v/>
      </c>
      <c r="AE442" s="69">
        <f>IF(OR(Q442="",R442=""),"",(R442-Q442)*24)</f>
        <v/>
      </c>
      <c r="AF442" s="77">
        <f>IF(OR($A442="",B442=""),"",YEAR(B442))</f>
        <v/>
      </c>
      <c r="AG442" s="77">
        <f>IF(OR($A442="",B442=""),"",MONTH(B442))</f>
        <v/>
      </c>
    </row>
    <row r="443">
      <c r="A443" s="7" t="inlineStr">
        <is>
          <t>OT-2025-0439</t>
        </is>
      </c>
      <c r="B443" s="75" t="n">
        <v>45856.38541666666</v>
      </c>
      <c r="C443" s="7" t="inlineStr">
        <is>
          <t>Plan préventif</t>
        </is>
      </c>
      <c r="D443" s="7" t="inlineStr">
        <is>
          <t>EQ-USI-004</t>
        </is>
      </c>
      <c r="E443" s="9">
        <f>IF(D443="","",IFERROR(INDEX('Équipements'!$B$5:$B$304,MATCH(D443,'Équipements'!$A$5:$A$304,0)),"Code inconnu"))</f>
        <v/>
      </c>
      <c r="F443" s="9">
        <f>IF(D443="","",IFERROR(INDEX('Équipements'!$D$5:$D$304,MATCH(D443,'Équipements'!$A$5:$A$304,0)),""))</f>
        <v/>
      </c>
      <c r="G443" s="9">
        <f>IF(D443="","",IFERROR(INDEX('Équipements'!$K$5:$K$304,MATCH(D443,'Équipements'!$A$5:$A$304,0)),""))</f>
        <v/>
      </c>
      <c r="H443" s="7" t="inlineStr">
        <is>
          <t>Préventif systématique</t>
        </is>
      </c>
      <c r="I443" s="7" t="inlineStr">
        <is>
          <t>GP-013</t>
        </is>
      </c>
      <c r="J443" s="7" t="inlineStr">
        <is>
          <t>Mécanique</t>
        </is>
      </c>
      <c r="K443" s="7" t="inlineStr">
        <is>
          <t>P3 - Normale</t>
        </is>
      </c>
      <c r="L443" s="7" t="inlineStr">
        <is>
          <t>Contrôle niveaux, nettoyage filtres et bac à copeaux</t>
        </is>
      </c>
      <c r="M443" s="7" t="n"/>
      <c r="N443" s="7" t="inlineStr">
        <is>
          <t>Gamme réalisée - RAS</t>
        </is>
      </c>
      <c r="O443" s="7" t="inlineStr">
        <is>
          <t>Lucas Fontaine</t>
        </is>
      </c>
      <c r="P443" s="65" t="n">
        <v>45863.60416666666</v>
      </c>
      <c r="Q443" s="75" t="n">
        <v>45863.43055555555</v>
      </c>
      <c r="R443" s="75" t="n">
        <v>45863.50347222222</v>
      </c>
      <c r="S443" s="76" t="n">
        <v>1.8</v>
      </c>
      <c r="T443" s="76" t="n">
        <v>1.75</v>
      </c>
      <c r="U443" s="70">
        <f>IF($A443="","",IFERROR(INDEX('Techniciens'!$F$5:$F$44,MATCH(O443,'Techniciens'!$B$5:$B$44,0)),'Paramètres'!$AA$10))</f>
        <v/>
      </c>
      <c r="V443" s="70">
        <f>IF($A443="","",IF(OR(AC443="Demandé",AC443="Planifié",AC443="Annulé"),0,N(T443)*N(U443)))</f>
        <v/>
      </c>
      <c r="W443" s="70">
        <f>IF($A443="","",SUMIFS('Mouvements stock'!$H$5:$H$3004,'Mouvements stock'!$I$5:$I$3004,$A443,'Mouvements stock'!$C$5:$C$3004,"Sortie")-SUMIFS('Mouvements stock'!$H$5:$H$3004,'Mouvements stock'!$I$5:$I$3004,$A443,'Mouvements stock'!$C$5:$C$3004,"Retour"))</f>
        <v/>
      </c>
      <c r="X443" s="66" t="n">
        <v>0</v>
      </c>
      <c r="Y443" s="66" t="n">
        <v>0</v>
      </c>
      <c r="Z443" s="7" t="n"/>
      <c r="AA443" s="70">
        <f>IF($A443="","",N(V443)+N(W443)+N(X443)+N(Y443))</f>
        <v/>
      </c>
      <c r="AB443" s="70">
        <f>IF($A443="","",N(S443)*'Paramètres'!$AA$9*IFERROR(INDEX('Paramètres'!$O$5:$O$7,MATCH(G443,'Paramètres'!$N$5:$N$7,0)),0))</f>
        <v/>
      </c>
      <c r="AC443" s="7" t="inlineStr">
        <is>
          <t>Clôturé</t>
        </is>
      </c>
      <c r="AD443" s="69">
        <f>IF(OR($A443="",Q443=""),"",(Q443-B443)*24)</f>
        <v/>
      </c>
      <c r="AE443" s="69">
        <f>IF(OR(Q443="",R443=""),"",(R443-Q443)*24)</f>
        <v/>
      </c>
      <c r="AF443" s="77">
        <f>IF(OR($A443="",B443=""),"",YEAR(B443))</f>
        <v/>
      </c>
      <c r="AG443" s="77">
        <f>IF(OR($A443="",B443=""),"",MONTH(B443))</f>
        <v/>
      </c>
    </row>
    <row r="444">
      <c r="A444" s="7" t="inlineStr">
        <is>
          <t>OT-2025-0440</t>
        </is>
      </c>
      <c r="B444" s="75" t="n">
        <v>45856.40625</v>
      </c>
      <c r="C444" s="7" t="inlineStr">
        <is>
          <t>Plan préventif</t>
        </is>
      </c>
      <c r="D444" s="7" t="inlineStr">
        <is>
          <t>EQ-PEI-003</t>
        </is>
      </c>
      <c r="E444" s="9">
        <f>IF(D444="","",IFERROR(INDEX('Équipements'!$B$5:$B$304,MATCH(D444,'Équipements'!$A$5:$A$304,0)),"Code inconnu"))</f>
        <v/>
      </c>
      <c r="F444" s="9">
        <f>IF(D444="","",IFERROR(INDEX('Équipements'!$D$5:$D$304,MATCH(D444,'Équipements'!$A$5:$A$304,0)),""))</f>
        <v/>
      </c>
      <c r="G444" s="9">
        <f>IF(D444="","",IFERROR(INDEX('Équipements'!$K$5:$K$304,MATCH(D444,'Équipements'!$A$5:$A$304,0)),""))</f>
        <v/>
      </c>
      <c r="H444" s="7" t="inlineStr">
        <is>
          <t>Préventif systématique</t>
        </is>
      </c>
      <c r="I444" s="7" t="inlineStr">
        <is>
          <t>GP-070</t>
        </is>
      </c>
      <c r="J444" s="7" t="inlineStr">
        <is>
          <t>Mécanique</t>
        </is>
      </c>
      <c r="K444" s="7" t="inlineStr">
        <is>
          <t>P3 - Normale</t>
        </is>
      </c>
      <c r="L444" s="7" t="inlineStr">
        <is>
          <t>Nettoyage et remplacement des filtres</t>
        </is>
      </c>
      <c r="M444" s="7" t="n"/>
      <c r="N444" s="7" t="inlineStr">
        <is>
          <t>Gamme réalisée - RAS</t>
        </is>
      </c>
      <c r="O444" s="7" t="inlineStr">
        <is>
          <t>Antoine Mercier</t>
        </is>
      </c>
      <c r="P444" s="65" t="n">
        <v>45863.71875</v>
      </c>
      <c r="Q444" s="75" t="n">
        <v>45863.59375</v>
      </c>
      <c r="R444" s="75" t="n">
        <v>45863.73958333334</v>
      </c>
      <c r="S444" s="76" t="n">
        <v>0</v>
      </c>
      <c r="T444" s="76" t="n">
        <v>3.5</v>
      </c>
      <c r="U444" s="70">
        <f>IF($A444="","",IFERROR(INDEX('Techniciens'!$F$5:$F$44,MATCH(O444,'Techniciens'!$B$5:$B$44,0)),'Paramètres'!$AA$10))</f>
        <v/>
      </c>
      <c r="V444" s="70">
        <f>IF($A444="","",IF(OR(AC444="Demandé",AC444="Planifié",AC444="Annulé"),0,N(T444)*N(U444)))</f>
        <v/>
      </c>
      <c r="W444" s="70">
        <f>IF($A444="","",SUMIFS('Mouvements stock'!$H$5:$H$3004,'Mouvements stock'!$I$5:$I$3004,$A444,'Mouvements stock'!$C$5:$C$3004,"Sortie")-SUMIFS('Mouvements stock'!$H$5:$H$3004,'Mouvements stock'!$I$5:$I$3004,$A444,'Mouvements stock'!$C$5:$C$3004,"Retour"))</f>
        <v/>
      </c>
      <c r="X444" s="66" t="n">
        <v>0</v>
      </c>
      <c r="Y444" s="66" t="n">
        <v>0</v>
      </c>
      <c r="Z444" s="7" t="n"/>
      <c r="AA444" s="70">
        <f>IF($A444="","",N(V444)+N(W444)+N(X444)+N(Y444))</f>
        <v/>
      </c>
      <c r="AB444" s="70">
        <f>IF($A444="","",N(S444)*'Paramètres'!$AA$9*IFERROR(INDEX('Paramètres'!$O$5:$O$7,MATCH(G444,'Paramètres'!$N$5:$N$7,0)),0))</f>
        <v/>
      </c>
      <c r="AC444" s="7" t="inlineStr">
        <is>
          <t>Clôturé</t>
        </is>
      </c>
      <c r="AD444" s="69">
        <f>IF(OR($A444="",Q444=""),"",(Q444-B444)*24)</f>
        <v/>
      </c>
      <c r="AE444" s="69">
        <f>IF(OR(Q444="",R444=""),"",(R444-Q444)*24)</f>
        <v/>
      </c>
      <c r="AF444" s="77">
        <f>IF(OR($A444="",B444=""),"",YEAR(B444))</f>
        <v/>
      </c>
      <c r="AG444" s="77">
        <f>IF(OR($A444="",B444=""),"",MONTH(B444))</f>
        <v/>
      </c>
    </row>
    <row r="445">
      <c r="A445" s="7" t="inlineStr">
        <is>
          <t>OT-2025-0441</t>
        </is>
      </c>
      <c r="B445" s="75" t="n">
        <v>45856.42361111111</v>
      </c>
      <c r="C445" s="7" t="inlineStr">
        <is>
          <t>Plan préventif</t>
        </is>
      </c>
      <c r="D445" s="7" t="inlineStr">
        <is>
          <t>EQ-USI-009</t>
        </is>
      </c>
      <c r="E445" s="9">
        <f>IF(D445="","",IFERROR(INDEX('Équipements'!$B$5:$B$304,MATCH(D445,'Équipements'!$A$5:$A$304,0)),"Code inconnu"))</f>
        <v/>
      </c>
      <c r="F445" s="9">
        <f>IF(D445="","",IFERROR(INDEX('Équipements'!$D$5:$D$304,MATCH(D445,'Équipements'!$A$5:$A$304,0)),""))</f>
        <v/>
      </c>
      <c r="G445" s="9">
        <f>IF(D445="","",IFERROR(INDEX('Équipements'!$K$5:$K$304,MATCH(D445,'Équipements'!$A$5:$A$304,0)),""))</f>
        <v/>
      </c>
      <c r="H445" s="7" t="inlineStr">
        <is>
          <t>Préventif systématique</t>
        </is>
      </c>
      <c r="I445" s="7" t="inlineStr">
        <is>
          <t>GP-030</t>
        </is>
      </c>
      <c r="J445" s="7" t="inlineStr">
        <is>
          <t>Mécanique</t>
        </is>
      </c>
      <c r="K445" s="7" t="inlineStr">
        <is>
          <t>P3 - Normale</t>
        </is>
      </c>
      <c r="L445" s="7" t="inlineStr">
        <is>
          <t>Contrôle lame, guides et liquide de coupe</t>
        </is>
      </c>
      <c r="M445" s="7" t="n"/>
      <c r="N445" s="7" t="inlineStr">
        <is>
          <t>Gamme réalisée - serrages repris</t>
        </is>
      </c>
      <c r="O445" s="7" t="inlineStr">
        <is>
          <t>Karim Benali</t>
        </is>
      </c>
      <c r="P445" s="65" t="n">
        <v>45863.36458333334</v>
      </c>
      <c r="Q445" s="75" t="n">
        <v>45863.55208333334</v>
      </c>
      <c r="R445" s="75" t="n">
        <v>45863.58333333334</v>
      </c>
      <c r="S445" s="76" t="n">
        <v>0.8</v>
      </c>
      <c r="T445" s="76" t="n">
        <v>0.75</v>
      </c>
      <c r="U445" s="70">
        <f>IF($A445="","",IFERROR(INDEX('Techniciens'!$F$5:$F$44,MATCH(O445,'Techniciens'!$B$5:$B$44,0)),'Paramètres'!$AA$10))</f>
        <v/>
      </c>
      <c r="V445" s="70">
        <f>IF($A445="","",IF(OR(AC445="Demandé",AC445="Planifié",AC445="Annulé"),0,N(T445)*N(U445)))</f>
        <v/>
      </c>
      <c r="W445" s="70">
        <f>IF($A445="","",SUMIFS('Mouvements stock'!$H$5:$H$3004,'Mouvements stock'!$I$5:$I$3004,$A445,'Mouvements stock'!$C$5:$C$3004,"Sortie")-SUMIFS('Mouvements stock'!$H$5:$H$3004,'Mouvements stock'!$I$5:$I$3004,$A445,'Mouvements stock'!$C$5:$C$3004,"Retour"))</f>
        <v/>
      </c>
      <c r="X445" s="66" t="n">
        <v>0</v>
      </c>
      <c r="Y445" s="66" t="n">
        <v>0</v>
      </c>
      <c r="Z445" s="7" t="n"/>
      <c r="AA445" s="70">
        <f>IF($A445="","",N(V445)+N(W445)+N(X445)+N(Y445))</f>
        <v/>
      </c>
      <c r="AB445" s="70">
        <f>IF($A445="","",N(S445)*'Paramètres'!$AA$9*IFERROR(INDEX('Paramètres'!$O$5:$O$7,MATCH(G445,'Paramètres'!$N$5:$N$7,0)),0))</f>
        <v/>
      </c>
      <c r="AC445" s="7" t="inlineStr">
        <is>
          <t>Clôturé</t>
        </is>
      </c>
      <c r="AD445" s="69">
        <f>IF(OR($A445="",Q445=""),"",(Q445-B445)*24)</f>
        <v/>
      </c>
      <c r="AE445" s="69">
        <f>IF(OR(Q445="",R445=""),"",(R445-Q445)*24)</f>
        <v/>
      </c>
      <c r="AF445" s="77">
        <f>IF(OR($A445="",B445=""),"",YEAR(B445))</f>
        <v/>
      </c>
      <c r="AG445" s="77">
        <f>IF(OR($A445="",B445=""),"",MONTH(B445))</f>
        <v/>
      </c>
    </row>
    <row r="446">
      <c r="A446" s="7" t="inlineStr">
        <is>
          <t>OT-2025-0442</t>
        </is>
      </c>
      <c r="B446" s="75" t="n">
        <v>45856.52777777778</v>
      </c>
      <c r="C446" s="7" t="inlineStr">
        <is>
          <t>Marc Lefèvre</t>
        </is>
      </c>
      <c r="D446" s="7" t="inlineStr">
        <is>
          <t>EQ-ASS-001</t>
        </is>
      </c>
      <c r="E446" s="9">
        <f>IF(D446="","",IFERROR(INDEX('Équipements'!$B$5:$B$304,MATCH(D446,'Équipements'!$A$5:$A$304,0)),"Code inconnu"))</f>
        <v/>
      </c>
      <c r="F446" s="9">
        <f>IF(D446="","",IFERROR(INDEX('Équipements'!$D$5:$D$304,MATCH(D446,'Équipements'!$A$5:$A$304,0)),""))</f>
        <v/>
      </c>
      <c r="G446" s="9">
        <f>IF(D446="","",IFERROR(INDEX('Équipements'!$K$5:$K$304,MATCH(D446,'Équipements'!$A$5:$A$304,0)),""))</f>
        <v/>
      </c>
      <c r="H446" s="7" t="inlineStr">
        <is>
          <t>Amélioratif</t>
        </is>
      </c>
      <c r="I446" s="7" t="n"/>
      <c r="J446" s="7" t="inlineStr">
        <is>
          <t>Mécanique</t>
        </is>
      </c>
      <c r="K446" s="7" t="inlineStr">
        <is>
          <t>P4 - Basse</t>
        </is>
      </c>
      <c r="L446" s="7" t="inlineStr">
        <is>
          <t>Ajout carter de protection zone transfert</t>
        </is>
      </c>
      <c r="M446" s="7" t="n"/>
      <c r="N446" s="7" t="inlineStr">
        <is>
          <t>Réalisé conformément au devis / dossier technique</t>
        </is>
      </c>
      <c r="O446" s="7" t="inlineStr">
        <is>
          <t>Antoine Mercier</t>
        </is>
      </c>
      <c r="P446" s="65" t="n">
        <v>45869</v>
      </c>
      <c r="Q446" s="75" t="n">
        <v>45869.375</v>
      </c>
      <c r="R446" s="75" t="n">
        <v>45870.19166666667</v>
      </c>
      <c r="S446" s="76" t="n">
        <v>7</v>
      </c>
      <c r="T446" s="76" t="n">
        <v>14</v>
      </c>
      <c r="U446" s="70">
        <f>IF($A446="","",IFERROR(INDEX('Techniciens'!$F$5:$F$44,MATCH(O446,'Techniciens'!$B$5:$B$44,0)),'Paramètres'!$AA$10))</f>
        <v/>
      </c>
      <c r="V446" s="70">
        <f>IF($A446="","",IF(OR(AC446="Demandé",AC446="Planifié",AC446="Annulé"),0,N(T446)*N(U446)))</f>
        <v/>
      </c>
      <c r="W446" s="70">
        <f>IF($A446="","",SUMIFS('Mouvements stock'!$H$5:$H$3004,'Mouvements stock'!$I$5:$I$3004,$A446,'Mouvements stock'!$C$5:$C$3004,"Sortie")-SUMIFS('Mouvements stock'!$H$5:$H$3004,'Mouvements stock'!$I$5:$I$3004,$A446,'Mouvements stock'!$C$5:$C$3004,"Retour"))</f>
        <v/>
      </c>
      <c r="X446" s="66" t="n">
        <v>950</v>
      </c>
      <c r="Y446" s="66" t="n">
        <v>0</v>
      </c>
      <c r="Z446" s="7" t="n"/>
      <c r="AA446" s="70">
        <f>IF($A446="","",N(V446)+N(W446)+N(X446)+N(Y446))</f>
        <v/>
      </c>
      <c r="AB446" s="70">
        <f>IF($A446="","",N(S446)*'Paramètres'!$AA$9*IFERROR(INDEX('Paramètres'!$O$5:$O$7,MATCH(G446,'Paramètres'!$N$5:$N$7,0)),0))</f>
        <v/>
      </c>
      <c r="AC446" s="7" t="inlineStr">
        <is>
          <t>Clôturé</t>
        </is>
      </c>
      <c r="AD446" s="69">
        <f>IF(OR($A446="",Q446=""),"",(Q446-B446)*24)</f>
        <v/>
      </c>
      <c r="AE446" s="69">
        <f>IF(OR(Q446="",R446=""),"",(R446-Q446)*24)</f>
        <v/>
      </c>
      <c r="AF446" s="77">
        <f>IF(OR($A446="",B446=""),"",YEAR(B446))</f>
        <v/>
      </c>
      <c r="AG446" s="77">
        <f>IF(OR($A446="",B446=""),"",MONTH(B446))</f>
        <v/>
      </c>
    </row>
    <row r="447">
      <c r="A447" s="7" t="inlineStr">
        <is>
          <t>OT-2025-0443</t>
        </is>
      </c>
      <c r="B447" s="75" t="n">
        <v>45859.29444444444</v>
      </c>
      <c r="C447" s="7" t="inlineStr">
        <is>
          <t>Sylvie Mathieu (resp. logistique)</t>
        </is>
      </c>
      <c r="D447" s="7" t="inlineStr">
        <is>
          <t>EQ-LOG-004</t>
        </is>
      </c>
      <c r="E447" s="9">
        <f>IF(D447="","",IFERROR(INDEX('Équipements'!$B$5:$B$304,MATCH(D447,'Équipements'!$A$5:$A$304,0)),"Code inconnu"))</f>
        <v/>
      </c>
      <c r="F447" s="9">
        <f>IF(D447="","",IFERROR(INDEX('Équipements'!$D$5:$D$304,MATCH(D447,'Équipements'!$A$5:$A$304,0)),""))</f>
        <v/>
      </c>
      <c r="G447" s="9">
        <f>IF(D447="","",IFERROR(INDEX('Équipements'!$K$5:$K$304,MATCH(D447,'Équipements'!$A$5:$A$304,0)),""))</f>
        <v/>
      </c>
      <c r="H447" s="7" t="inlineStr">
        <is>
          <t>Correctif</t>
        </is>
      </c>
      <c r="I447" s="7" t="n"/>
      <c r="J447" s="7" t="inlineStr">
        <is>
          <t>Mécanique</t>
        </is>
      </c>
      <c r="K447" s="7" t="inlineStr">
        <is>
          <t>P2 - Haute</t>
        </is>
      </c>
      <c r="L447" s="7" t="inlineStr">
        <is>
          <t>Choc sur mât (dommage cariste)</t>
        </is>
      </c>
      <c r="M447" s="7" t="inlineStr">
        <is>
          <t>Choc / accident</t>
        </is>
      </c>
      <c r="N447" s="7" t="inlineStr">
        <is>
          <t>Redressage protège-conducteur, contrôle mât</t>
        </is>
      </c>
      <c r="O447" s="7" t="inlineStr">
        <is>
          <t>Lucas Fontaine</t>
        </is>
      </c>
      <c r="P447" s="65" t="n"/>
      <c r="Q447" s="75" t="n">
        <v>45859.42569444444</v>
      </c>
      <c r="R447" s="75" t="n">
        <v>45859.56111111111</v>
      </c>
      <c r="S447" s="76" t="n">
        <v>0</v>
      </c>
      <c r="T447" s="76" t="n">
        <v>3.25</v>
      </c>
      <c r="U447" s="70">
        <f>IF($A447="","",IFERROR(INDEX('Techniciens'!$F$5:$F$44,MATCH(O447,'Techniciens'!$B$5:$B$44,0)),'Paramètres'!$AA$10))</f>
        <v/>
      </c>
      <c r="V447" s="70">
        <f>IF($A447="","",IF(OR(AC447="Demandé",AC447="Planifié",AC447="Annulé"),0,N(T447)*N(U447)))</f>
        <v/>
      </c>
      <c r="W447" s="70">
        <f>IF($A447="","",SUMIFS('Mouvements stock'!$H$5:$H$3004,'Mouvements stock'!$I$5:$I$3004,$A447,'Mouvements stock'!$C$5:$C$3004,"Sortie")-SUMIFS('Mouvements stock'!$H$5:$H$3004,'Mouvements stock'!$I$5:$I$3004,$A447,'Mouvements stock'!$C$5:$C$3004,"Retour"))</f>
        <v/>
      </c>
      <c r="X447" s="66" t="n">
        <v>0</v>
      </c>
      <c r="Y447" s="66" t="n">
        <v>2010</v>
      </c>
      <c r="Z447" s="7" t="inlineStr">
        <is>
          <t>Manutention Services 44</t>
        </is>
      </c>
      <c r="AA447" s="70">
        <f>IF($A447="","",N(V447)+N(W447)+N(X447)+N(Y447))</f>
        <v/>
      </c>
      <c r="AB447" s="70">
        <f>IF($A447="","",N(S447)*'Paramètres'!$AA$9*IFERROR(INDEX('Paramètres'!$O$5:$O$7,MATCH(G447,'Paramètres'!$N$5:$N$7,0)),0))</f>
        <v/>
      </c>
      <c r="AC447" s="7" t="inlineStr">
        <is>
          <t>Clôturé</t>
        </is>
      </c>
      <c r="AD447" s="69">
        <f>IF(OR($A447="",Q447=""),"",(Q447-B447)*24)</f>
        <v/>
      </c>
      <c r="AE447" s="69">
        <f>IF(OR(Q447="",R447=""),"",(R447-Q447)*24)</f>
        <v/>
      </c>
      <c r="AF447" s="77">
        <f>IF(OR($A447="",B447=""),"",YEAR(B447))</f>
        <v/>
      </c>
      <c r="AG447" s="77">
        <f>IF(OR($A447="",B447=""),"",MONTH(B447))</f>
        <v/>
      </c>
    </row>
    <row r="448">
      <c r="A448" s="7" t="inlineStr">
        <is>
          <t>OT-2025-0444</t>
        </is>
      </c>
      <c r="B448" s="75" t="n">
        <v>45859.375</v>
      </c>
      <c r="C448" s="7" t="inlineStr">
        <is>
          <t>Plan préventif</t>
        </is>
      </c>
      <c r="D448" s="7" t="inlineStr">
        <is>
          <t>EQ-UTI-010</t>
        </is>
      </c>
      <c r="E448" s="9">
        <f>IF(D448="","",IFERROR(INDEX('Équipements'!$B$5:$B$304,MATCH(D448,'Équipements'!$A$5:$A$304,0)),"Code inconnu"))</f>
        <v/>
      </c>
      <c r="F448" s="9">
        <f>IF(D448="","",IFERROR(INDEX('Équipements'!$D$5:$D$304,MATCH(D448,'Équipements'!$A$5:$A$304,0)),""))</f>
        <v/>
      </c>
      <c r="G448" s="9">
        <f>IF(D448="","",IFERROR(INDEX('Équipements'!$K$5:$K$304,MATCH(D448,'Équipements'!$A$5:$A$304,0)),""))</f>
        <v/>
      </c>
      <c r="H448" s="7" t="inlineStr">
        <is>
          <t>Préventif systématique</t>
        </is>
      </c>
      <c r="I448" s="7" t="inlineStr">
        <is>
          <t>GP-104</t>
        </is>
      </c>
      <c r="J448" s="7" t="inlineStr">
        <is>
          <t>Électrique</t>
        </is>
      </c>
      <c r="K448" s="7" t="inlineStr">
        <is>
          <t>P3 - Normale</t>
        </is>
      </c>
      <c r="L448" s="7" t="inlineStr">
        <is>
          <t>Essai mensuel à charge du groupe électrogène</t>
        </is>
      </c>
      <c r="M448" s="7" t="n"/>
      <c r="N448" s="7" t="inlineStr">
        <is>
          <t>Gamme réalisée - RAS</t>
        </is>
      </c>
      <c r="O448" s="7" t="inlineStr">
        <is>
          <t>Julien Moreau</t>
        </is>
      </c>
      <c r="P448" s="65" t="n">
        <v>45866.54861111111</v>
      </c>
      <c r="Q448" s="75" t="n">
        <v>45866.43055555555</v>
      </c>
      <c r="R448" s="75" t="n">
        <v>45866.48263888889</v>
      </c>
      <c r="S448" s="76" t="n">
        <v>0</v>
      </c>
      <c r="T448" s="76" t="n">
        <v>1.25</v>
      </c>
      <c r="U448" s="70">
        <f>IF($A448="","",IFERROR(INDEX('Techniciens'!$F$5:$F$44,MATCH(O448,'Techniciens'!$B$5:$B$44,0)),'Paramètres'!$AA$10))</f>
        <v/>
      </c>
      <c r="V448" s="70">
        <f>IF($A448="","",IF(OR(AC448="Demandé",AC448="Planifié",AC448="Annulé"),0,N(T448)*N(U448)))</f>
        <v/>
      </c>
      <c r="W448" s="70">
        <f>IF($A448="","",SUMIFS('Mouvements stock'!$H$5:$H$3004,'Mouvements stock'!$I$5:$I$3004,$A448,'Mouvements stock'!$C$5:$C$3004,"Sortie")-SUMIFS('Mouvements stock'!$H$5:$H$3004,'Mouvements stock'!$I$5:$I$3004,$A448,'Mouvements stock'!$C$5:$C$3004,"Retour"))</f>
        <v/>
      </c>
      <c r="X448" s="66" t="n">
        <v>0</v>
      </c>
      <c r="Y448" s="66" t="n">
        <v>0</v>
      </c>
      <c r="Z448" s="7" t="n"/>
      <c r="AA448" s="70">
        <f>IF($A448="","",N(V448)+N(W448)+N(X448)+N(Y448))</f>
        <v/>
      </c>
      <c r="AB448" s="70">
        <f>IF($A448="","",N(S448)*'Paramètres'!$AA$9*IFERROR(INDEX('Paramètres'!$O$5:$O$7,MATCH(G448,'Paramètres'!$N$5:$N$7,0)),0))</f>
        <v/>
      </c>
      <c r="AC448" s="7" t="inlineStr">
        <is>
          <t>Clôturé</t>
        </is>
      </c>
      <c r="AD448" s="69">
        <f>IF(OR($A448="",Q448=""),"",(Q448-B448)*24)</f>
        <v/>
      </c>
      <c r="AE448" s="69">
        <f>IF(OR(Q448="",R448=""),"",(R448-Q448)*24)</f>
        <v/>
      </c>
      <c r="AF448" s="77">
        <f>IF(OR($A448="",B448=""),"",YEAR(B448))</f>
        <v/>
      </c>
      <c r="AG448" s="77">
        <f>IF(OR($A448="",B448=""),"",MONTH(B448))</f>
        <v/>
      </c>
    </row>
    <row r="449">
      <c r="A449" s="7" t="inlineStr">
        <is>
          <t>OT-2025-0445</t>
        </is>
      </c>
      <c r="B449" s="75" t="n">
        <v>45859.39583333334</v>
      </c>
      <c r="C449" s="7" t="inlineStr">
        <is>
          <t>Plan préventif</t>
        </is>
      </c>
      <c r="D449" s="7" t="inlineStr">
        <is>
          <t>EQ-PEI-004</t>
        </is>
      </c>
      <c r="E449" s="9">
        <f>IF(D449="","",IFERROR(INDEX('Équipements'!$B$5:$B$304,MATCH(D449,'Équipements'!$A$5:$A$304,0)),"Code inconnu"))</f>
        <v/>
      </c>
      <c r="F449" s="9">
        <f>IF(D449="","",IFERROR(INDEX('Équipements'!$D$5:$D$304,MATCH(D449,'Équipements'!$A$5:$A$304,0)),""))</f>
        <v/>
      </c>
      <c r="G449" s="9">
        <f>IF(D449="","",IFERROR(INDEX('Équipements'!$K$5:$K$304,MATCH(D449,'Équipements'!$A$5:$A$304,0)),""))</f>
        <v/>
      </c>
      <c r="H449" s="7" t="inlineStr">
        <is>
          <t>Préventif systématique</t>
        </is>
      </c>
      <c r="I449" s="7" t="inlineStr">
        <is>
          <t>GP-072</t>
        </is>
      </c>
      <c r="J449" s="7" t="inlineStr">
        <is>
          <t>Mécanique</t>
        </is>
      </c>
      <c r="K449" s="7" t="inlineStr">
        <is>
          <t>P3 - Normale</t>
        </is>
      </c>
      <c r="L449" s="7" t="inlineStr">
        <is>
          <t>Graissage chaîne / galets et contrôle tension</t>
        </is>
      </c>
      <c r="M449" s="7" t="n"/>
      <c r="N449" s="7" t="inlineStr">
        <is>
          <t>Gamme réalisée - serrages repris</t>
        </is>
      </c>
      <c r="O449" s="7" t="inlineStr">
        <is>
          <t>Karim Benali</t>
        </is>
      </c>
      <c r="P449" s="65" t="n">
        <v>45866.48958333334</v>
      </c>
      <c r="Q449" s="75" t="n">
        <v>45866.42361111111</v>
      </c>
      <c r="R449" s="75" t="n">
        <v>45866.52777777778</v>
      </c>
      <c r="S449" s="76" t="n">
        <v>2.5</v>
      </c>
      <c r="T449" s="76" t="n">
        <v>2.5</v>
      </c>
      <c r="U449" s="70">
        <f>IF($A449="","",IFERROR(INDEX('Techniciens'!$F$5:$F$44,MATCH(O449,'Techniciens'!$B$5:$B$44,0)),'Paramètres'!$AA$10))</f>
        <v/>
      </c>
      <c r="V449" s="70">
        <f>IF($A449="","",IF(OR(AC449="Demandé",AC449="Planifié",AC449="Annulé"),0,N(T449)*N(U449)))</f>
        <v/>
      </c>
      <c r="W449" s="70">
        <f>IF($A449="","",SUMIFS('Mouvements stock'!$H$5:$H$3004,'Mouvements stock'!$I$5:$I$3004,$A449,'Mouvements stock'!$C$5:$C$3004,"Sortie")-SUMIFS('Mouvements stock'!$H$5:$H$3004,'Mouvements stock'!$I$5:$I$3004,$A449,'Mouvements stock'!$C$5:$C$3004,"Retour"))</f>
        <v/>
      </c>
      <c r="X449" s="66" t="n">
        <v>0</v>
      </c>
      <c r="Y449" s="66" t="n">
        <v>0</v>
      </c>
      <c r="Z449" s="7" t="n"/>
      <c r="AA449" s="70">
        <f>IF($A449="","",N(V449)+N(W449)+N(X449)+N(Y449))</f>
        <v/>
      </c>
      <c r="AB449" s="70">
        <f>IF($A449="","",N(S449)*'Paramètres'!$AA$9*IFERROR(INDEX('Paramètres'!$O$5:$O$7,MATCH(G449,'Paramètres'!$N$5:$N$7,0)),0))</f>
        <v/>
      </c>
      <c r="AC449" s="7" t="inlineStr">
        <is>
          <t>Clôturé</t>
        </is>
      </c>
      <c r="AD449" s="69">
        <f>IF(OR($A449="",Q449=""),"",(Q449-B449)*24)</f>
        <v/>
      </c>
      <c r="AE449" s="69">
        <f>IF(OR(Q449="",R449=""),"",(R449-Q449)*24)</f>
        <v/>
      </c>
      <c r="AF449" s="77">
        <f>IF(OR($A449="",B449=""),"",YEAR(B449))</f>
        <v/>
      </c>
      <c r="AG449" s="77">
        <f>IF(OR($A449="",B449=""),"",MONTH(B449))</f>
        <v/>
      </c>
    </row>
    <row r="450">
      <c r="A450" s="7" t="inlineStr">
        <is>
          <t>OT-2025-0446</t>
        </is>
      </c>
      <c r="B450" s="75" t="n">
        <v>45859.45138888889</v>
      </c>
      <c r="C450" s="7" t="inlineStr">
        <is>
          <t>Planning réglementaire</t>
        </is>
      </c>
      <c r="D450" s="7" t="inlineStr">
        <is>
          <t>EQ-LOG-005</t>
        </is>
      </c>
      <c r="E450" s="9">
        <f>IF(D450="","",IFERROR(INDEX('Équipements'!$B$5:$B$304,MATCH(D450,'Équipements'!$A$5:$A$304,0)),"Code inconnu"))</f>
        <v/>
      </c>
      <c r="F450" s="9">
        <f>IF(D450="","",IFERROR(INDEX('Équipements'!$D$5:$D$304,MATCH(D450,'Équipements'!$A$5:$A$304,0)),""))</f>
        <v/>
      </c>
      <c r="G450" s="9">
        <f>IF(D450="","",IFERROR(INDEX('Équipements'!$K$5:$K$304,MATCH(D450,'Équipements'!$A$5:$A$304,0)),""))</f>
        <v/>
      </c>
      <c r="H450" s="7" t="inlineStr">
        <is>
          <t>Réglementaire</t>
        </is>
      </c>
      <c r="I450" s="7" t="inlineStr">
        <is>
          <t>CR-008</t>
        </is>
      </c>
      <c r="J450" s="7" t="inlineStr">
        <is>
          <t>Multi-technique</t>
        </is>
      </c>
      <c r="K450" s="7" t="inlineStr">
        <is>
          <t>P2 - Haute</t>
        </is>
      </c>
      <c r="L450" s="7" t="inlineStr">
        <is>
          <t>VGP plateforme élévatrice mobile de personnes</t>
        </is>
      </c>
      <c r="M450" s="7" t="n"/>
      <c r="N450" s="7" t="inlineStr">
        <is>
          <t>Contrôle réalisé - rapport reçu</t>
        </is>
      </c>
      <c r="O450" s="7" t="inlineStr">
        <is>
          <t>Marc Lefèvre</t>
        </is>
      </c>
      <c r="P450" s="65" t="n">
        <v>45880</v>
      </c>
      <c r="Q450" s="75" t="n">
        <v>45880.4375</v>
      </c>
      <c r="R450" s="75" t="n">
        <v>45880.47916666666</v>
      </c>
      <c r="S450" s="76" t="n">
        <v>0</v>
      </c>
      <c r="T450" s="76" t="n">
        <v>1</v>
      </c>
      <c r="U450" s="70">
        <f>IF($A450="","",IFERROR(INDEX('Techniciens'!$F$5:$F$44,MATCH(O450,'Techniciens'!$B$5:$B$44,0)),'Paramètres'!$AA$10))</f>
        <v/>
      </c>
      <c r="V450" s="70">
        <f>IF($A450="","",IF(OR(AC450="Demandé",AC450="Planifié",AC450="Annulé"),0,N(T450)*N(U450)))</f>
        <v/>
      </c>
      <c r="W450" s="70">
        <f>IF($A450="","",SUMIFS('Mouvements stock'!$H$5:$H$3004,'Mouvements stock'!$I$5:$I$3004,$A450,'Mouvements stock'!$C$5:$C$3004,"Sortie")-SUMIFS('Mouvements stock'!$H$5:$H$3004,'Mouvements stock'!$I$5:$I$3004,$A450,'Mouvements stock'!$C$5:$C$3004,"Retour"))</f>
        <v/>
      </c>
      <c r="X450" s="66" t="n">
        <v>0</v>
      </c>
      <c r="Y450" s="66" t="n">
        <v>140</v>
      </c>
      <c r="Z450" s="7" t="inlineStr">
        <is>
          <t>CONTROLIS (organisme fictif)</t>
        </is>
      </c>
      <c r="AA450" s="70">
        <f>IF($A450="","",N(V450)+N(W450)+N(X450)+N(Y450))</f>
        <v/>
      </c>
      <c r="AB450" s="70">
        <f>IF($A450="","",N(S450)*'Paramètres'!$AA$9*IFERROR(INDEX('Paramètres'!$O$5:$O$7,MATCH(G450,'Paramètres'!$N$5:$N$7,0)),0))</f>
        <v/>
      </c>
      <c r="AC450" s="7" t="inlineStr">
        <is>
          <t>Clôturé</t>
        </is>
      </c>
      <c r="AD450" s="69">
        <f>IF(OR($A450="",Q450=""),"",(Q450-B450)*24)</f>
        <v/>
      </c>
      <c r="AE450" s="69">
        <f>IF(OR(Q450="",R450=""),"",(R450-Q450)*24)</f>
        <v/>
      </c>
      <c r="AF450" s="77">
        <f>IF(OR($A450="",B450=""),"",YEAR(B450))</f>
        <v/>
      </c>
      <c r="AG450" s="77">
        <f>IF(OR($A450="",B450=""),"",MONTH(B450))</f>
        <v/>
      </c>
    </row>
    <row r="451">
      <c r="A451" s="7" t="inlineStr">
        <is>
          <t>OT-2025-0447</t>
        </is>
      </c>
      <c r="B451" s="75" t="n">
        <v>45859.55</v>
      </c>
      <c r="C451" s="7" t="inlineStr">
        <is>
          <t>Opérateur usinage</t>
        </is>
      </c>
      <c r="D451" s="7" t="inlineStr">
        <is>
          <t>EQ-USI-005</t>
        </is>
      </c>
      <c r="E451" s="9">
        <f>IF(D451="","",IFERROR(INDEX('Équipements'!$B$5:$B$304,MATCH(D451,'Équipements'!$A$5:$A$304,0)),"Code inconnu"))</f>
        <v/>
      </c>
      <c r="F451" s="9">
        <f>IF(D451="","",IFERROR(INDEX('Équipements'!$D$5:$D$304,MATCH(D451,'Équipements'!$A$5:$A$304,0)),""))</f>
        <v/>
      </c>
      <c r="G451" s="9">
        <f>IF(D451="","",IFERROR(INDEX('Équipements'!$K$5:$K$304,MATCH(D451,'Équipements'!$A$5:$A$304,0)),""))</f>
        <v/>
      </c>
      <c r="H451" s="7" t="inlineStr">
        <is>
          <t>Correctif</t>
        </is>
      </c>
      <c r="I451" s="7" t="n"/>
      <c r="J451" s="7" t="inlineStr">
        <is>
          <t>Électrique</t>
        </is>
      </c>
      <c r="K451" s="7" t="inlineStr">
        <is>
          <t>P1 - Urgent</t>
        </is>
      </c>
      <c r="L451" s="7" t="inlineStr">
        <is>
          <t>Alarme codeur axe X</t>
        </is>
      </c>
      <c r="M451" s="7" t="inlineStr">
        <is>
          <t>Défaut capteur</t>
        </is>
      </c>
      <c r="N451" s="7" t="inlineStr">
        <is>
          <t>Contrôle câblage, remplacement codeur</t>
        </is>
      </c>
      <c r="O451" s="7" t="inlineStr">
        <is>
          <t>Thomas Petit</t>
        </is>
      </c>
      <c r="P451" s="65" t="n"/>
      <c r="Q451" s="75" t="n">
        <v>45859.56805555556</v>
      </c>
      <c r="R451" s="75" t="n">
        <v>45859.80763888889</v>
      </c>
      <c r="S451" s="76" t="n">
        <v>6.2</v>
      </c>
      <c r="T451" s="76" t="n">
        <v>5.75</v>
      </c>
      <c r="U451" s="70">
        <f>IF($A451="","",IFERROR(INDEX('Techniciens'!$F$5:$F$44,MATCH(O451,'Techniciens'!$B$5:$B$44,0)),'Paramètres'!$AA$10))</f>
        <v/>
      </c>
      <c r="V451" s="70">
        <f>IF($A451="","",IF(OR(AC451="Demandé",AC451="Planifié",AC451="Annulé"),0,N(T451)*N(U451)))</f>
        <v/>
      </c>
      <c r="W451" s="70">
        <f>IF($A451="","",SUMIFS('Mouvements stock'!$H$5:$H$3004,'Mouvements stock'!$I$5:$I$3004,$A451,'Mouvements stock'!$C$5:$C$3004,"Sortie")-SUMIFS('Mouvements stock'!$H$5:$H$3004,'Mouvements stock'!$I$5:$I$3004,$A451,'Mouvements stock'!$C$5:$C$3004,"Retour"))</f>
        <v/>
      </c>
      <c r="X451" s="66" t="n">
        <v>0</v>
      </c>
      <c r="Y451" s="66" t="n">
        <v>0</v>
      </c>
      <c r="Z451" s="7" t="n"/>
      <c r="AA451" s="70">
        <f>IF($A451="","",N(V451)+N(W451)+N(X451)+N(Y451))</f>
        <v/>
      </c>
      <c r="AB451" s="70">
        <f>IF($A451="","",N(S451)*'Paramètres'!$AA$9*IFERROR(INDEX('Paramètres'!$O$5:$O$7,MATCH(G451,'Paramètres'!$N$5:$N$7,0)),0))</f>
        <v/>
      </c>
      <c r="AC451" s="7" t="inlineStr">
        <is>
          <t>Clôturé</t>
        </is>
      </c>
      <c r="AD451" s="69">
        <f>IF(OR($A451="",Q451=""),"",(Q451-B451)*24)</f>
        <v/>
      </c>
      <c r="AE451" s="69">
        <f>IF(OR(Q451="",R451=""),"",(R451-Q451)*24)</f>
        <v/>
      </c>
      <c r="AF451" s="77">
        <f>IF(OR($A451="",B451=""),"",YEAR(B451))</f>
        <v/>
      </c>
      <c r="AG451" s="77">
        <f>IF(OR($A451="",B451=""),"",MONTH(B451))</f>
        <v/>
      </c>
    </row>
    <row r="452">
      <c r="A452" s="7" t="inlineStr">
        <is>
          <t>OT-2025-0448</t>
        </is>
      </c>
      <c r="B452" s="75" t="n">
        <v>45859.67361111111</v>
      </c>
      <c r="C452" s="7" t="inlineStr">
        <is>
          <t>Inès Girard (cheffe d'équipe)</t>
        </is>
      </c>
      <c r="D452" s="7" t="inlineStr">
        <is>
          <t>EQ-PEI-002</t>
        </is>
      </c>
      <c r="E452" s="9">
        <f>IF(D452="","",IFERROR(INDEX('Équipements'!$B$5:$B$304,MATCH(D452,'Équipements'!$A$5:$A$304,0)),"Code inconnu"))</f>
        <v/>
      </c>
      <c r="F452" s="9">
        <f>IF(D452="","",IFERROR(INDEX('Équipements'!$D$5:$D$304,MATCH(D452,'Équipements'!$A$5:$A$304,0)),""))</f>
        <v/>
      </c>
      <c r="G452" s="9">
        <f>IF(D452="","",IFERROR(INDEX('Équipements'!$K$5:$K$304,MATCH(D452,'Équipements'!$A$5:$A$304,0)),""))</f>
        <v/>
      </c>
      <c r="H452" s="7" t="inlineStr">
        <is>
          <t>Correctif</t>
        </is>
      </c>
      <c r="I452" s="7" t="n"/>
      <c r="J452" s="7" t="inlineStr">
        <is>
          <t>Mécanique</t>
        </is>
      </c>
      <c r="K452" s="7" t="inlineStr">
        <is>
          <t>P2 - Haute</t>
        </is>
      </c>
      <c r="L452" s="7" t="inlineStr">
        <is>
          <t>Pompe de bain en défaut</t>
        </is>
      </c>
      <c r="M452" s="7" t="inlineStr">
        <is>
          <t>Usure</t>
        </is>
      </c>
      <c r="N452" s="7" t="inlineStr">
        <is>
          <t>Remplacement pompe</t>
        </is>
      </c>
      <c r="O452" s="7" t="inlineStr">
        <is>
          <t>Lucas Fontaine</t>
        </is>
      </c>
      <c r="P452" s="65" t="n"/>
      <c r="Q452" s="75" t="n">
        <v>45859.80277777778</v>
      </c>
      <c r="R452" s="75" t="n">
        <v>45859.96944444445</v>
      </c>
      <c r="S452" s="76" t="n">
        <v>7.1</v>
      </c>
      <c r="T452" s="76" t="n">
        <v>4</v>
      </c>
      <c r="U452" s="70">
        <f>IF($A452="","",IFERROR(INDEX('Techniciens'!$F$5:$F$44,MATCH(O452,'Techniciens'!$B$5:$B$44,0)),'Paramètres'!$AA$10))</f>
        <v/>
      </c>
      <c r="V452" s="70">
        <f>IF($A452="","",IF(OR(AC452="Demandé",AC452="Planifié",AC452="Annulé"),0,N(T452)*N(U452)))</f>
        <v/>
      </c>
      <c r="W452" s="70">
        <f>IF($A452="","",SUMIFS('Mouvements stock'!$H$5:$H$3004,'Mouvements stock'!$I$5:$I$3004,$A452,'Mouvements stock'!$C$5:$C$3004,"Sortie")-SUMIFS('Mouvements stock'!$H$5:$H$3004,'Mouvements stock'!$I$5:$I$3004,$A452,'Mouvements stock'!$C$5:$C$3004,"Retour"))</f>
        <v/>
      </c>
      <c r="X452" s="66" t="n">
        <v>0</v>
      </c>
      <c r="Y452" s="66" t="n">
        <v>0</v>
      </c>
      <c r="Z452" s="7" t="n"/>
      <c r="AA452" s="70">
        <f>IF($A452="","",N(V452)+N(W452)+N(X452)+N(Y452))</f>
        <v/>
      </c>
      <c r="AB452" s="70">
        <f>IF($A452="","",N(S452)*'Paramètres'!$AA$9*IFERROR(INDEX('Paramètres'!$O$5:$O$7,MATCH(G452,'Paramètres'!$N$5:$N$7,0)),0))</f>
        <v/>
      </c>
      <c r="AC452" s="7" t="inlineStr">
        <is>
          <t>Clôturé</t>
        </is>
      </c>
      <c r="AD452" s="69">
        <f>IF(OR($A452="",Q452=""),"",(Q452-B452)*24)</f>
        <v/>
      </c>
      <c r="AE452" s="69">
        <f>IF(OR(Q452="",R452=""),"",(R452-Q452)*24)</f>
        <v/>
      </c>
      <c r="AF452" s="77">
        <f>IF(OR($A452="",B452=""),"",YEAR(B452))</f>
        <v/>
      </c>
      <c r="AG452" s="77">
        <f>IF(OR($A452="",B452=""),"",MONTH(B452))</f>
        <v/>
      </c>
    </row>
    <row r="453">
      <c r="A453" s="7" t="inlineStr">
        <is>
          <t>OT-2025-0449</t>
        </is>
      </c>
      <c r="B453" s="75" t="n">
        <v>45860.29652777778</v>
      </c>
      <c r="C453" s="7" t="inlineStr">
        <is>
          <t>Éric Laurent (chef d'atelier)</t>
        </is>
      </c>
      <c r="D453" s="7" t="inlineStr">
        <is>
          <t>EQ-USI-007</t>
        </is>
      </c>
      <c r="E453" s="9">
        <f>IF(D453="","",IFERROR(INDEX('Équipements'!$B$5:$B$304,MATCH(D453,'Équipements'!$A$5:$A$304,0)),"Code inconnu"))</f>
        <v/>
      </c>
      <c r="F453" s="9">
        <f>IF(D453="","",IFERROR(INDEX('Équipements'!$D$5:$D$304,MATCH(D453,'Équipements'!$A$5:$A$304,0)),""))</f>
        <v/>
      </c>
      <c r="G453" s="9">
        <f>IF(D453="","",IFERROR(INDEX('Équipements'!$K$5:$K$304,MATCH(D453,'Équipements'!$A$5:$A$304,0)),""))</f>
        <v/>
      </c>
      <c r="H453" s="7" t="inlineStr">
        <is>
          <t>Correctif</t>
        </is>
      </c>
      <c r="I453" s="7" t="n"/>
      <c r="J453" s="7" t="inlineStr">
        <is>
          <t>Mécanique</t>
        </is>
      </c>
      <c r="K453" s="7" t="inlineStr">
        <is>
          <t>P3 - Normale</t>
        </is>
      </c>
      <c r="L453" s="7" t="inlineStr">
        <is>
          <t>Défaut pression graissage centralisé</t>
        </is>
      </c>
      <c r="M453" s="7" t="inlineStr">
        <is>
          <t>Défaut lubrification</t>
        </is>
      </c>
      <c r="N453" s="7" t="inlineStr">
        <is>
          <t>Nettoyage pompe de graissage, remplacement doseurs</t>
        </is>
      </c>
      <c r="O453" s="7" t="inlineStr">
        <is>
          <t>Karim Benali</t>
        </is>
      </c>
      <c r="P453" s="65" t="n"/>
      <c r="Q453" s="75" t="n">
        <v>45861.7</v>
      </c>
      <c r="R453" s="75" t="n">
        <v>45863.35821382439</v>
      </c>
      <c r="S453" s="76" t="n">
        <v>0</v>
      </c>
      <c r="T453" s="76" t="n">
        <v>4.5</v>
      </c>
      <c r="U453" s="70">
        <f>IF($A453="","",IFERROR(INDEX('Techniciens'!$F$5:$F$44,MATCH(O453,'Techniciens'!$B$5:$B$44,0)),'Paramètres'!$AA$10))</f>
        <v/>
      </c>
      <c r="V453" s="70">
        <f>IF($A453="","",IF(OR(AC453="Demandé",AC453="Planifié",AC453="Annulé"),0,N(T453)*N(U453)))</f>
        <v/>
      </c>
      <c r="W453" s="70">
        <f>IF($A453="","",SUMIFS('Mouvements stock'!$H$5:$H$3004,'Mouvements stock'!$I$5:$I$3004,$A453,'Mouvements stock'!$C$5:$C$3004,"Sortie")-SUMIFS('Mouvements stock'!$H$5:$H$3004,'Mouvements stock'!$I$5:$I$3004,$A453,'Mouvements stock'!$C$5:$C$3004,"Retour"))</f>
        <v/>
      </c>
      <c r="X453" s="66" t="n">
        <v>0</v>
      </c>
      <c r="Y453" s="66" t="n">
        <v>0</v>
      </c>
      <c r="Z453" s="7" t="n"/>
      <c r="AA453" s="70">
        <f>IF($A453="","",N(V453)+N(W453)+N(X453)+N(Y453))</f>
        <v/>
      </c>
      <c r="AB453" s="70">
        <f>IF($A453="","",N(S453)*'Paramètres'!$AA$9*IFERROR(INDEX('Paramètres'!$O$5:$O$7,MATCH(G453,'Paramètres'!$N$5:$N$7,0)),0))</f>
        <v/>
      </c>
      <c r="AC453" s="7" t="inlineStr">
        <is>
          <t>Clôturé</t>
        </is>
      </c>
      <c r="AD453" s="69">
        <f>IF(OR($A453="",Q453=""),"",(Q453-B453)*24)</f>
        <v/>
      </c>
      <c r="AE453" s="69">
        <f>IF(OR(Q453="",R453=""),"",(R453-Q453)*24)</f>
        <v/>
      </c>
      <c r="AF453" s="77">
        <f>IF(OR($A453="",B453=""),"",YEAR(B453))</f>
        <v/>
      </c>
      <c r="AG453" s="77">
        <f>IF(OR($A453="",B453=""),"",MONTH(B453))</f>
        <v/>
      </c>
    </row>
    <row r="454">
      <c r="A454" s="7" t="inlineStr">
        <is>
          <t>OT-2025-0450</t>
        </is>
      </c>
      <c r="B454" s="75" t="n">
        <v>45860.38541666666</v>
      </c>
      <c r="C454" s="7" t="inlineStr">
        <is>
          <t>Plan préventif</t>
        </is>
      </c>
      <c r="D454" s="7" t="inlineStr">
        <is>
          <t>EQ-TOL-001</t>
        </is>
      </c>
      <c r="E454" s="9">
        <f>IF(D454="","",IFERROR(INDEX('Équipements'!$B$5:$B$304,MATCH(D454,'Équipements'!$A$5:$A$304,0)),"Code inconnu"))</f>
        <v/>
      </c>
      <c r="F454" s="9">
        <f>IF(D454="","",IFERROR(INDEX('Équipements'!$D$5:$D$304,MATCH(D454,'Équipements'!$A$5:$A$304,0)),""))</f>
        <v/>
      </c>
      <c r="G454" s="9">
        <f>IF(D454="","",IFERROR(INDEX('Équipements'!$K$5:$K$304,MATCH(D454,'Équipements'!$A$5:$A$304,0)),""))</f>
        <v/>
      </c>
      <c r="H454" s="7" t="inlineStr">
        <is>
          <t>Préventif systématique</t>
        </is>
      </c>
      <c r="I454" s="7" t="inlineStr">
        <is>
          <t>GP-038</t>
        </is>
      </c>
      <c r="J454" s="7" t="inlineStr">
        <is>
          <t>Mécanique</t>
        </is>
      </c>
      <c r="K454" s="7" t="inlineStr">
        <is>
          <t>P3 - Normale</t>
        </is>
      </c>
      <c r="L454" s="7" t="inlineStr">
        <is>
          <t>Nettoyage optique, contrôle buse et lentille</t>
        </is>
      </c>
      <c r="M454" s="7" t="n"/>
      <c r="N454" s="7" t="inlineStr">
        <is>
          <t>Gamme réalisée - usure constatée, à surveiller</t>
        </is>
      </c>
      <c r="O454" s="7" t="inlineStr">
        <is>
          <t>Karim Benali</t>
        </is>
      </c>
      <c r="P454" s="65" t="n">
        <v>45867.64930555555</v>
      </c>
      <c r="Q454" s="75" t="n">
        <v>45867.34027777778</v>
      </c>
      <c r="R454" s="75" t="n">
        <v>45867.44444444445</v>
      </c>
      <c r="S454" s="76" t="n">
        <v>0</v>
      </c>
      <c r="T454" s="76" t="n">
        <v>2.5</v>
      </c>
      <c r="U454" s="70">
        <f>IF($A454="","",IFERROR(INDEX('Techniciens'!$F$5:$F$44,MATCH(O454,'Techniciens'!$B$5:$B$44,0)),'Paramètres'!$AA$10))</f>
        <v/>
      </c>
      <c r="V454" s="70">
        <f>IF($A454="","",IF(OR(AC454="Demandé",AC454="Planifié",AC454="Annulé"),0,N(T454)*N(U454)))</f>
        <v/>
      </c>
      <c r="W454" s="70">
        <f>IF($A454="","",SUMIFS('Mouvements stock'!$H$5:$H$3004,'Mouvements stock'!$I$5:$I$3004,$A454,'Mouvements stock'!$C$5:$C$3004,"Sortie")-SUMIFS('Mouvements stock'!$H$5:$H$3004,'Mouvements stock'!$I$5:$I$3004,$A454,'Mouvements stock'!$C$5:$C$3004,"Retour"))</f>
        <v/>
      </c>
      <c r="X454" s="66" t="n">
        <v>0</v>
      </c>
      <c r="Y454" s="66" t="n">
        <v>0</v>
      </c>
      <c r="Z454" s="7" t="n"/>
      <c r="AA454" s="70">
        <f>IF($A454="","",N(V454)+N(W454)+N(X454)+N(Y454))</f>
        <v/>
      </c>
      <c r="AB454" s="70">
        <f>IF($A454="","",N(S454)*'Paramètres'!$AA$9*IFERROR(INDEX('Paramètres'!$O$5:$O$7,MATCH(G454,'Paramètres'!$N$5:$N$7,0)),0))</f>
        <v/>
      </c>
      <c r="AC454" s="7" t="inlineStr">
        <is>
          <t>Clôturé</t>
        </is>
      </c>
      <c r="AD454" s="69">
        <f>IF(OR($A454="",Q454=""),"",(Q454-B454)*24)</f>
        <v/>
      </c>
      <c r="AE454" s="69">
        <f>IF(OR(Q454="",R454=""),"",(R454-Q454)*24)</f>
        <v/>
      </c>
      <c r="AF454" s="77">
        <f>IF(OR($A454="",B454=""),"",YEAR(B454))</f>
        <v/>
      </c>
      <c r="AG454" s="77">
        <f>IF(OR($A454="",B454=""),"",MONTH(B454))</f>
        <v/>
      </c>
    </row>
    <row r="455">
      <c r="A455" s="7" t="inlineStr">
        <is>
          <t>OT-2025-0451</t>
        </is>
      </c>
      <c r="B455" s="75" t="n">
        <v>45860.55833333333</v>
      </c>
      <c r="C455" s="7" t="inlineStr">
        <is>
          <t>Céline Morel (cheffe d'atelier)</t>
        </is>
      </c>
      <c r="D455" s="7" t="inlineStr">
        <is>
          <t>EQ-TOL-006</t>
        </is>
      </c>
      <c r="E455" s="9">
        <f>IF(D455="","",IFERROR(INDEX('Équipements'!$B$5:$B$304,MATCH(D455,'Équipements'!$A$5:$A$304,0)),"Code inconnu"))</f>
        <v/>
      </c>
      <c r="F455" s="9">
        <f>IF(D455="","",IFERROR(INDEX('Équipements'!$D$5:$D$304,MATCH(D455,'Équipements'!$A$5:$A$304,0)),""))</f>
        <v/>
      </c>
      <c r="G455" s="9">
        <f>IF(D455="","",IFERROR(INDEX('Équipements'!$K$5:$K$304,MATCH(D455,'Équipements'!$A$5:$A$304,0)),""))</f>
        <v/>
      </c>
      <c r="H455" s="7" t="inlineStr">
        <is>
          <t>Correctif</t>
        </is>
      </c>
      <c r="I455" s="7" t="n"/>
      <c r="J455" s="7" t="inlineStr">
        <is>
          <t>Automatisme</t>
        </is>
      </c>
      <c r="K455" s="7" t="inlineStr">
        <is>
          <t>P3 - Normale</t>
        </is>
      </c>
      <c r="L455" s="7" t="inlineStr">
        <is>
          <t>Défaut de synchronisation Y1/Y2</t>
        </is>
      </c>
      <c r="M455" s="7" t="inlineStr">
        <is>
          <t>Défaut capteur</t>
        </is>
      </c>
      <c r="N455" s="7" t="inlineStr">
        <is>
          <t>Recalage règles de mesure, contrôle distributeur proportionnel</t>
        </is>
      </c>
      <c r="O455" s="7" t="inlineStr">
        <is>
          <t>Sophie Garnier</t>
        </is>
      </c>
      <c r="P455" s="65" t="n"/>
      <c r="Q455" s="75" t="n">
        <v>45861.59444444445</v>
      </c>
      <c r="R455" s="75" t="n">
        <v>45861.80277777778</v>
      </c>
      <c r="S455" s="76" t="n">
        <v>0</v>
      </c>
      <c r="T455" s="76" t="n">
        <v>5</v>
      </c>
      <c r="U455" s="70">
        <f>IF($A455="","",IFERROR(INDEX('Techniciens'!$F$5:$F$44,MATCH(O455,'Techniciens'!$B$5:$B$44,0)),'Paramètres'!$AA$10))</f>
        <v/>
      </c>
      <c r="V455" s="70">
        <f>IF($A455="","",IF(OR(AC455="Demandé",AC455="Planifié",AC455="Annulé"),0,N(T455)*N(U455)))</f>
        <v/>
      </c>
      <c r="W455" s="70">
        <f>IF($A455="","",SUMIFS('Mouvements stock'!$H$5:$H$3004,'Mouvements stock'!$I$5:$I$3004,$A455,'Mouvements stock'!$C$5:$C$3004,"Sortie")-SUMIFS('Mouvements stock'!$H$5:$H$3004,'Mouvements stock'!$I$5:$I$3004,$A455,'Mouvements stock'!$C$5:$C$3004,"Retour"))</f>
        <v/>
      </c>
      <c r="X455" s="66" t="n">
        <v>0</v>
      </c>
      <c r="Y455" s="66" t="n">
        <v>0</v>
      </c>
      <c r="Z455" s="7" t="n"/>
      <c r="AA455" s="70">
        <f>IF($A455="","",N(V455)+N(W455)+N(X455)+N(Y455))</f>
        <v/>
      </c>
      <c r="AB455" s="70">
        <f>IF($A455="","",N(S455)*'Paramètres'!$AA$9*IFERROR(INDEX('Paramètres'!$O$5:$O$7,MATCH(G455,'Paramètres'!$N$5:$N$7,0)),0))</f>
        <v/>
      </c>
      <c r="AC455" s="7" t="inlineStr">
        <is>
          <t>Clôturé</t>
        </is>
      </c>
      <c r="AD455" s="69">
        <f>IF(OR($A455="",Q455=""),"",(Q455-B455)*24)</f>
        <v/>
      </c>
      <c r="AE455" s="69">
        <f>IF(OR(Q455="",R455=""),"",(R455-Q455)*24)</f>
        <v/>
      </c>
      <c r="AF455" s="77">
        <f>IF(OR($A455="",B455=""),"",YEAR(B455))</f>
        <v/>
      </c>
      <c r="AG455" s="77">
        <f>IF(OR($A455="",B455=""),"",MONTH(B455))</f>
        <v/>
      </c>
    </row>
    <row r="456">
      <c r="A456" s="7" t="inlineStr">
        <is>
          <t>OT-2025-0452</t>
        </is>
      </c>
      <c r="B456" s="75" t="n">
        <v>45861.34375</v>
      </c>
      <c r="C456" s="7" t="inlineStr">
        <is>
          <t>Plan préventif</t>
        </is>
      </c>
      <c r="D456" s="7" t="inlineStr">
        <is>
          <t>EQ-LOG-005</t>
        </is>
      </c>
      <c r="E456" s="9">
        <f>IF(D456="","",IFERROR(INDEX('Équipements'!$B$5:$B$304,MATCH(D456,'Équipements'!$A$5:$A$304,0)),"Code inconnu"))</f>
        <v/>
      </c>
      <c r="F456" s="9">
        <f>IF(D456="","",IFERROR(INDEX('Équipements'!$D$5:$D$304,MATCH(D456,'Équipements'!$A$5:$A$304,0)),""))</f>
        <v/>
      </c>
      <c r="G456" s="9">
        <f>IF(D456="","",IFERROR(INDEX('Équipements'!$K$5:$K$304,MATCH(D456,'Équipements'!$A$5:$A$304,0)),""))</f>
        <v/>
      </c>
      <c r="H456" s="7" t="inlineStr">
        <is>
          <t>Préventif systématique</t>
        </is>
      </c>
      <c r="I456" s="7" t="inlineStr">
        <is>
          <t>GP-114</t>
        </is>
      </c>
      <c r="J456" s="7" t="inlineStr">
        <is>
          <t>Mécanique</t>
        </is>
      </c>
      <c r="K456" s="7" t="inlineStr">
        <is>
          <t>P3 - Normale</t>
        </is>
      </c>
      <c r="L456" s="7" t="inlineStr">
        <is>
          <t>Contrôle batterie, niveaux et bandages</t>
        </is>
      </c>
      <c r="M456" s="7" t="n"/>
      <c r="N456" s="7" t="inlineStr">
        <is>
          <t>Gamme réalisée - RAS</t>
        </is>
      </c>
      <c r="O456" s="7" t="inlineStr">
        <is>
          <t>Antoine Mercier</t>
        </is>
      </c>
      <c r="P456" s="65" t="n">
        <v>45868.35069444445</v>
      </c>
      <c r="Q456" s="75" t="n">
        <v>45868.44791666666</v>
      </c>
      <c r="R456" s="75" t="n">
        <v>45868.47916666666</v>
      </c>
      <c r="S456" s="76" t="n">
        <v>0.8</v>
      </c>
      <c r="T456" s="76" t="n">
        <v>0.75</v>
      </c>
      <c r="U456" s="70">
        <f>IF($A456="","",IFERROR(INDEX('Techniciens'!$F$5:$F$44,MATCH(O456,'Techniciens'!$B$5:$B$44,0)),'Paramètres'!$AA$10))</f>
        <v/>
      </c>
      <c r="V456" s="70">
        <f>IF($A456="","",IF(OR(AC456="Demandé",AC456="Planifié",AC456="Annulé"),0,N(T456)*N(U456)))</f>
        <v/>
      </c>
      <c r="W456" s="70">
        <f>IF($A456="","",SUMIFS('Mouvements stock'!$H$5:$H$3004,'Mouvements stock'!$I$5:$I$3004,$A456,'Mouvements stock'!$C$5:$C$3004,"Sortie")-SUMIFS('Mouvements stock'!$H$5:$H$3004,'Mouvements stock'!$I$5:$I$3004,$A456,'Mouvements stock'!$C$5:$C$3004,"Retour"))</f>
        <v/>
      </c>
      <c r="X456" s="66" t="n">
        <v>0</v>
      </c>
      <c r="Y456" s="66" t="n">
        <v>0</v>
      </c>
      <c r="Z456" s="7" t="n"/>
      <c r="AA456" s="70">
        <f>IF($A456="","",N(V456)+N(W456)+N(X456)+N(Y456))</f>
        <v/>
      </c>
      <c r="AB456" s="70">
        <f>IF($A456="","",N(S456)*'Paramètres'!$AA$9*IFERROR(INDEX('Paramètres'!$O$5:$O$7,MATCH(G456,'Paramètres'!$N$5:$N$7,0)),0))</f>
        <v/>
      </c>
      <c r="AC456" s="7" t="inlineStr">
        <is>
          <t>Clôturé</t>
        </is>
      </c>
      <c r="AD456" s="69">
        <f>IF(OR($A456="",Q456=""),"",(Q456-B456)*24)</f>
        <v/>
      </c>
      <c r="AE456" s="69">
        <f>IF(OR(Q456="",R456=""),"",(R456-Q456)*24)</f>
        <v/>
      </c>
      <c r="AF456" s="77">
        <f>IF(OR($A456="",B456=""),"",YEAR(B456))</f>
        <v/>
      </c>
      <c r="AG456" s="77">
        <f>IF(OR($A456="",B456=""),"",MONTH(B456))</f>
        <v/>
      </c>
    </row>
    <row r="457">
      <c r="A457" s="7" t="inlineStr">
        <is>
          <t>OT-2025-0453</t>
        </is>
      </c>
      <c r="B457" s="75" t="n">
        <v>45861.625</v>
      </c>
      <c r="C457" s="7" t="inlineStr">
        <is>
          <t>Inès Girard (cheffe d'équipe)</t>
        </is>
      </c>
      <c r="D457" s="7" t="inlineStr">
        <is>
          <t>EQ-PEI-001</t>
        </is>
      </c>
      <c r="E457" s="9">
        <f>IF(D457="","",IFERROR(INDEX('Équipements'!$B$5:$B$304,MATCH(D457,'Équipements'!$A$5:$A$304,0)),"Code inconnu"))</f>
        <v/>
      </c>
      <c r="F457" s="9">
        <f>IF(D457="","",IFERROR(INDEX('Équipements'!$D$5:$D$304,MATCH(D457,'Équipements'!$A$5:$A$304,0)),""))</f>
        <v/>
      </c>
      <c r="G457" s="9">
        <f>IF(D457="","",IFERROR(INDEX('Équipements'!$K$5:$K$304,MATCH(D457,'Équipements'!$A$5:$A$304,0)),""))</f>
        <v/>
      </c>
      <c r="H457" s="7" t="inlineStr">
        <is>
          <t>Correctif</t>
        </is>
      </c>
      <c r="I457" s="7" t="n"/>
      <c r="J457" s="7" t="inlineStr">
        <is>
          <t>Mécanique</t>
        </is>
      </c>
      <c r="K457" s="7" t="inlineStr">
        <is>
          <t>P1 - Urgent</t>
        </is>
      </c>
      <c r="L457" s="7" t="inlineStr">
        <is>
          <t>Pompe de bain en défaut</t>
        </is>
      </c>
      <c r="M457" s="7" t="inlineStr">
        <is>
          <t>Usure</t>
        </is>
      </c>
      <c r="N457" s="7" t="inlineStr">
        <is>
          <t>Remplacement pompe</t>
        </is>
      </c>
      <c r="O457" s="7" t="inlineStr">
        <is>
          <t>Antoine Mercier</t>
        </is>
      </c>
      <c r="P457" s="65" t="n"/>
      <c r="Q457" s="75" t="n">
        <v>45861.66388888889</v>
      </c>
      <c r="R457" s="75" t="n">
        <v>45862.00763888889</v>
      </c>
      <c r="S457" s="76" t="n">
        <v>9.199999999999999</v>
      </c>
      <c r="T457" s="76" t="n">
        <v>8.25</v>
      </c>
      <c r="U457" s="70">
        <f>IF($A457="","",IFERROR(INDEX('Techniciens'!$F$5:$F$44,MATCH(O457,'Techniciens'!$B$5:$B$44,0)),'Paramètres'!$AA$10))</f>
        <v/>
      </c>
      <c r="V457" s="70">
        <f>IF($A457="","",IF(OR(AC457="Demandé",AC457="Planifié",AC457="Annulé"),0,N(T457)*N(U457)))</f>
        <v/>
      </c>
      <c r="W457" s="70">
        <f>IF($A457="","",SUMIFS('Mouvements stock'!$H$5:$H$3004,'Mouvements stock'!$I$5:$I$3004,$A457,'Mouvements stock'!$C$5:$C$3004,"Sortie")-SUMIFS('Mouvements stock'!$H$5:$H$3004,'Mouvements stock'!$I$5:$I$3004,$A457,'Mouvements stock'!$C$5:$C$3004,"Retour"))</f>
        <v/>
      </c>
      <c r="X457" s="66" t="n">
        <v>0</v>
      </c>
      <c r="Y457" s="66" t="n">
        <v>0</v>
      </c>
      <c r="Z457" s="7" t="n"/>
      <c r="AA457" s="70">
        <f>IF($A457="","",N(V457)+N(W457)+N(X457)+N(Y457))</f>
        <v/>
      </c>
      <c r="AB457" s="70">
        <f>IF($A457="","",N(S457)*'Paramètres'!$AA$9*IFERROR(INDEX('Paramètres'!$O$5:$O$7,MATCH(G457,'Paramètres'!$N$5:$N$7,0)),0))</f>
        <v/>
      </c>
      <c r="AC457" s="7" t="inlineStr">
        <is>
          <t>Clôturé</t>
        </is>
      </c>
      <c r="AD457" s="69">
        <f>IF(OR($A457="",Q457=""),"",(Q457-B457)*24)</f>
        <v/>
      </c>
      <c r="AE457" s="69">
        <f>IF(OR(Q457="",R457=""),"",(R457-Q457)*24)</f>
        <v/>
      </c>
      <c r="AF457" s="77">
        <f>IF(OR($A457="",B457=""),"",YEAR(B457))</f>
        <v/>
      </c>
      <c r="AG457" s="77">
        <f>IF(OR($A457="",B457=""),"",MONTH(B457))</f>
        <v/>
      </c>
    </row>
    <row r="458">
      <c r="A458" s="7" t="inlineStr">
        <is>
          <t>OT-2025-0454</t>
        </is>
      </c>
      <c r="B458" s="75" t="n">
        <v>45863.34027777778</v>
      </c>
      <c r="C458" s="7" t="inlineStr">
        <is>
          <t>Plan préventif</t>
        </is>
      </c>
      <c r="D458" s="7" t="inlineStr">
        <is>
          <t>EQ-UTI-005</t>
        </is>
      </c>
      <c r="E458" s="9">
        <f>IF(D458="","",IFERROR(INDEX('Équipements'!$B$5:$B$304,MATCH(D458,'Équipements'!$A$5:$A$304,0)),"Code inconnu"))</f>
        <v/>
      </c>
      <c r="F458" s="9">
        <f>IF(D458="","",IFERROR(INDEX('Équipements'!$D$5:$D$304,MATCH(D458,'Équipements'!$A$5:$A$304,0)),""))</f>
        <v/>
      </c>
      <c r="G458" s="9">
        <f>IF(D458="","",IFERROR(INDEX('Équipements'!$K$5:$K$304,MATCH(D458,'Équipements'!$A$5:$A$304,0)),""))</f>
        <v/>
      </c>
      <c r="H458" s="7" t="inlineStr">
        <is>
          <t>Préventif systématique</t>
        </is>
      </c>
      <c r="I458" s="7" t="inlineStr">
        <is>
          <t>GP-093</t>
        </is>
      </c>
      <c r="J458" s="7" t="inlineStr">
        <is>
          <t>Mécanique</t>
        </is>
      </c>
      <c r="K458" s="7" t="inlineStr">
        <is>
          <t>P3 - Normale</t>
        </is>
      </c>
      <c r="L458" s="7" t="inlineStr">
        <is>
          <t>Remplacement filtres et nettoyage batteries</t>
        </is>
      </c>
      <c r="M458" s="7" t="n"/>
      <c r="N458" s="7" t="inlineStr">
        <is>
          <t>Gamme réalisée - RAS</t>
        </is>
      </c>
      <c r="O458" s="7" t="inlineStr">
        <is>
          <t>Lucas Fontaine</t>
        </is>
      </c>
      <c r="P458" s="65" t="n">
        <v>45870.51736111111</v>
      </c>
      <c r="Q458" s="75" t="n">
        <v>45870.27083333334</v>
      </c>
      <c r="R458" s="75" t="n">
        <v>45870.35416666666</v>
      </c>
      <c r="S458" s="76" t="n">
        <v>0</v>
      </c>
      <c r="T458" s="76" t="n">
        <v>2</v>
      </c>
      <c r="U458" s="70">
        <f>IF($A458="","",IFERROR(INDEX('Techniciens'!$F$5:$F$44,MATCH(O458,'Techniciens'!$B$5:$B$44,0)),'Paramètres'!$AA$10))</f>
        <v/>
      </c>
      <c r="V458" s="70">
        <f>IF($A458="","",IF(OR(AC458="Demandé",AC458="Planifié",AC458="Annulé"),0,N(T458)*N(U458)))</f>
        <v/>
      </c>
      <c r="W458" s="70">
        <f>IF($A458="","",SUMIFS('Mouvements stock'!$H$5:$H$3004,'Mouvements stock'!$I$5:$I$3004,$A458,'Mouvements stock'!$C$5:$C$3004,"Sortie")-SUMIFS('Mouvements stock'!$H$5:$H$3004,'Mouvements stock'!$I$5:$I$3004,$A458,'Mouvements stock'!$C$5:$C$3004,"Retour"))</f>
        <v/>
      </c>
      <c r="X458" s="66" t="n">
        <v>0</v>
      </c>
      <c r="Y458" s="66" t="n">
        <v>0</v>
      </c>
      <c r="Z458" s="7" t="n"/>
      <c r="AA458" s="70">
        <f>IF($A458="","",N(V458)+N(W458)+N(X458)+N(Y458))</f>
        <v/>
      </c>
      <c r="AB458" s="70">
        <f>IF($A458="","",N(S458)*'Paramètres'!$AA$9*IFERROR(INDEX('Paramètres'!$O$5:$O$7,MATCH(G458,'Paramètres'!$N$5:$N$7,0)),0))</f>
        <v/>
      </c>
      <c r="AC458" s="7" t="inlineStr">
        <is>
          <t>Clôturé</t>
        </is>
      </c>
      <c r="AD458" s="69">
        <f>IF(OR($A458="",Q458=""),"",(Q458-B458)*24)</f>
        <v/>
      </c>
      <c r="AE458" s="69">
        <f>IF(OR(Q458="",R458=""),"",(R458-Q458)*24)</f>
        <v/>
      </c>
      <c r="AF458" s="77">
        <f>IF(OR($A458="",B458=""),"",YEAR(B458))</f>
        <v/>
      </c>
      <c r="AG458" s="77">
        <f>IF(OR($A458="",B458=""),"",MONTH(B458))</f>
        <v/>
      </c>
    </row>
    <row r="459">
      <c r="A459" s="7" t="inlineStr">
        <is>
          <t>OT-2025-0455</t>
        </is>
      </c>
      <c r="B459" s="75" t="n">
        <v>45863.34722222222</v>
      </c>
      <c r="C459" s="7" t="inlineStr">
        <is>
          <t>Plan préventif</t>
        </is>
      </c>
      <c r="D459" s="7" t="inlineStr">
        <is>
          <t>EQ-UTI-001</t>
        </is>
      </c>
      <c r="E459" s="9">
        <f>IF(D459="","",IFERROR(INDEX('Équipements'!$B$5:$B$304,MATCH(D459,'Équipements'!$A$5:$A$304,0)),"Code inconnu"))</f>
        <v/>
      </c>
      <c r="F459" s="9">
        <f>IF(D459="","",IFERROR(INDEX('Équipements'!$D$5:$D$304,MATCH(D459,'Équipements'!$A$5:$A$304,0)),""))</f>
        <v/>
      </c>
      <c r="G459" s="9">
        <f>IF(D459="","",IFERROR(INDEX('Équipements'!$K$5:$K$304,MATCH(D459,'Équipements'!$A$5:$A$304,0)),""))</f>
        <v/>
      </c>
      <c r="H459" s="7" t="inlineStr">
        <is>
          <t>Préventif systématique</t>
        </is>
      </c>
      <c r="I459" s="7" t="inlineStr">
        <is>
          <t>GP-088</t>
        </is>
      </c>
      <c r="J459" s="7" t="inlineStr">
        <is>
          <t>Pneumatique</t>
        </is>
      </c>
      <c r="K459" s="7" t="inlineStr">
        <is>
          <t>P3 - Normale</t>
        </is>
      </c>
      <c r="L459" s="7" t="inlineStr">
        <is>
          <t>Purge, contrôle fuites et point de rosée</t>
        </is>
      </c>
      <c r="M459" s="7" t="n"/>
      <c r="N459" s="7" t="inlineStr">
        <is>
          <t>Gamme réalisée - RAS</t>
        </is>
      </c>
      <c r="O459" s="7" t="inlineStr">
        <is>
          <t>Julien Moreau</t>
        </is>
      </c>
      <c r="P459" s="65" t="n">
        <v>45870.63541666666</v>
      </c>
      <c r="Q459" s="75" t="n">
        <v>45870.32291666666</v>
      </c>
      <c r="R459" s="75" t="n">
        <v>45870.375</v>
      </c>
      <c r="S459" s="76" t="n">
        <v>0</v>
      </c>
      <c r="T459" s="76" t="n">
        <v>1.25</v>
      </c>
      <c r="U459" s="70">
        <f>IF($A459="","",IFERROR(INDEX('Techniciens'!$F$5:$F$44,MATCH(O459,'Techniciens'!$B$5:$B$44,0)),'Paramètres'!$AA$10))</f>
        <v/>
      </c>
      <c r="V459" s="70">
        <f>IF($A459="","",IF(OR(AC459="Demandé",AC459="Planifié",AC459="Annulé"),0,N(T459)*N(U459)))</f>
        <v/>
      </c>
      <c r="W459" s="70">
        <f>IF($A459="","",SUMIFS('Mouvements stock'!$H$5:$H$3004,'Mouvements stock'!$I$5:$I$3004,$A459,'Mouvements stock'!$C$5:$C$3004,"Sortie")-SUMIFS('Mouvements stock'!$H$5:$H$3004,'Mouvements stock'!$I$5:$I$3004,$A459,'Mouvements stock'!$C$5:$C$3004,"Retour"))</f>
        <v/>
      </c>
      <c r="X459" s="66" t="n">
        <v>0</v>
      </c>
      <c r="Y459" s="66" t="n">
        <v>0</v>
      </c>
      <c r="Z459" s="7" t="n"/>
      <c r="AA459" s="70">
        <f>IF($A459="","",N(V459)+N(W459)+N(X459)+N(Y459))</f>
        <v/>
      </c>
      <c r="AB459" s="70">
        <f>IF($A459="","",N(S459)*'Paramètres'!$AA$9*IFERROR(INDEX('Paramètres'!$O$5:$O$7,MATCH(G459,'Paramètres'!$N$5:$N$7,0)),0))</f>
        <v/>
      </c>
      <c r="AC459" s="7" t="inlineStr">
        <is>
          <t>Clôturé</t>
        </is>
      </c>
      <c r="AD459" s="69">
        <f>IF(OR($A459="",Q459=""),"",(Q459-B459)*24)</f>
        <v/>
      </c>
      <c r="AE459" s="69">
        <f>IF(OR(Q459="",R459=""),"",(R459-Q459)*24)</f>
        <v/>
      </c>
      <c r="AF459" s="77">
        <f>IF(OR($A459="",B459=""),"",YEAR(B459))</f>
        <v/>
      </c>
      <c r="AG459" s="77">
        <f>IF(OR($A459="",B459=""),"",MONTH(B459))</f>
        <v/>
      </c>
    </row>
    <row r="460">
      <c r="A460" s="7" t="inlineStr">
        <is>
          <t>OT-2025-0456</t>
        </is>
      </c>
      <c r="B460" s="75" t="n">
        <v>45863.39444444444</v>
      </c>
      <c r="C460" s="7" t="inlineStr">
        <is>
          <t>Hugo Blanc (chef d'équipe)</t>
        </is>
      </c>
      <c r="D460" s="7" t="inlineStr">
        <is>
          <t>EQ-SOU-002</t>
        </is>
      </c>
      <c r="E460" s="9">
        <f>IF(D460="","",IFERROR(INDEX('Équipements'!$B$5:$B$304,MATCH(D460,'Équipements'!$A$5:$A$304,0)),"Code inconnu"))</f>
        <v/>
      </c>
      <c r="F460" s="9">
        <f>IF(D460="","",IFERROR(INDEX('Équipements'!$D$5:$D$304,MATCH(D460,'Équipements'!$A$5:$A$304,0)),""))</f>
        <v/>
      </c>
      <c r="G460" s="9">
        <f>IF(D460="","",IFERROR(INDEX('Équipements'!$K$5:$K$304,MATCH(D460,'Équipements'!$A$5:$A$304,0)),""))</f>
        <v/>
      </c>
      <c r="H460" s="7" t="inlineStr">
        <is>
          <t>Correctif</t>
        </is>
      </c>
      <c r="I460" s="7" t="n"/>
      <c r="J460" s="7" t="inlineStr">
        <is>
          <t>Mécanique</t>
        </is>
      </c>
      <c r="K460" s="7" t="inlineStr">
        <is>
          <t>P3 - Normale</t>
        </is>
      </c>
      <c r="L460" s="7" t="inlineStr">
        <is>
          <t>Torche défectueuse</t>
        </is>
      </c>
      <c r="M460" s="7" t="inlineStr">
        <is>
          <t>Usure</t>
        </is>
      </c>
      <c r="N460" s="7" t="inlineStr">
        <is>
          <t>Réparation torche, remplacement buse</t>
        </is>
      </c>
      <c r="O460" s="7" t="inlineStr">
        <is>
          <t>Karim Benali</t>
        </is>
      </c>
      <c r="P460" s="65" t="n"/>
      <c r="Q460" s="75" t="n">
        <v>45863.60555555556</v>
      </c>
      <c r="R460" s="75" t="n">
        <v>45865.49466335417</v>
      </c>
      <c r="S460" s="76" t="n">
        <v>2.2</v>
      </c>
      <c r="T460" s="76" t="n">
        <v>2.25</v>
      </c>
      <c r="U460" s="70">
        <f>IF($A460="","",IFERROR(INDEX('Techniciens'!$F$5:$F$44,MATCH(O460,'Techniciens'!$B$5:$B$44,0)),'Paramètres'!$AA$10))</f>
        <v/>
      </c>
      <c r="V460" s="70">
        <f>IF($A460="","",IF(OR(AC460="Demandé",AC460="Planifié",AC460="Annulé"),0,N(T460)*N(U460)))</f>
        <v/>
      </c>
      <c r="W460" s="70">
        <f>IF($A460="","",SUMIFS('Mouvements stock'!$H$5:$H$3004,'Mouvements stock'!$I$5:$I$3004,$A460,'Mouvements stock'!$C$5:$C$3004,"Sortie")-SUMIFS('Mouvements stock'!$H$5:$H$3004,'Mouvements stock'!$I$5:$I$3004,$A460,'Mouvements stock'!$C$5:$C$3004,"Retour"))</f>
        <v/>
      </c>
      <c r="X460" s="66" t="n">
        <v>0</v>
      </c>
      <c r="Y460" s="66" t="n">
        <v>0</v>
      </c>
      <c r="Z460" s="7" t="n"/>
      <c r="AA460" s="70">
        <f>IF($A460="","",N(V460)+N(W460)+N(X460)+N(Y460))</f>
        <v/>
      </c>
      <c r="AB460" s="70">
        <f>IF($A460="","",N(S460)*'Paramètres'!$AA$9*IFERROR(INDEX('Paramètres'!$O$5:$O$7,MATCH(G460,'Paramètres'!$N$5:$N$7,0)),0))</f>
        <v/>
      </c>
      <c r="AC460" s="7" t="inlineStr">
        <is>
          <t>Clôturé</t>
        </is>
      </c>
      <c r="AD460" s="69">
        <f>IF(OR($A460="",Q460=""),"",(Q460-B460)*24)</f>
        <v/>
      </c>
      <c r="AE460" s="69">
        <f>IF(OR(Q460="",R460=""),"",(R460-Q460)*24)</f>
        <v/>
      </c>
      <c r="AF460" s="77">
        <f>IF(OR($A460="",B460=""),"",YEAR(B460))</f>
        <v/>
      </c>
      <c r="AG460" s="77">
        <f>IF(OR($A460="",B460=""),"",MONTH(B460))</f>
        <v/>
      </c>
    </row>
    <row r="461">
      <c r="A461" s="7" t="inlineStr">
        <is>
          <t>OT-2025-0457</t>
        </is>
      </c>
      <c r="B461" s="75" t="n">
        <v>45864.42013888889</v>
      </c>
      <c r="C461" s="7" t="inlineStr">
        <is>
          <t>Éric Laurent (chef d'atelier)</t>
        </is>
      </c>
      <c r="D461" s="7" t="inlineStr">
        <is>
          <t>EQ-USI-012</t>
        </is>
      </c>
      <c r="E461" s="9">
        <f>IF(D461="","",IFERROR(INDEX('Équipements'!$B$5:$B$304,MATCH(D461,'Équipements'!$A$5:$A$304,0)),"Code inconnu"))</f>
        <v/>
      </c>
      <c r="F461" s="9">
        <f>IF(D461="","",IFERROR(INDEX('Équipements'!$D$5:$D$304,MATCH(D461,'Équipements'!$A$5:$A$304,0)),""))</f>
        <v/>
      </c>
      <c r="G461" s="9">
        <f>IF(D461="","",IFERROR(INDEX('Équipements'!$K$5:$K$304,MATCH(D461,'Équipements'!$A$5:$A$304,0)),""))</f>
        <v/>
      </c>
      <c r="H461" s="7" t="inlineStr">
        <is>
          <t>Correctif</t>
        </is>
      </c>
      <c r="I461" s="7" t="n"/>
      <c r="J461" s="7" t="inlineStr">
        <is>
          <t>Automatisme</t>
        </is>
      </c>
      <c r="K461" s="7" t="inlineStr">
        <is>
          <t>P2 - Haute</t>
        </is>
      </c>
      <c r="L461" s="7" t="inlineStr">
        <is>
          <t>Perte de communication automate / robot</t>
        </is>
      </c>
      <c r="M461" s="7" t="inlineStr">
        <is>
          <t>Défaut logiciel/automate</t>
        </is>
      </c>
      <c r="N461" s="7" t="inlineStr">
        <is>
          <t>Remplacement câble réseau, redémarrage, sauvegarde</t>
        </is>
      </c>
      <c r="O461" s="7" t="inlineStr">
        <is>
          <t>Julien Moreau</t>
        </is>
      </c>
      <c r="P461" s="65" t="n"/>
      <c r="Q461" s="75" t="n">
        <v>45864.65555555555</v>
      </c>
      <c r="R461" s="75" t="n">
        <v>45867.52026061236</v>
      </c>
      <c r="S461" s="76" t="n">
        <v>40.5</v>
      </c>
      <c r="T461" s="76" t="n">
        <v>1</v>
      </c>
      <c r="U461" s="70">
        <f>IF($A461="","",IFERROR(INDEX('Techniciens'!$F$5:$F$44,MATCH(O461,'Techniciens'!$B$5:$B$44,0)),'Paramètres'!$AA$10))</f>
        <v/>
      </c>
      <c r="V461" s="70">
        <f>IF($A461="","",IF(OR(AC461="Demandé",AC461="Planifié",AC461="Annulé"),0,N(T461)*N(U461)))</f>
        <v/>
      </c>
      <c r="W461" s="70">
        <f>IF($A461="","",SUMIFS('Mouvements stock'!$H$5:$H$3004,'Mouvements stock'!$I$5:$I$3004,$A461,'Mouvements stock'!$C$5:$C$3004,"Sortie")-SUMIFS('Mouvements stock'!$H$5:$H$3004,'Mouvements stock'!$I$5:$I$3004,$A461,'Mouvements stock'!$C$5:$C$3004,"Retour"))</f>
        <v/>
      </c>
      <c r="X461" s="66" t="n">
        <v>0</v>
      </c>
      <c r="Y461" s="66" t="n">
        <v>0</v>
      </c>
      <c r="Z461" s="7" t="n"/>
      <c r="AA461" s="70">
        <f>IF($A461="","",N(V461)+N(W461)+N(X461)+N(Y461))</f>
        <v/>
      </c>
      <c r="AB461" s="70">
        <f>IF($A461="","",N(S461)*'Paramètres'!$AA$9*IFERROR(INDEX('Paramètres'!$O$5:$O$7,MATCH(G461,'Paramètres'!$N$5:$N$7,0)),0))</f>
        <v/>
      </c>
      <c r="AC461" s="7" t="inlineStr">
        <is>
          <t>Clôturé</t>
        </is>
      </c>
      <c r="AD461" s="69">
        <f>IF(OR($A461="",Q461=""),"",(Q461-B461)*24)</f>
        <v/>
      </c>
      <c r="AE461" s="69">
        <f>IF(OR(Q461="",R461=""),"",(R461-Q461)*24)</f>
        <v/>
      </c>
      <c r="AF461" s="77">
        <f>IF(OR($A461="",B461=""),"",YEAR(B461))</f>
        <v/>
      </c>
      <c r="AG461" s="77">
        <f>IF(OR($A461="",B461=""),"",MONTH(B461))</f>
        <v/>
      </c>
    </row>
    <row r="462">
      <c r="A462" s="7" t="inlineStr">
        <is>
          <t>OT-2025-0458</t>
        </is>
      </c>
      <c r="B462" s="75" t="n">
        <v>45864.71041666667</v>
      </c>
      <c r="C462" s="7" t="inlineStr">
        <is>
          <t>Céline Morel (cheffe d'atelier)</t>
        </is>
      </c>
      <c r="D462" s="7" t="inlineStr">
        <is>
          <t>EQ-TOL-002</t>
        </is>
      </c>
      <c r="E462" s="9">
        <f>IF(D462="","",IFERROR(INDEX('Équipements'!$B$5:$B$304,MATCH(D462,'Équipements'!$A$5:$A$304,0)),"Code inconnu"))</f>
        <v/>
      </c>
      <c r="F462" s="9">
        <f>IF(D462="","",IFERROR(INDEX('Équipements'!$D$5:$D$304,MATCH(D462,'Équipements'!$A$5:$A$304,0)),""))</f>
        <v/>
      </c>
      <c r="G462" s="9">
        <f>IF(D462="","",IFERROR(INDEX('Équipements'!$K$5:$K$304,MATCH(D462,'Équipements'!$A$5:$A$304,0)),""))</f>
        <v/>
      </c>
      <c r="H462" s="7" t="inlineStr">
        <is>
          <t>Correctif</t>
        </is>
      </c>
      <c r="I462" s="7" t="n"/>
      <c r="J462" s="7" t="inlineStr">
        <is>
          <t>Hydraulique</t>
        </is>
      </c>
      <c r="K462" s="7" t="inlineStr">
        <is>
          <t>P1 - Urgent</t>
        </is>
      </c>
      <c r="L462" s="7" t="inlineStr">
        <is>
          <t>Fuite d'huile vérin principal</t>
        </is>
      </c>
      <c r="M462" s="7" t="inlineStr">
        <is>
          <t>Fuite</t>
        </is>
      </c>
      <c r="N462" s="7" t="inlineStr">
        <is>
          <t>Remplacement kit joints vérin</t>
        </is>
      </c>
      <c r="O462" s="7" t="inlineStr">
        <is>
          <t>Antoine Mercier</t>
        </is>
      </c>
      <c r="P462" s="65" t="n"/>
      <c r="Q462" s="75" t="n">
        <v>45864.72361111111</v>
      </c>
      <c r="R462" s="75" t="n">
        <v>45864.91111111111</v>
      </c>
      <c r="S462" s="76" t="n">
        <v>4.8</v>
      </c>
      <c r="T462" s="76" t="n">
        <v>4.5</v>
      </c>
      <c r="U462" s="70">
        <f>IF($A462="","",IFERROR(INDEX('Techniciens'!$F$5:$F$44,MATCH(O462,'Techniciens'!$B$5:$B$44,0)),'Paramètres'!$AA$10))</f>
        <v/>
      </c>
      <c r="V462" s="70">
        <f>IF($A462="","",IF(OR(AC462="Demandé",AC462="Planifié",AC462="Annulé"),0,N(T462)*N(U462)))</f>
        <v/>
      </c>
      <c r="W462" s="70">
        <f>IF($A462="","",SUMIFS('Mouvements stock'!$H$5:$H$3004,'Mouvements stock'!$I$5:$I$3004,$A462,'Mouvements stock'!$C$5:$C$3004,"Sortie")-SUMIFS('Mouvements stock'!$H$5:$H$3004,'Mouvements stock'!$I$5:$I$3004,$A462,'Mouvements stock'!$C$5:$C$3004,"Retour"))</f>
        <v/>
      </c>
      <c r="X462" s="66" t="n">
        <v>0</v>
      </c>
      <c r="Y462" s="66" t="n">
        <v>0</v>
      </c>
      <c r="Z462" s="7" t="n"/>
      <c r="AA462" s="70">
        <f>IF($A462="","",N(V462)+N(W462)+N(X462)+N(Y462))</f>
        <v/>
      </c>
      <c r="AB462" s="70">
        <f>IF($A462="","",N(S462)*'Paramètres'!$AA$9*IFERROR(INDEX('Paramètres'!$O$5:$O$7,MATCH(G462,'Paramètres'!$N$5:$N$7,0)),0))</f>
        <v/>
      </c>
      <c r="AC462" s="7" t="inlineStr">
        <is>
          <t>Clôturé</t>
        </is>
      </c>
      <c r="AD462" s="69">
        <f>IF(OR($A462="",Q462=""),"",(Q462-B462)*24)</f>
        <v/>
      </c>
      <c r="AE462" s="69">
        <f>IF(OR(Q462="",R462=""),"",(R462-Q462)*24)</f>
        <v/>
      </c>
      <c r="AF462" s="77">
        <f>IF(OR($A462="",B462=""),"",YEAR(B462))</f>
        <v/>
      </c>
      <c r="AG462" s="77">
        <f>IF(OR($A462="",B462=""),"",MONTH(B462))</f>
        <v/>
      </c>
    </row>
    <row r="463">
      <c r="A463" s="7" t="inlineStr">
        <is>
          <t>OT-2025-0459</t>
        </is>
      </c>
      <c r="B463" s="75" t="n">
        <v>45866.22013888889</v>
      </c>
      <c r="C463" s="7" t="inlineStr">
        <is>
          <t>Paul Roux (chef d'atelier)</t>
        </is>
      </c>
      <c r="D463" s="7" t="inlineStr">
        <is>
          <t>EQ-ASS-002</t>
        </is>
      </c>
      <c r="E463" s="9">
        <f>IF(D463="","",IFERROR(INDEX('Équipements'!$B$5:$B$304,MATCH(D463,'Équipements'!$A$5:$A$304,0)),"Code inconnu"))</f>
        <v/>
      </c>
      <c r="F463" s="9">
        <f>IF(D463="","",IFERROR(INDEX('Équipements'!$D$5:$D$304,MATCH(D463,'Équipements'!$A$5:$A$304,0)),""))</f>
        <v/>
      </c>
      <c r="G463" s="9">
        <f>IF(D463="","",IFERROR(INDEX('Équipements'!$K$5:$K$304,MATCH(D463,'Équipements'!$A$5:$A$304,0)),""))</f>
        <v/>
      </c>
      <c r="H463" s="7" t="inlineStr">
        <is>
          <t>Correctif</t>
        </is>
      </c>
      <c r="I463" s="7" t="n"/>
      <c r="J463" s="7" t="inlineStr">
        <is>
          <t>Hydraulique</t>
        </is>
      </c>
      <c r="K463" s="7" t="inlineStr">
        <is>
          <t>P3 - Normale</t>
        </is>
      </c>
      <c r="L463" s="7" t="inlineStr">
        <is>
          <t>Montée en température huile hydraulique</t>
        </is>
      </c>
      <c r="M463" s="7" t="inlineStr">
        <is>
          <t>Encrassement</t>
        </is>
      </c>
      <c r="N463" s="7" t="inlineStr">
        <is>
          <t>Nettoyage échangeur, remplacement filtre</t>
        </is>
      </c>
      <c r="O463" s="7" t="inlineStr">
        <is>
          <t>Karim Benali</t>
        </is>
      </c>
      <c r="P463" s="65" t="n"/>
      <c r="Q463" s="75" t="n">
        <v>45867.11666666667</v>
      </c>
      <c r="R463" s="75" t="n">
        <v>45867.18958333333</v>
      </c>
      <c r="S463" s="76" t="n">
        <v>0</v>
      </c>
      <c r="T463" s="76" t="n">
        <v>1.75</v>
      </c>
      <c r="U463" s="70">
        <f>IF($A463="","",IFERROR(INDEX('Techniciens'!$F$5:$F$44,MATCH(O463,'Techniciens'!$B$5:$B$44,0)),'Paramètres'!$AA$10))</f>
        <v/>
      </c>
      <c r="V463" s="70">
        <f>IF($A463="","",IF(OR(AC463="Demandé",AC463="Planifié",AC463="Annulé"),0,N(T463)*N(U463)))</f>
        <v/>
      </c>
      <c r="W463" s="70">
        <f>IF($A463="","",SUMIFS('Mouvements stock'!$H$5:$H$3004,'Mouvements stock'!$I$5:$I$3004,$A463,'Mouvements stock'!$C$5:$C$3004,"Sortie")-SUMIFS('Mouvements stock'!$H$5:$H$3004,'Mouvements stock'!$I$5:$I$3004,$A463,'Mouvements stock'!$C$5:$C$3004,"Retour"))</f>
        <v/>
      </c>
      <c r="X463" s="66" t="n">
        <v>0</v>
      </c>
      <c r="Y463" s="66" t="n">
        <v>0</v>
      </c>
      <c r="Z463" s="7" t="n"/>
      <c r="AA463" s="70">
        <f>IF($A463="","",N(V463)+N(W463)+N(X463)+N(Y463))</f>
        <v/>
      </c>
      <c r="AB463" s="70">
        <f>IF($A463="","",N(S463)*'Paramètres'!$AA$9*IFERROR(INDEX('Paramètres'!$O$5:$O$7,MATCH(G463,'Paramètres'!$N$5:$N$7,0)),0))</f>
        <v/>
      </c>
      <c r="AC463" s="7" t="inlineStr">
        <is>
          <t>Clôturé</t>
        </is>
      </c>
      <c r="AD463" s="69">
        <f>IF(OR($A463="",Q463=""),"",(Q463-B463)*24)</f>
        <v/>
      </c>
      <c r="AE463" s="69">
        <f>IF(OR(Q463="",R463=""),"",(R463-Q463)*24)</f>
        <v/>
      </c>
      <c r="AF463" s="77">
        <f>IF(OR($A463="",B463=""),"",YEAR(B463))</f>
        <v/>
      </c>
      <c r="AG463" s="77">
        <f>IF(OR($A463="",B463=""),"",MONTH(B463))</f>
        <v/>
      </c>
    </row>
    <row r="464">
      <c r="A464" s="7" t="inlineStr">
        <is>
          <t>OT-2025-0460</t>
        </is>
      </c>
      <c r="B464" s="75" t="n">
        <v>45866.34027777778</v>
      </c>
      <c r="C464" s="7" t="inlineStr">
        <is>
          <t>Plan préventif</t>
        </is>
      </c>
      <c r="D464" s="7" t="inlineStr">
        <is>
          <t>EQ-PEI-005</t>
        </is>
      </c>
      <c r="E464" s="9">
        <f>IF(D464="","",IFERROR(INDEX('Équipements'!$B$5:$B$304,MATCH(D464,'Équipements'!$A$5:$A$304,0)),"Code inconnu"))</f>
        <v/>
      </c>
      <c r="F464" s="9">
        <f>IF(D464="","",IFERROR(INDEX('Équipements'!$D$5:$D$304,MATCH(D464,'Équipements'!$A$5:$A$304,0)),""))</f>
        <v/>
      </c>
      <c r="G464" s="9">
        <f>IF(D464="","",IFERROR(INDEX('Équipements'!$K$5:$K$304,MATCH(D464,'Équipements'!$A$5:$A$304,0)),""))</f>
        <v/>
      </c>
      <c r="H464" s="7" t="inlineStr">
        <is>
          <t>Préventif systématique</t>
        </is>
      </c>
      <c r="I464" s="7" t="inlineStr">
        <is>
          <t>GP-074</t>
        </is>
      </c>
      <c r="J464" s="7" t="inlineStr">
        <is>
          <t>Mécanique</t>
        </is>
      </c>
      <c r="K464" s="7" t="inlineStr">
        <is>
          <t>P3 - Normale</t>
        </is>
      </c>
      <c r="L464" s="7" t="inlineStr">
        <is>
          <t>Nettoyage et remplacement des filtres</t>
        </is>
      </c>
      <c r="M464" s="7" t="n"/>
      <c r="N464" s="7" t="inlineStr">
        <is>
          <t>Gamme réalisée - RAS</t>
        </is>
      </c>
      <c r="O464" s="7" t="inlineStr">
        <is>
          <t>Lucas Fontaine</t>
        </is>
      </c>
      <c r="P464" s="65" t="n">
        <v>45873.42013888889</v>
      </c>
      <c r="Q464" s="75" t="n">
        <v>45873.28472222222</v>
      </c>
      <c r="R464" s="75" t="n">
        <v>45873.38888888889</v>
      </c>
      <c r="S464" s="76" t="n">
        <v>2.5</v>
      </c>
      <c r="T464" s="76" t="n">
        <v>2.5</v>
      </c>
      <c r="U464" s="70">
        <f>IF($A464="","",IFERROR(INDEX('Techniciens'!$F$5:$F$44,MATCH(O464,'Techniciens'!$B$5:$B$44,0)),'Paramètres'!$AA$10))</f>
        <v/>
      </c>
      <c r="V464" s="70">
        <f>IF($A464="","",IF(OR(AC464="Demandé",AC464="Planifié",AC464="Annulé"),0,N(T464)*N(U464)))</f>
        <v/>
      </c>
      <c r="W464" s="70">
        <f>IF($A464="","",SUMIFS('Mouvements stock'!$H$5:$H$3004,'Mouvements stock'!$I$5:$I$3004,$A464,'Mouvements stock'!$C$5:$C$3004,"Sortie")-SUMIFS('Mouvements stock'!$H$5:$H$3004,'Mouvements stock'!$I$5:$I$3004,$A464,'Mouvements stock'!$C$5:$C$3004,"Retour"))</f>
        <v/>
      </c>
      <c r="X464" s="66" t="n">
        <v>0</v>
      </c>
      <c r="Y464" s="66" t="n">
        <v>0</v>
      </c>
      <c r="Z464" s="7" t="n"/>
      <c r="AA464" s="70">
        <f>IF($A464="","",N(V464)+N(W464)+N(X464)+N(Y464))</f>
        <v/>
      </c>
      <c r="AB464" s="70">
        <f>IF($A464="","",N(S464)*'Paramètres'!$AA$9*IFERROR(INDEX('Paramètres'!$O$5:$O$7,MATCH(G464,'Paramètres'!$N$5:$N$7,0)),0))</f>
        <v/>
      </c>
      <c r="AC464" s="7" t="inlineStr">
        <is>
          <t>Clôturé</t>
        </is>
      </c>
      <c r="AD464" s="69">
        <f>IF(OR($A464="",Q464=""),"",(Q464-B464)*24)</f>
        <v/>
      </c>
      <c r="AE464" s="69">
        <f>IF(OR(Q464="",R464=""),"",(R464-Q464)*24)</f>
        <v/>
      </c>
      <c r="AF464" s="77">
        <f>IF(OR($A464="",B464=""),"",YEAR(B464))</f>
        <v/>
      </c>
      <c r="AG464" s="77">
        <f>IF(OR($A464="",B464=""),"",MONTH(B464))</f>
        <v/>
      </c>
    </row>
    <row r="465">
      <c r="A465" s="7" t="inlineStr">
        <is>
          <t>OT-2025-0461</t>
        </is>
      </c>
      <c r="B465" s="75" t="n">
        <v>45866.34027777778</v>
      </c>
      <c r="C465" s="7" t="inlineStr">
        <is>
          <t>Plan préventif</t>
        </is>
      </c>
      <c r="D465" s="7" t="inlineStr">
        <is>
          <t>EQ-LOG-002</t>
        </is>
      </c>
      <c r="E465" s="9">
        <f>IF(D465="","",IFERROR(INDEX('Équipements'!$B$5:$B$304,MATCH(D465,'Équipements'!$A$5:$A$304,0)),"Code inconnu"))</f>
        <v/>
      </c>
      <c r="F465" s="9">
        <f>IF(D465="","",IFERROR(INDEX('Équipements'!$D$5:$D$304,MATCH(D465,'Équipements'!$A$5:$A$304,0)),""))</f>
        <v/>
      </c>
      <c r="G465" s="9">
        <f>IF(D465="","",IFERROR(INDEX('Équipements'!$K$5:$K$304,MATCH(D465,'Équipements'!$A$5:$A$304,0)),""))</f>
        <v/>
      </c>
      <c r="H465" s="7" t="inlineStr">
        <is>
          <t>Préventif systématique</t>
        </is>
      </c>
      <c r="I465" s="7" t="inlineStr">
        <is>
          <t>GP-108</t>
        </is>
      </c>
      <c r="J465" s="7" t="inlineStr">
        <is>
          <t>Mécanique</t>
        </is>
      </c>
      <c r="K465" s="7" t="inlineStr">
        <is>
          <t>P3 - Normale</t>
        </is>
      </c>
      <c r="L465" s="7" t="inlineStr">
        <is>
          <t>Contrôle batterie, niveaux et bandages</t>
        </is>
      </c>
      <c r="M465" s="7" t="n"/>
      <c r="N465" s="7" t="inlineStr">
        <is>
          <t>Gamme réalisée - RAS</t>
        </is>
      </c>
      <c r="O465" s="7" t="inlineStr">
        <is>
          <t>Antoine Mercier</t>
        </is>
      </c>
      <c r="P465" s="65" t="n">
        <v>45873.32638888889</v>
      </c>
      <c r="Q465" s="75" t="n">
        <v>45873.61458333334</v>
      </c>
      <c r="R465" s="75" t="n">
        <v>45873.65625</v>
      </c>
      <c r="S465" s="76" t="n">
        <v>0</v>
      </c>
      <c r="T465" s="76" t="n">
        <v>1</v>
      </c>
      <c r="U465" s="70">
        <f>IF($A465="","",IFERROR(INDEX('Techniciens'!$F$5:$F$44,MATCH(O465,'Techniciens'!$B$5:$B$44,0)),'Paramètres'!$AA$10))</f>
        <v/>
      </c>
      <c r="V465" s="70">
        <f>IF($A465="","",IF(OR(AC465="Demandé",AC465="Planifié",AC465="Annulé"),0,N(T465)*N(U465)))</f>
        <v/>
      </c>
      <c r="W465" s="70">
        <f>IF($A465="","",SUMIFS('Mouvements stock'!$H$5:$H$3004,'Mouvements stock'!$I$5:$I$3004,$A465,'Mouvements stock'!$C$5:$C$3004,"Sortie")-SUMIFS('Mouvements stock'!$H$5:$H$3004,'Mouvements stock'!$I$5:$I$3004,$A465,'Mouvements stock'!$C$5:$C$3004,"Retour"))</f>
        <v/>
      </c>
      <c r="X465" s="66" t="n">
        <v>0</v>
      </c>
      <c r="Y465" s="66" t="n">
        <v>0</v>
      </c>
      <c r="Z465" s="7" t="n"/>
      <c r="AA465" s="70">
        <f>IF($A465="","",N(V465)+N(W465)+N(X465)+N(Y465))</f>
        <v/>
      </c>
      <c r="AB465" s="70">
        <f>IF($A465="","",N(S465)*'Paramètres'!$AA$9*IFERROR(INDEX('Paramètres'!$O$5:$O$7,MATCH(G465,'Paramètres'!$N$5:$N$7,0)),0))</f>
        <v/>
      </c>
      <c r="AC465" s="7" t="inlineStr">
        <is>
          <t>Clôturé</t>
        </is>
      </c>
      <c r="AD465" s="69">
        <f>IF(OR($A465="",Q465=""),"",(Q465-B465)*24)</f>
        <v/>
      </c>
      <c r="AE465" s="69">
        <f>IF(OR(Q465="",R465=""),"",(R465-Q465)*24)</f>
        <v/>
      </c>
      <c r="AF465" s="77">
        <f>IF(OR($A465="",B465=""),"",YEAR(B465))</f>
        <v/>
      </c>
      <c r="AG465" s="77">
        <f>IF(OR($A465="",B465=""),"",MONTH(B465))</f>
        <v/>
      </c>
    </row>
    <row r="466">
      <c r="A466" s="7" t="inlineStr">
        <is>
          <t>OT-2025-0462</t>
        </is>
      </c>
      <c r="B466" s="75" t="n">
        <v>45866.375</v>
      </c>
      <c r="C466" s="7" t="inlineStr">
        <is>
          <t>Plan préventif</t>
        </is>
      </c>
      <c r="D466" s="7" t="inlineStr">
        <is>
          <t>EQ-ASS-004</t>
        </is>
      </c>
      <c r="E466" s="9">
        <f>IF(D466="","",IFERROR(INDEX('Équipements'!$B$5:$B$304,MATCH(D466,'Équipements'!$A$5:$A$304,0)),"Code inconnu"))</f>
        <v/>
      </c>
      <c r="F466" s="9">
        <f>IF(D466="","",IFERROR(INDEX('Équipements'!$D$5:$D$304,MATCH(D466,'Équipements'!$A$5:$A$304,0)),""))</f>
        <v/>
      </c>
      <c r="G466" s="9">
        <f>IF(D466="","",IFERROR(INDEX('Équipements'!$K$5:$K$304,MATCH(D466,'Équipements'!$A$5:$A$304,0)),""))</f>
        <v/>
      </c>
      <c r="H466" s="7" t="inlineStr">
        <is>
          <t>Préventif systématique</t>
        </is>
      </c>
      <c r="I466" s="7" t="inlineStr">
        <is>
          <t>GP-083</t>
        </is>
      </c>
      <c r="J466" s="7" t="inlineStr">
        <is>
          <t>Mécanique</t>
        </is>
      </c>
      <c r="K466" s="7" t="inlineStr">
        <is>
          <t>P3 - Normale</t>
        </is>
      </c>
      <c r="L466" s="7" t="inlineStr">
        <is>
          <t>Nettoyage et contrôle général</t>
        </is>
      </c>
      <c r="M466" s="7" t="n"/>
      <c r="N466" s="7" t="inlineStr">
        <is>
          <t>Gamme réalisée - RAS</t>
        </is>
      </c>
      <c r="O466" s="7" t="inlineStr">
        <is>
          <t>Antoine Mercier</t>
        </is>
      </c>
      <c r="P466" s="65" t="n">
        <v>45873.63541666666</v>
      </c>
      <c r="Q466" s="75" t="n">
        <v>45873.35416666666</v>
      </c>
      <c r="R466" s="75" t="n">
        <v>45873.38541666666</v>
      </c>
      <c r="S466" s="76" t="n">
        <v>0</v>
      </c>
      <c r="T466" s="76" t="n">
        <v>0.75</v>
      </c>
      <c r="U466" s="70">
        <f>IF($A466="","",IFERROR(INDEX('Techniciens'!$F$5:$F$44,MATCH(O466,'Techniciens'!$B$5:$B$44,0)),'Paramètres'!$AA$10))</f>
        <v/>
      </c>
      <c r="V466" s="70">
        <f>IF($A466="","",IF(OR(AC466="Demandé",AC466="Planifié",AC466="Annulé"),0,N(T466)*N(U466)))</f>
        <v/>
      </c>
      <c r="W466" s="70">
        <f>IF($A466="","",SUMIFS('Mouvements stock'!$H$5:$H$3004,'Mouvements stock'!$I$5:$I$3004,$A466,'Mouvements stock'!$C$5:$C$3004,"Sortie")-SUMIFS('Mouvements stock'!$H$5:$H$3004,'Mouvements stock'!$I$5:$I$3004,$A466,'Mouvements stock'!$C$5:$C$3004,"Retour"))</f>
        <v/>
      </c>
      <c r="X466" s="66" t="n">
        <v>0</v>
      </c>
      <c r="Y466" s="66" t="n">
        <v>0</v>
      </c>
      <c r="Z466" s="7" t="n"/>
      <c r="AA466" s="70">
        <f>IF($A466="","",N(V466)+N(W466)+N(X466)+N(Y466))</f>
        <v/>
      </c>
      <c r="AB466" s="70">
        <f>IF($A466="","",N(S466)*'Paramètres'!$AA$9*IFERROR(INDEX('Paramètres'!$O$5:$O$7,MATCH(G466,'Paramètres'!$N$5:$N$7,0)),0))</f>
        <v/>
      </c>
      <c r="AC466" s="7" t="inlineStr">
        <is>
          <t>Clôturé</t>
        </is>
      </c>
      <c r="AD466" s="69">
        <f>IF(OR($A466="",Q466=""),"",(Q466-B466)*24)</f>
        <v/>
      </c>
      <c r="AE466" s="69">
        <f>IF(OR(Q466="",R466=""),"",(R466-Q466)*24)</f>
        <v/>
      </c>
      <c r="AF466" s="77">
        <f>IF(OR($A466="",B466=""),"",YEAR(B466))</f>
        <v/>
      </c>
      <c r="AG466" s="77">
        <f>IF(OR($A466="",B466=""),"",MONTH(B466))</f>
        <v/>
      </c>
    </row>
    <row r="467">
      <c r="A467" s="7" t="inlineStr">
        <is>
          <t>OT-2025-0463</t>
        </is>
      </c>
      <c r="B467" s="75" t="n">
        <v>45866.38194444445</v>
      </c>
      <c r="C467" s="7" t="inlineStr">
        <is>
          <t>Plan préventif</t>
        </is>
      </c>
      <c r="D467" s="7" t="inlineStr">
        <is>
          <t>EQ-ASS-006</t>
        </is>
      </c>
      <c r="E467" s="9">
        <f>IF(D467="","",IFERROR(INDEX('Équipements'!$B$5:$B$304,MATCH(D467,'Équipements'!$A$5:$A$304,0)),"Code inconnu"))</f>
        <v/>
      </c>
      <c r="F467" s="9">
        <f>IF(D467="","",IFERROR(INDEX('Équipements'!$D$5:$D$304,MATCH(D467,'Équipements'!$A$5:$A$304,0)),""))</f>
        <v/>
      </c>
      <c r="G467" s="9">
        <f>IF(D467="","",IFERROR(INDEX('Équipements'!$K$5:$K$304,MATCH(D467,'Équipements'!$A$5:$A$304,0)),""))</f>
        <v/>
      </c>
      <c r="H467" s="7" t="inlineStr">
        <is>
          <t>Préventif systématique</t>
        </is>
      </c>
      <c r="I467" s="7" t="inlineStr">
        <is>
          <t>GP-085</t>
        </is>
      </c>
      <c r="J467" s="7" t="inlineStr">
        <is>
          <t>Mécanique</t>
        </is>
      </c>
      <c r="K467" s="7" t="inlineStr">
        <is>
          <t>P3 - Normale</t>
        </is>
      </c>
      <c r="L467" s="7" t="inlineStr">
        <is>
          <t>Graissage chaîne / galets et contrôle tension</t>
        </is>
      </c>
      <c r="M467" s="7" t="n"/>
      <c r="N467" s="7" t="inlineStr">
        <is>
          <t>Gamme réalisée - RAS</t>
        </is>
      </c>
      <c r="O467" s="7" t="inlineStr">
        <is>
          <t>Lucas Fontaine</t>
        </is>
      </c>
      <c r="P467" s="65" t="n">
        <v>45873.69444444445</v>
      </c>
      <c r="Q467" s="75" t="n">
        <v>45873.34027777778</v>
      </c>
      <c r="R467" s="75" t="n">
        <v>45873.45486111111</v>
      </c>
      <c r="S467" s="76" t="n">
        <v>0</v>
      </c>
      <c r="T467" s="76" t="n">
        <v>2.75</v>
      </c>
      <c r="U467" s="70">
        <f>IF($A467="","",IFERROR(INDEX('Techniciens'!$F$5:$F$44,MATCH(O467,'Techniciens'!$B$5:$B$44,0)),'Paramètres'!$AA$10))</f>
        <v/>
      </c>
      <c r="V467" s="70">
        <f>IF($A467="","",IF(OR(AC467="Demandé",AC467="Planifié",AC467="Annulé"),0,N(T467)*N(U467)))</f>
        <v/>
      </c>
      <c r="W467" s="70">
        <f>IF($A467="","",SUMIFS('Mouvements stock'!$H$5:$H$3004,'Mouvements stock'!$I$5:$I$3004,$A467,'Mouvements stock'!$C$5:$C$3004,"Sortie")-SUMIFS('Mouvements stock'!$H$5:$H$3004,'Mouvements stock'!$I$5:$I$3004,$A467,'Mouvements stock'!$C$5:$C$3004,"Retour"))</f>
        <v/>
      </c>
      <c r="X467" s="66" t="n">
        <v>0</v>
      </c>
      <c r="Y467" s="66" t="n">
        <v>0</v>
      </c>
      <c r="Z467" s="7" t="n"/>
      <c r="AA467" s="70">
        <f>IF($A467="","",N(V467)+N(W467)+N(X467)+N(Y467))</f>
        <v/>
      </c>
      <c r="AB467" s="70">
        <f>IF($A467="","",N(S467)*'Paramètres'!$AA$9*IFERROR(INDEX('Paramètres'!$O$5:$O$7,MATCH(G467,'Paramètres'!$N$5:$N$7,0)),0))</f>
        <v/>
      </c>
      <c r="AC467" s="7" t="inlineStr">
        <is>
          <t>Clôturé</t>
        </is>
      </c>
      <c r="AD467" s="69">
        <f>IF(OR($A467="",Q467=""),"",(Q467-B467)*24)</f>
        <v/>
      </c>
      <c r="AE467" s="69">
        <f>IF(OR(Q467="",R467=""),"",(R467-Q467)*24)</f>
        <v/>
      </c>
      <c r="AF467" s="77">
        <f>IF(OR($A467="",B467=""),"",YEAR(B467))</f>
        <v/>
      </c>
      <c r="AG467" s="77">
        <f>IF(OR($A467="",B467=""),"",MONTH(B467))</f>
        <v/>
      </c>
    </row>
    <row r="468">
      <c r="A468" s="7" t="inlineStr">
        <is>
          <t>OT-2025-0464</t>
        </is>
      </c>
      <c r="B468" s="75" t="n">
        <v>45866.38541666666</v>
      </c>
      <c r="C468" s="7" t="inlineStr">
        <is>
          <t>Plan préventif</t>
        </is>
      </c>
      <c r="D468" s="7" t="inlineStr">
        <is>
          <t>EQ-ASS-001</t>
        </is>
      </c>
      <c r="E468" s="9">
        <f>IF(D468="","",IFERROR(INDEX('Équipements'!$B$5:$B$304,MATCH(D468,'Équipements'!$A$5:$A$304,0)),"Code inconnu"))</f>
        <v/>
      </c>
      <c r="F468" s="9">
        <f>IF(D468="","",IFERROR(INDEX('Équipements'!$D$5:$D$304,MATCH(D468,'Équipements'!$A$5:$A$304,0)),""))</f>
        <v/>
      </c>
      <c r="G468" s="9">
        <f>IF(D468="","",IFERROR(INDEX('Équipements'!$K$5:$K$304,MATCH(D468,'Équipements'!$A$5:$A$304,0)),""))</f>
        <v/>
      </c>
      <c r="H468" s="7" t="inlineStr">
        <is>
          <t>Préventif systématique</t>
        </is>
      </c>
      <c r="I468" s="7" t="inlineStr">
        <is>
          <t>GP-076</t>
        </is>
      </c>
      <c r="J468" s="7" t="inlineStr">
        <is>
          <t>Mécanique</t>
        </is>
      </c>
      <c r="K468" s="7" t="inlineStr">
        <is>
          <t>P3 - Normale</t>
        </is>
      </c>
      <c r="L468" s="7" t="inlineStr">
        <is>
          <t>Graissage chaîne / galets et contrôle tension</t>
        </is>
      </c>
      <c r="M468" s="7" t="n"/>
      <c r="N468" s="7" t="inlineStr">
        <is>
          <t>Gamme réalisée - RAS</t>
        </is>
      </c>
      <c r="O468" s="7" t="inlineStr">
        <is>
          <t>Lucas Fontaine</t>
        </is>
      </c>
      <c r="P468" s="65" t="n">
        <v>45873.71180555555</v>
      </c>
      <c r="Q468" s="75" t="n">
        <v>45873.5</v>
      </c>
      <c r="R468" s="75" t="n">
        <v>45873.60416666666</v>
      </c>
      <c r="S468" s="76" t="n">
        <v>2.5</v>
      </c>
      <c r="T468" s="76" t="n">
        <v>2.5</v>
      </c>
      <c r="U468" s="70">
        <f>IF($A468="","",IFERROR(INDEX('Techniciens'!$F$5:$F$44,MATCH(O468,'Techniciens'!$B$5:$B$44,0)),'Paramètres'!$AA$10))</f>
        <v/>
      </c>
      <c r="V468" s="70">
        <f>IF($A468="","",IF(OR(AC468="Demandé",AC468="Planifié",AC468="Annulé"),0,N(T468)*N(U468)))</f>
        <v/>
      </c>
      <c r="W468" s="70">
        <f>IF($A468="","",SUMIFS('Mouvements stock'!$H$5:$H$3004,'Mouvements stock'!$I$5:$I$3004,$A468,'Mouvements stock'!$C$5:$C$3004,"Sortie")-SUMIFS('Mouvements stock'!$H$5:$H$3004,'Mouvements stock'!$I$5:$I$3004,$A468,'Mouvements stock'!$C$5:$C$3004,"Retour"))</f>
        <v/>
      </c>
      <c r="X468" s="66" t="n">
        <v>0</v>
      </c>
      <c r="Y468" s="66" t="n">
        <v>0</v>
      </c>
      <c r="Z468" s="7" t="n"/>
      <c r="AA468" s="70">
        <f>IF($A468="","",N(V468)+N(W468)+N(X468)+N(Y468))</f>
        <v/>
      </c>
      <c r="AB468" s="70">
        <f>IF($A468="","",N(S468)*'Paramètres'!$AA$9*IFERROR(INDEX('Paramètres'!$O$5:$O$7,MATCH(G468,'Paramètres'!$N$5:$N$7,0)),0))</f>
        <v/>
      </c>
      <c r="AC468" s="7" t="inlineStr">
        <is>
          <t>Clôturé</t>
        </is>
      </c>
      <c r="AD468" s="69">
        <f>IF(OR($A468="",Q468=""),"",(Q468-B468)*24)</f>
        <v/>
      </c>
      <c r="AE468" s="69">
        <f>IF(OR(Q468="",R468=""),"",(R468-Q468)*24)</f>
        <v/>
      </c>
      <c r="AF468" s="77">
        <f>IF(OR($A468="",B468=""),"",YEAR(B468))</f>
        <v/>
      </c>
      <c r="AG468" s="77">
        <f>IF(OR($A468="",B468=""),"",MONTH(B468))</f>
        <v/>
      </c>
    </row>
    <row r="469">
      <c r="A469" s="7" t="inlineStr">
        <is>
          <t>OT-2025-0465</t>
        </is>
      </c>
      <c r="B469" s="75" t="n">
        <v>45866.40277777778</v>
      </c>
      <c r="C469" s="7" t="inlineStr">
        <is>
          <t>Plan préventif</t>
        </is>
      </c>
      <c r="D469" s="7" t="inlineStr">
        <is>
          <t>EQ-BAT-006</t>
        </is>
      </c>
      <c r="E469" s="9">
        <f>IF(D469="","",IFERROR(INDEX('Équipements'!$B$5:$B$304,MATCH(D469,'Équipements'!$A$5:$A$304,0)),"Code inconnu"))</f>
        <v/>
      </c>
      <c r="F469" s="9">
        <f>IF(D469="","",IFERROR(INDEX('Équipements'!$D$5:$D$304,MATCH(D469,'Équipements'!$A$5:$A$304,0)),""))</f>
        <v/>
      </c>
      <c r="G469" s="9">
        <f>IF(D469="","",IFERROR(INDEX('Équipements'!$K$5:$K$304,MATCH(D469,'Équipements'!$A$5:$A$304,0)),""))</f>
        <v/>
      </c>
      <c r="H469" s="7" t="inlineStr">
        <is>
          <t>Préventif systématique</t>
        </is>
      </c>
      <c r="I469" s="7" t="inlineStr">
        <is>
          <t>GP-127</t>
        </is>
      </c>
      <c r="J469" s="7" t="inlineStr">
        <is>
          <t>Électrique</t>
        </is>
      </c>
      <c r="K469" s="7" t="inlineStr">
        <is>
          <t>P3 - Normale</t>
        </is>
      </c>
      <c r="L469" s="7" t="inlineStr">
        <is>
          <t>Essai de fonctionnement / contrôle visuel</t>
        </is>
      </c>
      <c r="M469" s="7" t="n"/>
      <c r="N469" s="7" t="inlineStr">
        <is>
          <t>Gamme réalisée - RAS</t>
        </is>
      </c>
      <c r="O469" s="7" t="inlineStr">
        <is>
          <t>Julien Moreau</t>
        </is>
      </c>
      <c r="P469" s="65" t="n">
        <v>45873.38541666666</v>
      </c>
      <c r="Q469" s="75" t="n">
        <v>45873.32638888889</v>
      </c>
      <c r="R469" s="75" t="n">
        <v>45873.39930555555</v>
      </c>
      <c r="S469" s="76" t="n">
        <v>0</v>
      </c>
      <c r="T469" s="76" t="n">
        <v>1.75</v>
      </c>
      <c r="U469" s="70">
        <f>IF($A469="","",IFERROR(INDEX('Techniciens'!$F$5:$F$44,MATCH(O469,'Techniciens'!$B$5:$B$44,0)),'Paramètres'!$AA$10))</f>
        <v/>
      </c>
      <c r="V469" s="70">
        <f>IF($A469="","",IF(OR(AC469="Demandé",AC469="Planifié",AC469="Annulé"),0,N(T469)*N(U469)))</f>
        <v/>
      </c>
      <c r="W469" s="70">
        <f>IF($A469="","",SUMIFS('Mouvements stock'!$H$5:$H$3004,'Mouvements stock'!$I$5:$I$3004,$A469,'Mouvements stock'!$C$5:$C$3004,"Sortie")-SUMIFS('Mouvements stock'!$H$5:$H$3004,'Mouvements stock'!$I$5:$I$3004,$A469,'Mouvements stock'!$C$5:$C$3004,"Retour"))</f>
        <v/>
      </c>
      <c r="X469" s="66" t="n">
        <v>0</v>
      </c>
      <c r="Y469" s="66" t="n">
        <v>0</v>
      </c>
      <c r="Z469" s="7" t="n"/>
      <c r="AA469" s="70">
        <f>IF($A469="","",N(V469)+N(W469)+N(X469)+N(Y469))</f>
        <v/>
      </c>
      <c r="AB469" s="70">
        <f>IF($A469="","",N(S469)*'Paramètres'!$AA$9*IFERROR(INDEX('Paramètres'!$O$5:$O$7,MATCH(G469,'Paramètres'!$N$5:$N$7,0)),0))</f>
        <v/>
      </c>
      <c r="AC469" s="7" t="inlineStr">
        <is>
          <t>Clôturé</t>
        </is>
      </c>
      <c r="AD469" s="69">
        <f>IF(OR($A469="",Q469=""),"",(Q469-B469)*24)</f>
        <v/>
      </c>
      <c r="AE469" s="69">
        <f>IF(OR(Q469="",R469=""),"",(R469-Q469)*24)</f>
        <v/>
      </c>
      <c r="AF469" s="77">
        <f>IF(OR($A469="",B469=""),"",YEAR(B469))</f>
        <v/>
      </c>
      <c r="AG469" s="77">
        <f>IF(OR($A469="",B469=""),"",MONTH(B469))</f>
        <v/>
      </c>
    </row>
    <row r="470">
      <c r="A470" s="7" t="inlineStr">
        <is>
          <t>OT-2025-0466</t>
        </is>
      </c>
      <c r="B470" s="75" t="n">
        <v>45866.43055555555</v>
      </c>
      <c r="C470" s="7" t="inlineStr">
        <is>
          <t>Planning réglementaire</t>
        </is>
      </c>
      <c r="D470" s="7" t="inlineStr">
        <is>
          <t>EQ-UTI-005</t>
        </is>
      </c>
      <c r="E470" s="9">
        <f>IF(D470="","",IFERROR(INDEX('Équipements'!$B$5:$B$304,MATCH(D470,'Équipements'!$A$5:$A$304,0)),"Code inconnu"))</f>
        <v/>
      </c>
      <c r="F470" s="9">
        <f>IF(D470="","",IFERROR(INDEX('Équipements'!$D$5:$D$304,MATCH(D470,'Équipements'!$A$5:$A$304,0)),""))</f>
        <v/>
      </c>
      <c r="G470" s="9">
        <f>IF(D470="","",IFERROR(INDEX('Équipements'!$K$5:$K$304,MATCH(D470,'Équipements'!$A$5:$A$304,0)),""))</f>
        <v/>
      </c>
      <c r="H470" s="7" t="inlineStr">
        <is>
          <t>Réglementaire</t>
        </is>
      </c>
      <c r="I470" s="7" t="inlineStr">
        <is>
          <t>CR-027</t>
        </is>
      </c>
      <c r="J470" s="7" t="inlineStr">
        <is>
          <t>Multi-technique</t>
        </is>
      </c>
      <c r="K470" s="7" t="inlineStr">
        <is>
          <t>P2 - Haute</t>
        </is>
      </c>
      <c r="L470" s="7" t="inlineStr">
        <is>
          <t>Contrôle d'étanchéité fluides frigorigènes</t>
        </is>
      </c>
      <c r="M470" s="7" t="n"/>
      <c r="N470" s="7" t="inlineStr">
        <is>
          <t>Contrôle réalisé - rapport reçu</t>
        </is>
      </c>
      <c r="O470" s="7" t="inlineStr">
        <is>
          <t>Marc Lefèvre</t>
        </is>
      </c>
      <c r="P470" s="65" t="n">
        <v>45887</v>
      </c>
      <c r="Q470" s="75" t="n">
        <v>45887.55555555555</v>
      </c>
      <c r="R470" s="75" t="n">
        <v>45887.61805555555</v>
      </c>
      <c r="S470" s="76" t="n">
        <v>0</v>
      </c>
      <c r="T470" s="76" t="n">
        <v>1.5</v>
      </c>
      <c r="U470" s="70">
        <f>IF($A470="","",IFERROR(INDEX('Techniciens'!$F$5:$F$44,MATCH(O470,'Techniciens'!$B$5:$B$44,0)),'Paramètres'!$AA$10))</f>
        <v/>
      </c>
      <c r="V470" s="70">
        <f>IF($A470="","",IF(OR(AC470="Demandé",AC470="Planifié",AC470="Annulé"),0,N(T470)*N(U470)))</f>
        <v/>
      </c>
      <c r="W470" s="70">
        <f>IF($A470="","",SUMIFS('Mouvements stock'!$H$5:$H$3004,'Mouvements stock'!$I$5:$I$3004,$A470,'Mouvements stock'!$C$5:$C$3004,"Sortie")-SUMIFS('Mouvements stock'!$H$5:$H$3004,'Mouvements stock'!$I$5:$I$3004,$A470,'Mouvements stock'!$C$5:$C$3004,"Retour"))</f>
        <v/>
      </c>
      <c r="X470" s="66" t="n">
        <v>0</v>
      </c>
      <c r="Y470" s="66" t="n">
        <v>350</v>
      </c>
      <c r="Z470" s="7" t="inlineStr">
        <is>
          <t>Thermique &amp; Clim Services</t>
        </is>
      </c>
      <c r="AA470" s="70">
        <f>IF($A470="","",N(V470)+N(W470)+N(X470)+N(Y470))</f>
        <v/>
      </c>
      <c r="AB470" s="70">
        <f>IF($A470="","",N(S470)*'Paramètres'!$AA$9*IFERROR(INDEX('Paramètres'!$O$5:$O$7,MATCH(G470,'Paramètres'!$N$5:$N$7,0)),0))</f>
        <v/>
      </c>
      <c r="AC470" s="7" t="inlineStr">
        <is>
          <t>Clôturé</t>
        </is>
      </c>
      <c r="AD470" s="69">
        <f>IF(OR($A470="",Q470=""),"",(Q470-B470)*24)</f>
        <v/>
      </c>
      <c r="AE470" s="69">
        <f>IF(OR(Q470="",R470=""),"",(R470-Q470)*24)</f>
        <v/>
      </c>
      <c r="AF470" s="77">
        <f>IF(OR($A470="",B470=""),"",YEAR(B470))</f>
        <v/>
      </c>
      <c r="AG470" s="77">
        <f>IF(OR($A470="",B470=""),"",MONTH(B470))</f>
        <v/>
      </c>
    </row>
    <row r="471">
      <c r="A471" s="7" t="inlineStr">
        <is>
          <t>OT-2025-0467</t>
        </is>
      </c>
      <c r="B471" s="75" t="n">
        <v>45866.45833333334</v>
      </c>
      <c r="C471" s="7" t="inlineStr">
        <is>
          <t>Plan préventif</t>
        </is>
      </c>
      <c r="D471" s="7" t="inlineStr">
        <is>
          <t>EQ-LOG-003</t>
        </is>
      </c>
      <c r="E471" s="9">
        <f>IF(D471="","",IFERROR(INDEX('Équipements'!$B$5:$B$304,MATCH(D471,'Équipements'!$A$5:$A$304,0)),"Code inconnu"))</f>
        <v/>
      </c>
      <c r="F471" s="9">
        <f>IF(D471="","",IFERROR(INDEX('Équipements'!$D$5:$D$304,MATCH(D471,'Équipements'!$A$5:$A$304,0)),""))</f>
        <v/>
      </c>
      <c r="G471" s="9">
        <f>IF(D471="","",IFERROR(INDEX('Équipements'!$K$5:$K$304,MATCH(D471,'Équipements'!$A$5:$A$304,0)),""))</f>
        <v/>
      </c>
      <c r="H471" s="7" t="inlineStr">
        <is>
          <t>Préventif systématique</t>
        </is>
      </c>
      <c r="I471" s="7" t="inlineStr">
        <is>
          <t>GP-109</t>
        </is>
      </c>
      <c r="J471" s="7" t="inlineStr">
        <is>
          <t>Multi-technique</t>
        </is>
      </c>
      <c r="K471" s="7" t="inlineStr">
        <is>
          <t>P3 - Normale</t>
        </is>
      </c>
      <c r="L471" s="7" t="inlineStr">
        <is>
          <t>Entretien périodique constructeur</t>
        </is>
      </c>
      <c r="M471" s="7" t="n"/>
      <c r="N471" s="7" t="inlineStr">
        <is>
          <t>Gamme réalisée - RAS</t>
        </is>
      </c>
      <c r="O471" s="7" t="inlineStr">
        <is>
          <t>Antoine Mercier</t>
        </is>
      </c>
      <c r="P471" s="65" t="n">
        <v>45873.76041666666</v>
      </c>
      <c r="Q471" s="75" t="n">
        <v>45873.26041666666</v>
      </c>
      <c r="R471" s="75" t="n">
        <v>45873.4375</v>
      </c>
      <c r="S471" s="76" t="n">
        <v>2.1</v>
      </c>
      <c r="T471" s="76" t="n">
        <v>2</v>
      </c>
      <c r="U471" s="70">
        <f>IF($A471="","",IFERROR(INDEX('Techniciens'!$F$5:$F$44,MATCH(O471,'Techniciens'!$B$5:$B$44,0)),'Paramètres'!$AA$10))</f>
        <v/>
      </c>
      <c r="V471" s="70">
        <f>IF($A471="","",IF(OR(AC471="Demandé",AC471="Planifié",AC471="Annulé"),0,N(T471)*N(U471)))</f>
        <v/>
      </c>
      <c r="W471" s="70">
        <f>IF($A471="","",SUMIFS('Mouvements stock'!$H$5:$H$3004,'Mouvements stock'!$I$5:$I$3004,$A471,'Mouvements stock'!$C$5:$C$3004,"Sortie")-SUMIFS('Mouvements stock'!$H$5:$H$3004,'Mouvements stock'!$I$5:$I$3004,$A471,'Mouvements stock'!$C$5:$C$3004,"Retour"))</f>
        <v/>
      </c>
      <c r="X471" s="66" t="n">
        <v>0</v>
      </c>
      <c r="Y471" s="66" t="n">
        <v>450</v>
      </c>
      <c r="Z471" s="7" t="inlineStr">
        <is>
          <t>Manutention Services 44</t>
        </is>
      </c>
      <c r="AA471" s="70">
        <f>IF($A471="","",N(V471)+N(W471)+N(X471)+N(Y471))</f>
        <v/>
      </c>
      <c r="AB471" s="70">
        <f>IF($A471="","",N(S471)*'Paramètres'!$AA$9*IFERROR(INDEX('Paramètres'!$O$5:$O$7,MATCH(G471,'Paramètres'!$N$5:$N$7,0)),0))</f>
        <v/>
      </c>
      <c r="AC471" s="7" t="inlineStr">
        <is>
          <t>Clôturé</t>
        </is>
      </c>
      <c r="AD471" s="69">
        <f>IF(OR($A471="",Q471=""),"",(Q471-B471)*24)</f>
        <v/>
      </c>
      <c r="AE471" s="69">
        <f>IF(OR(Q471="",R471=""),"",(R471-Q471)*24)</f>
        <v/>
      </c>
      <c r="AF471" s="77">
        <f>IF(OR($A471="",B471=""),"",YEAR(B471))</f>
        <v/>
      </c>
      <c r="AG471" s="77">
        <f>IF(OR($A471="",B471=""),"",MONTH(B471))</f>
        <v/>
      </c>
    </row>
    <row r="472">
      <c r="A472" s="7" t="inlineStr">
        <is>
          <t>OT-2025-0468</t>
        </is>
      </c>
      <c r="B472" s="75" t="n">
        <v>45866.48958333334</v>
      </c>
      <c r="C472" s="7" t="inlineStr">
        <is>
          <t>Plan préventif</t>
        </is>
      </c>
      <c r="D472" s="7" t="inlineStr">
        <is>
          <t>EQ-UTI-009</t>
        </is>
      </c>
      <c r="E472" s="9">
        <f>IF(D472="","",IFERROR(INDEX('Équipements'!$B$5:$B$304,MATCH(D472,'Équipements'!$A$5:$A$304,0)),"Code inconnu"))</f>
        <v/>
      </c>
      <c r="F472" s="9">
        <f>IF(D472="","",IFERROR(INDEX('Équipements'!$D$5:$D$304,MATCH(D472,'Équipements'!$A$5:$A$304,0)),""))</f>
        <v/>
      </c>
      <c r="G472" s="9">
        <f>IF(D472="","",IFERROR(INDEX('Équipements'!$K$5:$K$304,MATCH(D472,'Équipements'!$A$5:$A$304,0)),""))</f>
        <v/>
      </c>
      <c r="H472" s="7" t="inlineStr">
        <is>
          <t>Préventif systématique</t>
        </is>
      </c>
      <c r="I472" s="7" t="inlineStr">
        <is>
          <t>GP-101</t>
        </is>
      </c>
      <c r="J472" s="7" t="inlineStr">
        <is>
          <t>Électrique</t>
        </is>
      </c>
      <c r="K472" s="7" t="inlineStr">
        <is>
          <t>P3 - Normale</t>
        </is>
      </c>
      <c r="L472" s="7" t="inlineStr">
        <is>
          <t>Étalonnage des sondes pH / redox</t>
        </is>
      </c>
      <c r="M472" s="7" t="n"/>
      <c r="N472" s="7" t="inlineStr">
        <is>
          <t>Gamme réalisée - RAS</t>
        </is>
      </c>
      <c r="O472" s="7" t="inlineStr">
        <is>
          <t>Thomas Petit</t>
        </is>
      </c>
      <c r="P472" s="65" t="n">
        <v>45873.3125</v>
      </c>
      <c r="Q472" s="75" t="n">
        <v>45873.53125</v>
      </c>
      <c r="R472" s="75" t="n">
        <v>45873.61458333334</v>
      </c>
      <c r="S472" s="76" t="n">
        <v>0</v>
      </c>
      <c r="T472" s="76" t="n">
        <v>2</v>
      </c>
      <c r="U472" s="70">
        <f>IF($A472="","",IFERROR(INDEX('Techniciens'!$F$5:$F$44,MATCH(O472,'Techniciens'!$B$5:$B$44,0)),'Paramètres'!$AA$10))</f>
        <v/>
      </c>
      <c r="V472" s="70">
        <f>IF($A472="","",IF(OR(AC472="Demandé",AC472="Planifié",AC472="Annulé"),0,N(T472)*N(U472)))</f>
        <v/>
      </c>
      <c r="W472" s="70">
        <f>IF($A472="","",SUMIFS('Mouvements stock'!$H$5:$H$3004,'Mouvements stock'!$I$5:$I$3004,$A472,'Mouvements stock'!$C$5:$C$3004,"Sortie")-SUMIFS('Mouvements stock'!$H$5:$H$3004,'Mouvements stock'!$I$5:$I$3004,$A472,'Mouvements stock'!$C$5:$C$3004,"Retour"))</f>
        <v/>
      </c>
      <c r="X472" s="66" t="n">
        <v>0</v>
      </c>
      <c r="Y472" s="66" t="n">
        <v>0</v>
      </c>
      <c r="Z472" s="7" t="n"/>
      <c r="AA472" s="70">
        <f>IF($A472="","",N(V472)+N(W472)+N(X472)+N(Y472))</f>
        <v/>
      </c>
      <c r="AB472" s="70">
        <f>IF($A472="","",N(S472)*'Paramètres'!$AA$9*IFERROR(INDEX('Paramètres'!$O$5:$O$7,MATCH(G472,'Paramètres'!$N$5:$N$7,0)),0))</f>
        <v/>
      </c>
      <c r="AC472" s="7" t="inlineStr">
        <is>
          <t>Clôturé</t>
        </is>
      </c>
      <c r="AD472" s="69">
        <f>IF(OR($A472="",Q472=""),"",(Q472-B472)*24)</f>
        <v/>
      </c>
      <c r="AE472" s="69">
        <f>IF(OR(Q472="",R472=""),"",(R472-Q472)*24)</f>
        <v/>
      </c>
      <c r="AF472" s="77">
        <f>IF(OR($A472="",B472=""),"",YEAR(B472))</f>
        <v/>
      </c>
      <c r="AG472" s="77">
        <f>IF(OR($A472="",B472=""),"",MONTH(B472))</f>
        <v/>
      </c>
    </row>
    <row r="473">
      <c r="A473" s="7" t="inlineStr">
        <is>
          <t>OT-2025-0469</t>
        </is>
      </c>
      <c r="B473" s="75" t="n">
        <v>45866.55069444444</v>
      </c>
      <c r="C473" s="7" t="inlineStr">
        <is>
          <t>Opérateur usinage</t>
        </is>
      </c>
      <c r="D473" s="7" t="inlineStr">
        <is>
          <t>EQ-USI-006</t>
        </is>
      </c>
      <c r="E473" s="9">
        <f>IF(D473="","",IFERROR(INDEX('Équipements'!$B$5:$B$304,MATCH(D473,'Équipements'!$A$5:$A$304,0)),"Code inconnu"))</f>
        <v/>
      </c>
      <c r="F473" s="9">
        <f>IF(D473="","",IFERROR(INDEX('Équipements'!$D$5:$D$304,MATCH(D473,'Équipements'!$A$5:$A$304,0)),""))</f>
        <v/>
      </c>
      <c r="G473" s="9">
        <f>IF(D473="","",IFERROR(INDEX('Équipements'!$K$5:$K$304,MATCH(D473,'Équipements'!$A$5:$A$304,0)),""))</f>
        <v/>
      </c>
      <c r="H473" s="7" t="inlineStr">
        <is>
          <t>Correctif</t>
        </is>
      </c>
      <c r="I473" s="7" t="n"/>
      <c r="J473" s="7" t="inlineStr">
        <is>
          <t>Mécanique</t>
        </is>
      </c>
      <c r="K473" s="7" t="inlineStr">
        <is>
          <t>P1 - Urgent</t>
        </is>
      </c>
      <c r="L473" s="7" t="inlineStr">
        <is>
          <t>Alarme surchauffe broche</t>
        </is>
      </c>
      <c r="M473" s="7" t="inlineStr">
        <is>
          <t>Défaut lubrification</t>
        </is>
      </c>
      <c r="N473" s="7" t="inlineStr">
        <is>
          <t>Nettoyage circuit de refroidissement broche, appoint huile, contrôle groupe froid</t>
        </is>
      </c>
      <c r="O473" s="7" t="inlineStr">
        <is>
          <t>Antoine Mercier</t>
        </is>
      </c>
      <c r="P473" s="65" t="n"/>
      <c r="Q473" s="75" t="n">
        <v>45866.56736111111</v>
      </c>
      <c r="R473" s="75" t="n">
        <v>45866.66111111111</v>
      </c>
      <c r="S473" s="76" t="n">
        <v>2.7</v>
      </c>
      <c r="T473" s="76" t="n">
        <v>2.25</v>
      </c>
      <c r="U473" s="70">
        <f>IF($A473="","",IFERROR(INDEX('Techniciens'!$F$5:$F$44,MATCH(O473,'Techniciens'!$B$5:$B$44,0)),'Paramètres'!$AA$10))</f>
        <v/>
      </c>
      <c r="V473" s="70">
        <f>IF($A473="","",IF(OR(AC473="Demandé",AC473="Planifié",AC473="Annulé"),0,N(T473)*N(U473)))</f>
        <v/>
      </c>
      <c r="W473" s="70">
        <f>IF($A473="","",SUMIFS('Mouvements stock'!$H$5:$H$3004,'Mouvements stock'!$I$5:$I$3004,$A473,'Mouvements stock'!$C$5:$C$3004,"Sortie")-SUMIFS('Mouvements stock'!$H$5:$H$3004,'Mouvements stock'!$I$5:$I$3004,$A473,'Mouvements stock'!$C$5:$C$3004,"Retour"))</f>
        <v/>
      </c>
      <c r="X473" s="66" t="n">
        <v>0</v>
      </c>
      <c r="Y473" s="66" t="n">
        <v>0</v>
      </c>
      <c r="Z473" s="7" t="n"/>
      <c r="AA473" s="70">
        <f>IF($A473="","",N(V473)+N(W473)+N(X473)+N(Y473))</f>
        <v/>
      </c>
      <c r="AB473" s="70">
        <f>IF($A473="","",N(S473)*'Paramètres'!$AA$9*IFERROR(INDEX('Paramètres'!$O$5:$O$7,MATCH(G473,'Paramètres'!$N$5:$N$7,0)),0))</f>
        <v/>
      </c>
      <c r="AC473" s="7" t="inlineStr">
        <is>
          <t>Clôturé</t>
        </is>
      </c>
      <c r="AD473" s="69">
        <f>IF(OR($A473="",Q473=""),"",(Q473-B473)*24)</f>
        <v/>
      </c>
      <c r="AE473" s="69">
        <f>IF(OR(Q473="",R473=""),"",(R473-Q473)*24)</f>
        <v/>
      </c>
      <c r="AF473" s="77">
        <f>IF(OR($A473="",B473=""),"",YEAR(B473))</f>
        <v/>
      </c>
      <c r="AG473" s="77">
        <f>IF(OR($A473="",B473=""),"",MONTH(B473))</f>
        <v/>
      </c>
    </row>
    <row r="474">
      <c r="A474" s="7" t="inlineStr">
        <is>
          <t>OT-2025-0470</t>
        </is>
      </c>
      <c r="B474" s="75" t="n">
        <v>45866.81666666667</v>
      </c>
      <c r="C474" s="7" t="inlineStr">
        <is>
          <t>Cariste</t>
        </is>
      </c>
      <c r="D474" s="7" t="inlineStr">
        <is>
          <t>EQ-LOG-004</t>
        </is>
      </c>
      <c r="E474" s="9">
        <f>IF(D474="","",IFERROR(INDEX('Équipements'!$B$5:$B$304,MATCH(D474,'Équipements'!$A$5:$A$304,0)),"Code inconnu"))</f>
        <v/>
      </c>
      <c r="F474" s="9">
        <f>IF(D474="","",IFERROR(INDEX('Équipements'!$D$5:$D$304,MATCH(D474,'Équipements'!$A$5:$A$304,0)),""))</f>
        <v/>
      </c>
      <c r="G474" s="9">
        <f>IF(D474="","",IFERROR(INDEX('Équipements'!$K$5:$K$304,MATCH(D474,'Équipements'!$A$5:$A$304,0)),""))</f>
        <v/>
      </c>
      <c r="H474" s="7" t="inlineStr">
        <is>
          <t>Correctif</t>
        </is>
      </c>
      <c r="I474" s="7" t="n"/>
      <c r="J474" s="7" t="inlineStr">
        <is>
          <t>Électrique</t>
        </is>
      </c>
      <c r="K474" s="7" t="inlineStr">
        <is>
          <t>P3 - Normale</t>
        </is>
      </c>
      <c r="L474" s="7" t="inlineStr">
        <is>
          <t>Défaut batterie / charge</t>
        </is>
      </c>
      <c r="M474" s="7" t="inlineStr">
        <is>
          <t>Usure</t>
        </is>
      </c>
      <c r="N474" s="7" t="inlineStr">
        <is>
          <t>Contrôle chargeur, remplacement batterie</t>
        </is>
      </c>
      <c r="O474" s="7" t="inlineStr">
        <is>
          <t>Antoine Mercier</t>
        </is>
      </c>
      <c r="P474" s="65" t="n"/>
      <c r="Q474" s="75" t="n">
        <v>45867.49166666667</v>
      </c>
      <c r="R474" s="75" t="n">
        <v>45867.575</v>
      </c>
      <c r="S474" s="76" t="n">
        <v>0</v>
      </c>
      <c r="T474" s="76" t="n">
        <v>2</v>
      </c>
      <c r="U474" s="70">
        <f>IF($A474="","",IFERROR(INDEX('Techniciens'!$F$5:$F$44,MATCH(O474,'Techniciens'!$B$5:$B$44,0)),'Paramètres'!$AA$10))</f>
        <v/>
      </c>
      <c r="V474" s="70">
        <f>IF($A474="","",IF(OR(AC474="Demandé",AC474="Planifié",AC474="Annulé"),0,N(T474)*N(U474)))</f>
        <v/>
      </c>
      <c r="W474" s="70">
        <f>IF($A474="","",SUMIFS('Mouvements stock'!$H$5:$H$3004,'Mouvements stock'!$I$5:$I$3004,$A474,'Mouvements stock'!$C$5:$C$3004,"Sortie")-SUMIFS('Mouvements stock'!$H$5:$H$3004,'Mouvements stock'!$I$5:$I$3004,$A474,'Mouvements stock'!$C$5:$C$3004,"Retour"))</f>
        <v/>
      </c>
      <c r="X474" s="66" t="n">
        <v>0</v>
      </c>
      <c r="Y474" s="66" t="n">
        <v>0</v>
      </c>
      <c r="Z474" s="7" t="n"/>
      <c r="AA474" s="70">
        <f>IF($A474="","",N(V474)+N(W474)+N(X474)+N(Y474))</f>
        <v/>
      </c>
      <c r="AB474" s="70">
        <f>IF($A474="","",N(S474)*'Paramètres'!$AA$9*IFERROR(INDEX('Paramètres'!$O$5:$O$7,MATCH(G474,'Paramètres'!$N$5:$N$7,0)),0))</f>
        <v/>
      </c>
      <c r="AC474" s="7" t="inlineStr">
        <is>
          <t>Clôturé</t>
        </is>
      </c>
      <c r="AD474" s="69">
        <f>IF(OR($A474="",Q474=""),"",(Q474-B474)*24)</f>
        <v/>
      </c>
      <c r="AE474" s="69">
        <f>IF(OR(Q474="",R474=""),"",(R474-Q474)*24)</f>
        <v/>
      </c>
      <c r="AF474" s="77">
        <f>IF(OR($A474="",B474=""),"",YEAR(B474))</f>
        <v/>
      </c>
      <c r="AG474" s="77">
        <f>IF(OR($A474="",B474=""),"",MONTH(B474))</f>
        <v/>
      </c>
    </row>
    <row r="475">
      <c r="A475" s="7" t="inlineStr">
        <is>
          <t>OT-2025-0471</t>
        </is>
      </c>
      <c r="B475" s="75" t="n">
        <v>45867.33333333334</v>
      </c>
      <c r="C475" s="7" t="inlineStr">
        <is>
          <t>Plan préventif</t>
        </is>
      </c>
      <c r="D475" s="7" t="inlineStr">
        <is>
          <t>EQ-USI-001</t>
        </is>
      </c>
      <c r="E475" s="9">
        <f>IF(D475="","",IFERROR(INDEX('Équipements'!$B$5:$B$304,MATCH(D475,'Équipements'!$A$5:$A$304,0)),"Code inconnu"))</f>
        <v/>
      </c>
      <c r="F475" s="9">
        <f>IF(D475="","",IFERROR(INDEX('Équipements'!$D$5:$D$304,MATCH(D475,'Équipements'!$A$5:$A$304,0)),""))</f>
        <v/>
      </c>
      <c r="G475" s="9">
        <f>IF(D475="","",IFERROR(INDEX('Équipements'!$K$5:$K$304,MATCH(D475,'Équipements'!$A$5:$A$304,0)),""))</f>
        <v/>
      </c>
      <c r="H475" s="7" t="inlineStr">
        <is>
          <t>Préventif systématique</t>
        </is>
      </c>
      <c r="I475" s="7" t="inlineStr">
        <is>
          <t>GP-001</t>
        </is>
      </c>
      <c r="J475" s="7" t="inlineStr">
        <is>
          <t>Mécanique</t>
        </is>
      </c>
      <c r="K475" s="7" t="inlineStr">
        <is>
          <t>P3 - Normale</t>
        </is>
      </c>
      <c r="L475" s="7" t="inlineStr">
        <is>
          <t>Contrôle niveaux, nettoyage filtres et bac à copeaux</t>
        </is>
      </c>
      <c r="M475" s="7" t="n"/>
      <c r="N475" s="7" t="inlineStr">
        <is>
          <t>Gamme réalisée - RAS</t>
        </is>
      </c>
      <c r="O475" s="7" t="inlineStr">
        <is>
          <t>Antoine Mercier</t>
        </is>
      </c>
      <c r="P475" s="65" t="n">
        <v>45874.4375</v>
      </c>
      <c r="Q475" s="75" t="n">
        <v>45874.47222222222</v>
      </c>
      <c r="R475" s="75" t="n">
        <v>45874.53472222222</v>
      </c>
      <c r="S475" s="76" t="n">
        <v>0.8</v>
      </c>
      <c r="T475" s="76" t="n">
        <v>1.5</v>
      </c>
      <c r="U475" s="70">
        <f>IF($A475="","",IFERROR(INDEX('Techniciens'!$F$5:$F$44,MATCH(O475,'Techniciens'!$B$5:$B$44,0)),'Paramètres'!$AA$10))</f>
        <v/>
      </c>
      <c r="V475" s="70">
        <f>IF($A475="","",IF(OR(AC475="Demandé",AC475="Planifié",AC475="Annulé"),0,N(T475)*N(U475)))</f>
        <v/>
      </c>
      <c r="W475" s="70">
        <f>IF($A475="","",SUMIFS('Mouvements stock'!$H$5:$H$3004,'Mouvements stock'!$I$5:$I$3004,$A475,'Mouvements stock'!$C$5:$C$3004,"Sortie")-SUMIFS('Mouvements stock'!$H$5:$H$3004,'Mouvements stock'!$I$5:$I$3004,$A475,'Mouvements stock'!$C$5:$C$3004,"Retour"))</f>
        <v/>
      </c>
      <c r="X475" s="66" t="n">
        <v>0</v>
      </c>
      <c r="Y475" s="66" t="n">
        <v>0</v>
      </c>
      <c r="Z475" s="7" t="n"/>
      <c r="AA475" s="70">
        <f>IF($A475="","",N(V475)+N(W475)+N(X475)+N(Y475))</f>
        <v/>
      </c>
      <c r="AB475" s="70">
        <f>IF($A475="","",N(S475)*'Paramètres'!$AA$9*IFERROR(INDEX('Paramètres'!$O$5:$O$7,MATCH(G475,'Paramètres'!$N$5:$N$7,0)),0))</f>
        <v/>
      </c>
      <c r="AC475" s="7" t="inlineStr">
        <is>
          <t>Clôturé</t>
        </is>
      </c>
      <c r="AD475" s="69">
        <f>IF(OR($A475="",Q475=""),"",(Q475-B475)*24)</f>
        <v/>
      </c>
      <c r="AE475" s="69">
        <f>IF(OR(Q475="",R475=""),"",(R475-Q475)*24)</f>
        <v/>
      </c>
      <c r="AF475" s="77">
        <f>IF(OR($A475="",B475=""),"",YEAR(B475))</f>
        <v/>
      </c>
      <c r="AG475" s="77">
        <f>IF(OR($A475="",B475=""),"",MONTH(B475))</f>
        <v/>
      </c>
    </row>
    <row r="476">
      <c r="A476" s="7" t="inlineStr">
        <is>
          <t>OT-2025-0472</t>
        </is>
      </c>
      <c r="B476" s="75" t="n">
        <v>45867.34375</v>
      </c>
      <c r="C476" s="7" t="inlineStr">
        <is>
          <t>Plan préventif</t>
        </is>
      </c>
      <c r="D476" s="7" t="inlineStr">
        <is>
          <t>EQ-TOL-004</t>
        </is>
      </c>
      <c r="E476" s="9">
        <f>IF(D476="","",IFERROR(INDEX('Équipements'!$B$5:$B$304,MATCH(D476,'Équipements'!$A$5:$A$304,0)),"Code inconnu"))</f>
        <v/>
      </c>
      <c r="F476" s="9">
        <f>IF(D476="","",IFERROR(INDEX('Équipements'!$D$5:$D$304,MATCH(D476,'Équipements'!$A$5:$A$304,0)),""))</f>
        <v/>
      </c>
      <c r="G476" s="9">
        <f>IF(D476="","",IFERROR(INDEX('Équipements'!$K$5:$K$304,MATCH(D476,'Équipements'!$A$5:$A$304,0)),""))</f>
        <v/>
      </c>
      <c r="H476" s="7" t="inlineStr">
        <is>
          <t>Préventif conditionnel</t>
        </is>
      </c>
      <c r="I476" s="7" t="inlineStr">
        <is>
          <t>GP-048</t>
        </is>
      </c>
      <c r="J476" s="7" t="inlineStr">
        <is>
          <t>Hydraulique</t>
        </is>
      </c>
      <c r="K476" s="7" t="inlineStr">
        <is>
          <t>P3 - Normale</t>
        </is>
      </c>
      <c r="L476" s="7" t="inlineStr">
        <is>
          <t>Vidange huile hydraulique et filtres</t>
        </is>
      </c>
      <c r="M476" s="7" t="n"/>
      <c r="N476" s="7" t="inlineStr">
        <is>
          <t>Gamme réalisée - RAS</t>
        </is>
      </c>
      <c r="O476" s="7" t="inlineStr">
        <is>
          <t>Antoine Mercier</t>
        </is>
      </c>
      <c r="P476" s="65" t="n">
        <v>45874</v>
      </c>
      <c r="Q476" s="75" t="n">
        <v>45874.36805555555</v>
      </c>
      <c r="R476" s="75" t="n">
        <v>45874.60763888889</v>
      </c>
      <c r="S476" s="76" t="n">
        <v>5.8</v>
      </c>
      <c r="T476" s="76" t="n">
        <v>5.75</v>
      </c>
      <c r="U476" s="70">
        <f>IF($A476="","",IFERROR(INDEX('Techniciens'!$F$5:$F$44,MATCH(O476,'Techniciens'!$B$5:$B$44,0)),'Paramètres'!$AA$10))</f>
        <v/>
      </c>
      <c r="V476" s="70">
        <f>IF($A476="","",IF(OR(AC476="Demandé",AC476="Planifié",AC476="Annulé"),0,N(T476)*N(U476)))</f>
        <v/>
      </c>
      <c r="W476" s="70">
        <f>IF($A476="","",SUMIFS('Mouvements stock'!$H$5:$H$3004,'Mouvements stock'!$I$5:$I$3004,$A476,'Mouvements stock'!$C$5:$C$3004,"Sortie")-SUMIFS('Mouvements stock'!$H$5:$H$3004,'Mouvements stock'!$I$5:$I$3004,$A476,'Mouvements stock'!$C$5:$C$3004,"Retour"))</f>
        <v/>
      </c>
      <c r="X476" s="66" t="n">
        <v>0</v>
      </c>
      <c r="Y476" s="66" t="n">
        <v>0</v>
      </c>
      <c r="Z476" s="7" t="n"/>
      <c r="AA476" s="70">
        <f>IF($A476="","",N(V476)+N(W476)+N(X476)+N(Y476))</f>
        <v/>
      </c>
      <c r="AB476" s="70">
        <f>IF($A476="","",N(S476)*'Paramètres'!$AA$9*IFERROR(INDEX('Paramètres'!$O$5:$O$7,MATCH(G476,'Paramètres'!$N$5:$N$7,0)),0))</f>
        <v/>
      </c>
      <c r="AC476" s="7" t="inlineStr">
        <is>
          <t>Clôturé</t>
        </is>
      </c>
      <c r="AD476" s="69">
        <f>IF(OR($A476="",Q476=""),"",(Q476-B476)*24)</f>
        <v/>
      </c>
      <c r="AE476" s="69">
        <f>IF(OR(Q476="",R476=""),"",(R476-Q476)*24)</f>
        <v/>
      </c>
      <c r="AF476" s="77">
        <f>IF(OR($A476="",B476=""),"",YEAR(B476))</f>
        <v/>
      </c>
      <c r="AG476" s="77">
        <f>IF(OR($A476="",B476=""),"",MONTH(B476))</f>
        <v/>
      </c>
    </row>
    <row r="477">
      <c r="A477" s="7" t="inlineStr">
        <is>
          <t>OT-2025-0473</t>
        </is>
      </c>
      <c r="B477" s="75" t="n">
        <v>45867.46527777778</v>
      </c>
      <c r="C477" s="7" t="inlineStr">
        <is>
          <t>Plan préventif</t>
        </is>
      </c>
      <c r="D477" s="7" t="inlineStr">
        <is>
          <t>EQ-TOL-007</t>
        </is>
      </c>
      <c r="E477" s="9">
        <f>IF(D477="","",IFERROR(INDEX('Équipements'!$B$5:$B$304,MATCH(D477,'Équipements'!$A$5:$A$304,0)),"Code inconnu"))</f>
        <v/>
      </c>
      <c r="F477" s="9">
        <f>IF(D477="","",IFERROR(INDEX('Équipements'!$D$5:$D$304,MATCH(D477,'Équipements'!$A$5:$A$304,0)),""))</f>
        <v/>
      </c>
      <c r="G477" s="9">
        <f>IF(D477="","",IFERROR(INDEX('Équipements'!$K$5:$K$304,MATCH(D477,'Équipements'!$A$5:$A$304,0)),""))</f>
        <v/>
      </c>
      <c r="H477" s="7" t="inlineStr">
        <is>
          <t>Préventif systématique</t>
        </is>
      </c>
      <c r="I477" s="7" t="inlineStr">
        <is>
          <t>GP-056</t>
        </is>
      </c>
      <c r="J477" s="7" t="inlineStr">
        <is>
          <t>Mécanique</t>
        </is>
      </c>
      <c r="K477" s="7" t="inlineStr">
        <is>
          <t>P3 - Normale</t>
        </is>
      </c>
      <c r="L477" s="7" t="inlineStr">
        <is>
          <t>Graissage chaîne / galets et contrôle tension</t>
        </is>
      </c>
      <c r="M477" s="7" t="n"/>
      <c r="N477" s="7" t="inlineStr">
        <is>
          <t>Gamme réalisée - RAS</t>
        </is>
      </c>
      <c r="O477" s="7" t="inlineStr">
        <is>
          <t>Antoine Mercier</t>
        </is>
      </c>
      <c r="P477" s="65" t="n">
        <v>45874.52777777778</v>
      </c>
      <c r="Q477" s="75" t="n">
        <v>45874.53125</v>
      </c>
      <c r="R477" s="75" t="n">
        <v>45874.63541666666</v>
      </c>
      <c r="S477" s="76" t="n">
        <v>0</v>
      </c>
      <c r="T477" s="76" t="n">
        <v>2.5</v>
      </c>
      <c r="U477" s="70">
        <f>IF($A477="","",IFERROR(INDEX('Techniciens'!$F$5:$F$44,MATCH(O477,'Techniciens'!$B$5:$B$44,0)),'Paramètres'!$AA$10))</f>
        <v/>
      </c>
      <c r="V477" s="70">
        <f>IF($A477="","",IF(OR(AC477="Demandé",AC477="Planifié",AC477="Annulé"),0,N(T477)*N(U477)))</f>
        <v/>
      </c>
      <c r="W477" s="70">
        <f>IF($A477="","",SUMIFS('Mouvements stock'!$H$5:$H$3004,'Mouvements stock'!$I$5:$I$3004,$A477,'Mouvements stock'!$C$5:$C$3004,"Sortie")-SUMIFS('Mouvements stock'!$H$5:$H$3004,'Mouvements stock'!$I$5:$I$3004,$A477,'Mouvements stock'!$C$5:$C$3004,"Retour"))</f>
        <v/>
      </c>
      <c r="X477" s="66" t="n">
        <v>0</v>
      </c>
      <c r="Y477" s="66" t="n">
        <v>0</v>
      </c>
      <c r="Z477" s="7" t="n"/>
      <c r="AA477" s="70">
        <f>IF($A477="","",N(V477)+N(W477)+N(X477)+N(Y477))</f>
        <v/>
      </c>
      <c r="AB477" s="70">
        <f>IF($A477="","",N(S477)*'Paramètres'!$AA$9*IFERROR(INDEX('Paramètres'!$O$5:$O$7,MATCH(G477,'Paramètres'!$N$5:$N$7,0)),0))</f>
        <v/>
      </c>
      <c r="AC477" s="7" t="inlineStr">
        <is>
          <t>Clôturé</t>
        </is>
      </c>
      <c r="AD477" s="69">
        <f>IF(OR($A477="",Q477=""),"",(Q477-B477)*24)</f>
        <v/>
      </c>
      <c r="AE477" s="69">
        <f>IF(OR(Q477="",R477=""),"",(R477-Q477)*24)</f>
        <v/>
      </c>
      <c r="AF477" s="77">
        <f>IF(OR($A477="",B477=""),"",YEAR(B477))</f>
        <v/>
      </c>
      <c r="AG477" s="77">
        <f>IF(OR($A477="",B477=""),"",MONTH(B477))</f>
        <v/>
      </c>
    </row>
    <row r="478">
      <c r="A478" s="7" t="inlineStr">
        <is>
          <t>OT-2025-0474</t>
        </is>
      </c>
      <c r="B478" s="75" t="n">
        <v>45867.47986111111</v>
      </c>
      <c r="C478" s="7" t="inlineStr">
        <is>
          <t>Opérateur peinture</t>
        </is>
      </c>
      <c r="D478" s="7" t="inlineStr">
        <is>
          <t>EQ-PEI-004</t>
        </is>
      </c>
      <c r="E478" s="9">
        <f>IF(D478="","",IFERROR(INDEX('Équipements'!$B$5:$B$304,MATCH(D478,'Équipements'!$A$5:$A$304,0)),"Code inconnu"))</f>
        <v/>
      </c>
      <c r="F478" s="9">
        <f>IF(D478="","",IFERROR(INDEX('Équipements'!$D$5:$D$304,MATCH(D478,'Équipements'!$A$5:$A$304,0)),""))</f>
        <v/>
      </c>
      <c r="G478" s="9">
        <f>IF(D478="","",IFERROR(INDEX('Équipements'!$K$5:$K$304,MATCH(D478,'Équipements'!$A$5:$A$304,0)),""))</f>
        <v/>
      </c>
      <c r="H478" s="7" t="inlineStr">
        <is>
          <t>Correctif</t>
        </is>
      </c>
      <c r="I478" s="7" t="n"/>
      <c r="J478" s="7" t="inlineStr">
        <is>
          <t>Mécanique</t>
        </is>
      </c>
      <c r="K478" s="7" t="inlineStr">
        <is>
          <t>P3 - Normale</t>
        </is>
      </c>
      <c r="L478" s="7" t="inlineStr">
        <is>
          <t>Galets bloqués / bruit anormal</t>
        </is>
      </c>
      <c r="M478" s="7" t="inlineStr">
        <is>
          <t>Cause inconnue</t>
        </is>
      </c>
      <c r="N478" s="7" t="inlineStr">
        <is>
          <t>Graissage et remplacement galets</t>
        </is>
      </c>
      <c r="O478" s="7" t="inlineStr">
        <is>
          <t>Antoine Mercier</t>
        </is>
      </c>
      <c r="P478" s="65" t="n"/>
      <c r="Q478" s="75" t="n">
        <v>45867.75416666667</v>
      </c>
      <c r="R478" s="75" t="n">
        <v>45867.82708333333</v>
      </c>
      <c r="S478" s="76" t="n">
        <v>1.8</v>
      </c>
      <c r="T478" s="76" t="n">
        <v>1.75</v>
      </c>
      <c r="U478" s="70">
        <f>IF($A478="","",IFERROR(INDEX('Techniciens'!$F$5:$F$44,MATCH(O478,'Techniciens'!$B$5:$B$44,0)),'Paramètres'!$AA$10))</f>
        <v/>
      </c>
      <c r="V478" s="70">
        <f>IF($A478="","",IF(OR(AC478="Demandé",AC478="Planifié",AC478="Annulé"),0,N(T478)*N(U478)))</f>
        <v/>
      </c>
      <c r="W478" s="70">
        <f>IF($A478="","",SUMIFS('Mouvements stock'!$H$5:$H$3004,'Mouvements stock'!$I$5:$I$3004,$A478,'Mouvements stock'!$C$5:$C$3004,"Sortie")-SUMIFS('Mouvements stock'!$H$5:$H$3004,'Mouvements stock'!$I$5:$I$3004,$A478,'Mouvements stock'!$C$5:$C$3004,"Retour"))</f>
        <v/>
      </c>
      <c r="X478" s="66" t="n">
        <v>0</v>
      </c>
      <c r="Y478" s="66" t="n">
        <v>0</v>
      </c>
      <c r="Z478" s="7" t="n"/>
      <c r="AA478" s="70">
        <f>IF($A478="","",N(V478)+N(W478)+N(X478)+N(Y478))</f>
        <v/>
      </c>
      <c r="AB478" s="70">
        <f>IF($A478="","",N(S478)*'Paramètres'!$AA$9*IFERROR(INDEX('Paramètres'!$O$5:$O$7,MATCH(G478,'Paramètres'!$N$5:$N$7,0)),0))</f>
        <v/>
      </c>
      <c r="AC478" s="7" t="inlineStr">
        <is>
          <t>Clôturé</t>
        </is>
      </c>
      <c r="AD478" s="69">
        <f>IF(OR($A478="",Q478=""),"",(Q478-B478)*24)</f>
        <v/>
      </c>
      <c r="AE478" s="69">
        <f>IF(OR(Q478="",R478=""),"",(R478-Q478)*24)</f>
        <v/>
      </c>
      <c r="AF478" s="77">
        <f>IF(OR($A478="",B478=""),"",YEAR(B478))</f>
        <v/>
      </c>
      <c r="AG478" s="77">
        <f>IF(OR($A478="",B478=""),"",MONTH(B478))</f>
        <v/>
      </c>
    </row>
    <row r="479">
      <c r="A479" s="7" t="inlineStr">
        <is>
          <t>OT-2025-0475</t>
        </is>
      </c>
      <c r="B479" s="75" t="n">
        <v>45868.38888888889</v>
      </c>
      <c r="C479" s="7" t="inlineStr">
        <is>
          <t>Plan préventif</t>
        </is>
      </c>
      <c r="D479" s="7" t="inlineStr">
        <is>
          <t>EQ-BAT-002</t>
        </is>
      </c>
      <c r="E479" s="9">
        <f>IF(D479="","",IFERROR(INDEX('Équipements'!$B$5:$B$304,MATCH(D479,'Équipements'!$A$5:$A$304,0)),"Code inconnu"))</f>
        <v/>
      </c>
      <c r="F479" s="9">
        <f>IF(D479="","",IFERROR(INDEX('Équipements'!$D$5:$D$304,MATCH(D479,'Équipements'!$A$5:$A$304,0)),""))</f>
        <v/>
      </c>
      <c r="G479" s="9">
        <f>IF(D479="","",IFERROR(INDEX('Équipements'!$K$5:$K$304,MATCH(D479,'Équipements'!$A$5:$A$304,0)),""))</f>
        <v/>
      </c>
      <c r="H479" s="7" t="inlineStr">
        <is>
          <t>Préventif systématique</t>
        </is>
      </c>
      <c r="I479" s="7" t="inlineStr">
        <is>
          <t>GP-123</t>
        </is>
      </c>
      <c r="J479" s="7" t="inlineStr">
        <is>
          <t>Bâtiment</t>
        </is>
      </c>
      <c r="K479" s="7" t="inlineStr">
        <is>
          <t>P3 - Normale</t>
        </is>
      </c>
      <c r="L479" s="7" t="inlineStr">
        <is>
          <t>Graissage et contrôle des sécurités</t>
        </is>
      </c>
      <c r="M479" s="7" t="n"/>
      <c r="N479" s="7" t="inlineStr">
        <is>
          <t>Gamme réalisée - RAS</t>
        </is>
      </c>
      <c r="O479" s="7" t="inlineStr">
        <is>
          <t>Lucas Fontaine</t>
        </is>
      </c>
      <c r="P479" s="65" t="n">
        <v>45875.53125</v>
      </c>
      <c r="Q479" s="75" t="n">
        <v>45875.60416666666</v>
      </c>
      <c r="R479" s="75" t="n">
        <v>45875.67708333334</v>
      </c>
      <c r="S479" s="76" t="n">
        <v>0</v>
      </c>
      <c r="T479" s="76" t="n">
        <v>1.75</v>
      </c>
      <c r="U479" s="70">
        <f>IF($A479="","",IFERROR(INDEX('Techniciens'!$F$5:$F$44,MATCH(O479,'Techniciens'!$B$5:$B$44,0)),'Paramètres'!$AA$10))</f>
        <v/>
      </c>
      <c r="V479" s="70">
        <f>IF($A479="","",IF(OR(AC479="Demandé",AC479="Planifié",AC479="Annulé"),0,N(T479)*N(U479)))</f>
        <v/>
      </c>
      <c r="W479" s="70">
        <f>IF($A479="","",SUMIFS('Mouvements stock'!$H$5:$H$3004,'Mouvements stock'!$I$5:$I$3004,$A479,'Mouvements stock'!$C$5:$C$3004,"Sortie")-SUMIFS('Mouvements stock'!$H$5:$H$3004,'Mouvements stock'!$I$5:$I$3004,$A479,'Mouvements stock'!$C$5:$C$3004,"Retour"))</f>
        <v/>
      </c>
      <c r="X479" s="66" t="n">
        <v>0</v>
      </c>
      <c r="Y479" s="66" t="n">
        <v>0</v>
      </c>
      <c r="Z479" s="7" t="n"/>
      <c r="AA479" s="70">
        <f>IF($A479="","",N(V479)+N(W479)+N(X479)+N(Y479))</f>
        <v/>
      </c>
      <c r="AB479" s="70">
        <f>IF($A479="","",N(S479)*'Paramètres'!$AA$9*IFERROR(INDEX('Paramètres'!$O$5:$O$7,MATCH(G479,'Paramètres'!$N$5:$N$7,0)),0))</f>
        <v/>
      </c>
      <c r="AC479" s="7" t="inlineStr">
        <is>
          <t>Clôturé</t>
        </is>
      </c>
      <c r="AD479" s="69">
        <f>IF(OR($A479="",Q479=""),"",(Q479-B479)*24)</f>
        <v/>
      </c>
      <c r="AE479" s="69">
        <f>IF(OR(Q479="",R479=""),"",(R479-Q479)*24)</f>
        <v/>
      </c>
      <c r="AF479" s="77">
        <f>IF(OR($A479="",B479=""),"",YEAR(B479))</f>
        <v/>
      </c>
      <c r="AG479" s="77">
        <f>IF(OR($A479="",B479=""),"",MONTH(B479))</f>
        <v/>
      </c>
    </row>
    <row r="480">
      <c r="A480" s="7" t="inlineStr">
        <is>
          <t>OT-2025-0476</t>
        </is>
      </c>
      <c r="B480" s="75" t="n">
        <v>45869.39583333334</v>
      </c>
      <c r="C480" s="7" t="inlineStr">
        <is>
          <t>Plan préventif</t>
        </is>
      </c>
      <c r="D480" s="7" t="inlineStr">
        <is>
          <t>EQ-LOG-003</t>
        </is>
      </c>
      <c r="E480" s="9">
        <f>IF(D480="","",IFERROR(INDEX('Équipements'!$B$5:$B$304,MATCH(D480,'Équipements'!$A$5:$A$304,0)),"Code inconnu"))</f>
        <v/>
      </c>
      <c r="F480" s="9">
        <f>IF(D480="","",IFERROR(INDEX('Équipements'!$D$5:$D$304,MATCH(D480,'Équipements'!$A$5:$A$304,0)),""))</f>
        <v/>
      </c>
      <c r="G480" s="9">
        <f>IF(D480="","",IFERROR(INDEX('Équipements'!$K$5:$K$304,MATCH(D480,'Équipements'!$A$5:$A$304,0)),""))</f>
        <v/>
      </c>
      <c r="H480" s="7" t="inlineStr">
        <is>
          <t>Préventif systématique</t>
        </is>
      </c>
      <c r="I480" s="7" t="inlineStr">
        <is>
          <t>GP-110</t>
        </is>
      </c>
      <c r="J480" s="7" t="inlineStr">
        <is>
          <t>Mécanique</t>
        </is>
      </c>
      <c r="K480" s="7" t="inlineStr">
        <is>
          <t>P3 - Normale</t>
        </is>
      </c>
      <c r="L480" s="7" t="inlineStr">
        <is>
          <t>Contrôle batterie, niveaux et bandages</t>
        </is>
      </c>
      <c r="M480" s="7" t="n"/>
      <c r="N480" s="7" t="inlineStr">
        <is>
          <t>Gamme réalisée - RAS</t>
        </is>
      </c>
      <c r="O480" s="7" t="inlineStr">
        <is>
          <t>Lucas Fontaine</t>
        </is>
      </c>
      <c r="P480" s="65" t="n">
        <v>45876.53125</v>
      </c>
      <c r="Q480" s="75" t="n">
        <v>45876.25694444445</v>
      </c>
      <c r="R480" s="75" t="n">
        <v>45876.27777777778</v>
      </c>
      <c r="S480" s="76" t="n">
        <v>0</v>
      </c>
      <c r="T480" s="76" t="n">
        <v>0.5</v>
      </c>
      <c r="U480" s="70">
        <f>IF($A480="","",IFERROR(INDEX('Techniciens'!$F$5:$F$44,MATCH(O480,'Techniciens'!$B$5:$B$44,0)),'Paramètres'!$AA$10))</f>
        <v/>
      </c>
      <c r="V480" s="70">
        <f>IF($A480="","",IF(OR(AC480="Demandé",AC480="Planifié",AC480="Annulé"),0,N(T480)*N(U480)))</f>
        <v/>
      </c>
      <c r="W480" s="70">
        <f>IF($A480="","",SUMIFS('Mouvements stock'!$H$5:$H$3004,'Mouvements stock'!$I$5:$I$3004,$A480,'Mouvements stock'!$C$5:$C$3004,"Sortie")-SUMIFS('Mouvements stock'!$H$5:$H$3004,'Mouvements stock'!$I$5:$I$3004,$A480,'Mouvements stock'!$C$5:$C$3004,"Retour"))</f>
        <v/>
      </c>
      <c r="X480" s="66" t="n">
        <v>0</v>
      </c>
      <c r="Y480" s="66" t="n">
        <v>0</v>
      </c>
      <c r="Z480" s="7" t="n"/>
      <c r="AA480" s="70">
        <f>IF($A480="","",N(V480)+N(W480)+N(X480)+N(Y480))</f>
        <v/>
      </c>
      <c r="AB480" s="70">
        <f>IF($A480="","",N(S480)*'Paramètres'!$AA$9*IFERROR(INDEX('Paramètres'!$O$5:$O$7,MATCH(G480,'Paramètres'!$N$5:$N$7,0)),0))</f>
        <v/>
      </c>
      <c r="AC480" s="7" t="inlineStr">
        <is>
          <t>Clôturé</t>
        </is>
      </c>
      <c r="AD480" s="69">
        <f>IF(OR($A480="",Q480=""),"",(Q480-B480)*24)</f>
        <v/>
      </c>
      <c r="AE480" s="69">
        <f>IF(OR(Q480="",R480=""),"",(R480-Q480)*24)</f>
        <v/>
      </c>
      <c r="AF480" s="77">
        <f>IF(OR($A480="",B480=""),"",YEAR(B480))</f>
        <v/>
      </c>
      <c r="AG480" s="77">
        <f>IF(OR($A480="",B480=""),"",MONTH(B480))</f>
        <v/>
      </c>
    </row>
    <row r="481">
      <c r="A481" s="7" t="inlineStr">
        <is>
          <t>OT-2025-0477</t>
        </is>
      </c>
      <c r="B481" s="75" t="n">
        <v>45870.42708333334</v>
      </c>
      <c r="C481" s="7" t="inlineStr">
        <is>
          <t>Planning réglementaire</t>
        </is>
      </c>
      <c r="D481" s="7" t="inlineStr">
        <is>
          <t>EQ-TOL-003</t>
        </is>
      </c>
      <c r="E481" s="9">
        <f>IF(D481="","",IFERROR(INDEX('Équipements'!$B$5:$B$304,MATCH(D481,'Équipements'!$A$5:$A$304,0)),"Code inconnu"))</f>
        <v/>
      </c>
      <c r="F481" s="9">
        <f>IF(D481="","",IFERROR(INDEX('Équipements'!$D$5:$D$304,MATCH(D481,'Équipements'!$A$5:$A$304,0)),""))</f>
        <v/>
      </c>
      <c r="G481" s="9">
        <f>IF(D481="","",IFERROR(INDEX('Équipements'!$K$5:$K$304,MATCH(D481,'Équipements'!$A$5:$A$304,0)),""))</f>
        <v/>
      </c>
      <c r="H481" s="7" t="inlineStr">
        <is>
          <t>Réglementaire</t>
        </is>
      </c>
      <c r="I481" s="7" t="inlineStr">
        <is>
          <t>CR-011</t>
        </is>
      </c>
      <c r="J481" s="7" t="inlineStr">
        <is>
          <t>Multi-technique</t>
        </is>
      </c>
      <c r="K481" s="7" t="inlineStr">
        <is>
          <t>P2 - Haute</t>
        </is>
      </c>
      <c r="L481" s="7" t="inlineStr">
        <is>
          <t>Vérification périodique presse plieuse</t>
        </is>
      </c>
      <c r="M481" s="7" t="n"/>
      <c r="N481" s="7" t="inlineStr">
        <is>
          <t>Contrôle réalisé - aucune observation</t>
        </is>
      </c>
      <c r="O481" s="7" t="inlineStr">
        <is>
          <t>Marc Lefèvre</t>
        </is>
      </c>
      <c r="P481" s="65" t="n">
        <v>45891</v>
      </c>
      <c r="Q481" s="75" t="n">
        <v>45891.54861111111</v>
      </c>
      <c r="R481" s="75" t="n">
        <v>45891.66319444445</v>
      </c>
      <c r="S481" s="76" t="n">
        <v>1</v>
      </c>
      <c r="T481" s="76" t="n">
        <v>2.75</v>
      </c>
      <c r="U481" s="70">
        <f>IF($A481="","",IFERROR(INDEX('Techniciens'!$F$5:$F$44,MATCH(O481,'Techniciens'!$B$5:$B$44,0)),'Paramètres'!$AA$10))</f>
        <v/>
      </c>
      <c r="V481" s="70">
        <f>IF($A481="","",IF(OR(AC481="Demandé",AC481="Planifié",AC481="Annulé"),0,N(T481)*N(U481)))</f>
        <v/>
      </c>
      <c r="W481" s="70">
        <f>IF($A481="","",SUMIFS('Mouvements stock'!$H$5:$H$3004,'Mouvements stock'!$I$5:$I$3004,$A481,'Mouvements stock'!$C$5:$C$3004,"Sortie")-SUMIFS('Mouvements stock'!$H$5:$H$3004,'Mouvements stock'!$I$5:$I$3004,$A481,'Mouvements stock'!$C$5:$C$3004,"Retour"))</f>
        <v/>
      </c>
      <c r="X481" s="66" t="n">
        <v>0</v>
      </c>
      <c r="Y481" s="66" t="n">
        <v>230</v>
      </c>
      <c r="Z481" s="7" t="inlineStr">
        <is>
          <t>CONTROLIS (organisme fictif)</t>
        </is>
      </c>
      <c r="AA481" s="70">
        <f>IF($A481="","",N(V481)+N(W481)+N(X481)+N(Y481))</f>
        <v/>
      </c>
      <c r="AB481" s="70">
        <f>IF($A481="","",N(S481)*'Paramètres'!$AA$9*IFERROR(INDEX('Paramètres'!$O$5:$O$7,MATCH(G481,'Paramètres'!$N$5:$N$7,0)),0))</f>
        <v/>
      </c>
      <c r="AC481" s="7" t="inlineStr">
        <is>
          <t>Clôturé</t>
        </is>
      </c>
      <c r="AD481" s="69">
        <f>IF(OR($A481="",Q481=""),"",(Q481-B481)*24)</f>
        <v/>
      </c>
      <c r="AE481" s="69">
        <f>IF(OR(Q481="",R481=""),"",(R481-Q481)*24)</f>
        <v/>
      </c>
      <c r="AF481" s="77">
        <f>IF(OR($A481="",B481=""),"",YEAR(B481))</f>
        <v/>
      </c>
      <c r="AG481" s="77">
        <f>IF(OR($A481="",B481=""),"",MONTH(B481))</f>
        <v/>
      </c>
    </row>
    <row r="482">
      <c r="A482" s="7" t="inlineStr">
        <is>
          <t>OT-2025-0478</t>
        </is>
      </c>
      <c r="B482" s="75" t="n">
        <v>45870.43055555555</v>
      </c>
      <c r="C482" s="7" t="inlineStr">
        <is>
          <t>Plan préventif</t>
        </is>
      </c>
      <c r="D482" s="7" t="inlineStr">
        <is>
          <t>EQ-SOU-001</t>
        </is>
      </c>
      <c r="E482" s="9">
        <f>IF(D482="","",IFERROR(INDEX('Équipements'!$B$5:$B$304,MATCH(D482,'Équipements'!$A$5:$A$304,0)),"Code inconnu"))</f>
        <v/>
      </c>
      <c r="F482" s="9">
        <f>IF(D482="","",IFERROR(INDEX('Équipements'!$D$5:$D$304,MATCH(D482,'Équipements'!$A$5:$A$304,0)),""))</f>
        <v/>
      </c>
      <c r="G482" s="9">
        <f>IF(D482="","",IFERROR(INDEX('Équipements'!$K$5:$K$304,MATCH(D482,'Équipements'!$A$5:$A$304,0)),""))</f>
        <v/>
      </c>
      <c r="H482" s="7" t="inlineStr">
        <is>
          <t>Préventif systématique</t>
        </is>
      </c>
      <c r="I482" s="7" t="inlineStr">
        <is>
          <t>GP-058</t>
        </is>
      </c>
      <c r="J482" s="7" t="inlineStr">
        <is>
          <t>Mécanique</t>
        </is>
      </c>
      <c r="K482" s="7" t="inlineStr">
        <is>
          <t>P3 - Normale</t>
        </is>
      </c>
      <c r="L482" s="7" t="inlineStr">
        <is>
          <t>Nettoyage torche et contrôle faisceau</t>
        </is>
      </c>
      <c r="M482" s="7" t="n"/>
      <c r="N482" s="7" t="inlineStr">
        <is>
          <t>Gamme réalisée - RAS</t>
        </is>
      </c>
      <c r="O482" s="7" t="inlineStr">
        <is>
          <t>Lucas Fontaine</t>
        </is>
      </c>
      <c r="P482" s="65" t="n">
        <v>45877.33333333334</v>
      </c>
      <c r="Q482" s="75" t="n">
        <v>45877.28125</v>
      </c>
      <c r="R482" s="75" t="n">
        <v>45877.3125</v>
      </c>
      <c r="S482" s="76" t="n">
        <v>0.8</v>
      </c>
      <c r="T482" s="76" t="n">
        <v>0.75</v>
      </c>
      <c r="U482" s="70">
        <f>IF($A482="","",IFERROR(INDEX('Techniciens'!$F$5:$F$44,MATCH(O482,'Techniciens'!$B$5:$B$44,0)),'Paramètres'!$AA$10))</f>
        <v/>
      </c>
      <c r="V482" s="70">
        <f>IF($A482="","",IF(OR(AC482="Demandé",AC482="Planifié",AC482="Annulé"),0,N(T482)*N(U482)))</f>
        <v/>
      </c>
      <c r="W482" s="70">
        <f>IF($A482="","",SUMIFS('Mouvements stock'!$H$5:$H$3004,'Mouvements stock'!$I$5:$I$3004,$A482,'Mouvements stock'!$C$5:$C$3004,"Sortie")-SUMIFS('Mouvements stock'!$H$5:$H$3004,'Mouvements stock'!$I$5:$I$3004,$A482,'Mouvements stock'!$C$5:$C$3004,"Retour"))</f>
        <v/>
      </c>
      <c r="X482" s="66" t="n">
        <v>0</v>
      </c>
      <c r="Y482" s="66" t="n">
        <v>0</v>
      </c>
      <c r="Z482" s="7" t="n"/>
      <c r="AA482" s="70">
        <f>IF($A482="","",N(V482)+N(W482)+N(X482)+N(Y482))</f>
        <v/>
      </c>
      <c r="AB482" s="70">
        <f>IF($A482="","",N(S482)*'Paramètres'!$AA$9*IFERROR(INDEX('Paramètres'!$O$5:$O$7,MATCH(G482,'Paramètres'!$N$5:$N$7,0)),0))</f>
        <v/>
      </c>
      <c r="AC482" s="7" t="inlineStr">
        <is>
          <t>Clôturé</t>
        </is>
      </c>
      <c r="AD482" s="69">
        <f>IF(OR($A482="",Q482=""),"",(Q482-B482)*24)</f>
        <v/>
      </c>
      <c r="AE482" s="69">
        <f>IF(OR(Q482="",R482=""),"",(R482-Q482)*24)</f>
        <v/>
      </c>
      <c r="AF482" s="77">
        <f>IF(OR($A482="",B482=""),"",YEAR(B482))</f>
        <v/>
      </c>
      <c r="AG482" s="77">
        <f>IF(OR($A482="",B482=""),"",MONTH(B482))</f>
        <v/>
      </c>
    </row>
    <row r="483">
      <c r="A483" s="7" t="inlineStr">
        <is>
          <t>OT-2025-0479</t>
        </is>
      </c>
      <c r="B483" s="75" t="n">
        <v>45871.27986111111</v>
      </c>
      <c r="C483" s="7" t="inlineStr">
        <is>
          <t>Paul Roux (chef d'atelier)</t>
        </is>
      </c>
      <c r="D483" s="7" t="inlineStr">
        <is>
          <t>EQ-ASS-002</t>
        </is>
      </c>
      <c r="E483" s="9">
        <f>IF(D483="","",IFERROR(INDEX('Équipements'!$B$5:$B$304,MATCH(D483,'Équipements'!$A$5:$A$304,0)),"Code inconnu"))</f>
        <v/>
      </c>
      <c r="F483" s="9">
        <f>IF(D483="","",IFERROR(INDEX('Équipements'!$D$5:$D$304,MATCH(D483,'Équipements'!$A$5:$A$304,0)),""))</f>
        <v/>
      </c>
      <c r="G483" s="9">
        <f>IF(D483="","",IFERROR(INDEX('Équipements'!$K$5:$K$304,MATCH(D483,'Équipements'!$A$5:$A$304,0)),""))</f>
        <v/>
      </c>
      <c r="H483" s="7" t="inlineStr">
        <is>
          <t>Correctif</t>
        </is>
      </c>
      <c r="I483" s="7" t="n"/>
      <c r="J483" s="7" t="inlineStr">
        <is>
          <t>Hydraulique</t>
        </is>
      </c>
      <c r="K483" s="7" t="inlineStr">
        <is>
          <t>P1 - Urgent</t>
        </is>
      </c>
      <c r="L483" s="7" t="inlineStr">
        <is>
          <t>Fuite d'huile vérin principal</t>
        </is>
      </c>
      <c r="M483" s="7" t="inlineStr">
        <is>
          <t>Fuite</t>
        </is>
      </c>
      <c r="N483" s="7" t="inlineStr">
        <is>
          <t>Remplacement kit joints vérin</t>
        </is>
      </c>
      <c r="O483" s="7" t="inlineStr">
        <is>
          <t>Karim Benali</t>
        </is>
      </c>
      <c r="P483" s="65" t="n"/>
      <c r="Q483" s="75" t="n">
        <v>45871.31805555556</v>
      </c>
      <c r="R483" s="75" t="n">
        <v>45872.30696887076</v>
      </c>
      <c r="S483" s="76" t="n">
        <v>0</v>
      </c>
      <c r="T483" s="76" t="n">
        <v>3.5</v>
      </c>
      <c r="U483" s="70">
        <f>IF($A483="","",IFERROR(INDEX('Techniciens'!$F$5:$F$44,MATCH(O483,'Techniciens'!$B$5:$B$44,0)),'Paramètres'!$AA$10))</f>
        <v/>
      </c>
      <c r="V483" s="70">
        <f>IF($A483="","",IF(OR(AC483="Demandé",AC483="Planifié",AC483="Annulé"),0,N(T483)*N(U483)))</f>
        <v/>
      </c>
      <c r="W483" s="70">
        <f>IF($A483="","",SUMIFS('Mouvements stock'!$H$5:$H$3004,'Mouvements stock'!$I$5:$I$3004,$A483,'Mouvements stock'!$C$5:$C$3004,"Sortie")-SUMIFS('Mouvements stock'!$H$5:$H$3004,'Mouvements stock'!$I$5:$I$3004,$A483,'Mouvements stock'!$C$5:$C$3004,"Retour"))</f>
        <v/>
      </c>
      <c r="X483" s="66" t="n">
        <v>0</v>
      </c>
      <c r="Y483" s="66" t="n">
        <v>0</v>
      </c>
      <c r="Z483" s="7" t="n"/>
      <c r="AA483" s="70">
        <f>IF($A483="","",N(V483)+N(W483)+N(X483)+N(Y483))</f>
        <v/>
      </c>
      <c r="AB483" s="70">
        <f>IF($A483="","",N(S483)*'Paramètres'!$AA$9*IFERROR(INDEX('Paramètres'!$O$5:$O$7,MATCH(G483,'Paramètres'!$N$5:$N$7,0)),0))</f>
        <v/>
      </c>
      <c r="AC483" s="7" t="inlineStr">
        <is>
          <t>Clôturé</t>
        </is>
      </c>
      <c r="AD483" s="69">
        <f>IF(OR($A483="",Q483=""),"",(Q483-B483)*24)</f>
        <v/>
      </c>
      <c r="AE483" s="69">
        <f>IF(OR(Q483="",R483=""),"",(R483-Q483)*24)</f>
        <v/>
      </c>
      <c r="AF483" s="77">
        <f>IF(OR($A483="",B483=""),"",YEAR(B483))</f>
        <v/>
      </c>
      <c r="AG483" s="77">
        <f>IF(OR($A483="",B483=""),"",MONTH(B483))</f>
        <v/>
      </c>
    </row>
    <row r="484">
      <c r="A484" s="7" t="inlineStr">
        <is>
          <t>OT-2025-0480</t>
        </is>
      </c>
      <c r="B484" s="75" t="n">
        <v>45873.37083333333</v>
      </c>
      <c r="C484" s="7" t="inlineStr">
        <is>
          <t>Opérateur usinage</t>
        </is>
      </c>
      <c r="D484" s="7" t="inlineStr">
        <is>
          <t>EQ-USI-001</t>
        </is>
      </c>
      <c r="E484" s="9">
        <f>IF(D484="","",IFERROR(INDEX('Équipements'!$B$5:$B$304,MATCH(D484,'Équipements'!$A$5:$A$304,0)),"Code inconnu"))</f>
        <v/>
      </c>
      <c r="F484" s="9">
        <f>IF(D484="","",IFERROR(INDEX('Équipements'!$D$5:$D$304,MATCH(D484,'Équipements'!$A$5:$A$304,0)),""))</f>
        <v/>
      </c>
      <c r="G484" s="9">
        <f>IF(D484="","",IFERROR(INDEX('Équipements'!$K$5:$K$304,MATCH(D484,'Équipements'!$A$5:$A$304,0)),""))</f>
        <v/>
      </c>
      <c r="H484" s="7" t="inlineStr">
        <is>
          <t>Correctif</t>
        </is>
      </c>
      <c r="I484" s="7" t="n"/>
      <c r="J484" s="7" t="inlineStr">
        <is>
          <t>Électrique</t>
        </is>
      </c>
      <c r="K484" s="7" t="inlineStr">
        <is>
          <t>P1 - Urgent</t>
        </is>
      </c>
      <c r="L484" s="7" t="inlineStr">
        <is>
          <t>Arrêt d'urgence intempestif</t>
        </is>
      </c>
      <c r="M484" s="7" t="inlineStr">
        <is>
          <t>Cause inconnue</t>
        </is>
      </c>
      <c r="N484" s="7" t="inlineStr">
        <is>
          <t>Recherche de panne, remplacement relais de sécurité</t>
        </is>
      </c>
      <c r="O484" s="7" t="inlineStr">
        <is>
          <t>Julien Moreau</t>
        </is>
      </c>
      <c r="P484" s="65" t="n"/>
      <c r="Q484" s="75" t="n">
        <v>45873.41041666667</v>
      </c>
      <c r="R484" s="75" t="n">
        <v>45873.59791666667</v>
      </c>
      <c r="S484" s="76" t="n">
        <v>5.5</v>
      </c>
      <c r="T484" s="76" t="n">
        <v>4.5</v>
      </c>
      <c r="U484" s="70">
        <f>IF($A484="","",IFERROR(INDEX('Techniciens'!$F$5:$F$44,MATCH(O484,'Techniciens'!$B$5:$B$44,0)),'Paramètres'!$AA$10))</f>
        <v/>
      </c>
      <c r="V484" s="70">
        <f>IF($A484="","",IF(OR(AC484="Demandé",AC484="Planifié",AC484="Annulé"),0,N(T484)*N(U484)))</f>
        <v/>
      </c>
      <c r="W484" s="70">
        <f>IF($A484="","",SUMIFS('Mouvements stock'!$H$5:$H$3004,'Mouvements stock'!$I$5:$I$3004,$A484,'Mouvements stock'!$C$5:$C$3004,"Sortie")-SUMIFS('Mouvements stock'!$H$5:$H$3004,'Mouvements stock'!$I$5:$I$3004,$A484,'Mouvements stock'!$C$5:$C$3004,"Retour"))</f>
        <v/>
      </c>
      <c r="X484" s="66" t="n">
        <v>0</v>
      </c>
      <c r="Y484" s="66" t="n">
        <v>0</v>
      </c>
      <c r="Z484" s="7" t="n"/>
      <c r="AA484" s="70">
        <f>IF($A484="","",N(V484)+N(W484)+N(X484)+N(Y484))</f>
        <v/>
      </c>
      <c r="AB484" s="70">
        <f>IF($A484="","",N(S484)*'Paramètres'!$AA$9*IFERROR(INDEX('Paramètres'!$O$5:$O$7,MATCH(G484,'Paramètres'!$N$5:$N$7,0)),0))</f>
        <v/>
      </c>
      <c r="AC484" s="7" t="inlineStr">
        <is>
          <t>Clôturé</t>
        </is>
      </c>
      <c r="AD484" s="69">
        <f>IF(OR($A484="",Q484=""),"",(Q484-B484)*24)</f>
        <v/>
      </c>
      <c r="AE484" s="69">
        <f>IF(OR(Q484="",R484=""),"",(R484-Q484)*24)</f>
        <v/>
      </c>
      <c r="AF484" s="77">
        <f>IF(OR($A484="",B484=""),"",YEAR(B484))</f>
        <v/>
      </c>
      <c r="AG484" s="77">
        <f>IF(OR($A484="",B484=""),"",MONTH(B484))</f>
        <v/>
      </c>
    </row>
    <row r="485">
      <c r="A485" s="7" t="inlineStr">
        <is>
          <t>OT-2025-0481</t>
        </is>
      </c>
      <c r="B485" s="75" t="n">
        <v>45873.39583333334</v>
      </c>
      <c r="C485" s="7" t="inlineStr">
        <is>
          <t>Planning réglementaire</t>
        </is>
      </c>
      <c r="D485" s="7" t="inlineStr">
        <is>
          <t>EQ-LOG-007</t>
        </is>
      </c>
      <c r="E485" s="9">
        <f>IF(D485="","",IFERROR(INDEX('Équipements'!$B$5:$B$304,MATCH(D485,'Équipements'!$A$5:$A$304,0)),"Code inconnu"))</f>
        <v/>
      </c>
      <c r="F485" s="9">
        <f>IF(D485="","",IFERROR(INDEX('Équipements'!$D$5:$D$304,MATCH(D485,'Équipements'!$A$5:$A$304,0)),""))</f>
        <v/>
      </c>
      <c r="G485" s="9">
        <f>IF(D485="","",IFERROR(INDEX('Équipements'!$K$5:$K$304,MATCH(D485,'Équipements'!$A$5:$A$304,0)),""))</f>
        <v/>
      </c>
      <c r="H485" s="7" t="inlineStr">
        <is>
          <t>Réglementaire</t>
        </is>
      </c>
      <c r="I485" s="7" t="inlineStr">
        <is>
          <t>CR-002</t>
        </is>
      </c>
      <c r="J485" s="7" t="inlineStr">
        <is>
          <t>Multi-technique</t>
        </is>
      </c>
      <c r="K485" s="7" t="inlineStr">
        <is>
          <t>P2 - Haute</t>
        </is>
      </c>
      <c r="L485" s="7" t="inlineStr">
        <is>
          <t>Vérification générale périodique (VGP) appareil de levage</t>
        </is>
      </c>
      <c r="M485" s="7" t="n"/>
      <c r="N485" s="7" t="inlineStr">
        <is>
          <t>Contrôle réalisé - aucune observation</t>
        </is>
      </c>
      <c r="O485" s="7" t="inlineStr">
        <is>
          <t>Nadia Rousseau</t>
        </is>
      </c>
      <c r="P485" s="65" t="n">
        <v>45894</v>
      </c>
      <c r="Q485" s="75" t="n">
        <v>45894.47916666666</v>
      </c>
      <c r="R485" s="75" t="n">
        <v>45894.59375</v>
      </c>
      <c r="S485" s="76" t="n">
        <v>2</v>
      </c>
      <c r="T485" s="76" t="n">
        <v>2.75</v>
      </c>
      <c r="U485" s="70">
        <f>IF($A485="","",IFERROR(INDEX('Techniciens'!$F$5:$F$44,MATCH(O485,'Techniciens'!$B$5:$B$44,0)),'Paramètres'!$AA$10))</f>
        <v/>
      </c>
      <c r="V485" s="70">
        <f>IF($A485="","",IF(OR(AC485="Demandé",AC485="Planifié",AC485="Annulé"),0,N(T485)*N(U485)))</f>
        <v/>
      </c>
      <c r="W485" s="70">
        <f>IF($A485="","",SUMIFS('Mouvements stock'!$H$5:$H$3004,'Mouvements stock'!$I$5:$I$3004,$A485,'Mouvements stock'!$C$5:$C$3004,"Sortie")-SUMIFS('Mouvements stock'!$H$5:$H$3004,'Mouvements stock'!$I$5:$I$3004,$A485,'Mouvements stock'!$C$5:$C$3004,"Retour"))</f>
        <v/>
      </c>
      <c r="X485" s="66" t="n">
        <v>0</v>
      </c>
      <c r="Y485" s="66" t="n">
        <v>270</v>
      </c>
      <c r="Z485" s="7" t="inlineStr">
        <is>
          <t>CONTROLIS (organisme fictif)</t>
        </is>
      </c>
      <c r="AA485" s="70">
        <f>IF($A485="","",N(V485)+N(W485)+N(X485)+N(Y485))</f>
        <v/>
      </c>
      <c r="AB485" s="70">
        <f>IF($A485="","",N(S485)*'Paramètres'!$AA$9*IFERROR(INDEX('Paramètres'!$O$5:$O$7,MATCH(G485,'Paramètres'!$N$5:$N$7,0)),0))</f>
        <v/>
      </c>
      <c r="AC485" s="7" t="inlineStr">
        <is>
          <t>Clôturé</t>
        </is>
      </c>
      <c r="AD485" s="69">
        <f>IF(OR($A485="",Q485=""),"",(Q485-B485)*24)</f>
        <v/>
      </c>
      <c r="AE485" s="69">
        <f>IF(OR(Q485="",R485=""),"",(R485-Q485)*24)</f>
        <v/>
      </c>
      <c r="AF485" s="77">
        <f>IF(OR($A485="",B485=""),"",YEAR(B485))</f>
        <v/>
      </c>
      <c r="AG485" s="77">
        <f>IF(OR($A485="",B485=""),"",MONTH(B485))</f>
        <v/>
      </c>
    </row>
    <row r="486">
      <c r="A486" s="7" t="inlineStr">
        <is>
          <t>OT-2025-0482</t>
        </is>
      </c>
      <c r="B486" s="75" t="n">
        <v>45873.83194444444</v>
      </c>
      <c r="C486" s="7" t="inlineStr">
        <is>
          <t>Éric Laurent (chef d'atelier)</t>
        </is>
      </c>
      <c r="D486" s="7" t="inlineStr">
        <is>
          <t>EQ-USI-012</t>
        </is>
      </c>
      <c r="E486" s="9">
        <f>IF(D486="","",IFERROR(INDEX('Équipements'!$B$5:$B$304,MATCH(D486,'Équipements'!$A$5:$A$304,0)),"Code inconnu"))</f>
        <v/>
      </c>
      <c r="F486" s="9">
        <f>IF(D486="","",IFERROR(INDEX('Équipements'!$D$5:$D$304,MATCH(D486,'Équipements'!$A$5:$A$304,0)),""))</f>
        <v/>
      </c>
      <c r="G486" s="9">
        <f>IF(D486="","",IFERROR(INDEX('Équipements'!$K$5:$K$304,MATCH(D486,'Équipements'!$A$5:$A$304,0)),""))</f>
        <v/>
      </c>
      <c r="H486" s="7" t="inlineStr">
        <is>
          <t>Correctif</t>
        </is>
      </c>
      <c r="I486" s="7" t="n"/>
      <c r="J486" s="7" t="inlineStr">
        <is>
          <t>Automatisme</t>
        </is>
      </c>
      <c r="K486" s="7" t="inlineStr">
        <is>
          <t>P3 - Normale</t>
        </is>
      </c>
      <c r="L486" s="7" t="inlineStr">
        <is>
          <t>Perte de communication automate / robot</t>
        </is>
      </c>
      <c r="M486" s="7" t="inlineStr">
        <is>
          <t>Défaut logiciel/automate</t>
        </is>
      </c>
      <c r="N486" s="7" t="inlineStr">
        <is>
          <t>Remplacement câble réseau, redémarrage, sauvegarde</t>
        </is>
      </c>
      <c r="O486" s="7" t="inlineStr">
        <is>
          <t>Sophie Garnier</t>
        </is>
      </c>
      <c r="P486" s="65" t="n"/>
      <c r="Q486" s="75" t="n">
        <v>45875.04027777778</v>
      </c>
      <c r="R486" s="75" t="n">
        <v>45875.10277777778</v>
      </c>
      <c r="S486" s="76" t="n">
        <v>1.5</v>
      </c>
      <c r="T486" s="76" t="n">
        <v>1.5</v>
      </c>
      <c r="U486" s="70">
        <f>IF($A486="","",IFERROR(INDEX('Techniciens'!$F$5:$F$44,MATCH(O486,'Techniciens'!$B$5:$B$44,0)),'Paramètres'!$AA$10))</f>
        <v/>
      </c>
      <c r="V486" s="70">
        <f>IF($A486="","",IF(OR(AC486="Demandé",AC486="Planifié",AC486="Annulé"),0,N(T486)*N(U486)))</f>
        <v/>
      </c>
      <c r="W486" s="70">
        <f>IF($A486="","",SUMIFS('Mouvements stock'!$H$5:$H$3004,'Mouvements stock'!$I$5:$I$3004,$A486,'Mouvements stock'!$C$5:$C$3004,"Sortie")-SUMIFS('Mouvements stock'!$H$5:$H$3004,'Mouvements stock'!$I$5:$I$3004,$A486,'Mouvements stock'!$C$5:$C$3004,"Retour"))</f>
        <v/>
      </c>
      <c r="X486" s="66" t="n">
        <v>0</v>
      </c>
      <c r="Y486" s="66" t="n">
        <v>510</v>
      </c>
      <c r="Z486" s="7" t="inlineStr">
        <is>
          <t>AutomaSys Ingénierie</t>
        </is>
      </c>
      <c r="AA486" s="70">
        <f>IF($A486="","",N(V486)+N(W486)+N(X486)+N(Y486))</f>
        <v/>
      </c>
      <c r="AB486" s="70">
        <f>IF($A486="","",N(S486)*'Paramètres'!$AA$9*IFERROR(INDEX('Paramètres'!$O$5:$O$7,MATCH(G486,'Paramètres'!$N$5:$N$7,0)),0))</f>
        <v/>
      </c>
      <c r="AC486" s="7" t="inlineStr">
        <is>
          <t>Clôturé</t>
        </is>
      </c>
      <c r="AD486" s="69">
        <f>IF(OR($A486="",Q486=""),"",(Q486-B486)*24)</f>
        <v/>
      </c>
      <c r="AE486" s="69">
        <f>IF(OR(Q486="",R486=""),"",(R486-Q486)*24)</f>
        <v/>
      </c>
      <c r="AF486" s="77">
        <f>IF(OR($A486="",B486=""),"",YEAR(B486))</f>
        <v/>
      </c>
      <c r="AG486" s="77">
        <f>IF(OR($A486="",B486=""),"",MONTH(B486))</f>
        <v/>
      </c>
    </row>
    <row r="487">
      <c r="A487" s="7" t="inlineStr">
        <is>
          <t>OT-2025-0483</t>
        </is>
      </c>
      <c r="B487" s="75" t="n">
        <v>45874.27430555555</v>
      </c>
      <c r="C487" s="7" t="inlineStr">
        <is>
          <t>Hugo Blanc (chef d'équipe)</t>
        </is>
      </c>
      <c r="D487" s="7" t="inlineStr">
        <is>
          <t>EQ-SOU-004</t>
        </is>
      </c>
      <c r="E487" s="9">
        <f>IF(D487="","",IFERROR(INDEX('Équipements'!$B$5:$B$304,MATCH(D487,'Équipements'!$A$5:$A$304,0)),"Code inconnu"))</f>
        <v/>
      </c>
      <c r="F487" s="9">
        <f>IF(D487="","",IFERROR(INDEX('Équipements'!$D$5:$D$304,MATCH(D487,'Équipements'!$A$5:$A$304,0)),""))</f>
        <v/>
      </c>
      <c r="G487" s="9">
        <f>IF(D487="","",IFERROR(INDEX('Équipements'!$K$5:$K$304,MATCH(D487,'Équipements'!$A$5:$A$304,0)),""))</f>
        <v/>
      </c>
      <c r="H487" s="7" t="inlineStr">
        <is>
          <t>Correctif</t>
        </is>
      </c>
      <c r="I487" s="7" t="n"/>
      <c r="J487" s="7" t="inlineStr">
        <is>
          <t>Mécanique</t>
        </is>
      </c>
      <c r="K487" s="7" t="inlineStr">
        <is>
          <t>P3 - Normale</t>
        </is>
      </c>
      <c r="L487" s="7" t="inlineStr">
        <is>
          <t>Torche défectueuse</t>
        </is>
      </c>
      <c r="M487" s="7" t="inlineStr">
        <is>
          <t>Usure</t>
        </is>
      </c>
      <c r="N487" s="7" t="inlineStr">
        <is>
          <t>Réparation torche, remplacement buse</t>
        </is>
      </c>
      <c r="O487" s="7" t="inlineStr">
        <is>
          <t>Antoine Mercier</t>
        </is>
      </c>
      <c r="P487" s="65" t="n"/>
      <c r="Q487" s="75" t="n">
        <v>45875.06944444445</v>
      </c>
      <c r="R487" s="75" t="n">
        <v>45875.16319444445</v>
      </c>
      <c r="S487" s="76" t="n">
        <v>0</v>
      </c>
      <c r="T487" s="76" t="n">
        <v>2.25</v>
      </c>
      <c r="U487" s="70">
        <f>IF($A487="","",IFERROR(INDEX('Techniciens'!$F$5:$F$44,MATCH(O487,'Techniciens'!$B$5:$B$44,0)),'Paramètres'!$AA$10))</f>
        <v/>
      </c>
      <c r="V487" s="70">
        <f>IF($A487="","",IF(OR(AC487="Demandé",AC487="Planifié",AC487="Annulé"),0,N(T487)*N(U487)))</f>
        <v/>
      </c>
      <c r="W487" s="70">
        <f>IF($A487="","",SUMIFS('Mouvements stock'!$H$5:$H$3004,'Mouvements stock'!$I$5:$I$3004,$A487,'Mouvements stock'!$C$5:$C$3004,"Sortie")-SUMIFS('Mouvements stock'!$H$5:$H$3004,'Mouvements stock'!$I$5:$I$3004,$A487,'Mouvements stock'!$C$5:$C$3004,"Retour"))</f>
        <v/>
      </c>
      <c r="X487" s="66" t="n">
        <v>0</v>
      </c>
      <c r="Y487" s="66" t="n">
        <v>0</v>
      </c>
      <c r="Z487" s="7" t="n"/>
      <c r="AA487" s="70">
        <f>IF($A487="","",N(V487)+N(W487)+N(X487)+N(Y487))</f>
        <v/>
      </c>
      <c r="AB487" s="70">
        <f>IF($A487="","",N(S487)*'Paramètres'!$AA$9*IFERROR(INDEX('Paramètres'!$O$5:$O$7,MATCH(G487,'Paramètres'!$N$5:$N$7,0)),0))</f>
        <v/>
      </c>
      <c r="AC487" s="7" t="inlineStr">
        <is>
          <t>Clôturé</t>
        </is>
      </c>
      <c r="AD487" s="69">
        <f>IF(OR($A487="",Q487=""),"",(Q487-B487)*24)</f>
        <v/>
      </c>
      <c r="AE487" s="69">
        <f>IF(OR(Q487="",R487=""),"",(R487-Q487)*24)</f>
        <v/>
      </c>
      <c r="AF487" s="77">
        <f>IF(OR($A487="",B487=""),"",YEAR(B487))</f>
        <v/>
      </c>
      <c r="AG487" s="77">
        <f>IF(OR($A487="",B487=""),"",MONTH(B487))</f>
        <v/>
      </c>
    </row>
    <row r="488">
      <c r="A488" s="7" t="inlineStr">
        <is>
          <t>OT-2025-0484</t>
        </is>
      </c>
      <c r="B488" s="75" t="n">
        <v>45874.35416666666</v>
      </c>
      <c r="C488" s="7" t="inlineStr">
        <is>
          <t>Plan préventif</t>
        </is>
      </c>
      <c r="D488" s="7" t="inlineStr">
        <is>
          <t>EQ-PEI-001</t>
        </is>
      </c>
      <c r="E488" s="9">
        <f>IF(D488="","",IFERROR(INDEX('Équipements'!$B$5:$B$304,MATCH(D488,'Équipements'!$A$5:$A$304,0)),"Code inconnu"))</f>
        <v/>
      </c>
      <c r="F488" s="9">
        <f>IF(D488="","",IFERROR(INDEX('Équipements'!$D$5:$D$304,MATCH(D488,'Équipements'!$A$5:$A$304,0)),""))</f>
        <v/>
      </c>
      <c r="G488" s="9">
        <f>IF(D488="","",IFERROR(INDEX('Équipements'!$K$5:$K$304,MATCH(D488,'Équipements'!$A$5:$A$304,0)),""))</f>
        <v/>
      </c>
      <c r="H488" s="7" t="inlineStr">
        <is>
          <t>Préventif systématique</t>
        </is>
      </c>
      <c r="I488" s="7" t="inlineStr">
        <is>
          <t>GP-066</t>
        </is>
      </c>
      <c r="J488" s="7" t="inlineStr">
        <is>
          <t>Mécanique</t>
        </is>
      </c>
      <c r="K488" s="7" t="inlineStr">
        <is>
          <t>P3 - Normale</t>
        </is>
      </c>
      <c r="L488" s="7" t="inlineStr">
        <is>
          <t>Nettoyage et remplacement des filtres</t>
        </is>
      </c>
      <c r="M488" s="7" t="n"/>
      <c r="N488" s="7" t="inlineStr">
        <is>
          <t>Gamme réalisée - RAS</t>
        </is>
      </c>
      <c r="O488" s="7" t="inlineStr">
        <is>
          <t>Lucas Fontaine</t>
        </is>
      </c>
      <c r="P488" s="65" t="n">
        <v>45881.49305555555</v>
      </c>
      <c r="Q488" s="75" t="n">
        <v>45881.31944444445</v>
      </c>
      <c r="R488" s="75" t="n">
        <v>45881.47569444445</v>
      </c>
      <c r="S488" s="76" t="n">
        <v>1.9</v>
      </c>
      <c r="T488" s="76" t="n">
        <v>3.75</v>
      </c>
      <c r="U488" s="70">
        <f>IF($A488="","",IFERROR(INDEX('Techniciens'!$F$5:$F$44,MATCH(O488,'Techniciens'!$B$5:$B$44,0)),'Paramètres'!$AA$10))</f>
        <v/>
      </c>
      <c r="V488" s="70">
        <f>IF($A488="","",IF(OR(AC488="Demandé",AC488="Planifié",AC488="Annulé"),0,N(T488)*N(U488)))</f>
        <v/>
      </c>
      <c r="W488" s="70">
        <f>IF($A488="","",SUMIFS('Mouvements stock'!$H$5:$H$3004,'Mouvements stock'!$I$5:$I$3004,$A488,'Mouvements stock'!$C$5:$C$3004,"Sortie")-SUMIFS('Mouvements stock'!$H$5:$H$3004,'Mouvements stock'!$I$5:$I$3004,$A488,'Mouvements stock'!$C$5:$C$3004,"Retour"))</f>
        <v/>
      </c>
      <c r="X488" s="66" t="n">
        <v>0</v>
      </c>
      <c r="Y488" s="66" t="n">
        <v>0</v>
      </c>
      <c r="Z488" s="7" t="n"/>
      <c r="AA488" s="70">
        <f>IF($A488="","",N(V488)+N(W488)+N(X488)+N(Y488))</f>
        <v/>
      </c>
      <c r="AB488" s="70">
        <f>IF($A488="","",N(S488)*'Paramètres'!$AA$9*IFERROR(INDEX('Paramètres'!$O$5:$O$7,MATCH(G488,'Paramètres'!$N$5:$N$7,0)),0))</f>
        <v/>
      </c>
      <c r="AC488" s="7" t="inlineStr">
        <is>
          <t>Clôturé</t>
        </is>
      </c>
      <c r="AD488" s="69">
        <f>IF(OR($A488="",Q488=""),"",(Q488-B488)*24)</f>
        <v/>
      </c>
      <c r="AE488" s="69">
        <f>IF(OR(Q488="",R488=""),"",(R488-Q488)*24)</f>
        <v/>
      </c>
      <c r="AF488" s="77">
        <f>IF(OR($A488="",B488=""),"",YEAR(B488))</f>
        <v/>
      </c>
      <c r="AG488" s="77">
        <f>IF(OR($A488="",B488=""),"",MONTH(B488))</f>
        <v/>
      </c>
    </row>
    <row r="489">
      <c r="A489" s="7" t="inlineStr">
        <is>
          <t>OT-2025-0485</t>
        </is>
      </c>
      <c r="B489" s="75" t="n">
        <v>45874.38194444445</v>
      </c>
      <c r="C489" s="7" t="inlineStr">
        <is>
          <t>Plan préventif</t>
        </is>
      </c>
      <c r="D489" s="7" t="inlineStr">
        <is>
          <t>EQ-UTI-002</t>
        </is>
      </c>
      <c r="E489" s="9">
        <f>IF(D489="","",IFERROR(INDEX('Équipements'!$B$5:$B$304,MATCH(D489,'Équipements'!$A$5:$A$304,0)),"Code inconnu"))</f>
        <v/>
      </c>
      <c r="F489" s="9">
        <f>IF(D489="","",IFERROR(INDEX('Équipements'!$D$5:$D$304,MATCH(D489,'Équipements'!$A$5:$A$304,0)),""))</f>
        <v/>
      </c>
      <c r="G489" s="9">
        <f>IF(D489="","",IFERROR(INDEX('Équipements'!$K$5:$K$304,MATCH(D489,'Équipements'!$A$5:$A$304,0)),""))</f>
        <v/>
      </c>
      <c r="H489" s="7" t="inlineStr">
        <is>
          <t>Préventif systématique</t>
        </is>
      </c>
      <c r="I489" s="7" t="inlineStr">
        <is>
          <t>GP-090</t>
        </is>
      </c>
      <c r="J489" s="7" t="inlineStr">
        <is>
          <t>Pneumatique</t>
        </is>
      </c>
      <c r="K489" s="7" t="inlineStr">
        <is>
          <t>P3 - Normale</t>
        </is>
      </c>
      <c r="L489" s="7" t="inlineStr">
        <is>
          <t>Purge, contrôle fuites et point de rosée</t>
        </is>
      </c>
      <c r="M489" s="7" t="n"/>
      <c r="N489" s="7" t="inlineStr">
        <is>
          <t>Gamme réalisée - RAS</t>
        </is>
      </c>
      <c r="O489" s="7" t="inlineStr">
        <is>
          <t>Lucas Fontaine</t>
        </is>
      </c>
      <c r="P489" s="65" t="n">
        <v>45881.52083333334</v>
      </c>
      <c r="Q489" s="75" t="n">
        <v>45881.61805555555</v>
      </c>
      <c r="R489" s="75" t="n">
        <v>45881.68055555555</v>
      </c>
      <c r="S489" s="76" t="n">
        <v>0</v>
      </c>
      <c r="T489" s="76" t="n">
        <v>1.5</v>
      </c>
      <c r="U489" s="70">
        <f>IF($A489="","",IFERROR(INDEX('Techniciens'!$F$5:$F$44,MATCH(O489,'Techniciens'!$B$5:$B$44,0)),'Paramètres'!$AA$10))</f>
        <v/>
      </c>
      <c r="V489" s="70">
        <f>IF($A489="","",IF(OR(AC489="Demandé",AC489="Planifié",AC489="Annulé"),0,N(T489)*N(U489)))</f>
        <v/>
      </c>
      <c r="W489" s="70">
        <f>IF($A489="","",SUMIFS('Mouvements stock'!$H$5:$H$3004,'Mouvements stock'!$I$5:$I$3004,$A489,'Mouvements stock'!$C$5:$C$3004,"Sortie")-SUMIFS('Mouvements stock'!$H$5:$H$3004,'Mouvements stock'!$I$5:$I$3004,$A489,'Mouvements stock'!$C$5:$C$3004,"Retour"))</f>
        <v/>
      </c>
      <c r="X489" s="66" t="n">
        <v>0</v>
      </c>
      <c r="Y489" s="66" t="n">
        <v>0</v>
      </c>
      <c r="Z489" s="7" t="n"/>
      <c r="AA489" s="70">
        <f>IF($A489="","",N(V489)+N(W489)+N(X489)+N(Y489))</f>
        <v/>
      </c>
      <c r="AB489" s="70">
        <f>IF($A489="","",N(S489)*'Paramètres'!$AA$9*IFERROR(INDEX('Paramètres'!$O$5:$O$7,MATCH(G489,'Paramètres'!$N$5:$N$7,0)),0))</f>
        <v/>
      </c>
      <c r="AC489" s="7" t="inlineStr">
        <is>
          <t>Clôturé</t>
        </is>
      </c>
      <c r="AD489" s="69">
        <f>IF(OR($A489="",Q489=""),"",(Q489-B489)*24)</f>
        <v/>
      </c>
      <c r="AE489" s="69">
        <f>IF(OR(Q489="",R489=""),"",(R489-Q489)*24)</f>
        <v/>
      </c>
      <c r="AF489" s="77">
        <f>IF(OR($A489="",B489=""),"",YEAR(B489))</f>
        <v/>
      </c>
      <c r="AG489" s="77">
        <f>IF(OR($A489="",B489=""),"",MONTH(B489))</f>
        <v/>
      </c>
    </row>
    <row r="490">
      <c r="A490" s="7" t="inlineStr">
        <is>
          <t>OT-2025-0486</t>
        </is>
      </c>
      <c r="B490" s="75" t="n">
        <v>45874.44791666666</v>
      </c>
      <c r="C490" s="7" t="inlineStr">
        <is>
          <t>Plan préventif</t>
        </is>
      </c>
      <c r="D490" s="7" t="inlineStr">
        <is>
          <t>EQ-LOG-006</t>
        </is>
      </c>
      <c r="E490" s="9">
        <f>IF(D490="","",IFERROR(INDEX('Équipements'!$B$5:$B$304,MATCH(D490,'Équipements'!$A$5:$A$304,0)),"Code inconnu"))</f>
        <v/>
      </c>
      <c r="F490" s="9">
        <f>IF(D490="","",IFERROR(INDEX('Équipements'!$D$5:$D$304,MATCH(D490,'Équipements'!$A$5:$A$304,0)),""))</f>
        <v/>
      </c>
      <c r="G490" s="9">
        <f>IF(D490="","",IFERROR(INDEX('Équipements'!$K$5:$K$304,MATCH(D490,'Équipements'!$A$5:$A$304,0)),""))</f>
        <v/>
      </c>
      <c r="H490" s="7" t="inlineStr">
        <is>
          <t>Préventif systématique</t>
        </is>
      </c>
      <c r="I490" s="7" t="inlineStr">
        <is>
          <t>GP-115</t>
        </is>
      </c>
      <c r="J490" s="7" t="inlineStr">
        <is>
          <t>Mécanique</t>
        </is>
      </c>
      <c r="K490" s="7" t="inlineStr">
        <is>
          <t>P3 - Normale</t>
        </is>
      </c>
      <c r="L490" s="7" t="inlineStr">
        <is>
          <t>Contrôle câbles, crochets, freins et fins de course</t>
        </is>
      </c>
      <c r="M490" s="7" t="n"/>
      <c r="N490" s="7" t="inlineStr">
        <is>
          <t>Gamme réalisée - RAS</t>
        </is>
      </c>
      <c r="O490" s="7" t="inlineStr">
        <is>
          <t>Karim Benali</t>
        </is>
      </c>
      <c r="P490" s="65" t="n">
        <v>45881.58333333334</v>
      </c>
      <c r="Q490" s="75" t="n">
        <v>45881.28472222222</v>
      </c>
      <c r="R490" s="75" t="n">
        <v>45881.40972222222</v>
      </c>
      <c r="S490" s="76" t="n">
        <v>1.5</v>
      </c>
      <c r="T490" s="76" t="n">
        <v>3</v>
      </c>
      <c r="U490" s="70">
        <f>IF($A490="","",IFERROR(INDEX('Techniciens'!$F$5:$F$44,MATCH(O490,'Techniciens'!$B$5:$B$44,0)),'Paramètres'!$AA$10))</f>
        <v/>
      </c>
      <c r="V490" s="70">
        <f>IF($A490="","",IF(OR(AC490="Demandé",AC490="Planifié",AC490="Annulé"),0,N(T490)*N(U490)))</f>
        <v/>
      </c>
      <c r="W490" s="70">
        <f>IF($A490="","",SUMIFS('Mouvements stock'!$H$5:$H$3004,'Mouvements stock'!$I$5:$I$3004,$A490,'Mouvements stock'!$C$5:$C$3004,"Sortie")-SUMIFS('Mouvements stock'!$H$5:$H$3004,'Mouvements stock'!$I$5:$I$3004,$A490,'Mouvements stock'!$C$5:$C$3004,"Retour"))</f>
        <v/>
      </c>
      <c r="X490" s="66" t="n">
        <v>0</v>
      </c>
      <c r="Y490" s="66" t="n">
        <v>0</v>
      </c>
      <c r="Z490" s="7" t="n"/>
      <c r="AA490" s="70">
        <f>IF($A490="","",N(V490)+N(W490)+N(X490)+N(Y490))</f>
        <v/>
      </c>
      <c r="AB490" s="70">
        <f>IF($A490="","",N(S490)*'Paramètres'!$AA$9*IFERROR(INDEX('Paramètres'!$O$5:$O$7,MATCH(G490,'Paramètres'!$N$5:$N$7,0)),0))</f>
        <v/>
      </c>
      <c r="AC490" s="7" t="inlineStr">
        <is>
          <t>Clôturé</t>
        </is>
      </c>
      <c r="AD490" s="69">
        <f>IF(OR($A490="",Q490=""),"",(Q490-B490)*24)</f>
        <v/>
      </c>
      <c r="AE490" s="69">
        <f>IF(OR(Q490="",R490=""),"",(R490-Q490)*24)</f>
        <v/>
      </c>
      <c r="AF490" s="77">
        <f>IF(OR($A490="",B490=""),"",YEAR(B490))</f>
        <v/>
      </c>
      <c r="AG490" s="77">
        <f>IF(OR($A490="",B490=""),"",MONTH(B490))</f>
        <v/>
      </c>
    </row>
    <row r="491">
      <c r="A491" s="7" t="inlineStr">
        <is>
          <t>OT-2025-0487</t>
        </is>
      </c>
      <c r="B491" s="75" t="n">
        <v>45874.45138888889</v>
      </c>
      <c r="C491" s="7" t="inlineStr">
        <is>
          <t>Plan préventif</t>
        </is>
      </c>
      <c r="D491" s="7" t="inlineStr">
        <is>
          <t>EQ-LOG-007</t>
        </is>
      </c>
      <c r="E491" s="9">
        <f>IF(D491="","",IFERROR(INDEX('Équipements'!$B$5:$B$304,MATCH(D491,'Équipements'!$A$5:$A$304,0)),"Code inconnu"))</f>
        <v/>
      </c>
      <c r="F491" s="9">
        <f>IF(D491="","",IFERROR(INDEX('Équipements'!$D$5:$D$304,MATCH(D491,'Équipements'!$A$5:$A$304,0)),""))</f>
        <v/>
      </c>
      <c r="G491" s="9">
        <f>IF(D491="","",IFERROR(INDEX('Équipements'!$K$5:$K$304,MATCH(D491,'Équipements'!$A$5:$A$304,0)),""))</f>
        <v/>
      </c>
      <c r="H491" s="7" t="inlineStr">
        <is>
          <t>Préventif systématique</t>
        </is>
      </c>
      <c r="I491" s="7" t="inlineStr">
        <is>
          <t>GP-117</t>
        </is>
      </c>
      <c r="J491" s="7" t="inlineStr">
        <is>
          <t>Mécanique</t>
        </is>
      </c>
      <c r="K491" s="7" t="inlineStr">
        <is>
          <t>P3 - Normale</t>
        </is>
      </c>
      <c r="L491" s="7" t="inlineStr">
        <is>
          <t>Contrôle câbles, crochets, freins et fins de course</t>
        </is>
      </c>
      <c r="M491" s="7" t="n"/>
      <c r="N491" s="7" t="inlineStr">
        <is>
          <t>Gamme réalisée - RAS</t>
        </is>
      </c>
      <c r="O491" s="7" t="inlineStr">
        <is>
          <t>Karim Benali</t>
        </is>
      </c>
      <c r="P491" s="65" t="n">
        <v>45881.4375</v>
      </c>
      <c r="Q491" s="75" t="n">
        <v>45881.375</v>
      </c>
      <c r="R491" s="75" t="n">
        <v>45881.47916666666</v>
      </c>
      <c r="S491" s="76" t="n">
        <v>2.5</v>
      </c>
      <c r="T491" s="76" t="n">
        <v>2.5</v>
      </c>
      <c r="U491" s="70">
        <f>IF($A491="","",IFERROR(INDEX('Techniciens'!$F$5:$F$44,MATCH(O491,'Techniciens'!$B$5:$B$44,0)),'Paramètres'!$AA$10))</f>
        <v/>
      </c>
      <c r="V491" s="70">
        <f>IF($A491="","",IF(OR(AC491="Demandé",AC491="Planifié",AC491="Annulé"),0,N(T491)*N(U491)))</f>
        <v/>
      </c>
      <c r="W491" s="70">
        <f>IF($A491="","",SUMIFS('Mouvements stock'!$H$5:$H$3004,'Mouvements stock'!$I$5:$I$3004,$A491,'Mouvements stock'!$C$5:$C$3004,"Sortie")-SUMIFS('Mouvements stock'!$H$5:$H$3004,'Mouvements stock'!$I$5:$I$3004,$A491,'Mouvements stock'!$C$5:$C$3004,"Retour"))</f>
        <v/>
      </c>
      <c r="X491" s="66" t="n">
        <v>0</v>
      </c>
      <c r="Y491" s="66" t="n">
        <v>0</v>
      </c>
      <c r="Z491" s="7" t="n"/>
      <c r="AA491" s="70">
        <f>IF($A491="","",N(V491)+N(W491)+N(X491)+N(Y491))</f>
        <v/>
      </c>
      <c r="AB491" s="70">
        <f>IF($A491="","",N(S491)*'Paramètres'!$AA$9*IFERROR(INDEX('Paramètres'!$O$5:$O$7,MATCH(G491,'Paramètres'!$N$5:$N$7,0)),0))</f>
        <v/>
      </c>
      <c r="AC491" s="7" t="inlineStr">
        <is>
          <t>Clôturé</t>
        </is>
      </c>
      <c r="AD491" s="69">
        <f>IF(OR($A491="",Q491=""),"",(Q491-B491)*24)</f>
        <v/>
      </c>
      <c r="AE491" s="69">
        <f>IF(OR(Q491="",R491=""),"",(R491-Q491)*24)</f>
        <v/>
      </c>
      <c r="AF491" s="77">
        <f>IF(OR($A491="",B491=""),"",YEAR(B491))</f>
        <v/>
      </c>
      <c r="AG491" s="77">
        <f>IF(OR($A491="",B491=""),"",MONTH(B491))</f>
        <v/>
      </c>
    </row>
    <row r="492">
      <c r="A492" s="7" t="inlineStr">
        <is>
          <t>OT-2025-0488</t>
        </is>
      </c>
      <c r="B492" s="75" t="n">
        <v>45874.46319444444</v>
      </c>
      <c r="C492" s="7" t="inlineStr">
        <is>
          <t>Éric Laurent (chef d'atelier)</t>
        </is>
      </c>
      <c r="D492" s="7" t="inlineStr">
        <is>
          <t>EQ-USI-002</t>
        </is>
      </c>
      <c r="E492" s="9">
        <f>IF(D492="","",IFERROR(INDEX('Équipements'!$B$5:$B$304,MATCH(D492,'Équipements'!$A$5:$A$304,0)),"Code inconnu"))</f>
        <v/>
      </c>
      <c r="F492" s="9">
        <f>IF(D492="","",IFERROR(INDEX('Équipements'!$D$5:$D$304,MATCH(D492,'Équipements'!$A$5:$A$304,0)),""))</f>
        <v/>
      </c>
      <c r="G492" s="9">
        <f>IF(D492="","",IFERROR(INDEX('Équipements'!$K$5:$K$304,MATCH(D492,'Équipements'!$A$5:$A$304,0)),""))</f>
        <v/>
      </c>
      <c r="H492" s="7" t="inlineStr">
        <is>
          <t>Correctif</t>
        </is>
      </c>
      <c r="I492" s="7" t="n"/>
      <c r="J492" s="7" t="inlineStr">
        <is>
          <t>Mécanique</t>
        </is>
      </c>
      <c r="K492" s="7" t="inlineStr">
        <is>
          <t>P1 - Urgent</t>
        </is>
      </c>
      <c r="L492" s="7" t="inlineStr">
        <is>
          <t>Alarme surchauffe broche</t>
        </is>
      </c>
      <c r="M492" s="7" t="inlineStr">
        <is>
          <t>Défaut lubrification</t>
        </is>
      </c>
      <c r="N492" s="7" t="inlineStr">
        <is>
          <t>Nettoyage circuit de refroidissement broche, appoint huile, contrôle groupe froid</t>
        </is>
      </c>
      <c r="O492" s="7" t="inlineStr">
        <is>
          <t>Karim Benali</t>
        </is>
      </c>
      <c r="P492" s="65" t="n"/>
      <c r="Q492" s="75" t="n">
        <v>45874.47083333333</v>
      </c>
      <c r="R492" s="75" t="n">
        <v>45874.65833333333</v>
      </c>
      <c r="S492" s="76" t="n">
        <v>4.7</v>
      </c>
      <c r="T492" s="76" t="n">
        <v>4.5</v>
      </c>
      <c r="U492" s="70">
        <f>IF($A492="","",IFERROR(INDEX('Techniciens'!$F$5:$F$44,MATCH(O492,'Techniciens'!$B$5:$B$44,0)),'Paramètres'!$AA$10))</f>
        <v/>
      </c>
      <c r="V492" s="70">
        <f>IF($A492="","",IF(OR(AC492="Demandé",AC492="Planifié",AC492="Annulé"),0,N(T492)*N(U492)))</f>
        <v/>
      </c>
      <c r="W492" s="70">
        <f>IF($A492="","",SUMIFS('Mouvements stock'!$H$5:$H$3004,'Mouvements stock'!$I$5:$I$3004,$A492,'Mouvements stock'!$C$5:$C$3004,"Sortie")-SUMIFS('Mouvements stock'!$H$5:$H$3004,'Mouvements stock'!$I$5:$I$3004,$A492,'Mouvements stock'!$C$5:$C$3004,"Retour"))</f>
        <v/>
      </c>
      <c r="X492" s="66" t="n">
        <v>0</v>
      </c>
      <c r="Y492" s="66" t="n">
        <v>0</v>
      </c>
      <c r="Z492" s="7" t="n"/>
      <c r="AA492" s="70">
        <f>IF($A492="","",N(V492)+N(W492)+N(X492)+N(Y492))</f>
        <v/>
      </c>
      <c r="AB492" s="70">
        <f>IF($A492="","",N(S492)*'Paramètres'!$AA$9*IFERROR(INDEX('Paramètres'!$O$5:$O$7,MATCH(G492,'Paramètres'!$N$5:$N$7,0)),0))</f>
        <v/>
      </c>
      <c r="AC492" s="7" t="inlineStr">
        <is>
          <t>Clôturé</t>
        </is>
      </c>
      <c r="AD492" s="69">
        <f>IF(OR($A492="",Q492=""),"",(Q492-B492)*24)</f>
        <v/>
      </c>
      <c r="AE492" s="69">
        <f>IF(OR(Q492="",R492=""),"",(R492-Q492)*24)</f>
        <v/>
      </c>
      <c r="AF492" s="77">
        <f>IF(OR($A492="",B492=""),"",YEAR(B492))</f>
        <v/>
      </c>
      <c r="AG492" s="77">
        <f>IF(OR($A492="",B492=""),"",MONTH(B492))</f>
        <v/>
      </c>
    </row>
    <row r="493">
      <c r="A493" s="7" t="inlineStr">
        <is>
          <t>OT-2025-0489</t>
        </is>
      </c>
      <c r="B493" s="75" t="n">
        <v>45875.34375</v>
      </c>
      <c r="C493" s="7" t="inlineStr">
        <is>
          <t>Plan préventif</t>
        </is>
      </c>
      <c r="D493" s="7" t="inlineStr">
        <is>
          <t>EQ-UTI-003</t>
        </is>
      </c>
      <c r="E493" s="9">
        <f>IF(D493="","",IFERROR(INDEX('Équipements'!$B$5:$B$304,MATCH(D493,'Équipements'!$A$5:$A$304,0)),"Code inconnu"))</f>
        <v/>
      </c>
      <c r="F493" s="9">
        <f>IF(D493="","",IFERROR(INDEX('Équipements'!$D$5:$D$304,MATCH(D493,'Équipements'!$A$5:$A$304,0)),""))</f>
        <v/>
      </c>
      <c r="G493" s="9">
        <f>IF(D493="","",IFERROR(INDEX('Équipements'!$K$5:$K$304,MATCH(D493,'Équipements'!$A$5:$A$304,0)),""))</f>
        <v/>
      </c>
      <c r="H493" s="7" t="inlineStr">
        <is>
          <t>Préventif systématique</t>
        </is>
      </c>
      <c r="I493" s="7" t="inlineStr">
        <is>
          <t>GP-092</t>
        </is>
      </c>
      <c r="J493" s="7" t="inlineStr">
        <is>
          <t>Pneumatique</t>
        </is>
      </c>
      <c r="K493" s="7" t="inlineStr">
        <is>
          <t>P3 - Normale</t>
        </is>
      </c>
      <c r="L493" s="7" t="inlineStr">
        <is>
          <t>Purge, contrôle fuites et point de rosée</t>
        </is>
      </c>
      <c r="M493" s="7" t="n"/>
      <c r="N493" s="7" t="inlineStr">
        <is>
          <t>Gamme réalisée - RAS</t>
        </is>
      </c>
      <c r="O493" s="7" t="inlineStr">
        <is>
          <t>Julien Moreau</t>
        </is>
      </c>
      <c r="P493" s="65" t="n">
        <v>45882.5625</v>
      </c>
      <c r="Q493" s="75" t="n">
        <v>45882.40972222222</v>
      </c>
      <c r="R493" s="75" t="n">
        <v>45882.48263888889</v>
      </c>
      <c r="S493" s="76" t="n">
        <v>0</v>
      </c>
      <c r="T493" s="76" t="n">
        <v>1.75</v>
      </c>
      <c r="U493" s="70">
        <f>IF($A493="","",IFERROR(INDEX('Techniciens'!$F$5:$F$44,MATCH(O493,'Techniciens'!$B$5:$B$44,0)),'Paramètres'!$AA$10))</f>
        <v/>
      </c>
      <c r="V493" s="70">
        <f>IF($A493="","",IF(OR(AC493="Demandé",AC493="Planifié",AC493="Annulé"),0,N(T493)*N(U493)))</f>
        <v/>
      </c>
      <c r="W493" s="70">
        <f>IF($A493="","",SUMIFS('Mouvements stock'!$H$5:$H$3004,'Mouvements stock'!$I$5:$I$3004,$A493,'Mouvements stock'!$C$5:$C$3004,"Sortie")-SUMIFS('Mouvements stock'!$H$5:$H$3004,'Mouvements stock'!$I$5:$I$3004,$A493,'Mouvements stock'!$C$5:$C$3004,"Retour"))</f>
        <v/>
      </c>
      <c r="X493" s="66" t="n">
        <v>0</v>
      </c>
      <c r="Y493" s="66" t="n">
        <v>0</v>
      </c>
      <c r="Z493" s="7" t="n"/>
      <c r="AA493" s="70">
        <f>IF($A493="","",N(V493)+N(W493)+N(X493)+N(Y493))</f>
        <v/>
      </c>
      <c r="AB493" s="70">
        <f>IF($A493="","",N(S493)*'Paramètres'!$AA$9*IFERROR(INDEX('Paramètres'!$O$5:$O$7,MATCH(G493,'Paramètres'!$N$5:$N$7,0)),0))</f>
        <v/>
      </c>
      <c r="AC493" s="7" t="inlineStr">
        <is>
          <t>Clôturé</t>
        </is>
      </c>
      <c r="AD493" s="69">
        <f>IF(OR($A493="",Q493=""),"",(Q493-B493)*24)</f>
        <v/>
      </c>
      <c r="AE493" s="69">
        <f>IF(OR(Q493="",R493=""),"",(R493-Q493)*24)</f>
        <v/>
      </c>
      <c r="AF493" s="77">
        <f>IF(OR($A493="",B493=""),"",YEAR(B493))</f>
        <v/>
      </c>
      <c r="AG493" s="77">
        <f>IF(OR($A493="",B493=""),"",MONTH(B493))</f>
        <v/>
      </c>
    </row>
    <row r="494">
      <c r="A494" s="7" t="inlineStr">
        <is>
          <t>OT-2025-0490</t>
        </is>
      </c>
      <c r="B494" s="75" t="n">
        <v>45876.41666666666</v>
      </c>
      <c r="C494" s="7" t="inlineStr">
        <is>
          <t>Plan préventif</t>
        </is>
      </c>
      <c r="D494" s="7" t="inlineStr">
        <is>
          <t>EQ-TOL-005</t>
        </is>
      </c>
      <c r="E494" s="9">
        <f>IF(D494="","",IFERROR(INDEX('Équipements'!$B$5:$B$304,MATCH(D494,'Équipements'!$A$5:$A$304,0)),"Code inconnu"))</f>
        <v/>
      </c>
      <c r="F494" s="9">
        <f>IF(D494="","",IFERROR(INDEX('Équipements'!$D$5:$D$304,MATCH(D494,'Équipements'!$A$5:$A$304,0)),""))</f>
        <v/>
      </c>
      <c r="G494" s="9">
        <f>IF(D494="","",IFERROR(INDEX('Équipements'!$K$5:$K$304,MATCH(D494,'Équipements'!$A$5:$A$304,0)),""))</f>
        <v/>
      </c>
      <c r="H494" s="7" t="inlineStr">
        <is>
          <t>Préventif systématique</t>
        </is>
      </c>
      <c r="I494" s="7" t="inlineStr">
        <is>
          <t>GP-050</t>
        </is>
      </c>
      <c r="J494" s="7" t="inlineStr">
        <is>
          <t>Hydraulique</t>
        </is>
      </c>
      <c r="K494" s="7" t="inlineStr">
        <is>
          <t>P3 - Normale</t>
        </is>
      </c>
      <c r="L494" s="7" t="inlineStr">
        <is>
          <t>Contrôle hydraulique : fuites, niveaux, pressions</t>
        </is>
      </c>
      <c r="M494" s="7" t="n"/>
      <c r="N494" s="7" t="inlineStr">
        <is>
          <t>Gamme réalisée - RAS</t>
        </is>
      </c>
      <c r="O494" s="7" t="inlineStr">
        <is>
          <t>Antoine Mercier</t>
        </is>
      </c>
      <c r="P494" s="65" t="n">
        <v>45883.37152777778</v>
      </c>
      <c r="Q494" s="75" t="n">
        <v>45883.51041666666</v>
      </c>
      <c r="R494" s="75" t="n">
        <v>45883.61458333334</v>
      </c>
      <c r="S494" s="76" t="n">
        <v>0</v>
      </c>
      <c r="T494" s="76" t="n">
        <v>2.5</v>
      </c>
      <c r="U494" s="70">
        <f>IF($A494="","",IFERROR(INDEX('Techniciens'!$F$5:$F$44,MATCH(O494,'Techniciens'!$B$5:$B$44,0)),'Paramètres'!$AA$10))</f>
        <v/>
      </c>
      <c r="V494" s="70">
        <f>IF($A494="","",IF(OR(AC494="Demandé",AC494="Planifié",AC494="Annulé"),0,N(T494)*N(U494)))</f>
        <v/>
      </c>
      <c r="W494" s="70">
        <f>IF($A494="","",SUMIFS('Mouvements stock'!$H$5:$H$3004,'Mouvements stock'!$I$5:$I$3004,$A494,'Mouvements stock'!$C$5:$C$3004,"Sortie")-SUMIFS('Mouvements stock'!$H$5:$H$3004,'Mouvements stock'!$I$5:$I$3004,$A494,'Mouvements stock'!$C$5:$C$3004,"Retour"))</f>
        <v/>
      </c>
      <c r="X494" s="66" t="n">
        <v>0</v>
      </c>
      <c r="Y494" s="66" t="n">
        <v>0</v>
      </c>
      <c r="Z494" s="7" t="n"/>
      <c r="AA494" s="70">
        <f>IF($A494="","",N(V494)+N(W494)+N(X494)+N(Y494))</f>
        <v/>
      </c>
      <c r="AB494" s="70">
        <f>IF($A494="","",N(S494)*'Paramètres'!$AA$9*IFERROR(INDEX('Paramètres'!$O$5:$O$7,MATCH(G494,'Paramètres'!$N$5:$N$7,0)),0))</f>
        <v/>
      </c>
      <c r="AC494" s="7" t="inlineStr">
        <is>
          <t>Clôturé</t>
        </is>
      </c>
      <c r="AD494" s="69">
        <f>IF(OR($A494="",Q494=""),"",(Q494-B494)*24)</f>
        <v/>
      </c>
      <c r="AE494" s="69">
        <f>IF(OR(Q494="",R494=""),"",(R494-Q494)*24)</f>
        <v/>
      </c>
      <c r="AF494" s="77">
        <f>IF(OR($A494="",B494=""),"",YEAR(B494))</f>
        <v/>
      </c>
      <c r="AG494" s="77">
        <f>IF(OR($A494="",B494=""),"",MONTH(B494))</f>
        <v/>
      </c>
    </row>
    <row r="495">
      <c r="A495" s="7" t="inlineStr">
        <is>
          <t>OT-2025-0491</t>
        </is>
      </c>
      <c r="B495" s="75" t="n">
        <v>45876.48611111111</v>
      </c>
      <c r="C495" s="7" t="inlineStr">
        <is>
          <t>Plan préventif</t>
        </is>
      </c>
      <c r="D495" s="7" t="inlineStr">
        <is>
          <t>EQ-BAT-001</t>
        </is>
      </c>
      <c r="E495" s="9">
        <f>IF(D495="","",IFERROR(INDEX('Équipements'!$B$5:$B$304,MATCH(D495,'Équipements'!$A$5:$A$304,0)),"Code inconnu"))</f>
        <v/>
      </c>
      <c r="F495" s="9">
        <f>IF(D495="","",IFERROR(INDEX('Équipements'!$D$5:$D$304,MATCH(D495,'Équipements'!$A$5:$A$304,0)),""))</f>
        <v/>
      </c>
      <c r="G495" s="9">
        <f>IF(D495="","",IFERROR(INDEX('Équipements'!$K$5:$K$304,MATCH(D495,'Équipements'!$A$5:$A$304,0)),""))</f>
        <v/>
      </c>
      <c r="H495" s="7" t="inlineStr">
        <is>
          <t>Préventif systématique</t>
        </is>
      </c>
      <c r="I495" s="7" t="inlineStr">
        <is>
          <t>GP-122</t>
        </is>
      </c>
      <c r="J495" s="7" t="inlineStr">
        <is>
          <t>Bâtiment</t>
        </is>
      </c>
      <c r="K495" s="7" t="inlineStr">
        <is>
          <t>P3 - Normale</t>
        </is>
      </c>
      <c r="L495" s="7" t="inlineStr">
        <is>
          <t>Graissage et contrôle des sécurités</t>
        </is>
      </c>
      <c r="M495" s="7" t="n"/>
      <c r="N495" s="7" t="inlineStr">
        <is>
          <t>Gamme réalisée - RAS</t>
        </is>
      </c>
      <c r="O495" s="7" t="inlineStr">
        <is>
          <t>Karim Benali</t>
        </is>
      </c>
      <c r="P495" s="65" t="n">
        <v>45883.54861111111</v>
      </c>
      <c r="Q495" s="75" t="n">
        <v>45883.38888888889</v>
      </c>
      <c r="R495" s="75" t="n">
        <v>45883.45138888889</v>
      </c>
      <c r="S495" s="76" t="n">
        <v>0</v>
      </c>
      <c r="T495" s="76" t="n">
        <v>1.5</v>
      </c>
      <c r="U495" s="70">
        <f>IF($A495="","",IFERROR(INDEX('Techniciens'!$F$5:$F$44,MATCH(O495,'Techniciens'!$B$5:$B$44,0)),'Paramètres'!$AA$10))</f>
        <v/>
      </c>
      <c r="V495" s="70">
        <f>IF($A495="","",IF(OR(AC495="Demandé",AC495="Planifié",AC495="Annulé"),0,N(T495)*N(U495)))</f>
        <v/>
      </c>
      <c r="W495" s="70">
        <f>IF($A495="","",SUMIFS('Mouvements stock'!$H$5:$H$3004,'Mouvements stock'!$I$5:$I$3004,$A495,'Mouvements stock'!$C$5:$C$3004,"Sortie")-SUMIFS('Mouvements stock'!$H$5:$H$3004,'Mouvements stock'!$I$5:$I$3004,$A495,'Mouvements stock'!$C$5:$C$3004,"Retour"))</f>
        <v/>
      </c>
      <c r="X495" s="66" t="n">
        <v>0</v>
      </c>
      <c r="Y495" s="66" t="n">
        <v>0</v>
      </c>
      <c r="Z495" s="7" t="n"/>
      <c r="AA495" s="70">
        <f>IF($A495="","",N(V495)+N(W495)+N(X495)+N(Y495))</f>
        <v/>
      </c>
      <c r="AB495" s="70">
        <f>IF($A495="","",N(S495)*'Paramètres'!$AA$9*IFERROR(INDEX('Paramètres'!$O$5:$O$7,MATCH(G495,'Paramètres'!$N$5:$N$7,0)),0))</f>
        <v/>
      </c>
      <c r="AC495" s="7" t="inlineStr">
        <is>
          <t>Clôturé</t>
        </is>
      </c>
      <c r="AD495" s="69">
        <f>IF(OR($A495="",Q495=""),"",(Q495-B495)*24)</f>
        <v/>
      </c>
      <c r="AE495" s="69">
        <f>IF(OR(Q495="",R495=""),"",(R495-Q495)*24)</f>
        <v/>
      </c>
      <c r="AF495" s="77">
        <f>IF(OR($A495="",B495=""),"",YEAR(B495))</f>
        <v/>
      </c>
      <c r="AG495" s="77">
        <f>IF(OR($A495="",B495=""),"",MONTH(B495))</f>
        <v/>
      </c>
    </row>
    <row r="496">
      <c r="A496" s="7" t="inlineStr">
        <is>
          <t>OT-2025-0492</t>
        </is>
      </c>
      <c r="B496" s="75" t="n">
        <v>45876.77916666667</v>
      </c>
      <c r="C496" s="7" t="inlineStr">
        <is>
          <t>Éric Laurent (chef d'atelier)</t>
        </is>
      </c>
      <c r="D496" s="7" t="inlineStr">
        <is>
          <t>EQ-USI-002</t>
        </is>
      </c>
      <c r="E496" s="9">
        <f>IF(D496="","",IFERROR(INDEX('Équipements'!$B$5:$B$304,MATCH(D496,'Équipements'!$A$5:$A$304,0)),"Code inconnu"))</f>
        <v/>
      </c>
      <c r="F496" s="9">
        <f>IF(D496="","",IFERROR(INDEX('Équipements'!$D$5:$D$304,MATCH(D496,'Équipements'!$A$5:$A$304,0)),""))</f>
        <v/>
      </c>
      <c r="G496" s="9">
        <f>IF(D496="","",IFERROR(INDEX('Équipements'!$K$5:$K$304,MATCH(D496,'Équipements'!$A$5:$A$304,0)),""))</f>
        <v/>
      </c>
      <c r="H496" s="7" t="inlineStr">
        <is>
          <t>Correctif</t>
        </is>
      </c>
      <c r="I496" s="7" t="n"/>
      <c r="J496" s="7" t="inlineStr">
        <is>
          <t>Mécanique</t>
        </is>
      </c>
      <c r="K496" s="7" t="inlineStr">
        <is>
          <t>P2 - Haute</t>
        </is>
      </c>
      <c r="L496" s="7" t="inlineStr">
        <is>
          <t>Broche bruyante / vibrations anormales</t>
        </is>
      </c>
      <c r="M496" s="7" t="inlineStr">
        <is>
          <t>Usure</t>
        </is>
      </c>
      <c r="N496" s="7" t="inlineStr">
        <is>
          <t>Analyse vibratoire puis remplacement roulements de broche</t>
        </is>
      </c>
      <c r="O496" s="7" t="inlineStr">
        <is>
          <t>Lucas Fontaine</t>
        </is>
      </c>
      <c r="P496" s="65" t="n"/>
      <c r="Q496" s="75" t="n">
        <v>45877.02361111111</v>
      </c>
      <c r="R496" s="75" t="n">
        <v>45877.59652777778</v>
      </c>
      <c r="S496" s="76" t="n">
        <v>0</v>
      </c>
      <c r="T496" s="76" t="n">
        <v>13.75</v>
      </c>
      <c r="U496" s="70">
        <f>IF($A496="","",IFERROR(INDEX('Techniciens'!$F$5:$F$44,MATCH(O496,'Techniciens'!$B$5:$B$44,0)),'Paramètres'!$AA$10))</f>
        <v/>
      </c>
      <c r="V496" s="70">
        <f>IF($A496="","",IF(OR(AC496="Demandé",AC496="Planifié",AC496="Annulé"),0,N(T496)*N(U496)))</f>
        <v/>
      </c>
      <c r="W496" s="70">
        <f>IF($A496="","",SUMIFS('Mouvements stock'!$H$5:$H$3004,'Mouvements stock'!$I$5:$I$3004,$A496,'Mouvements stock'!$C$5:$C$3004,"Sortie")-SUMIFS('Mouvements stock'!$H$5:$H$3004,'Mouvements stock'!$I$5:$I$3004,$A496,'Mouvements stock'!$C$5:$C$3004,"Retour"))</f>
        <v/>
      </c>
      <c r="X496" s="66" t="n">
        <v>0</v>
      </c>
      <c r="Y496" s="66" t="n">
        <v>890</v>
      </c>
      <c r="Z496" s="7" t="inlineStr">
        <is>
          <t>SAV Machines-Outils Atlantique</t>
        </is>
      </c>
      <c r="AA496" s="70">
        <f>IF($A496="","",N(V496)+N(W496)+N(X496)+N(Y496))</f>
        <v/>
      </c>
      <c r="AB496" s="70">
        <f>IF($A496="","",N(S496)*'Paramètres'!$AA$9*IFERROR(INDEX('Paramètres'!$O$5:$O$7,MATCH(G496,'Paramètres'!$N$5:$N$7,0)),0))</f>
        <v/>
      </c>
      <c r="AC496" s="7" t="inlineStr">
        <is>
          <t>Clôturé</t>
        </is>
      </c>
      <c r="AD496" s="69">
        <f>IF(OR($A496="",Q496=""),"",(Q496-B496)*24)</f>
        <v/>
      </c>
      <c r="AE496" s="69">
        <f>IF(OR(Q496="",R496=""),"",(R496-Q496)*24)</f>
        <v/>
      </c>
      <c r="AF496" s="77">
        <f>IF(OR($A496="",B496=""),"",YEAR(B496))</f>
        <v/>
      </c>
      <c r="AG496" s="77">
        <f>IF(OR($A496="",B496=""),"",MONTH(B496))</f>
        <v/>
      </c>
    </row>
    <row r="497">
      <c r="A497" s="7" t="inlineStr">
        <is>
          <t>OT-2025-0493</t>
        </is>
      </c>
      <c r="B497" s="75" t="n">
        <v>45877.47847222222</v>
      </c>
      <c r="C497" s="7" t="inlineStr">
        <is>
          <t>Paul Roux (chef d'atelier)</t>
        </is>
      </c>
      <c r="D497" s="7" t="inlineStr">
        <is>
          <t>EQ-ASS-002</t>
        </is>
      </c>
      <c r="E497" s="9">
        <f>IF(D497="","",IFERROR(INDEX('Équipements'!$B$5:$B$304,MATCH(D497,'Équipements'!$A$5:$A$304,0)),"Code inconnu"))</f>
        <v/>
      </c>
      <c r="F497" s="9">
        <f>IF(D497="","",IFERROR(INDEX('Équipements'!$D$5:$D$304,MATCH(D497,'Équipements'!$A$5:$A$304,0)),""))</f>
        <v/>
      </c>
      <c r="G497" s="9">
        <f>IF(D497="","",IFERROR(INDEX('Équipements'!$K$5:$K$304,MATCH(D497,'Équipements'!$A$5:$A$304,0)),""))</f>
        <v/>
      </c>
      <c r="H497" s="7" t="inlineStr">
        <is>
          <t>Correctif</t>
        </is>
      </c>
      <c r="I497" s="7" t="n"/>
      <c r="J497" s="7" t="inlineStr">
        <is>
          <t>Hydraulique</t>
        </is>
      </c>
      <c r="K497" s="7" t="inlineStr">
        <is>
          <t>P3 - Normale</t>
        </is>
      </c>
      <c r="L497" s="7" t="inlineStr">
        <is>
          <t>Pompe hydraulique bruyante</t>
        </is>
      </c>
      <c r="M497" s="7" t="inlineStr">
        <is>
          <t>Cause inconnue</t>
        </is>
      </c>
      <c r="N497" s="7" t="inlineStr">
        <is>
          <t>Remplacement accouplement, contrôle débit pompe</t>
        </is>
      </c>
      <c r="O497" s="7" t="inlineStr">
        <is>
          <t>Antoine Mercier</t>
        </is>
      </c>
      <c r="P497" s="65" t="n"/>
      <c r="Q497" s="75" t="n">
        <v>45877.87430555555</v>
      </c>
      <c r="R497" s="75" t="n">
        <v>45879.32465451593</v>
      </c>
      <c r="S497" s="76" t="n">
        <v>0</v>
      </c>
      <c r="T497" s="76" t="n">
        <v>6.5</v>
      </c>
      <c r="U497" s="70">
        <f>IF($A497="","",IFERROR(INDEX('Techniciens'!$F$5:$F$44,MATCH(O497,'Techniciens'!$B$5:$B$44,0)),'Paramètres'!$AA$10))</f>
        <v/>
      </c>
      <c r="V497" s="70">
        <f>IF($A497="","",IF(OR(AC497="Demandé",AC497="Planifié",AC497="Annulé"),0,N(T497)*N(U497)))</f>
        <v/>
      </c>
      <c r="W497" s="70">
        <f>IF($A497="","",SUMIFS('Mouvements stock'!$H$5:$H$3004,'Mouvements stock'!$I$5:$I$3004,$A497,'Mouvements stock'!$C$5:$C$3004,"Sortie")-SUMIFS('Mouvements stock'!$H$5:$H$3004,'Mouvements stock'!$I$5:$I$3004,$A497,'Mouvements stock'!$C$5:$C$3004,"Retour"))</f>
        <v/>
      </c>
      <c r="X497" s="66" t="n">
        <v>0</v>
      </c>
      <c r="Y497" s="66" t="n">
        <v>0</v>
      </c>
      <c r="Z497" s="7" t="n"/>
      <c r="AA497" s="70">
        <f>IF($A497="","",N(V497)+N(W497)+N(X497)+N(Y497))</f>
        <v/>
      </c>
      <c r="AB497" s="70">
        <f>IF($A497="","",N(S497)*'Paramètres'!$AA$9*IFERROR(INDEX('Paramètres'!$O$5:$O$7,MATCH(G497,'Paramètres'!$N$5:$N$7,0)),0))</f>
        <v/>
      </c>
      <c r="AC497" s="7" t="inlineStr">
        <is>
          <t>Clôturé</t>
        </is>
      </c>
      <c r="AD497" s="69">
        <f>IF(OR($A497="",Q497=""),"",(Q497-B497)*24)</f>
        <v/>
      </c>
      <c r="AE497" s="69">
        <f>IF(OR(Q497="",R497=""),"",(R497-Q497)*24)</f>
        <v/>
      </c>
      <c r="AF497" s="77">
        <f>IF(OR($A497="",B497=""),"",YEAR(B497))</f>
        <v/>
      </c>
      <c r="AG497" s="77">
        <f>IF(OR($A497="",B497=""),"",MONTH(B497))</f>
        <v/>
      </c>
    </row>
    <row r="498">
      <c r="A498" s="7" t="inlineStr">
        <is>
          <t>OT-2025-0494</t>
        </is>
      </c>
      <c r="B498" s="75" t="n">
        <v>45880.32083333333</v>
      </c>
      <c r="C498" s="7" t="inlineStr">
        <is>
          <t>Cariste</t>
        </is>
      </c>
      <c r="D498" s="7" t="inlineStr">
        <is>
          <t>EQ-LOG-006</t>
        </is>
      </c>
      <c r="E498" s="9">
        <f>IF(D498="","",IFERROR(INDEX('Équipements'!$B$5:$B$304,MATCH(D498,'Équipements'!$A$5:$A$304,0)),"Code inconnu"))</f>
        <v/>
      </c>
      <c r="F498" s="9">
        <f>IF(D498="","",IFERROR(INDEX('Équipements'!$D$5:$D$304,MATCH(D498,'Équipements'!$A$5:$A$304,0)),""))</f>
        <v/>
      </c>
      <c r="G498" s="9">
        <f>IF(D498="","",IFERROR(INDEX('Équipements'!$K$5:$K$304,MATCH(D498,'Équipements'!$A$5:$A$304,0)),""))</f>
        <v/>
      </c>
      <c r="H498" s="7" t="inlineStr">
        <is>
          <t>Correctif</t>
        </is>
      </c>
      <c r="I498" s="7" t="n"/>
      <c r="J498" s="7" t="inlineStr">
        <is>
          <t>Mécanique</t>
        </is>
      </c>
      <c r="K498" s="7" t="inlineStr">
        <is>
          <t>P3 - Normale</t>
        </is>
      </c>
      <c r="L498" s="7" t="inlineStr">
        <is>
          <t>Câble de levage effiloché (réserve VGP)</t>
        </is>
      </c>
      <c r="M498" s="7" t="inlineStr">
        <is>
          <t>Usure</t>
        </is>
      </c>
      <c r="N498" s="7" t="inlineStr">
        <is>
          <t>Remplacement câble de levage</t>
        </is>
      </c>
      <c r="O498" s="7" t="inlineStr">
        <is>
          <t>Lucas Fontaine</t>
        </is>
      </c>
      <c r="P498" s="65" t="n"/>
      <c r="Q498" s="75" t="n">
        <v>45881.17361111111</v>
      </c>
      <c r="R498" s="75" t="n">
        <v>45881.54861111111</v>
      </c>
      <c r="S498" s="76" t="n">
        <v>9</v>
      </c>
      <c r="T498" s="76" t="n">
        <v>9</v>
      </c>
      <c r="U498" s="70">
        <f>IF($A498="","",IFERROR(INDEX('Techniciens'!$F$5:$F$44,MATCH(O498,'Techniciens'!$B$5:$B$44,0)),'Paramètres'!$AA$10))</f>
        <v/>
      </c>
      <c r="V498" s="70">
        <f>IF($A498="","",IF(OR(AC498="Demandé",AC498="Planifié",AC498="Annulé"),0,N(T498)*N(U498)))</f>
        <v/>
      </c>
      <c r="W498" s="70">
        <f>IF($A498="","",SUMIFS('Mouvements stock'!$H$5:$H$3004,'Mouvements stock'!$I$5:$I$3004,$A498,'Mouvements stock'!$C$5:$C$3004,"Sortie")-SUMIFS('Mouvements stock'!$H$5:$H$3004,'Mouvements stock'!$I$5:$I$3004,$A498,'Mouvements stock'!$C$5:$C$3004,"Retour"))</f>
        <v/>
      </c>
      <c r="X498" s="66" t="n">
        <v>0</v>
      </c>
      <c r="Y498" s="66" t="n">
        <v>0</v>
      </c>
      <c r="Z498" s="7" t="n"/>
      <c r="AA498" s="70">
        <f>IF($A498="","",N(V498)+N(W498)+N(X498)+N(Y498))</f>
        <v/>
      </c>
      <c r="AB498" s="70">
        <f>IF($A498="","",N(S498)*'Paramètres'!$AA$9*IFERROR(INDEX('Paramètres'!$O$5:$O$7,MATCH(G498,'Paramètres'!$N$5:$N$7,0)),0))</f>
        <v/>
      </c>
      <c r="AC498" s="7" t="inlineStr">
        <is>
          <t>Clôturé</t>
        </is>
      </c>
      <c r="AD498" s="69">
        <f>IF(OR($A498="",Q498=""),"",(Q498-B498)*24)</f>
        <v/>
      </c>
      <c r="AE498" s="69">
        <f>IF(OR(Q498="",R498=""),"",(R498-Q498)*24)</f>
        <v/>
      </c>
      <c r="AF498" s="77">
        <f>IF(OR($A498="",B498=""),"",YEAR(B498))</f>
        <v/>
      </c>
      <c r="AG498" s="77">
        <f>IF(OR($A498="",B498=""),"",MONTH(B498))</f>
        <v/>
      </c>
    </row>
    <row r="499">
      <c r="A499" s="7" t="inlineStr">
        <is>
          <t>OT-2025-0495</t>
        </is>
      </c>
      <c r="B499" s="75" t="n">
        <v>45880.34375</v>
      </c>
      <c r="C499" s="7" t="inlineStr">
        <is>
          <t>Plan préventif</t>
        </is>
      </c>
      <c r="D499" s="7" t="inlineStr">
        <is>
          <t>EQ-LOG-001</t>
        </is>
      </c>
      <c r="E499" s="9">
        <f>IF(D499="","",IFERROR(INDEX('Équipements'!$B$5:$B$304,MATCH(D499,'Équipements'!$A$5:$A$304,0)),"Code inconnu"))</f>
        <v/>
      </c>
      <c r="F499" s="9">
        <f>IF(D499="","",IFERROR(INDEX('Équipements'!$D$5:$D$304,MATCH(D499,'Équipements'!$A$5:$A$304,0)),""))</f>
        <v/>
      </c>
      <c r="G499" s="9">
        <f>IF(D499="","",IFERROR(INDEX('Équipements'!$K$5:$K$304,MATCH(D499,'Équipements'!$A$5:$A$304,0)),""))</f>
        <v/>
      </c>
      <c r="H499" s="7" t="inlineStr">
        <is>
          <t>Préventif systématique</t>
        </is>
      </c>
      <c r="I499" s="7" t="inlineStr">
        <is>
          <t>GP-106</t>
        </is>
      </c>
      <c r="J499" s="7" t="inlineStr">
        <is>
          <t>Mécanique</t>
        </is>
      </c>
      <c r="K499" s="7" t="inlineStr">
        <is>
          <t>P3 - Normale</t>
        </is>
      </c>
      <c r="L499" s="7" t="inlineStr">
        <is>
          <t>Contrôle batterie, niveaux et bandages</t>
        </is>
      </c>
      <c r="M499" s="7" t="n"/>
      <c r="N499" s="7" t="inlineStr">
        <is>
          <t>Gamme réalisée - serrages repris</t>
        </is>
      </c>
      <c r="O499" s="7" t="inlineStr">
        <is>
          <t>Lucas Fontaine</t>
        </is>
      </c>
      <c r="P499" s="65" t="n">
        <v>45887.63541666666</v>
      </c>
      <c r="Q499" s="75" t="n">
        <v>45887.28125</v>
      </c>
      <c r="R499" s="75" t="n">
        <v>45887.32291666666</v>
      </c>
      <c r="S499" s="76" t="n">
        <v>0</v>
      </c>
      <c r="T499" s="76" t="n">
        <v>1</v>
      </c>
      <c r="U499" s="70">
        <f>IF($A499="","",IFERROR(INDEX('Techniciens'!$F$5:$F$44,MATCH(O499,'Techniciens'!$B$5:$B$44,0)),'Paramètres'!$AA$10))</f>
        <v/>
      </c>
      <c r="V499" s="70">
        <f>IF($A499="","",IF(OR(AC499="Demandé",AC499="Planifié",AC499="Annulé"),0,N(T499)*N(U499)))</f>
        <v/>
      </c>
      <c r="W499" s="70">
        <f>IF($A499="","",SUMIFS('Mouvements stock'!$H$5:$H$3004,'Mouvements stock'!$I$5:$I$3004,$A499,'Mouvements stock'!$C$5:$C$3004,"Sortie")-SUMIFS('Mouvements stock'!$H$5:$H$3004,'Mouvements stock'!$I$5:$I$3004,$A499,'Mouvements stock'!$C$5:$C$3004,"Retour"))</f>
        <v/>
      </c>
      <c r="X499" s="66" t="n">
        <v>0</v>
      </c>
      <c r="Y499" s="66" t="n">
        <v>0</v>
      </c>
      <c r="Z499" s="7" t="n"/>
      <c r="AA499" s="70">
        <f>IF($A499="","",N(V499)+N(W499)+N(X499)+N(Y499))</f>
        <v/>
      </c>
      <c r="AB499" s="70">
        <f>IF($A499="","",N(S499)*'Paramètres'!$AA$9*IFERROR(INDEX('Paramètres'!$O$5:$O$7,MATCH(G499,'Paramètres'!$N$5:$N$7,0)),0))</f>
        <v/>
      </c>
      <c r="AC499" s="7" t="inlineStr">
        <is>
          <t>Clôturé</t>
        </is>
      </c>
      <c r="AD499" s="69">
        <f>IF(OR($A499="",Q499=""),"",(Q499-B499)*24)</f>
        <v/>
      </c>
      <c r="AE499" s="69">
        <f>IF(OR(Q499="",R499=""),"",(R499-Q499)*24)</f>
        <v/>
      </c>
      <c r="AF499" s="77">
        <f>IF(OR($A499="",B499=""),"",YEAR(B499))</f>
        <v/>
      </c>
      <c r="AG499" s="77">
        <f>IF(OR($A499="",B499=""),"",MONTH(B499))</f>
        <v/>
      </c>
    </row>
    <row r="500">
      <c r="A500" s="7" t="inlineStr">
        <is>
          <t>OT-2025-0496</t>
        </is>
      </c>
      <c r="B500" s="75" t="n">
        <v>45880.38541666666</v>
      </c>
      <c r="C500" s="7" t="inlineStr">
        <is>
          <t>Plan préventif</t>
        </is>
      </c>
      <c r="D500" s="7" t="inlineStr">
        <is>
          <t>EQ-USI-010</t>
        </is>
      </c>
      <c r="E500" s="9">
        <f>IF(D500="","",IFERROR(INDEX('Équipements'!$B$5:$B$304,MATCH(D500,'Équipements'!$A$5:$A$304,0)),"Code inconnu"))</f>
        <v/>
      </c>
      <c r="F500" s="9">
        <f>IF(D500="","",IFERROR(INDEX('Équipements'!$D$5:$D$304,MATCH(D500,'Équipements'!$A$5:$A$304,0)),""))</f>
        <v/>
      </c>
      <c r="G500" s="9">
        <f>IF(D500="","",IFERROR(INDEX('Équipements'!$K$5:$K$304,MATCH(D500,'Équipements'!$A$5:$A$304,0)),""))</f>
        <v/>
      </c>
      <c r="H500" s="7" t="inlineStr">
        <is>
          <t>Préventif systématique</t>
        </is>
      </c>
      <c r="I500" s="7" t="inlineStr">
        <is>
          <t>GP-033</t>
        </is>
      </c>
      <c r="J500" s="7" t="inlineStr">
        <is>
          <t>Mécanique</t>
        </is>
      </c>
      <c r="K500" s="7" t="inlineStr">
        <is>
          <t>P3 - Normale</t>
        </is>
      </c>
      <c r="L500" s="7" t="inlineStr">
        <is>
          <t>Nettoyage et contrôle général</t>
        </is>
      </c>
      <c r="M500" s="7" t="n"/>
      <c r="N500" s="7" t="inlineStr">
        <is>
          <t>Gamme réalisée - RAS</t>
        </is>
      </c>
      <c r="O500" s="7" t="inlineStr">
        <is>
          <t>Antoine Mercier</t>
        </is>
      </c>
      <c r="P500" s="65" t="n">
        <v>45887.28125</v>
      </c>
      <c r="Q500" s="75" t="n">
        <v>45887.49305555555</v>
      </c>
      <c r="R500" s="75" t="n">
        <v>45887.53472222222</v>
      </c>
      <c r="S500" s="76" t="n">
        <v>0</v>
      </c>
      <c r="T500" s="76" t="n">
        <v>1</v>
      </c>
      <c r="U500" s="70">
        <f>IF($A500="","",IFERROR(INDEX('Techniciens'!$F$5:$F$44,MATCH(O500,'Techniciens'!$B$5:$B$44,0)),'Paramètres'!$AA$10))</f>
        <v/>
      </c>
      <c r="V500" s="70">
        <f>IF($A500="","",IF(OR(AC500="Demandé",AC500="Planifié",AC500="Annulé"),0,N(T500)*N(U500)))</f>
        <v/>
      </c>
      <c r="W500" s="70">
        <f>IF($A500="","",SUMIFS('Mouvements stock'!$H$5:$H$3004,'Mouvements stock'!$I$5:$I$3004,$A500,'Mouvements stock'!$C$5:$C$3004,"Sortie")-SUMIFS('Mouvements stock'!$H$5:$H$3004,'Mouvements stock'!$I$5:$I$3004,$A500,'Mouvements stock'!$C$5:$C$3004,"Retour"))</f>
        <v/>
      </c>
      <c r="X500" s="66" t="n">
        <v>0</v>
      </c>
      <c r="Y500" s="66" t="n">
        <v>0</v>
      </c>
      <c r="Z500" s="7" t="n"/>
      <c r="AA500" s="70">
        <f>IF($A500="","",N(V500)+N(W500)+N(X500)+N(Y500))</f>
        <v/>
      </c>
      <c r="AB500" s="70">
        <f>IF($A500="","",N(S500)*'Paramètres'!$AA$9*IFERROR(INDEX('Paramètres'!$O$5:$O$7,MATCH(G500,'Paramètres'!$N$5:$N$7,0)),0))</f>
        <v/>
      </c>
      <c r="AC500" s="7" t="inlineStr">
        <is>
          <t>Clôturé</t>
        </is>
      </c>
      <c r="AD500" s="69">
        <f>IF(OR($A500="",Q500=""),"",(Q500-B500)*24)</f>
        <v/>
      </c>
      <c r="AE500" s="69">
        <f>IF(OR(Q500="",R500=""),"",(R500-Q500)*24)</f>
        <v/>
      </c>
      <c r="AF500" s="77">
        <f>IF(OR($A500="",B500=""),"",YEAR(B500))</f>
        <v/>
      </c>
      <c r="AG500" s="77">
        <f>IF(OR($A500="",B500=""),"",MONTH(B500))</f>
        <v/>
      </c>
    </row>
    <row r="501">
      <c r="A501" s="7" t="inlineStr">
        <is>
          <t>OT-2025-0497</t>
        </is>
      </c>
      <c r="B501" s="75" t="n">
        <v>45880.50694444445</v>
      </c>
      <c r="C501" s="7" t="inlineStr">
        <is>
          <t>Sylvie Mathieu (resp. logistique)</t>
        </is>
      </c>
      <c r="D501" s="7" t="inlineStr">
        <is>
          <t>EQ-LOG-006</t>
        </is>
      </c>
      <c r="E501" s="9">
        <f>IF(D501="","",IFERROR(INDEX('Équipements'!$B$5:$B$304,MATCH(D501,'Équipements'!$A$5:$A$304,0)),"Code inconnu"))</f>
        <v/>
      </c>
      <c r="F501" s="9">
        <f>IF(D501="","",IFERROR(INDEX('Équipements'!$D$5:$D$304,MATCH(D501,'Équipements'!$A$5:$A$304,0)),""))</f>
        <v/>
      </c>
      <c r="G501" s="9">
        <f>IF(D501="","",IFERROR(INDEX('Équipements'!$K$5:$K$304,MATCH(D501,'Équipements'!$A$5:$A$304,0)),""))</f>
        <v/>
      </c>
      <c r="H501" s="7" t="inlineStr">
        <is>
          <t>Correctif</t>
        </is>
      </c>
      <c r="I501" s="7" t="n"/>
      <c r="J501" s="7" t="inlineStr">
        <is>
          <t>Électrique</t>
        </is>
      </c>
      <c r="K501" s="7" t="inlineStr">
        <is>
          <t>P1 - Urgent</t>
        </is>
      </c>
      <c r="L501" s="7" t="inlineStr">
        <is>
          <t>Fin de course de levage HS</t>
        </is>
      </c>
      <c r="M501" s="7" t="inlineStr">
        <is>
          <t>Défaut capteur</t>
        </is>
      </c>
      <c r="N501" s="7" t="inlineStr">
        <is>
          <t>Remplacement fin de course</t>
        </is>
      </c>
      <c r="O501" s="7" t="inlineStr">
        <is>
          <t>Julien Moreau</t>
        </is>
      </c>
      <c r="P501" s="65" t="n"/>
      <c r="Q501" s="75" t="n">
        <v>45880.51597222222</v>
      </c>
      <c r="R501" s="75" t="n">
        <v>45880.63055555556</v>
      </c>
      <c r="S501" s="76" t="n">
        <v>3</v>
      </c>
      <c r="T501" s="76" t="n">
        <v>2.75</v>
      </c>
      <c r="U501" s="70">
        <f>IF($A501="","",IFERROR(INDEX('Techniciens'!$F$5:$F$44,MATCH(O501,'Techniciens'!$B$5:$B$44,0)),'Paramètres'!$AA$10))</f>
        <v/>
      </c>
      <c r="V501" s="70">
        <f>IF($A501="","",IF(OR(AC501="Demandé",AC501="Planifié",AC501="Annulé"),0,N(T501)*N(U501)))</f>
        <v/>
      </c>
      <c r="W501" s="70">
        <f>IF($A501="","",SUMIFS('Mouvements stock'!$H$5:$H$3004,'Mouvements stock'!$I$5:$I$3004,$A501,'Mouvements stock'!$C$5:$C$3004,"Sortie")-SUMIFS('Mouvements stock'!$H$5:$H$3004,'Mouvements stock'!$I$5:$I$3004,$A501,'Mouvements stock'!$C$5:$C$3004,"Retour"))</f>
        <v/>
      </c>
      <c r="X501" s="66" t="n">
        <v>0</v>
      </c>
      <c r="Y501" s="66" t="n">
        <v>0</v>
      </c>
      <c r="Z501" s="7" t="n"/>
      <c r="AA501" s="70">
        <f>IF($A501="","",N(V501)+N(W501)+N(X501)+N(Y501))</f>
        <v/>
      </c>
      <c r="AB501" s="70">
        <f>IF($A501="","",N(S501)*'Paramètres'!$AA$9*IFERROR(INDEX('Paramètres'!$O$5:$O$7,MATCH(G501,'Paramètres'!$N$5:$N$7,0)),0))</f>
        <v/>
      </c>
      <c r="AC501" s="7" t="inlineStr">
        <is>
          <t>Clôturé</t>
        </is>
      </c>
      <c r="AD501" s="69">
        <f>IF(OR($A501="",Q501=""),"",(Q501-B501)*24)</f>
        <v/>
      </c>
      <c r="AE501" s="69">
        <f>IF(OR(Q501="",R501=""),"",(R501-Q501)*24)</f>
        <v/>
      </c>
      <c r="AF501" s="77">
        <f>IF(OR($A501="",B501=""),"",YEAR(B501))</f>
        <v/>
      </c>
      <c r="AG501" s="77">
        <f>IF(OR($A501="",B501=""),"",MONTH(B501))</f>
        <v/>
      </c>
    </row>
    <row r="502">
      <c r="A502" s="7" t="inlineStr">
        <is>
          <t>OT-2025-0498</t>
        </is>
      </c>
      <c r="B502" s="75" t="n">
        <v>45880.53958333333</v>
      </c>
      <c r="C502" s="7" t="inlineStr">
        <is>
          <t>Inès Girard (cheffe d'équipe)</t>
        </is>
      </c>
      <c r="D502" s="7" t="inlineStr">
        <is>
          <t>EQ-PEI-002</t>
        </is>
      </c>
      <c r="E502" s="9">
        <f>IF(D502="","",IFERROR(INDEX('Équipements'!$B$5:$B$304,MATCH(D502,'Équipements'!$A$5:$A$304,0)),"Code inconnu"))</f>
        <v/>
      </c>
      <c r="F502" s="9">
        <f>IF(D502="","",IFERROR(INDEX('Équipements'!$D$5:$D$304,MATCH(D502,'Équipements'!$A$5:$A$304,0)),""))</f>
        <v/>
      </c>
      <c r="G502" s="9">
        <f>IF(D502="","",IFERROR(INDEX('Équipements'!$K$5:$K$304,MATCH(D502,'Équipements'!$A$5:$A$304,0)),""))</f>
        <v/>
      </c>
      <c r="H502" s="7" t="inlineStr">
        <is>
          <t>Correctif</t>
        </is>
      </c>
      <c r="I502" s="7" t="n"/>
      <c r="J502" s="7" t="inlineStr">
        <is>
          <t>Électrique</t>
        </is>
      </c>
      <c r="K502" s="7" t="inlineStr">
        <is>
          <t>P1 - Urgent</t>
        </is>
      </c>
      <c r="L502" s="7" t="inlineStr">
        <is>
          <t>Ventilateur d'extraction en défaut</t>
        </is>
      </c>
      <c r="M502" s="7" t="inlineStr">
        <is>
          <t>Défaut électrique</t>
        </is>
      </c>
      <c r="N502" s="7" t="inlineStr">
        <is>
          <t>Remplacement contacteur et courroie</t>
        </is>
      </c>
      <c r="O502" s="7" t="inlineStr">
        <is>
          <t>Julien Moreau</t>
        </is>
      </c>
      <c r="P502" s="65" t="n"/>
      <c r="Q502" s="75" t="n">
        <v>45880.55</v>
      </c>
      <c r="R502" s="75" t="n">
        <v>45880.65416666667</v>
      </c>
      <c r="S502" s="76" t="n">
        <v>2.8</v>
      </c>
      <c r="T502" s="76" t="n">
        <v>2.5</v>
      </c>
      <c r="U502" s="70">
        <f>IF($A502="","",IFERROR(INDEX('Techniciens'!$F$5:$F$44,MATCH(O502,'Techniciens'!$B$5:$B$44,0)),'Paramètres'!$AA$10))</f>
        <v/>
      </c>
      <c r="V502" s="70">
        <f>IF($A502="","",IF(OR(AC502="Demandé",AC502="Planifié",AC502="Annulé"),0,N(T502)*N(U502)))</f>
        <v/>
      </c>
      <c r="W502" s="70">
        <f>IF($A502="","",SUMIFS('Mouvements stock'!$H$5:$H$3004,'Mouvements stock'!$I$5:$I$3004,$A502,'Mouvements stock'!$C$5:$C$3004,"Sortie")-SUMIFS('Mouvements stock'!$H$5:$H$3004,'Mouvements stock'!$I$5:$I$3004,$A502,'Mouvements stock'!$C$5:$C$3004,"Retour"))</f>
        <v/>
      </c>
      <c r="X502" s="66" t="n">
        <v>0</v>
      </c>
      <c r="Y502" s="66" t="n">
        <v>0</v>
      </c>
      <c r="Z502" s="7" t="n"/>
      <c r="AA502" s="70">
        <f>IF($A502="","",N(V502)+N(W502)+N(X502)+N(Y502))</f>
        <v/>
      </c>
      <c r="AB502" s="70">
        <f>IF($A502="","",N(S502)*'Paramètres'!$AA$9*IFERROR(INDEX('Paramètres'!$O$5:$O$7,MATCH(G502,'Paramètres'!$N$5:$N$7,0)),0))</f>
        <v/>
      </c>
      <c r="AC502" s="7" t="inlineStr">
        <is>
          <t>Clôturé</t>
        </is>
      </c>
      <c r="AD502" s="69">
        <f>IF(OR($A502="",Q502=""),"",(Q502-B502)*24)</f>
        <v/>
      </c>
      <c r="AE502" s="69">
        <f>IF(OR(Q502="",R502=""),"",(R502-Q502)*24)</f>
        <v/>
      </c>
      <c r="AF502" s="77">
        <f>IF(OR($A502="",B502=""),"",YEAR(B502))</f>
        <v/>
      </c>
      <c r="AG502" s="77">
        <f>IF(OR($A502="",B502=""),"",MONTH(B502))</f>
        <v/>
      </c>
    </row>
    <row r="503">
      <c r="A503" s="7" t="inlineStr">
        <is>
          <t>OT-2025-0499</t>
        </is>
      </c>
      <c r="B503" s="75" t="n">
        <v>45880.68125</v>
      </c>
      <c r="C503" s="7" t="inlineStr">
        <is>
          <t>Sylvie Mathieu (resp. logistique)</t>
        </is>
      </c>
      <c r="D503" s="7" t="inlineStr">
        <is>
          <t>EQ-LOG-004</t>
        </is>
      </c>
      <c r="E503" s="9">
        <f>IF(D503="","",IFERROR(INDEX('Équipements'!$B$5:$B$304,MATCH(D503,'Équipements'!$A$5:$A$304,0)),"Code inconnu"))</f>
        <v/>
      </c>
      <c r="F503" s="9">
        <f>IF(D503="","",IFERROR(INDEX('Équipements'!$D$5:$D$304,MATCH(D503,'Équipements'!$A$5:$A$304,0)),""))</f>
        <v/>
      </c>
      <c r="G503" s="9">
        <f>IF(D503="","",IFERROR(INDEX('Équipements'!$K$5:$K$304,MATCH(D503,'Équipements'!$A$5:$A$304,0)),""))</f>
        <v/>
      </c>
      <c r="H503" s="7" t="inlineStr">
        <is>
          <t>Correctif</t>
        </is>
      </c>
      <c r="I503" s="7" t="n"/>
      <c r="J503" s="7" t="inlineStr">
        <is>
          <t>Mécanique</t>
        </is>
      </c>
      <c r="K503" s="7" t="inlineStr">
        <is>
          <t>P3 - Normale</t>
        </is>
      </c>
      <c r="L503" s="7" t="inlineStr">
        <is>
          <t>Choc sur mât (dommage cariste)</t>
        </is>
      </c>
      <c r="M503" s="7" t="inlineStr">
        <is>
          <t>Choc / accident</t>
        </is>
      </c>
      <c r="N503" s="7" t="inlineStr">
        <is>
          <t>Redressage protège-conducteur, contrôle mât</t>
        </is>
      </c>
      <c r="O503" s="7" t="inlineStr">
        <is>
          <t>Lucas Fontaine</t>
        </is>
      </c>
      <c r="P503" s="65" t="n"/>
      <c r="Q503" s="75" t="n">
        <v>45882.49930555555</v>
      </c>
      <c r="R503" s="75" t="n">
        <v>45882.59305555555</v>
      </c>
      <c r="S503" s="76" t="n">
        <v>0</v>
      </c>
      <c r="T503" s="76" t="n">
        <v>2.25</v>
      </c>
      <c r="U503" s="70">
        <f>IF($A503="","",IFERROR(INDEX('Techniciens'!$F$5:$F$44,MATCH(O503,'Techniciens'!$B$5:$B$44,0)),'Paramètres'!$AA$10))</f>
        <v/>
      </c>
      <c r="V503" s="70">
        <f>IF($A503="","",IF(OR(AC503="Demandé",AC503="Planifié",AC503="Annulé"),0,N(T503)*N(U503)))</f>
        <v/>
      </c>
      <c r="W503" s="70">
        <f>IF($A503="","",SUMIFS('Mouvements stock'!$H$5:$H$3004,'Mouvements stock'!$I$5:$I$3004,$A503,'Mouvements stock'!$C$5:$C$3004,"Sortie")-SUMIFS('Mouvements stock'!$H$5:$H$3004,'Mouvements stock'!$I$5:$I$3004,$A503,'Mouvements stock'!$C$5:$C$3004,"Retour"))</f>
        <v/>
      </c>
      <c r="X503" s="66" t="n">
        <v>0</v>
      </c>
      <c r="Y503" s="66" t="n">
        <v>580</v>
      </c>
      <c r="Z503" s="7" t="inlineStr">
        <is>
          <t>Manutention Services 44</t>
        </is>
      </c>
      <c r="AA503" s="70">
        <f>IF($A503="","",N(V503)+N(W503)+N(X503)+N(Y503))</f>
        <v/>
      </c>
      <c r="AB503" s="70">
        <f>IF($A503="","",N(S503)*'Paramètres'!$AA$9*IFERROR(INDEX('Paramètres'!$O$5:$O$7,MATCH(G503,'Paramètres'!$N$5:$N$7,0)),0))</f>
        <v/>
      </c>
      <c r="AC503" s="7" t="inlineStr">
        <is>
          <t>Clôturé</t>
        </is>
      </c>
      <c r="AD503" s="69">
        <f>IF(OR($A503="",Q503=""),"",(Q503-B503)*24)</f>
        <v/>
      </c>
      <c r="AE503" s="69">
        <f>IF(OR(Q503="",R503=""),"",(R503-Q503)*24)</f>
        <v/>
      </c>
      <c r="AF503" s="77">
        <f>IF(OR($A503="",B503=""),"",YEAR(B503))</f>
        <v/>
      </c>
      <c r="AG503" s="77">
        <f>IF(OR($A503="",B503=""),"",MONTH(B503))</f>
        <v/>
      </c>
    </row>
    <row r="504">
      <c r="A504" s="7" t="inlineStr">
        <is>
          <t>OT-2025-0500</t>
        </is>
      </c>
      <c r="B504" s="75" t="n">
        <v>45881.36111111111</v>
      </c>
      <c r="C504" s="7" t="inlineStr">
        <is>
          <t>Plan préventif</t>
        </is>
      </c>
      <c r="D504" s="7" t="inlineStr">
        <is>
          <t>EQ-USI-004</t>
        </is>
      </c>
      <c r="E504" s="9">
        <f>IF(D504="","",IFERROR(INDEX('Équipements'!$B$5:$B$304,MATCH(D504,'Équipements'!$A$5:$A$304,0)),"Code inconnu"))</f>
        <v/>
      </c>
      <c r="F504" s="9">
        <f>IF(D504="","",IFERROR(INDEX('Équipements'!$D$5:$D$304,MATCH(D504,'Équipements'!$A$5:$A$304,0)),""))</f>
        <v/>
      </c>
      <c r="G504" s="9">
        <f>IF(D504="","",IFERROR(INDEX('Équipements'!$K$5:$K$304,MATCH(D504,'Équipements'!$A$5:$A$304,0)),""))</f>
        <v/>
      </c>
      <c r="H504" s="7" t="inlineStr">
        <is>
          <t>Préventif systématique</t>
        </is>
      </c>
      <c r="I504" s="7" t="inlineStr">
        <is>
          <t>GP-014</t>
        </is>
      </c>
      <c r="J504" s="7" t="inlineStr">
        <is>
          <t>Mécanique</t>
        </is>
      </c>
      <c r="K504" s="7" t="inlineStr">
        <is>
          <t>P3 - Normale</t>
        </is>
      </c>
      <c r="L504" s="7" t="inlineStr">
        <is>
          <t>Contrôle géométrie, jeux et graissage des axes</t>
        </is>
      </c>
      <c r="M504" s="7" t="n"/>
      <c r="N504" s="7" t="inlineStr">
        <is>
          <t>Gamme réalisée - RAS</t>
        </is>
      </c>
      <c r="O504" s="7" t="inlineStr">
        <is>
          <t>Karim Benali</t>
        </is>
      </c>
      <c r="P504" s="65" t="n">
        <v>45888.91666666666</v>
      </c>
      <c r="Q504" s="75" t="n">
        <v>45888.40972222222</v>
      </c>
      <c r="R504" s="75" t="n">
        <v>45888.72222222222</v>
      </c>
      <c r="S504" s="76" t="n">
        <v>7.5</v>
      </c>
      <c r="T504" s="76" t="n">
        <v>7.5</v>
      </c>
      <c r="U504" s="70">
        <f>IF($A504="","",IFERROR(INDEX('Techniciens'!$F$5:$F$44,MATCH(O504,'Techniciens'!$B$5:$B$44,0)),'Paramètres'!$AA$10))</f>
        <v/>
      </c>
      <c r="V504" s="70">
        <f>IF($A504="","",IF(OR(AC504="Demandé",AC504="Planifié",AC504="Annulé"),0,N(T504)*N(U504)))</f>
        <v/>
      </c>
      <c r="W504" s="70">
        <f>IF($A504="","",SUMIFS('Mouvements stock'!$H$5:$H$3004,'Mouvements stock'!$I$5:$I$3004,$A504,'Mouvements stock'!$C$5:$C$3004,"Sortie")-SUMIFS('Mouvements stock'!$H$5:$H$3004,'Mouvements stock'!$I$5:$I$3004,$A504,'Mouvements stock'!$C$5:$C$3004,"Retour"))</f>
        <v/>
      </c>
      <c r="X504" s="66" t="n">
        <v>0</v>
      </c>
      <c r="Y504" s="66" t="n">
        <v>0</v>
      </c>
      <c r="Z504" s="7" t="n"/>
      <c r="AA504" s="70">
        <f>IF($A504="","",N(V504)+N(W504)+N(X504)+N(Y504))</f>
        <v/>
      </c>
      <c r="AB504" s="70">
        <f>IF($A504="","",N(S504)*'Paramètres'!$AA$9*IFERROR(INDEX('Paramètres'!$O$5:$O$7,MATCH(G504,'Paramètres'!$N$5:$N$7,0)),0))</f>
        <v/>
      </c>
      <c r="AC504" s="7" t="inlineStr">
        <is>
          <t>Clôturé</t>
        </is>
      </c>
      <c r="AD504" s="69">
        <f>IF(OR($A504="",Q504=""),"",(Q504-B504)*24)</f>
        <v/>
      </c>
      <c r="AE504" s="69">
        <f>IF(OR(Q504="",R504=""),"",(R504-Q504)*24)</f>
        <v/>
      </c>
      <c r="AF504" s="77">
        <f>IF(OR($A504="",B504=""),"",YEAR(B504))</f>
        <v/>
      </c>
      <c r="AG504" s="77">
        <f>IF(OR($A504="",B504=""),"",MONTH(B504))</f>
        <v/>
      </c>
    </row>
    <row r="505">
      <c r="A505" s="7" t="inlineStr">
        <is>
          <t>OT-2025-0501</t>
        </is>
      </c>
      <c r="B505" s="75" t="n">
        <v>45881.40625</v>
      </c>
      <c r="C505" s="7" t="inlineStr">
        <is>
          <t>Plan préventif</t>
        </is>
      </c>
      <c r="D505" s="7" t="inlineStr">
        <is>
          <t>EQ-UTI-003</t>
        </is>
      </c>
      <c r="E505" s="9">
        <f>IF(D505="","",IFERROR(INDEX('Équipements'!$B$5:$B$304,MATCH(D505,'Équipements'!$A$5:$A$304,0)),"Code inconnu"))</f>
        <v/>
      </c>
      <c r="F505" s="9">
        <f>IF(D505="","",IFERROR(INDEX('Équipements'!$D$5:$D$304,MATCH(D505,'Équipements'!$A$5:$A$304,0)),""))</f>
        <v/>
      </c>
      <c r="G505" s="9">
        <f>IF(D505="","",IFERROR(INDEX('Équipements'!$K$5:$K$304,MATCH(D505,'Équipements'!$A$5:$A$304,0)),""))</f>
        <v/>
      </c>
      <c r="H505" s="7" t="inlineStr">
        <is>
          <t>Préventif conditionnel</t>
        </is>
      </c>
      <c r="I505" s="7" t="inlineStr">
        <is>
          <t>GP-091</t>
        </is>
      </c>
      <c r="J505" s="7" t="inlineStr">
        <is>
          <t>Mécanique</t>
        </is>
      </c>
      <c r="K505" s="7" t="inlineStr">
        <is>
          <t>P3 - Normale</t>
        </is>
      </c>
      <c r="L505" s="7" t="inlineStr">
        <is>
          <t>Entretien 2000 h : filtres air/huile, séparateur</t>
        </is>
      </c>
      <c r="M505" s="7" t="n"/>
      <c r="N505" s="7" t="inlineStr">
        <is>
          <t>Gamme réalisée - RAS</t>
        </is>
      </c>
      <c r="O505" s="7" t="inlineStr">
        <is>
          <t>Karim Benali</t>
        </is>
      </c>
      <c r="P505" s="65" t="n">
        <v>45888.52777777778</v>
      </c>
      <c r="Q505" s="75" t="n">
        <v>45888.31944444445</v>
      </c>
      <c r="R505" s="75" t="n">
        <v>45888.46527777778</v>
      </c>
      <c r="S505" s="76" t="n">
        <v>0</v>
      </c>
      <c r="T505" s="76" t="n">
        <v>3.5</v>
      </c>
      <c r="U505" s="70">
        <f>IF($A505="","",IFERROR(INDEX('Techniciens'!$F$5:$F$44,MATCH(O505,'Techniciens'!$B$5:$B$44,0)),'Paramètres'!$AA$10))</f>
        <v/>
      </c>
      <c r="V505" s="70">
        <f>IF($A505="","",IF(OR(AC505="Demandé",AC505="Planifié",AC505="Annulé"),0,N(T505)*N(U505)))</f>
        <v/>
      </c>
      <c r="W505" s="70">
        <f>IF($A505="","",SUMIFS('Mouvements stock'!$H$5:$H$3004,'Mouvements stock'!$I$5:$I$3004,$A505,'Mouvements stock'!$C$5:$C$3004,"Sortie")-SUMIFS('Mouvements stock'!$H$5:$H$3004,'Mouvements stock'!$I$5:$I$3004,$A505,'Mouvements stock'!$C$5:$C$3004,"Retour"))</f>
        <v/>
      </c>
      <c r="X505" s="66" t="n">
        <v>0</v>
      </c>
      <c r="Y505" s="66" t="n">
        <v>0</v>
      </c>
      <c r="Z505" s="7" t="n"/>
      <c r="AA505" s="70">
        <f>IF($A505="","",N(V505)+N(W505)+N(X505)+N(Y505))</f>
        <v/>
      </c>
      <c r="AB505" s="70">
        <f>IF($A505="","",N(S505)*'Paramètres'!$AA$9*IFERROR(INDEX('Paramètres'!$O$5:$O$7,MATCH(G505,'Paramètres'!$N$5:$N$7,0)),0))</f>
        <v/>
      </c>
      <c r="AC505" s="7" t="inlineStr">
        <is>
          <t>Clôturé</t>
        </is>
      </c>
      <c r="AD505" s="69">
        <f>IF(OR($A505="",Q505=""),"",(Q505-B505)*24)</f>
        <v/>
      </c>
      <c r="AE505" s="69">
        <f>IF(OR(Q505="",R505=""),"",(R505-Q505)*24)</f>
        <v/>
      </c>
      <c r="AF505" s="77">
        <f>IF(OR($A505="",B505=""),"",YEAR(B505))</f>
        <v/>
      </c>
      <c r="AG505" s="77">
        <f>IF(OR($A505="",B505=""),"",MONTH(B505))</f>
        <v/>
      </c>
    </row>
    <row r="506">
      <c r="A506" s="7" t="inlineStr">
        <is>
          <t>OT-2025-0502</t>
        </is>
      </c>
      <c r="B506" s="75" t="n">
        <v>45881.46527777778</v>
      </c>
      <c r="C506" s="7" t="inlineStr">
        <is>
          <t>Plan préventif</t>
        </is>
      </c>
      <c r="D506" s="7" t="inlineStr">
        <is>
          <t>EQ-USI-012</t>
        </is>
      </c>
      <c r="E506" s="9">
        <f>IF(D506="","",IFERROR(INDEX('Équipements'!$B$5:$B$304,MATCH(D506,'Équipements'!$A$5:$A$304,0)),"Code inconnu"))</f>
        <v/>
      </c>
      <c r="F506" s="9">
        <f>IF(D506="","",IFERROR(INDEX('Équipements'!$D$5:$D$304,MATCH(D506,'Équipements'!$A$5:$A$304,0)),""))</f>
        <v/>
      </c>
      <c r="G506" s="9">
        <f>IF(D506="","",IFERROR(INDEX('Équipements'!$K$5:$K$304,MATCH(D506,'Équipements'!$A$5:$A$304,0)),""))</f>
        <v/>
      </c>
      <c r="H506" s="7" t="inlineStr">
        <is>
          <t>Préventif systématique</t>
        </is>
      </c>
      <c r="I506" s="7" t="inlineStr">
        <is>
          <t>GP-035</t>
        </is>
      </c>
      <c r="J506" s="7" t="inlineStr">
        <is>
          <t>Mécanique</t>
        </is>
      </c>
      <c r="K506" s="7" t="inlineStr">
        <is>
          <t>P3 - Normale</t>
        </is>
      </c>
      <c r="L506" s="7" t="inlineStr">
        <is>
          <t>Nettoyage torche et contrôle faisceau</t>
        </is>
      </c>
      <c r="M506" s="7" t="n"/>
      <c r="N506" s="7" t="inlineStr">
        <is>
          <t>Gamme réalisée - RAS</t>
        </is>
      </c>
      <c r="O506" s="7" t="inlineStr">
        <is>
          <t>Lucas Fontaine</t>
        </is>
      </c>
      <c r="P506" s="65" t="n">
        <v>45888.30208333334</v>
      </c>
      <c r="Q506" s="75" t="n">
        <v>45888.34722222222</v>
      </c>
      <c r="R506" s="75" t="n">
        <v>45888.37847222222</v>
      </c>
      <c r="S506" s="76" t="n">
        <v>0.4</v>
      </c>
      <c r="T506" s="76" t="n">
        <v>0.75</v>
      </c>
      <c r="U506" s="70">
        <f>IF($A506="","",IFERROR(INDEX('Techniciens'!$F$5:$F$44,MATCH(O506,'Techniciens'!$B$5:$B$44,0)),'Paramètres'!$AA$10))</f>
        <v/>
      </c>
      <c r="V506" s="70">
        <f>IF($A506="","",IF(OR(AC506="Demandé",AC506="Planifié",AC506="Annulé"),0,N(T506)*N(U506)))</f>
        <v/>
      </c>
      <c r="W506" s="70">
        <f>IF($A506="","",SUMIFS('Mouvements stock'!$H$5:$H$3004,'Mouvements stock'!$I$5:$I$3004,$A506,'Mouvements stock'!$C$5:$C$3004,"Sortie")-SUMIFS('Mouvements stock'!$H$5:$H$3004,'Mouvements stock'!$I$5:$I$3004,$A506,'Mouvements stock'!$C$5:$C$3004,"Retour"))</f>
        <v/>
      </c>
      <c r="X506" s="66" t="n">
        <v>0</v>
      </c>
      <c r="Y506" s="66" t="n">
        <v>0</v>
      </c>
      <c r="Z506" s="7" t="n"/>
      <c r="AA506" s="70">
        <f>IF($A506="","",N(V506)+N(W506)+N(X506)+N(Y506))</f>
        <v/>
      </c>
      <c r="AB506" s="70">
        <f>IF($A506="","",N(S506)*'Paramètres'!$AA$9*IFERROR(INDEX('Paramètres'!$O$5:$O$7,MATCH(G506,'Paramètres'!$N$5:$N$7,0)),0))</f>
        <v/>
      </c>
      <c r="AC506" s="7" t="inlineStr">
        <is>
          <t>Clôturé</t>
        </is>
      </c>
      <c r="AD506" s="69">
        <f>IF(OR($A506="",Q506=""),"",(Q506-B506)*24)</f>
        <v/>
      </c>
      <c r="AE506" s="69">
        <f>IF(OR(Q506="",R506=""),"",(R506-Q506)*24)</f>
        <v/>
      </c>
      <c r="AF506" s="77">
        <f>IF(OR($A506="",B506=""),"",YEAR(B506))</f>
        <v/>
      </c>
      <c r="AG506" s="77">
        <f>IF(OR($A506="",B506=""),"",MONTH(B506))</f>
        <v/>
      </c>
    </row>
    <row r="507">
      <c r="A507" s="7" t="inlineStr">
        <is>
          <t>OT-2025-0503</t>
        </is>
      </c>
      <c r="B507" s="75" t="n">
        <v>45882.35416666666</v>
      </c>
      <c r="C507" s="7" t="inlineStr">
        <is>
          <t>Plan préventif</t>
        </is>
      </c>
      <c r="D507" s="7" t="inlineStr">
        <is>
          <t>EQ-USI-005</t>
        </is>
      </c>
      <c r="E507" s="9">
        <f>IF(D507="","",IFERROR(INDEX('Équipements'!$B$5:$B$304,MATCH(D507,'Équipements'!$A$5:$A$304,0)),"Code inconnu"))</f>
        <v/>
      </c>
      <c r="F507" s="9">
        <f>IF(D507="","",IFERROR(INDEX('Équipements'!$D$5:$D$304,MATCH(D507,'Équipements'!$A$5:$A$304,0)),""))</f>
        <v/>
      </c>
      <c r="G507" s="9">
        <f>IF(D507="","",IFERROR(INDEX('Équipements'!$K$5:$K$304,MATCH(D507,'Équipements'!$A$5:$A$304,0)),""))</f>
        <v/>
      </c>
      <c r="H507" s="7" t="inlineStr">
        <is>
          <t>Préventif systématique</t>
        </is>
      </c>
      <c r="I507" s="7" t="inlineStr">
        <is>
          <t>GP-017</t>
        </is>
      </c>
      <c r="J507" s="7" t="inlineStr">
        <is>
          <t>Mécanique</t>
        </is>
      </c>
      <c r="K507" s="7" t="inlineStr">
        <is>
          <t>P3 - Normale</t>
        </is>
      </c>
      <c r="L507" s="7" t="inlineStr">
        <is>
          <t>Contrôle niveaux, nettoyage filtres et bac à copeaux</t>
        </is>
      </c>
      <c r="M507" s="7" t="n"/>
      <c r="N507" s="7" t="inlineStr">
        <is>
          <t>Gamme réalisée - RAS</t>
        </is>
      </c>
      <c r="O507" s="7" t="inlineStr">
        <is>
          <t>Karim Benali</t>
        </is>
      </c>
      <c r="P507" s="65" t="n">
        <v>45889.67708333334</v>
      </c>
      <c r="Q507" s="75" t="n">
        <v>45889.5625</v>
      </c>
      <c r="R507" s="75" t="n">
        <v>45889.61458333334</v>
      </c>
      <c r="S507" s="76" t="n">
        <v>0.6</v>
      </c>
      <c r="T507" s="76" t="n">
        <v>1.25</v>
      </c>
      <c r="U507" s="70">
        <f>IF($A507="","",IFERROR(INDEX('Techniciens'!$F$5:$F$44,MATCH(O507,'Techniciens'!$B$5:$B$44,0)),'Paramètres'!$AA$10))</f>
        <v/>
      </c>
      <c r="V507" s="70">
        <f>IF($A507="","",IF(OR(AC507="Demandé",AC507="Planifié",AC507="Annulé"),0,N(T507)*N(U507)))</f>
        <v/>
      </c>
      <c r="W507" s="70">
        <f>IF($A507="","",SUMIFS('Mouvements stock'!$H$5:$H$3004,'Mouvements stock'!$I$5:$I$3004,$A507,'Mouvements stock'!$C$5:$C$3004,"Sortie")-SUMIFS('Mouvements stock'!$H$5:$H$3004,'Mouvements stock'!$I$5:$I$3004,$A507,'Mouvements stock'!$C$5:$C$3004,"Retour"))</f>
        <v/>
      </c>
      <c r="X507" s="66" t="n">
        <v>0</v>
      </c>
      <c r="Y507" s="66" t="n">
        <v>0</v>
      </c>
      <c r="Z507" s="7" t="n"/>
      <c r="AA507" s="70">
        <f>IF($A507="","",N(V507)+N(W507)+N(X507)+N(Y507))</f>
        <v/>
      </c>
      <c r="AB507" s="70">
        <f>IF($A507="","",N(S507)*'Paramètres'!$AA$9*IFERROR(INDEX('Paramètres'!$O$5:$O$7,MATCH(G507,'Paramètres'!$N$5:$N$7,0)),0))</f>
        <v/>
      </c>
      <c r="AC507" s="7" t="inlineStr">
        <is>
          <t>Clôturé</t>
        </is>
      </c>
      <c r="AD507" s="69">
        <f>IF(OR($A507="",Q507=""),"",(Q507-B507)*24)</f>
        <v/>
      </c>
      <c r="AE507" s="69">
        <f>IF(OR(Q507="",R507=""),"",(R507-Q507)*24)</f>
        <v/>
      </c>
      <c r="AF507" s="77">
        <f>IF(OR($A507="",B507=""),"",YEAR(B507))</f>
        <v/>
      </c>
      <c r="AG507" s="77">
        <f>IF(OR($A507="",B507=""),"",MONTH(B507))</f>
        <v/>
      </c>
    </row>
    <row r="508">
      <c r="A508" s="7" t="inlineStr">
        <is>
          <t>OT-2025-0504</t>
        </is>
      </c>
      <c r="B508" s="75" t="n">
        <v>45882.40277777778</v>
      </c>
      <c r="C508" s="7" t="inlineStr">
        <is>
          <t>Plan préventif</t>
        </is>
      </c>
      <c r="D508" s="7" t="inlineStr">
        <is>
          <t>EQ-USI-002</t>
        </is>
      </c>
      <c r="E508" s="9">
        <f>IF(D508="","",IFERROR(INDEX('Équipements'!$B$5:$B$304,MATCH(D508,'Équipements'!$A$5:$A$304,0)),"Code inconnu"))</f>
        <v/>
      </c>
      <c r="F508" s="9">
        <f>IF(D508="","",IFERROR(INDEX('Équipements'!$D$5:$D$304,MATCH(D508,'Équipements'!$A$5:$A$304,0)),""))</f>
        <v/>
      </c>
      <c r="G508" s="9">
        <f>IF(D508="","",IFERROR(INDEX('Équipements'!$K$5:$K$304,MATCH(D508,'Équipements'!$A$5:$A$304,0)),""))</f>
        <v/>
      </c>
      <c r="H508" s="7" t="inlineStr">
        <is>
          <t>Préventif systématique</t>
        </is>
      </c>
      <c r="I508" s="7" t="inlineStr">
        <is>
          <t>GP-005</t>
        </is>
      </c>
      <c r="J508" s="7" t="inlineStr">
        <is>
          <t>Mécanique</t>
        </is>
      </c>
      <c r="K508" s="7" t="inlineStr">
        <is>
          <t>P3 - Normale</t>
        </is>
      </c>
      <c r="L508" s="7" t="inlineStr">
        <is>
          <t>Contrôle niveaux, nettoyage filtres et bac à copeaux</t>
        </is>
      </c>
      <c r="M508" s="7" t="n"/>
      <c r="N508" s="7" t="inlineStr">
        <is>
          <t>Gamme réalisée - RAS</t>
        </is>
      </c>
      <c r="O508" s="7" t="inlineStr">
        <is>
          <t>Antoine Mercier</t>
        </is>
      </c>
      <c r="P508" s="65" t="n">
        <v>45889.47222222222</v>
      </c>
      <c r="Q508" s="75" t="n">
        <v>45889.46527777778</v>
      </c>
      <c r="R508" s="75" t="n">
        <v>45889.53819444445</v>
      </c>
      <c r="S508" s="76" t="n">
        <v>1.8</v>
      </c>
      <c r="T508" s="76" t="n">
        <v>1.75</v>
      </c>
      <c r="U508" s="70">
        <f>IF($A508="","",IFERROR(INDEX('Techniciens'!$F$5:$F$44,MATCH(O508,'Techniciens'!$B$5:$B$44,0)),'Paramètres'!$AA$10))</f>
        <v/>
      </c>
      <c r="V508" s="70">
        <f>IF($A508="","",IF(OR(AC508="Demandé",AC508="Planifié",AC508="Annulé"),0,N(T508)*N(U508)))</f>
        <v/>
      </c>
      <c r="W508" s="70">
        <f>IF($A508="","",SUMIFS('Mouvements stock'!$H$5:$H$3004,'Mouvements stock'!$I$5:$I$3004,$A508,'Mouvements stock'!$C$5:$C$3004,"Sortie")-SUMIFS('Mouvements stock'!$H$5:$H$3004,'Mouvements stock'!$I$5:$I$3004,$A508,'Mouvements stock'!$C$5:$C$3004,"Retour"))</f>
        <v/>
      </c>
      <c r="X508" s="66" t="n">
        <v>0</v>
      </c>
      <c r="Y508" s="66" t="n">
        <v>0</v>
      </c>
      <c r="Z508" s="7" t="n"/>
      <c r="AA508" s="70">
        <f>IF($A508="","",N(V508)+N(W508)+N(X508)+N(Y508))</f>
        <v/>
      </c>
      <c r="AB508" s="70">
        <f>IF($A508="","",N(S508)*'Paramètres'!$AA$9*IFERROR(INDEX('Paramètres'!$O$5:$O$7,MATCH(G508,'Paramètres'!$N$5:$N$7,0)),0))</f>
        <v/>
      </c>
      <c r="AC508" s="7" t="inlineStr">
        <is>
          <t>Clôturé</t>
        </is>
      </c>
      <c r="AD508" s="69">
        <f>IF(OR($A508="",Q508=""),"",(Q508-B508)*24)</f>
        <v/>
      </c>
      <c r="AE508" s="69">
        <f>IF(OR(Q508="",R508=""),"",(R508-Q508)*24)</f>
        <v/>
      </c>
      <c r="AF508" s="77">
        <f>IF(OR($A508="",B508=""),"",YEAR(B508))</f>
        <v/>
      </c>
      <c r="AG508" s="77">
        <f>IF(OR($A508="",B508=""),"",MONTH(B508))</f>
        <v/>
      </c>
    </row>
    <row r="509">
      <c r="A509" s="7" t="inlineStr">
        <is>
          <t>OT-2025-0505</t>
        </is>
      </c>
      <c r="B509" s="75" t="n">
        <v>45882.86527777778</v>
      </c>
      <c r="C509" s="7" t="inlineStr">
        <is>
          <t>Ronde maintenance</t>
        </is>
      </c>
      <c r="D509" s="7" t="inlineStr">
        <is>
          <t>EQ-UTI-001</t>
        </is>
      </c>
      <c r="E509" s="9">
        <f>IF(D509="","",IFERROR(INDEX('Équipements'!$B$5:$B$304,MATCH(D509,'Équipements'!$A$5:$A$304,0)),"Code inconnu"))</f>
        <v/>
      </c>
      <c r="F509" s="9">
        <f>IF(D509="","",IFERROR(INDEX('Équipements'!$D$5:$D$304,MATCH(D509,'Équipements'!$A$5:$A$304,0)),""))</f>
        <v/>
      </c>
      <c r="G509" s="9">
        <f>IF(D509="","",IFERROR(INDEX('Équipements'!$K$5:$K$304,MATCH(D509,'Équipements'!$A$5:$A$304,0)),""))</f>
        <v/>
      </c>
      <c r="H509" s="7" t="inlineStr">
        <is>
          <t>Correctif</t>
        </is>
      </c>
      <c r="I509" s="7" t="n"/>
      <c r="J509" s="7" t="inlineStr">
        <is>
          <t>Pneumatique</t>
        </is>
      </c>
      <c r="K509" s="7" t="inlineStr">
        <is>
          <t>P1 - Urgent</t>
        </is>
      </c>
      <c r="L509" s="7" t="inlineStr">
        <is>
          <t>Purgeur de condensats bloqué</t>
        </is>
      </c>
      <c r="M509" s="7" t="inlineStr">
        <is>
          <t>Encrassement</t>
        </is>
      </c>
      <c r="N509" s="7" t="inlineStr">
        <is>
          <t>Remplacement purgeur électronique</t>
        </is>
      </c>
      <c r="O509" s="7" t="inlineStr">
        <is>
          <t>Julien Moreau</t>
        </is>
      </c>
      <c r="P509" s="65" t="n"/>
      <c r="Q509" s="75" t="n">
        <v>45882.88680555556</v>
      </c>
      <c r="R509" s="75" t="n">
        <v>45883.15763888889</v>
      </c>
      <c r="S509" s="76" t="n">
        <v>7</v>
      </c>
      <c r="T509" s="76" t="n">
        <v>6.5</v>
      </c>
      <c r="U509" s="70">
        <f>IF($A509="","",IFERROR(INDEX('Techniciens'!$F$5:$F$44,MATCH(O509,'Techniciens'!$B$5:$B$44,0)),'Paramètres'!$AA$10))</f>
        <v/>
      </c>
      <c r="V509" s="70">
        <f>IF($A509="","",IF(OR(AC509="Demandé",AC509="Planifié",AC509="Annulé"),0,N(T509)*N(U509)))</f>
        <v/>
      </c>
      <c r="W509" s="70">
        <f>IF($A509="","",SUMIFS('Mouvements stock'!$H$5:$H$3004,'Mouvements stock'!$I$5:$I$3004,$A509,'Mouvements stock'!$C$5:$C$3004,"Sortie")-SUMIFS('Mouvements stock'!$H$5:$H$3004,'Mouvements stock'!$I$5:$I$3004,$A509,'Mouvements stock'!$C$5:$C$3004,"Retour"))</f>
        <v/>
      </c>
      <c r="X509" s="66" t="n">
        <v>0</v>
      </c>
      <c r="Y509" s="66" t="n">
        <v>0</v>
      </c>
      <c r="Z509" s="7" t="n"/>
      <c r="AA509" s="70">
        <f>IF($A509="","",N(V509)+N(W509)+N(X509)+N(Y509))</f>
        <v/>
      </c>
      <c r="AB509" s="70">
        <f>IF($A509="","",N(S509)*'Paramètres'!$AA$9*IFERROR(INDEX('Paramètres'!$O$5:$O$7,MATCH(G509,'Paramètres'!$N$5:$N$7,0)),0))</f>
        <v/>
      </c>
      <c r="AC509" s="7" t="inlineStr">
        <is>
          <t>Clôturé</t>
        </is>
      </c>
      <c r="AD509" s="69">
        <f>IF(OR($A509="",Q509=""),"",(Q509-B509)*24)</f>
        <v/>
      </c>
      <c r="AE509" s="69">
        <f>IF(OR(Q509="",R509=""),"",(R509-Q509)*24)</f>
        <v/>
      </c>
      <c r="AF509" s="77">
        <f>IF(OR($A509="",B509=""),"",YEAR(B509))</f>
        <v/>
      </c>
      <c r="AG509" s="77">
        <f>IF(OR($A509="",B509=""),"",MONTH(B509))</f>
        <v/>
      </c>
    </row>
    <row r="510">
      <c r="A510" s="7" t="inlineStr">
        <is>
          <t>OT-2025-0506</t>
        </is>
      </c>
      <c r="B510" s="75" t="n">
        <v>45883.35416666666</v>
      </c>
      <c r="C510" s="7" t="inlineStr">
        <is>
          <t>Plan préventif</t>
        </is>
      </c>
      <c r="D510" s="7" t="inlineStr">
        <is>
          <t>EQ-TOL-003</t>
        </is>
      </c>
      <c r="E510" s="9">
        <f>IF(D510="","",IFERROR(INDEX('Équipements'!$B$5:$B$304,MATCH(D510,'Équipements'!$A$5:$A$304,0)),"Code inconnu"))</f>
        <v/>
      </c>
      <c r="F510" s="9">
        <f>IF(D510="","",IFERROR(INDEX('Équipements'!$D$5:$D$304,MATCH(D510,'Équipements'!$A$5:$A$304,0)),""))</f>
        <v/>
      </c>
      <c r="G510" s="9">
        <f>IF(D510="","",IFERROR(INDEX('Équipements'!$K$5:$K$304,MATCH(D510,'Équipements'!$A$5:$A$304,0)),""))</f>
        <v/>
      </c>
      <c r="H510" s="7" t="inlineStr">
        <is>
          <t>Préventif systématique</t>
        </is>
      </c>
      <c r="I510" s="7" t="inlineStr">
        <is>
          <t>GP-046</t>
        </is>
      </c>
      <c r="J510" s="7" t="inlineStr">
        <is>
          <t>Électrique</t>
        </is>
      </c>
      <c r="K510" s="7" t="inlineStr">
        <is>
          <t>P3 - Normale</t>
        </is>
      </c>
      <c r="L510" s="7" t="inlineStr">
        <is>
          <t>Contrôle des sécurités (barrages, AU, pédale)</t>
        </is>
      </c>
      <c r="M510" s="7" t="n"/>
      <c r="N510" s="7" t="inlineStr">
        <is>
          <t>Gamme réalisée - RAS</t>
        </is>
      </c>
      <c r="O510" s="7" t="inlineStr">
        <is>
          <t>Antoine Mercier</t>
        </is>
      </c>
      <c r="P510" s="65" t="n">
        <v>45890.56944444445</v>
      </c>
      <c r="Q510" s="75" t="n">
        <v>45890.57638888889</v>
      </c>
      <c r="R510" s="75" t="n">
        <v>45890.64930555555</v>
      </c>
      <c r="S510" s="76" t="n">
        <v>0.9</v>
      </c>
      <c r="T510" s="76" t="n">
        <v>1.75</v>
      </c>
      <c r="U510" s="70">
        <f>IF($A510="","",IFERROR(INDEX('Techniciens'!$F$5:$F$44,MATCH(O510,'Techniciens'!$B$5:$B$44,0)),'Paramètres'!$AA$10))</f>
        <v/>
      </c>
      <c r="V510" s="70">
        <f>IF($A510="","",IF(OR(AC510="Demandé",AC510="Planifié",AC510="Annulé"),0,N(T510)*N(U510)))</f>
        <v/>
      </c>
      <c r="W510" s="70">
        <f>IF($A510="","",SUMIFS('Mouvements stock'!$H$5:$H$3004,'Mouvements stock'!$I$5:$I$3004,$A510,'Mouvements stock'!$C$5:$C$3004,"Sortie")-SUMIFS('Mouvements stock'!$H$5:$H$3004,'Mouvements stock'!$I$5:$I$3004,$A510,'Mouvements stock'!$C$5:$C$3004,"Retour"))</f>
        <v/>
      </c>
      <c r="X510" s="66" t="n">
        <v>0</v>
      </c>
      <c r="Y510" s="66" t="n">
        <v>0</v>
      </c>
      <c r="Z510" s="7" t="n"/>
      <c r="AA510" s="70">
        <f>IF($A510="","",N(V510)+N(W510)+N(X510)+N(Y510))</f>
        <v/>
      </c>
      <c r="AB510" s="70">
        <f>IF($A510="","",N(S510)*'Paramètres'!$AA$9*IFERROR(INDEX('Paramètres'!$O$5:$O$7,MATCH(G510,'Paramètres'!$N$5:$N$7,0)),0))</f>
        <v/>
      </c>
      <c r="AC510" s="7" t="inlineStr">
        <is>
          <t>Clôturé</t>
        </is>
      </c>
      <c r="AD510" s="69">
        <f>IF(OR($A510="",Q510=""),"",(Q510-B510)*24)</f>
        <v/>
      </c>
      <c r="AE510" s="69">
        <f>IF(OR(Q510="",R510=""),"",(R510-Q510)*24)</f>
        <v/>
      </c>
      <c r="AF510" s="77">
        <f>IF(OR($A510="",B510=""),"",YEAR(B510))</f>
        <v/>
      </c>
      <c r="AG510" s="77">
        <f>IF(OR($A510="",B510=""),"",MONTH(B510))</f>
        <v/>
      </c>
    </row>
    <row r="511">
      <c r="A511" s="7" t="inlineStr">
        <is>
          <t>OT-2025-0507</t>
        </is>
      </c>
      <c r="B511" s="75" t="n">
        <v>45883.45833333334</v>
      </c>
      <c r="C511" s="7" t="inlineStr">
        <is>
          <t>Plan préventif</t>
        </is>
      </c>
      <c r="D511" s="7" t="inlineStr">
        <is>
          <t>EQ-USI-009</t>
        </is>
      </c>
      <c r="E511" s="9">
        <f>IF(D511="","",IFERROR(INDEX('Équipements'!$B$5:$B$304,MATCH(D511,'Équipements'!$A$5:$A$304,0)),"Code inconnu"))</f>
        <v/>
      </c>
      <c r="F511" s="9">
        <f>IF(D511="","",IFERROR(INDEX('Équipements'!$D$5:$D$304,MATCH(D511,'Équipements'!$A$5:$A$304,0)),""))</f>
        <v/>
      </c>
      <c r="G511" s="9">
        <f>IF(D511="","",IFERROR(INDEX('Équipements'!$K$5:$K$304,MATCH(D511,'Équipements'!$A$5:$A$304,0)),""))</f>
        <v/>
      </c>
      <c r="H511" s="7" t="inlineStr">
        <is>
          <t>Préventif systématique</t>
        </is>
      </c>
      <c r="I511" s="7" t="inlineStr">
        <is>
          <t>GP-030</t>
        </is>
      </c>
      <c r="J511" s="7" t="inlineStr">
        <is>
          <t>Mécanique</t>
        </is>
      </c>
      <c r="K511" s="7" t="inlineStr">
        <is>
          <t>P3 - Normale</t>
        </is>
      </c>
      <c r="L511" s="7" t="inlineStr">
        <is>
          <t>Contrôle lame, guides et liquide de coupe</t>
        </is>
      </c>
      <c r="M511" s="7" t="n"/>
      <c r="N511" s="7" t="inlineStr">
        <is>
          <t>Gamme réalisée - RAS</t>
        </is>
      </c>
      <c r="O511" s="7" t="inlineStr">
        <is>
          <t>Karim Benali</t>
        </is>
      </c>
      <c r="P511" s="65" t="n">
        <v>45890.58333333334</v>
      </c>
      <c r="Q511" s="75" t="n">
        <v>45890.44791666666</v>
      </c>
      <c r="R511" s="75" t="n">
        <v>45890.47916666666</v>
      </c>
      <c r="S511" s="76" t="n">
        <v>0.4</v>
      </c>
      <c r="T511" s="76" t="n">
        <v>0.75</v>
      </c>
      <c r="U511" s="70">
        <f>IF($A511="","",IFERROR(INDEX('Techniciens'!$F$5:$F$44,MATCH(O511,'Techniciens'!$B$5:$B$44,0)),'Paramètres'!$AA$10))</f>
        <v/>
      </c>
      <c r="V511" s="70">
        <f>IF($A511="","",IF(OR(AC511="Demandé",AC511="Planifié",AC511="Annulé"),0,N(T511)*N(U511)))</f>
        <v/>
      </c>
      <c r="W511" s="70">
        <f>IF($A511="","",SUMIFS('Mouvements stock'!$H$5:$H$3004,'Mouvements stock'!$I$5:$I$3004,$A511,'Mouvements stock'!$C$5:$C$3004,"Sortie")-SUMIFS('Mouvements stock'!$H$5:$H$3004,'Mouvements stock'!$I$5:$I$3004,$A511,'Mouvements stock'!$C$5:$C$3004,"Retour"))</f>
        <v/>
      </c>
      <c r="X511" s="66" t="n">
        <v>0</v>
      </c>
      <c r="Y511" s="66" t="n">
        <v>0</v>
      </c>
      <c r="Z511" s="7" t="n"/>
      <c r="AA511" s="70">
        <f>IF($A511="","",N(V511)+N(W511)+N(X511)+N(Y511))</f>
        <v/>
      </c>
      <c r="AB511" s="70">
        <f>IF($A511="","",N(S511)*'Paramètres'!$AA$9*IFERROR(INDEX('Paramètres'!$O$5:$O$7,MATCH(G511,'Paramètres'!$N$5:$N$7,0)),0))</f>
        <v/>
      </c>
      <c r="AC511" s="7" t="inlineStr">
        <is>
          <t>Clôturé</t>
        </is>
      </c>
      <c r="AD511" s="69">
        <f>IF(OR($A511="",Q511=""),"",(Q511-B511)*24)</f>
        <v/>
      </c>
      <c r="AE511" s="69">
        <f>IF(OR(Q511="",R511=""),"",(R511-Q511)*24)</f>
        <v/>
      </c>
      <c r="AF511" s="77">
        <f>IF(OR($A511="",B511=""),"",YEAR(B511))</f>
        <v/>
      </c>
      <c r="AG511" s="77">
        <f>IF(OR($A511="",B511=""),"",MONTH(B511))</f>
        <v/>
      </c>
    </row>
    <row r="512">
      <c r="A512" s="7" t="inlineStr">
        <is>
          <t>OT-2025-0508</t>
        </is>
      </c>
      <c r="B512" s="75" t="n">
        <v>45883.46875</v>
      </c>
      <c r="C512" s="7" t="inlineStr">
        <is>
          <t>Plan préventif</t>
        </is>
      </c>
      <c r="D512" s="7" t="inlineStr">
        <is>
          <t>EQ-PEI-002</t>
        </is>
      </c>
      <c r="E512" s="9">
        <f>IF(D512="","",IFERROR(INDEX('Équipements'!$B$5:$B$304,MATCH(D512,'Équipements'!$A$5:$A$304,0)),"Code inconnu"))</f>
        <v/>
      </c>
      <c r="F512" s="9">
        <f>IF(D512="","",IFERROR(INDEX('Équipements'!$D$5:$D$304,MATCH(D512,'Équipements'!$A$5:$A$304,0)),""))</f>
        <v/>
      </c>
      <c r="G512" s="9">
        <f>IF(D512="","",IFERROR(INDEX('Équipements'!$K$5:$K$304,MATCH(D512,'Équipements'!$A$5:$A$304,0)),""))</f>
        <v/>
      </c>
      <c r="H512" s="7" t="inlineStr">
        <is>
          <t>Préventif systématique</t>
        </is>
      </c>
      <c r="I512" s="7" t="inlineStr">
        <is>
          <t>GP-068</t>
        </is>
      </c>
      <c r="J512" s="7" t="inlineStr">
        <is>
          <t>Mécanique</t>
        </is>
      </c>
      <c r="K512" s="7" t="inlineStr">
        <is>
          <t>P3 - Normale</t>
        </is>
      </c>
      <c r="L512" s="7" t="inlineStr">
        <is>
          <t>Nettoyage et remplacement des filtres</t>
        </is>
      </c>
      <c r="M512" s="7" t="n"/>
      <c r="N512" s="7" t="inlineStr">
        <is>
          <t>Gamme réalisée - RAS</t>
        </is>
      </c>
      <c r="O512" s="7" t="inlineStr">
        <is>
          <t>Karim Benali</t>
        </is>
      </c>
      <c r="P512" s="65" t="n">
        <v>45890.44444444445</v>
      </c>
      <c r="Q512" s="75" t="n">
        <v>45890.34027777778</v>
      </c>
      <c r="R512" s="75" t="n">
        <v>45890.47569444445</v>
      </c>
      <c r="S512" s="76" t="n">
        <v>0</v>
      </c>
      <c r="T512" s="76" t="n">
        <v>3.25</v>
      </c>
      <c r="U512" s="70">
        <f>IF($A512="","",IFERROR(INDEX('Techniciens'!$F$5:$F$44,MATCH(O512,'Techniciens'!$B$5:$B$44,0)),'Paramètres'!$AA$10))</f>
        <v/>
      </c>
      <c r="V512" s="70">
        <f>IF($A512="","",IF(OR(AC512="Demandé",AC512="Planifié",AC512="Annulé"),0,N(T512)*N(U512)))</f>
        <v/>
      </c>
      <c r="W512" s="70">
        <f>IF($A512="","",SUMIFS('Mouvements stock'!$H$5:$H$3004,'Mouvements stock'!$I$5:$I$3004,$A512,'Mouvements stock'!$C$5:$C$3004,"Sortie")-SUMIFS('Mouvements stock'!$H$5:$H$3004,'Mouvements stock'!$I$5:$I$3004,$A512,'Mouvements stock'!$C$5:$C$3004,"Retour"))</f>
        <v/>
      </c>
      <c r="X512" s="66" t="n">
        <v>0</v>
      </c>
      <c r="Y512" s="66" t="n">
        <v>0</v>
      </c>
      <c r="Z512" s="7" t="n"/>
      <c r="AA512" s="70">
        <f>IF($A512="","",N(V512)+N(W512)+N(X512)+N(Y512))</f>
        <v/>
      </c>
      <c r="AB512" s="70">
        <f>IF($A512="","",N(S512)*'Paramètres'!$AA$9*IFERROR(INDEX('Paramètres'!$O$5:$O$7,MATCH(G512,'Paramètres'!$N$5:$N$7,0)),0))</f>
        <v/>
      </c>
      <c r="AC512" s="7" t="inlineStr">
        <is>
          <t>Clôturé</t>
        </is>
      </c>
      <c r="AD512" s="69">
        <f>IF(OR($A512="",Q512=""),"",(Q512-B512)*24)</f>
        <v/>
      </c>
      <c r="AE512" s="69">
        <f>IF(OR(Q512="",R512=""),"",(R512-Q512)*24)</f>
        <v/>
      </c>
      <c r="AF512" s="77">
        <f>IF(OR($A512="",B512=""),"",YEAR(B512))</f>
        <v/>
      </c>
      <c r="AG512" s="77">
        <f>IF(OR($A512="",B512=""),"",MONTH(B512))</f>
        <v/>
      </c>
    </row>
    <row r="513">
      <c r="A513" s="7" t="inlineStr">
        <is>
          <t>OT-2025-0509</t>
        </is>
      </c>
      <c r="B513" s="75" t="n">
        <v>45883.55694444444</v>
      </c>
      <c r="C513" s="7" t="inlineStr">
        <is>
          <t>Éric Laurent (chef d'atelier)</t>
        </is>
      </c>
      <c r="D513" s="7" t="inlineStr">
        <is>
          <t>EQ-USI-002</t>
        </is>
      </c>
      <c r="E513" s="9">
        <f>IF(D513="","",IFERROR(INDEX('Équipements'!$B$5:$B$304,MATCH(D513,'Équipements'!$A$5:$A$304,0)),"Code inconnu"))</f>
        <v/>
      </c>
      <c r="F513" s="9">
        <f>IF(D513="","",IFERROR(INDEX('Équipements'!$D$5:$D$304,MATCH(D513,'Équipements'!$A$5:$A$304,0)),""))</f>
        <v/>
      </c>
      <c r="G513" s="9">
        <f>IF(D513="","",IFERROR(INDEX('Équipements'!$K$5:$K$304,MATCH(D513,'Équipements'!$A$5:$A$304,0)),""))</f>
        <v/>
      </c>
      <c r="H513" s="7" t="inlineStr">
        <is>
          <t>Correctif</t>
        </is>
      </c>
      <c r="I513" s="7" t="n"/>
      <c r="J513" s="7" t="inlineStr">
        <is>
          <t>Mécanique</t>
        </is>
      </c>
      <c r="K513" s="7" t="inlineStr">
        <is>
          <t>P2 - Haute</t>
        </is>
      </c>
      <c r="L513" s="7" t="inlineStr">
        <is>
          <t>Alarme surchauffe broche</t>
        </is>
      </c>
      <c r="M513" s="7" t="inlineStr">
        <is>
          <t>Cause inconnue</t>
        </is>
      </c>
      <c r="N513" s="7" t="inlineStr">
        <is>
          <t>Nettoyage circuit de refroidissement broche, appoint huile, contrôle groupe froid</t>
        </is>
      </c>
      <c r="O513" s="7" t="inlineStr">
        <is>
          <t>Lucas Fontaine</t>
        </is>
      </c>
      <c r="P513" s="65" t="n"/>
      <c r="Q513" s="75" t="n">
        <v>45883.64583333334</v>
      </c>
      <c r="R513" s="75" t="n">
        <v>45883.73958333334</v>
      </c>
      <c r="S513" s="76" t="n">
        <v>4.4</v>
      </c>
      <c r="T513" s="76" t="n">
        <v>2.25</v>
      </c>
      <c r="U513" s="70">
        <f>IF($A513="","",IFERROR(INDEX('Techniciens'!$F$5:$F$44,MATCH(O513,'Techniciens'!$B$5:$B$44,0)),'Paramètres'!$AA$10))</f>
        <v/>
      </c>
      <c r="V513" s="70">
        <f>IF($A513="","",IF(OR(AC513="Demandé",AC513="Planifié",AC513="Annulé"),0,N(T513)*N(U513)))</f>
        <v/>
      </c>
      <c r="W513" s="70">
        <f>IF($A513="","",SUMIFS('Mouvements stock'!$H$5:$H$3004,'Mouvements stock'!$I$5:$I$3004,$A513,'Mouvements stock'!$C$5:$C$3004,"Sortie")-SUMIFS('Mouvements stock'!$H$5:$H$3004,'Mouvements stock'!$I$5:$I$3004,$A513,'Mouvements stock'!$C$5:$C$3004,"Retour"))</f>
        <v/>
      </c>
      <c r="X513" s="66" t="n">
        <v>0</v>
      </c>
      <c r="Y513" s="66" t="n">
        <v>0</v>
      </c>
      <c r="Z513" s="7" t="n"/>
      <c r="AA513" s="70">
        <f>IF($A513="","",N(V513)+N(W513)+N(X513)+N(Y513))</f>
        <v/>
      </c>
      <c r="AB513" s="70">
        <f>IF($A513="","",N(S513)*'Paramètres'!$AA$9*IFERROR(INDEX('Paramètres'!$O$5:$O$7,MATCH(G513,'Paramètres'!$N$5:$N$7,0)),0))</f>
        <v/>
      </c>
      <c r="AC513" s="7" t="inlineStr">
        <is>
          <t>Clôturé</t>
        </is>
      </c>
      <c r="AD513" s="69">
        <f>IF(OR($A513="",Q513=""),"",(Q513-B513)*24)</f>
        <v/>
      </c>
      <c r="AE513" s="69">
        <f>IF(OR(Q513="",R513=""),"",(R513-Q513)*24)</f>
        <v/>
      </c>
      <c r="AF513" s="77">
        <f>IF(OR($A513="",B513=""),"",YEAR(B513))</f>
        <v/>
      </c>
      <c r="AG513" s="77">
        <f>IF(OR($A513="",B513=""),"",MONTH(B513))</f>
        <v/>
      </c>
    </row>
    <row r="514">
      <c r="A514" s="7" t="inlineStr">
        <is>
          <t>OT-2025-0510</t>
        </is>
      </c>
      <c r="B514" s="75" t="n">
        <v>45883.72083333333</v>
      </c>
      <c r="C514" s="7" t="inlineStr">
        <is>
          <t>Sylvie Mathieu (resp. logistique)</t>
        </is>
      </c>
      <c r="D514" s="7" t="inlineStr">
        <is>
          <t>EQ-LOG-006</t>
        </is>
      </c>
      <c r="E514" s="9">
        <f>IF(D514="","",IFERROR(INDEX('Équipements'!$B$5:$B$304,MATCH(D514,'Équipements'!$A$5:$A$304,0)),"Code inconnu"))</f>
        <v/>
      </c>
      <c r="F514" s="9">
        <f>IF(D514="","",IFERROR(INDEX('Équipements'!$D$5:$D$304,MATCH(D514,'Équipements'!$A$5:$A$304,0)),""))</f>
        <v/>
      </c>
      <c r="G514" s="9">
        <f>IF(D514="","",IFERROR(INDEX('Équipements'!$K$5:$K$304,MATCH(D514,'Équipements'!$A$5:$A$304,0)),""))</f>
        <v/>
      </c>
      <c r="H514" s="7" t="inlineStr">
        <is>
          <t>Correctif</t>
        </is>
      </c>
      <c r="I514" s="7" t="n"/>
      <c r="J514" s="7" t="inlineStr">
        <is>
          <t>Électrique</t>
        </is>
      </c>
      <c r="K514" s="7" t="inlineStr">
        <is>
          <t>P1 - Urgent</t>
        </is>
      </c>
      <c r="L514" s="7" t="inlineStr">
        <is>
          <t>Fin de course de levage HS</t>
        </is>
      </c>
      <c r="M514" s="7" t="inlineStr">
        <is>
          <t>Défaut capteur</t>
        </is>
      </c>
      <c r="N514" s="7" t="inlineStr">
        <is>
          <t>Remplacement fin de course</t>
        </is>
      </c>
      <c r="O514" s="7" t="inlineStr">
        <is>
          <t>Antoine Mercier</t>
        </is>
      </c>
      <c r="P514" s="65" t="n"/>
      <c r="Q514" s="75" t="n">
        <v>45883.73194444444</v>
      </c>
      <c r="R514" s="75" t="n">
        <v>45883.99236111111</v>
      </c>
      <c r="S514" s="76" t="n">
        <v>6.5</v>
      </c>
      <c r="T514" s="76" t="n">
        <v>6.25</v>
      </c>
      <c r="U514" s="70">
        <f>IF($A514="","",IFERROR(INDEX('Techniciens'!$F$5:$F$44,MATCH(O514,'Techniciens'!$B$5:$B$44,0)),'Paramètres'!$AA$10))</f>
        <v/>
      </c>
      <c r="V514" s="70">
        <f>IF($A514="","",IF(OR(AC514="Demandé",AC514="Planifié",AC514="Annulé"),0,N(T514)*N(U514)))</f>
        <v/>
      </c>
      <c r="W514" s="70">
        <f>IF($A514="","",SUMIFS('Mouvements stock'!$H$5:$H$3004,'Mouvements stock'!$I$5:$I$3004,$A514,'Mouvements stock'!$C$5:$C$3004,"Sortie")-SUMIFS('Mouvements stock'!$H$5:$H$3004,'Mouvements stock'!$I$5:$I$3004,$A514,'Mouvements stock'!$C$5:$C$3004,"Retour"))</f>
        <v/>
      </c>
      <c r="X514" s="66" t="n">
        <v>0</v>
      </c>
      <c r="Y514" s="66" t="n">
        <v>0</v>
      </c>
      <c r="Z514" s="7" t="n"/>
      <c r="AA514" s="70">
        <f>IF($A514="","",N(V514)+N(W514)+N(X514)+N(Y514))</f>
        <v/>
      </c>
      <c r="AB514" s="70">
        <f>IF($A514="","",N(S514)*'Paramètres'!$AA$9*IFERROR(INDEX('Paramètres'!$O$5:$O$7,MATCH(G514,'Paramètres'!$N$5:$N$7,0)),0))</f>
        <v/>
      </c>
      <c r="AC514" s="7" t="inlineStr">
        <is>
          <t>Clôturé</t>
        </is>
      </c>
      <c r="AD514" s="69">
        <f>IF(OR($A514="",Q514=""),"",(Q514-B514)*24)</f>
        <v/>
      </c>
      <c r="AE514" s="69">
        <f>IF(OR(Q514="",R514=""),"",(R514-Q514)*24)</f>
        <v/>
      </c>
      <c r="AF514" s="77">
        <f>IF(OR($A514="",B514=""),"",YEAR(B514))</f>
        <v/>
      </c>
      <c r="AG514" s="77">
        <f>IF(OR($A514="",B514=""),"",MONTH(B514))</f>
        <v/>
      </c>
    </row>
    <row r="515">
      <c r="A515" s="7" t="inlineStr">
        <is>
          <t>OT-2025-0511</t>
        </is>
      </c>
      <c r="B515" s="75" t="n">
        <v>45884.34375</v>
      </c>
      <c r="C515" s="7" t="inlineStr">
        <is>
          <t>Plan préventif</t>
        </is>
      </c>
      <c r="D515" s="7" t="inlineStr">
        <is>
          <t>EQ-UTI-007</t>
        </is>
      </c>
      <c r="E515" s="9">
        <f>IF(D515="","",IFERROR(INDEX('Équipements'!$B$5:$B$304,MATCH(D515,'Équipements'!$A$5:$A$304,0)),"Code inconnu"))</f>
        <v/>
      </c>
      <c r="F515" s="9">
        <f>IF(D515="","",IFERROR(INDEX('Équipements'!$D$5:$D$304,MATCH(D515,'Équipements'!$A$5:$A$304,0)),""))</f>
        <v/>
      </c>
      <c r="G515" s="9">
        <f>IF(D515="","",IFERROR(INDEX('Équipements'!$K$5:$K$304,MATCH(D515,'Équipements'!$A$5:$A$304,0)),""))</f>
        <v/>
      </c>
      <c r="H515" s="7" t="inlineStr">
        <is>
          <t>Préventif systématique</t>
        </is>
      </c>
      <c r="I515" s="7" t="inlineStr">
        <is>
          <t>GP-098</t>
        </is>
      </c>
      <c r="J515" s="7" t="inlineStr">
        <is>
          <t>Électrique</t>
        </is>
      </c>
      <c r="K515" s="7" t="inlineStr">
        <is>
          <t>P3 - Normale</t>
        </is>
      </c>
      <c r="L515" s="7" t="inlineStr">
        <is>
          <t>Essai de fonctionnement / contrôle visuel</t>
        </is>
      </c>
      <c r="M515" s="7" t="n"/>
      <c r="N515" s="7" t="inlineStr">
        <is>
          <t>Gamme réalisée - RAS</t>
        </is>
      </c>
      <c r="O515" s="7" t="inlineStr">
        <is>
          <t>Antoine Mercier</t>
        </is>
      </c>
      <c r="P515" s="65" t="n">
        <v>45891.61805555555</v>
      </c>
      <c r="Q515" s="75" t="n">
        <v>45891.60416666666</v>
      </c>
      <c r="R515" s="75" t="n">
        <v>45891.67708333334</v>
      </c>
      <c r="S515" s="76" t="n">
        <v>0</v>
      </c>
      <c r="T515" s="76" t="n">
        <v>1.75</v>
      </c>
      <c r="U515" s="70">
        <f>IF($A515="","",IFERROR(INDEX('Techniciens'!$F$5:$F$44,MATCH(O515,'Techniciens'!$B$5:$B$44,0)),'Paramètres'!$AA$10))</f>
        <v/>
      </c>
      <c r="V515" s="70">
        <f>IF($A515="","",IF(OR(AC515="Demandé",AC515="Planifié",AC515="Annulé"),0,N(T515)*N(U515)))</f>
        <v/>
      </c>
      <c r="W515" s="70">
        <f>IF($A515="","",SUMIFS('Mouvements stock'!$H$5:$H$3004,'Mouvements stock'!$I$5:$I$3004,$A515,'Mouvements stock'!$C$5:$C$3004,"Sortie")-SUMIFS('Mouvements stock'!$H$5:$H$3004,'Mouvements stock'!$I$5:$I$3004,$A515,'Mouvements stock'!$C$5:$C$3004,"Retour"))</f>
        <v/>
      </c>
      <c r="X515" s="66" t="n">
        <v>0</v>
      </c>
      <c r="Y515" s="66" t="n">
        <v>0</v>
      </c>
      <c r="Z515" s="7" t="n"/>
      <c r="AA515" s="70">
        <f>IF($A515="","",N(V515)+N(W515)+N(X515)+N(Y515))</f>
        <v/>
      </c>
      <c r="AB515" s="70">
        <f>IF($A515="","",N(S515)*'Paramètres'!$AA$9*IFERROR(INDEX('Paramètres'!$O$5:$O$7,MATCH(G515,'Paramètres'!$N$5:$N$7,0)),0))</f>
        <v/>
      </c>
      <c r="AC515" s="7" t="inlineStr">
        <is>
          <t>Clôturé</t>
        </is>
      </c>
      <c r="AD515" s="69">
        <f>IF(OR($A515="",Q515=""),"",(Q515-B515)*24)</f>
        <v/>
      </c>
      <c r="AE515" s="69">
        <f>IF(OR(Q515="",R515=""),"",(R515-Q515)*24)</f>
        <v/>
      </c>
      <c r="AF515" s="77">
        <f>IF(OR($A515="",B515=""),"",YEAR(B515))</f>
        <v/>
      </c>
      <c r="AG515" s="77">
        <f>IF(OR($A515="",B515=""),"",MONTH(B515))</f>
        <v/>
      </c>
    </row>
    <row r="516">
      <c r="A516" s="7" t="inlineStr">
        <is>
          <t>OT-2025-0512</t>
        </is>
      </c>
      <c r="B516" s="75" t="n">
        <v>45884.36458333334</v>
      </c>
      <c r="C516" s="7" t="inlineStr">
        <is>
          <t>Planning réglementaire</t>
        </is>
      </c>
      <c r="D516" s="7" t="inlineStr">
        <is>
          <t>EQ-LOG-004</t>
        </is>
      </c>
      <c r="E516" s="9">
        <f>IF(D516="","",IFERROR(INDEX('Équipements'!$B$5:$B$304,MATCH(D516,'Équipements'!$A$5:$A$304,0)),"Code inconnu"))</f>
        <v/>
      </c>
      <c r="F516" s="9">
        <f>IF(D516="","",IFERROR(INDEX('Équipements'!$D$5:$D$304,MATCH(D516,'Équipements'!$A$5:$A$304,0)),""))</f>
        <v/>
      </c>
      <c r="G516" s="9">
        <f>IF(D516="","",IFERROR(INDEX('Équipements'!$K$5:$K$304,MATCH(D516,'Équipements'!$A$5:$A$304,0)),""))</f>
        <v/>
      </c>
      <c r="H516" s="7" t="inlineStr">
        <is>
          <t>Réglementaire</t>
        </is>
      </c>
      <c r="I516" s="7" t="inlineStr">
        <is>
          <t>CR-007</t>
        </is>
      </c>
      <c r="J516" s="7" t="inlineStr">
        <is>
          <t>Multi-technique</t>
        </is>
      </c>
      <c r="K516" s="7" t="inlineStr">
        <is>
          <t>P2 - Haute</t>
        </is>
      </c>
      <c r="L516" s="7" t="inlineStr">
        <is>
          <t>VGP transpalette à conducteur porté/accompagnant</t>
        </is>
      </c>
      <c r="M516" s="7" t="n"/>
      <c r="N516" s="7" t="inlineStr">
        <is>
          <t>Contrôle réalisé - aucune observation</t>
        </is>
      </c>
      <c r="O516" s="7" t="inlineStr">
        <is>
          <t>Nadia Rousseau</t>
        </is>
      </c>
      <c r="P516" s="65" t="n">
        <v>45905</v>
      </c>
      <c r="Q516" s="75" t="n">
        <v>45905.40972222222</v>
      </c>
      <c r="R516" s="75" t="n">
        <v>45905.44097222222</v>
      </c>
      <c r="S516" s="76" t="n">
        <v>0</v>
      </c>
      <c r="T516" s="76" t="n">
        <v>0.75</v>
      </c>
      <c r="U516" s="70">
        <f>IF($A516="","",IFERROR(INDEX('Techniciens'!$F$5:$F$44,MATCH(O516,'Techniciens'!$B$5:$B$44,0)),'Paramètres'!$AA$10))</f>
        <v/>
      </c>
      <c r="V516" s="70">
        <f>IF($A516="","",IF(OR(AC516="Demandé",AC516="Planifié",AC516="Annulé"),0,N(T516)*N(U516)))</f>
        <v/>
      </c>
      <c r="W516" s="70">
        <f>IF($A516="","",SUMIFS('Mouvements stock'!$H$5:$H$3004,'Mouvements stock'!$I$5:$I$3004,$A516,'Mouvements stock'!$C$5:$C$3004,"Sortie")-SUMIFS('Mouvements stock'!$H$5:$H$3004,'Mouvements stock'!$I$5:$I$3004,$A516,'Mouvements stock'!$C$5:$C$3004,"Retour"))</f>
        <v/>
      </c>
      <c r="X516" s="66" t="n">
        <v>0</v>
      </c>
      <c r="Y516" s="66" t="n">
        <v>90</v>
      </c>
      <c r="Z516" s="7" t="inlineStr">
        <is>
          <t>CONTROLIS (organisme fictif)</t>
        </is>
      </c>
      <c r="AA516" s="70">
        <f>IF($A516="","",N(V516)+N(W516)+N(X516)+N(Y516))</f>
        <v/>
      </c>
      <c r="AB516" s="70">
        <f>IF($A516="","",N(S516)*'Paramètres'!$AA$9*IFERROR(INDEX('Paramètres'!$O$5:$O$7,MATCH(G516,'Paramètres'!$N$5:$N$7,0)),0))</f>
        <v/>
      </c>
      <c r="AC516" s="7" t="inlineStr">
        <is>
          <t>Clôturé</t>
        </is>
      </c>
      <c r="AD516" s="69">
        <f>IF(OR($A516="",Q516=""),"",(Q516-B516)*24)</f>
        <v/>
      </c>
      <c r="AE516" s="69">
        <f>IF(OR(Q516="",R516=""),"",(R516-Q516)*24)</f>
        <v/>
      </c>
      <c r="AF516" s="77">
        <f>IF(OR($A516="",B516=""),"",YEAR(B516))</f>
        <v/>
      </c>
      <c r="AG516" s="77">
        <f>IF(OR($A516="",B516=""),"",MONTH(B516))</f>
        <v/>
      </c>
    </row>
    <row r="517">
      <c r="A517" s="7" t="inlineStr">
        <is>
          <t>OT-2025-0513</t>
        </is>
      </c>
      <c r="B517" s="75" t="n">
        <v>45884.78194444445</v>
      </c>
      <c r="C517" s="7" t="inlineStr">
        <is>
          <t>Marc Lefèvre</t>
        </is>
      </c>
      <c r="D517" s="7" t="inlineStr">
        <is>
          <t>EQ-UTI-008</t>
        </is>
      </c>
      <c r="E517" s="9">
        <f>IF(D517="","",IFERROR(INDEX('Équipements'!$B$5:$B$304,MATCH(D517,'Équipements'!$A$5:$A$304,0)),"Code inconnu"))</f>
        <v/>
      </c>
      <c r="F517" s="9">
        <f>IF(D517="","",IFERROR(INDEX('Équipements'!$D$5:$D$304,MATCH(D517,'Équipements'!$A$5:$A$304,0)),""))</f>
        <v/>
      </c>
      <c r="G517" s="9">
        <f>IF(D517="","",IFERROR(INDEX('Équipements'!$K$5:$K$304,MATCH(D517,'Équipements'!$A$5:$A$304,0)),""))</f>
        <v/>
      </c>
      <c r="H517" s="7" t="inlineStr">
        <is>
          <t>Correctif</t>
        </is>
      </c>
      <c r="I517" s="7" t="n"/>
      <c r="J517" s="7" t="inlineStr">
        <is>
          <t>Électrique</t>
        </is>
      </c>
      <c r="K517" s="7" t="inlineStr">
        <is>
          <t>P1 - Urgent</t>
        </is>
      </c>
      <c r="L517" s="7" t="inlineStr">
        <is>
          <t>Déclenchement disjoncteur départ atelier</t>
        </is>
      </c>
      <c r="M517" s="7" t="inlineStr">
        <is>
          <t>Défaut électrique</t>
        </is>
      </c>
      <c r="N517" s="7" t="inlineStr">
        <is>
          <t>Recherche défaut d'isolement, remplacement disjoncteur</t>
        </is>
      </c>
      <c r="O517" s="7" t="inlineStr">
        <is>
          <t>Julien Moreau</t>
        </is>
      </c>
      <c r="P517" s="65" t="n"/>
      <c r="Q517" s="75" t="n">
        <v>45884.81458333333</v>
      </c>
      <c r="R517" s="75" t="n">
        <v>45885.11666666667</v>
      </c>
      <c r="S517" s="76" t="n">
        <v>8</v>
      </c>
      <c r="T517" s="76" t="n">
        <v>7.25</v>
      </c>
      <c r="U517" s="70">
        <f>IF($A517="","",IFERROR(INDEX('Techniciens'!$F$5:$F$44,MATCH(O517,'Techniciens'!$B$5:$B$44,0)),'Paramètres'!$AA$10))</f>
        <v/>
      </c>
      <c r="V517" s="70">
        <f>IF($A517="","",IF(OR(AC517="Demandé",AC517="Planifié",AC517="Annulé"),0,N(T517)*N(U517)))</f>
        <v/>
      </c>
      <c r="W517" s="70">
        <f>IF($A517="","",SUMIFS('Mouvements stock'!$H$5:$H$3004,'Mouvements stock'!$I$5:$I$3004,$A517,'Mouvements stock'!$C$5:$C$3004,"Sortie")-SUMIFS('Mouvements stock'!$H$5:$H$3004,'Mouvements stock'!$I$5:$I$3004,$A517,'Mouvements stock'!$C$5:$C$3004,"Retour"))</f>
        <v/>
      </c>
      <c r="X517" s="66" t="n">
        <v>0</v>
      </c>
      <c r="Y517" s="66" t="n">
        <v>0</v>
      </c>
      <c r="Z517" s="7" t="n"/>
      <c r="AA517" s="70">
        <f>IF($A517="","",N(V517)+N(W517)+N(X517)+N(Y517))</f>
        <v/>
      </c>
      <c r="AB517" s="70">
        <f>IF($A517="","",N(S517)*'Paramètres'!$AA$9*IFERROR(INDEX('Paramètres'!$O$5:$O$7,MATCH(G517,'Paramètres'!$N$5:$N$7,0)),0))</f>
        <v/>
      </c>
      <c r="AC517" s="7" t="inlineStr">
        <is>
          <t>Clôturé</t>
        </is>
      </c>
      <c r="AD517" s="69">
        <f>IF(OR($A517="",Q517=""),"",(Q517-B517)*24)</f>
        <v/>
      </c>
      <c r="AE517" s="69">
        <f>IF(OR(Q517="",R517=""),"",(R517-Q517)*24)</f>
        <v/>
      </c>
      <c r="AF517" s="77">
        <f>IF(OR($A517="",B517=""),"",YEAR(B517))</f>
        <v/>
      </c>
      <c r="AG517" s="77">
        <f>IF(OR($A517="",B517=""),"",MONTH(B517))</f>
        <v/>
      </c>
    </row>
    <row r="518">
      <c r="A518" s="7" t="inlineStr">
        <is>
          <t>OT-2025-0514</t>
        </is>
      </c>
      <c r="B518" s="75" t="n">
        <v>45887.33333333334</v>
      </c>
      <c r="C518" s="7" t="inlineStr">
        <is>
          <t>Plan préventif</t>
        </is>
      </c>
      <c r="D518" s="7" t="inlineStr">
        <is>
          <t>EQ-ASS-003</t>
        </is>
      </c>
      <c r="E518" s="9">
        <f>IF(D518="","",IFERROR(INDEX('Équipements'!$B$5:$B$304,MATCH(D518,'Équipements'!$A$5:$A$304,0)),"Code inconnu"))</f>
        <v/>
      </c>
      <c r="F518" s="9">
        <f>IF(D518="","",IFERROR(INDEX('Équipements'!$D$5:$D$304,MATCH(D518,'Équipements'!$A$5:$A$304,0)),""))</f>
        <v/>
      </c>
      <c r="G518" s="9">
        <f>IF(D518="","",IFERROR(INDEX('Équipements'!$K$5:$K$304,MATCH(D518,'Équipements'!$A$5:$A$304,0)),""))</f>
        <v/>
      </c>
      <c r="H518" s="7" t="inlineStr">
        <is>
          <t>Préventif systématique</t>
        </is>
      </c>
      <c r="I518" s="7" t="inlineStr">
        <is>
          <t>GP-081</t>
        </is>
      </c>
      <c r="J518" s="7" t="inlineStr">
        <is>
          <t>Automatisme</t>
        </is>
      </c>
      <c r="K518" s="7" t="inlineStr">
        <is>
          <t>P3 - Normale</t>
        </is>
      </c>
      <c r="L518" s="7" t="inlineStr">
        <is>
          <t>Contrôle, nettoyage et sauvegarde programmes</t>
        </is>
      </c>
      <c r="M518" s="7" t="n"/>
      <c r="N518" s="7" t="inlineStr">
        <is>
          <t>Gamme réalisée - RAS</t>
        </is>
      </c>
      <c r="O518" s="7" t="inlineStr">
        <is>
          <t>Julien Moreau</t>
        </is>
      </c>
      <c r="P518" s="65" t="n">
        <v>45894.46527777778</v>
      </c>
      <c r="Q518" s="75" t="n">
        <v>45894.44444444445</v>
      </c>
      <c r="R518" s="75" t="n">
        <v>45894.49652777778</v>
      </c>
      <c r="S518" s="76" t="n">
        <v>0</v>
      </c>
      <c r="T518" s="76" t="n">
        <v>1.25</v>
      </c>
      <c r="U518" s="70">
        <f>IF($A518="","",IFERROR(INDEX('Techniciens'!$F$5:$F$44,MATCH(O518,'Techniciens'!$B$5:$B$44,0)),'Paramètres'!$AA$10))</f>
        <v/>
      </c>
      <c r="V518" s="70">
        <f>IF($A518="","",IF(OR(AC518="Demandé",AC518="Planifié",AC518="Annulé"),0,N(T518)*N(U518)))</f>
        <v/>
      </c>
      <c r="W518" s="70">
        <f>IF($A518="","",SUMIFS('Mouvements stock'!$H$5:$H$3004,'Mouvements stock'!$I$5:$I$3004,$A518,'Mouvements stock'!$C$5:$C$3004,"Sortie")-SUMIFS('Mouvements stock'!$H$5:$H$3004,'Mouvements stock'!$I$5:$I$3004,$A518,'Mouvements stock'!$C$5:$C$3004,"Retour"))</f>
        <v/>
      </c>
      <c r="X518" s="66" t="n">
        <v>0</v>
      </c>
      <c r="Y518" s="66" t="n">
        <v>0</v>
      </c>
      <c r="Z518" s="7" t="n"/>
      <c r="AA518" s="70">
        <f>IF($A518="","",N(V518)+N(W518)+N(X518)+N(Y518))</f>
        <v/>
      </c>
      <c r="AB518" s="70">
        <f>IF($A518="","",N(S518)*'Paramètres'!$AA$9*IFERROR(INDEX('Paramètres'!$O$5:$O$7,MATCH(G518,'Paramètres'!$N$5:$N$7,0)),0))</f>
        <v/>
      </c>
      <c r="AC518" s="7" t="inlineStr">
        <is>
          <t>Clôturé</t>
        </is>
      </c>
      <c r="AD518" s="69">
        <f>IF(OR($A518="",Q518=""),"",(Q518-B518)*24)</f>
        <v/>
      </c>
      <c r="AE518" s="69">
        <f>IF(OR(Q518="",R518=""),"",(R518-Q518)*24)</f>
        <v/>
      </c>
      <c r="AF518" s="77">
        <f>IF(OR($A518="",B518=""),"",YEAR(B518))</f>
        <v/>
      </c>
      <c r="AG518" s="77">
        <f>IF(OR($A518="",B518=""),"",MONTH(B518))</f>
        <v/>
      </c>
    </row>
    <row r="519">
      <c r="A519" s="7" t="inlineStr">
        <is>
          <t>OT-2025-0515</t>
        </is>
      </c>
      <c r="B519" s="75" t="n">
        <v>45887.36111111111</v>
      </c>
      <c r="C519" s="7" t="inlineStr">
        <is>
          <t>Plan préventif</t>
        </is>
      </c>
      <c r="D519" s="7" t="inlineStr">
        <is>
          <t>EQ-USI-004</t>
        </is>
      </c>
      <c r="E519" s="9">
        <f>IF(D519="","",IFERROR(INDEX('Équipements'!$B$5:$B$304,MATCH(D519,'Équipements'!$A$5:$A$304,0)),"Code inconnu"))</f>
        <v/>
      </c>
      <c r="F519" s="9">
        <f>IF(D519="","",IFERROR(INDEX('Équipements'!$D$5:$D$304,MATCH(D519,'Équipements'!$A$5:$A$304,0)),""))</f>
        <v/>
      </c>
      <c r="G519" s="9">
        <f>IF(D519="","",IFERROR(INDEX('Équipements'!$K$5:$K$304,MATCH(D519,'Équipements'!$A$5:$A$304,0)),""))</f>
        <v/>
      </c>
      <c r="H519" s="7" t="inlineStr">
        <is>
          <t>Préventif systématique</t>
        </is>
      </c>
      <c r="I519" s="7" t="inlineStr">
        <is>
          <t>GP-013</t>
        </is>
      </c>
      <c r="J519" s="7" t="inlineStr">
        <is>
          <t>Mécanique</t>
        </is>
      </c>
      <c r="K519" s="7" t="inlineStr">
        <is>
          <t>P3 - Normale</t>
        </is>
      </c>
      <c r="L519" s="7" t="inlineStr">
        <is>
          <t>Contrôle niveaux, nettoyage filtres et bac à copeaux</t>
        </is>
      </c>
      <c r="M519" s="7" t="n"/>
      <c r="N519" s="7" t="inlineStr">
        <is>
          <t>Gamme réalisée - RAS</t>
        </is>
      </c>
      <c r="O519" s="7" t="inlineStr">
        <is>
          <t>Lucas Fontaine</t>
        </is>
      </c>
      <c r="P519" s="65" t="n">
        <v>45894.50347222222</v>
      </c>
      <c r="Q519" s="75" t="n">
        <v>45894.38888888889</v>
      </c>
      <c r="R519" s="75" t="n">
        <v>45894.44097222222</v>
      </c>
      <c r="S519" s="76" t="n">
        <v>0</v>
      </c>
      <c r="T519" s="76" t="n">
        <v>1.25</v>
      </c>
      <c r="U519" s="70">
        <f>IF($A519="","",IFERROR(INDEX('Techniciens'!$F$5:$F$44,MATCH(O519,'Techniciens'!$B$5:$B$44,0)),'Paramètres'!$AA$10))</f>
        <v/>
      </c>
      <c r="V519" s="70">
        <f>IF($A519="","",IF(OR(AC519="Demandé",AC519="Planifié",AC519="Annulé"),0,N(T519)*N(U519)))</f>
        <v/>
      </c>
      <c r="W519" s="70">
        <f>IF($A519="","",SUMIFS('Mouvements stock'!$H$5:$H$3004,'Mouvements stock'!$I$5:$I$3004,$A519,'Mouvements stock'!$C$5:$C$3004,"Sortie")-SUMIFS('Mouvements stock'!$H$5:$H$3004,'Mouvements stock'!$I$5:$I$3004,$A519,'Mouvements stock'!$C$5:$C$3004,"Retour"))</f>
        <v/>
      </c>
      <c r="X519" s="66" t="n">
        <v>0</v>
      </c>
      <c r="Y519" s="66" t="n">
        <v>0</v>
      </c>
      <c r="Z519" s="7" t="n"/>
      <c r="AA519" s="70">
        <f>IF($A519="","",N(V519)+N(W519)+N(X519)+N(Y519))</f>
        <v/>
      </c>
      <c r="AB519" s="70">
        <f>IF($A519="","",N(S519)*'Paramètres'!$AA$9*IFERROR(INDEX('Paramètres'!$O$5:$O$7,MATCH(G519,'Paramètres'!$N$5:$N$7,0)),0))</f>
        <v/>
      </c>
      <c r="AC519" s="7" t="inlineStr">
        <is>
          <t>Clôturé</t>
        </is>
      </c>
      <c r="AD519" s="69">
        <f>IF(OR($A519="",Q519=""),"",(Q519-B519)*24)</f>
        <v/>
      </c>
      <c r="AE519" s="69">
        <f>IF(OR(Q519="",R519=""),"",(R519-Q519)*24)</f>
        <v/>
      </c>
      <c r="AF519" s="77">
        <f>IF(OR($A519="",B519=""),"",YEAR(B519))</f>
        <v/>
      </c>
      <c r="AG519" s="77">
        <f>IF(OR($A519="",B519=""),"",MONTH(B519))</f>
        <v/>
      </c>
    </row>
    <row r="520">
      <c r="A520" s="7" t="inlineStr">
        <is>
          <t>OT-2025-0516</t>
        </is>
      </c>
      <c r="B520" s="75" t="n">
        <v>45887.36458333334</v>
      </c>
      <c r="C520" s="7" t="inlineStr">
        <is>
          <t>Plan préventif</t>
        </is>
      </c>
      <c r="D520" s="7" t="inlineStr">
        <is>
          <t>EQ-TOL-003</t>
        </is>
      </c>
      <c r="E520" s="9">
        <f>IF(D520="","",IFERROR(INDEX('Équipements'!$B$5:$B$304,MATCH(D520,'Équipements'!$A$5:$A$304,0)),"Code inconnu"))</f>
        <v/>
      </c>
      <c r="F520" s="9">
        <f>IF(D520="","",IFERROR(INDEX('Équipements'!$D$5:$D$304,MATCH(D520,'Équipements'!$A$5:$A$304,0)),""))</f>
        <v/>
      </c>
      <c r="G520" s="9">
        <f>IF(D520="","",IFERROR(INDEX('Équipements'!$K$5:$K$304,MATCH(D520,'Équipements'!$A$5:$A$304,0)),""))</f>
        <v/>
      </c>
      <c r="H520" s="7" t="inlineStr">
        <is>
          <t>Préventif conditionnel</t>
        </is>
      </c>
      <c r="I520" s="7" t="inlineStr">
        <is>
          <t>GP-045</t>
        </is>
      </c>
      <c r="J520" s="7" t="inlineStr">
        <is>
          <t>Hydraulique</t>
        </is>
      </c>
      <c r="K520" s="7" t="inlineStr">
        <is>
          <t>P3 - Normale</t>
        </is>
      </c>
      <c r="L520" s="7" t="inlineStr">
        <is>
          <t>Vidange huile hydraulique et filtres</t>
        </is>
      </c>
      <c r="M520" s="7" t="n"/>
      <c r="N520" s="7" t="inlineStr">
        <is>
          <t>Gamme réalisée - RAS</t>
        </is>
      </c>
      <c r="O520" s="7" t="inlineStr">
        <is>
          <t>Karim Benali</t>
        </is>
      </c>
      <c r="P520" s="65" t="n">
        <v>45894</v>
      </c>
      <c r="Q520" s="75" t="n">
        <v>45894.40625</v>
      </c>
      <c r="R520" s="75" t="n">
        <v>45894.64583333334</v>
      </c>
      <c r="S520" s="76" t="n">
        <v>5.8</v>
      </c>
      <c r="T520" s="76" t="n">
        <v>5.75</v>
      </c>
      <c r="U520" s="70">
        <f>IF($A520="","",IFERROR(INDEX('Techniciens'!$F$5:$F$44,MATCH(O520,'Techniciens'!$B$5:$B$44,0)),'Paramètres'!$AA$10))</f>
        <v/>
      </c>
      <c r="V520" s="70">
        <f>IF($A520="","",IF(OR(AC520="Demandé",AC520="Planifié",AC520="Annulé"),0,N(T520)*N(U520)))</f>
        <v/>
      </c>
      <c r="W520" s="70">
        <f>IF($A520="","",SUMIFS('Mouvements stock'!$H$5:$H$3004,'Mouvements stock'!$I$5:$I$3004,$A520,'Mouvements stock'!$C$5:$C$3004,"Sortie")-SUMIFS('Mouvements stock'!$H$5:$H$3004,'Mouvements stock'!$I$5:$I$3004,$A520,'Mouvements stock'!$C$5:$C$3004,"Retour"))</f>
        <v/>
      </c>
      <c r="X520" s="66" t="n">
        <v>0</v>
      </c>
      <c r="Y520" s="66" t="n">
        <v>0</v>
      </c>
      <c r="Z520" s="7" t="n"/>
      <c r="AA520" s="70">
        <f>IF($A520="","",N(V520)+N(W520)+N(X520)+N(Y520))</f>
        <v/>
      </c>
      <c r="AB520" s="70">
        <f>IF($A520="","",N(S520)*'Paramètres'!$AA$9*IFERROR(INDEX('Paramètres'!$O$5:$O$7,MATCH(G520,'Paramètres'!$N$5:$N$7,0)),0))</f>
        <v/>
      </c>
      <c r="AC520" s="7" t="inlineStr">
        <is>
          <t>Clôturé</t>
        </is>
      </c>
      <c r="AD520" s="69">
        <f>IF(OR($A520="",Q520=""),"",(Q520-B520)*24)</f>
        <v/>
      </c>
      <c r="AE520" s="69">
        <f>IF(OR(Q520="",R520=""),"",(R520-Q520)*24)</f>
        <v/>
      </c>
      <c r="AF520" s="77">
        <f>IF(OR($A520="",B520=""),"",YEAR(B520))</f>
        <v/>
      </c>
      <c r="AG520" s="77">
        <f>IF(OR($A520="",B520=""),"",MONTH(B520))</f>
        <v/>
      </c>
    </row>
    <row r="521">
      <c r="A521" s="7" t="inlineStr">
        <is>
          <t>OT-2025-0517</t>
        </is>
      </c>
      <c r="B521" s="75" t="n">
        <v>45887.41666666666</v>
      </c>
      <c r="C521" s="7" t="inlineStr">
        <is>
          <t>Plan préventif</t>
        </is>
      </c>
      <c r="D521" s="7" t="inlineStr">
        <is>
          <t>EQ-USI-006</t>
        </is>
      </c>
      <c r="E521" s="9">
        <f>IF(D521="","",IFERROR(INDEX('Équipements'!$B$5:$B$304,MATCH(D521,'Équipements'!$A$5:$A$304,0)),"Code inconnu"))</f>
        <v/>
      </c>
      <c r="F521" s="9">
        <f>IF(D521="","",IFERROR(INDEX('Équipements'!$D$5:$D$304,MATCH(D521,'Équipements'!$A$5:$A$304,0)),""))</f>
        <v/>
      </c>
      <c r="G521" s="9">
        <f>IF(D521="","",IFERROR(INDEX('Équipements'!$K$5:$K$304,MATCH(D521,'Équipements'!$A$5:$A$304,0)),""))</f>
        <v/>
      </c>
      <c r="H521" s="7" t="inlineStr">
        <is>
          <t>Préventif systématique</t>
        </is>
      </c>
      <c r="I521" s="7" t="inlineStr">
        <is>
          <t>GP-023</t>
        </is>
      </c>
      <c r="J521" s="7" t="inlineStr">
        <is>
          <t>Hydraulique</t>
        </is>
      </c>
      <c r="K521" s="7" t="inlineStr">
        <is>
          <t>P3 - Normale</t>
        </is>
      </c>
      <c r="L521" s="7" t="inlineStr">
        <is>
          <t>Vidange groupe hydraulique et remplacement filtres</t>
        </is>
      </c>
      <c r="M521" s="7" t="n"/>
      <c r="N521" s="7" t="inlineStr">
        <is>
          <t>Gamme réalisée - RAS</t>
        </is>
      </c>
      <c r="O521" s="7" t="inlineStr">
        <is>
          <t>Karim Benali</t>
        </is>
      </c>
      <c r="P521" s="65" t="n">
        <v>45894</v>
      </c>
      <c r="Q521" s="75" t="n">
        <v>45894.3125</v>
      </c>
      <c r="R521" s="75" t="n">
        <v>45894.46875</v>
      </c>
      <c r="S521" s="76" t="n">
        <v>0</v>
      </c>
      <c r="T521" s="76" t="n">
        <v>3.75</v>
      </c>
      <c r="U521" s="70">
        <f>IF($A521="","",IFERROR(INDEX('Techniciens'!$F$5:$F$44,MATCH(O521,'Techniciens'!$B$5:$B$44,0)),'Paramètres'!$AA$10))</f>
        <v/>
      </c>
      <c r="V521" s="70">
        <f>IF($A521="","",IF(OR(AC521="Demandé",AC521="Planifié",AC521="Annulé"),0,N(T521)*N(U521)))</f>
        <v/>
      </c>
      <c r="W521" s="70">
        <f>IF($A521="","",SUMIFS('Mouvements stock'!$H$5:$H$3004,'Mouvements stock'!$I$5:$I$3004,$A521,'Mouvements stock'!$C$5:$C$3004,"Sortie")-SUMIFS('Mouvements stock'!$H$5:$H$3004,'Mouvements stock'!$I$5:$I$3004,$A521,'Mouvements stock'!$C$5:$C$3004,"Retour"))</f>
        <v/>
      </c>
      <c r="X521" s="66" t="n">
        <v>0</v>
      </c>
      <c r="Y521" s="66" t="n">
        <v>0</v>
      </c>
      <c r="Z521" s="7" t="n"/>
      <c r="AA521" s="70">
        <f>IF($A521="","",N(V521)+N(W521)+N(X521)+N(Y521))</f>
        <v/>
      </c>
      <c r="AB521" s="70">
        <f>IF($A521="","",N(S521)*'Paramètres'!$AA$9*IFERROR(INDEX('Paramètres'!$O$5:$O$7,MATCH(G521,'Paramètres'!$N$5:$N$7,0)),0))</f>
        <v/>
      </c>
      <c r="AC521" s="7" t="inlineStr">
        <is>
          <t>Clôturé</t>
        </is>
      </c>
      <c r="AD521" s="69">
        <f>IF(OR($A521="",Q521=""),"",(Q521-B521)*24)</f>
        <v/>
      </c>
      <c r="AE521" s="69">
        <f>IF(OR(Q521="",R521=""),"",(R521-Q521)*24)</f>
        <v/>
      </c>
      <c r="AF521" s="77">
        <f>IF(OR($A521="",B521=""),"",YEAR(B521))</f>
        <v/>
      </c>
      <c r="AG521" s="77">
        <f>IF(OR($A521="",B521=""),"",MONTH(B521))</f>
        <v/>
      </c>
    </row>
    <row r="522">
      <c r="A522" s="7" t="inlineStr">
        <is>
          <t>OT-2025-0518</t>
        </is>
      </c>
      <c r="B522" s="75" t="n">
        <v>45887.48611111111</v>
      </c>
      <c r="C522" s="7" t="inlineStr">
        <is>
          <t>Plan préventif</t>
        </is>
      </c>
      <c r="D522" s="7" t="inlineStr">
        <is>
          <t>EQ-UTI-001</t>
        </is>
      </c>
      <c r="E522" s="9">
        <f>IF(D522="","",IFERROR(INDEX('Équipements'!$B$5:$B$304,MATCH(D522,'Équipements'!$A$5:$A$304,0)),"Code inconnu"))</f>
        <v/>
      </c>
      <c r="F522" s="9">
        <f>IF(D522="","",IFERROR(INDEX('Équipements'!$D$5:$D$304,MATCH(D522,'Équipements'!$A$5:$A$304,0)),""))</f>
        <v/>
      </c>
      <c r="G522" s="9">
        <f>IF(D522="","",IFERROR(INDEX('Équipements'!$K$5:$K$304,MATCH(D522,'Équipements'!$A$5:$A$304,0)),""))</f>
        <v/>
      </c>
      <c r="H522" s="7" t="inlineStr">
        <is>
          <t>Préventif conditionnel</t>
        </is>
      </c>
      <c r="I522" s="7" t="inlineStr">
        <is>
          <t>GP-087</t>
        </is>
      </c>
      <c r="J522" s="7" t="inlineStr">
        <is>
          <t>Mécanique</t>
        </is>
      </c>
      <c r="K522" s="7" t="inlineStr">
        <is>
          <t>P3 - Normale</t>
        </is>
      </c>
      <c r="L522" s="7" t="inlineStr">
        <is>
          <t>Entretien 2000 h : filtres air/huile, séparateur</t>
        </is>
      </c>
      <c r="M522" s="7" t="n"/>
      <c r="N522" s="7" t="inlineStr">
        <is>
          <t>Gamme réalisée - RAS</t>
        </is>
      </c>
      <c r="O522" s="7" t="inlineStr">
        <is>
          <t>Lucas Fontaine</t>
        </is>
      </c>
      <c r="P522" s="65" t="n">
        <v>45894.60069444445</v>
      </c>
      <c r="Q522" s="75" t="n">
        <v>45894.39583333334</v>
      </c>
      <c r="R522" s="75" t="n">
        <v>45894.57291666666</v>
      </c>
      <c r="S522" s="76" t="n">
        <v>0</v>
      </c>
      <c r="T522" s="76" t="n">
        <v>4.25</v>
      </c>
      <c r="U522" s="70">
        <f>IF($A522="","",IFERROR(INDEX('Techniciens'!$F$5:$F$44,MATCH(O522,'Techniciens'!$B$5:$B$44,0)),'Paramètres'!$AA$10))</f>
        <v/>
      </c>
      <c r="V522" s="70">
        <f>IF($A522="","",IF(OR(AC522="Demandé",AC522="Planifié",AC522="Annulé"),0,N(T522)*N(U522)))</f>
        <v/>
      </c>
      <c r="W522" s="70">
        <f>IF($A522="","",SUMIFS('Mouvements stock'!$H$5:$H$3004,'Mouvements stock'!$I$5:$I$3004,$A522,'Mouvements stock'!$C$5:$C$3004,"Sortie")-SUMIFS('Mouvements stock'!$H$5:$H$3004,'Mouvements stock'!$I$5:$I$3004,$A522,'Mouvements stock'!$C$5:$C$3004,"Retour"))</f>
        <v/>
      </c>
      <c r="X522" s="66" t="n">
        <v>0</v>
      </c>
      <c r="Y522" s="66" t="n">
        <v>0</v>
      </c>
      <c r="Z522" s="7" t="n"/>
      <c r="AA522" s="70">
        <f>IF($A522="","",N(V522)+N(W522)+N(X522)+N(Y522))</f>
        <v/>
      </c>
      <c r="AB522" s="70">
        <f>IF($A522="","",N(S522)*'Paramètres'!$AA$9*IFERROR(INDEX('Paramètres'!$O$5:$O$7,MATCH(G522,'Paramètres'!$N$5:$N$7,0)),0))</f>
        <v/>
      </c>
      <c r="AC522" s="7" t="inlineStr">
        <is>
          <t>Clôturé</t>
        </is>
      </c>
      <c r="AD522" s="69">
        <f>IF(OR($A522="",Q522=""),"",(Q522-B522)*24)</f>
        <v/>
      </c>
      <c r="AE522" s="69">
        <f>IF(OR(Q522="",R522=""),"",(R522-Q522)*24)</f>
        <v/>
      </c>
      <c r="AF522" s="77">
        <f>IF(OR($A522="",B522=""),"",YEAR(B522))</f>
        <v/>
      </c>
      <c r="AG522" s="77">
        <f>IF(OR($A522="",B522=""),"",MONTH(B522))</f>
        <v/>
      </c>
    </row>
    <row r="523">
      <c r="A523" s="7" t="inlineStr">
        <is>
          <t>OT-2025-0519</t>
        </is>
      </c>
      <c r="B523" s="75" t="n">
        <v>45887.61111111111</v>
      </c>
      <c r="C523" s="7" t="inlineStr">
        <is>
          <t>Éric Laurent (chef d'atelier)</t>
        </is>
      </c>
      <c r="D523" s="7" t="inlineStr">
        <is>
          <t>EQ-USI-001</t>
        </is>
      </c>
      <c r="E523" s="9">
        <f>IF(D523="","",IFERROR(INDEX('Équipements'!$B$5:$B$304,MATCH(D523,'Équipements'!$A$5:$A$304,0)),"Code inconnu"))</f>
        <v/>
      </c>
      <c r="F523" s="9">
        <f>IF(D523="","",IFERROR(INDEX('Équipements'!$D$5:$D$304,MATCH(D523,'Équipements'!$A$5:$A$304,0)),""))</f>
        <v/>
      </c>
      <c r="G523" s="9">
        <f>IF(D523="","",IFERROR(INDEX('Équipements'!$K$5:$K$304,MATCH(D523,'Équipements'!$A$5:$A$304,0)),""))</f>
        <v/>
      </c>
      <c r="H523" s="7" t="inlineStr">
        <is>
          <t>Correctif</t>
        </is>
      </c>
      <c r="I523" s="7" t="n"/>
      <c r="J523" s="7" t="inlineStr">
        <is>
          <t>Électrique</t>
        </is>
      </c>
      <c r="K523" s="7" t="inlineStr">
        <is>
          <t>P2 - Haute</t>
        </is>
      </c>
      <c r="L523" s="7" t="inlineStr">
        <is>
          <t>Arrêt d'urgence intempestif</t>
        </is>
      </c>
      <c r="M523" s="7" t="inlineStr">
        <is>
          <t>Défaut électrique</t>
        </is>
      </c>
      <c r="N523" s="7" t="inlineStr">
        <is>
          <t>Recherche de panne, remplacement relais de sécurité</t>
        </is>
      </c>
      <c r="O523" s="7" t="inlineStr">
        <is>
          <t>Julien Moreau</t>
        </is>
      </c>
      <c r="P523" s="65" t="n"/>
      <c r="Q523" s="75" t="n">
        <v>45887.84652777778</v>
      </c>
      <c r="R523" s="75" t="n">
        <v>45887.96111111111</v>
      </c>
      <c r="S523" s="76" t="n">
        <v>8.4</v>
      </c>
      <c r="T523" s="76" t="n">
        <v>2.75</v>
      </c>
      <c r="U523" s="70">
        <f>IF($A523="","",IFERROR(INDEX('Techniciens'!$F$5:$F$44,MATCH(O523,'Techniciens'!$B$5:$B$44,0)),'Paramètres'!$AA$10))</f>
        <v/>
      </c>
      <c r="V523" s="70">
        <f>IF($A523="","",IF(OR(AC523="Demandé",AC523="Planifié",AC523="Annulé"),0,N(T523)*N(U523)))</f>
        <v/>
      </c>
      <c r="W523" s="70">
        <f>IF($A523="","",SUMIFS('Mouvements stock'!$H$5:$H$3004,'Mouvements stock'!$I$5:$I$3004,$A523,'Mouvements stock'!$C$5:$C$3004,"Sortie")-SUMIFS('Mouvements stock'!$H$5:$H$3004,'Mouvements stock'!$I$5:$I$3004,$A523,'Mouvements stock'!$C$5:$C$3004,"Retour"))</f>
        <v/>
      </c>
      <c r="X523" s="66" t="n">
        <v>0</v>
      </c>
      <c r="Y523" s="66" t="n">
        <v>0</v>
      </c>
      <c r="Z523" s="7" t="n"/>
      <c r="AA523" s="70">
        <f>IF($A523="","",N(V523)+N(W523)+N(X523)+N(Y523))</f>
        <v/>
      </c>
      <c r="AB523" s="70">
        <f>IF($A523="","",N(S523)*'Paramètres'!$AA$9*IFERROR(INDEX('Paramètres'!$O$5:$O$7,MATCH(G523,'Paramètres'!$N$5:$N$7,0)),0))</f>
        <v/>
      </c>
      <c r="AC523" s="7" t="inlineStr">
        <is>
          <t>Clôturé</t>
        </is>
      </c>
      <c r="AD523" s="69">
        <f>IF(OR($A523="",Q523=""),"",(Q523-B523)*24)</f>
        <v/>
      </c>
      <c r="AE523" s="69">
        <f>IF(OR(Q523="",R523=""),"",(R523-Q523)*24)</f>
        <v/>
      </c>
      <c r="AF523" s="77">
        <f>IF(OR($A523="",B523=""),"",YEAR(B523))</f>
        <v/>
      </c>
      <c r="AG523" s="77">
        <f>IF(OR($A523="",B523=""),"",MONTH(B523))</f>
        <v/>
      </c>
    </row>
    <row r="524">
      <c r="A524" s="7" t="inlineStr">
        <is>
          <t>OT-2025-0520</t>
        </is>
      </c>
      <c r="B524" s="75" t="n">
        <v>45888.33333333334</v>
      </c>
      <c r="C524" s="7" t="inlineStr">
        <is>
          <t>Plan préventif</t>
        </is>
      </c>
      <c r="D524" s="7" t="inlineStr">
        <is>
          <t>EQ-PEI-004</t>
        </is>
      </c>
      <c r="E524" s="9">
        <f>IF(D524="","",IFERROR(INDEX('Équipements'!$B$5:$B$304,MATCH(D524,'Équipements'!$A$5:$A$304,0)),"Code inconnu"))</f>
        <v/>
      </c>
      <c r="F524" s="9">
        <f>IF(D524="","",IFERROR(INDEX('Équipements'!$D$5:$D$304,MATCH(D524,'Équipements'!$A$5:$A$304,0)),""))</f>
        <v/>
      </c>
      <c r="G524" s="9">
        <f>IF(D524="","",IFERROR(INDEX('Équipements'!$K$5:$K$304,MATCH(D524,'Équipements'!$A$5:$A$304,0)),""))</f>
        <v/>
      </c>
      <c r="H524" s="7" t="inlineStr">
        <is>
          <t>Préventif systématique</t>
        </is>
      </c>
      <c r="I524" s="7" t="inlineStr">
        <is>
          <t>GP-072</t>
        </is>
      </c>
      <c r="J524" s="7" t="inlineStr">
        <is>
          <t>Mécanique</t>
        </is>
      </c>
      <c r="K524" s="7" t="inlineStr">
        <is>
          <t>P3 - Normale</t>
        </is>
      </c>
      <c r="L524" s="7" t="inlineStr">
        <is>
          <t>Graissage chaîne / galets et contrôle tension</t>
        </is>
      </c>
      <c r="M524" s="7" t="n"/>
      <c r="N524" s="7" t="inlineStr">
        <is>
          <t>Gamme réalisée - petite fuite corrigée</t>
        </is>
      </c>
      <c r="O524" s="7" t="inlineStr">
        <is>
          <t>Karim Benali</t>
        </is>
      </c>
      <c r="P524" s="65" t="n">
        <v>45895.52777777778</v>
      </c>
      <c r="Q524" s="75" t="n">
        <v>45895.51388888889</v>
      </c>
      <c r="R524" s="75" t="n">
        <v>45895.60763888889</v>
      </c>
      <c r="S524" s="76" t="n">
        <v>0</v>
      </c>
      <c r="T524" s="76" t="n">
        <v>2.25</v>
      </c>
      <c r="U524" s="70">
        <f>IF($A524="","",IFERROR(INDEX('Techniciens'!$F$5:$F$44,MATCH(O524,'Techniciens'!$B$5:$B$44,0)),'Paramètres'!$AA$10))</f>
        <v/>
      </c>
      <c r="V524" s="70">
        <f>IF($A524="","",IF(OR(AC524="Demandé",AC524="Planifié",AC524="Annulé"),0,N(T524)*N(U524)))</f>
        <v/>
      </c>
      <c r="W524" s="70">
        <f>IF($A524="","",SUMIFS('Mouvements stock'!$H$5:$H$3004,'Mouvements stock'!$I$5:$I$3004,$A524,'Mouvements stock'!$C$5:$C$3004,"Sortie")-SUMIFS('Mouvements stock'!$H$5:$H$3004,'Mouvements stock'!$I$5:$I$3004,$A524,'Mouvements stock'!$C$5:$C$3004,"Retour"))</f>
        <v/>
      </c>
      <c r="X524" s="66" t="n">
        <v>0</v>
      </c>
      <c r="Y524" s="66" t="n">
        <v>0</v>
      </c>
      <c r="Z524" s="7" t="n"/>
      <c r="AA524" s="70">
        <f>IF($A524="","",N(V524)+N(W524)+N(X524)+N(Y524))</f>
        <v/>
      </c>
      <c r="AB524" s="70">
        <f>IF($A524="","",N(S524)*'Paramètres'!$AA$9*IFERROR(INDEX('Paramètres'!$O$5:$O$7,MATCH(G524,'Paramètres'!$N$5:$N$7,0)),0))</f>
        <v/>
      </c>
      <c r="AC524" s="7" t="inlineStr">
        <is>
          <t>Clôturé</t>
        </is>
      </c>
      <c r="AD524" s="69">
        <f>IF(OR($A524="",Q524=""),"",(Q524-B524)*24)</f>
        <v/>
      </c>
      <c r="AE524" s="69">
        <f>IF(OR(Q524="",R524=""),"",(R524-Q524)*24)</f>
        <v/>
      </c>
      <c r="AF524" s="77">
        <f>IF(OR($A524="",B524=""),"",YEAR(B524))</f>
        <v/>
      </c>
      <c r="AG524" s="77">
        <f>IF(OR($A524="",B524=""),"",MONTH(B524))</f>
        <v/>
      </c>
    </row>
    <row r="525">
      <c r="A525" s="7" t="inlineStr">
        <is>
          <t>OT-2025-0521</t>
        </is>
      </c>
      <c r="B525" s="75" t="n">
        <v>45888.52638888889</v>
      </c>
      <c r="C525" s="7" t="inlineStr">
        <is>
          <t>Marc Lefèvre</t>
        </is>
      </c>
      <c r="D525" s="7" t="inlineStr">
        <is>
          <t>EQ-UTI-003</t>
        </is>
      </c>
      <c r="E525" s="9">
        <f>IF(D525="","",IFERROR(INDEX('Équipements'!$B$5:$B$304,MATCH(D525,'Équipements'!$A$5:$A$304,0)),"Code inconnu"))</f>
        <v/>
      </c>
      <c r="F525" s="9">
        <f>IF(D525="","",IFERROR(INDEX('Équipements'!$D$5:$D$304,MATCH(D525,'Équipements'!$A$5:$A$304,0)),""))</f>
        <v/>
      </c>
      <c r="G525" s="9">
        <f>IF(D525="","",IFERROR(INDEX('Équipements'!$K$5:$K$304,MATCH(D525,'Équipements'!$A$5:$A$304,0)),""))</f>
        <v/>
      </c>
      <c r="H525" s="7" t="inlineStr">
        <is>
          <t>Correctif</t>
        </is>
      </c>
      <c r="I525" s="7" t="n"/>
      <c r="J525" s="7" t="inlineStr">
        <is>
          <t>Pneumatique</t>
        </is>
      </c>
      <c r="K525" s="7" t="inlineStr">
        <is>
          <t>P2 - Haute</t>
        </is>
      </c>
      <c r="L525" s="7" t="inlineStr">
        <is>
          <t>Fuite d'air importante sur réseau</t>
        </is>
      </c>
      <c r="M525" s="7" t="inlineStr">
        <is>
          <t>Fuite</t>
        </is>
      </c>
      <c r="N525" s="7" t="inlineStr">
        <is>
          <t>Recherche de fuites aux ultrasons, remplacement raccords</t>
        </is>
      </c>
      <c r="O525" s="7" t="inlineStr">
        <is>
          <t>Lucas Fontaine</t>
        </is>
      </c>
      <c r="P525" s="65" t="n"/>
      <c r="Q525" s="75" t="n">
        <v>45888.76666666667</v>
      </c>
      <c r="R525" s="75" t="n">
        <v>45889.86312106993</v>
      </c>
      <c r="S525" s="76" t="n">
        <v>20.7</v>
      </c>
      <c r="T525" s="76" t="n">
        <v>3.5</v>
      </c>
      <c r="U525" s="70">
        <f>IF($A525="","",IFERROR(INDEX('Techniciens'!$F$5:$F$44,MATCH(O525,'Techniciens'!$B$5:$B$44,0)),'Paramètres'!$AA$10))</f>
        <v/>
      </c>
      <c r="V525" s="70">
        <f>IF($A525="","",IF(OR(AC525="Demandé",AC525="Planifié",AC525="Annulé"),0,N(T525)*N(U525)))</f>
        <v/>
      </c>
      <c r="W525" s="70">
        <f>IF($A525="","",SUMIFS('Mouvements stock'!$H$5:$H$3004,'Mouvements stock'!$I$5:$I$3004,$A525,'Mouvements stock'!$C$5:$C$3004,"Sortie")-SUMIFS('Mouvements stock'!$H$5:$H$3004,'Mouvements stock'!$I$5:$I$3004,$A525,'Mouvements stock'!$C$5:$C$3004,"Retour"))</f>
        <v/>
      </c>
      <c r="X525" s="66" t="n">
        <v>0</v>
      </c>
      <c r="Y525" s="66" t="n">
        <v>0</v>
      </c>
      <c r="Z525" s="7" t="n"/>
      <c r="AA525" s="70">
        <f>IF($A525="","",N(V525)+N(W525)+N(X525)+N(Y525))</f>
        <v/>
      </c>
      <c r="AB525" s="70">
        <f>IF($A525="","",N(S525)*'Paramètres'!$AA$9*IFERROR(INDEX('Paramètres'!$O$5:$O$7,MATCH(G525,'Paramètres'!$N$5:$N$7,0)),0))</f>
        <v/>
      </c>
      <c r="AC525" s="7" t="inlineStr">
        <is>
          <t>Clôturé</t>
        </is>
      </c>
      <c r="AD525" s="69">
        <f>IF(OR($A525="",Q525=""),"",(Q525-B525)*24)</f>
        <v/>
      </c>
      <c r="AE525" s="69">
        <f>IF(OR(Q525="",R525=""),"",(R525-Q525)*24)</f>
        <v/>
      </c>
      <c r="AF525" s="77">
        <f>IF(OR($A525="",B525=""),"",YEAR(B525))</f>
        <v/>
      </c>
      <c r="AG525" s="77">
        <f>IF(OR($A525="",B525=""),"",MONTH(B525))</f>
        <v/>
      </c>
    </row>
    <row r="526">
      <c r="A526" s="7" t="inlineStr">
        <is>
          <t>OT-2025-0522</t>
        </is>
      </c>
      <c r="B526" s="75" t="n">
        <v>45889.36458333334</v>
      </c>
      <c r="C526" s="7" t="inlineStr">
        <is>
          <t>Plan préventif</t>
        </is>
      </c>
      <c r="D526" s="7" t="inlineStr">
        <is>
          <t>EQ-UTI-008</t>
        </is>
      </c>
      <c r="E526" s="9">
        <f>IF(D526="","",IFERROR(INDEX('Équipements'!$B$5:$B$304,MATCH(D526,'Équipements'!$A$5:$A$304,0)),"Code inconnu"))</f>
        <v/>
      </c>
      <c r="F526" s="9">
        <f>IF(D526="","",IFERROR(INDEX('Équipements'!$D$5:$D$304,MATCH(D526,'Équipements'!$A$5:$A$304,0)),""))</f>
        <v/>
      </c>
      <c r="G526" s="9">
        <f>IF(D526="","",IFERROR(INDEX('Équipements'!$K$5:$K$304,MATCH(D526,'Équipements'!$A$5:$A$304,0)),""))</f>
        <v/>
      </c>
      <c r="H526" s="7" t="inlineStr">
        <is>
          <t>Préventif systématique</t>
        </is>
      </c>
      <c r="I526" s="7" t="inlineStr">
        <is>
          <t>GP-100</t>
        </is>
      </c>
      <c r="J526" s="7" t="inlineStr">
        <is>
          <t>Électrique</t>
        </is>
      </c>
      <c r="K526" s="7" t="inlineStr">
        <is>
          <t>P3 - Normale</t>
        </is>
      </c>
      <c r="L526" s="7" t="inlineStr">
        <is>
          <t>Essai de fonctionnement / contrôle visuel</t>
        </is>
      </c>
      <c r="M526" s="7" t="n"/>
      <c r="N526" s="7" t="inlineStr">
        <is>
          <t>Gamme réalisée - RAS</t>
        </is>
      </c>
      <c r="O526" s="7" t="inlineStr">
        <is>
          <t>Julien Moreau</t>
        </is>
      </c>
      <c r="P526" s="65" t="n">
        <v>45896.55208333334</v>
      </c>
      <c r="Q526" s="75" t="n">
        <v>45896.34027777778</v>
      </c>
      <c r="R526" s="75" t="n">
        <v>45896.42361111111</v>
      </c>
      <c r="S526" s="76" t="n">
        <v>0</v>
      </c>
      <c r="T526" s="76" t="n">
        <v>2</v>
      </c>
      <c r="U526" s="70">
        <f>IF($A526="","",IFERROR(INDEX('Techniciens'!$F$5:$F$44,MATCH(O526,'Techniciens'!$B$5:$B$44,0)),'Paramètres'!$AA$10))</f>
        <v/>
      </c>
      <c r="V526" s="70">
        <f>IF($A526="","",IF(OR(AC526="Demandé",AC526="Planifié",AC526="Annulé"),0,N(T526)*N(U526)))</f>
        <v/>
      </c>
      <c r="W526" s="70">
        <f>IF($A526="","",SUMIFS('Mouvements stock'!$H$5:$H$3004,'Mouvements stock'!$I$5:$I$3004,$A526,'Mouvements stock'!$C$5:$C$3004,"Sortie")-SUMIFS('Mouvements stock'!$H$5:$H$3004,'Mouvements stock'!$I$5:$I$3004,$A526,'Mouvements stock'!$C$5:$C$3004,"Retour"))</f>
        <v/>
      </c>
      <c r="X526" s="66" t="n">
        <v>0</v>
      </c>
      <c r="Y526" s="66" t="n">
        <v>0</v>
      </c>
      <c r="Z526" s="7" t="n"/>
      <c r="AA526" s="70">
        <f>IF($A526="","",N(V526)+N(W526)+N(X526)+N(Y526))</f>
        <v/>
      </c>
      <c r="AB526" s="70">
        <f>IF($A526="","",N(S526)*'Paramètres'!$AA$9*IFERROR(INDEX('Paramètres'!$O$5:$O$7,MATCH(G526,'Paramètres'!$N$5:$N$7,0)),0))</f>
        <v/>
      </c>
      <c r="AC526" s="7" t="inlineStr">
        <is>
          <t>Clôturé</t>
        </is>
      </c>
      <c r="AD526" s="69">
        <f>IF(OR($A526="",Q526=""),"",(Q526-B526)*24)</f>
        <v/>
      </c>
      <c r="AE526" s="69">
        <f>IF(OR(Q526="",R526=""),"",(R526-Q526)*24)</f>
        <v/>
      </c>
      <c r="AF526" s="77">
        <f>IF(OR($A526="",B526=""),"",YEAR(B526))</f>
        <v/>
      </c>
      <c r="AG526" s="77">
        <f>IF(OR($A526="",B526=""),"",MONTH(B526))</f>
        <v/>
      </c>
    </row>
    <row r="527">
      <c r="A527" s="7" t="inlineStr">
        <is>
          <t>OT-2025-0523</t>
        </is>
      </c>
      <c r="B527" s="75" t="n">
        <v>45889.38194444445</v>
      </c>
      <c r="C527" s="7" t="inlineStr">
        <is>
          <t>Plan préventif</t>
        </is>
      </c>
      <c r="D527" s="7" t="inlineStr">
        <is>
          <t>EQ-SOU-005</t>
        </is>
      </c>
      <c r="E527" s="9">
        <f>IF(D527="","",IFERROR(INDEX('Équipements'!$B$5:$B$304,MATCH(D527,'Équipements'!$A$5:$A$304,0)),"Code inconnu"))</f>
        <v/>
      </c>
      <c r="F527" s="9">
        <f>IF(D527="","",IFERROR(INDEX('Équipements'!$D$5:$D$304,MATCH(D527,'Équipements'!$A$5:$A$304,0)),""))</f>
        <v/>
      </c>
      <c r="G527" s="9">
        <f>IF(D527="","",IFERROR(INDEX('Équipements'!$K$5:$K$304,MATCH(D527,'Équipements'!$A$5:$A$304,0)),""))</f>
        <v/>
      </c>
      <c r="H527" s="7" t="inlineStr">
        <is>
          <t>Préventif systématique</t>
        </is>
      </c>
      <c r="I527" s="7" t="inlineStr">
        <is>
          <t>GP-064</t>
        </is>
      </c>
      <c r="J527" s="7" t="inlineStr">
        <is>
          <t>Mécanique</t>
        </is>
      </c>
      <c r="K527" s="7" t="inlineStr">
        <is>
          <t>P3 - Normale</t>
        </is>
      </c>
      <c r="L527" s="7" t="inlineStr">
        <is>
          <t>Remplacement filtres et nettoyage batteries</t>
        </is>
      </c>
      <c r="M527" s="7" t="n"/>
      <c r="N527" s="7" t="inlineStr">
        <is>
          <t>Gamme réalisée - usure constatée, à surveiller</t>
        </is>
      </c>
      <c r="O527" s="7" t="inlineStr">
        <is>
          <t>Antoine Mercier</t>
        </is>
      </c>
      <c r="P527" s="65" t="n">
        <v>45896.43402777778</v>
      </c>
      <c r="Q527" s="75" t="n">
        <v>45896.40972222222</v>
      </c>
      <c r="R527" s="75" t="n">
        <v>45896.49305555555</v>
      </c>
      <c r="S527" s="76" t="n">
        <v>0</v>
      </c>
      <c r="T527" s="76" t="n">
        <v>2</v>
      </c>
      <c r="U527" s="70">
        <f>IF($A527="","",IFERROR(INDEX('Techniciens'!$F$5:$F$44,MATCH(O527,'Techniciens'!$B$5:$B$44,0)),'Paramètres'!$AA$10))</f>
        <v/>
      </c>
      <c r="V527" s="70">
        <f>IF($A527="","",IF(OR(AC527="Demandé",AC527="Planifié",AC527="Annulé"),0,N(T527)*N(U527)))</f>
        <v/>
      </c>
      <c r="W527" s="70">
        <f>IF($A527="","",SUMIFS('Mouvements stock'!$H$5:$H$3004,'Mouvements stock'!$I$5:$I$3004,$A527,'Mouvements stock'!$C$5:$C$3004,"Sortie")-SUMIFS('Mouvements stock'!$H$5:$H$3004,'Mouvements stock'!$I$5:$I$3004,$A527,'Mouvements stock'!$C$5:$C$3004,"Retour"))</f>
        <v/>
      </c>
      <c r="X527" s="66" t="n">
        <v>0</v>
      </c>
      <c r="Y527" s="66" t="n">
        <v>0</v>
      </c>
      <c r="Z527" s="7" t="n"/>
      <c r="AA527" s="70">
        <f>IF($A527="","",N(V527)+N(W527)+N(X527)+N(Y527))</f>
        <v/>
      </c>
      <c r="AB527" s="70">
        <f>IF($A527="","",N(S527)*'Paramètres'!$AA$9*IFERROR(INDEX('Paramètres'!$O$5:$O$7,MATCH(G527,'Paramètres'!$N$5:$N$7,0)),0))</f>
        <v/>
      </c>
      <c r="AC527" s="7" t="inlineStr">
        <is>
          <t>Clôturé</t>
        </is>
      </c>
      <c r="AD527" s="69">
        <f>IF(OR($A527="",Q527=""),"",(Q527-B527)*24)</f>
        <v/>
      </c>
      <c r="AE527" s="69">
        <f>IF(OR(Q527="",R527=""),"",(R527-Q527)*24)</f>
        <v/>
      </c>
      <c r="AF527" s="77">
        <f>IF(OR($A527="",B527=""),"",YEAR(B527))</f>
        <v/>
      </c>
      <c r="AG527" s="77">
        <f>IF(OR($A527="",B527=""),"",MONTH(B527))</f>
        <v/>
      </c>
    </row>
    <row r="528">
      <c r="A528" s="7" t="inlineStr">
        <is>
          <t>OT-2025-0524</t>
        </is>
      </c>
      <c r="B528" s="75" t="n">
        <v>45890.38541666666</v>
      </c>
      <c r="C528" s="7" t="inlineStr">
        <is>
          <t>Plan préventif</t>
        </is>
      </c>
      <c r="D528" s="7" t="inlineStr">
        <is>
          <t>EQ-TOL-004</t>
        </is>
      </c>
      <c r="E528" s="9">
        <f>IF(D528="","",IFERROR(INDEX('Équipements'!$B$5:$B$304,MATCH(D528,'Équipements'!$A$5:$A$304,0)),"Code inconnu"))</f>
        <v/>
      </c>
      <c r="F528" s="9">
        <f>IF(D528="","",IFERROR(INDEX('Équipements'!$D$5:$D$304,MATCH(D528,'Équipements'!$A$5:$A$304,0)),""))</f>
        <v/>
      </c>
      <c r="G528" s="9">
        <f>IF(D528="","",IFERROR(INDEX('Équipements'!$K$5:$K$304,MATCH(D528,'Équipements'!$A$5:$A$304,0)),""))</f>
        <v/>
      </c>
      <c r="H528" s="7" t="inlineStr">
        <is>
          <t>Préventif systématique</t>
        </is>
      </c>
      <c r="I528" s="7" t="inlineStr">
        <is>
          <t>GP-047</t>
        </is>
      </c>
      <c r="J528" s="7" t="inlineStr">
        <is>
          <t>Hydraulique</t>
        </is>
      </c>
      <c r="K528" s="7" t="inlineStr">
        <is>
          <t>P3 - Normale</t>
        </is>
      </c>
      <c r="L528" s="7" t="inlineStr">
        <is>
          <t>Contrôle hydraulique : fuites, niveaux, pressions</t>
        </is>
      </c>
      <c r="M528" s="7" t="n"/>
      <c r="N528" s="7" t="inlineStr">
        <is>
          <t>Gamme réalisée - RAS</t>
        </is>
      </c>
      <c r="O528" s="7" t="inlineStr">
        <is>
          <t>Antoine Mercier</t>
        </is>
      </c>
      <c r="P528" s="65" t="n">
        <v>45897.34722222222</v>
      </c>
      <c r="Q528" s="75" t="n">
        <v>45897.46875</v>
      </c>
      <c r="R528" s="75" t="n">
        <v>45897.5625</v>
      </c>
      <c r="S528" s="76" t="n">
        <v>1.1</v>
      </c>
      <c r="T528" s="76" t="n">
        <v>2.25</v>
      </c>
      <c r="U528" s="70">
        <f>IF($A528="","",IFERROR(INDEX('Techniciens'!$F$5:$F$44,MATCH(O528,'Techniciens'!$B$5:$B$44,0)),'Paramètres'!$AA$10))</f>
        <v/>
      </c>
      <c r="V528" s="70">
        <f>IF($A528="","",IF(OR(AC528="Demandé",AC528="Planifié",AC528="Annulé"),0,N(T528)*N(U528)))</f>
        <v/>
      </c>
      <c r="W528" s="70">
        <f>IF($A528="","",SUMIFS('Mouvements stock'!$H$5:$H$3004,'Mouvements stock'!$I$5:$I$3004,$A528,'Mouvements stock'!$C$5:$C$3004,"Sortie")-SUMIFS('Mouvements stock'!$H$5:$H$3004,'Mouvements stock'!$I$5:$I$3004,$A528,'Mouvements stock'!$C$5:$C$3004,"Retour"))</f>
        <v/>
      </c>
      <c r="X528" s="66" t="n">
        <v>0</v>
      </c>
      <c r="Y528" s="66" t="n">
        <v>0</v>
      </c>
      <c r="Z528" s="7" t="n"/>
      <c r="AA528" s="70">
        <f>IF($A528="","",N(V528)+N(W528)+N(X528)+N(Y528))</f>
        <v/>
      </c>
      <c r="AB528" s="70">
        <f>IF($A528="","",N(S528)*'Paramètres'!$AA$9*IFERROR(INDEX('Paramètres'!$O$5:$O$7,MATCH(G528,'Paramètres'!$N$5:$N$7,0)),0))</f>
        <v/>
      </c>
      <c r="AC528" s="7" t="inlineStr">
        <is>
          <t>Clôturé</t>
        </is>
      </c>
      <c r="AD528" s="69">
        <f>IF(OR($A528="",Q528=""),"",(Q528-B528)*24)</f>
        <v/>
      </c>
      <c r="AE528" s="69">
        <f>IF(OR(Q528="",R528=""),"",(R528-Q528)*24)</f>
        <v/>
      </c>
      <c r="AF528" s="77">
        <f>IF(OR($A528="",B528=""),"",YEAR(B528))</f>
        <v/>
      </c>
      <c r="AG528" s="77">
        <f>IF(OR($A528="",B528=""),"",MONTH(B528))</f>
        <v/>
      </c>
    </row>
    <row r="529">
      <c r="A529" s="7" t="inlineStr">
        <is>
          <t>OT-2025-0525</t>
        </is>
      </c>
      <c r="B529" s="75" t="n">
        <v>45890.40625</v>
      </c>
      <c r="C529" s="7" t="inlineStr">
        <is>
          <t>Plan préventif</t>
        </is>
      </c>
      <c r="D529" s="7" t="inlineStr">
        <is>
          <t>EQ-USI-001</t>
        </is>
      </c>
      <c r="E529" s="9">
        <f>IF(D529="","",IFERROR(INDEX('Équipements'!$B$5:$B$304,MATCH(D529,'Équipements'!$A$5:$A$304,0)),"Code inconnu"))</f>
        <v/>
      </c>
      <c r="F529" s="9">
        <f>IF(D529="","",IFERROR(INDEX('Équipements'!$D$5:$D$304,MATCH(D529,'Équipements'!$A$5:$A$304,0)),""))</f>
        <v/>
      </c>
      <c r="G529" s="9">
        <f>IF(D529="","",IFERROR(INDEX('Équipements'!$K$5:$K$304,MATCH(D529,'Équipements'!$A$5:$A$304,0)),""))</f>
        <v/>
      </c>
      <c r="H529" s="7" t="inlineStr">
        <is>
          <t>Préventif systématique</t>
        </is>
      </c>
      <c r="I529" s="7" t="inlineStr">
        <is>
          <t>GP-002</t>
        </is>
      </c>
      <c r="J529" s="7" t="inlineStr">
        <is>
          <t>Mécanique</t>
        </is>
      </c>
      <c r="K529" s="7" t="inlineStr">
        <is>
          <t>P3 - Normale</t>
        </is>
      </c>
      <c r="L529" s="7" t="inlineStr">
        <is>
          <t>Contrôle géométrie, jeux et graissage des axes</t>
        </is>
      </c>
      <c r="M529" s="7" t="n"/>
      <c r="N529" s="7" t="inlineStr">
        <is>
          <t>Gamme réalisée - DI émise pour remplacement pièce</t>
        </is>
      </c>
      <c r="O529" s="7" t="inlineStr">
        <is>
          <t>Antoine Mercier</t>
        </is>
      </c>
      <c r="P529" s="65" t="n">
        <v>45897.67708333334</v>
      </c>
      <c r="Q529" s="75" t="n">
        <v>45897.38541666666</v>
      </c>
      <c r="R529" s="75" t="n">
        <v>45897.60416666666</v>
      </c>
      <c r="S529" s="76" t="n">
        <v>0</v>
      </c>
      <c r="T529" s="76" t="n">
        <v>5.25</v>
      </c>
      <c r="U529" s="70">
        <f>IF($A529="","",IFERROR(INDEX('Techniciens'!$F$5:$F$44,MATCH(O529,'Techniciens'!$B$5:$B$44,0)),'Paramètres'!$AA$10))</f>
        <v/>
      </c>
      <c r="V529" s="70">
        <f>IF($A529="","",IF(OR(AC529="Demandé",AC529="Planifié",AC529="Annulé"),0,N(T529)*N(U529)))</f>
        <v/>
      </c>
      <c r="W529" s="70">
        <f>IF($A529="","",SUMIFS('Mouvements stock'!$H$5:$H$3004,'Mouvements stock'!$I$5:$I$3004,$A529,'Mouvements stock'!$C$5:$C$3004,"Sortie")-SUMIFS('Mouvements stock'!$H$5:$H$3004,'Mouvements stock'!$I$5:$I$3004,$A529,'Mouvements stock'!$C$5:$C$3004,"Retour"))</f>
        <v/>
      </c>
      <c r="X529" s="66" t="n">
        <v>0</v>
      </c>
      <c r="Y529" s="66" t="n">
        <v>0</v>
      </c>
      <c r="Z529" s="7" t="n"/>
      <c r="AA529" s="70">
        <f>IF($A529="","",N(V529)+N(W529)+N(X529)+N(Y529))</f>
        <v/>
      </c>
      <c r="AB529" s="70">
        <f>IF($A529="","",N(S529)*'Paramètres'!$AA$9*IFERROR(INDEX('Paramètres'!$O$5:$O$7,MATCH(G529,'Paramètres'!$N$5:$N$7,0)),0))</f>
        <v/>
      </c>
      <c r="AC529" s="7" t="inlineStr">
        <is>
          <t>Clôturé</t>
        </is>
      </c>
      <c r="AD529" s="69">
        <f>IF(OR($A529="",Q529=""),"",(Q529-B529)*24)</f>
        <v/>
      </c>
      <c r="AE529" s="69">
        <f>IF(OR(Q529="",R529=""),"",(R529-Q529)*24)</f>
        <v/>
      </c>
      <c r="AF529" s="77">
        <f>IF(OR($A529="",B529=""),"",YEAR(B529))</f>
        <v/>
      </c>
      <c r="AG529" s="77">
        <f>IF(OR($A529="",B529=""),"",MONTH(B529))</f>
        <v/>
      </c>
    </row>
    <row r="530">
      <c r="A530" s="7" t="inlineStr">
        <is>
          <t>OT-2025-0526</t>
        </is>
      </c>
      <c r="B530" s="75" t="n">
        <v>45890.46527777778</v>
      </c>
      <c r="C530" s="7" t="inlineStr">
        <is>
          <t>Ronde maintenance</t>
        </is>
      </c>
      <c r="D530" s="7" t="inlineStr">
        <is>
          <t>EQ-UTI-005</t>
        </is>
      </c>
      <c r="E530" s="9">
        <f>IF(D530="","",IFERROR(INDEX('Équipements'!$B$5:$B$304,MATCH(D530,'Équipements'!$A$5:$A$304,0)),"Code inconnu"))</f>
        <v/>
      </c>
      <c r="F530" s="9">
        <f>IF(D530="","",IFERROR(INDEX('Équipements'!$D$5:$D$304,MATCH(D530,'Équipements'!$A$5:$A$304,0)),""))</f>
        <v/>
      </c>
      <c r="G530" s="9">
        <f>IF(D530="","",IFERROR(INDEX('Équipements'!$K$5:$K$304,MATCH(D530,'Équipements'!$A$5:$A$304,0)),""))</f>
        <v/>
      </c>
      <c r="H530" s="7" t="inlineStr">
        <is>
          <t>Correctif</t>
        </is>
      </c>
      <c r="I530" s="7" t="n"/>
      <c r="J530" s="7" t="inlineStr">
        <is>
          <t>Mécanique</t>
        </is>
      </c>
      <c r="K530" s="7" t="inlineStr">
        <is>
          <t>P3 - Normale</t>
        </is>
      </c>
      <c r="L530" s="7" t="inlineStr">
        <is>
          <t>Groupe en défaut haute pression</t>
        </is>
      </c>
      <c r="M530" s="7" t="inlineStr">
        <is>
          <t>Encrassement</t>
        </is>
      </c>
      <c r="N530" s="7" t="inlineStr">
        <is>
          <t>Nettoyage condenseur, contrôle charge fluide</t>
        </is>
      </c>
      <c r="O530" s="7" t="inlineStr">
        <is>
          <t>Lucas Fontaine</t>
        </is>
      </c>
      <c r="P530" s="65" t="n"/>
      <c r="Q530" s="75" t="n">
        <v>45891.45625</v>
      </c>
      <c r="R530" s="75" t="n">
        <v>45891.7375</v>
      </c>
      <c r="S530" s="76" t="n">
        <v>6.8</v>
      </c>
      <c r="T530" s="76" t="n">
        <v>6.75</v>
      </c>
      <c r="U530" s="70">
        <f>IF($A530="","",IFERROR(INDEX('Techniciens'!$F$5:$F$44,MATCH(O530,'Techniciens'!$B$5:$B$44,0)),'Paramètres'!$AA$10))</f>
        <v/>
      </c>
      <c r="V530" s="70">
        <f>IF($A530="","",IF(OR(AC530="Demandé",AC530="Planifié",AC530="Annulé"),0,N(T530)*N(U530)))</f>
        <v/>
      </c>
      <c r="W530" s="70">
        <f>IF($A530="","",SUMIFS('Mouvements stock'!$H$5:$H$3004,'Mouvements stock'!$I$5:$I$3004,$A530,'Mouvements stock'!$C$5:$C$3004,"Sortie")-SUMIFS('Mouvements stock'!$H$5:$H$3004,'Mouvements stock'!$I$5:$I$3004,$A530,'Mouvements stock'!$C$5:$C$3004,"Retour"))</f>
        <v/>
      </c>
      <c r="X530" s="66" t="n">
        <v>0</v>
      </c>
      <c r="Y530" s="66" t="n">
        <v>860</v>
      </c>
      <c r="Z530" s="7" t="inlineStr">
        <is>
          <t>Thermique &amp; Clim Services</t>
        </is>
      </c>
      <c r="AA530" s="70">
        <f>IF($A530="","",N(V530)+N(W530)+N(X530)+N(Y530))</f>
        <v/>
      </c>
      <c r="AB530" s="70">
        <f>IF($A530="","",N(S530)*'Paramètres'!$AA$9*IFERROR(INDEX('Paramètres'!$O$5:$O$7,MATCH(G530,'Paramètres'!$N$5:$N$7,0)),0))</f>
        <v/>
      </c>
      <c r="AC530" s="7" t="inlineStr">
        <is>
          <t>Clôturé</t>
        </is>
      </c>
      <c r="AD530" s="69">
        <f>IF(OR($A530="",Q530=""),"",(Q530-B530)*24)</f>
        <v/>
      </c>
      <c r="AE530" s="69">
        <f>IF(OR(Q530="",R530=""),"",(R530-Q530)*24)</f>
        <v/>
      </c>
      <c r="AF530" s="77">
        <f>IF(OR($A530="",B530=""),"",YEAR(B530))</f>
        <v/>
      </c>
      <c r="AG530" s="77">
        <f>IF(OR($A530="",B530=""),"",MONTH(B530))</f>
        <v/>
      </c>
    </row>
    <row r="531">
      <c r="A531" s="7" t="inlineStr">
        <is>
          <t>OT-2025-0527</t>
        </is>
      </c>
      <c r="B531" s="75" t="n">
        <v>45891.26527777778</v>
      </c>
      <c r="C531" s="7" t="inlineStr">
        <is>
          <t>Éric Laurent (chef d'atelier)</t>
        </is>
      </c>
      <c r="D531" s="7" t="inlineStr">
        <is>
          <t>EQ-USI-002</t>
        </is>
      </c>
      <c r="E531" s="9">
        <f>IF(D531="","",IFERROR(INDEX('Équipements'!$B$5:$B$304,MATCH(D531,'Équipements'!$A$5:$A$304,0)),"Code inconnu"))</f>
        <v/>
      </c>
      <c r="F531" s="9">
        <f>IF(D531="","",IFERROR(INDEX('Équipements'!$D$5:$D$304,MATCH(D531,'Équipements'!$A$5:$A$304,0)),""))</f>
        <v/>
      </c>
      <c r="G531" s="9">
        <f>IF(D531="","",IFERROR(INDEX('Équipements'!$K$5:$K$304,MATCH(D531,'Équipements'!$A$5:$A$304,0)),""))</f>
        <v/>
      </c>
      <c r="H531" s="7" t="inlineStr">
        <is>
          <t>Correctif</t>
        </is>
      </c>
      <c r="I531" s="7" t="n"/>
      <c r="J531" s="7" t="inlineStr">
        <is>
          <t>Hydraulique</t>
        </is>
      </c>
      <c r="K531" s="7" t="inlineStr">
        <is>
          <t>P2 - Haute</t>
        </is>
      </c>
      <c r="L531" s="7" t="inlineStr">
        <is>
          <t>Fuite d'huile hydraulique sous la table</t>
        </is>
      </c>
      <c r="M531" s="7" t="inlineStr">
        <is>
          <t>Fuite</t>
        </is>
      </c>
      <c r="N531" s="7" t="inlineStr">
        <is>
          <t>Remplacement flexible et joints, appoint huile</t>
        </is>
      </c>
      <c r="O531" s="7" t="inlineStr">
        <is>
          <t>Karim Benali</t>
        </is>
      </c>
      <c r="P531" s="65" t="n"/>
      <c r="Q531" s="75" t="n">
        <v>45891.36111111111</v>
      </c>
      <c r="R531" s="75" t="n">
        <v>45891.41319444445</v>
      </c>
      <c r="S531" s="76" t="n">
        <v>0</v>
      </c>
      <c r="T531" s="76" t="n">
        <v>1.25</v>
      </c>
      <c r="U531" s="70">
        <f>IF($A531="","",IFERROR(INDEX('Techniciens'!$F$5:$F$44,MATCH(O531,'Techniciens'!$B$5:$B$44,0)),'Paramètres'!$AA$10))</f>
        <v/>
      </c>
      <c r="V531" s="70">
        <f>IF($A531="","",IF(OR(AC531="Demandé",AC531="Planifié",AC531="Annulé"),0,N(T531)*N(U531)))</f>
        <v/>
      </c>
      <c r="W531" s="70">
        <f>IF($A531="","",SUMIFS('Mouvements stock'!$H$5:$H$3004,'Mouvements stock'!$I$5:$I$3004,$A531,'Mouvements stock'!$C$5:$C$3004,"Sortie")-SUMIFS('Mouvements stock'!$H$5:$H$3004,'Mouvements stock'!$I$5:$I$3004,$A531,'Mouvements stock'!$C$5:$C$3004,"Retour"))</f>
        <v/>
      </c>
      <c r="X531" s="66" t="n">
        <v>0</v>
      </c>
      <c r="Y531" s="66" t="n">
        <v>0</v>
      </c>
      <c r="Z531" s="7" t="n"/>
      <c r="AA531" s="70">
        <f>IF($A531="","",N(V531)+N(W531)+N(X531)+N(Y531))</f>
        <v/>
      </c>
      <c r="AB531" s="70">
        <f>IF($A531="","",N(S531)*'Paramètres'!$AA$9*IFERROR(INDEX('Paramètres'!$O$5:$O$7,MATCH(G531,'Paramètres'!$N$5:$N$7,0)),0))</f>
        <v/>
      </c>
      <c r="AC531" s="7" t="inlineStr">
        <is>
          <t>Clôturé</t>
        </is>
      </c>
      <c r="AD531" s="69">
        <f>IF(OR($A531="",Q531=""),"",(Q531-B531)*24)</f>
        <v/>
      </c>
      <c r="AE531" s="69">
        <f>IF(OR(Q531="",R531=""),"",(R531-Q531)*24)</f>
        <v/>
      </c>
      <c r="AF531" s="77">
        <f>IF(OR($A531="",B531=""),"",YEAR(B531))</f>
        <v/>
      </c>
      <c r="AG531" s="77">
        <f>IF(OR($A531="",B531=""),"",MONTH(B531))</f>
        <v/>
      </c>
    </row>
    <row r="532">
      <c r="A532" s="7" t="inlineStr">
        <is>
          <t>OT-2025-0528</t>
        </is>
      </c>
      <c r="B532" s="75" t="n">
        <v>45891.70763888889</v>
      </c>
      <c r="C532" s="7" t="inlineStr">
        <is>
          <t>Ronde maintenance</t>
        </is>
      </c>
      <c r="D532" s="7" t="inlineStr">
        <is>
          <t>EQ-UTI-001</t>
        </is>
      </c>
      <c r="E532" s="9">
        <f>IF(D532="","",IFERROR(INDEX('Équipements'!$B$5:$B$304,MATCH(D532,'Équipements'!$A$5:$A$304,0)),"Code inconnu"))</f>
        <v/>
      </c>
      <c r="F532" s="9">
        <f>IF(D532="","",IFERROR(INDEX('Équipements'!$D$5:$D$304,MATCH(D532,'Équipements'!$A$5:$A$304,0)),""))</f>
        <v/>
      </c>
      <c r="G532" s="9">
        <f>IF(D532="","",IFERROR(INDEX('Équipements'!$K$5:$K$304,MATCH(D532,'Équipements'!$A$5:$A$304,0)),""))</f>
        <v/>
      </c>
      <c r="H532" s="7" t="inlineStr">
        <is>
          <t>Correctif</t>
        </is>
      </c>
      <c r="I532" s="7" t="n"/>
      <c r="J532" s="7" t="inlineStr">
        <is>
          <t>Électrique</t>
        </is>
      </c>
      <c r="K532" s="7" t="inlineStr">
        <is>
          <t>P1 - Urgent</t>
        </is>
      </c>
      <c r="L532" s="7" t="inlineStr">
        <is>
          <t>Défaut capteur de pression</t>
        </is>
      </c>
      <c r="M532" s="7" t="inlineStr">
        <is>
          <t>Défaut capteur</t>
        </is>
      </c>
      <c r="N532" s="7" t="inlineStr">
        <is>
          <t>Remplacement capteur</t>
        </is>
      </c>
      <c r="O532" s="7" t="inlineStr">
        <is>
          <t>Antoine Mercier</t>
        </is>
      </c>
      <c r="P532" s="65" t="n"/>
      <c r="Q532" s="75" t="n">
        <v>45891.72847222222</v>
      </c>
      <c r="R532" s="75" t="n">
        <v>45892.00972222222</v>
      </c>
      <c r="S532" s="76" t="n">
        <v>7.3</v>
      </c>
      <c r="T532" s="76" t="n">
        <v>6.75</v>
      </c>
      <c r="U532" s="70">
        <f>IF($A532="","",IFERROR(INDEX('Techniciens'!$F$5:$F$44,MATCH(O532,'Techniciens'!$B$5:$B$44,0)),'Paramètres'!$AA$10))</f>
        <v/>
      </c>
      <c r="V532" s="70">
        <f>IF($A532="","",IF(OR(AC532="Demandé",AC532="Planifié",AC532="Annulé"),0,N(T532)*N(U532)))</f>
        <v/>
      </c>
      <c r="W532" s="70">
        <f>IF($A532="","",SUMIFS('Mouvements stock'!$H$5:$H$3004,'Mouvements stock'!$I$5:$I$3004,$A532,'Mouvements stock'!$C$5:$C$3004,"Sortie")-SUMIFS('Mouvements stock'!$H$5:$H$3004,'Mouvements stock'!$I$5:$I$3004,$A532,'Mouvements stock'!$C$5:$C$3004,"Retour"))</f>
        <v/>
      </c>
      <c r="X532" s="66" t="n">
        <v>827</v>
      </c>
      <c r="Y532" s="66" t="n">
        <v>0</v>
      </c>
      <c r="Z532" s="7" t="n"/>
      <c r="AA532" s="70">
        <f>IF($A532="","",N(V532)+N(W532)+N(X532)+N(Y532))</f>
        <v/>
      </c>
      <c r="AB532" s="70">
        <f>IF($A532="","",N(S532)*'Paramètres'!$AA$9*IFERROR(INDEX('Paramètres'!$O$5:$O$7,MATCH(G532,'Paramètres'!$N$5:$N$7,0)),0))</f>
        <v/>
      </c>
      <c r="AC532" s="7" t="inlineStr">
        <is>
          <t>Clôturé</t>
        </is>
      </c>
      <c r="AD532" s="69">
        <f>IF(OR($A532="",Q532=""),"",(Q532-B532)*24)</f>
        <v/>
      </c>
      <c r="AE532" s="69">
        <f>IF(OR(Q532="",R532=""),"",(R532-Q532)*24)</f>
        <v/>
      </c>
      <c r="AF532" s="77">
        <f>IF(OR($A532="",B532=""),"",YEAR(B532))</f>
        <v/>
      </c>
      <c r="AG532" s="77">
        <f>IF(OR($A532="",B532=""),"",MONTH(B532))</f>
        <v/>
      </c>
    </row>
    <row r="533">
      <c r="A533" s="7" t="inlineStr">
        <is>
          <t>OT-2025-0529</t>
        </is>
      </c>
      <c r="B533" s="75" t="n">
        <v>45892.74305555555</v>
      </c>
      <c r="C533" s="7" t="inlineStr">
        <is>
          <t>Sylvie Mathieu (resp. logistique)</t>
        </is>
      </c>
      <c r="D533" s="7" t="inlineStr">
        <is>
          <t>EQ-LOG-007</t>
        </is>
      </c>
      <c r="E533" s="9">
        <f>IF(D533="","",IFERROR(INDEX('Équipements'!$B$5:$B$304,MATCH(D533,'Équipements'!$A$5:$A$304,0)),"Code inconnu"))</f>
        <v/>
      </c>
      <c r="F533" s="9">
        <f>IF(D533="","",IFERROR(INDEX('Équipements'!$D$5:$D$304,MATCH(D533,'Équipements'!$A$5:$A$304,0)),""))</f>
        <v/>
      </c>
      <c r="G533" s="9">
        <f>IF(D533="","",IFERROR(INDEX('Équipements'!$K$5:$K$304,MATCH(D533,'Équipements'!$A$5:$A$304,0)),""))</f>
        <v/>
      </c>
      <c r="H533" s="7" t="inlineStr">
        <is>
          <t>Correctif</t>
        </is>
      </c>
      <c r="I533" s="7" t="n"/>
      <c r="J533" s="7" t="inlineStr">
        <is>
          <t>Électrique</t>
        </is>
      </c>
      <c r="K533" s="7" t="inlineStr">
        <is>
          <t>P1 - Urgent</t>
        </is>
      </c>
      <c r="L533" s="7" t="inlineStr">
        <is>
          <t>Défaut boîte à boutons de commande</t>
        </is>
      </c>
      <c r="M533" s="7" t="inlineStr">
        <is>
          <t>Défaut électrique</t>
        </is>
      </c>
      <c r="N533" s="7" t="inlineStr">
        <is>
          <t>Remplacement contacteur de boîte à boutons</t>
        </is>
      </c>
      <c r="O533" s="7" t="inlineStr">
        <is>
          <t>Thomas Petit</t>
        </is>
      </c>
      <c r="P533" s="65" t="n"/>
      <c r="Q533" s="75" t="n">
        <v>45892.76388888889</v>
      </c>
      <c r="R533" s="75" t="n">
        <v>45893.10763888889</v>
      </c>
      <c r="S533" s="76" t="n">
        <v>8.800000000000001</v>
      </c>
      <c r="T533" s="76" t="n">
        <v>8.25</v>
      </c>
      <c r="U533" s="70">
        <f>IF($A533="","",IFERROR(INDEX('Techniciens'!$F$5:$F$44,MATCH(O533,'Techniciens'!$B$5:$B$44,0)),'Paramètres'!$AA$10))</f>
        <v/>
      </c>
      <c r="V533" s="70">
        <f>IF($A533="","",IF(OR(AC533="Demandé",AC533="Planifié",AC533="Annulé"),0,N(T533)*N(U533)))</f>
        <v/>
      </c>
      <c r="W533" s="70">
        <f>IF($A533="","",SUMIFS('Mouvements stock'!$H$5:$H$3004,'Mouvements stock'!$I$5:$I$3004,$A533,'Mouvements stock'!$C$5:$C$3004,"Sortie")-SUMIFS('Mouvements stock'!$H$5:$H$3004,'Mouvements stock'!$I$5:$I$3004,$A533,'Mouvements stock'!$C$5:$C$3004,"Retour"))</f>
        <v/>
      </c>
      <c r="X533" s="66" t="n">
        <v>0</v>
      </c>
      <c r="Y533" s="66" t="n">
        <v>0</v>
      </c>
      <c r="Z533" s="7" t="n"/>
      <c r="AA533" s="70">
        <f>IF($A533="","",N(V533)+N(W533)+N(X533)+N(Y533))</f>
        <v/>
      </c>
      <c r="AB533" s="70">
        <f>IF($A533="","",N(S533)*'Paramètres'!$AA$9*IFERROR(INDEX('Paramètres'!$O$5:$O$7,MATCH(G533,'Paramètres'!$N$5:$N$7,0)),0))</f>
        <v/>
      </c>
      <c r="AC533" s="7" t="inlineStr">
        <is>
          <t>Clôturé</t>
        </is>
      </c>
      <c r="AD533" s="69">
        <f>IF(OR($A533="",Q533=""),"",(Q533-B533)*24)</f>
        <v/>
      </c>
      <c r="AE533" s="69">
        <f>IF(OR(Q533="",R533=""),"",(R533-Q533)*24)</f>
        <v/>
      </c>
      <c r="AF533" s="77">
        <f>IF(OR($A533="",B533=""),"",YEAR(B533))</f>
        <v/>
      </c>
      <c r="AG533" s="77">
        <f>IF(OR($A533="",B533=""),"",MONTH(B533))</f>
        <v/>
      </c>
    </row>
    <row r="534">
      <c r="A534" s="7" t="inlineStr">
        <is>
          <t>OT-2025-0530</t>
        </is>
      </c>
      <c r="B534" s="75" t="n">
        <v>45894.23333333333</v>
      </c>
      <c r="C534" s="7" t="inlineStr">
        <is>
          <t>Cariste</t>
        </is>
      </c>
      <c r="D534" s="7" t="inlineStr">
        <is>
          <t>EQ-LOG-007</t>
        </is>
      </c>
      <c r="E534" s="9">
        <f>IF(D534="","",IFERROR(INDEX('Équipements'!$B$5:$B$304,MATCH(D534,'Équipements'!$A$5:$A$304,0)),"Code inconnu"))</f>
        <v/>
      </c>
      <c r="F534" s="9">
        <f>IF(D534="","",IFERROR(INDEX('Équipements'!$D$5:$D$304,MATCH(D534,'Équipements'!$A$5:$A$304,0)),""))</f>
        <v/>
      </c>
      <c r="G534" s="9">
        <f>IF(D534="","",IFERROR(INDEX('Équipements'!$K$5:$K$304,MATCH(D534,'Équipements'!$A$5:$A$304,0)),""))</f>
        <v/>
      </c>
      <c r="H534" s="7" t="inlineStr">
        <is>
          <t>Correctif</t>
        </is>
      </c>
      <c r="I534" s="7" t="n"/>
      <c r="J534" s="7" t="inlineStr">
        <is>
          <t>Mécanique</t>
        </is>
      </c>
      <c r="K534" s="7" t="inlineStr">
        <is>
          <t>P1 - Urgent</t>
        </is>
      </c>
      <c r="L534" s="7" t="inlineStr">
        <is>
          <t>Frein de levée bruyant</t>
        </is>
      </c>
      <c r="M534" s="7" t="inlineStr">
        <is>
          <t>Usure</t>
        </is>
      </c>
      <c r="N534" s="7" t="inlineStr">
        <is>
          <t>Réglage et remplacement garnitures</t>
        </is>
      </c>
      <c r="O534" s="7" t="inlineStr">
        <is>
          <t>Karim Benali</t>
        </is>
      </c>
      <c r="P534" s="65" t="n"/>
      <c r="Q534" s="75" t="n">
        <v>45894.25347222222</v>
      </c>
      <c r="R534" s="75" t="n">
        <v>45897.42403511148</v>
      </c>
      <c r="S534" s="76" t="n">
        <v>41.7</v>
      </c>
      <c r="T534" s="76" t="n">
        <v>6.25</v>
      </c>
      <c r="U534" s="70">
        <f>IF($A534="","",IFERROR(INDEX('Techniciens'!$F$5:$F$44,MATCH(O534,'Techniciens'!$B$5:$B$44,0)),'Paramètres'!$AA$10))</f>
        <v/>
      </c>
      <c r="V534" s="70">
        <f>IF($A534="","",IF(OR(AC534="Demandé",AC534="Planifié",AC534="Annulé"),0,N(T534)*N(U534)))</f>
        <v/>
      </c>
      <c r="W534" s="70">
        <f>IF($A534="","",SUMIFS('Mouvements stock'!$H$5:$H$3004,'Mouvements stock'!$I$5:$I$3004,$A534,'Mouvements stock'!$C$5:$C$3004,"Sortie")-SUMIFS('Mouvements stock'!$H$5:$H$3004,'Mouvements stock'!$I$5:$I$3004,$A534,'Mouvements stock'!$C$5:$C$3004,"Retour"))</f>
        <v/>
      </c>
      <c r="X534" s="66" t="n">
        <v>0</v>
      </c>
      <c r="Y534" s="66" t="n">
        <v>0</v>
      </c>
      <c r="Z534" s="7" t="n"/>
      <c r="AA534" s="70">
        <f>IF($A534="","",N(V534)+N(W534)+N(X534)+N(Y534))</f>
        <v/>
      </c>
      <c r="AB534" s="70">
        <f>IF($A534="","",N(S534)*'Paramètres'!$AA$9*IFERROR(INDEX('Paramètres'!$O$5:$O$7,MATCH(G534,'Paramètres'!$N$5:$N$7,0)),0))</f>
        <v/>
      </c>
      <c r="AC534" s="7" t="inlineStr">
        <is>
          <t>Clôturé</t>
        </is>
      </c>
      <c r="AD534" s="69">
        <f>IF(OR($A534="",Q534=""),"",(Q534-B534)*24)</f>
        <v/>
      </c>
      <c r="AE534" s="69">
        <f>IF(OR(Q534="",R534=""),"",(R534-Q534)*24)</f>
        <v/>
      </c>
      <c r="AF534" s="77">
        <f>IF(OR($A534="",B534=""),"",YEAR(B534))</f>
        <v/>
      </c>
      <c r="AG534" s="77">
        <f>IF(OR($A534="",B534=""),"",MONTH(B534))</f>
        <v/>
      </c>
    </row>
    <row r="535">
      <c r="A535" s="7" t="inlineStr">
        <is>
          <t>OT-2025-0531</t>
        </is>
      </c>
      <c r="B535" s="75" t="n">
        <v>45894.34375</v>
      </c>
      <c r="C535" s="7" t="inlineStr">
        <is>
          <t>Plan préventif</t>
        </is>
      </c>
      <c r="D535" s="7" t="inlineStr">
        <is>
          <t>EQ-PEI-005</t>
        </is>
      </c>
      <c r="E535" s="9">
        <f>IF(D535="","",IFERROR(INDEX('Équipements'!$B$5:$B$304,MATCH(D535,'Équipements'!$A$5:$A$304,0)),"Code inconnu"))</f>
        <v/>
      </c>
      <c r="F535" s="9">
        <f>IF(D535="","",IFERROR(INDEX('Équipements'!$D$5:$D$304,MATCH(D535,'Équipements'!$A$5:$A$304,0)),""))</f>
        <v/>
      </c>
      <c r="G535" s="9">
        <f>IF(D535="","",IFERROR(INDEX('Équipements'!$K$5:$K$304,MATCH(D535,'Équipements'!$A$5:$A$304,0)),""))</f>
        <v/>
      </c>
      <c r="H535" s="7" t="inlineStr">
        <is>
          <t>Préventif systématique</t>
        </is>
      </c>
      <c r="I535" s="7" t="inlineStr">
        <is>
          <t>GP-074</t>
        </is>
      </c>
      <c r="J535" s="7" t="inlineStr">
        <is>
          <t>Mécanique</t>
        </is>
      </c>
      <c r="K535" s="7" t="inlineStr">
        <is>
          <t>P3 - Normale</t>
        </is>
      </c>
      <c r="L535" s="7" t="inlineStr">
        <is>
          <t>Nettoyage et remplacement des filtres</t>
        </is>
      </c>
      <c r="M535" s="7" t="n"/>
      <c r="N535" s="7" t="inlineStr">
        <is>
          <t>Gamme réalisée - RAS</t>
        </is>
      </c>
      <c r="O535" s="7" t="inlineStr">
        <is>
          <t>Lucas Fontaine</t>
        </is>
      </c>
      <c r="P535" s="65" t="n">
        <v>45901.38888888889</v>
      </c>
      <c r="Q535" s="75" t="n">
        <v>45901.36458333334</v>
      </c>
      <c r="R535" s="75" t="n">
        <v>45901.52083333334</v>
      </c>
      <c r="S535" s="76" t="n">
        <v>3.8</v>
      </c>
      <c r="T535" s="76" t="n">
        <v>3.75</v>
      </c>
      <c r="U535" s="70">
        <f>IF($A535="","",IFERROR(INDEX('Techniciens'!$F$5:$F$44,MATCH(O535,'Techniciens'!$B$5:$B$44,0)),'Paramètres'!$AA$10))</f>
        <v/>
      </c>
      <c r="V535" s="70">
        <f>IF($A535="","",IF(OR(AC535="Demandé",AC535="Planifié",AC535="Annulé"),0,N(T535)*N(U535)))</f>
        <v/>
      </c>
      <c r="W535" s="70">
        <f>IF($A535="","",SUMIFS('Mouvements stock'!$H$5:$H$3004,'Mouvements stock'!$I$5:$I$3004,$A535,'Mouvements stock'!$C$5:$C$3004,"Sortie")-SUMIFS('Mouvements stock'!$H$5:$H$3004,'Mouvements stock'!$I$5:$I$3004,$A535,'Mouvements stock'!$C$5:$C$3004,"Retour"))</f>
        <v/>
      </c>
      <c r="X535" s="66" t="n">
        <v>0</v>
      </c>
      <c r="Y535" s="66" t="n">
        <v>0</v>
      </c>
      <c r="Z535" s="7" t="n"/>
      <c r="AA535" s="70">
        <f>IF($A535="","",N(V535)+N(W535)+N(X535)+N(Y535))</f>
        <v/>
      </c>
      <c r="AB535" s="70">
        <f>IF($A535="","",N(S535)*'Paramètres'!$AA$9*IFERROR(INDEX('Paramètres'!$O$5:$O$7,MATCH(G535,'Paramètres'!$N$5:$N$7,0)),0))</f>
        <v/>
      </c>
      <c r="AC535" s="7" t="inlineStr">
        <is>
          <t>Clôturé</t>
        </is>
      </c>
      <c r="AD535" s="69">
        <f>IF(OR($A535="",Q535=""),"",(Q535-B535)*24)</f>
        <v/>
      </c>
      <c r="AE535" s="69">
        <f>IF(OR(Q535="",R535=""),"",(R535-Q535)*24)</f>
        <v/>
      </c>
      <c r="AF535" s="77">
        <f>IF(OR($A535="",B535=""),"",YEAR(B535))</f>
        <v/>
      </c>
      <c r="AG535" s="77">
        <f>IF(OR($A535="",B535=""),"",MONTH(B535))</f>
        <v/>
      </c>
    </row>
    <row r="536">
      <c r="A536" s="7" t="inlineStr">
        <is>
          <t>OT-2025-0532</t>
        </is>
      </c>
      <c r="B536" s="75" t="n">
        <v>45894.36111111111</v>
      </c>
      <c r="C536" s="7" t="inlineStr">
        <is>
          <t>Plan préventif</t>
        </is>
      </c>
      <c r="D536" s="7" t="inlineStr">
        <is>
          <t>EQ-UTI-009</t>
        </is>
      </c>
      <c r="E536" s="9">
        <f>IF(D536="","",IFERROR(INDEX('Équipements'!$B$5:$B$304,MATCH(D536,'Équipements'!$A$5:$A$304,0)),"Code inconnu"))</f>
        <v/>
      </c>
      <c r="F536" s="9">
        <f>IF(D536="","",IFERROR(INDEX('Équipements'!$D$5:$D$304,MATCH(D536,'Équipements'!$A$5:$A$304,0)),""))</f>
        <v/>
      </c>
      <c r="G536" s="9">
        <f>IF(D536="","",IFERROR(INDEX('Équipements'!$K$5:$K$304,MATCH(D536,'Équipements'!$A$5:$A$304,0)),""))</f>
        <v/>
      </c>
      <c r="H536" s="7" t="inlineStr">
        <is>
          <t>Préventif systématique</t>
        </is>
      </c>
      <c r="I536" s="7" t="inlineStr">
        <is>
          <t>GP-102</t>
        </is>
      </c>
      <c r="J536" s="7" t="inlineStr">
        <is>
          <t>Mécanique</t>
        </is>
      </c>
      <c r="K536" s="7" t="inlineStr">
        <is>
          <t>P3 - Normale</t>
        </is>
      </c>
      <c r="L536" s="7" t="inlineStr">
        <is>
          <t>Nettoyage décanteur et filtre-presse</t>
        </is>
      </c>
      <c r="M536" s="7" t="n"/>
      <c r="N536" s="7" t="inlineStr">
        <is>
          <t>Gamme réalisée - RAS</t>
        </is>
      </c>
      <c r="O536" s="7" t="inlineStr">
        <is>
          <t>Lucas Fontaine</t>
        </is>
      </c>
      <c r="P536" s="65" t="n">
        <v>45901.48958333334</v>
      </c>
      <c r="Q536" s="75" t="n">
        <v>45901.38541666666</v>
      </c>
      <c r="R536" s="75" t="n">
        <v>45901.61458333334</v>
      </c>
      <c r="S536" s="76" t="n">
        <v>0</v>
      </c>
      <c r="T536" s="76" t="n">
        <v>5.5</v>
      </c>
      <c r="U536" s="70">
        <f>IF($A536="","",IFERROR(INDEX('Techniciens'!$F$5:$F$44,MATCH(O536,'Techniciens'!$B$5:$B$44,0)),'Paramètres'!$AA$10))</f>
        <v/>
      </c>
      <c r="V536" s="70">
        <f>IF($A536="","",IF(OR(AC536="Demandé",AC536="Planifié",AC536="Annulé"),0,N(T536)*N(U536)))</f>
        <v/>
      </c>
      <c r="W536" s="70">
        <f>IF($A536="","",SUMIFS('Mouvements stock'!$H$5:$H$3004,'Mouvements stock'!$I$5:$I$3004,$A536,'Mouvements stock'!$C$5:$C$3004,"Sortie")-SUMIFS('Mouvements stock'!$H$5:$H$3004,'Mouvements stock'!$I$5:$I$3004,$A536,'Mouvements stock'!$C$5:$C$3004,"Retour"))</f>
        <v/>
      </c>
      <c r="X536" s="66" t="n">
        <v>0</v>
      </c>
      <c r="Y536" s="66" t="n">
        <v>0</v>
      </c>
      <c r="Z536" s="7" t="n"/>
      <c r="AA536" s="70">
        <f>IF($A536="","",N(V536)+N(W536)+N(X536)+N(Y536))</f>
        <v/>
      </c>
      <c r="AB536" s="70">
        <f>IF($A536="","",N(S536)*'Paramètres'!$AA$9*IFERROR(INDEX('Paramètres'!$O$5:$O$7,MATCH(G536,'Paramètres'!$N$5:$N$7,0)),0))</f>
        <v/>
      </c>
      <c r="AC536" s="7" t="inlineStr">
        <is>
          <t>Clôturé</t>
        </is>
      </c>
      <c r="AD536" s="69">
        <f>IF(OR($A536="",Q536=""),"",(Q536-B536)*24)</f>
        <v/>
      </c>
      <c r="AE536" s="69">
        <f>IF(OR(Q536="",R536=""),"",(R536-Q536)*24)</f>
        <v/>
      </c>
      <c r="AF536" s="77">
        <f>IF(OR($A536="",B536=""),"",YEAR(B536))</f>
        <v/>
      </c>
      <c r="AG536" s="77">
        <f>IF(OR($A536="",B536=""),"",MONTH(B536))</f>
        <v/>
      </c>
    </row>
    <row r="537">
      <c r="A537" s="7" t="inlineStr">
        <is>
          <t>OT-2025-0533</t>
        </is>
      </c>
      <c r="B537" s="75" t="n">
        <v>45894.38888888889</v>
      </c>
      <c r="C537" s="7" t="inlineStr">
        <is>
          <t>Plan préventif</t>
        </is>
      </c>
      <c r="D537" s="7" t="inlineStr">
        <is>
          <t>EQ-USI-006</t>
        </is>
      </c>
      <c r="E537" s="9">
        <f>IF(D537="","",IFERROR(INDEX('Équipements'!$B$5:$B$304,MATCH(D537,'Équipements'!$A$5:$A$304,0)),"Code inconnu"))</f>
        <v/>
      </c>
      <c r="F537" s="9">
        <f>IF(D537="","",IFERROR(INDEX('Équipements'!$D$5:$D$304,MATCH(D537,'Équipements'!$A$5:$A$304,0)),""))</f>
        <v/>
      </c>
      <c r="G537" s="9">
        <f>IF(D537="","",IFERROR(INDEX('Équipements'!$K$5:$K$304,MATCH(D537,'Équipements'!$A$5:$A$304,0)),""))</f>
        <v/>
      </c>
      <c r="H537" s="7" t="inlineStr">
        <is>
          <t>Préventif systématique</t>
        </is>
      </c>
      <c r="I537" s="7" t="inlineStr">
        <is>
          <t>GP-021</t>
        </is>
      </c>
      <c r="J537" s="7" t="inlineStr">
        <is>
          <t>Mécanique</t>
        </is>
      </c>
      <c r="K537" s="7" t="inlineStr">
        <is>
          <t>P3 - Normale</t>
        </is>
      </c>
      <c r="L537" s="7" t="inlineStr">
        <is>
          <t>Contrôle niveaux, nettoyage filtres et bac à copeaux</t>
        </is>
      </c>
      <c r="M537" s="7" t="n"/>
      <c r="N537" s="7" t="inlineStr">
        <is>
          <t>Gamme réalisée - RAS</t>
        </is>
      </c>
      <c r="O537" s="7" t="inlineStr">
        <is>
          <t>Lucas Fontaine</t>
        </is>
      </c>
      <c r="P537" s="65" t="n">
        <v>45901.62847222222</v>
      </c>
      <c r="Q537" s="75" t="n">
        <v>45901.46875</v>
      </c>
      <c r="R537" s="75" t="n">
        <v>45901.54166666666</v>
      </c>
      <c r="S537" s="76" t="n">
        <v>1.8</v>
      </c>
      <c r="T537" s="76" t="n">
        <v>1.75</v>
      </c>
      <c r="U537" s="70">
        <f>IF($A537="","",IFERROR(INDEX('Techniciens'!$F$5:$F$44,MATCH(O537,'Techniciens'!$B$5:$B$44,0)),'Paramètres'!$AA$10))</f>
        <v/>
      </c>
      <c r="V537" s="70">
        <f>IF($A537="","",IF(OR(AC537="Demandé",AC537="Planifié",AC537="Annulé"),0,N(T537)*N(U537)))</f>
        <v/>
      </c>
      <c r="W537" s="70">
        <f>IF($A537="","",SUMIFS('Mouvements stock'!$H$5:$H$3004,'Mouvements stock'!$I$5:$I$3004,$A537,'Mouvements stock'!$C$5:$C$3004,"Sortie")-SUMIFS('Mouvements stock'!$H$5:$H$3004,'Mouvements stock'!$I$5:$I$3004,$A537,'Mouvements stock'!$C$5:$C$3004,"Retour"))</f>
        <v/>
      </c>
      <c r="X537" s="66" t="n">
        <v>0</v>
      </c>
      <c r="Y537" s="66" t="n">
        <v>0</v>
      </c>
      <c r="Z537" s="7" t="n"/>
      <c r="AA537" s="70">
        <f>IF($A537="","",N(V537)+N(W537)+N(X537)+N(Y537))</f>
        <v/>
      </c>
      <c r="AB537" s="70">
        <f>IF($A537="","",N(S537)*'Paramètres'!$AA$9*IFERROR(INDEX('Paramètres'!$O$5:$O$7,MATCH(G537,'Paramètres'!$N$5:$N$7,0)),0))</f>
        <v/>
      </c>
      <c r="AC537" s="7" t="inlineStr">
        <is>
          <t>Clôturé</t>
        </is>
      </c>
      <c r="AD537" s="69">
        <f>IF(OR($A537="",Q537=""),"",(Q537-B537)*24)</f>
        <v/>
      </c>
      <c r="AE537" s="69">
        <f>IF(OR(Q537="",R537=""),"",(R537-Q537)*24)</f>
        <v/>
      </c>
      <c r="AF537" s="77">
        <f>IF(OR($A537="",B537=""),"",YEAR(B537))</f>
        <v/>
      </c>
      <c r="AG537" s="77">
        <f>IF(OR($A537="",B537=""),"",MONTH(B537))</f>
        <v/>
      </c>
    </row>
    <row r="538">
      <c r="A538" s="7" t="inlineStr">
        <is>
          <t>OT-2025-0534</t>
        </is>
      </c>
      <c r="B538" s="75" t="n">
        <v>45894.40277777778</v>
      </c>
      <c r="C538" s="7" t="inlineStr">
        <is>
          <t>Plan préventif</t>
        </is>
      </c>
      <c r="D538" s="7" t="inlineStr">
        <is>
          <t>EQ-PEI-003</t>
        </is>
      </c>
      <c r="E538" s="9">
        <f>IF(D538="","",IFERROR(INDEX('Équipements'!$B$5:$B$304,MATCH(D538,'Équipements'!$A$5:$A$304,0)),"Code inconnu"))</f>
        <v/>
      </c>
      <c r="F538" s="9">
        <f>IF(D538="","",IFERROR(INDEX('Équipements'!$D$5:$D$304,MATCH(D538,'Équipements'!$A$5:$A$304,0)),""))</f>
        <v/>
      </c>
      <c r="G538" s="9">
        <f>IF(D538="","",IFERROR(INDEX('Équipements'!$K$5:$K$304,MATCH(D538,'Équipements'!$A$5:$A$304,0)),""))</f>
        <v/>
      </c>
      <c r="H538" s="7" t="inlineStr">
        <is>
          <t>Préventif systématique</t>
        </is>
      </c>
      <c r="I538" s="7" t="inlineStr">
        <is>
          <t>GP-070</t>
        </is>
      </c>
      <c r="J538" s="7" t="inlineStr">
        <is>
          <t>Mécanique</t>
        </is>
      </c>
      <c r="K538" s="7" t="inlineStr">
        <is>
          <t>P3 - Normale</t>
        </is>
      </c>
      <c r="L538" s="7" t="inlineStr">
        <is>
          <t>Nettoyage et remplacement des filtres</t>
        </is>
      </c>
      <c r="M538" s="7" t="n"/>
      <c r="N538" s="7" t="inlineStr">
        <is>
          <t>Gamme réalisée - RAS</t>
        </is>
      </c>
      <c r="O538" s="7" t="inlineStr">
        <is>
          <t>Antoine Mercier</t>
        </is>
      </c>
      <c r="P538" s="65" t="n">
        <v>45901.73958333334</v>
      </c>
      <c r="Q538" s="75" t="n">
        <v>45901.43055555555</v>
      </c>
      <c r="R538" s="75" t="n">
        <v>45901.54513888889</v>
      </c>
      <c r="S538" s="76" t="n">
        <v>1.4</v>
      </c>
      <c r="T538" s="76" t="n">
        <v>2.75</v>
      </c>
      <c r="U538" s="70">
        <f>IF($A538="","",IFERROR(INDEX('Techniciens'!$F$5:$F$44,MATCH(O538,'Techniciens'!$B$5:$B$44,0)),'Paramètres'!$AA$10))</f>
        <v/>
      </c>
      <c r="V538" s="70">
        <f>IF($A538="","",IF(OR(AC538="Demandé",AC538="Planifié",AC538="Annulé"),0,N(T538)*N(U538)))</f>
        <v/>
      </c>
      <c r="W538" s="70">
        <f>IF($A538="","",SUMIFS('Mouvements stock'!$H$5:$H$3004,'Mouvements stock'!$I$5:$I$3004,$A538,'Mouvements stock'!$C$5:$C$3004,"Sortie")-SUMIFS('Mouvements stock'!$H$5:$H$3004,'Mouvements stock'!$I$5:$I$3004,$A538,'Mouvements stock'!$C$5:$C$3004,"Retour"))</f>
        <v/>
      </c>
      <c r="X538" s="66" t="n">
        <v>0</v>
      </c>
      <c r="Y538" s="66" t="n">
        <v>0</v>
      </c>
      <c r="Z538" s="7" t="n"/>
      <c r="AA538" s="70">
        <f>IF($A538="","",N(V538)+N(W538)+N(X538)+N(Y538))</f>
        <v/>
      </c>
      <c r="AB538" s="70">
        <f>IF($A538="","",N(S538)*'Paramètres'!$AA$9*IFERROR(INDEX('Paramètres'!$O$5:$O$7,MATCH(G538,'Paramètres'!$N$5:$N$7,0)),0))</f>
        <v/>
      </c>
      <c r="AC538" s="7" t="inlineStr">
        <is>
          <t>Clôturé</t>
        </is>
      </c>
      <c r="AD538" s="69">
        <f>IF(OR($A538="",Q538=""),"",(Q538-B538)*24)</f>
        <v/>
      </c>
      <c r="AE538" s="69">
        <f>IF(OR(Q538="",R538=""),"",(R538-Q538)*24)</f>
        <v/>
      </c>
      <c r="AF538" s="77">
        <f>IF(OR($A538="",B538=""),"",YEAR(B538))</f>
        <v/>
      </c>
      <c r="AG538" s="77">
        <f>IF(OR($A538="",B538=""),"",MONTH(B538))</f>
        <v/>
      </c>
    </row>
    <row r="539">
      <c r="A539" s="7" t="inlineStr">
        <is>
          <t>OT-2025-0535</t>
        </is>
      </c>
      <c r="B539" s="75" t="n">
        <v>45894.40972222222</v>
      </c>
      <c r="C539" s="7" t="inlineStr">
        <is>
          <t>Plan préventif</t>
        </is>
      </c>
      <c r="D539" s="7" t="inlineStr">
        <is>
          <t>EQ-UTI-010</t>
        </is>
      </c>
      <c r="E539" s="9">
        <f>IF(D539="","",IFERROR(INDEX('Équipements'!$B$5:$B$304,MATCH(D539,'Équipements'!$A$5:$A$304,0)),"Code inconnu"))</f>
        <v/>
      </c>
      <c r="F539" s="9">
        <f>IF(D539="","",IFERROR(INDEX('Équipements'!$D$5:$D$304,MATCH(D539,'Équipements'!$A$5:$A$304,0)),""))</f>
        <v/>
      </c>
      <c r="G539" s="9">
        <f>IF(D539="","",IFERROR(INDEX('Équipements'!$K$5:$K$304,MATCH(D539,'Équipements'!$A$5:$A$304,0)),""))</f>
        <v/>
      </c>
      <c r="H539" s="7" t="inlineStr">
        <is>
          <t>Préventif systématique</t>
        </is>
      </c>
      <c r="I539" s="7" t="inlineStr">
        <is>
          <t>GP-104</t>
        </is>
      </c>
      <c r="J539" s="7" t="inlineStr">
        <is>
          <t>Électrique</t>
        </is>
      </c>
      <c r="K539" s="7" t="inlineStr">
        <is>
          <t>P3 - Normale</t>
        </is>
      </c>
      <c r="L539" s="7" t="inlineStr">
        <is>
          <t>Essai mensuel à charge du groupe électrogène</t>
        </is>
      </c>
      <c r="M539" s="7" t="n"/>
      <c r="N539" s="7" t="inlineStr">
        <is>
          <t>Gamme réalisée - RAS</t>
        </is>
      </c>
      <c r="O539" s="7" t="inlineStr">
        <is>
          <t>Julien Moreau</t>
        </is>
      </c>
      <c r="P539" s="65" t="n">
        <v>45901.48263888889</v>
      </c>
      <c r="Q539" s="75" t="n">
        <v>45901.4375</v>
      </c>
      <c r="R539" s="75" t="n">
        <v>45901.48958333334</v>
      </c>
      <c r="S539" s="76" t="n">
        <v>0</v>
      </c>
      <c r="T539" s="76" t="n">
        <v>1.25</v>
      </c>
      <c r="U539" s="70">
        <f>IF($A539="","",IFERROR(INDEX('Techniciens'!$F$5:$F$44,MATCH(O539,'Techniciens'!$B$5:$B$44,0)),'Paramètres'!$AA$10))</f>
        <v/>
      </c>
      <c r="V539" s="70">
        <f>IF($A539="","",IF(OR(AC539="Demandé",AC539="Planifié",AC539="Annulé"),0,N(T539)*N(U539)))</f>
        <v/>
      </c>
      <c r="W539" s="70">
        <f>IF($A539="","",SUMIFS('Mouvements stock'!$H$5:$H$3004,'Mouvements stock'!$I$5:$I$3004,$A539,'Mouvements stock'!$C$5:$C$3004,"Sortie")-SUMIFS('Mouvements stock'!$H$5:$H$3004,'Mouvements stock'!$I$5:$I$3004,$A539,'Mouvements stock'!$C$5:$C$3004,"Retour"))</f>
        <v/>
      </c>
      <c r="X539" s="66" t="n">
        <v>0</v>
      </c>
      <c r="Y539" s="66" t="n">
        <v>0</v>
      </c>
      <c r="Z539" s="7" t="n"/>
      <c r="AA539" s="70">
        <f>IF($A539="","",N(V539)+N(W539)+N(X539)+N(Y539))</f>
        <v/>
      </c>
      <c r="AB539" s="70">
        <f>IF($A539="","",N(S539)*'Paramètres'!$AA$9*IFERROR(INDEX('Paramètres'!$O$5:$O$7,MATCH(G539,'Paramètres'!$N$5:$N$7,0)),0))</f>
        <v/>
      </c>
      <c r="AC539" s="7" t="inlineStr">
        <is>
          <t>Clôturé</t>
        </is>
      </c>
      <c r="AD539" s="69">
        <f>IF(OR($A539="",Q539=""),"",(Q539-B539)*24)</f>
        <v/>
      </c>
      <c r="AE539" s="69">
        <f>IF(OR(Q539="",R539=""),"",(R539-Q539)*24)</f>
        <v/>
      </c>
      <c r="AF539" s="77">
        <f>IF(OR($A539="",B539=""),"",YEAR(B539))</f>
        <v/>
      </c>
      <c r="AG539" s="77">
        <f>IF(OR($A539="",B539=""),"",MONTH(B539))</f>
        <v/>
      </c>
    </row>
    <row r="540">
      <c r="A540" s="7" t="inlineStr">
        <is>
          <t>OT-2025-0536</t>
        </is>
      </c>
      <c r="B540" s="75" t="n">
        <v>45894.42708333334</v>
      </c>
      <c r="C540" s="7" t="inlineStr">
        <is>
          <t>Plan préventif</t>
        </is>
      </c>
      <c r="D540" s="7" t="inlineStr">
        <is>
          <t>EQ-UTI-009</t>
        </is>
      </c>
      <c r="E540" s="9">
        <f>IF(D540="","",IFERROR(INDEX('Équipements'!$B$5:$B$304,MATCH(D540,'Équipements'!$A$5:$A$304,0)),"Code inconnu"))</f>
        <v/>
      </c>
      <c r="F540" s="9">
        <f>IF(D540="","",IFERROR(INDEX('Équipements'!$D$5:$D$304,MATCH(D540,'Équipements'!$A$5:$A$304,0)),""))</f>
        <v/>
      </c>
      <c r="G540" s="9">
        <f>IF(D540="","",IFERROR(INDEX('Équipements'!$K$5:$K$304,MATCH(D540,'Équipements'!$A$5:$A$304,0)),""))</f>
        <v/>
      </c>
      <c r="H540" s="7" t="inlineStr">
        <is>
          <t>Préventif systématique</t>
        </is>
      </c>
      <c r="I540" s="7" t="inlineStr">
        <is>
          <t>GP-101</t>
        </is>
      </c>
      <c r="J540" s="7" t="inlineStr">
        <is>
          <t>Électrique</t>
        </is>
      </c>
      <c r="K540" s="7" t="inlineStr">
        <is>
          <t>P3 - Normale</t>
        </is>
      </c>
      <c r="L540" s="7" t="inlineStr">
        <is>
          <t>Étalonnage des sondes pH / redox</t>
        </is>
      </c>
      <c r="M540" s="7" t="n"/>
      <c r="N540" s="7" t="inlineStr">
        <is>
          <t>Gamme réalisée - RAS</t>
        </is>
      </c>
      <c r="O540" s="7" t="inlineStr">
        <is>
          <t>Thomas Petit</t>
        </is>
      </c>
      <c r="P540" s="65" t="n">
        <v>45901.61458333334</v>
      </c>
      <c r="Q540" s="75" t="n">
        <v>45901.56944444445</v>
      </c>
      <c r="R540" s="75" t="n">
        <v>45901.64236111111</v>
      </c>
      <c r="S540" s="76" t="n">
        <v>0</v>
      </c>
      <c r="T540" s="76" t="n">
        <v>1.75</v>
      </c>
      <c r="U540" s="70">
        <f>IF($A540="","",IFERROR(INDEX('Techniciens'!$F$5:$F$44,MATCH(O540,'Techniciens'!$B$5:$B$44,0)),'Paramètres'!$AA$10))</f>
        <v/>
      </c>
      <c r="V540" s="70">
        <f>IF($A540="","",IF(OR(AC540="Demandé",AC540="Planifié",AC540="Annulé"),0,N(T540)*N(U540)))</f>
        <v/>
      </c>
      <c r="W540" s="70">
        <f>IF($A540="","",SUMIFS('Mouvements stock'!$H$5:$H$3004,'Mouvements stock'!$I$5:$I$3004,$A540,'Mouvements stock'!$C$5:$C$3004,"Sortie")-SUMIFS('Mouvements stock'!$H$5:$H$3004,'Mouvements stock'!$I$5:$I$3004,$A540,'Mouvements stock'!$C$5:$C$3004,"Retour"))</f>
        <v/>
      </c>
      <c r="X540" s="66" t="n">
        <v>0</v>
      </c>
      <c r="Y540" s="66" t="n">
        <v>0</v>
      </c>
      <c r="Z540" s="7" t="n"/>
      <c r="AA540" s="70">
        <f>IF($A540="","",N(V540)+N(W540)+N(X540)+N(Y540))</f>
        <v/>
      </c>
      <c r="AB540" s="70">
        <f>IF($A540="","",N(S540)*'Paramètres'!$AA$9*IFERROR(INDEX('Paramètres'!$O$5:$O$7,MATCH(G540,'Paramètres'!$N$5:$N$7,0)),0))</f>
        <v/>
      </c>
      <c r="AC540" s="7" t="inlineStr">
        <is>
          <t>Clôturé</t>
        </is>
      </c>
      <c r="AD540" s="69">
        <f>IF(OR($A540="",Q540=""),"",(Q540-B540)*24)</f>
        <v/>
      </c>
      <c r="AE540" s="69">
        <f>IF(OR(Q540="",R540=""),"",(R540-Q540)*24)</f>
        <v/>
      </c>
      <c r="AF540" s="77">
        <f>IF(OR($A540="",B540=""),"",YEAR(B540))</f>
        <v/>
      </c>
      <c r="AG540" s="77">
        <f>IF(OR($A540="",B540=""),"",MONTH(B540))</f>
        <v/>
      </c>
    </row>
    <row r="541">
      <c r="A541" s="7" t="inlineStr">
        <is>
          <t>OT-2025-0537</t>
        </is>
      </c>
      <c r="B541" s="75" t="n">
        <v>45894.48958333334</v>
      </c>
      <c r="C541" s="7" t="inlineStr">
        <is>
          <t>Plan préventif</t>
        </is>
      </c>
      <c r="D541" s="7" t="inlineStr">
        <is>
          <t>EQ-UTI-001</t>
        </is>
      </c>
      <c r="E541" s="9">
        <f>IF(D541="","",IFERROR(INDEX('Équipements'!$B$5:$B$304,MATCH(D541,'Équipements'!$A$5:$A$304,0)),"Code inconnu"))</f>
        <v/>
      </c>
      <c r="F541" s="9">
        <f>IF(D541="","",IFERROR(INDEX('Équipements'!$D$5:$D$304,MATCH(D541,'Équipements'!$A$5:$A$304,0)),""))</f>
        <v/>
      </c>
      <c r="G541" s="9">
        <f>IF(D541="","",IFERROR(INDEX('Équipements'!$K$5:$K$304,MATCH(D541,'Équipements'!$A$5:$A$304,0)),""))</f>
        <v/>
      </c>
      <c r="H541" s="7" t="inlineStr">
        <is>
          <t>Préventif systématique</t>
        </is>
      </c>
      <c r="I541" s="7" t="inlineStr">
        <is>
          <t>GP-088</t>
        </is>
      </c>
      <c r="J541" s="7" t="inlineStr">
        <is>
          <t>Pneumatique</t>
        </is>
      </c>
      <c r="K541" s="7" t="inlineStr">
        <is>
          <t>P3 - Normale</t>
        </is>
      </c>
      <c r="L541" s="7" t="inlineStr">
        <is>
          <t>Purge, contrôle fuites et point de rosée</t>
        </is>
      </c>
      <c r="M541" s="7" t="n"/>
      <c r="N541" s="7" t="inlineStr">
        <is>
          <t>Gamme réalisée - RAS</t>
        </is>
      </c>
      <c r="O541" s="7" t="inlineStr">
        <is>
          <t>Julien Moreau</t>
        </is>
      </c>
      <c r="P541" s="65" t="n">
        <v>45901.375</v>
      </c>
      <c r="Q541" s="75" t="n">
        <v>45901.375</v>
      </c>
      <c r="R541" s="75" t="n">
        <v>45901.42708333334</v>
      </c>
      <c r="S541" s="76" t="n">
        <v>0</v>
      </c>
      <c r="T541" s="76" t="n">
        <v>1.25</v>
      </c>
      <c r="U541" s="70">
        <f>IF($A541="","",IFERROR(INDEX('Techniciens'!$F$5:$F$44,MATCH(O541,'Techniciens'!$B$5:$B$44,0)),'Paramètres'!$AA$10))</f>
        <v/>
      </c>
      <c r="V541" s="70">
        <f>IF($A541="","",IF(OR(AC541="Demandé",AC541="Planifié",AC541="Annulé"),0,N(T541)*N(U541)))</f>
        <v/>
      </c>
      <c r="W541" s="70">
        <f>IF($A541="","",SUMIFS('Mouvements stock'!$H$5:$H$3004,'Mouvements stock'!$I$5:$I$3004,$A541,'Mouvements stock'!$C$5:$C$3004,"Sortie")-SUMIFS('Mouvements stock'!$H$5:$H$3004,'Mouvements stock'!$I$5:$I$3004,$A541,'Mouvements stock'!$C$5:$C$3004,"Retour"))</f>
        <v/>
      </c>
      <c r="X541" s="66" t="n">
        <v>0</v>
      </c>
      <c r="Y541" s="66" t="n">
        <v>0</v>
      </c>
      <c r="Z541" s="7" t="n"/>
      <c r="AA541" s="70">
        <f>IF($A541="","",N(V541)+N(W541)+N(X541)+N(Y541))</f>
        <v/>
      </c>
      <c r="AB541" s="70">
        <f>IF($A541="","",N(S541)*'Paramètres'!$AA$9*IFERROR(INDEX('Paramètres'!$O$5:$O$7,MATCH(G541,'Paramètres'!$N$5:$N$7,0)),0))</f>
        <v/>
      </c>
      <c r="AC541" s="7" t="inlineStr">
        <is>
          <t>Clôturé</t>
        </is>
      </c>
      <c r="AD541" s="69">
        <f>IF(OR($A541="",Q541=""),"",(Q541-B541)*24)</f>
        <v/>
      </c>
      <c r="AE541" s="69">
        <f>IF(OR(Q541="",R541=""),"",(R541-Q541)*24)</f>
        <v/>
      </c>
      <c r="AF541" s="77">
        <f>IF(OR($A541="",B541=""),"",YEAR(B541))</f>
        <v/>
      </c>
      <c r="AG541" s="77">
        <f>IF(OR($A541="",B541=""),"",MONTH(B541))</f>
        <v/>
      </c>
    </row>
    <row r="542">
      <c r="A542" s="7" t="inlineStr">
        <is>
          <t>OT-2025-0538</t>
        </is>
      </c>
      <c r="B542" s="75" t="n">
        <v>45894.67291666667</v>
      </c>
      <c r="C542" s="7" t="inlineStr">
        <is>
          <t>Opérateur peinture</t>
        </is>
      </c>
      <c r="D542" s="7" t="inlineStr">
        <is>
          <t>EQ-PEI-001</t>
        </is>
      </c>
      <c r="E542" s="9">
        <f>IF(D542="","",IFERROR(INDEX('Équipements'!$B$5:$B$304,MATCH(D542,'Équipements'!$A$5:$A$304,0)),"Code inconnu"))</f>
        <v/>
      </c>
      <c r="F542" s="9">
        <f>IF(D542="","",IFERROR(INDEX('Équipements'!$D$5:$D$304,MATCH(D542,'Équipements'!$A$5:$A$304,0)),""))</f>
        <v/>
      </c>
      <c r="G542" s="9">
        <f>IF(D542="","",IFERROR(INDEX('Équipements'!$K$5:$K$304,MATCH(D542,'Équipements'!$A$5:$A$304,0)),""))</f>
        <v/>
      </c>
      <c r="H542" s="7" t="inlineStr">
        <is>
          <t>Correctif</t>
        </is>
      </c>
      <c r="I542" s="7" t="n"/>
      <c r="J542" s="7" t="inlineStr">
        <is>
          <t>Électrique</t>
        </is>
      </c>
      <c r="K542" s="7" t="inlineStr">
        <is>
          <t>P2 - Haute</t>
        </is>
      </c>
      <c r="L542" s="7" t="inlineStr">
        <is>
          <t>Ventilateur d'extraction en défaut</t>
        </is>
      </c>
      <c r="M542" s="7" t="inlineStr">
        <is>
          <t>Défaut électrique</t>
        </is>
      </c>
      <c r="N542" s="7" t="inlineStr">
        <is>
          <t>Remplacement contacteur et courroie</t>
        </is>
      </c>
      <c r="O542" s="7" t="inlineStr">
        <is>
          <t>Julien Moreau</t>
        </is>
      </c>
      <c r="P542" s="65" t="n"/>
      <c r="Q542" s="75" t="n">
        <v>45894.77222222222</v>
      </c>
      <c r="R542" s="75" t="n">
        <v>45894.99097222222</v>
      </c>
      <c r="S542" s="76" t="n">
        <v>7.6</v>
      </c>
      <c r="T542" s="76" t="n">
        <v>5.25</v>
      </c>
      <c r="U542" s="70">
        <f>IF($A542="","",IFERROR(INDEX('Techniciens'!$F$5:$F$44,MATCH(O542,'Techniciens'!$B$5:$B$44,0)),'Paramètres'!$AA$10))</f>
        <v/>
      </c>
      <c r="V542" s="70">
        <f>IF($A542="","",IF(OR(AC542="Demandé",AC542="Planifié",AC542="Annulé"),0,N(T542)*N(U542)))</f>
        <v/>
      </c>
      <c r="W542" s="70">
        <f>IF($A542="","",SUMIFS('Mouvements stock'!$H$5:$H$3004,'Mouvements stock'!$I$5:$I$3004,$A542,'Mouvements stock'!$C$5:$C$3004,"Sortie")-SUMIFS('Mouvements stock'!$H$5:$H$3004,'Mouvements stock'!$I$5:$I$3004,$A542,'Mouvements stock'!$C$5:$C$3004,"Retour"))</f>
        <v/>
      </c>
      <c r="X542" s="66" t="n">
        <v>0</v>
      </c>
      <c r="Y542" s="66" t="n">
        <v>0</v>
      </c>
      <c r="Z542" s="7" t="n"/>
      <c r="AA542" s="70">
        <f>IF($A542="","",N(V542)+N(W542)+N(X542)+N(Y542))</f>
        <v/>
      </c>
      <c r="AB542" s="70">
        <f>IF($A542="","",N(S542)*'Paramètres'!$AA$9*IFERROR(INDEX('Paramètres'!$O$5:$O$7,MATCH(G542,'Paramètres'!$N$5:$N$7,0)),0))</f>
        <v/>
      </c>
      <c r="AC542" s="7" t="inlineStr">
        <is>
          <t>Clôturé</t>
        </is>
      </c>
      <c r="AD542" s="69">
        <f>IF(OR($A542="",Q542=""),"",(Q542-B542)*24)</f>
        <v/>
      </c>
      <c r="AE542" s="69">
        <f>IF(OR(Q542="",R542=""),"",(R542-Q542)*24)</f>
        <v/>
      </c>
      <c r="AF542" s="77">
        <f>IF(OR($A542="",B542=""),"",YEAR(B542))</f>
        <v/>
      </c>
      <c r="AG542" s="77">
        <f>IF(OR($A542="",B542=""),"",MONTH(B542))</f>
        <v/>
      </c>
    </row>
    <row r="543">
      <c r="A543" s="7" t="inlineStr">
        <is>
          <t>OT-2025-0539</t>
        </is>
      </c>
      <c r="B543" s="75" t="n">
        <v>45895.34583333333</v>
      </c>
      <c r="C543" s="7" t="inlineStr">
        <is>
          <t>Opérateur peinture</t>
        </is>
      </c>
      <c r="D543" s="7" t="inlineStr">
        <is>
          <t>EQ-PEI-004</t>
        </is>
      </c>
      <c r="E543" s="9">
        <f>IF(D543="","",IFERROR(INDEX('Équipements'!$B$5:$B$304,MATCH(D543,'Équipements'!$A$5:$A$304,0)),"Code inconnu"))</f>
        <v/>
      </c>
      <c r="F543" s="9">
        <f>IF(D543="","",IFERROR(INDEX('Équipements'!$D$5:$D$304,MATCH(D543,'Équipements'!$A$5:$A$304,0)),""))</f>
        <v/>
      </c>
      <c r="G543" s="9">
        <f>IF(D543="","",IFERROR(INDEX('Équipements'!$K$5:$K$304,MATCH(D543,'Équipements'!$A$5:$A$304,0)),""))</f>
        <v/>
      </c>
      <c r="H543" s="7" t="inlineStr">
        <is>
          <t>Correctif</t>
        </is>
      </c>
      <c r="I543" s="7" t="n"/>
      <c r="J543" s="7" t="inlineStr">
        <is>
          <t>Électrique</t>
        </is>
      </c>
      <c r="K543" s="7" t="inlineStr">
        <is>
          <t>P1 - Urgent</t>
        </is>
      </c>
      <c r="L543" s="7" t="inlineStr">
        <is>
          <t>Détecteur de présence HS</t>
        </is>
      </c>
      <c r="M543" s="7" t="inlineStr">
        <is>
          <t>Défaut capteur</t>
        </is>
      </c>
      <c r="N543" s="7" t="inlineStr">
        <is>
          <t>Remplacement détecteur</t>
        </is>
      </c>
      <c r="O543" s="7" t="inlineStr">
        <is>
          <t>Antoine Mercier</t>
        </is>
      </c>
      <c r="P543" s="65" t="n"/>
      <c r="Q543" s="75" t="n">
        <v>45895.37777777778</v>
      </c>
      <c r="R543" s="75" t="n">
        <v>45895.47152777778</v>
      </c>
      <c r="S543" s="76" t="n">
        <v>3</v>
      </c>
      <c r="T543" s="76" t="n">
        <v>2.25</v>
      </c>
      <c r="U543" s="70">
        <f>IF($A543="","",IFERROR(INDEX('Techniciens'!$F$5:$F$44,MATCH(O543,'Techniciens'!$B$5:$B$44,0)),'Paramètres'!$AA$10))</f>
        <v/>
      </c>
      <c r="V543" s="70">
        <f>IF($A543="","",IF(OR(AC543="Demandé",AC543="Planifié",AC543="Annulé"),0,N(T543)*N(U543)))</f>
        <v/>
      </c>
      <c r="W543" s="70">
        <f>IF($A543="","",SUMIFS('Mouvements stock'!$H$5:$H$3004,'Mouvements stock'!$I$5:$I$3004,$A543,'Mouvements stock'!$C$5:$C$3004,"Sortie")-SUMIFS('Mouvements stock'!$H$5:$H$3004,'Mouvements stock'!$I$5:$I$3004,$A543,'Mouvements stock'!$C$5:$C$3004,"Retour"))</f>
        <v/>
      </c>
      <c r="X543" s="66" t="n">
        <v>0</v>
      </c>
      <c r="Y543" s="66" t="n">
        <v>0</v>
      </c>
      <c r="Z543" s="7" t="n"/>
      <c r="AA543" s="70">
        <f>IF($A543="","",N(V543)+N(W543)+N(X543)+N(Y543))</f>
        <v/>
      </c>
      <c r="AB543" s="70">
        <f>IF($A543="","",N(S543)*'Paramètres'!$AA$9*IFERROR(INDEX('Paramètres'!$O$5:$O$7,MATCH(G543,'Paramètres'!$N$5:$N$7,0)),0))</f>
        <v/>
      </c>
      <c r="AC543" s="7" t="inlineStr">
        <is>
          <t>Clôturé</t>
        </is>
      </c>
      <c r="AD543" s="69">
        <f>IF(OR($A543="",Q543=""),"",(Q543-B543)*24)</f>
        <v/>
      </c>
      <c r="AE543" s="69">
        <f>IF(OR(Q543="",R543=""),"",(R543-Q543)*24)</f>
        <v/>
      </c>
      <c r="AF543" s="77">
        <f>IF(OR($A543="",B543=""),"",YEAR(B543))</f>
        <v/>
      </c>
      <c r="AG543" s="77">
        <f>IF(OR($A543="",B543=""),"",MONTH(B543))</f>
        <v/>
      </c>
    </row>
    <row r="544">
      <c r="A544" s="7" t="inlineStr">
        <is>
          <t>OT-2025-0540</t>
        </is>
      </c>
      <c r="B544" s="75" t="n">
        <v>45896.35416666666</v>
      </c>
      <c r="C544" s="7" t="inlineStr">
        <is>
          <t>Plan préventif</t>
        </is>
      </c>
      <c r="D544" s="7" t="inlineStr">
        <is>
          <t>EQ-TOL-007</t>
        </is>
      </c>
      <c r="E544" s="9">
        <f>IF(D544="","",IFERROR(INDEX('Équipements'!$B$5:$B$304,MATCH(D544,'Équipements'!$A$5:$A$304,0)),"Code inconnu"))</f>
        <v/>
      </c>
      <c r="F544" s="9">
        <f>IF(D544="","",IFERROR(INDEX('Équipements'!$D$5:$D$304,MATCH(D544,'Équipements'!$A$5:$A$304,0)),""))</f>
        <v/>
      </c>
      <c r="G544" s="9">
        <f>IF(D544="","",IFERROR(INDEX('Équipements'!$K$5:$K$304,MATCH(D544,'Équipements'!$A$5:$A$304,0)),""))</f>
        <v/>
      </c>
      <c r="H544" s="7" t="inlineStr">
        <is>
          <t>Préventif systématique</t>
        </is>
      </c>
      <c r="I544" s="7" t="inlineStr">
        <is>
          <t>GP-056</t>
        </is>
      </c>
      <c r="J544" s="7" t="inlineStr">
        <is>
          <t>Mécanique</t>
        </is>
      </c>
      <c r="K544" s="7" t="inlineStr">
        <is>
          <t>P3 - Normale</t>
        </is>
      </c>
      <c r="L544" s="7" t="inlineStr">
        <is>
          <t>Graissage chaîne / galets et contrôle tension</t>
        </is>
      </c>
      <c r="M544" s="7" t="n"/>
      <c r="N544" s="7" t="inlineStr">
        <is>
          <t>Gamme réalisée - RAS</t>
        </is>
      </c>
      <c r="O544" s="7" t="inlineStr">
        <is>
          <t>Antoine Mercier</t>
        </is>
      </c>
      <c r="P544" s="65" t="n">
        <v>45903.63541666666</v>
      </c>
      <c r="Q544" s="75" t="n">
        <v>45903.33333333334</v>
      </c>
      <c r="R544" s="75" t="n">
        <v>45903.40625</v>
      </c>
      <c r="S544" s="76" t="n">
        <v>1.8</v>
      </c>
      <c r="T544" s="76" t="n">
        <v>1.75</v>
      </c>
      <c r="U544" s="70">
        <f>IF($A544="","",IFERROR(INDEX('Techniciens'!$F$5:$F$44,MATCH(O544,'Techniciens'!$B$5:$B$44,0)),'Paramètres'!$AA$10))</f>
        <v/>
      </c>
      <c r="V544" s="70">
        <f>IF($A544="","",IF(OR(AC544="Demandé",AC544="Planifié",AC544="Annulé"),0,N(T544)*N(U544)))</f>
        <v/>
      </c>
      <c r="W544" s="70">
        <f>IF($A544="","",SUMIFS('Mouvements stock'!$H$5:$H$3004,'Mouvements stock'!$I$5:$I$3004,$A544,'Mouvements stock'!$C$5:$C$3004,"Sortie")-SUMIFS('Mouvements stock'!$H$5:$H$3004,'Mouvements stock'!$I$5:$I$3004,$A544,'Mouvements stock'!$C$5:$C$3004,"Retour"))</f>
        <v/>
      </c>
      <c r="X544" s="66" t="n">
        <v>0</v>
      </c>
      <c r="Y544" s="66" t="n">
        <v>0</v>
      </c>
      <c r="Z544" s="7" t="n"/>
      <c r="AA544" s="70">
        <f>IF($A544="","",N(V544)+N(W544)+N(X544)+N(Y544))</f>
        <v/>
      </c>
      <c r="AB544" s="70">
        <f>IF($A544="","",N(S544)*'Paramètres'!$AA$9*IFERROR(INDEX('Paramètres'!$O$5:$O$7,MATCH(G544,'Paramètres'!$N$5:$N$7,0)),0))</f>
        <v/>
      </c>
      <c r="AC544" s="7" t="inlineStr">
        <is>
          <t>Clôturé</t>
        </is>
      </c>
      <c r="AD544" s="69">
        <f>IF(OR($A544="",Q544=""),"",(Q544-B544)*24)</f>
        <v/>
      </c>
      <c r="AE544" s="69">
        <f>IF(OR(Q544="",R544=""),"",(R544-Q544)*24)</f>
        <v/>
      </c>
      <c r="AF544" s="77">
        <f>IF(OR($A544="",B544=""),"",YEAR(B544))</f>
        <v/>
      </c>
      <c r="AG544" s="77">
        <f>IF(OR($A544="",B544=""),"",MONTH(B544))</f>
        <v/>
      </c>
    </row>
    <row r="545">
      <c r="A545" s="7" t="inlineStr">
        <is>
          <t>OT-2025-0541</t>
        </is>
      </c>
      <c r="B545" s="75" t="n">
        <v>45896.36458333334</v>
      </c>
      <c r="C545" s="7" t="inlineStr">
        <is>
          <t>Plan préventif</t>
        </is>
      </c>
      <c r="D545" s="7" t="inlineStr">
        <is>
          <t>EQ-TOL-001</t>
        </is>
      </c>
      <c r="E545" s="9">
        <f>IF(D545="","",IFERROR(INDEX('Équipements'!$B$5:$B$304,MATCH(D545,'Équipements'!$A$5:$A$304,0)),"Code inconnu"))</f>
        <v/>
      </c>
      <c r="F545" s="9">
        <f>IF(D545="","",IFERROR(INDEX('Équipements'!$D$5:$D$304,MATCH(D545,'Équipements'!$A$5:$A$304,0)),""))</f>
        <v/>
      </c>
      <c r="G545" s="9">
        <f>IF(D545="","",IFERROR(INDEX('Équipements'!$K$5:$K$304,MATCH(D545,'Équipements'!$A$5:$A$304,0)),""))</f>
        <v/>
      </c>
      <c r="H545" s="7" t="inlineStr">
        <is>
          <t>Préventif systématique</t>
        </is>
      </c>
      <c r="I545" s="7" t="inlineStr">
        <is>
          <t>GP-038</t>
        </is>
      </c>
      <c r="J545" s="7" t="inlineStr">
        <is>
          <t>Mécanique</t>
        </is>
      </c>
      <c r="K545" s="7" t="inlineStr">
        <is>
          <t>P3 - Normale</t>
        </is>
      </c>
      <c r="L545" s="7" t="inlineStr">
        <is>
          <t>Nettoyage optique, contrôle buse et lentille</t>
        </is>
      </c>
      <c r="M545" s="7" t="n"/>
      <c r="N545" s="7" t="inlineStr">
        <is>
          <t>Gamme réalisée - RAS</t>
        </is>
      </c>
      <c r="O545" s="7" t="inlineStr">
        <is>
          <t>Karim Benali</t>
        </is>
      </c>
      <c r="P545" s="65" t="n">
        <v>45903.44444444445</v>
      </c>
      <c r="Q545" s="75" t="n">
        <v>45903.33333333334</v>
      </c>
      <c r="R545" s="75" t="n">
        <v>45903.41666666666</v>
      </c>
      <c r="S545" s="76" t="n">
        <v>0</v>
      </c>
      <c r="T545" s="76" t="n">
        <v>2</v>
      </c>
      <c r="U545" s="70">
        <f>IF($A545="","",IFERROR(INDEX('Techniciens'!$F$5:$F$44,MATCH(O545,'Techniciens'!$B$5:$B$44,0)),'Paramètres'!$AA$10))</f>
        <v/>
      </c>
      <c r="V545" s="70">
        <f>IF($A545="","",IF(OR(AC545="Demandé",AC545="Planifié",AC545="Annulé"),0,N(T545)*N(U545)))</f>
        <v/>
      </c>
      <c r="W545" s="70">
        <f>IF($A545="","",SUMIFS('Mouvements stock'!$H$5:$H$3004,'Mouvements stock'!$I$5:$I$3004,$A545,'Mouvements stock'!$C$5:$C$3004,"Sortie")-SUMIFS('Mouvements stock'!$H$5:$H$3004,'Mouvements stock'!$I$5:$I$3004,$A545,'Mouvements stock'!$C$5:$C$3004,"Retour"))</f>
        <v/>
      </c>
      <c r="X545" s="66" t="n">
        <v>0</v>
      </c>
      <c r="Y545" s="66" t="n">
        <v>0</v>
      </c>
      <c r="Z545" s="7" t="n"/>
      <c r="AA545" s="70">
        <f>IF($A545="","",N(V545)+N(W545)+N(X545)+N(Y545))</f>
        <v/>
      </c>
      <c r="AB545" s="70">
        <f>IF($A545="","",N(S545)*'Paramètres'!$AA$9*IFERROR(INDEX('Paramètres'!$O$5:$O$7,MATCH(G545,'Paramètres'!$N$5:$N$7,0)),0))</f>
        <v/>
      </c>
      <c r="AC545" s="7" t="inlineStr">
        <is>
          <t>Clôturé</t>
        </is>
      </c>
      <c r="AD545" s="69">
        <f>IF(OR($A545="",Q545=""),"",(Q545-B545)*24)</f>
        <v/>
      </c>
      <c r="AE545" s="69">
        <f>IF(OR(Q545="",R545=""),"",(R545-Q545)*24)</f>
        <v/>
      </c>
      <c r="AF545" s="77">
        <f>IF(OR($A545="",B545=""),"",YEAR(B545))</f>
        <v/>
      </c>
      <c r="AG545" s="77">
        <f>IF(OR($A545="",B545=""),"",MONTH(B545))</f>
        <v/>
      </c>
    </row>
    <row r="546">
      <c r="A546" s="7" t="inlineStr">
        <is>
          <t>OT-2025-0542</t>
        </is>
      </c>
      <c r="B546" s="75" t="n">
        <v>45896.375</v>
      </c>
      <c r="C546" s="7" t="inlineStr">
        <is>
          <t>Plan préventif</t>
        </is>
      </c>
      <c r="D546" s="7" t="inlineStr">
        <is>
          <t>EQ-USI-006</t>
        </is>
      </c>
      <c r="E546" s="9">
        <f>IF(D546="","",IFERROR(INDEX('Équipements'!$B$5:$B$304,MATCH(D546,'Équipements'!$A$5:$A$304,0)),"Code inconnu"))</f>
        <v/>
      </c>
      <c r="F546" s="9">
        <f>IF(D546="","",IFERROR(INDEX('Équipements'!$D$5:$D$304,MATCH(D546,'Équipements'!$A$5:$A$304,0)),""))</f>
        <v/>
      </c>
      <c r="G546" s="9">
        <f>IF(D546="","",IFERROR(INDEX('Équipements'!$K$5:$K$304,MATCH(D546,'Équipements'!$A$5:$A$304,0)),""))</f>
        <v/>
      </c>
      <c r="H546" s="7" t="inlineStr">
        <is>
          <t>Préventif systématique</t>
        </is>
      </c>
      <c r="I546" s="7" t="inlineStr">
        <is>
          <t>GP-022</t>
        </is>
      </c>
      <c r="J546" s="7" t="inlineStr">
        <is>
          <t>Mécanique</t>
        </is>
      </c>
      <c r="K546" s="7" t="inlineStr">
        <is>
          <t>P3 - Normale</t>
        </is>
      </c>
      <c r="L546" s="7" t="inlineStr">
        <is>
          <t>Contrôle géométrie, jeux et graissage des axes</t>
        </is>
      </c>
      <c r="M546" s="7" t="n"/>
      <c r="N546" s="7" t="inlineStr">
        <is>
          <t>Gamme réalisée - RAS</t>
        </is>
      </c>
      <c r="O546" s="7" t="inlineStr">
        <is>
          <t>Antoine Mercier</t>
        </is>
      </c>
      <c r="P546" s="65" t="n">
        <v>45903.58680555555</v>
      </c>
      <c r="Q546" s="75" t="n">
        <v>45903.39583333334</v>
      </c>
      <c r="R546" s="75" t="n">
        <v>45903.69791666666</v>
      </c>
      <c r="S546" s="76" t="n">
        <v>7.2</v>
      </c>
      <c r="T546" s="76" t="n">
        <v>7.25</v>
      </c>
      <c r="U546" s="70">
        <f>IF($A546="","",IFERROR(INDEX('Techniciens'!$F$5:$F$44,MATCH(O546,'Techniciens'!$B$5:$B$44,0)),'Paramètres'!$AA$10))</f>
        <v/>
      </c>
      <c r="V546" s="70">
        <f>IF($A546="","",IF(OR(AC546="Demandé",AC546="Planifié",AC546="Annulé"),0,N(T546)*N(U546)))</f>
        <v/>
      </c>
      <c r="W546" s="70">
        <f>IF($A546="","",SUMIFS('Mouvements stock'!$H$5:$H$3004,'Mouvements stock'!$I$5:$I$3004,$A546,'Mouvements stock'!$C$5:$C$3004,"Sortie")-SUMIFS('Mouvements stock'!$H$5:$H$3004,'Mouvements stock'!$I$5:$I$3004,$A546,'Mouvements stock'!$C$5:$C$3004,"Retour"))</f>
        <v/>
      </c>
      <c r="X546" s="66" t="n">
        <v>0</v>
      </c>
      <c r="Y546" s="66" t="n">
        <v>0</v>
      </c>
      <c r="Z546" s="7" t="n"/>
      <c r="AA546" s="70">
        <f>IF($A546="","",N(V546)+N(W546)+N(X546)+N(Y546))</f>
        <v/>
      </c>
      <c r="AB546" s="70">
        <f>IF($A546="","",N(S546)*'Paramètres'!$AA$9*IFERROR(INDEX('Paramètres'!$O$5:$O$7,MATCH(G546,'Paramètres'!$N$5:$N$7,0)),0))</f>
        <v/>
      </c>
      <c r="AC546" s="7" t="inlineStr">
        <is>
          <t>Clôturé</t>
        </is>
      </c>
      <c r="AD546" s="69">
        <f>IF(OR($A546="",Q546=""),"",(Q546-B546)*24)</f>
        <v/>
      </c>
      <c r="AE546" s="69">
        <f>IF(OR(Q546="",R546=""),"",(R546-Q546)*24)</f>
        <v/>
      </c>
      <c r="AF546" s="77">
        <f>IF(OR($A546="",B546=""),"",YEAR(B546))</f>
        <v/>
      </c>
      <c r="AG546" s="77">
        <f>IF(OR($A546="",B546=""),"",MONTH(B546))</f>
        <v/>
      </c>
    </row>
    <row r="547">
      <c r="A547" s="7" t="inlineStr">
        <is>
          <t>OT-2025-0543</t>
        </is>
      </c>
      <c r="B547" s="75" t="n">
        <v>45896.42361111111</v>
      </c>
      <c r="C547" s="7" t="inlineStr">
        <is>
          <t>Plan préventif</t>
        </is>
      </c>
      <c r="D547" s="7" t="inlineStr">
        <is>
          <t>EQ-ASS-001</t>
        </is>
      </c>
      <c r="E547" s="9">
        <f>IF(D547="","",IFERROR(INDEX('Équipements'!$B$5:$B$304,MATCH(D547,'Équipements'!$A$5:$A$304,0)),"Code inconnu"))</f>
        <v/>
      </c>
      <c r="F547" s="9">
        <f>IF(D547="","",IFERROR(INDEX('Équipements'!$D$5:$D$304,MATCH(D547,'Équipements'!$A$5:$A$304,0)),""))</f>
        <v/>
      </c>
      <c r="G547" s="9">
        <f>IF(D547="","",IFERROR(INDEX('Équipements'!$K$5:$K$304,MATCH(D547,'Équipements'!$A$5:$A$304,0)),""))</f>
        <v/>
      </c>
      <c r="H547" s="7" t="inlineStr">
        <is>
          <t>Préventif systématique</t>
        </is>
      </c>
      <c r="I547" s="7" t="inlineStr">
        <is>
          <t>GP-076</t>
        </is>
      </c>
      <c r="J547" s="7" t="inlineStr">
        <is>
          <t>Mécanique</t>
        </is>
      </c>
      <c r="K547" s="7" t="inlineStr">
        <is>
          <t>P3 - Normale</t>
        </is>
      </c>
      <c r="L547" s="7" t="inlineStr">
        <is>
          <t>Graissage chaîne / galets et contrôle tension</t>
        </is>
      </c>
      <c r="M547" s="7" t="n"/>
      <c r="N547" s="7" t="inlineStr">
        <is>
          <t>Gamme réalisée - RAS</t>
        </is>
      </c>
      <c r="O547" s="7" t="inlineStr">
        <is>
          <t>Lucas Fontaine</t>
        </is>
      </c>
      <c r="P547" s="65" t="n">
        <v>45903.60416666666</v>
      </c>
      <c r="Q547" s="75" t="n">
        <v>45903.38194444445</v>
      </c>
      <c r="R547" s="75" t="n">
        <v>45903.47569444445</v>
      </c>
      <c r="S547" s="76" t="n">
        <v>1.1</v>
      </c>
      <c r="T547" s="76" t="n">
        <v>2.25</v>
      </c>
      <c r="U547" s="70">
        <f>IF($A547="","",IFERROR(INDEX('Techniciens'!$F$5:$F$44,MATCH(O547,'Techniciens'!$B$5:$B$44,0)),'Paramètres'!$AA$10))</f>
        <v/>
      </c>
      <c r="V547" s="70">
        <f>IF($A547="","",IF(OR(AC547="Demandé",AC547="Planifié",AC547="Annulé"),0,N(T547)*N(U547)))</f>
        <v/>
      </c>
      <c r="W547" s="70">
        <f>IF($A547="","",SUMIFS('Mouvements stock'!$H$5:$H$3004,'Mouvements stock'!$I$5:$I$3004,$A547,'Mouvements stock'!$C$5:$C$3004,"Sortie")-SUMIFS('Mouvements stock'!$H$5:$H$3004,'Mouvements stock'!$I$5:$I$3004,$A547,'Mouvements stock'!$C$5:$C$3004,"Retour"))</f>
        <v/>
      </c>
      <c r="X547" s="66" t="n">
        <v>0</v>
      </c>
      <c r="Y547" s="66" t="n">
        <v>0</v>
      </c>
      <c r="Z547" s="7" t="n"/>
      <c r="AA547" s="70">
        <f>IF($A547="","",N(V547)+N(W547)+N(X547)+N(Y547))</f>
        <v/>
      </c>
      <c r="AB547" s="70">
        <f>IF($A547="","",N(S547)*'Paramètres'!$AA$9*IFERROR(INDEX('Paramètres'!$O$5:$O$7,MATCH(G547,'Paramètres'!$N$5:$N$7,0)),0))</f>
        <v/>
      </c>
      <c r="AC547" s="7" t="inlineStr">
        <is>
          <t>Clôturé</t>
        </is>
      </c>
      <c r="AD547" s="69">
        <f>IF(OR($A547="",Q547=""),"",(Q547-B547)*24)</f>
        <v/>
      </c>
      <c r="AE547" s="69">
        <f>IF(OR(Q547="",R547=""),"",(R547-Q547)*24)</f>
        <v/>
      </c>
      <c r="AF547" s="77">
        <f>IF(OR($A547="",B547=""),"",YEAR(B547))</f>
        <v/>
      </c>
      <c r="AG547" s="77">
        <f>IF(OR($A547="",B547=""),"",MONTH(B547))</f>
        <v/>
      </c>
    </row>
    <row r="548">
      <c r="A548" s="7" t="inlineStr">
        <is>
          <t>OT-2025-0544</t>
        </is>
      </c>
      <c r="B548" s="75" t="n">
        <v>45896.50694444445</v>
      </c>
      <c r="C548" s="7" t="inlineStr">
        <is>
          <t>Direction industrielle</t>
        </is>
      </c>
      <c r="D548" s="7" t="inlineStr">
        <is>
          <t>EQ-SOU-001</t>
        </is>
      </c>
      <c r="E548" s="9">
        <f>IF(D548="","",IFERROR(INDEX('Équipements'!$B$5:$B$304,MATCH(D548,'Équipements'!$A$5:$A$304,0)),"Code inconnu"))</f>
        <v/>
      </c>
      <c r="F548" s="9">
        <f>IF(D548="","",IFERROR(INDEX('Équipements'!$D$5:$D$304,MATCH(D548,'Équipements'!$A$5:$A$304,0)),""))</f>
        <v/>
      </c>
      <c r="G548" s="9">
        <f>IF(D548="","",IFERROR(INDEX('Équipements'!$K$5:$K$304,MATCH(D548,'Équipements'!$A$5:$A$304,0)),""))</f>
        <v/>
      </c>
      <c r="H548" s="7" t="inlineStr">
        <is>
          <t>Amélioratif</t>
        </is>
      </c>
      <c r="I548" s="7" t="n"/>
      <c r="J548" s="7" t="inlineStr">
        <is>
          <t>Automatisme</t>
        </is>
      </c>
      <c r="K548" s="7" t="inlineStr">
        <is>
          <t>P4 - Basse</t>
        </is>
      </c>
      <c r="L548" s="7" t="inlineStr">
        <is>
          <t>Installation station de nettoyage torche automatique</t>
        </is>
      </c>
      <c r="M548" s="7" t="n"/>
      <c r="N548" s="7" t="inlineStr">
        <is>
          <t>Réalisé conformément au devis / dossier technique</t>
        </is>
      </c>
      <c r="O548" s="7" t="inlineStr">
        <is>
          <t>Sophie Garnier</t>
        </is>
      </c>
      <c r="P548" s="65" t="n">
        <v>45940</v>
      </c>
      <c r="Q548" s="75" t="n">
        <v>45940.31944444445</v>
      </c>
      <c r="R548" s="75" t="n">
        <v>45941.25277777778</v>
      </c>
      <c r="S548" s="76" t="n">
        <v>8</v>
      </c>
      <c r="T548" s="76" t="n">
        <v>16</v>
      </c>
      <c r="U548" s="70">
        <f>IF($A548="","",IFERROR(INDEX('Techniciens'!$F$5:$F$44,MATCH(O548,'Techniciens'!$B$5:$B$44,0)),'Paramètres'!$AA$10))</f>
        <v/>
      </c>
      <c r="V548" s="70">
        <f>IF($A548="","",IF(OR(AC548="Demandé",AC548="Planifié",AC548="Annulé"),0,N(T548)*N(U548)))</f>
        <v/>
      </c>
      <c r="W548" s="70">
        <f>IF($A548="","",SUMIFS('Mouvements stock'!$H$5:$H$3004,'Mouvements stock'!$I$5:$I$3004,$A548,'Mouvements stock'!$C$5:$C$3004,"Sortie")-SUMIFS('Mouvements stock'!$H$5:$H$3004,'Mouvements stock'!$I$5:$I$3004,$A548,'Mouvements stock'!$C$5:$C$3004,"Retour"))</f>
        <v/>
      </c>
      <c r="X548" s="66" t="n">
        <v>4200</v>
      </c>
      <c r="Y548" s="66" t="n">
        <v>1500</v>
      </c>
      <c r="Z548" s="7" t="inlineStr">
        <is>
          <t>Robotique Services Ouest</t>
        </is>
      </c>
      <c r="AA548" s="70">
        <f>IF($A548="","",N(V548)+N(W548)+N(X548)+N(Y548))</f>
        <v/>
      </c>
      <c r="AB548" s="70">
        <f>IF($A548="","",N(S548)*'Paramètres'!$AA$9*IFERROR(INDEX('Paramètres'!$O$5:$O$7,MATCH(G548,'Paramètres'!$N$5:$N$7,0)),0))</f>
        <v/>
      </c>
      <c r="AC548" s="7" t="inlineStr">
        <is>
          <t>Clôturé</t>
        </is>
      </c>
      <c r="AD548" s="69">
        <f>IF(OR($A548="",Q548=""),"",(Q548-B548)*24)</f>
        <v/>
      </c>
      <c r="AE548" s="69">
        <f>IF(OR(Q548="",R548=""),"",(R548-Q548)*24)</f>
        <v/>
      </c>
      <c r="AF548" s="77">
        <f>IF(OR($A548="",B548=""),"",YEAR(B548))</f>
        <v/>
      </c>
      <c r="AG548" s="77">
        <f>IF(OR($A548="",B548=""),"",MONTH(B548))</f>
        <v/>
      </c>
    </row>
    <row r="549">
      <c r="A549" s="7" t="inlineStr">
        <is>
          <t>OT-2025-0545</t>
        </is>
      </c>
      <c r="B549" s="75" t="n">
        <v>45897.375</v>
      </c>
      <c r="C549" s="7" t="inlineStr">
        <is>
          <t>Plan préventif</t>
        </is>
      </c>
      <c r="D549" s="7" t="inlineStr">
        <is>
          <t>EQ-USI-005</t>
        </is>
      </c>
      <c r="E549" s="9">
        <f>IF(D549="","",IFERROR(INDEX('Équipements'!$B$5:$B$304,MATCH(D549,'Équipements'!$A$5:$A$304,0)),"Code inconnu"))</f>
        <v/>
      </c>
      <c r="F549" s="9">
        <f>IF(D549="","",IFERROR(INDEX('Équipements'!$D$5:$D$304,MATCH(D549,'Équipements'!$A$5:$A$304,0)),""))</f>
        <v/>
      </c>
      <c r="G549" s="9">
        <f>IF(D549="","",IFERROR(INDEX('Équipements'!$K$5:$K$304,MATCH(D549,'Équipements'!$A$5:$A$304,0)),""))</f>
        <v/>
      </c>
      <c r="H549" s="7" t="inlineStr">
        <is>
          <t>Préventif systématique</t>
        </is>
      </c>
      <c r="I549" s="7" t="inlineStr">
        <is>
          <t>GP-018</t>
        </is>
      </c>
      <c r="J549" s="7" t="inlineStr">
        <is>
          <t>Mécanique</t>
        </is>
      </c>
      <c r="K549" s="7" t="inlineStr">
        <is>
          <t>P3 - Normale</t>
        </is>
      </c>
      <c r="L549" s="7" t="inlineStr">
        <is>
          <t>Contrôle géométrie, jeux et graissage des axes</t>
        </is>
      </c>
      <c r="M549" s="7" t="n"/>
      <c r="N549" s="7" t="inlineStr">
        <is>
          <t>Gamme réalisée - RAS</t>
        </is>
      </c>
      <c r="O549" s="7" t="inlineStr">
        <is>
          <t>Antoine Mercier</t>
        </is>
      </c>
      <c r="P549" s="65" t="n">
        <v>45904.91319444445</v>
      </c>
      <c r="Q549" s="75" t="n">
        <v>45904.34375</v>
      </c>
      <c r="R549" s="75" t="n">
        <v>45904.66666666666</v>
      </c>
      <c r="S549" s="76" t="n">
        <v>7.8</v>
      </c>
      <c r="T549" s="76" t="n">
        <v>7.75</v>
      </c>
      <c r="U549" s="70">
        <f>IF($A549="","",IFERROR(INDEX('Techniciens'!$F$5:$F$44,MATCH(O549,'Techniciens'!$B$5:$B$44,0)),'Paramètres'!$AA$10))</f>
        <v/>
      </c>
      <c r="V549" s="70">
        <f>IF($A549="","",IF(OR(AC549="Demandé",AC549="Planifié",AC549="Annulé"),0,N(T549)*N(U549)))</f>
        <v/>
      </c>
      <c r="W549" s="70">
        <f>IF($A549="","",SUMIFS('Mouvements stock'!$H$5:$H$3004,'Mouvements stock'!$I$5:$I$3004,$A549,'Mouvements stock'!$C$5:$C$3004,"Sortie")-SUMIFS('Mouvements stock'!$H$5:$H$3004,'Mouvements stock'!$I$5:$I$3004,$A549,'Mouvements stock'!$C$5:$C$3004,"Retour"))</f>
        <v/>
      </c>
      <c r="X549" s="66" t="n">
        <v>0</v>
      </c>
      <c r="Y549" s="66" t="n">
        <v>0</v>
      </c>
      <c r="Z549" s="7" t="n"/>
      <c r="AA549" s="70">
        <f>IF($A549="","",N(V549)+N(W549)+N(X549)+N(Y549))</f>
        <v/>
      </c>
      <c r="AB549" s="70">
        <f>IF($A549="","",N(S549)*'Paramètres'!$AA$9*IFERROR(INDEX('Paramètres'!$O$5:$O$7,MATCH(G549,'Paramètres'!$N$5:$N$7,0)),0))</f>
        <v/>
      </c>
      <c r="AC549" s="7" t="inlineStr">
        <is>
          <t>Clôturé</t>
        </is>
      </c>
      <c r="AD549" s="69">
        <f>IF(OR($A549="",Q549=""),"",(Q549-B549)*24)</f>
        <v/>
      </c>
      <c r="AE549" s="69">
        <f>IF(OR(Q549="",R549=""),"",(R549-Q549)*24)</f>
        <v/>
      </c>
      <c r="AF549" s="77">
        <f>IF(OR($A549="",B549=""),"",YEAR(B549))</f>
        <v/>
      </c>
      <c r="AG549" s="77">
        <f>IF(OR($A549="",B549=""),"",MONTH(B549))</f>
        <v/>
      </c>
    </row>
    <row r="550">
      <c r="A550" s="7" t="inlineStr">
        <is>
          <t>OT-2025-0546</t>
        </is>
      </c>
      <c r="B550" s="75" t="n">
        <v>45897.47708333333</v>
      </c>
      <c r="C550" s="7" t="inlineStr">
        <is>
          <t>Cariste</t>
        </is>
      </c>
      <c r="D550" s="7" t="inlineStr">
        <is>
          <t>EQ-LOG-007</t>
        </is>
      </c>
      <c r="E550" s="9">
        <f>IF(D550="","",IFERROR(INDEX('Équipements'!$B$5:$B$304,MATCH(D550,'Équipements'!$A$5:$A$304,0)),"Code inconnu"))</f>
        <v/>
      </c>
      <c r="F550" s="9">
        <f>IF(D550="","",IFERROR(INDEX('Équipements'!$D$5:$D$304,MATCH(D550,'Équipements'!$A$5:$A$304,0)),""))</f>
        <v/>
      </c>
      <c r="G550" s="9">
        <f>IF(D550="","",IFERROR(INDEX('Équipements'!$K$5:$K$304,MATCH(D550,'Équipements'!$A$5:$A$304,0)),""))</f>
        <v/>
      </c>
      <c r="H550" s="7" t="inlineStr">
        <is>
          <t>Correctif</t>
        </is>
      </c>
      <c r="I550" s="7" t="n"/>
      <c r="J550" s="7" t="inlineStr">
        <is>
          <t>Électrique</t>
        </is>
      </c>
      <c r="K550" s="7" t="inlineStr">
        <is>
          <t>P1 - Urgent</t>
        </is>
      </c>
      <c r="L550" s="7" t="inlineStr">
        <is>
          <t>Défaut boîte à boutons de commande</t>
        </is>
      </c>
      <c r="M550" s="7" t="inlineStr">
        <is>
          <t>Défaut électrique</t>
        </is>
      </c>
      <c r="N550" s="7" t="inlineStr">
        <is>
          <t>Remplacement contacteur de boîte à boutons</t>
        </is>
      </c>
      <c r="O550" s="7" t="inlineStr">
        <is>
          <t>Julien Moreau</t>
        </is>
      </c>
      <c r="P550" s="65" t="n"/>
      <c r="Q550" s="75" t="n">
        <v>45897.4875</v>
      </c>
      <c r="R550" s="75" t="n">
        <v>45897.76875</v>
      </c>
      <c r="S550" s="76" t="n">
        <v>7</v>
      </c>
      <c r="T550" s="76" t="n">
        <v>6.75</v>
      </c>
      <c r="U550" s="70">
        <f>IF($A550="","",IFERROR(INDEX('Techniciens'!$F$5:$F$44,MATCH(O550,'Techniciens'!$B$5:$B$44,0)),'Paramètres'!$AA$10))</f>
        <v/>
      </c>
      <c r="V550" s="70">
        <f>IF($A550="","",IF(OR(AC550="Demandé",AC550="Planifié",AC550="Annulé"),0,N(T550)*N(U550)))</f>
        <v/>
      </c>
      <c r="W550" s="70">
        <f>IF($A550="","",SUMIFS('Mouvements stock'!$H$5:$H$3004,'Mouvements stock'!$I$5:$I$3004,$A550,'Mouvements stock'!$C$5:$C$3004,"Sortie")-SUMIFS('Mouvements stock'!$H$5:$H$3004,'Mouvements stock'!$I$5:$I$3004,$A550,'Mouvements stock'!$C$5:$C$3004,"Retour"))</f>
        <v/>
      </c>
      <c r="X550" s="66" t="n">
        <v>0</v>
      </c>
      <c r="Y550" s="66" t="n">
        <v>0</v>
      </c>
      <c r="Z550" s="7" t="n"/>
      <c r="AA550" s="70">
        <f>IF($A550="","",N(V550)+N(W550)+N(X550)+N(Y550))</f>
        <v/>
      </c>
      <c r="AB550" s="70">
        <f>IF($A550="","",N(S550)*'Paramètres'!$AA$9*IFERROR(INDEX('Paramètres'!$O$5:$O$7,MATCH(G550,'Paramètres'!$N$5:$N$7,0)),0))</f>
        <v/>
      </c>
      <c r="AC550" s="7" t="inlineStr">
        <is>
          <t>Clôturé</t>
        </is>
      </c>
      <c r="AD550" s="69">
        <f>IF(OR($A550="",Q550=""),"",(Q550-B550)*24)</f>
        <v/>
      </c>
      <c r="AE550" s="69">
        <f>IF(OR(Q550="",R550=""),"",(R550-Q550)*24)</f>
        <v/>
      </c>
      <c r="AF550" s="77">
        <f>IF(OR($A550="",B550=""),"",YEAR(B550))</f>
        <v/>
      </c>
      <c r="AG550" s="77">
        <f>IF(OR($A550="",B550=""),"",MONTH(B550))</f>
        <v/>
      </c>
    </row>
    <row r="551">
      <c r="A551" s="7" t="inlineStr">
        <is>
          <t>OT-2025-0547</t>
        </is>
      </c>
      <c r="B551" s="75" t="n">
        <v>45897.70694444444</v>
      </c>
      <c r="C551" s="7" t="inlineStr">
        <is>
          <t>Inès Girard (cheffe d'équipe)</t>
        </is>
      </c>
      <c r="D551" s="7" t="inlineStr">
        <is>
          <t>EQ-PEI-004</t>
        </is>
      </c>
      <c r="E551" s="9">
        <f>IF(D551="","",IFERROR(INDEX('Équipements'!$B$5:$B$304,MATCH(D551,'Équipements'!$A$5:$A$304,0)),"Code inconnu"))</f>
        <v/>
      </c>
      <c r="F551" s="9">
        <f>IF(D551="","",IFERROR(INDEX('Équipements'!$D$5:$D$304,MATCH(D551,'Équipements'!$A$5:$A$304,0)),""))</f>
        <v/>
      </c>
      <c r="G551" s="9">
        <f>IF(D551="","",IFERROR(INDEX('Équipements'!$K$5:$K$304,MATCH(D551,'Équipements'!$A$5:$A$304,0)),""))</f>
        <v/>
      </c>
      <c r="H551" s="7" t="inlineStr">
        <is>
          <t>Correctif</t>
        </is>
      </c>
      <c r="I551" s="7" t="n"/>
      <c r="J551" s="7" t="inlineStr">
        <is>
          <t>Électrique</t>
        </is>
      </c>
      <c r="K551" s="7" t="inlineStr">
        <is>
          <t>P1 - Urgent</t>
        </is>
      </c>
      <c r="L551" s="7" t="inlineStr">
        <is>
          <t>Détecteur de présence HS</t>
        </is>
      </c>
      <c r="M551" s="7" t="inlineStr">
        <is>
          <t>Défaut capteur</t>
        </is>
      </c>
      <c r="N551" s="7" t="inlineStr">
        <is>
          <t>Remplacement détecteur</t>
        </is>
      </c>
      <c r="O551" s="7" t="inlineStr">
        <is>
          <t>Antoine Mercier</t>
        </is>
      </c>
      <c r="P551" s="65" t="n"/>
      <c r="Q551" s="75" t="n">
        <v>45897.73402777778</v>
      </c>
      <c r="R551" s="75" t="n">
        <v>45897.99444444444</v>
      </c>
      <c r="S551" s="76" t="n">
        <v>6.9</v>
      </c>
      <c r="T551" s="76" t="n">
        <v>6.25</v>
      </c>
      <c r="U551" s="70">
        <f>IF($A551="","",IFERROR(INDEX('Techniciens'!$F$5:$F$44,MATCH(O551,'Techniciens'!$B$5:$B$44,0)),'Paramètres'!$AA$10))</f>
        <v/>
      </c>
      <c r="V551" s="70">
        <f>IF($A551="","",IF(OR(AC551="Demandé",AC551="Planifié",AC551="Annulé"),0,N(T551)*N(U551)))</f>
        <v/>
      </c>
      <c r="W551" s="70">
        <f>IF($A551="","",SUMIFS('Mouvements stock'!$H$5:$H$3004,'Mouvements stock'!$I$5:$I$3004,$A551,'Mouvements stock'!$C$5:$C$3004,"Sortie")-SUMIFS('Mouvements stock'!$H$5:$H$3004,'Mouvements stock'!$I$5:$I$3004,$A551,'Mouvements stock'!$C$5:$C$3004,"Retour"))</f>
        <v/>
      </c>
      <c r="X551" s="66" t="n">
        <v>259</v>
      </c>
      <c r="Y551" s="66" t="n">
        <v>0</v>
      </c>
      <c r="Z551" s="7" t="n"/>
      <c r="AA551" s="70">
        <f>IF($A551="","",N(V551)+N(W551)+N(X551)+N(Y551))</f>
        <v/>
      </c>
      <c r="AB551" s="70">
        <f>IF($A551="","",N(S551)*'Paramètres'!$AA$9*IFERROR(INDEX('Paramètres'!$O$5:$O$7,MATCH(G551,'Paramètres'!$N$5:$N$7,0)),0))</f>
        <v/>
      </c>
      <c r="AC551" s="7" t="inlineStr">
        <is>
          <t>Clôturé</t>
        </is>
      </c>
      <c r="AD551" s="69">
        <f>IF(OR($A551="",Q551=""),"",(Q551-B551)*24)</f>
        <v/>
      </c>
      <c r="AE551" s="69">
        <f>IF(OR(Q551="",R551=""),"",(R551-Q551)*24)</f>
        <v/>
      </c>
      <c r="AF551" s="77">
        <f>IF(OR($A551="",B551=""),"",YEAR(B551))</f>
        <v/>
      </c>
      <c r="AG551" s="77">
        <f>IF(OR($A551="",B551=""),"",MONTH(B551))</f>
        <v/>
      </c>
    </row>
    <row r="552">
      <c r="A552" s="7" t="inlineStr">
        <is>
          <t>OT-2025-0548</t>
        </is>
      </c>
      <c r="B552" s="75" t="n">
        <v>45898.54930555556</v>
      </c>
      <c r="C552" s="7" t="inlineStr">
        <is>
          <t>Céline Morel (cheffe d'atelier)</t>
        </is>
      </c>
      <c r="D552" s="7" t="inlineStr">
        <is>
          <t>EQ-TOL-003</t>
        </is>
      </c>
      <c r="E552" s="9">
        <f>IF(D552="","",IFERROR(INDEX('Équipements'!$B$5:$B$304,MATCH(D552,'Équipements'!$A$5:$A$304,0)),"Code inconnu"))</f>
        <v/>
      </c>
      <c r="F552" s="9">
        <f>IF(D552="","",IFERROR(INDEX('Équipements'!$D$5:$D$304,MATCH(D552,'Équipements'!$A$5:$A$304,0)),""))</f>
        <v/>
      </c>
      <c r="G552" s="9">
        <f>IF(D552="","",IFERROR(INDEX('Équipements'!$K$5:$K$304,MATCH(D552,'Équipements'!$A$5:$A$304,0)),""))</f>
        <v/>
      </c>
      <c r="H552" s="7" t="inlineStr">
        <is>
          <t>Correctif</t>
        </is>
      </c>
      <c r="I552" s="7" t="n"/>
      <c r="J552" s="7" t="inlineStr">
        <is>
          <t>Hydraulique</t>
        </is>
      </c>
      <c r="K552" s="7" t="inlineStr">
        <is>
          <t>P2 - Haute</t>
        </is>
      </c>
      <c r="L552" s="7" t="inlineStr">
        <is>
          <t>Pompe hydraulique bruyante</t>
        </is>
      </c>
      <c r="M552" s="7" t="inlineStr">
        <is>
          <t>Usure</t>
        </is>
      </c>
      <c r="N552" s="7" t="inlineStr">
        <is>
          <t>Remplacement accouplement, contrôle débit pompe</t>
        </is>
      </c>
      <c r="O552" s="7" t="inlineStr">
        <is>
          <t>Karim Benali</t>
        </is>
      </c>
      <c r="P552" s="65" t="n"/>
      <c r="Q552" s="75" t="n">
        <v>45898.79305555556</v>
      </c>
      <c r="R552" s="75" t="n">
        <v>45898.90763888889</v>
      </c>
      <c r="S552" s="76" t="n">
        <v>8.6</v>
      </c>
      <c r="T552" s="76" t="n">
        <v>2.75</v>
      </c>
      <c r="U552" s="70">
        <f>IF($A552="","",IFERROR(INDEX('Techniciens'!$F$5:$F$44,MATCH(O552,'Techniciens'!$B$5:$B$44,0)),'Paramètres'!$AA$10))</f>
        <v/>
      </c>
      <c r="V552" s="70">
        <f>IF($A552="","",IF(OR(AC552="Demandé",AC552="Planifié",AC552="Annulé"),0,N(T552)*N(U552)))</f>
        <v/>
      </c>
      <c r="W552" s="70">
        <f>IF($A552="","",SUMIFS('Mouvements stock'!$H$5:$H$3004,'Mouvements stock'!$I$5:$I$3004,$A552,'Mouvements stock'!$C$5:$C$3004,"Sortie")-SUMIFS('Mouvements stock'!$H$5:$H$3004,'Mouvements stock'!$I$5:$I$3004,$A552,'Mouvements stock'!$C$5:$C$3004,"Retour"))</f>
        <v/>
      </c>
      <c r="X552" s="66" t="n">
        <v>0</v>
      </c>
      <c r="Y552" s="66" t="n">
        <v>0</v>
      </c>
      <c r="Z552" s="7" t="n"/>
      <c r="AA552" s="70">
        <f>IF($A552="","",N(V552)+N(W552)+N(X552)+N(Y552))</f>
        <v/>
      </c>
      <c r="AB552" s="70">
        <f>IF($A552="","",N(S552)*'Paramètres'!$AA$9*IFERROR(INDEX('Paramètres'!$O$5:$O$7,MATCH(G552,'Paramètres'!$N$5:$N$7,0)),0))</f>
        <v/>
      </c>
      <c r="AC552" s="7" t="inlineStr">
        <is>
          <t>Clôturé</t>
        </is>
      </c>
      <c r="AD552" s="69">
        <f>IF(OR($A552="",Q552=""),"",(Q552-B552)*24)</f>
        <v/>
      </c>
      <c r="AE552" s="69">
        <f>IF(OR(Q552="",R552=""),"",(R552-Q552)*24)</f>
        <v/>
      </c>
      <c r="AF552" s="77">
        <f>IF(OR($A552="",B552=""),"",YEAR(B552))</f>
        <v/>
      </c>
      <c r="AG552" s="77">
        <f>IF(OR($A552="",B552=""),"",MONTH(B552))</f>
        <v/>
      </c>
    </row>
    <row r="553">
      <c r="A553" s="7" t="inlineStr">
        <is>
          <t>OT-2025-0549</t>
        </is>
      </c>
      <c r="B553" s="75" t="n">
        <v>45898.80833333333</v>
      </c>
      <c r="C553" s="7" t="inlineStr">
        <is>
          <t>Opérateur usinage</t>
        </is>
      </c>
      <c r="D553" s="7" t="inlineStr">
        <is>
          <t>EQ-USI-002</t>
        </is>
      </c>
      <c r="E553" s="9">
        <f>IF(D553="","",IFERROR(INDEX('Équipements'!$B$5:$B$304,MATCH(D553,'Équipements'!$A$5:$A$304,0)),"Code inconnu"))</f>
        <v/>
      </c>
      <c r="F553" s="9">
        <f>IF(D553="","",IFERROR(INDEX('Équipements'!$D$5:$D$304,MATCH(D553,'Équipements'!$A$5:$A$304,0)),""))</f>
        <v/>
      </c>
      <c r="G553" s="9">
        <f>IF(D553="","",IFERROR(INDEX('Équipements'!$K$5:$K$304,MATCH(D553,'Équipements'!$A$5:$A$304,0)),""))</f>
        <v/>
      </c>
      <c r="H553" s="7" t="inlineStr">
        <is>
          <t>Correctif</t>
        </is>
      </c>
      <c r="I553" s="7" t="n"/>
      <c r="J553" s="7" t="inlineStr">
        <is>
          <t>Hydraulique</t>
        </is>
      </c>
      <c r="K553" s="7" t="inlineStr">
        <is>
          <t>P1 - Urgent</t>
        </is>
      </c>
      <c r="L553" s="7" t="inlineStr">
        <is>
          <t>Fuite d'huile hydraulique sous la table</t>
        </is>
      </c>
      <c r="M553" s="7" t="inlineStr">
        <is>
          <t>Fuite</t>
        </is>
      </c>
      <c r="N553" s="7" t="inlineStr">
        <is>
          <t>Remplacement flexible et joints, appoint huile</t>
        </is>
      </c>
      <c r="O553" s="7" t="inlineStr">
        <is>
          <t>Karim Benali</t>
        </is>
      </c>
      <c r="P553" s="65" t="n"/>
      <c r="Q553" s="75" t="n">
        <v>45898.81458333333</v>
      </c>
      <c r="R553" s="75" t="n">
        <v>45901.50045989068</v>
      </c>
      <c r="S553" s="76" t="n">
        <v>37.1</v>
      </c>
      <c r="T553" s="76" t="n">
        <v>9.5</v>
      </c>
      <c r="U553" s="70">
        <f>IF($A553="","",IFERROR(INDEX('Techniciens'!$F$5:$F$44,MATCH(O553,'Techniciens'!$B$5:$B$44,0)),'Paramètres'!$AA$10))</f>
        <v/>
      </c>
      <c r="V553" s="70">
        <f>IF($A553="","",IF(OR(AC553="Demandé",AC553="Planifié",AC553="Annulé"),0,N(T553)*N(U553)))</f>
        <v/>
      </c>
      <c r="W553" s="70">
        <f>IF($A553="","",SUMIFS('Mouvements stock'!$H$5:$H$3004,'Mouvements stock'!$I$5:$I$3004,$A553,'Mouvements stock'!$C$5:$C$3004,"Sortie")-SUMIFS('Mouvements stock'!$H$5:$H$3004,'Mouvements stock'!$I$5:$I$3004,$A553,'Mouvements stock'!$C$5:$C$3004,"Retour"))</f>
        <v/>
      </c>
      <c r="X553" s="66" t="n">
        <v>0</v>
      </c>
      <c r="Y553" s="66" t="n">
        <v>0</v>
      </c>
      <c r="Z553" s="7" t="n"/>
      <c r="AA553" s="70">
        <f>IF($A553="","",N(V553)+N(W553)+N(X553)+N(Y553))</f>
        <v/>
      </c>
      <c r="AB553" s="70">
        <f>IF($A553="","",N(S553)*'Paramètres'!$AA$9*IFERROR(INDEX('Paramètres'!$O$5:$O$7,MATCH(G553,'Paramètres'!$N$5:$N$7,0)),0))</f>
        <v/>
      </c>
      <c r="AC553" s="7" t="inlineStr">
        <is>
          <t>Clôturé</t>
        </is>
      </c>
      <c r="AD553" s="69">
        <f>IF(OR($A553="",Q553=""),"",(Q553-B553)*24)</f>
        <v/>
      </c>
      <c r="AE553" s="69">
        <f>IF(OR(Q553="",R553=""),"",(R553-Q553)*24)</f>
        <v/>
      </c>
      <c r="AF553" s="77">
        <f>IF(OR($A553="",B553=""),"",YEAR(B553))</f>
        <v/>
      </c>
      <c r="AG553" s="77">
        <f>IF(OR($A553="",B553=""),"",MONTH(B553))</f>
        <v/>
      </c>
    </row>
    <row r="554">
      <c r="A554" s="7" t="inlineStr">
        <is>
          <t>OT-2025-0550</t>
        </is>
      </c>
      <c r="B554" s="75" t="n">
        <v>45899.57847222222</v>
      </c>
      <c r="C554" s="7" t="inlineStr">
        <is>
          <t>Opérateur usinage</t>
        </is>
      </c>
      <c r="D554" s="7" t="inlineStr">
        <is>
          <t>EQ-USI-004</t>
        </is>
      </c>
      <c r="E554" s="9">
        <f>IF(D554="","",IFERROR(INDEX('Équipements'!$B$5:$B$304,MATCH(D554,'Équipements'!$A$5:$A$304,0)),"Code inconnu"))</f>
        <v/>
      </c>
      <c r="F554" s="9">
        <f>IF(D554="","",IFERROR(INDEX('Équipements'!$D$5:$D$304,MATCH(D554,'Équipements'!$A$5:$A$304,0)),""))</f>
        <v/>
      </c>
      <c r="G554" s="9">
        <f>IF(D554="","",IFERROR(INDEX('Équipements'!$K$5:$K$304,MATCH(D554,'Équipements'!$A$5:$A$304,0)),""))</f>
        <v/>
      </c>
      <c r="H554" s="7" t="inlineStr">
        <is>
          <t>Correctif</t>
        </is>
      </c>
      <c r="I554" s="7" t="n"/>
      <c r="J554" s="7" t="inlineStr">
        <is>
          <t>Mécanique</t>
        </is>
      </c>
      <c r="K554" s="7" t="inlineStr">
        <is>
          <t>P3 - Normale</t>
        </is>
      </c>
      <c r="L554" s="7" t="inlineStr">
        <is>
          <t>Défaut changeur d'outils (blocage bras)</t>
        </is>
      </c>
      <c r="M554" s="7" t="inlineStr">
        <is>
          <t>Usure</t>
        </is>
      </c>
      <c r="N554" s="7" t="inlineStr">
        <is>
          <t>Remplacement détecteur position bras et réglage</t>
        </is>
      </c>
      <c r="O554" s="7" t="inlineStr">
        <is>
          <t>Karim Benali</t>
        </is>
      </c>
      <c r="P554" s="65" t="n"/>
      <c r="Q554" s="75" t="n">
        <v>45900.44652777778</v>
      </c>
      <c r="R554" s="75" t="n">
        <v>45900.60277777778</v>
      </c>
      <c r="S554" s="76" t="n">
        <v>0</v>
      </c>
      <c r="T554" s="76" t="n">
        <v>3.75</v>
      </c>
      <c r="U554" s="70">
        <f>IF($A554="","",IFERROR(INDEX('Techniciens'!$F$5:$F$44,MATCH(O554,'Techniciens'!$B$5:$B$44,0)),'Paramètres'!$AA$10))</f>
        <v/>
      </c>
      <c r="V554" s="70">
        <f>IF($A554="","",IF(OR(AC554="Demandé",AC554="Planifié",AC554="Annulé"),0,N(T554)*N(U554)))</f>
        <v/>
      </c>
      <c r="W554" s="70">
        <f>IF($A554="","",SUMIFS('Mouvements stock'!$H$5:$H$3004,'Mouvements stock'!$I$5:$I$3004,$A554,'Mouvements stock'!$C$5:$C$3004,"Sortie")-SUMIFS('Mouvements stock'!$H$5:$H$3004,'Mouvements stock'!$I$5:$I$3004,$A554,'Mouvements stock'!$C$5:$C$3004,"Retour"))</f>
        <v/>
      </c>
      <c r="X554" s="66" t="n">
        <v>0</v>
      </c>
      <c r="Y554" s="66" t="n">
        <v>0</v>
      </c>
      <c r="Z554" s="7" t="n"/>
      <c r="AA554" s="70">
        <f>IF($A554="","",N(V554)+N(W554)+N(X554)+N(Y554))</f>
        <v/>
      </c>
      <c r="AB554" s="70">
        <f>IF($A554="","",N(S554)*'Paramètres'!$AA$9*IFERROR(INDEX('Paramètres'!$O$5:$O$7,MATCH(G554,'Paramètres'!$N$5:$N$7,0)),0))</f>
        <v/>
      </c>
      <c r="AC554" s="7" t="inlineStr">
        <is>
          <t>Clôturé</t>
        </is>
      </c>
      <c r="AD554" s="69">
        <f>IF(OR($A554="",Q554=""),"",(Q554-B554)*24)</f>
        <v/>
      </c>
      <c r="AE554" s="69">
        <f>IF(OR(Q554="",R554=""),"",(R554-Q554)*24)</f>
        <v/>
      </c>
      <c r="AF554" s="77">
        <f>IF(OR($A554="",B554=""),"",YEAR(B554))</f>
        <v/>
      </c>
      <c r="AG554" s="77">
        <f>IF(OR($A554="",B554=""),"",MONTH(B554))</f>
        <v/>
      </c>
    </row>
    <row r="555">
      <c r="A555" s="7" t="inlineStr">
        <is>
          <t>OT-2025-0551</t>
        </is>
      </c>
      <c r="B555" s="75" t="n">
        <v>45899.63958333333</v>
      </c>
      <c r="C555" s="7" t="inlineStr">
        <is>
          <t>Ronde maintenance</t>
        </is>
      </c>
      <c r="D555" s="7" t="inlineStr">
        <is>
          <t>EQ-UTI-001</t>
        </is>
      </c>
      <c r="E555" s="9">
        <f>IF(D555="","",IFERROR(INDEX('Équipements'!$B$5:$B$304,MATCH(D555,'Équipements'!$A$5:$A$304,0)),"Code inconnu"))</f>
        <v/>
      </c>
      <c r="F555" s="9">
        <f>IF(D555="","",IFERROR(INDEX('Équipements'!$D$5:$D$304,MATCH(D555,'Équipements'!$A$5:$A$304,0)),""))</f>
        <v/>
      </c>
      <c r="G555" s="9">
        <f>IF(D555="","",IFERROR(INDEX('Équipements'!$K$5:$K$304,MATCH(D555,'Équipements'!$A$5:$A$304,0)),""))</f>
        <v/>
      </c>
      <c r="H555" s="7" t="inlineStr">
        <is>
          <t>Correctif</t>
        </is>
      </c>
      <c r="I555" s="7" t="n"/>
      <c r="J555" s="7" t="inlineStr">
        <is>
          <t>Pneumatique</t>
        </is>
      </c>
      <c r="K555" s="7" t="inlineStr">
        <is>
          <t>P1 - Urgent</t>
        </is>
      </c>
      <c r="L555" s="7" t="inlineStr">
        <is>
          <t>Purgeur de condensats bloqué</t>
        </is>
      </c>
      <c r="M555" s="7" t="inlineStr">
        <is>
          <t>Encrassement</t>
        </is>
      </c>
      <c r="N555" s="7" t="inlineStr">
        <is>
          <t>Remplacement purgeur électronique</t>
        </is>
      </c>
      <c r="O555" s="7" t="inlineStr">
        <is>
          <t>Julien Moreau</t>
        </is>
      </c>
      <c r="P555" s="65" t="n"/>
      <c r="Q555" s="75" t="n">
        <v>45899.65555555555</v>
      </c>
      <c r="R555" s="75" t="n">
        <v>45899.86388888889</v>
      </c>
      <c r="S555" s="76" t="n">
        <v>5.4</v>
      </c>
      <c r="T555" s="76" t="n">
        <v>5</v>
      </c>
      <c r="U555" s="70">
        <f>IF($A555="","",IFERROR(INDEX('Techniciens'!$F$5:$F$44,MATCH(O555,'Techniciens'!$B$5:$B$44,0)),'Paramètres'!$AA$10))</f>
        <v/>
      </c>
      <c r="V555" s="70">
        <f>IF($A555="","",IF(OR(AC555="Demandé",AC555="Planifié",AC555="Annulé"),0,N(T555)*N(U555)))</f>
        <v/>
      </c>
      <c r="W555" s="70">
        <f>IF($A555="","",SUMIFS('Mouvements stock'!$H$5:$H$3004,'Mouvements stock'!$I$5:$I$3004,$A555,'Mouvements stock'!$C$5:$C$3004,"Sortie")-SUMIFS('Mouvements stock'!$H$5:$H$3004,'Mouvements stock'!$I$5:$I$3004,$A555,'Mouvements stock'!$C$5:$C$3004,"Retour"))</f>
        <v/>
      </c>
      <c r="X555" s="66" t="n">
        <v>0</v>
      </c>
      <c r="Y555" s="66" t="n">
        <v>0</v>
      </c>
      <c r="Z555" s="7" t="n"/>
      <c r="AA555" s="70">
        <f>IF($A555="","",N(V555)+N(W555)+N(X555)+N(Y555))</f>
        <v/>
      </c>
      <c r="AB555" s="70">
        <f>IF($A555="","",N(S555)*'Paramètres'!$AA$9*IFERROR(INDEX('Paramètres'!$O$5:$O$7,MATCH(G555,'Paramètres'!$N$5:$N$7,0)),0))</f>
        <v/>
      </c>
      <c r="AC555" s="7" t="inlineStr">
        <is>
          <t>Clôturé</t>
        </is>
      </c>
      <c r="AD555" s="69">
        <f>IF(OR($A555="",Q555=""),"",(Q555-B555)*24)</f>
        <v/>
      </c>
      <c r="AE555" s="69">
        <f>IF(OR(Q555="",R555=""),"",(R555-Q555)*24)</f>
        <v/>
      </c>
      <c r="AF555" s="77">
        <f>IF(OR($A555="",B555=""),"",YEAR(B555))</f>
        <v/>
      </c>
      <c r="AG555" s="77">
        <f>IF(OR($A555="",B555=""),"",MONTH(B555))</f>
        <v/>
      </c>
    </row>
    <row r="556">
      <c r="A556" s="7" t="inlineStr">
        <is>
          <t>OT-2025-0552</t>
        </is>
      </c>
      <c r="B556" s="75" t="n">
        <v>45901.23541666667</v>
      </c>
      <c r="C556" s="7" t="inlineStr">
        <is>
          <t>Cariste</t>
        </is>
      </c>
      <c r="D556" s="7" t="inlineStr">
        <is>
          <t>EQ-LOG-006</t>
        </is>
      </c>
      <c r="E556" s="9">
        <f>IF(D556="","",IFERROR(INDEX('Équipements'!$B$5:$B$304,MATCH(D556,'Équipements'!$A$5:$A$304,0)),"Code inconnu"))</f>
        <v/>
      </c>
      <c r="F556" s="9">
        <f>IF(D556="","",IFERROR(INDEX('Équipements'!$D$5:$D$304,MATCH(D556,'Équipements'!$A$5:$A$304,0)),""))</f>
        <v/>
      </c>
      <c r="G556" s="9">
        <f>IF(D556="","",IFERROR(INDEX('Équipements'!$K$5:$K$304,MATCH(D556,'Équipements'!$A$5:$A$304,0)),""))</f>
        <v/>
      </c>
      <c r="H556" s="7" t="inlineStr">
        <is>
          <t>Correctif</t>
        </is>
      </c>
      <c r="I556" s="7" t="n"/>
      <c r="J556" s="7" t="inlineStr">
        <is>
          <t>Électrique</t>
        </is>
      </c>
      <c r="K556" s="7" t="inlineStr">
        <is>
          <t>P2 - Haute</t>
        </is>
      </c>
      <c r="L556" s="7" t="inlineStr">
        <is>
          <t>Fin de course de levage HS</t>
        </is>
      </c>
      <c r="M556" s="7" t="inlineStr">
        <is>
          <t>Défaut capteur</t>
        </is>
      </c>
      <c r="N556" s="7" t="inlineStr">
        <is>
          <t>Remplacement fin de course</t>
        </is>
      </c>
      <c r="O556" s="7" t="inlineStr">
        <is>
          <t>Julien Moreau</t>
        </is>
      </c>
      <c r="P556" s="65" t="n"/>
      <c r="Q556" s="75" t="n">
        <v>45901.37986111111</v>
      </c>
      <c r="R556" s="75" t="n">
        <v>45901.42152777778</v>
      </c>
      <c r="S556" s="76" t="n">
        <v>4.5</v>
      </c>
      <c r="T556" s="76" t="n">
        <v>1</v>
      </c>
      <c r="U556" s="70">
        <f>IF($A556="","",IFERROR(INDEX('Techniciens'!$F$5:$F$44,MATCH(O556,'Techniciens'!$B$5:$B$44,0)),'Paramètres'!$AA$10))</f>
        <v/>
      </c>
      <c r="V556" s="70">
        <f>IF($A556="","",IF(OR(AC556="Demandé",AC556="Planifié",AC556="Annulé"),0,N(T556)*N(U556)))</f>
        <v/>
      </c>
      <c r="W556" s="70">
        <f>IF($A556="","",SUMIFS('Mouvements stock'!$H$5:$H$3004,'Mouvements stock'!$I$5:$I$3004,$A556,'Mouvements stock'!$C$5:$C$3004,"Sortie")-SUMIFS('Mouvements stock'!$H$5:$H$3004,'Mouvements stock'!$I$5:$I$3004,$A556,'Mouvements stock'!$C$5:$C$3004,"Retour"))</f>
        <v/>
      </c>
      <c r="X556" s="66" t="n">
        <v>0</v>
      </c>
      <c r="Y556" s="66" t="n">
        <v>0</v>
      </c>
      <c r="Z556" s="7" t="n"/>
      <c r="AA556" s="70">
        <f>IF($A556="","",N(V556)+N(W556)+N(X556)+N(Y556))</f>
        <v/>
      </c>
      <c r="AB556" s="70">
        <f>IF($A556="","",N(S556)*'Paramètres'!$AA$9*IFERROR(INDEX('Paramètres'!$O$5:$O$7,MATCH(G556,'Paramètres'!$N$5:$N$7,0)),0))</f>
        <v/>
      </c>
      <c r="AC556" s="7" t="inlineStr">
        <is>
          <t>Clôturé</t>
        </is>
      </c>
      <c r="AD556" s="69">
        <f>IF(OR($A556="",Q556=""),"",(Q556-B556)*24)</f>
        <v/>
      </c>
      <c r="AE556" s="69">
        <f>IF(OR(Q556="",R556=""),"",(R556-Q556)*24)</f>
        <v/>
      </c>
      <c r="AF556" s="77">
        <f>IF(OR($A556="",B556=""),"",YEAR(B556))</f>
        <v/>
      </c>
      <c r="AG556" s="77">
        <f>IF(OR($A556="",B556=""),"",MONTH(B556))</f>
        <v/>
      </c>
    </row>
    <row r="557">
      <c r="A557" s="7" t="inlineStr">
        <is>
          <t>OT-2025-0553</t>
        </is>
      </c>
      <c r="B557" s="75" t="n">
        <v>45901.36111111111</v>
      </c>
      <c r="C557" s="7" t="inlineStr">
        <is>
          <t>Plan préventif</t>
        </is>
      </c>
      <c r="D557" s="7" t="inlineStr">
        <is>
          <t>EQ-USI-003</t>
        </is>
      </c>
      <c r="E557" s="9">
        <f>IF(D557="","",IFERROR(INDEX('Équipements'!$B$5:$B$304,MATCH(D557,'Équipements'!$A$5:$A$304,0)),"Code inconnu"))</f>
        <v/>
      </c>
      <c r="F557" s="9">
        <f>IF(D557="","",IFERROR(INDEX('Équipements'!$D$5:$D$304,MATCH(D557,'Équipements'!$A$5:$A$304,0)),""))</f>
        <v/>
      </c>
      <c r="G557" s="9">
        <f>IF(D557="","",IFERROR(INDEX('Équipements'!$K$5:$K$304,MATCH(D557,'Équipements'!$A$5:$A$304,0)),""))</f>
        <v/>
      </c>
      <c r="H557" s="7" t="inlineStr">
        <is>
          <t>Préventif systématique</t>
        </is>
      </c>
      <c r="I557" s="7" t="inlineStr">
        <is>
          <t>GP-009</t>
        </is>
      </c>
      <c r="J557" s="7" t="inlineStr">
        <is>
          <t>Mécanique</t>
        </is>
      </c>
      <c r="K557" s="7" t="inlineStr">
        <is>
          <t>P3 - Normale</t>
        </is>
      </c>
      <c r="L557" s="7" t="inlineStr">
        <is>
          <t>Contrôle niveaux, nettoyage filtres et bac à copeaux</t>
        </is>
      </c>
      <c r="M557" s="7" t="n"/>
      <c r="N557" s="7" t="inlineStr">
        <is>
          <t>Gamme réalisée - RAS</t>
        </is>
      </c>
      <c r="O557" s="7" t="inlineStr">
        <is>
          <t>Lucas Fontaine</t>
        </is>
      </c>
      <c r="P557" s="65" t="n">
        <v>45908.56597222222</v>
      </c>
      <c r="Q557" s="75" t="n">
        <v>45908.25694444445</v>
      </c>
      <c r="R557" s="75" t="n">
        <v>45908.31944444445</v>
      </c>
      <c r="S557" s="76" t="n">
        <v>0</v>
      </c>
      <c r="T557" s="76" t="n">
        <v>1.5</v>
      </c>
      <c r="U557" s="70">
        <f>IF($A557="","",IFERROR(INDEX('Techniciens'!$F$5:$F$44,MATCH(O557,'Techniciens'!$B$5:$B$44,0)),'Paramètres'!$AA$10))</f>
        <v/>
      </c>
      <c r="V557" s="70">
        <f>IF($A557="","",IF(OR(AC557="Demandé",AC557="Planifié",AC557="Annulé"),0,N(T557)*N(U557)))</f>
        <v/>
      </c>
      <c r="W557" s="70">
        <f>IF($A557="","",SUMIFS('Mouvements stock'!$H$5:$H$3004,'Mouvements stock'!$I$5:$I$3004,$A557,'Mouvements stock'!$C$5:$C$3004,"Sortie")-SUMIFS('Mouvements stock'!$H$5:$H$3004,'Mouvements stock'!$I$5:$I$3004,$A557,'Mouvements stock'!$C$5:$C$3004,"Retour"))</f>
        <v/>
      </c>
      <c r="X557" s="66" t="n">
        <v>0</v>
      </c>
      <c r="Y557" s="66" t="n">
        <v>0</v>
      </c>
      <c r="Z557" s="7" t="n"/>
      <c r="AA557" s="70">
        <f>IF($A557="","",N(V557)+N(W557)+N(X557)+N(Y557))</f>
        <v/>
      </c>
      <c r="AB557" s="70">
        <f>IF($A557="","",N(S557)*'Paramètres'!$AA$9*IFERROR(INDEX('Paramètres'!$O$5:$O$7,MATCH(G557,'Paramètres'!$N$5:$N$7,0)),0))</f>
        <v/>
      </c>
      <c r="AC557" s="7" t="inlineStr">
        <is>
          <t>Clôturé</t>
        </is>
      </c>
      <c r="AD557" s="69">
        <f>IF(OR($A557="",Q557=""),"",(Q557-B557)*24)</f>
        <v/>
      </c>
      <c r="AE557" s="69">
        <f>IF(OR(Q557="",R557=""),"",(R557-Q557)*24)</f>
        <v/>
      </c>
      <c r="AF557" s="77">
        <f>IF(OR($A557="",B557=""),"",YEAR(B557))</f>
        <v/>
      </c>
      <c r="AG557" s="77">
        <f>IF(OR($A557="",B557=""),"",MONTH(B557))</f>
        <v/>
      </c>
    </row>
    <row r="558">
      <c r="A558" s="7" t="inlineStr">
        <is>
          <t>OT-2025-0554</t>
        </is>
      </c>
      <c r="B558" s="75" t="n">
        <v>45901.38194444445</v>
      </c>
      <c r="C558" s="7" t="inlineStr">
        <is>
          <t>Plan préventif</t>
        </is>
      </c>
      <c r="D558" s="7" t="inlineStr">
        <is>
          <t>EQ-ASS-006</t>
        </is>
      </c>
      <c r="E558" s="9">
        <f>IF(D558="","",IFERROR(INDEX('Équipements'!$B$5:$B$304,MATCH(D558,'Équipements'!$A$5:$A$304,0)),"Code inconnu"))</f>
        <v/>
      </c>
      <c r="F558" s="9">
        <f>IF(D558="","",IFERROR(INDEX('Équipements'!$D$5:$D$304,MATCH(D558,'Équipements'!$A$5:$A$304,0)),""))</f>
        <v/>
      </c>
      <c r="G558" s="9">
        <f>IF(D558="","",IFERROR(INDEX('Équipements'!$K$5:$K$304,MATCH(D558,'Équipements'!$A$5:$A$304,0)),""))</f>
        <v/>
      </c>
      <c r="H558" s="7" t="inlineStr">
        <is>
          <t>Préventif systématique</t>
        </is>
      </c>
      <c r="I558" s="7" t="inlineStr">
        <is>
          <t>GP-085</t>
        </is>
      </c>
      <c r="J558" s="7" t="inlineStr">
        <is>
          <t>Mécanique</t>
        </is>
      </c>
      <c r="K558" s="7" t="inlineStr">
        <is>
          <t>P3 - Normale</t>
        </is>
      </c>
      <c r="L558" s="7" t="inlineStr">
        <is>
          <t>Graissage chaîne / galets et contrôle tension</t>
        </is>
      </c>
      <c r="M558" s="7" t="n"/>
      <c r="N558" s="7" t="inlineStr">
        <is>
          <t>Gamme réalisée - RAS</t>
        </is>
      </c>
      <c r="O558" s="7" t="inlineStr">
        <is>
          <t>Lucas Fontaine</t>
        </is>
      </c>
      <c r="P558" s="65" t="n">
        <v>45908.45486111111</v>
      </c>
      <c r="Q558" s="75" t="n">
        <v>45908.32291666666</v>
      </c>
      <c r="R558" s="75" t="n">
        <v>45908.4375</v>
      </c>
      <c r="S558" s="76" t="n">
        <v>2.8</v>
      </c>
      <c r="T558" s="76" t="n">
        <v>2.75</v>
      </c>
      <c r="U558" s="70">
        <f>IF($A558="","",IFERROR(INDEX('Techniciens'!$F$5:$F$44,MATCH(O558,'Techniciens'!$B$5:$B$44,0)),'Paramètres'!$AA$10))</f>
        <v/>
      </c>
      <c r="V558" s="70">
        <f>IF($A558="","",IF(OR(AC558="Demandé",AC558="Planifié",AC558="Annulé"),0,N(T558)*N(U558)))</f>
        <v/>
      </c>
      <c r="W558" s="70">
        <f>IF($A558="","",SUMIFS('Mouvements stock'!$H$5:$H$3004,'Mouvements stock'!$I$5:$I$3004,$A558,'Mouvements stock'!$C$5:$C$3004,"Sortie")-SUMIFS('Mouvements stock'!$H$5:$H$3004,'Mouvements stock'!$I$5:$I$3004,$A558,'Mouvements stock'!$C$5:$C$3004,"Retour"))</f>
        <v/>
      </c>
      <c r="X558" s="66" t="n">
        <v>0</v>
      </c>
      <c r="Y558" s="66" t="n">
        <v>0</v>
      </c>
      <c r="Z558" s="7" t="n"/>
      <c r="AA558" s="70">
        <f>IF($A558="","",N(V558)+N(W558)+N(X558)+N(Y558))</f>
        <v/>
      </c>
      <c r="AB558" s="70">
        <f>IF($A558="","",N(S558)*'Paramètres'!$AA$9*IFERROR(INDEX('Paramètres'!$O$5:$O$7,MATCH(G558,'Paramètres'!$N$5:$N$7,0)),0))</f>
        <v/>
      </c>
      <c r="AC558" s="7" t="inlineStr">
        <is>
          <t>Clôturé</t>
        </is>
      </c>
      <c r="AD558" s="69">
        <f>IF(OR($A558="",Q558=""),"",(Q558-B558)*24)</f>
        <v/>
      </c>
      <c r="AE558" s="69">
        <f>IF(OR(Q558="",R558=""),"",(R558-Q558)*24)</f>
        <v/>
      </c>
      <c r="AF558" s="77">
        <f>IF(OR($A558="",B558=""),"",YEAR(B558))</f>
        <v/>
      </c>
      <c r="AG558" s="77">
        <f>IF(OR($A558="",B558=""),"",MONTH(B558))</f>
        <v/>
      </c>
    </row>
    <row r="559">
      <c r="A559" s="7" t="inlineStr">
        <is>
          <t>OT-2025-0555</t>
        </is>
      </c>
      <c r="B559" s="75" t="n">
        <v>45901.40625</v>
      </c>
      <c r="C559" s="7" t="inlineStr">
        <is>
          <t>Plan préventif</t>
        </is>
      </c>
      <c r="D559" s="7" t="inlineStr">
        <is>
          <t>EQ-UTI-002</t>
        </is>
      </c>
      <c r="E559" s="9">
        <f>IF(D559="","",IFERROR(INDEX('Équipements'!$B$5:$B$304,MATCH(D559,'Équipements'!$A$5:$A$304,0)),"Code inconnu"))</f>
        <v/>
      </c>
      <c r="F559" s="9">
        <f>IF(D559="","",IFERROR(INDEX('Équipements'!$D$5:$D$304,MATCH(D559,'Équipements'!$A$5:$A$304,0)),""))</f>
        <v/>
      </c>
      <c r="G559" s="9">
        <f>IF(D559="","",IFERROR(INDEX('Équipements'!$K$5:$K$304,MATCH(D559,'Équipements'!$A$5:$A$304,0)),""))</f>
        <v/>
      </c>
      <c r="H559" s="7" t="inlineStr">
        <is>
          <t>Préventif systématique</t>
        </is>
      </c>
      <c r="I559" s="7" t="inlineStr">
        <is>
          <t>GP-090</t>
        </is>
      </c>
      <c r="J559" s="7" t="inlineStr">
        <is>
          <t>Pneumatique</t>
        </is>
      </c>
      <c r="K559" s="7" t="inlineStr">
        <is>
          <t>P3 - Normale</t>
        </is>
      </c>
      <c r="L559" s="7" t="inlineStr">
        <is>
          <t>Purge, contrôle fuites et point de rosée</t>
        </is>
      </c>
      <c r="M559" s="7" t="n"/>
      <c r="N559" s="7" t="inlineStr">
        <is>
          <t>Gamme réalisée - RAS</t>
        </is>
      </c>
      <c r="O559" s="7" t="inlineStr">
        <is>
          <t>Lucas Fontaine</t>
        </is>
      </c>
      <c r="P559" s="65" t="n">
        <v>45908.68055555555</v>
      </c>
      <c r="Q559" s="75" t="n">
        <v>45908.26041666666</v>
      </c>
      <c r="R559" s="75" t="n">
        <v>45908.3125</v>
      </c>
      <c r="S559" s="76" t="n">
        <v>0</v>
      </c>
      <c r="T559" s="76" t="n">
        <v>1.25</v>
      </c>
      <c r="U559" s="70">
        <f>IF($A559="","",IFERROR(INDEX('Techniciens'!$F$5:$F$44,MATCH(O559,'Techniciens'!$B$5:$B$44,0)),'Paramètres'!$AA$10))</f>
        <v/>
      </c>
      <c r="V559" s="70">
        <f>IF($A559="","",IF(OR(AC559="Demandé",AC559="Planifié",AC559="Annulé"),0,N(T559)*N(U559)))</f>
        <v/>
      </c>
      <c r="W559" s="70">
        <f>IF($A559="","",SUMIFS('Mouvements stock'!$H$5:$H$3004,'Mouvements stock'!$I$5:$I$3004,$A559,'Mouvements stock'!$C$5:$C$3004,"Sortie")-SUMIFS('Mouvements stock'!$H$5:$H$3004,'Mouvements stock'!$I$5:$I$3004,$A559,'Mouvements stock'!$C$5:$C$3004,"Retour"))</f>
        <v/>
      </c>
      <c r="X559" s="66" t="n">
        <v>0</v>
      </c>
      <c r="Y559" s="66" t="n">
        <v>0</v>
      </c>
      <c r="Z559" s="7" t="n"/>
      <c r="AA559" s="70">
        <f>IF($A559="","",N(V559)+N(W559)+N(X559)+N(Y559))</f>
        <v/>
      </c>
      <c r="AB559" s="70">
        <f>IF($A559="","",N(S559)*'Paramètres'!$AA$9*IFERROR(INDEX('Paramètres'!$O$5:$O$7,MATCH(G559,'Paramètres'!$N$5:$N$7,0)),0))</f>
        <v/>
      </c>
      <c r="AC559" s="7" t="inlineStr">
        <is>
          <t>Clôturé</t>
        </is>
      </c>
      <c r="AD559" s="69">
        <f>IF(OR($A559="",Q559=""),"",(Q559-B559)*24)</f>
        <v/>
      </c>
      <c r="AE559" s="69">
        <f>IF(OR(Q559="",R559=""),"",(R559-Q559)*24)</f>
        <v/>
      </c>
      <c r="AF559" s="77">
        <f>IF(OR($A559="",B559=""),"",YEAR(B559))</f>
        <v/>
      </c>
      <c r="AG559" s="77">
        <f>IF(OR($A559="",B559=""),"",MONTH(B559))</f>
        <v/>
      </c>
    </row>
    <row r="560">
      <c r="A560" s="7" t="inlineStr">
        <is>
          <t>OT-2025-0556</t>
        </is>
      </c>
      <c r="B560" s="75" t="n">
        <v>45901.43541666667</v>
      </c>
      <c r="C560" s="7" t="inlineStr">
        <is>
          <t>Opérateur tôlerie</t>
        </is>
      </c>
      <c r="D560" s="7" t="inlineStr">
        <is>
          <t>EQ-TOL-007</t>
        </is>
      </c>
      <c r="E560" s="9">
        <f>IF(D560="","",IFERROR(INDEX('Équipements'!$B$5:$B$304,MATCH(D560,'Équipements'!$A$5:$A$304,0)),"Code inconnu"))</f>
        <v/>
      </c>
      <c r="F560" s="9">
        <f>IF(D560="","",IFERROR(INDEX('Équipements'!$D$5:$D$304,MATCH(D560,'Équipements'!$A$5:$A$304,0)),""))</f>
        <v/>
      </c>
      <c r="G560" s="9">
        <f>IF(D560="","",IFERROR(INDEX('Équipements'!$K$5:$K$304,MATCH(D560,'Équipements'!$A$5:$A$304,0)),""))</f>
        <v/>
      </c>
      <c r="H560" s="7" t="inlineStr">
        <is>
          <t>Correctif</t>
        </is>
      </c>
      <c r="I560" s="7" t="n"/>
      <c r="J560" s="7" t="inlineStr">
        <is>
          <t>Électrique</t>
        </is>
      </c>
      <c r="K560" s="7" t="inlineStr">
        <is>
          <t>P3 - Normale</t>
        </is>
      </c>
      <c r="L560" s="7" t="inlineStr">
        <is>
          <t>Détecteur de présence HS</t>
        </is>
      </c>
      <c r="M560" s="7" t="inlineStr">
        <is>
          <t>Défaut capteur</t>
        </is>
      </c>
      <c r="N560" s="7" t="inlineStr">
        <is>
          <t>Remplacement détecteur</t>
        </is>
      </c>
      <c r="O560" s="7" t="inlineStr">
        <is>
          <t>Antoine Mercier</t>
        </is>
      </c>
      <c r="P560" s="65" t="n"/>
      <c r="Q560" s="75" t="n">
        <v>45902.52847222222</v>
      </c>
      <c r="R560" s="75" t="n">
        <v>45902.57013888889</v>
      </c>
      <c r="S560" s="76" t="n">
        <v>0</v>
      </c>
      <c r="T560" s="76" t="n">
        <v>1</v>
      </c>
      <c r="U560" s="70">
        <f>IF($A560="","",IFERROR(INDEX('Techniciens'!$F$5:$F$44,MATCH(O560,'Techniciens'!$B$5:$B$44,0)),'Paramètres'!$AA$10))</f>
        <v/>
      </c>
      <c r="V560" s="70">
        <f>IF($A560="","",IF(OR(AC560="Demandé",AC560="Planifié",AC560="Annulé"),0,N(T560)*N(U560)))</f>
        <v/>
      </c>
      <c r="W560" s="70">
        <f>IF($A560="","",SUMIFS('Mouvements stock'!$H$5:$H$3004,'Mouvements stock'!$I$5:$I$3004,$A560,'Mouvements stock'!$C$5:$C$3004,"Sortie")-SUMIFS('Mouvements stock'!$H$5:$H$3004,'Mouvements stock'!$I$5:$I$3004,$A560,'Mouvements stock'!$C$5:$C$3004,"Retour"))</f>
        <v/>
      </c>
      <c r="X560" s="66" t="n">
        <v>0</v>
      </c>
      <c r="Y560" s="66" t="n">
        <v>0</v>
      </c>
      <c r="Z560" s="7" t="n"/>
      <c r="AA560" s="70">
        <f>IF($A560="","",N(V560)+N(W560)+N(X560)+N(Y560))</f>
        <v/>
      </c>
      <c r="AB560" s="70">
        <f>IF($A560="","",N(S560)*'Paramètres'!$AA$9*IFERROR(INDEX('Paramètres'!$O$5:$O$7,MATCH(G560,'Paramètres'!$N$5:$N$7,0)),0))</f>
        <v/>
      </c>
      <c r="AC560" s="7" t="inlineStr">
        <is>
          <t>Clôturé</t>
        </is>
      </c>
      <c r="AD560" s="69">
        <f>IF(OR($A560="",Q560=""),"",(Q560-B560)*24)</f>
        <v/>
      </c>
      <c r="AE560" s="69">
        <f>IF(OR(Q560="",R560=""),"",(R560-Q560)*24)</f>
        <v/>
      </c>
      <c r="AF560" s="77">
        <f>IF(OR($A560="",B560=""),"",YEAR(B560))</f>
        <v/>
      </c>
      <c r="AG560" s="77">
        <f>IF(OR($A560="",B560=""),"",MONTH(B560))</f>
        <v/>
      </c>
    </row>
    <row r="561">
      <c r="A561" s="7" t="inlineStr">
        <is>
          <t>OT-2025-0557</t>
        </is>
      </c>
      <c r="B561" s="75" t="n">
        <v>45901.65694444445</v>
      </c>
      <c r="C561" s="7" t="inlineStr">
        <is>
          <t>Opérateur usinage</t>
        </is>
      </c>
      <c r="D561" s="7" t="inlineStr">
        <is>
          <t>EQ-USI-003</t>
        </is>
      </c>
      <c r="E561" s="9">
        <f>IF(D561="","",IFERROR(INDEX('Équipements'!$B$5:$B$304,MATCH(D561,'Équipements'!$A$5:$A$304,0)),"Code inconnu"))</f>
        <v/>
      </c>
      <c r="F561" s="9">
        <f>IF(D561="","",IFERROR(INDEX('Équipements'!$D$5:$D$304,MATCH(D561,'Équipements'!$A$5:$A$304,0)),""))</f>
        <v/>
      </c>
      <c r="G561" s="9">
        <f>IF(D561="","",IFERROR(INDEX('Équipements'!$K$5:$K$304,MATCH(D561,'Équipements'!$A$5:$A$304,0)),""))</f>
        <v/>
      </c>
      <c r="H561" s="7" t="inlineStr">
        <is>
          <t>Correctif</t>
        </is>
      </c>
      <c r="I561" s="7" t="n"/>
      <c r="J561" s="7" t="inlineStr">
        <is>
          <t>Mécanique</t>
        </is>
      </c>
      <c r="K561" s="7" t="inlineStr">
        <is>
          <t>P3 - Normale</t>
        </is>
      </c>
      <c r="L561" s="7" t="inlineStr">
        <is>
          <t>Alarme surchauffe broche</t>
        </is>
      </c>
      <c r="M561" s="7" t="inlineStr">
        <is>
          <t>Défaut lubrification</t>
        </is>
      </c>
      <c r="N561" s="7" t="inlineStr">
        <is>
          <t>Nettoyage circuit de refroidissement broche, appoint huile, contrôle groupe froid</t>
        </is>
      </c>
      <c r="O561" s="7" t="inlineStr">
        <is>
          <t>Karim Benali</t>
        </is>
      </c>
      <c r="P561" s="65" t="n"/>
      <c r="Q561" s="75" t="n">
        <v>45901.82777777778</v>
      </c>
      <c r="R561" s="75" t="n">
        <v>45901.89027777778</v>
      </c>
      <c r="S561" s="76" t="n">
        <v>0</v>
      </c>
      <c r="T561" s="76" t="n">
        <v>1.5</v>
      </c>
      <c r="U561" s="70">
        <f>IF($A561="","",IFERROR(INDEX('Techniciens'!$F$5:$F$44,MATCH(O561,'Techniciens'!$B$5:$B$44,0)),'Paramètres'!$AA$10))</f>
        <v/>
      </c>
      <c r="V561" s="70">
        <f>IF($A561="","",IF(OR(AC561="Demandé",AC561="Planifié",AC561="Annulé"),0,N(T561)*N(U561)))</f>
        <v/>
      </c>
      <c r="W561" s="70">
        <f>IF($A561="","",SUMIFS('Mouvements stock'!$H$5:$H$3004,'Mouvements stock'!$I$5:$I$3004,$A561,'Mouvements stock'!$C$5:$C$3004,"Sortie")-SUMIFS('Mouvements stock'!$H$5:$H$3004,'Mouvements stock'!$I$5:$I$3004,$A561,'Mouvements stock'!$C$5:$C$3004,"Retour"))</f>
        <v/>
      </c>
      <c r="X561" s="66" t="n">
        <v>0</v>
      </c>
      <c r="Y561" s="66" t="n">
        <v>0</v>
      </c>
      <c r="Z561" s="7" t="n"/>
      <c r="AA561" s="70">
        <f>IF($A561="","",N(V561)+N(W561)+N(X561)+N(Y561))</f>
        <v/>
      </c>
      <c r="AB561" s="70">
        <f>IF($A561="","",N(S561)*'Paramètres'!$AA$9*IFERROR(INDEX('Paramètres'!$O$5:$O$7,MATCH(G561,'Paramètres'!$N$5:$N$7,0)),0))</f>
        <v/>
      </c>
      <c r="AC561" s="7" t="inlineStr">
        <is>
          <t>Clôturé</t>
        </is>
      </c>
      <c r="AD561" s="69">
        <f>IF(OR($A561="",Q561=""),"",(Q561-B561)*24)</f>
        <v/>
      </c>
      <c r="AE561" s="69">
        <f>IF(OR(Q561="",R561=""),"",(R561-Q561)*24)</f>
        <v/>
      </c>
      <c r="AF561" s="77">
        <f>IF(OR($A561="",B561=""),"",YEAR(B561))</f>
        <v/>
      </c>
      <c r="AG561" s="77">
        <f>IF(OR($A561="",B561=""),"",MONTH(B561))</f>
        <v/>
      </c>
    </row>
    <row r="562">
      <c r="A562" s="7" t="inlineStr">
        <is>
          <t>OT-2025-0558</t>
        </is>
      </c>
      <c r="B562" s="75" t="n">
        <v>45901.84583333333</v>
      </c>
      <c r="C562" s="7" t="inlineStr">
        <is>
          <t>Paul Roux (chef d'atelier)</t>
        </is>
      </c>
      <c r="D562" s="7" t="inlineStr">
        <is>
          <t>EQ-ASS-003</t>
        </is>
      </c>
      <c r="E562" s="9">
        <f>IF(D562="","",IFERROR(INDEX('Équipements'!$B$5:$B$304,MATCH(D562,'Équipements'!$A$5:$A$304,0)),"Code inconnu"))</f>
        <v/>
      </c>
      <c r="F562" s="9">
        <f>IF(D562="","",IFERROR(INDEX('Équipements'!$D$5:$D$304,MATCH(D562,'Équipements'!$A$5:$A$304,0)),""))</f>
        <v/>
      </c>
      <c r="G562" s="9">
        <f>IF(D562="","",IFERROR(INDEX('Équipements'!$K$5:$K$304,MATCH(D562,'Équipements'!$A$5:$A$304,0)),""))</f>
        <v/>
      </c>
      <c r="H562" s="7" t="inlineStr">
        <is>
          <t>Correctif</t>
        </is>
      </c>
      <c r="I562" s="7" t="n"/>
      <c r="J562" s="7" t="inlineStr">
        <is>
          <t>Pneumatique</t>
        </is>
      </c>
      <c r="K562" s="7" t="inlineStr">
        <is>
          <t>P2 - Haute</t>
        </is>
      </c>
      <c r="L562" s="7" t="inlineStr">
        <is>
          <t>Vérin pneumatique en défaut</t>
        </is>
      </c>
      <c r="M562" s="7" t="inlineStr">
        <is>
          <t>Cause inconnue</t>
        </is>
      </c>
      <c r="N562" s="7" t="inlineStr">
        <is>
          <t>Remplacement vérin / électrovanne</t>
        </is>
      </c>
      <c r="O562" s="7" t="inlineStr">
        <is>
          <t>Julien Moreau</t>
        </is>
      </c>
      <c r="P562" s="65" t="n"/>
      <c r="Q562" s="75" t="n">
        <v>45902.05833333333</v>
      </c>
      <c r="R562" s="75" t="n">
        <v>45902.12083333333</v>
      </c>
      <c r="S562" s="76" t="n">
        <v>6.6</v>
      </c>
      <c r="T562" s="76" t="n">
        <v>1.5</v>
      </c>
      <c r="U562" s="70">
        <f>IF($A562="","",IFERROR(INDEX('Techniciens'!$F$5:$F$44,MATCH(O562,'Techniciens'!$B$5:$B$44,0)),'Paramètres'!$AA$10))</f>
        <v/>
      </c>
      <c r="V562" s="70">
        <f>IF($A562="","",IF(OR(AC562="Demandé",AC562="Planifié",AC562="Annulé"),0,N(T562)*N(U562)))</f>
        <v/>
      </c>
      <c r="W562" s="70">
        <f>IF($A562="","",SUMIFS('Mouvements stock'!$H$5:$H$3004,'Mouvements stock'!$I$5:$I$3004,$A562,'Mouvements stock'!$C$5:$C$3004,"Sortie")-SUMIFS('Mouvements stock'!$H$5:$H$3004,'Mouvements stock'!$I$5:$I$3004,$A562,'Mouvements stock'!$C$5:$C$3004,"Retour"))</f>
        <v/>
      </c>
      <c r="X562" s="66" t="n">
        <v>390</v>
      </c>
      <c r="Y562" s="66" t="n">
        <v>0</v>
      </c>
      <c r="Z562" s="7" t="n"/>
      <c r="AA562" s="70">
        <f>IF($A562="","",N(V562)+N(W562)+N(X562)+N(Y562))</f>
        <v/>
      </c>
      <c r="AB562" s="70">
        <f>IF($A562="","",N(S562)*'Paramètres'!$AA$9*IFERROR(INDEX('Paramètres'!$O$5:$O$7,MATCH(G562,'Paramètres'!$N$5:$N$7,0)),0))</f>
        <v/>
      </c>
      <c r="AC562" s="7" t="inlineStr">
        <is>
          <t>Clôturé</t>
        </is>
      </c>
      <c r="AD562" s="69">
        <f>IF(OR($A562="",Q562=""),"",(Q562-B562)*24)</f>
        <v/>
      </c>
      <c r="AE562" s="69">
        <f>IF(OR(Q562="",R562=""),"",(R562-Q562)*24)</f>
        <v/>
      </c>
      <c r="AF562" s="77">
        <f>IF(OR($A562="",B562=""),"",YEAR(B562))</f>
        <v/>
      </c>
      <c r="AG562" s="77">
        <f>IF(OR($A562="",B562=""),"",MONTH(B562))</f>
        <v/>
      </c>
    </row>
    <row r="563">
      <c r="A563" s="7" t="inlineStr">
        <is>
          <t>OT-2025-0559</t>
        </is>
      </c>
      <c r="B563" s="75" t="n">
        <v>45902.38541666666</v>
      </c>
      <c r="C563" s="7" t="inlineStr">
        <is>
          <t>Plan préventif</t>
        </is>
      </c>
      <c r="D563" s="7" t="inlineStr">
        <is>
          <t>EQ-USI-001</t>
        </is>
      </c>
      <c r="E563" s="9">
        <f>IF(D563="","",IFERROR(INDEX('Équipements'!$B$5:$B$304,MATCH(D563,'Équipements'!$A$5:$A$304,0)),"Code inconnu"))</f>
        <v/>
      </c>
      <c r="F563" s="9">
        <f>IF(D563="","",IFERROR(INDEX('Équipements'!$D$5:$D$304,MATCH(D563,'Équipements'!$A$5:$A$304,0)),""))</f>
        <v/>
      </c>
      <c r="G563" s="9">
        <f>IF(D563="","",IFERROR(INDEX('Équipements'!$K$5:$K$304,MATCH(D563,'Équipements'!$A$5:$A$304,0)),""))</f>
        <v/>
      </c>
      <c r="H563" s="7" t="inlineStr">
        <is>
          <t>Préventif systématique</t>
        </is>
      </c>
      <c r="I563" s="7" t="inlineStr">
        <is>
          <t>GP-001</t>
        </is>
      </c>
      <c r="J563" s="7" t="inlineStr">
        <is>
          <t>Mécanique</t>
        </is>
      </c>
      <c r="K563" s="7" t="inlineStr">
        <is>
          <t>P3 - Normale</t>
        </is>
      </c>
      <c r="L563" s="7" t="inlineStr">
        <is>
          <t>Contrôle niveaux, nettoyage filtres et bac à copeaux</t>
        </is>
      </c>
      <c r="M563" s="7" t="n"/>
      <c r="N563" s="7" t="inlineStr">
        <is>
          <t>Gamme réalisée - RAS</t>
        </is>
      </c>
      <c r="O563" s="7" t="inlineStr">
        <is>
          <t>Antoine Mercier</t>
        </is>
      </c>
      <c r="P563" s="65" t="n">
        <v>45909.53472222222</v>
      </c>
      <c r="Q563" s="75" t="n">
        <v>45909.40972222222</v>
      </c>
      <c r="R563" s="75" t="n">
        <v>45909.49305555555</v>
      </c>
      <c r="S563" s="76" t="n">
        <v>0</v>
      </c>
      <c r="T563" s="76" t="n">
        <v>2</v>
      </c>
      <c r="U563" s="70">
        <f>IF($A563="","",IFERROR(INDEX('Techniciens'!$F$5:$F$44,MATCH(O563,'Techniciens'!$B$5:$B$44,0)),'Paramètres'!$AA$10))</f>
        <v/>
      </c>
      <c r="V563" s="70">
        <f>IF($A563="","",IF(OR(AC563="Demandé",AC563="Planifié",AC563="Annulé"),0,N(T563)*N(U563)))</f>
        <v/>
      </c>
      <c r="W563" s="70">
        <f>IF($A563="","",SUMIFS('Mouvements stock'!$H$5:$H$3004,'Mouvements stock'!$I$5:$I$3004,$A563,'Mouvements stock'!$C$5:$C$3004,"Sortie")-SUMIFS('Mouvements stock'!$H$5:$H$3004,'Mouvements stock'!$I$5:$I$3004,$A563,'Mouvements stock'!$C$5:$C$3004,"Retour"))</f>
        <v/>
      </c>
      <c r="X563" s="66" t="n">
        <v>0</v>
      </c>
      <c r="Y563" s="66" t="n">
        <v>0</v>
      </c>
      <c r="Z563" s="7" t="n"/>
      <c r="AA563" s="70">
        <f>IF($A563="","",N(V563)+N(W563)+N(X563)+N(Y563))</f>
        <v/>
      </c>
      <c r="AB563" s="70">
        <f>IF($A563="","",N(S563)*'Paramètres'!$AA$9*IFERROR(INDEX('Paramètres'!$O$5:$O$7,MATCH(G563,'Paramètres'!$N$5:$N$7,0)),0))</f>
        <v/>
      </c>
      <c r="AC563" s="7" t="inlineStr">
        <is>
          <t>Clôturé</t>
        </is>
      </c>
      <c r="AD563" s="69">
        <f>IF(OR($A563="",Q563=""),"",(Q563-B563)*24)</f>
        <v/>
      </c>
      <c r="AE563" s="69">
        <f>IF(OR(Q563="",R563=""),"",(R563-Q563)*24)</f>
        <v/>
      </c>
      <c r="AF563" s="77">
        <f>IF(OR($A563="",B563=""),"",YEAR(B563))</f>
        <v/>
      </c>
      <c r="AG563" s="77">
        <f>IF(OR($A563="",B563=""),"",MONTH(B563))</f>
        <v/>
      </c>
    </row>
    <row r="564">
      <c r="A564" s="7" t="inlineStr">
        <is>
          <t>OT-2025-0560</t>
        </is>
      </c>
      <c r="B564" s="75" t="n">
        <v>45902.38541666666</v>
      </c>
      <c r="C564" s="7" t="inlineStr">
        <is>
          <t>Plan préventif</t>
        </is>
      </c>
      <c r="D564" s="7" t="inlineStr">
        <is>
          <t>EQ-UTI-003</t>
        </is>
      </c>
      <c r="E564" s="9">
        <f>IF(D564="","",IFERROR(INDEX('Équipements'!$B$5:$B$304,MATCH(D564,'Équipements'!$A$5:$A$304,0)),"Code inconnu"))</f>
        <v/>
      </c>
      <c r="F564" s="9">
        <f>IF(D564="","",IFERROR(INDEX('Équipements'!$D$5:$D$304,MATCH(D564,'Équipements'!$A$5:$A$304,0)),""))</f>
        <v/>
      </c>
      <c r="G564" s="9">
        <f>IF(D564="","",IFERROR(INDEX('Équipements'!$K$5:$K$304,MATCH(D564,'Équipements'!$A$5:$A$304,0)),""))</f>
        <v/>
      </c>
      <c r="H564" s="7" t="inlineStr">
        <is>
          <t>Préventif systématique</t>
        </is>
      </c>
      <c r="I564" s="7" t="inlineStr">
        <is>
          <t>GP-092</t>
        </is>
      </c>
      <c r="J564" s="7" t="inlineStr">
        <is>
          <t>Pneumatique</t>
        </is>
      </c>
      <c r="K564" s="7" t="inlineStr">
        <is>
          <t>P3 - Normale</t>
        </is>
      </c>
      <c r="L564" s="7" t="inlineStr">
        <is>
          <t>Purge, contrôle fuites et point de rosée</t>
        </is>
      </c>
      <c r="M564" s="7" t="n"/>
      <c r="N564" s="7" t="inlineStr">
        <is>
          <t>Gamme réalisée - DI émise pour remplacement pièce</t>
        </is>
      </c>
      <c r="O564" s="7" t="inlineStr">
        <is>
          <t>Julien Moreau</t>
        </is>
      </c>
      <c r="P564" s="65" t="n">
        <v>45909.48263888889</v>
      </c>
      <c r="Q564" s="75" t="n">
        <v>45909.58333333334</v>
      </c>
      <c r="R564" s="75" t="n">
        <v>45909.66666666666</v>
      </c>
      <c r="S564" s="76" t="n">
        <v>0</v>
      </c>
      <c r="T564" s="76" t="n">
        <v>2</v>
      </c>
      <c r="U564" s="70">
        <f>IF($A564="","",IFERROR(INDEX('Techniciens'!$F$5:$F$44,MATCH(O564,'Techniciens'!$B$5:$B$44,0)),'Paramètres'!$AA$10))</f>
        <v/>
      </c>
      <c r="V564" s="70">
        <f>IF($A564="","",IF(OR(AC564="Demandé",AC564="Planifié",AC564="Annulé"),0,N(T564)*N(U564)))</f>
        <v/>
      </c>
      <c r="W564" s="70">
        <f>IF($A564="","",SUMIFS('Mouvements stock'!$H$5:$H$3004,'Mouvements stock'!$I$5:$I$3004,$A564,'Mouvements stock'!$C$5:$C$3004,"Sortie")-SUMIFS('Mouvements stock'!$H$5:$H$3004,'Mouvements stock'!$I$5:$I$3004,$A564,'Mouvements stock'!$C$5:$C$3004,"Retour"))</f>
        <v/>
      </c>
      <c r="X564" s="66" t="n">
        <v>0</v>
      </c>
      <c r="Y564" s="66" t="n">
        <v>0</v>
      </c>
      <c r="Z564" s="7" t="n"/>
      <c r="AA564" s="70">
        <f>IF($A564="","",N(V564)+N(W564)+N(X564)+N(Y564))</f>
        <v/>
      </c>
      <c r="AB564" s="70">
        <f>IF($A564="","",N(S564)*'Paramètres'!$AA$9*IFERROR(INDEX('Paramètres'!$O$5:$O$7,MATCH(G564,'Paramètres'!$N$5:$N$7,0)),0))</f>
        <v/>
      </c>
      <c r="AC564" s="7" t="inlineStr">
        <is>
          <t>Clôturé</t>
        </is>
      </c>
      <c r="AD564" s="69">
        <f>IF(OR($A564="",Q564=""),"",(Q564-B564)*24)</f>
        <v/>
      </c>
      <c r="AE564" s="69">
        <f>IF(OR(Q564="",R564=""),"",(R564-Q564)*24)</f>
        <v/>
      </c>
      <c r="AF564" s="77">
        <f>IF(OR($A564="",B564=""),"",YEAR(B564))</f>
        <v/>
      </c>
      <c r="AG564" s="77">
        <f>IF(OR($A564="",B564=""),"",MONTH(B564))</f>
        <v/>
      </c>
    </row>
    <row r="565">
      <c r="A565" s="7" t="inlineStr">
        <is>
          <t>OT-2025-0561</t>
        </is>
      </c>
      <c r="B565" s="75" t="n">
        <v>45902.4375</v>
      </c>
      <c r="C565" s="7" t="inlineStr">
        <is>
          <t>Plan préventif</t>
        </is>
      </c>
      <c r="D565" s="7" t="inlineStr">
        <is>
          <t>EQ-SOU-001</t>
        </is>
      </c>
      <c r="E565" s="9">
        <f>IF(D565="","",IFERROR(INDEX('Équipements'!$B$5:$B$304,MATCH(D565,'Équipements'!$A$5:$A$304,0)),"Code inconnu"))</f>
        <v/>
      </c>
      <c r="F565" s="9">
        <f>IF(D565="","",IFERROR(INDEX('Équipements'!$D$5:$D$304,MATCH(D565,'Équipements'!$A$5:$A$304,0)),""))</f>
        <v/>
      </c>
      <c r="G565" s="9">
        <f>IF(D565="","",IFERROR(INDEX('Équipements'!$K$5:$K$304,MATCH(D565,'Équipements'!$A$5:$A$304,0)),""))</f>
        <v/>
      </c>
      <c r="H565" s="7" t="inlineStr">
        <is>
          <t>Préventif systématique</t>
        </is>
      </c>
      <c r="I565" s="7" t="inlineStr">
        <is>
          <t>GP-058</t>
        </is>
      </c>
      <c r="J565" s="7" t="inlineStr">
        <is>
          <t>Mécanique</t>
        </is>
      </c>
      <c r="K565" s="7" t="inlineStr">
        <is>
          <t>P3 - Normale</t>
        </is>
      </c>
      <c r="L565" s="7" t="inlineStr">
        <is>
          <t>Nettoyage torche et contrôle faisceau</t>
        </is>
      </c>
      <c r="M565" s="7" t="n"/>
      <c r="N565" s="7" t="inlineStr">
        <is>
          <t>Gamme réalisée - RAS</t>
        </is>
      </c>
      <c r="O565" s="7" t="inlineStr">
        <is>
          <t>Lucas Fontaine</t>
        </is>
      </c>
      <c r="P565" s="65" t="n">
        <v>45909.3125</v>
      </c>
      <c r="Q565" s="75" t="n">
        <v>45909.28125</v>
      </c>
      <c r="R565" s="75" t="n">
        <v>45909.32291666666</v>
      </c>
      <c r="S565" s="76" t="n">
        <v>1</v>
      </c>
      <c r="T565" s="76" t="n">
        <v>1</v>
      </c>
      <c r="U565" s="70">
        <f>IF($A565="","",IFERROR(INDEX('Techniciens'!$F$5:$F$44,MATCH(O565,'Techniciens'!$B$5:$B$44,0)),'Paramètres'!$AA$10))</f>
        <v/>
      </c>
      <c r="V565" s="70">
        <f>IF($A565="","",IF(OR(AC565="Demandé",AC565="Planifié",AC565="Annulé"),0,N(T565)*N(U565)))</f>
        <v/>
      </c>
      <c r="W565" s="70">
        <f>IF($A565="","",SUMIFS('Mouvements stock'!$H$5:$H$3004,'Mouvements stock'!$I$5:$I$3004,$A565,'Mouvements stock'!$C$5:$C$3004,"Sortie")-SUMIFS('Mouvements stock'!$H$5:$H$3004,'Mouvements stock'!$I$5:$I$3004,$A565,'Mouvements stock'!$C$5:$C$3004,"Retour"))</f>
        <v/>
      </c>
      <c r="X565" s="66" t="n">
        <v>0</v>
      </c>
      <c r="Y565" s="66" t="n">
        <v>0</v>
      </c>
      <c r="Z565" s="7" t="n"/>
      <c r="AA565" s="70">
        <f>IF($A565="","",N(V565)+N(W565)+N(X565)+N(Y565))</f>
        <v/>
      </c>
      <c r="AB565" s="70">
        <f>IF($A565="","",N(S565)*'Paramètres'!$AA$9*IFERROR(INDEX('Paramètres'!$O$5:$O$7,MATCH(G565,'Paramètres'!$N$5:$N$7,0)),0))</f>
        <v/>
      </c>
      <c r="AC565" s="7" t="inlineStr">
        <is>
          <t>Clôturé</t>
        </is>
      </c>
      <c r="AD565" s="69">
        <f>IF(OR($A565="",Q565=""),"",(Q565-B565)*24)</f>
        <v/>
      </c>
      <c r="AE565" s="69">
        <f>IF(OR(Q565="",R565=""),"",(R565-Q565)*24)</f>
        <v/>
      </c>
      <c r="AF565" s="77">
        <f>IF(OR($A565="",B565=""),"",YEAR(B565))</f>
        <v/>
      </c>
      <c r="AG565" s="77">
        <f>IF(OR($A565="",B565=""),"",MONTH(B565))</f>
        <v/>
      </c>
    </row>
    <row r="566">
      <c r="A566" s="7" t="inlineStr">
        <is>
          <t>OT-2025-0562</t>
        </is>
      </c>
      <c r="B566" s="75" t="n">
        <v>45902.45138888889</v>
      </c>
      <c r="C566" s="7" t="inlineStr">
        <is>
          <t>Plan préventif</t>
        </is>
      </c>
      <c r="D566" s="7" t="inlineStr">
        <is>
          <t>EQ-PEI-001</t>
        </is>
      </c>
      <c r="E566" s="9">
        <f>IF(D566="","",IFERROR(INDEX('Équipements'!$B$5:$B$304,MATCH(D566,'Équipements'!$A$5:$A$304,0)),"Code inconnu"))</f>
        <v/>
      </c>
      <c r="F566" s="9">
        <f>IF(D566="","",IFERROR(INDEX('Équipements'!$D$5:$D$304,MATCH(D566,'Équipements'!$A$5:$A$304,0)),""))</f>
        <v/>
      </c>
      <c r="G566" s="9">
        <f>IF(D566="","",IFERROR(INDEX('Équipements'!$K$5:$K$304,MATCH(D566,'Équipements'!$A$5:$A$304,0)),""))</f>
        <v/>
      </c>
      <c r="H566" s="7" t="inlineStr">
        <is>
          <t>Préventif systématique</t>
        </is>
      </c>
      <c r="I566" s="7" t="inlineStr">
        <is>
          <t>GP-066</t>
        </is>
      </c>
      <c r="J566" s="7" t="inlineStr">
        <is>
          <t>Mécanique</t>
        </is>
      </c>
      <c r="K566" s="7" t="inlineStr">
        <is>
          <t>P3 - Normale</t>
        </is>
      </c>
      <c r="L566" s="7" t="inlineStr">
        <is>
          <t>Nettoyage et remplacement des filtres</t>
        </is>
      </c>
      <c r="M566" s="7" t="n"/>
      <c r="N566" s="7" t="inlineStr">
        <is>
          <t>Gamme réalisée - RAS</t>
        </is>
      </c>
      <c r="O566" s="7" t="inlineStr">
        <is>
          <t>Lucas Fontaine</t>
        </is>
      </c>
      <c r="P566" s="65" t="n">
        <v>45909.47569444445</v>
      </c>
      <c r="Q566" s="75" t="n">
        <v>45909.4375</v>
      </c>
      <c r="R566" s="75" t="n">
        <v>45909.57291666666</v>
      </c>
      <c r="S566" s="76" t="n">
        <v>3.2</v>
      </c>
      <c r="T566" s="76" t="n">
        <v>3.25</v>
      </c>
      <c r="U566" s="70">
        <f>IF($A566="","",IFERROR(INDEX('Techniciens'!$F$5:$F$44,MATCH(O566,'Techniciens'!$B$5:$B$44,0)),'Paramètres'!$AA$10))</f>
        <v/>
      </c>
      <c r="V566" s="70">
        <f>IF($A566="","",IF(OR(AC566="Demandé",AC566="Planifié",AC566="Annulé"),0,N(T566)*N(U566)))</f>
        <v/>
      </c>
      <c r="W566" s="70">
        <f>IF($A566="","",SUMIFS('Mouvements stock'!$H$5:$H$3004,'Mouvements stock'!$I$5:$I$3004,$A566,'Mouvements stock'!$C$5:$C$3004,"Sortie")-SUMIFS('Mouvements stock'!$H$5:$H$3004,'Mouvements stock'!$I$5:$I$3004,$A566,'Mouvements stock'!$C$5:$C$3004,"Retour"))</f>
        <v/>
      </c>
      <c r="X566" s="66" t="n">
        <v>0</v>
      </c>
      <c r="Y566" s="66" t="n">
        <v>0</v>
      </c>
      <c r="Z566" s="7" t="n"/>
      <c r="AA566" s="70">
        <f>IF($A566="","",N(V566)+N(W566)+N(X566)+N(Y566))</f>
        <v/>
      </c>
      <c r="AB566" s="70">
        <f>IF($A566="","",N(S566)*'Paramètres'!$AA$9*IFERROR(INDEX('Paramètres'!$O$5:$O$7,MATCH(G566,'Paramètres'!$N$5:$N$7,0)),0))</f>
        <v/>
      </c>
      <c r="AC566" s="7" t="inlineStr">
        <is>
          <t>Clôturé</t>
        </is>
      </c>
      <c r="AD566" s="69">
        <f>IF(OR($A566="",Q566=""),"",(Q566-B566)*24)</f>
        <v/>
      </c>
      <c r="AE566" s="69">
        <f>IF(OR(Q566="",R566=""),"",(R566-Q566)*24)</f>
        <v/>
      </c>
      <c r="AF566" s="77">
        <f>IF(OR($A566="",B566=""),"",YEAR(B566))</f>
        <v/>
      </c>
      <c r="AG566" s="77">
        <f>IF(OR($A566="",B566=""),"",MONTH(B566))</f>
        <v/>
      </c>
    </row>
    <row r="567">
      <c r="A567" s="7" t="inlineStr">
        <is>
          <t>OT-2025-0563</t>
        </is>
      </c>
      <c r="B567" s="75" t="n">
        <v>45902.46875</v>
      </c>
      <c r="C567" s="7" t="inlineStr">
        <is>
          <t>Plan préventif</t>
        </is>
      </c>
      <c r="D567" s="7" t="inlineStr">
        <is>
          <t>EQ-TOL-006</t>
        </is>
      </c>
      <c r="E567" s="9">
        <f>IF(D567="","",IFERROR(INDEX('Équipements'!$B$5:$B$304,MATCH(D567,'Équipements'!$A$5:$A$304,0)),"Code inconnu"))</f>
        <v/>
      </c>
      <c r="F567" s="9">
        <f>IF(D567="","",IFERROR(INDEX('Équipements'!$D$5:$D$304,MATCH(D567,'Équipements'!$A$5:$A$304,0)),""))</f>
        <v/>
      </c>
      <c r="G567" s="9">
        <f>IF(D567="","",IFERROR(INDEX('Équipements'!$K$5:$K$304,MATCH(D567,'Équipements'!$A$5:$A$304,0)),""))</f>
        <v/>
      </c>
      <c r="H567" s="7" t="inlineStr">
        <is>
          <t>Préventif systématique</t>
        </is>
      </c>
      <c r="I567" s="7" t="inlineStr">
        <is>
          <t>GP-053</t>
        </is>
      </c>
      <c r="J567" s="7" t="inlineStr">
        <is>
          <t>Hydraulique</t>
        </is>
      </c>
      <c r="K567" s="7" t="inlineStr">
        <is>
          <t>P3 - Normale</t>
        </is>
      </c>
      <c r="L567" s="7" t="inlineStr">
        <is>
          <t>Contrôle hydraulique : fuites, niveaux, pressions</t>
        </is>
      </c>
      <c r="M567" s="7" t="n"/>
      <c r="N567" s="7" t="inlineStr">
        <is>
          <t>Gamme réalisée - RAS</t>
        </is>
      </c>
      <c r="O567" s="7" t="inlineStr">
        <is>
          <t>Antoine Mercier</t>
        </is>
      </c>
      <c r="P567" s="65" t="n">
        <v>45909.63194444445</v>
      </c>
      <c r="Q567" s="75" t="n">
        <v>45909.26388888889</v>
      </c>
      <c r="R567" s="75" t="n">
        <v>45909.35763888889</v>
      </c>
      <c r="S567" s="76" t="n">
        <v>1.1</v>
      </c>
      <c r="T567" s="76" t="n">
        <v>2.25</v>
      </c>
      <c r="U567" s="70">
        <f>IF($A567="","",IFERROR(INDEX('Techniciens'!$F$5:$F$44,MATCH(O567,'Techniciens'!$B$5:$B$44,0)),'Paramètres'!$AA$10))</f>
        <v/>
      </c>
      <c r="V567" s="70">
        <f>IF($A567="","",IF(OR(AC567="Demandé",AC567="Planifié",AC567="Annulé"),0,N(T567)*N(U567)))</f>
        <v/>
      </c>
      <c r="W567" s="70">
        <f>IF($A567="","",SUMIFS('Mouvements stock'!$H$5:$H$3004,'Mouvements stock'!$I$5:$I$3004,$A567,'Mouvements stock'!$C$5:$C$3004,"Sortie")-SUMIFS('Mouvements stock'!$H$5:$H$3004,'Mouvements stock'!$I$5:$I$3004,$A567,'Mouvements stock'!$C$5:$C$3004,"Retour"))</f>
        <v/>
      </c>
      <c r="X567" s="66" t="n">
        <v>0</v>
      </c>
      <c r="Y567" s="66" t="n">
        <v>0</v>
      </c>
      <c r="Z567" s="7" t="n"/>
      <c r="AA567" s="70">
        <f>IF($A567="","",N(V567)+N(W567)+N(X567)+N(Y567))</f>
        <v/>
      </c>
      <c r="AB567" s="70">
        <f>IF($A567="","",N(S567)*'Paramètres'!$AA$9*IFERROR(INDEX('Paramètres'!$O$5:$O$7,MATCH(G567,'Paramètres'!$N$5:$N$7,0)),0))</f>
        <v/>
      </c>
      <c r="AC567" s="7" t="inlineStr">
        <is>
          <t>Clôturé</t>
        </is>
      </c>
      <c r="AD567" s="69">
        <f>IF(OR($A567="",Q567=""),"",(Q567-B567)*24)</f>
        <v/>
      </c>
      <c r="AE567" s="69">
        <f>IF(OR(Q567="",R567=""),"",(R567-Q567)*24)</f>
        <v/>
      </c>
      <c r="AF567" s="77">
        <f>IF(OR($A567="",B567=""),"",YEAR(B567))</f>
        <v/>
      </c>
      <c r="AG567" s="77">
        <f>IF(OR($A567="",B567=""),"",MONTH(B567))</f>
        <v/>
      </c>
    </row>
    <row r="568">
      <c r="A568" s="7" t="inlineStr">
        <is>
          <t>OT-2025-0564</t>
        </is>
      </c>
      <c r="B568" s="75" t="n">
        <v>45903.85277777778</v>
      </c>
      <c r="C568" s="7" t="inlineStr">
        <is>
          <t>Cariste</t>
        </is>
      </c>
      <c r="D568" s="7" t="inlineStr">
        <is>
          <t>EQ-LOG-007</t>
        </is>
      </c>
      <c r="E568" s="9">
        <f>IF(D568="","",IFERROR(INDEX('Équipements'!$B$5:$B$304,MATCH(D568,'Équipements'!$A$5:$A$304,0)),"Code inconnu"))</f>
        <v/>
      </c>
      <c r="F568" s="9">
        <f>IF(D568="","",IFERROR(INDEX('Équipements'!$D$5:$D$304,MATCH(D568,'Équipements'!$A$5:$A$304,0)),""))</f>
        <v/>
      </c>
      <c r="G568" s="9">
        <f>IF(D568="","",IFERROR(INDEX('Équipements'!$K$5:$K$304,MATCH(D568,'Équipements'!$A$5:$A$304,0)),""))</f>
        <v/>
      </c>
      <c r="H568" s="7" t="inlineStr">
        <is>
          <t>Correctif</t>
        </is>
      </c>
      <c r="I568" s="7" t="n"/>
      <c r="J568" s="7" t="inlineStr">
        <is>
          <t>Électrique</t>
        </is>
      </c>
      <c r="K568" s="7" t="inlineStr">
        <is>
          <t>P1 - Urgent</t>
        </is>
      </c>
      <c r="L568" s="7" t="inlineStr">
        <is>
          <t>Fin de course de levage HS</t>
        </is>
      </c>
      <c r="M568" s="7" t="inlineStr">
        <is>
          <t>Défaut capteur</t>
        </is>
      </c>
      <c r="N568" s="7" t="inlineStr">
        <is>
          <t>Remplacement fin de course</t>
        </is>
      </c>
      <c r="O568" s="7" t="inlineStr">
        <is>
          <t>Antoine Mercier</t>
        </is>
      </c>
      <c r="P568" s="65" t="n"/>
      <c r="Q568" s="75" t="n">
        <v>45903.87569444445</v>
      </c>
      <c r="R568" s="75" t="n">
        <v>45903.96944444445</v>
      </c>
      <c r="S568" s="76" t="n">
        <v>2.8</v>
      </c>
      <c r="T568" s="76" t="n">
        <v>2.25</v>
      </c>
      <c r="U568" s="70">
        <f>IF($A568="","",IFERROR(INDEX('Techniciens'!$F$5:$F$44,MATCH(O568,'Techniciens'!$B$5:$B$44,0)),'Paramètres'!$AA$10))</f>
        <v/>
      </c>
      <c r="V568" s="70">
        <f>IF($A568="","",IF(OR(AC568="Demandé",AC568="Planifié",AC568="Annulé"),0,N(T568)*N(U568)))</f>
        <v/>
      </c>
      <c r="W568" s="70">
        <f>IF($A568="","",SUMIFS('Mouvements stock'!$H$5:$H$3004,'Mouvements stock'!$I$5:$I$3004,$A568,'Mouvements stock'!$C$5:$C$3004,"Sortie")-SUMIFS('Mouvements stock'!$H$5:$H$3004,'Mouvements stock'!$I$5:$I$3004,$A568,'Mouvements stock'!$C$5:$C$3004,"Retour"))</f>
        <v/>
      </c>
      <c r="X568" s="66" t="n">
        <v>0</v>
      </c>
      <c r="Y568" s="66" t="n">
        <v>0</v>
      </c>
      <c r="Z568" s="7" t="n"/>
      <c r="AA568" s="70">
        <f>IF($A568="","",N(V568)+N(W568)+N(X568)+N(Y568))</f>
        <v/>
      </c>
      <c r="AB568" s="70">
        <f>IF($A568="","",N(S568)*'Paramètres'!$AA$9*IFERROR(INDEX('Paramètres'!$O$5:$O$7,MATCH(G568,'Paramètres'!$N$5:$N$7,0)),0))</f>
        <v/>
      </c>
      <c r="AC568" s="7" t="inlineStr">
        <is>
          <t>Clôturé</t>
        </is>
      </c>
      <c r="AD568" s="69">
        <f>IF(OR($A568="",Q568=""),"",(Q568-B568)*24)</f>
        <v/>
      </c>
      <c r="AE568" s="69">
        <f>IF(OR(Q568="",R568=""),"",(R568-Q568)*24)</f>
        <v/>
      </c>
      <c r="AF568" s="77">
        <f>IF(OR($A568="",B568=""),"",YEAR(B568))</f>
        <v/>
      </c>
      <c r="AG568" s="77">
        <f>IF(OR($A568="",B568=""),"",MONTH(B568))</f>
        <v/>
      </c>
    </row>
    <row r="569">
      <c r="A569" s="7" t="inlineStr">
        <is>
          <t>OT-2025-0565</t>
        </is>
      </c>
      <c r="B569" s="75" t="n">
        <v>45905.36805555555</v>
      </c>
      <c r="C569" s="7" t="inlineStr">
        <is>
          <t>Planning réglementaire</t>
        </is>
      </c>
      <c r="D569" s="7" t="inlineStr">
        <is>
          <t>EQ-BAT-002</t>
        </is>
      </c>
      <c r="E569" s="9">
        <f>IF(D569="","",IFERROR(INDEX('Équipements'!$B$5:$B$304,MATCH(D569,'Équipements'!$A$5:$A$304,0)),"Code inconnu"))</f>
        <v/>
      </c>
      <c r="F569" s="9">
        <f>IF(D569="","",IFERROR(INDEX('Équipements'!$D$5:$D$304,MATCH(D569,'Équipements'!$A$5:$A$304,0)),""))</f>
        <v/>
      </c>
      <c r="G569" s="9">
        <f>IF(D569="","",IFERROR(INDEX('Équipements'!$K$5:$K$304,MATCH(D569,'Équipements'!$A$5:$A$304,0)),""))</f>
        <v/>
      </c>
      <c r="H569" s="7" t="inlineStr">
        <is>
          <t>Réglementaire</t>
        </is>
      </c>
      <c r="I569" s="7" t="inlineStr">
        <is>
          <t>CR-021</t>
        </is>
      </c>
      <c r="J569" s="7" t="inlineStr">
        <is>
          <t>Multi-technique</t>
        </is>
      </c>
      <c r="K569" s="7" t="inlineStr">
        <is>
          <t>P2 - Haute</t>
        </is>
      </c>
      <c r="L569" s="7" t="inlineStr">
        <is>
          <t>Entretien et vérification portail automatique</t>
        </is>
      </c>
      <c r="M569" s="7" t="n"/>
      <c r="N569" s="7" t="inlineStr">
        <is>
          <t>Contrôle réalisé - rapport reçu</t>
        </is>
      </c>
      <c r="O569" s="7" t="inlineStr">
        <is>
          <t>Nadia Rousseau</t>
        </is>
      </c>
      <c r="P569" s="65" t="n">
        <v>45926</v>
      </c>
      <c r="Q569" s="75" t="n">
        <v>45926.49305555555</v>
      </c>
      <c r="R569" s="75" t="n">
        <v>45926.52430555555</v>
      </c>
      <c r="S569" s="76" t="n">
        <v>0</v>
      </c>
      <c r="T569" s="76" t="n">
        <v>0.75</v>
      </c>
      <c r="U569" s="70">
        <f>IF($A569="","",IFERROR(INDEX('Techniciens'!$F$5:$F$44,MATCH(O569,'Techniciens'!$B$5:$B$44,0)),'Paramètres'!$AA$10))</f>
        <v/>
      </c>
      <c r="V569" s="70">
        <f>IF($A569="","",IF(OR(AC569="Demandé",AC569="Planifié",AC569="Annulé"),0,N(T569)*N(U569)))</f>
        <v/>
      </c>
      <c r="W569" s="70">
        <f>IF($A569="","",SUMIFS('Mouvements stock'!$H$5:$H$3004,'Mouvements stock'!$I$5:$I$3004,$A569,'Mouvements stock'!$C$5:$C$3004,"Sortie")-SUMIFS('Mouvements stock'!$H$5:$H$3004,'Mouvements stock'!$I$5:$I$3004,$A569,'Mouvements stock'!$C$5:$C$3004,"Retour"))</f>
        <v/>
      </c>
      <c r="X569" s="66" t="n">
        <v>0</v>
      </c>
      <c r="Y569" s="66" t="n">
        <v>180</v>
      </c>
      <c r="Z569" s="7" t="inlineStr">
        <is>
          <t>Fournitures Industrielles Générales</t>
        </is>
      </c>
      <c r="AA569" s="70">
        <f>IF($A569="","",N(V569)+N(W569)+N(X569)+N(Y569))</f>
        <v/>
      </c>
      <c r="AB569" s="70">
        <f>IF($A569="","",N(S569)*'Paramètres'!$AA$9*IFERROR(INDEX('Paramètres'!$O$5:$O$7,MATCH(G569,'Paramètres'!$N$5:$N$7,0)),0))</f>
        <v/>
      </c>
      <c r="AC569" s="7" t="inlineStr">
        <is>
          <t>Clôturé</t>
        </is>
      </c>
      <c r="AD569" s="69">
        <f>IF(OR($A569="",Q569=""),"",(Q569-B569)*24)</f>
        <v/>
      </c>
      <c r="AE569" s="69">
        <f>IF(OR(Q569="",R569=""),"",(R569-Q569)*24)</f>
        <v/>
      </c>
      <c r="AF569" s="77">
        <f>IF(OR($A569="",B569=""),"",YEAR(B569))</f>
        <v/>
      </c>
      <c r="AG569" s="77">
        <f>IF(OR($A569="",B569=""),"",MONTH(B569))</f>
        <v/>
      </c>
    </row>
    <row r="570">
      <c r="A570" s="7" t="inlineStr">
        <is>
          <t>OT-2025-0566</t>
        </is>
      </c>
      <c r="B570" s="75" t="n">
        <v>45905.38888888889</v>
      </c>
      <c r="C570" s="7" t="inlineStr">
        <is>
          <t>Plan préventif</t>
        </is>
      </c>
      <c r="D570" s="7" t="inlineStr">
        <is>
          <t>EQ-TOL-005</t>
        </is>
      </c>
      <c r="E570" s="9">
        <f>IF(D570="","",IFERROR(INDEX('Équipements'!$B$5:$B$304,MATCH(D570,'Équipements'!$A$5:$A$304,0)),"Code inconnu"))</f>
        <v/>
      </c>
      <c r="F570" s="9">
        <f>IF(D570="","",IFERROR(INDEX('Équipements'!$D$5:$D$304,MATCH(D570,'Équipements'!$A$5:$A$304,0)),""))</f>
        <v/>
      </c>
      <c r="G570" s="9">
        <f>IF(D570="","",IFERROR(INDEX('Équipements'!$K$5:$K$304,MATCH(D570,'Équipements'!$A$5:$A$304,0)),""))</f>
        <v/>
      </c>
      <c r="H570" s="7" t="inlineStr">
        <is>
          <t>Préventif systématique</t>
        </is>
      </c>
      <c r="I570" s="7" t="inlineStr">
        <is>
          <t>GP-052</t>
        </is>
      </c>
      <c r="J570" s="7" t="inlineStr">
        <is>
          <t>Électrique</t>
        </is>
      </c>
      <c r="K570" s="7" t="inlineStr">
        <is>
          <t>P3 - Normale</t>
        </is>
      </c>
      <c r="L570" s="7" t="inlineStr">
        <is>
          <t>Contrôle des sécurités (barrages, AU, pédale)</t>
        </is>
      </c>
      <c r="M570" s="7" t="n"/>
      <c r="N570" s="7" t="inlineStr">
        <is>
          <t>Gamme réalisée - serrages repris</t>
        </is>
      </c>
      <c r="O570" s="7" t="inlineStr">
        <is>
          <t>Julien Moreau</t>
        </is>
      </c>
      <c r="P570" s="65" t="n">
        <v>45912.45486111111</v>
      </c>
      <c r="Q570" s="75" t="n">
        <v>45912.55208333334</v>
      </c>
      <c r="R570" s="75" t="n">
        <v>45912.625</v>
      </c>
      <c r="S570" s="76" t="n">
        <v>1.8</v>
      </c>
      <c r="T570" s="76" t="n">
        <v>1.75</v>
      </c>
      <c r="U570" s="70">
        <f>IF($A570="","",IFERROR(INDEX('Techniciens'!$F$5:$F$44,MATCH(O570,'Techniciens'!$B$5:$B$44,0)),'Paramètres'!$AA$10))</f>
        <v/>
      </c>
      <c r="V570" s="70">
        <f>IF($A570="","",IF(OR(AC570="Demandé",AC570="Planifié",AC570="Annulé"),0,N(T570)*N(U570)))</f>
        <v/>
      </c>
      <c r="W570" s="70">
        <f>IF($A570="","",SUMIFS('Mouvements stock'!$H$5:$H$3004,'Mouvements stock'!$I$5:$I$3004,$A570,'Mouvements stock'!$C$5:$C$3004,"Sortie")-SUMIFS('Mouvements stock'!$H$5:$H$3004,'Mouvements stock'!$I$5:$I$3004,$A570,'Mouvements stock'!$C$5:$C$3004,"Retour"))</f>
        <v/>
      </c>
      <c r="X570" s="66" t="n">
        <v>0</v>
      </c>
      <c r="Y570" s="66" t="n">
        <v>0</v>
      </c>
      <c r="Z570" s="7" t="n"/>
      <c r="AA570" s="70">
        <f>IF($A570="","",N(V570)+N(W570)+N(X570)+N(Y570))</f>
        <v/>
      </c>
      <c r="AB570" s="70">
        <f>IF($A570="","",N(S570)*'Paramètres'!$AA$9*IFERROR(INDEX('Paramètres'!$O$5:$O$7,MATCH(G570,'Paramètres'!$N$5:$N$7,0)),0))</f>
        <v/>
      </c>
      <c r="AC570" s="7" t="inlineStr">
        <is>
          <t>Clôturé</t>
        </is>
      </c>
      <c r="AD570" s="69">
        <f>IF(OR($A570="",Q570=""),"",(Q570-B570)*24)</f>
        <v/>
      </c>
      <c r="AE570" s="69">
        <f>IF(OR(Q570="",R570=""),"",(R570-Q570)*24)</f>
        <v/>
      </c>
      <c r="AF570" s="77">
        <f>IF(OR($A570="",B570=""),"",YEAR(B570))</f>
        <v/>
      </c>
      <c r="AG570" s="77">
        <f>IF(OR($A570="",B570=""),"",MONTH(B570))</f>
        <v/>
      </c>
    </row>
    <row r="571">
      <c r="A571" s="7" t="inlineStr">
        <is>
          <t>OT-2025-0567</t>
        </is>
      </c>
      <c r="B571" s="75" t="n">
        <v>45905.44930555556</v>
      </c>
      <c r="C571" s="7" t="inlineStr">
        <is>
          <t>Inès Girard (cheffe d'équipe)</t>
        </is>
      </c>
      <c r="D571" s="7" t="inlineStr">
        <is>
          <t>EQ-PEI-002</t>
        </is>
      </c>
      <c r="E571" s="9">
        <f>IF(D571="","",IFERROR(INDEX('Équipements'!$B$5:$B$304,MATCH(D571,'Équipements'!$A$5:$A$304,0)),"Code inconnu"))</f>
        <v/>
      </c>
      <c r="F571" s="9">
        <f>IF(D571="","",IFERROR(INDEX('Équipements'!$D$5:$D$304,MATCH(D571,'Équipements'!$A$5:$A$304,0)),""))</f>
        <v/>
      </c>
      <c r="G571" s="9">
        <f>IF(D571="","",IFERROR(INDEX('Équipements'!$K$5:$K$304,MATCH(D571,'Équipements'!$A$5:$A$304,0)),""))</f>
        <v/>
      </c>
      <c r="H571" s="7" t="inlineStr">
        <is>
          <t>Correctif</t>
        </is>
      </c>
      <c r="I571" s="7" t="n"/>
      <c r="J571" s="7" t="inlineStr">
        <is>
          <t>Pneumatique</t>
        </is>
      </c>
      <c r="K571" s="7" t="inlineStr">
        <is>
          <t>P1 - Urgent</t>
        </is>
      </c>
      <c r="L571" s="7" t="inlineStr">
        <is>
          <t>Pistolet poudre : débit irrégulier</t>
        </is>
      </c>
      <c r="M571" s="7" t="inlineStr">
        <is>
          <t>Usure</t>
        </is>
      </c>
      <c r="N571" s="7" t="inlineStr">
        <is>
          <t>Remplacement injecteur et buse</t>
        </is>
      </c>
      <c r="O571" s="7" t="inlineStr">
        <is>
          <t>Lucas Fontaine</t>
        </is>
      </c>
      <c r="P571" s="65" t="n"/>
      <c r="Q571" s="75" t="n">
        <v>45905.46180555555</v>
      </c>
      <c r="R571" s="75" t="n">
        <v>45905.55555555555</v>
      </c>
      <c r="S571" s="76" t="n">
        <v>2.6</v>
      </c>
      <c r="T571" s="76" t="n">
        <v>2.25</v>
      </c>
      <c r="U571" s="70">
        <f>IF($A571="","",IFERROR(INDEX('Techniciens'!$F$5:$F$44,MATCH(O571,'Techniciens'!$B$5:$B$44,0)),'Paramètres'!$AA$10))</f>
        <v/>
      </c>
      <c r="V571" s="70">
        <f>IF($A571="","",IF(OR(AC571="Demandé",AC571="Planifié",AC571="Annulé"),0,N(T571)*N(U571)))</f>
        <v/>
      </c>
      <c r="W571" s="70">
        <f>IF($A571="","",SUMIFS('Mouvements stock'!$H$5:$H$3004,'Mouvements stock'!$I$5:$I$3004,$A571,'Mouvements stock'!$C$5:$C$3004,"Sortie")-SUMIFS('Mouvements stock'!$H$5:$H$3004,'Mouvements stock'!$I$5:$I$3004,$A571,'Mouvements stock'!$C$5:$C$3004,"Retour"))</f>
        <v/>
      </c>
      <c r="X571" s="66" t="n">
        <v>0</v>
      </c>
      <c r="Y571" s="66" t="n">
        <v>0</v>
      </c>
      <c r="Z571" s="7" t="n"/>
      <c r="AA571" s="70">
        <f>IF($A571="","",N(V571)+N(W571)+N(X571)+N(Y571))</f>
        <v/>
      </c>
      <c r="AB571" s="70">
        <f>IF($A571="","",N(S571)*'Paramètres'!$AA$9*IFERROR(INDEX('Paramètres'!$O$5:$O$7,MATCH(G571,'Paramètres'!$N$5:$N$7,0)),0))</f>
        <v/>
      </c>
      <c r="AC571" s="7" t="inlineStr">
        <is>
          <t>Clôturé</t>
        </is>
      </c>
      <c r="AD571" s="69">
        <f>IF(OR($A571="",Q571=""),"",(Q571-B571)*24)</f>
        <v/>
      </c>
      <c r="AE571" s="69">
        <f>IF(OR(Q571="",R571=""),"",(R571-Q571)*24)</f>
        <v/>
      </c>
      <c r="AF571" s="77">
        <f>IF(OR($A571="",B571=""),"",YEAR(B571))</f>
        <v/>
      </c>
      <c r="AG571" s="77">
        <f>IF(OR($A571="",B571=""),"",MONTH(B571))</f>
        <v/>
      </c>
    </row>
    <row r="572">
      <c r="A572" s="7" t="inlineStr">
        <is>
          <t>OT-2025-0568</t>
        </is>
      </c>
      <c r="B572" s="75" t="n">
        <v>45906.36388888889</v>
      </c>
      <c r="C572" s="7" t="inlineStr">
        <is>
          <t>Inès Girard (cheffe d'équipe)</t>
        </is>
      </c>
      <c r="D572" s="7" t="inlineStr">
        <is>
          <t>EQ-PEI-002</t>
        </is>
      </c>
      <c r="E572" s="9">
        <f>IF(D572="","",IFERROR(INDEX('Équipements'!$B$5:$B$304,MATCH(D572,'Équipements'!$A$5:$A$304,0)),"Code inconnu"))</f>
        <v/>
      </c>
      <c r="F572" s="9">
        <f>IF(D572="","",IFERROR(INDEX('Équipements'!$D$5:$D$304,MATCH(D572,'Équipements'!$A$5:$A$304,0)),""))</f>
        <v/>
      </c>
      <c r="G572" s="9">
        <f>IF(D572="","",IFERROR(INDEX('Équipements'!$K$5:$K$304,MATCH(D572,'Équipements'!$A$5:$A$304,0)),""))</f>
        <v/>
      </c>
      <c r="H572" s="7" t="inlineStr">
        <is>
          <t>Correctif</t>
        </is>
      </c>
      <c r="I572" s="7" t="n"/>
      <c r="J572" s="7" t="inlineStr">
        <is>
          <t>Mécanique</t>
        </is>
      </c>
      <c r="K572" s="7" t="inlineStr">
        <is>
          <t>P3 - Normale</t>
        </is>
      </c>
      <c r="L572" s="7" t="inlineStr">
        <is>
          <t>Pompe de bain en défaut</t>
        </is>
      </c>
      <c r="M572" s="7" t="inlineStr">
        <is>
          <t>Usure</t>
        </is>
      </c>
      <c r="N572" s="7" t="inlineStr">
        <is>
          <t>Remplacement pompe</t>
        </is>
      </c>
      <c r="O572" s="7" t="inlineStr">
        <is>
          <t>Karim Benali</t>
        </is>
      </c>
      <c r="P572" s="65" t="n"/>
      <c r="Q572" s="75" t="n">
        <v>45907.72013888889</v>
      </c>
      <c r="R572" s="75" t="n">
        <v>45908.06388888889</v>
      </c>
      <c r="S572" s="76" t="n">
        <v>0</v>
      </c>
      <c r="T572" s="76" t="n">
        <v>8.25</v>
      </c>
      <c r="U572" s="70">
        <f>IF($A572="","",IFERROR(INDEX('Techniciens'!$F$5:$F$44,MATCH(O572,'Techniciens'!$B$5:$B$44,0)),'Paramètres'!$AA$10))</f>
        <v/>
      </c>
      <c r="V572" s="70">
        <f>IF($A572="","",IF(OR(AC572="Demandé",AC572="Planifié",AC572="Annulé"),0,N(T572)*N(U572)))</f>
        <v/>
      </c>
      <c r="W572" s="70">
        <f>IF($A572="","",SUMIFS('Mouvements stock'!$H$5:$H$3004,'Mouvements stock'!$I$5:$I$3004,$A572,'Mouvements stock'!$C$5:$C$3004,"Sortie")-SUMIFS('Mouvements stock'!$H$5:$H$3004,'Mouvements stock'!$I$5:$I$3004,$A572,'Mouvements stock'!$C$5:$C$3004,"Retour"))</f>
        <v/>
      </c>
      <c r="X572" s="66" t="n">
        <v>0</v>
      </c>
      <c r="Y572" s="66" t="n">
        <v>0</v>
      </c>
      <c r="Z572" s="7" t="n"/>
      <c r="AA572" s="70">
        <f>IF($A572="","",N(V572)+N(W572)+N(X572)+N(Y572))</f>
        <v/>
      </c>
      <c r="AB572" s="70">
        <f>IF($A572="","",N(S572)*'Paramètres'!$AA$9*IFERROR(INDEX('Paramètres'!$O$5:$O$7,MATCH(G572,'Paramètres'!$N$5:$N$7,0)),0))</f>
        <v/>
      </c>
      <c r="AC572" s="7" t="inlineStr">
        <is>
          <t>Clôturé</t>
        </is>
      </c>
      <c r="AD572" s="69">
        <f>IF(OR($A572="",Q572=""),"",(Q572-B572)*24)</f>
        <v/>
      </c>
      <c r="AE572" s="69">
        <f>IF(OR(Q572="",R572=""),"",(R572-Q572)*24)</f>
        <v/>
      </c>
      <c r="AF572" s="77">
        <f>IF(OR($A572="",B572=""),"",YEAR(B572))</f>
        <v/>
      </c>
      <c r="AG572" s="77">
        <f>IF(OR($A572="",B572=""),"",MONTH(B572))</f>
        <v/>
      </c>
    </row>
    <row r="573">
      <c r="A573" s="7" t="inlineStr">
        <is>
          <t>OT-2025-0569</t>
        </is>
      </c>
      <c r="B573" s="75" t="n">
        <v>45906.6875</v>
      </c>
      <c r="C573" s="7" t="inlineStr">
        <is>
          <t>Opérateur peinture</t>
        </is>
      </c>
      <c r="D573" s="7" t="inlineStr">
        <is>
          <t>EQ-PEI-001</t>
        </is>
      </c>
      <c r="E573" s="9">
        <f>IF(D573="","",IFERROR(INDEX('Équipements'!$B$5:$B$304,MATCH(D573,'Équipements'!$A$5:$A$304,0)),"Code inconnu"))</f>
        <v/>
      </c>
      <c r="F573" s="9">
        <f>IF(D573="","",IFERROR(INDEX('Équipements'!$D$5:$D$304,MATCH(D573,'Équipements'!$A$5:$A$304,0)),""))</f>
        <v/>
      </c>
      <c r="G573" s="9">
        <f>IF(D573="","",IFERROR(INDEX('Équipements'!$K$5:$K$304,MATCH(D573,'Équipements'!$A$5:$A$304,0)),""))</f>
        <v/>
      </c>
      <c r="H573" s="7" t="inlineStr">
        <is>
          <t>Correctif</t>
        </is>
      </c>
      <c r="I573" s="7" t="n"/>
      <c r="J573" s="7" t="inlineStr">
        <is>
          <t>Électrique</t>
        </is>
      </c>
      <c r="K573" s="7" t="inlineStr">
        <is>
          <t>P2 - Haute</t>
        </is>
      </c>
      <c r="L573" s="7" t="inlineStr">
        <is>
          <t>Température de bain hors tolérance</t>
        </is>
      </c>
      <c r="M573" s="7" t="inlineStr">
        <is>
          <t>Défaut capteur</t>
        </is>
      </c>
      <c r="N573" s="7" t="inlineStr">
        <is>
          <t>Remplacement sonde PT100</t>
        </is>
      </c>
      <c r="O573" s="7" t="inlineStr">
        <is>
          <t>Thomas Petit</t>
        </is>
      </c>
      <c r="P573" s="65" t="n"/>
      <c r="Q573" s="75" t="n">
        <v>45906.76180555556</v>
      </c>
      <c r="R573" s="75" t="n">
        <v>45907.13680555556</v>
      </c>
      <c r="S573" s="76" t="n">
        <v>10.8</v>
      </c>
      <c r="T573" s="76" t="n">
        <v>9</v>
      </c>
      <c r="U573" s="70">
        <f>IF($A573="","",IFERROR(INDEX('Techniciens'!$F$5:$F$44,MATCH(O573,'Techniciens'!$B$5:$B$44,0)),'Paramètres'!$AA$10))</f>
        <v/>
      </c>
      <c r="V573" s="70">
        <f>IF($A573="","",IF(OR(AC573="Demandé",AC573="Planifié",AC573="Annulé"),0,N(T573)*N(U573)))</f>
        <v/>
      </c>
      <c r="W573" s="70">
        <f>IF($A573="","",SUMIFS('Mouvements stock'!$H$5:$H$3004,'Mouvements stock'!$I$5:$I$3004,$A573,'Mouvements stock'!$C$5:$C$3004,"Sortie")-SUMIFS('Mouvements stock'!$H$5:$H$3004,'Mouvements stock'!$I$5:$I$3004,$A573,'Mouvements stock'!$C$5:$C$3004,"Retour"))</f>
        <v/>
      </c>
      <c r="X573" s="66" t="n">
        <v>0</v>
      </c>
      <c r="Y573" s="66" t="n">
        <v>0</v>
      </c>
      <c r="Z573" s="7" t="n"/>
      <c r="AA573" s="70">
        <f>IF($A573="","",N(V573)+N(W573)+N(X573)+N(Y573))</f>
        <v/>
      </c>
      <c r="AB573" s="70">
        <f>IF($A573="","",N(S573)*'Paramètres'!$AA$9*IFERROR(INDEX('Paramètres'!$O$5:$O$7,MATCH(G573,'Paramètres'!$N$5:$N$7,0)),0))</f>
        <v/>
      </c>
      <c r="AC573" s="7" t="inlineStr">
        <is>
          <t>Clôturé</t>
        </is>
      </c>
      <c r="AD573" s="69">
        <f>IF(OR($A573="",Q573=""),"",(Q573-B573)*24)</f>
        <v/>
      </c>
      <c r="AE573" s="69">
        <f>IF(OR(Q573="",R573=""),"",(R573-Q573)*24)</f>
        <v/>
      </c>
      <c r="AF573" s="77">
        <f>IF(OR($A573="",B573=""),"",YEAR(B573))</f>
        <v/>
      </c>
      <c r="AG573" s="77">
        <f>IF(OR($A573="",B573=""),"",MONTH(B573))</f>
        <v/>
      </c>
    </row>
    <row r="574">
      <c r="A574" s="7" t="inlineStr">
        <is>
          <t>OT-2025-0570</t>
        </is>
      </c>
      <c r="B574" s="75" t="n">
        <v>45908.42708333334</v>
      </c>
      <c r="C574" s="7" t="inlineStr">
        <is>
          <t>Plan préventif</t>
        </is>
      </c>
      <c r="D574" s="7" t="inlineStr">
        <is>
          <t>EQ-ASS-002</t>
        </is>
      </c>
      <c r="E574" s="9">
        <f>IF(D574="","",IFERROR(INDEX('Équipements'!$B$5:$B$304,MATCH(D574,'Équipements'!$A$5:$A$304,0)),"Code inconnu"))</f>
        <v/>
      </c>
      <c r="F574" s="9">
        <f>IF(D574="","",IFERROR(INDEX('Équipements'!$D$5:$D$304,MATCH(D574,'Équipements'!$A$5:$A$304,0)),""))</f>
        <v/>
      </c>
      <c r="G574" s="9">
        <f>IF(D574="","",IFERROR(INDEX('Équipements'!$K$5:$K$304,MATCH(D574,'Équipements'!$A$5:$A$304,0)),""))</f>
        <v/>
      </c>
      <c r="H574" s="7" t="inlineStr">
        <is>
          <t>Préventif systématique</t>
        </is>
      </c>
      <c r="I574" s="7" t="inlineStr">
        <is>
          <t>GP-080</t>
        </is>
      </c>
      <c r="J574" s="7" t="inlineStr">
        <is>
          <t>Électrique</t>
        </is>
      </c>
      <c r="K574" s="7" t="inlineStr">
        <is>
          <t>P3 - Normale</t>
        </is>
      </c>
      <c r="L574" s="7" t="inlineStr">
        <is>
          <t>Contrôle des sécurités (barrages, AU, pédale)</t>
        </is>
      </c>
      <c r="M574" s="7" t="n"/>
      <c r="N574" s="7" t="inlineStr">
        <is>
          <t>Gamme réalisée - RAS</t>
        </is>
      </c>
      <c r="O574" s="7" t="inlineStr">
        <is>
          <t>Thomas Petit</t>
        </is>
      </c>
      <c r="P574" s="65" t="n">
        <v>45915.63541666666</v>
      </c>
      <c r="Q574" s="75" t="n">
        <v>45915.42361111111</v>
      </c>
      <c r="R574" s="75" t="n">
        <v>45915.48611111111</v>
      </c>
      <c r="S574" s="76" t="n">
        <v>1.5</v>
      </c>
      <c r="T574" s="76" t="n">
        <v>1.5</v>
      </c>
      <c r="U574" s="70">
        <f>IF($A574="","",IFERROR(INDEX('Techniciens'!$F$5:$F$44,MATCH(O574,'Techniciens'!$B$5:$B$44,0)),'Paramètres'!$AA$10))</f>
        <v/>
      </c>
      <c r="V574" s="70">
        <f>IF($A574="","",IF(OR(AC574="Demandé",AC574="Planifié",AC574="Annulé"),0,N(T574)*N(U574)))</f>
        <v/>
      </c>
      <c r="W574" s="70">
        <f>IF($A574="","",SUMIFS('Mouvements stock'!$H$5:$H$3004,'Mouvements stock'!$I$5:$I$3004,$A574,'Mouvements stock'!$C$5:$C$3004,"Sortie")-SUMIFS('Mouvements stock'!$H$5:$H$3004,'Mouvements stock'!$I$5:$I$3004,$A574,'Mouvements stock'!$C$5:$C$3004,"Retour"))</f>
        <v/>
      </c>
      <c r="X574" s="66" t="n">
        <v>0</v>
      </c>
      <c r="Y574" s="66" t="n">
        <v>0</v>
      </c>
      <c r="Z574" s="7" t="n"/>
      <c r="AA574" s="70">
        <f>IF($A574="","",N(V574)+N(W574)+N(X574)+N(Y574))</f>
        <v/>
      </c>
      <c r="AB574" s="70">
        <f>IF($A574="","",N(S574)*'Paramètres'!$AA$9*IFERROR(INDEX('Paramètres'!$O$5:$O$7,MATCH(G574,'Paramètres'!$N$5:$N$7,0)),0))</f>
        <v/>
      </c>
      <c r="AC574" s="7" t="inlineStr">
        <is>
          <t>Clôturé</t>
        </is>
      </c>
      <c r="AD574" s="69">
        <f>IF(OR($A574="",Q574=""),"",(Q574-B574)*24)</f>
        <v/>
      </c>
      <c r="AE574" s="69">
        <f>IF(OR(Q574="",R574=""),"",(R574-Q574)*24)</f>
        <v/>
      </c>
      <c r="AF574" s="77">
        <f>IF(OR($A574="",B574=""),"",YEAR(B574))</f>
        <v/>
      </c>
      <c r="AG574" s="77">
        <f>IF(OR($A574="",B574=""),"",MONTH(B574))</f>
        <v/>
      </c>
    </row>
    <row r="575">
      <c r="A575" s="7" t="inlineStr">
        <is>
          <t>OT-2025-0571</t>
        </is>
      </c>
      <c r="B575" s="75" t="n">
        <v>45908.66666666666</v>
      </c>
      <c r="C575" s="7" t="inlineStr">
        <is>
          <t>Marc Lefèvre</t>
        </is>
      </c>
      <c r="D575" s="7" t="inlineStr">
        <is>
          <t>EQ-USI-006</t>
        </is>
      </c>
      <c r="E575" s="9">
        <f>IF(D575="","",IFERROR(INDEX('Équipements'!$B$5:$B$304,MATCH(D575,'Équipements'!$A$5:$A$304,0)),"Code inconnu"))</f>
        <v/>
      </c>
      <c r="F575" s="9">
        <f>IF(D575="","",IFERROR(INDEX('Équipements'!$D$5:$D$304,MATCH(D575,'Équipements'!$A$5:$A$304,0)),""))</f>
        <v/>
      </c>
      <c r="G575" s="9">
        <f>IF(D575="","",IFERROR(INDEX('Équipements'!$K$5:$K$304,MATCH(D575,'Équipements'!$A$5:$A$304,0)),""))</f>
        <v/>
      </c>
      <c r="H575" s="7" t="inlineStr">
        <is>
          <t>Amélioratif</t>
        </is>
      </c>
      <c r="I575" s="7" t="n"/>
      <c r="J575" s="7" t="inlineStr">
        <is>
          <t>Électrique</t>
        </is>
      </c>
      <c r="K575" s="7" t="inlineStr">
        <is>
          <t>P4 - Basse</t>
        </is>
      </c>
      <c r="L575" s="7" t="inlineStr">
        <is>
          <t>Rétrofit armoire électrique (relayage obsolète)</t>
        </is>
      </c>
      <c r="M575" s="7" t="n"/>
      <c r="N575" s="7" t="inlineStr">
        <is>
          <t>Réalisé conformément au devis / dossier technique</t>
        </is>
      </c>
      <c r="O575" s="7" t="inlineStr">
        <is>
          <t>Julien Moreau</t>
        </is>
      </c>
      <c r="P575" s="65" t="n">
        <v>45936</v>
      </c>
      <c r="Q575" s="75" t="n">
        <v>45936.32638888889</v>
      </c>
      <c r="R575" s="75" t="n">
        <v>45938.19305555556</v>
      </c>
      <c r="S575" s="76" t="n">
        <v>0</v>
      </c>
      <c r="T575" s="76" t="n">
        <v>32</v>
      </c>
      <c r="U575" s="70">
        <f>IF($A575="","",IFERROR(INDEX('Techniciens'!$F$5:$F$44,MATCH(O575,'Techniciens'!$B$5:$B$44,0)),'Paramètres'!$AA$10))</f>
        <v/>
      </c>
      <c r="V575" s="70">
        <f>IF($A575="","",IF(OR(AC575="Demandé",AC575="Planifié",AC575="Annulé"),0,N(T575)*N(U575)))</f>
        <v/>
      </c>
      <c r="W575" s="70">
        <f>IF($A575="","",SUMIFS('Mouvements stock'!$H$5:$H$3004,'Mouvements stock'!$I$5:$I$3004,$A575,'Mouvements stock'!$C$5:$C$3004,"Sortie")-SUMIFS('Mouvements stock'!$H$5:$H$3004,'Mouvements stock'!$I$5:$I$3004,$A575,'Mouvements stock'!$C$5:$C$3004,"Retour"))</f>
        <v/>
      </c>
      <c r="X575" s="66" t="n">
        <v>3800</v>
      </c>
      <c r="Y575" s="66" t="n">
        <v>2400</v>
      </c>
      <c r="Z575" s="7" t="inlineStr">
        <is>
          <t>SAV Machines-Outils Atlantique</t>
        </is>
      </c>
      <c r="AA575" s="70">
        <f>IF($A575="","",N(V575)+N(W575)+N(X575)+N(Y575))</f>
        <v/>
      </c>
      <c r="AB575" s="70">
        <f>IF($A575="","",N(S575)*'Paramètres'!$AA$9*IFERROR(INDEX('Paramètres'!$O$5:$O$7,MATCH(G575,'Paramètres'!$N$5:$N$7,0)),0))</f>
        <v/>
      </c>
      <c r="AC575" s="7" t="inlineStr">
        <is>
          <t>Clôturé</t>
        </is>
      </c>
      <c r="AD575" s="69">
        <f>IF(OR($A575="",Q575=""),"",(Q575-B575)*24)</f>
        <v/>
      </c>
      <c r="AE575" s="69">
        <f>IF(OR(Q575="",R575=""),"",(R575-Q575)*24)</f>
        <v/>
      </c>
      <c r="AF575" s="77">
        <f>IF(OR($A575="",B575=""),"",YEAR(B575))</f>
        <v/>
      </c>
      <c r="AG575" s="77">
        <f>IF(OR($A575="",B575=""),"",MONTH(B575))</f>
        <v/>
      </c>
    </row>
    <row r="576">
      <c r="A576" s="7" t="inlineStr">
        <is>
          <t>OT-2025-0572</t>
        </is>
      </c>
      <c r="B576" s="75" t="n">
        <v>45908.71319444444</v>
      </c>
      <c r="C576" s="7" t="inlineStr">
        <is>
          <t>Inès Girard (cheffe d'équipe)</t>
        </is>
      </c>
      <c r="D576" s="7" t="inlineStr">
        <is>
          <t>EQ-PEI-004</t>
        </is>
      </c>
      <c r="E576" s="9">
        <f>IF(D576="","",IFERROR(INDEX('Équipements'!$B$5:$B$304,MATCH(D576,'Équipements'!$A$5:$A$304,0)),"Code inconnu"))</f>
        <v/>
      </c>
      <c r="F576" s="9">
        <f>IF(D576="","",IFERROR(INDEX('Équipements'!$D$5:$D$304,MATCH(D576,'Équipements'!$A$5:$A$304,0)),""))</f>
        <v/>
      </c>
      <c r="G576" s="9">
        <f>IF(D576="","",IFERROR(INDEX('Équipements'!$K$5:$K$304,MATCH(D576,'Équipements'!$A$5:$A$304,0)),""))</f>
        <v/>
      </c>
      <c r="H576" s="7" t="inlineStr">
        <is>
          <t>Correctif</t>
        </is>
      </c>
      <c r="I576" s="7" t="n"/>
      <c r="J576" s="7" t="inlineStr">
        <is>
          <t>Électrique</t>
        </is>
      </c>
      <c r="K576" s="7" t="inlineStr">
        <is>
          <t>P2 - Haute</t>
        </is>
      </c>
      <c r="L576" s="7" t="inlineStr">
        <is>
          <t>Moteur d'entraînement en défaut thermique</t>
        </is>
      </c>
      <c r="M576" s="7" t="inlineStr">
        <is>
          <t>Défaut électrique</t>
        </is>
      </c>
      <c r="N576" s="7" t="inlineStr">
        <is>
          <t>Remplacement motoréducteur / disjoncteur moteur</t>
        </is>
      </c>
      <c r="O576" s="7" t="inlineStr">
        <is>
          <t>Julien Moreau</t>
        </is>
      </c>
      <c r="P576" s="65" t="n"/>
      <c r="Q576" s="75" t="n">
        <v>45908.84930555556</v>
      </c>
      <c r="R576" s="75" t="n">
        <v>45908.95347222222</v>
      </c>
      <c r="S576" s="76" t="n">
        <v>5.8</v>
      </c>
      <c r="T576" s="76" t="n">
        <v>2.5</v>
      </c>
      <c r="U576" s="70">
        <f>IF($A576="","",IFERROR(INDEX('Techniciens'!$F$5:$F$44,MATCH(O576,'Techniciens'!$B$5:$B$44,0)),'Paramètres'!$AA$10))</f>
        <v/>
      </c>
      <c r="V576" s="70">
        <f>IF($A576="","",IF(OR(AC576="Demandé",AC576="Planifié",AC576="Annulé"),0,N(T576)*N(U576)))</f>
        <v/>
      </c>
      <c r="W576" s="70">
        <f>IF($A576="","",SUMIFS('Mouvements stock'!$H$5:$H$3004,'Mouvements stock'!$I$5:$I$3004,$A576,'Mouvements stock'!$C$5:$C$3004,"Sortie")-SUMIFS('Mouvements stock'!$H$5:$H$3004,'Mouvements stock'!$I$5:$I$3004,$A576,'Mouvements stock'!$C$5:$C$3004,"Retour"))</f>
        <v/>
      </c>
      <c r="X576" s="66" t="n">
        <v>125</v>
      </c>
      <c r="Y576" s="66" t="n">
        <v>0</v>
      </c>
      <c r="Z576" s="7" t="n"/>
      <c r="AA576" s="70">
        <f>IF($A576="","",N(V576)+N(W576)+N(X576)+N(Y576))</f>
        <v/>
      </c>
      <c r="AB576" s="70">
        <f>IF($A576="","",N(S576)*'Paramètres'!$AA$9*IFERROR(INDEX('Paramètres'!$O$5:$O$7,MATCH(G576,'Paramètres'!$N$5:$N$7,0)),0))</f>
        <v/>
      </c>
      <c r="AC576" s="7" t="inlineStr">
        <is>
          <t>Clôturé</t>
        </is>
      </c>
      <c r="AD576" s="69">
        <f>IF(OR($A576="",Q576=""),"",(Q576-B576)*24)</f>
        <v/>
      </c>
      <c r="AE576" s="69">
        <f>IF(OR(Q576="",R576=""),"",(R576-Q576)*24)</f>
        <v/>
      </c>
      <c r="AF576" s="77">
        <f>IF(OR($A576="",B576=""),"",YEAR(B576))</f>
        <v/>
      </c>
      <c r="AG576" s="77">
        <f>IF(OR($A576="",B576=""),"",MONTH(B576))</f>
        <v/>
      </c>
    </row>
    <row r="577">
      <c r="A577" s="7" t="inlineStr">
        <is>
          <t>OT-2025-0573</t>
        </is>
      </c>
      <c r="B577" s="75" t="n">
        <v>45910.36111111111</v>
      </c>
      <c r="C577" s="7" t="inlineStr">
        <is>
          <t>Plan préventif</t>
        </is>
      </c>
      <c r="D577" s="7" t="inlineStr">
        <is>
          <t>EQ-USI-002</t>
        </is>
      </c>
      <c r="E577" s="9">
        <f>IF(D577="","",IFERROR(INDEX('Équipements'!$B$5:$B$304,MATCH(D577,'Équipements'!$A$5:$A$304,0)),"Code inconnu"))</f>
        <v/>
      </c>
      <c r="F577" s="9">
        <f>IF(D577="","",IFERROR(INDEX('Équipements'!$D$5:$D$304,MATCH(D577,'Équipements'!$A$5:$A$304,0)),""))</f>
        <v/>
      </c>
      <c r="G577" s="9">
        <f>IF(D577="","",IFERROR(INDEX('Équipements'!$K$5:$K$304,MATCH(D577,'Équipements'!$A$5:$A$304,0)),""))</f>
        <v/>
      </c>
      <c r="H577" s="7" t="inlineStr">
        <is>
          <t>Préventif systématique</t>
        </is>
      </c>
      <c r="I577" s="7" t="inlineStr">
        <is>
          <t>GP-006</t>
        </is>
      </c>
      <c r="J577" s="7" t="inlineStr">
        <is>
          <t>Mécanique</t>
        </is>
      </c>
      <c r="K577" s="7" t="inlineStr">
        <is>
          <t>P3 - Normale</t>
        </is>
      </c>
      <c r="L577" s="7" t="inlineStr">
        <is>
          <t>Contrôle géométrie, jeux et graissage des axes</t>
        </is>
      </c>
      <c r="M577" s="7" t="n"/>
      <c r="N577" s="7" t="inlineStr">
        <is>
          <t>Gamme réalisée - RAS</t>
        </is>
      </c>
      <c r="O577" s="7" t="inlineStr">
        <is>
          <t>Karim Benali</t>
        </is>
      </c>
      <c r="P577" s="65" t="n">
        <v>45917.78472222222</v>
      </c>
      <c r="Q577" s="75" t="n">
        <v>45917.45138888889</v>
      </c>
      <c r="R577" s="75" t="n">
        <v>45917.71180555555</v>
      </c>
      <c r="S577" s="76" t="n">
        <v>6.2</v>
      </c>
      <c r="T577" s="76" t="n">
        <v>6.25</v>
      </c>
      <c r="U577" s="70">
        <f>IF($A577="","",IFERROR(INDEX('Techniciens'!$F$5:$F$44,MATCH(O577,'Techniciens'!$B$5:$B$44,0)),'Paramètres'!$AA$10))</f>
        <v/>
      </c>
      <c r="V577" s="70">
        <f>IF($A577="","",IF(OR(AC577="Demandé",AC577="Planifié",AC577="Annulé"),0,N(T577)*N(U577)))</f>
        <v/>
      </c>
      <c r="W577" s="70">
        <f>IF($A577="","",SUMIFS('Mouvements stock'!$H$5:$H$3004,'Mouvements stock'!$I$5:$I$3004,$A577,'Mouvements stock'!$C$5:$C$3004,"Sortie")-SUMIFS('Mouvements stock'!$H$5:$H$3004,'Mouvements stock'!$I$5:$I$3004,$A577,'Mouvements stock'!$C$5:$C$3004,"Retour"))</f>
        <v/>
      </c>
      <c r="X577" s="66" t="n">
        <v>0</v>
      </c>
      <c r="Y577" s="66" t="n">
        <v>0</v>
      </c>
      <c r="Z577" s="7" t="n"/>
      <c r="AA577" s="70">
        <f>IF($A577="","",N(V577)+N(W577)+N(X577)+N(Y577))</f>
        <v/>
      </c>
      <c r="AB577" s="70">
        <f>IF($A577="","",N(S577)*'Paramètres'!$AA$9*IFERROR(INDEX('Paramètres'!$O$5:$O$7,MATCH(G577,'Paramètres'!$N$5:$N$7,0)),0))</f>
        <v/>
      </c>
      <c r="AC577" s="7" t="inlineStr">
        <is>
          <t>Clôturé</t>
        </is>
      </c>
      <c r="AD577" s="69">
        <f>IF(OR($A577="",Q577=""),"",(Q577-B577)*24)</f>
        <v/>
      </c>
      <c r="AE577" s="69">
        <f>IF(OR(Q577="",R577=""),"",(R577-Q577)*24)</f>
        <v/>
      </c>
      <c r="AF577" s="77">
        <f>IF(OR($A577="",B577=""),"",YEAR(B577))</f>
        <v/>
      </c>
      <c r="AG577" s="77">
        <f>IF(OR($A577="",B577=""),"",MONTH(B577))</f>
        <v/>
      </c>
    </row>
    <row r="578">
      <c r="A578" s="7" t="inlineStr">
        <is>
          <t>OT-2025-0574</t>
        </is>
      </c>
      <c r="B578" s="75" t="n">
        <v>45910.47222222222</v>
      </c>
      <c r="C578" s="7" t="inlineStr">
        <is>
          <t>Plan préventif</t>
        </is>
      </c>
      <c r="D578" s="7" t="inlineStr">
        <is>
          <t>EQ-PEI-002</t>
        </is>
      </c>
      <c r="E578" s="9">
        <f>IF(D578="","",IFERROR(INDEX('Équipements'!$B$5:$B$304,MATCH(D578,'Équipements'!$A$5:$A$304,0)),"Code inconnu"))</f>
        <v/>
      </c>
      <c r="F578" s="9">
        <f>IF(D578="","",IFERROR(INDEX('Équipements'!$D$5:$D$304,MATCH(D578,'Équipements'!$A$5:$A$304,0)),""))</f>
        <v/>
      </c>
      <c r="G578" s="9">
        <f>IF(D578="","",IFERROR(INDEX('Équipements'!$K$5:$K$304,MATCH(D578,'Équipements'!$A$5:$A$304,0)),""))</f>
        <v/>
      </c>
      <c r="H578" s="7" t="inlineStr">
        <is>
          <t>Préventif systématique</t>
        </is>
      </c>
      <c r="I578" s="7" t="inlineStr">
        <is>
          <t>GP-068</t>
        </is>
      </c>
      <c r="J578" s="7" t="inlineStr">
        <is>
          <t>Mécanique</t>
        </is>
      </c>
      <c r="K578" s="7" t="inlineStr">
        <is>
          <t>P3 - Normale</t>
        </is>
      </c>
      <c r="L578" s="7" t="inlineStr">
        <is>
          <t>Nettoyage et remplacement des filtres</t>
        </is>
      </c>
      <c r="M578" s="7" t="n"/>
      <c r="N578" s="7" t="inlineStr">
        <is>
          <t>Gamme réalisée - RAS</t>
        </is>
      </c>
      <c r="O578" s="7" t="inlineStr">
        <is>
          <t>Karim Benali</t>
        </is>
      </c>
      <c r="P578" s="65" t="n">
        <v>45917.47569444445</v>
      </c>
      <c r="Q578" s="75" t="n">
        <v>45917.28472222222</v>
      </c>
      <c r="R578" s="75" t="n">
        <v>45917.39930555555</v>
      </c>
      <c r="S578" s="76" t="n">
        <v>0</v>
      </c>
      <c r="T578" s="76" t="n">
        <v>2.75</v>
      </c>
      <c r="U578" s="70">
        <f>IF($A578="","",IFERROR(INDEX('Techniciens'!$F$5:$F$44,MATCH(O578,'Techniciens'!$B$5:$B$44,0)),'Paramètres'!$AA$10))</f>
        <v/>
      </c>
      <c r="V578" s="70">
        <f>IF($A578="","",IF(OR(AC578="Demandé",AC578="Planifié",AC578="Annulé"),0,N(T578)*N(U578)))</f>
        <v/>
      </c>
      <c r="W578" s="70">
        <f>IF($A578="","",SUMIFS('Mouvements stock'!$H$5:$H$3004,'Mouvements stock'!$I$5:$I$3004,$A578,'Mouvements stock'!$C$5:$C$3004,"Sortie")-SUMIFS('Mouvements stock'!$H$5:$H$3004,'Mouvements stock'!$I$5:$I$3004,$A578,'Mouvements stock'!$C$5:$C$3004,"Retour"))</f>
        <v/>
      </c>
      <c r="X578" s="66" t="n">
        <v>0</v>
      </c>
      <c r="Y578" s="66" t="n">
        <v>0</v>
      </c>
      <c r="Z578" s="7" t="n"/>
      <c r="AA578" s="70">
        <f>IF($A578="","",N(V578)+N(W578)+N(X578)+N(Y578))</f>
        <v/>
      </c>
      <c r="AB578" s="70">
        <f>IF($A578="","",N(S578)*'Paramètres'!$AA$9*IFERROR(INDEX('Paramètres'!$O$5:$O$7,MATCH(G578,'Paramètres'!$N$5:$N$7,0)),0))</f>
        <v/>
      </c>
      <c r="AC578" s="7" t="inlineStr">
        <is>
          <t>Clôturé</t>
        </is>
      </c>
      <c r="AD578" s="69">
        <f>IF(OR($A578="",Q578=""),"",(Q578-B578)*24)</f>
        <v/>
      </c>
      <c r="AE578" s="69">
        <f>IF(OR(Q578="",R578=""),"",(R578-Q578)*24)</f>
        <v/>
      </c>
      <c r="AF578" s="77">
        <f>IF(OR($A578="",B578=""),"",YEAR(B578))</f>
        <v/>
      </c>
      <c r="AG578" s="77">
        <f>IF(OR($A578="",B578=""),"",MONTH(B578))</f>
        <v/>
      </c>
    </row>
    <row r="579">
      <c r="A579" s="7" t="inlineStr">
        <is>
          <t>OT-2025-0575</t>
        </is>
      </c>
      <c r="B579" s="75" t="n">
        <v>45915.34375</v>
      </c>
      <c r="C579" s="7" t="inlineStr">
        <is>
          <t>Plan préventif</t>
        </is>
      </c>
      <c r="D579" s="7" t="inlineStr">
        <is>
          <t>EQ-USI-004</t>
        </is>
      </c>
      <c r="E579" s="9">
        <f>IF(D579="","",IFERROR(INDEX('Équipements'!$B$5:$B$304,MATCH(D579,'Équipements'!$A$5:$A$304,0)),"Code inconnu"))</f>
        <v/>
      </c>
      <c r="F579" s="9">
        <f>IF(D579="","",IFERROR(INDEX('Équipements'!$D$5:$D$304,MATCH(D579,'Équipements'!$A$5:$A$304,0)),""))</f>
        <v/>
      </c>
      <c r="G579" s="9">
        <f>IF(D579="","",IFERROR(INDEX('Équipements'!$K$5:$K$304,MATCH(D579,'Équipements'!$A$5:$A$304,0)),""))</f>
        <v/>
      </c>
      <c r="H579" s="7" t="inlineStr">
        <is>
          <t>Préventif systématique</t>
        </is>
      </c>
      <c r="I579" s="7" t="inlineStr">
        <is>
          <t>GP-013</t>
        </is>
      </c>
      <c r="J579" s="7" t="inlineStr">
        <is>
          <t>Mécanique</t>
        </is>
      </c>
      <c r="K579" s="7" t="inlineStr">
        <is>
          <t>P3 - Normale</t>
        </is>
      </c>
      <c r="L579" s="7" t="inlineStr">
        <is>
          <t>Contrôle niveaux, nettoyage filtres et bac à copeaux</t>
        </is>
      </c>
      <c r="M579" s="7" t="n"/>
      <c r="N579" s="7" t="inlineStr">
        <is>
          <t>Gamme réalisée - RAS</t>
        </is>
      </c>
      <c r="O579" s="7" t="inlineStr">
        <is>
          <t>Lucas Fontaine</t>
        </is>
      </c>
      <c r="P579" s="65" t="n">
        <v>45922.44097222222</v>
      </c>
      <c r="Q579" s="75" t="n">
        <v>45922.61111111111</v>
      </c>
      <c r="R579" s="75" t="n">
        <v>45922.66319444445</v>
      </c>
      <c r="S579" s="76" t="n">
        <v>1.2</v>
      </c>
      <c r="T579" s="76" t="n">
        <v>1.25</v>
      </c>
      <c r="U579" s="70">
        <f>IF($A579="","",IFERROR(INDEX('Techniciens'!$F$5:$F$44,MATCH(O579,'Techniciens'!$B$5:$B$44,0)),'Paramètres'!$AA$10))</f>
        <v/>
      </c>
      <c r="V579" s="70">
        <f>IF($A579="","",IF(OR(AC579="Demandé",AC579="Planifié",AC579="Annulé"),0,N(T579)*N(U579)))</f>
        <v/>
      </c>
      <c r="W579" s="70">
        <f>IF($A579="","",SUMIFS('Mouvements stock'!$H$5:$H$3004,'Mouvements stock'!$I$5:$I$3004,$A579,'Mouvements stock'!$C$5:$C$3004,"Sortie")-SUMIFS('Mouvements stock'!$H$5:$H$3004,'Mouvements stock'!$I$5:$I$3004,$A579,'Mouvements stock'!$C$5:$C$3004,"Retour"))</f>
        <v/>
      </c>
      <c r="X579" s="66" t="n">
        <v>0</v>
      </c>
      <c r="Y579" s="66" t="n">
        <v>0</v>
      </c>
      <c r="Z579" s="7" t="n"/>
      <c r="AA579" s="70">
        <f>IF($A579="","",N(V579)+N(W579)+N(X579)+N(Y579))</f>
        <v/>
      </c>
      <c r="AB579" s="70">
        <f>IF($A579="","",N(S579)*'Paramètres'!$AA$9*IFERROR(INDEX('Paramètres'!$O$5:$O$7,MATCH(G579,'Paramètres'!$N$5:$N$7,0)),0))</f>
        <v/>
      </c>
      <c r="AC579" s="7" t="inlineStr">
        <is>
          <t>Clôturé</t>
        </is>
      </c>
      <c r="AD579" s="69">
        <f>IF(OR($A579="",Q579=""),"",(Q579-B579)*24)</f>
        <v/>
      </c>
      <c r="AE579" s="69">
        <f>IF(OR(Q579="",R579=""),"",(R579-Q579)*24)</f>
        <v/>
      </c>
      <c r="AF579" s="77">
        <f>IF(OR($A579="",B579=""),"",YEAR(B579))</f>
        <v/>
      </c>
      <c r="AG579" s="77">
        <f>IF(OR($A579="",B579=""),"",MONTH(B579))</f>
        <v/>
      </c>
    </row>
    <row r="580">
      <c r="A580" s="7" t="inlineStr">
        <is>
          <t>OT-2025-0576</t>
        </is>
      </c>
      <c r="B580" s="75" t="n">
        <v>45915.34722222222</v>
      </c>
      <c r="C580" s="7" t="inlineStr">
        <is>
          <t>Plan préventif</t>
        </is>
      </c>
      <c r="D580" s="7" t="inlineStr">
        <is>
          <t>EQ-TOL-004</t>
        </is>
      </c>
      <c r="E580" s="9">
        <f>IF(D580="","",IFERROR(INDEX('Équipements'!$B$5:$B$304,MATCH(D580,'Équipements'!$A$5:$A$304,0)),"Code inconnu"))</f>
        <v/>
      </c>
      <c r="F580" s="9">
        <f>IF(D580="","",IFERROR(INDEX('Équipements'!$D$5:$D$304,MATCH(D580,'Équipements'!$A$5:$A$304,0)),""))</f>
        <v/>
      </c>
      <c r="G580" s="9">
        <f>IF(D580="","",IFERROR(INDEX('Équipements'!$K$5:$K$304,MATCH(D580,'Équipements'!$A$5:$A$304,0)),""))</f>
        <v/>
      </c>
      <c r="H580" s="7" t="inlineStr">
        <is>
          <t>Préventif systématique</t>
        </is>
      </c>
      <c r="I580" s="7" t="inlineStr">
        <is>
          <t>GP-049</t>
        </is>
      </c>
      <c r="J580" s="7" t="inlineStr">
        <is>
          <t>Électrique</t>
        </is>
      </c>
      <c r="K580" s="7" t="inlineStr">
        <is>
          <t>P3 - Normale</t>
        </is>
      </c>
      <c r="L580" s="7" t="inlineStr">
        <is>
          <t>Contrôle des sécurités (barrages, AU, pédale)</t>
        </is>
      </c>
      <c r="M580" s="7" t="n"/>
      <c r="N580" s="7" t="inlineStr">
        <is>
          <t>Gamme réalisée - RAS</t>
        </is>
      </c>
      <c r="O580" s="7" t="inlineStr">
        <is>
          <t>Antoine Mercier</t>
        </is>
      </c>
      <c r="P580" s="65" t="n">
        <v>45922.54513888889</v>
      </c>
      <c r="Q580" s="75" t="n">
        <v>45922.50694444445</v>
      </c>
      <c r="R580" s="75" t="n">
        <v>45922.56944444445</v>
      </c>
      <c r="S580" s="76" t="n">
        <v>0</v>
      </c>
      <c r="T580" s="76" t="n">
        <v>1.5</v>
      </c>
      <c r="U580" s="70">
        <f>IF($A580="","",IFERROR(INDEX('Techniciens'!$F$5:$F$44,MATCH(O580,'Techniciens'!$B$5:$B$44,0)),'Paramètres'!$AA$10))</f>
        <v/>
      </c>
      <c r="V580" s="70">
        <f>IF($A580="","",IF(OR(AC580="Demandé",AC580="Planifié",AC580="Annulé"),0,N(T580)*N(U580)))</f>
        <v/>
      </c>
      <c r="W580" s="70">
        <f>IF($A580="","",SUMIFS('Mouvements stock'!$H$5:$H$3004,'Mouvements stock'!$I$5:$I$3004,$A580,'Mouvements stock'!$C$5:$C$3004,"Sortie")-SUMIFS('Mouvements stock'!$H$5:$H$3004,'Mouvements stock'!$I$5:$I$3004,$A580,'Mouvements stock'!$C$5:$C$3004,"Retour"))</f>
        <v/>
      </c>
      <c r="X580" s="66" t="n">
        <v>0</v>
      </c>
      <c r="Y580" s="66" t="n">
        <v>0</v>
      </c>
      <c r="Z580" s="7" t="n"/>
      <c r="AA580" s="70">
        <f>IF($A580="","",N(V580)+N(W580)+N(X580)+N(Y580))</f>
        <v/>
      </c>
      <c r="AB580" s="70">
        <f>IF($A580="","",N(S580)*'Paramètres'!$AA$9*IFERROR(INDEX('Paramètres'!$O$5:$O$7,MATCH(G580,'Paramètres'!$N$5:$N$7,0)),0))</f>
        <v/>
      </c>
      <c r="AC580" s="7" t="inlineStr">
        <is>
          <t>Clôturé</t>
        </is>
      </c>
      <c r="AD580" s="69">
        <f>IF(OR($A580="",Q580=""),"",(Q580-B580)*24)</f>
        <v/>
      </c>
      <c r="AE580" s="69">
        <f>IF(OR(Q580="",R580=""),"",(R580-Q580)*24)</f>
        <v/>
      </c>
      <c r="AF580" s="77">
        <f>IF(OR($A580="",B580=""),"",YEAR(B580))</f>
        <v/>
      </c>
      <c r="AG580" s="77">
        <f>IF(OR($A580="",B580=""),"",MONTH(B580))</f>
        <v/>
      </c>
    </row>
    <row r="581">
      <c r="A581" s="7" t="inlineStr">
        <is>
          <t>OT-2025-0577</t>
        </is>
      </c>
      <c r="B581" s="75" t="n">
        <v>45915.36458333334</v>
      </c>
      <c r="C581" s="7" t="inlineStr">
        <is>
          <t>Plan préventif</t>
        </is>
      </c>
      <c r="D581" s="7" t="inlineStr">
        <is>
          <t>EQ-USI-005</t>
        </is>
      </c>
      <c r="E581" s="9">
        <f>IF(D581="","",IFERROR(INDEX('Équipements'!$B$5:$B$304,MATCH(D581,'Équipements'!$A$5:$A$304,0)),"Code inconnu"))</f>
        <v/>
      </c>
      <c r="F581" s="9">
        <f>IF(D581="","",IFERROR(INDEX('Équipements'!$D$5:$D$304,MATCH(D581,'Équipements'!$A$5:$A$304,0)),""))</f>
        <v/>
      </c>
      <c r="G581" s="9">
        <f>IF(D581="","",IFERROR(INDEX('Équipements'!$K$5:$K$304,MATCH(D581,'Équipements'!$A$5:$A$304,0)),""))</f>
        <v/>
      </c>
      <c r="H581" s="7" t="inlineStr">
        <is>
          <t>Préventif systématique</t>
        </is>
      </c>
      <c r="I581" s="7" t="inlineStr">
        <is>
          <t>GP-017</t>
        </is>
      </c>
      <c r="J581" s="7" t="inlineStr">
        <is>
          <t>Mécanique</t>
        </is>
      </c>
      <c r="K581" s="7" t="inlineStr">
        <is>
          <t>P3 - Normale</t>
        </is>
      </c>
      <c r="L581" s="7" t="inlineStr">
        <is>
          <t>Contrôle niveaux, nettoyage filtres et bac à copeaux</t>
        </is>
      </c>
      <c r="M581" s="7" t="n"/>
      <c r="N581" s="7" t="inlineStr">
        <is>
          <t>Gamme réalisée - RAS</t>
        </is>
      </c>
      <c r="O581" s="7" t="inlineStr">
        <is>
          <t>Karim Benali</t>
        </is>
      </c>
      <c r="P581" s="65" t="n">
        <v>45922.61458333334</v>
      </c>
      <c r="Q581" s="75" t="n">
        <v>45922.56944444445</v>
      </c>
      <c r="R581" s="75" t="n">
        <v>45922.63194444445</v>
      </c>
      <c r="S581" s="76" t="n">
        <v>0</v>
      </c>
      <c r="T581" s="76" t="n">
        <v>1.5</v>
      </c>
      <c r="U581" s="70">
        <f>IF($A581="","",IFERROR(INDEX('Techniciens'!$F$5:$F$44,MATCH(O581,'Techniciens'!$B$5:$B$44,0)),'Paramètres'!$AA$10))</f>
        <v/>
      </c>
      <c r="V581" s="70">
        <f>IF($A581="","",IF(OR(AC581="Demandé",AC581="Planifié",AC581="Annulé"),0,N(T581)*N(U581)))</f>
        <v/>
      </c>
      <c r="W581" s="70">
        <f>IF($A581="","",SUMIFS('Mouvements stock'!$H$5:$H$3004,'Mouvements stock'!$I$5:$I$3004,$A581,'Mouvements stock'!$C$5:$C$3004,"Sortie")-SUMIFS('Mouvements stock'!$H$5:$H$3004,'Mouvements stock'!$I$5:$I$3004,$A581,'Mouvements stock'!$C$5:$C$3004,"Retour"))</f>
        <v/>
      </c>
      <c r="X581" s="66" t="n">
        <v>0</v>
      </c>
      <c r="Y581" s="66" t="n">
        <v>0</v>
      </c>
      <c r="Z581" s="7" t="n"/>
      <c r="AA581" s="70">
        <f>IF($A581="","",N(V581)+N(W581)+N(X581)+N(Y581))</f>
        <v/>
      </c>
      <c r="AB581" s="70">
        <f>IF($A581="","",N(S581)*'Paramètres'!$AA$9*IFERROR(INDEX('Paramètres'!$O$5:$O$7,MATCH(G581,'Paramètres'!$N$5:$N$7,0)),0))</f>
        <v/>
      </c>
      <c r="AC581" s="7" t="inlineStr">
        <is>
          <t>Clôturé</t>
        </is>
      </c>
      <c r="AD581" s="69">
        <f>IF(OR($A581="",Q581=""),"",(Q581-B581)*24)</f>
        <v/>
      </c>
      <c r="AE581" s="69">
        <f>IF(OR(Q581="",R581=""),"",(R581-Q581)*24)</f>
        <v/>
      </c>
      <c r="AF581" s="77">
        <f>IF(OR($A581="",B581=""),"",YEAR(B581))</f>
        <v/>
      </c>
      <c r="AG581" s="77">
        <f>IF(OR($A581="",B581=""),"",MONTH(B581))</f>
        <v/>
      </c>
    </row>
    <row r="582">
      <c r="A582" s="7" t="inlineStr">
        <is>
          <t>OT-2025-0578</t>
        </is>
      </c>
      <c r="B582" s="75" t="n">
        <v>45915.375</v>
      </c>
      <c r="C582" s="7" t="inlineStr">
        <is>
          <t>Plan préventif</t>
        </is>
      </c>
      <c r="D582" s="7" t="inlineStr">
        <is>
          <t>EQ-USI-010</t>
        </is>
      </c>
      <c r="E582" s="9">
        <f>IF(D582="","",IFERROR(INDEX('Équipements'!$B$5:$B$304,MATCH(D582,'Équipements'!$A$5:$A$304,0)),"Code inconnu"))</f>
        <v/>
      </c>
      <c r="F582" s="9">
        <f>IF(D582="","",IFERROR(INDEX('Équipements'!$D$5:$D$304,MATCH(D582,'Équipements'!$A$5:$A$304,0)),""))</f>
        <v/>
      </c>
      <c r="G582" s="9">
        <f>IF(D582="","",IFERROR(INDEX('Équipements'!$K$5:$K$304,MATCH(D582,'Équipements'!$A$5:$A$304,0)),""))</f>
        <v/>
      </c>
      <c r="H582" s="7" t="inlineStr">
        <is>
          <t>Préventif systématique</t>
        </is>
      </c>
      <c r="I582" s="7" t="inlineStr">
        <is>
          <t>GP-032</t>
        </is>
      </c>
      <c r="J582" s="7" t="inlineStr">
        <is>
          <t>Électrique</t>
        </is>
      </c>
      <c r="K582" s="7" t="inlineStr">
        <is>
          <t>P3 - Normale</t>
        </is>
      </c>
      <c r="L582" s="7" t="inlineStr">
        <is>
          <t>Étalonnage / vérification métrologique</t>
        </is>
      </c>
      <c r="M582" s="7" t="n"/>
      <c r="N582" s="7" t="inlineStr">
        <is>
          <t>Gamme réalisée - RAS</t>
        </is>
      </c>
      <c r="O582" s="7" t="inlineStr">
        <is>
          <t>Julien Moreau</t>
        </is>
      </c>
      <c r="P582" s="65" t="n">
        <v>45922</v>
      </c>
      <c r="Q582" s="75" t="n">
        <v>45922.54166666666</v>
      </c>
      <c r="R582" s="75" t="n">
        <v>45922.6875</v>
      </c>
      <c r="S582" s="76" t="n">
        <v>0</v>
      </c>
      <c r="T582" s="76" t="n">
        <v>2</v>
      </c>
      <c r="U582" s="70">
        <f>IF($A582="","",IFERROR(INDEX('Techniciens'!$F$5:$F$44,MATCH(O582,'Techniciens'!$B$5:$B$44,0)),'Paramètres'!$AA$10))</f>
        <v/>
      </c>
      <c r="V582" s="70">
        <f>IF($A582="","",IF(OR(AC582="Demandé",AC582="Planifié",AC582="Annulé"),0,N(T582)*N(U582)))</f>
        <v/>
      </c>
      <c r="W582" s="70">
        <f>IF($A582="","",SUMIFS('Mouvements stock'!$H$5:$H$3004,'Mouvements stock'!$I$5:$I$3004,$A582,'Mouvements stock'!$C$5:$C$3004,"Sortie")-SUMIFS('Mouvements stock'!$H$5:$H$3004,'Mouvements stock'!$I$5:$I$3004,$A582,'Mouvements stock'!$C$5:$C$3004,"Retour"))</f>
        <v/>
      </c>
      <c r="X582" s="66" t="n">
        <v>0</v>
      </c>
      <c r="Y582" s="66" t="n">
        <v>600</v>
      </c>
      <c r="Z582" s="7" t="inlineStr">
        <is>
          <t>Métrologie Contrôle Services</t>
        </is>
      </c>
      <c r="AA582" s="70">
        <f>IF($A582="","",N(V582)+N(W582)+N(X582)+N(Y582))</f>
        <v/>
      </c>
      <c r="AB582" s="70">
        <f>IF($A582="","",N(S582)*'Paramètres'!$AA$9*IFERROR(INDEX('Paramètres'!$O$5:$O$7,MATCH(G582,'Paramètres'!$N$5:$N$7,0)),0))</f>
        <v/>
      </c>
      <c r="AC582" s="7" t="inlineStr">
        <is>
          <t>Clôturé</t>
        </is>
      </c>
      <c r="AD582" s="69">
        <f>IF(OR($A582="",Q582=""),"",(Q582-B582)*24)</f>
        <v/>
      </c>
      <c r="AE582" s="69">
        <f>IF(OR(Q582="",R582=""),"",(R582-Q582)*24)</f>
        <v/>
      </c>
      <c r="AF582" s="77">
        <f>IF(OR($A582="",B582=""),"",YEAR(B582))</f>
        <v/>
      </c>
      <c r="AG582" s="77">
        <f>IF(OR($A582="",B582=""),"",MONTH(B582))</f>
        <v/>
      </c>
    </row>
    <row r="583">
      <c r="A583" s="7" t="inlineStr">
        <is>
          <t>OT-2025-0579</t>
        </is>
      </c>
      <c r="B583" s="75" t="n">
        <v>45915.42361111111</v>
      </c>
      <c r="C583" s="7" t="inlineStr">
        <is>
          <t>Plan préventif</t>
        </is>
      </c>
      <c r="D583" s="7" t="inlineStr">
        <is>
          <t>EQ-USI-002</t>
        </is>
      </c>
      <c r="E583" s="9">
        <f>IF(D583="","",IFERROR(INDEX('Équipements'!$B$5:$B$304,MATCH(D583,'Équipements'!$A$5:$A$304,0)),"Code inconnu"))</f>
        <v/>
      </c>
      <c r="F583" s="9">
        <f>IF(D583="","",IFERROR(INDEX('Équipements'!$D$5:$D$304,MATCH(D583,'Équipements'!$A$5:$A$304,0)),""))</f>
        <v/>
      </c>
      <c r="G583" s="9">
        <f>IF(D583="","",IFERROR(INDEX('Équipements'!$K$5:$K$304,MATCH(D583,'Équipements'!$A$5:$A$304,0)),""))</f>
        <v/>
      </c>
      <c r="H583" s="7" t="inlineStr">
        <is>
          <t>Préventif systématique</t>
        </is>
      </c>
      <c r="I583" s="7" t="inlineStr">
        <is>
          <t>GP-005</t>
        </is>
      </c>
      <c r="J583" s="7" t="inlineStr">
        <is>
          <t>Mécanique</t>
        </is>
      </c>
      <c r="K583" s="7" t="inlineStr">
        <is>
          <t>P3 - Normale</t>
        </is>
      </c>
      <c r="L583" s="7" t="inlineStr">
        <is>
          <t>Contrôle niveaux, nettoyage filtres et bac à copeaux</t>
        </is>
      </c>
      <c r="M583" s="7" t="n"/>
      <c r="N583" s="7" t="inlineStr">
        <is>
          <t>Gamme réalisée - RAS</t>
        </is>
      </c>
      <c r="O583" s="7" t="inlineStr">
        <is>
          <t>Antoine Mercier</t>
        </is>
      </c>
      <c r="P583" s="65" t="n">
        <v>45922.53819444445</v>
      </c>
      <c r="Q583" s="75" t="n">
        <v>45922.50694444445</v>
      </c>
      <c r="R583" s="75" t="n">
        <v>45922.56944444445</v>
      </c>
      <c r="S583" s="76" t="n">
        <v>0</v>
      </c>
      <c r="T583" s="76" t="n">
        <v>1.5</v>
      </c>
      <c r="U583" s="70">
        <f>IF($A583="","",IFERROR(INDEX('Techniciens'!$F$5:$F$44,MATCH(O583,'Techniciens'!$B$5:$B$44,0)),'Paramètres'!$AA$10))</f>
        <v/>
      </c>
      <c r="V583" s="70">
        <f>IF($A583="","",IF(OR(AC583="Demandé",AC583="Planifié",AC583="Annulé"),0,N(T583)*N(U583)))</f>
        <v/>
      </c>
      <c r="W583" s="70">
        <f>IF($A583="","",SUMIFS('Mouvements stock'!$H$5:$H$3004,'Mouvements stock'!$I$5:$I$3004,$A583,'Mouvements stock'!$C$5:$C$3004,"Sortie")-SUMIFS('Mouvements stock'!$H$5:$H$3004,'Mouvements stock'!$I$5:$I$3004,$A583,'Mouvements stock'!$C$5:$C$3004,"Retour"))</f>
        <v/>
      </c>
      <c r="X583" s="66" t="n">
        <v>0</v>
      </c>
      <c r="Y583" s="66" t="n">
        <v>0</v>
      </c>
      <c r="Z583" s="7" t="n"/>
      <c r="AA583" s="70">
        <f>IF($A583="","",N(V583)+N(W583)+N(X583)+N(Y583))</f>
        <v/>
      </c>
      <c r="AB583" s="70">
        <f>IF($A583="","",N(S583)*'Paramètres'!$AA$9*IFERROR(INDEX('Paramètres'!$O$5:$O$7,MATCH(G583,'Paramètres'!$N$5:$N$7,0)),0))</f>
        <v/>
      </c>
      <c r="AC583" s="7" t="inlineStr">
        <is>
          <t>Clôturé</t>
        </is>
      </c>
      <c r="AD583" s="69">
        <f>IF(OR($A583="",Q583=""),"",(Q583-B583)*24)</f>
        <v/>
      </c>
      <c r="AE583" s="69">
        <f>IF(OR(Q583="",R583=""),"",(R583-Q583)*24)</f>
        <v/>
      </c>
      <c r="AF583" s="77">
        <f>IF(OR($A583="",B583=""),"",YEAR(B583))</f>
        <v/>
      </c>
      <c r="AG583" s="77">
        <f>IF(OR($A583="",B583=""),"",MONTH(B583))</f>
        <v/>
      </c>
    </row>
    <row r="584">
      <c r="A584" s="7" t="inlineStr">
        <is>
          <t>OT-2025-0580</t>
        </is>
      </c>
      <c r="B584" s="75" t="n">
        <v>45915.44791666666</v>
      </c>
      <c r="C584" s="7" t="inlineStr">
        <is>
          <t>Plan préventif</t>
        </is>
      </c>
      <c r="D584" s="7" t="inlineStr">
        <is>
          <t>EQ-UTI-006</t>
        </is>
      </c>
      <c r="E584" s="9">
        <f>IF(D584="","",IFERROR(INDEX('Équipements'!$B$5:$B$304,MATCH(D584,'Équipements'!$A$5:$A$304,0)),"Code inconnu"))</f>
        <v/>
      </c>
      <c r="F584" s="9">
        <f>IF(D584="","",IFERROR(INDEX('Équipements'!$D$5:$D$304,MATCH(D584,'Équipements'!$A$5:$A$304,0)),""))</f>
        <v/>
      </c>
      <c r="G584" s="9">
        <f>IF(D584="","",IFERROR(INDEX('Équipements'!$K$5:$K$304,MATCH(D584,'Équipements'!$A$5:$A$304,0)),""))</f>
        <v/>
      </c>
      <c r="H584" s="7" t="inlineStr">
        <is>
          <t>Préventif systématique</t>
        </is>
      </c>
      <c r="I584" s="7" t="inlineStr">
        <is>
          <t>GP-095</t>
        </is>
      </c>
      <c r="J584" s="7" t="inlineStr">
        <is>
          <t>Mécanique</t>
        </is>
      </c>
      <c r="K584" s="7" t="inlineStr">
        <is>
          <t>P3 - Normale</t>
        </is>
      </c>
      <c r="L584" s="7" t="inlineStr">
        <is>
          <t>Remplacement filtres et nettoyage batteries</t>
        </is>
      </c>
      <c r="M584" s="7" t="n"/>
      <c r="N584" s="7" t="inlineStr">
        <is>
          <t>Gamme réalisée - RAS</t>
        </is>
      </c>
      <c r="O584" s="7" t="inlineStr">
        <is>
          <t>Karim Benali</t>
        </is>
      </c>
      <c r="P584" s="65" t="n">
        <v>45922.625</v>
      </c>
      <c r="Q584" s="75" t="n">
        <v>45922.56944444445</v>
      </c>
      <c r="R584" s="75" t="n">
        <v>45922.67361111111</v>
      </c>
      <c r="S584" s="76" t="n">
        <v>0</v>
      </c>
      <c r="T584" s="76" t="n">
        <v>2.5</v>
      </c>
      <c r="U584" s="70">
        <f>IF($A584="","",IFERROR(INDEX('Techniciens'!$F$5:$F$44,MATCH(O584,'Techniciens'!$B$5:$B$44,0)),'Paramètres'!$AA$10))</f>
        <v/>
      </c>
      <c r="V584" s="70">
        <f>IF($A584="","",IF(OR(AC584="Demandé",AC584="Planifié",AC584="Annulé"),0,N(T584)*N(U584)))</f>
        <v/>
      </c>
      <c r="W584" s="70">
        <f>IF($A584="","",SUMIFS('Mouvements stock'!$H$5:$H$3004,'Mouvements stock'!$I$5:$I$3004,$A584,'Mouvements stock'!$C$5:$C$3004,"Sortie")-SUMIFS('Mouvements stock'!$H$5:$H$3004,'Mouvements stock'!$I$5:$I$3004,$A584,'Mouvements stock'!$C$5:$C$3004,"Retour"))</f>
        <v/>
      </c>
      <c r="X584" s="66" t="n">
        <v>0</v>
      </c>
      <c r="Y584" s="66" t="n">
        <v>0</v>
      </c>
      <c r="Z584" s="7" t="n"/>
      <c r="AA584" s="70">
        <f>IF($A584="","",N(V584)+N(W584)+N(X584)+N(Y584))</f>
        <v/>
      </c>
      <c r="AB584" s="70">
        <f>IF($A584="","",N(S584)*'Paramètres'!$AA$9*IFERROR(INDEX('Paramètres'!$O$5:$O$7,MATCH(G584,'Paramètres'!$N$5:$N$7,0)),0))</f>
        <v/>
      </c>
      <c r="AC584" s="7" t="inlineStr">
        <is>
          <t>Clôturé</t>
        </is>
      </c>
      <c r="AD584" s="69">
        <f>IF(OR($A584="",Q584=""),"",(Q584-B584)*24)</f>
        <v/>
      </c>
      <c r="AE584" s="69">
        <f>IF(OR(Q584="",R584=""),"",(R584-Q584)*24)</f>
        <v/>
      </c>
      <c r="AF584" s="77">
        <f>IF(OR($A584="",B584=""),"",YEAR(B584))</f>
        <v/>
      </c>
      <c r="AG584" s="77">
        <f>IF(OR($A584="",B584=""),"",MONTH(B584))</f>
        <v/>
      </c>
    </row>
    <row r="585">
      <c r="A585" s="7" t="inlineStr">
        <is>
          <t>OT-2025-0581</t>
        </is>
      </c>
      <c r="B585" s="75" t="n">
        <v>45915.45694444444</v>
      </c>
      <c r="C585" s="7" t="inlineStr">
        <is>
          <t>Inès Girard (cheffe d'équipe)</t>
        </is>
      </c>
      <c r="D585" s="7" t="inlineStr">
        <is>
          <t>EQ-PEI-001</t>
        </is>
      </c>
      <c r="E585" s="9">
        <f>IF(D585="","",IFERROR(INDEX('Équipements'!$B$5:$B$304,MATCH(D585,'Équipements'!$A$5:$A$304,0)),"Code inconnu"))</f>
        <v/>
      </c>
      <c r="F585" s="9">
        <f>IF(D585="","",IFERROR(INDEX('Équipements'!$D$5:$D$304,MATCH(D585,'Équipements'!$A$5:$A$304,0)),""))</f>
        <v/>
      </c>
      <c r="G585" s="9">
        <f>IF(D585="","",IFERROR(INDEX('Équipements'!$K$5:$K$304,MATCH(D585,'Équipements'!$A$5:$A$304,0)),""))</f>
        <v/>
      </c>
      <c r="H585" s="7" t="inlineStr">
        <is>
          <t>Correctif</t>
        </is>
      </c>
      <c r="I585" s="7" t="n"/>
      <c r="J585" s="7" t="inlineStr">
        <is>
          <t>Électrique</t>
        </is>
      </c>
      <c r="K585" s="7" t="inlineStr">
        <is>
          <t>P1 - Urgent</t>
        </is>
      </c>
      <c r="L585" s="7" t="inlineStr">
        <is>
          <t>Brûleur en sécurité (défaut flamme)</t>
        </is>
      </c>
      <c r="M585" s="7" t="inlineStr">
        <is>
          <t>Défaut capteur</t>
        </is>
      </c>
      <c r="N585" s="7" t="inlineStr">
        <is>
          <t>Remplacement sonde, réglage brûleur</t>
        </is>
      </c>
      <c r="O585" s="7" t="inlineStr">
        <is>
          <t>Thomas Petit</t>
        </is>
      </c>
      <c r="P585" s="65" t="n"/>
      <c r="Q585" s="75" t="n">
        <v>45915.47708333333</v>
      </c>
      <c r="R585" s="75" t="n">
        <v>45915.66458333333</v>
      </c>
      <c r="S585" s="76" t="n">
        <v>5</v>
      </c>
      <c r="T585" s="76" t="n">
        <v>4.5</v>
      </c>
      <c r="U585" s="70">
        <f>IF($A585="","",IFERROR(INDEX('Techniciens'!$F$5:$F$44,MATCH(O585,'Techniciens'!$B$5:$B$44,0)),'Paramètres'!$AA$10))</f>
        <v/>
      </c>
      <c r="V585" s="70">
        <f>IF($A585="","",IF(OR(AC585="Demandé",AC585="Planifié",AC585="Annulé"),0,N(T585)*N(U585)))</f>
        <v/>
      </c>
      <c r="W585" s="70">
        <f>IF($A585="","",SUMIFS('Mouvements stock'!$H$5:$H$3004,'Mouvements stock'!$I$5:$I$3004,$A585,'Mouvements stock'!$C$5:$C$3004,"Sortie")-SUMIFS('Mouvements stock'!$H$5:$H$3004,'Mouvements stock'!$I$5:$I$3004,$A585,'Mouvements stock'!$C$5:$C$3004,"Retour"))</f>
        <v/>
      </c>
      <c r="X585" s="66" t="n">
        <v>0</v>
      </c>
      <c r="Y585" s="66" t="n">
        <v>1060</v>
      </c>
      <c r="Z585" s="7" t="inlineStr">
        <is>
          <t>Surface Process Assistance</t>
        </is>
      </c>
      <c r="AA585" s="70">
        <f>IF($A585="","",N(V585)+N(W585)+N(X585)+N(Y585))</f>
        <v/>
      </c>
      <c r="AB585" s="70">
        <f>IF($A585="","",N(S585)*'Paramètres'!$AA$9*IFERROR(INDEX('Paramètres'!$O$5:$O$7,MATCH(G585,'Paramètres'!$N$5:$N$7,0)),0))</f>
        <v/>
      </c>
      <c r="AC585" s="7" t="inlineStr">
        <is>
          <t>Clôturé</t>
        </is>
      </c>
      <c r="AD585" s="69">
        <f>IF(OR($A585="",Q585=""),"",(Q585-B585)*24)</f>
        <v/>
      </c>
      <c r="AE585" s="69">
        <f>IF(OR(Q585="",R585=""),"",(R585-Q585)*24)</f>
        <v/>
      </c>
      <c r="AF585" s="77">
        <f>IF(OR($A585="",B585=""),"",YEAR(B585))</f>
        <v/>
      </c>
      <c r="AG585" s="77">
        <f>IF(OR($A585="",B585=""),"",MONTH(B585))</f>
        <v/>
      </c>
    </row>
    <row r="586">
      <c r="A586" s="7" t="inlineStr">
        <is>
          <t>OT-2025-0582</t>
        </is>
      </c>
      <c r="B586" s="75" t="n">
        <v>45915.47222222222</v>
      </c>
      <c r="C586" s="7" t="inlineStr">
        <is>
          <t>Plan préventif</t>
        </is>
      </c>
      <c r="D586" s="7" t="inlineStr">
        <is>
          <t>EQ-USI-007</t>
        </is>
      </c>
      <c r="E586" s="9">
        <f>IF(D586="","",IFERROR(INDEX('Équipements'!$B$5:$B$304,MATCH(D586,'Équipements'!$A$5:$A$304,0)),"Code inconnu"))</f>
        <v/>
      </c>
      <c r="F586" s="9">
        <f>IF(D586="","",IFERROR(INDEX('Équipements'!$D$5:$D$304,MATCH(D586,'Équipements'!$A$5:$A$304,0)),""))</f>
        <v/>
      </c>
      <c r="G586" s="9">
        <f>IF(D586="","",IFERROR(INDEX('Équipements'!$K$5:$K$304,MATCH(D586,'Équipements'!$A$5:$A$304,0)),""))</f>
        <v/>
      </c>
      <c r="H586" s="7" t="inlineStr">
        <is>
          <t>Préventif systématique</t>
        </is>
      </c>
      <c r="I586" s="7" t="inlineStr">
        <is>
          <t>GP-025</t>
        </is>
      </c>
      <c r="J586" s="7" t="inlineStr">
        <is>
          <t>Mécanique</t>
        </is>
      </c>
      <c r="K586" s="7" t="inlineStr">
        <is>
          <t>P3 - Normale</t>
        </is>
      </c>
      <c r="L586" s="7" t="inlineStr">
        <is>
          <t>Contrôle niveaux, nettoyage filtres et bac à copeaux</t>
        </is>
      </c>
      <c r="M586" s="7" t="n"/>
      <c r="N586" s="7" t="inlineStr">
        <is>
          <t>Gamme réalisée - DI émise pour remplacement pièce</t>
        </is>
      </c>
      <c r="O586" s="7" t="inlineStr">
        <is>
          <t>Lucas Fontaine</t>
        </is>
      </c>
      <c r="P586" s="65" t="n">
        <v>45922.58333333334</v>
      </c>
      <c r="Q586" s="75" t="n">
        <v>45922.41666666666</v>
      </c>
      <c r="R586" s="75" t="n">
        <v>45922.47916666666</v>
      </c>
      <c r="S586" s="76" t="n">
        <v>1.5</v>
      </c>
      <c r="T586" s="76" t="n">
        <v>1.5</v>
      </c>
      <c r="U586" s="70">
        <f>IF($A586="","",IFERROR(INDEX('Techniciens'!$F$5:$F$44,MATCH(O586,'Techniciens'!$B$5:$B$44,0)),'Paramètres'!$AA$10))</f>
        <v/>
      </c>
      <c r="V586" s="70">
        <f>IF($A586="","",IF(OR(AC586="Demandé",AC586="Planifié",AC586="Annulé"),0,N(T586)*N(U586)))</f>
        <v/>
      </c>
      <c r="W586" s="70">
        <f>IF($A586="","",SUMIFS('Mouvements stock'!$H$5:$H$3004,'Mouvements stock'!$I$5:$I$3004,$A586,'Mouvements stock'!$C$5:$C$3004,"Sortie")-SUMIFS('Mouvements stock'!$H$5:$H$3004,'Mouvements stock'!$I$5:$I$3004,$A586,'Mouvements stock'!$C$5:$C$3004,"Retour"))</f>
        <v/>
      </c>
      <c r="X586" s="66" t="n">
        <v>0</v>
      </c>
      <c r="Y586" s="66" t="n">
        <v>0</v>
      </c>
      <c r="Z586" s="7" t="n"/>
      <c r="AA586" s="70">
        <f>IF($A586="","",N(V586)+N(W586)+N(X586)+N(Y586))</f>
        <v/>
      </c>
      <c r="AB586" s="70">
        <f>IF($A586="","",N(S586)*'Paramètres'!$AA$9*IFERROR(INDEX('Paramètres'!$O$5:$O$7,MATCH(G586,'Paramètres'!$N$5:$N$7,0)),0))</f>
        <v/>
      </c>
      <c r="AC586" s="7" t="inlineStr">
        <is>
          <t>Clôturé</t>
        </is>
      </c>
      <c r="AD586" s="69">
        <f>IF(OR($A586="",Q586=""),"",(Q586-B586)*24)</f>
        <v/>
      </c>
      <c r="AE586" s="69">
        <f>IF(OR(Q586="",R586=""),"",(R586-Q586)*24)</f>
        <v/>
      </c>
      <c r="AF586" s="77">
        <f>IF(OR($A586="",B586=""),"",YEAR(B586))</f>
        <v/>
      </c>
      <c r="AG586" s="77">
        <f>IF(OR($A586="",B586=""),"",MONTH(B586))</f>
        <v/>
      </c>
    </row>
    <row r="587">
      <c r="A587" s="7" t="inlineStr">
        <is>
          <t>OT-2025-0583</t>
        </is>
      </c>
      <c r="B587" s="75" t="n">
        <v>45917.42361111111</v>
      </c>
      <c r="C587" s="7" t="inlineStr">
        <is>
          <t>Planning réglementaire</t>
        </is>
      </c>
      <c r="D587" s="7" t="inlineStr">
        <is>
          <t>EQ-LOG-008</t>
        </is>
      </c>
      <c r="E587" s="9">
        <f>IF(D587="","",IFERROR(INDEX('Équipements'!$B$5:$B$304,MATCH(D587,'Équipements'!$A$5:$A$304,0)),"Code inconnu"))</f>
        <v/>
      </c>
      <c r="F587" s="9">
        <f>IF(D587="","",IFERROR(INDEX('Équipements'!$D$5:$D$304,MATCH(D587,'Équipements'!$A$5:$A$304,0)),""))</f>
        <v/>
      </c>
      <c r="G587" s="9">
        <f>IF(D587="","",IFERROR(INDEX('Équipements'!$K$5:$K$304,MATCH(D587,'Équipements'!$A$5:$A$304,0)),""))</f>
        <v/>
      </c>
      <c r="H587" s="7" t="inlineStr">
        <is>
          <t>Réglementaire</t>
        </is>
      </c>
      <c r="I587" s="7" t="inlineStr">
        <is>
          <t>CR-003</t>
        </is>
      </c>
      <c r="J587" s="7" t="inlineStr">
        <is>
          <t>Multi-technique</t>
        </is>
      </c>
      <c r="K587" s="7" t="inlineStr">
        <is>
          <t>P2 - Haute</t>
        </is>
      </c>
      <c r="L587" s="7" t="inlineStr">
        <is>
          <t>Vérification générale périodique (VGP) appareil de levage</t>
        </is>
      </c>
      <c r="M587" s="7" t="n"/>
      <c r="N587" s="7" t="inlineStr">
        <is>
          <t>Contrôle réalisé - aucune observation</t>
        </is>
      </c>
      <c r="O587" s="7" t="inlineStr">
        <is>
          <t>Marc Lefèvre</t>
        </is>
      </c>
      <c r="P587" s="65" t="n">
        <v>45938</v>
      </c>
      <c r="Q587" s="75" t="n">
        <v>45938.42708333334</v>
      </c>
      <c r="R587" s="75" t="n">
        <v>45938.48958333334</v>
      </c>
      <c r="S587" s="76" t="n">
        <v>0</v>
      </c>
      <c r="T587" s="76" t="n">
        <v>1.5</v>
      </c>
      <c r="U587" s="70">
        <f>IF($A587="","",IFERROR(INDEX('Techniciens'!$F$5:$F$44,MATCH(O587,'Techniciens'!$B$5:$B$44,0)),'Paramètres'!$AA$10))</f>
        <v/>
      </c>
      <c r="V587" s="70">
        <f>IF($A587="","",IF(OR(AC587="Demandé",AC587="Planifié",AC587="Annulé"),0,N(T587)*N(U587)))</f>
        <v/>
      </c>
      <c r="W587" s="70">
        <f>IF($A587="","",SUMIFS('Mouvements stock'!$H$5:$H$3004,'Mouvements stock'!$I$5:$I$3004,$A587,'Mouvements stock'!$C$5:$C$3004,"Sortie")-SUMIFS('Mouvements stock'!$H$5:$H$3004,'Mouvements stock'!$I$5:$I$3004,$A587,'Mouvements stock'!$C$5:$C$3004,"Retour"))</f>
        <v/>
      </c>
      <c r="X587" s="66" t="n">
        <v>0</v>
      </c>
      <c r="Y587" s="66" t="n">
        <v>150</v>
      </c>
      <c r="Z587" s="7" t="inlineStr">
        <is>
          <t>CONTROLIS (organisme fictif)</t>
        </is>
      </c>
      <c r="AA587" s="70">
        <f>IF($A587="","",N(V587)+N(W587)+N(X587)+N(Y587))</f>
        <v/>
      </c>
      <c r="AB587" s="70">
        <f>IF($A587="","",N(S587)*'Paramètres'!$AA$9*IFERROR(INDEX('Paramètres'!$O$5:$O$7,MATCH(G587,'Paramètres'!$N$5:$N$7,0)),0))</f>
        <v/>
      </c>
      <c r="AC587" s="7" t="inlineStr">
        <is>
          <t>Clôturé</t>
        </is>
      </c>
      <c r="AD587" s="69">
        <f>IF(OR($A587="",Q587=""),"",(Q587-B587)*24)</f>
        <v/>
      </c>
      <c r="AE587" s="69">
        <f>IF(OR(Q587="",R587=""),"",(R587-Q587)*24)</f>
        <v/>
      </c>
      <c r="AF587" s="77">
        <f>IF(OR($A587="",B587=""),"",YEAR(B587))</f>
        <v/>
      </c>
      <c r="AG587" s="77">
        <f>IF(OR($A587="",B587=""),"",MONTH(B587))</f>
        <v/>
      </c>
    </row>
    <row r="588">
      <c r="A588" s="7" t="inlineStr">
        <is>
          <t>OT-2025-0584</t>
        </is>
      </c>
      <c r="B588" s="75" t="n">
        <v>45917.43055555555</v>
      </c>
      <c r="C588" s="7" t="inlineStr">
        <is>
          <t>Plan préventif</t>
        </is>
      </c>
      <c r="D588" s="7" t="inlineStr">
        <is>
          <t>EQ-USI-009</t>
        </is>
      </c>
      <c r="E588" s="9">
        <f>IF(D588="","",IFERROR(INDEX('Équipements'!$B$5:$B$304,MATCH(D588,'Équipements'!$A$5:$A$304,0)),"Code inconnu"))</f>
        <v/>
      </c>
      <c r="F588" s="9">
        <f>IF(D588="","",IFERROR(INDEX('Équipements'!$D$5:$D$304,MATCH(D588,'Équipements'!$A$5:$A$304,0)),""))</f>
        <v/>
      </c>
      <c r="G588" s="9">
        <f>IF(D588="","",IFERROR(INDEX('Équipements'!$K$5:$K$304,MATCH(D588,'Équipements'!$A$5:$A$304,0)),""))</f>
        <v/>
      </c>
      <c r="H588" s="7" t="inlineStr">
        <is>
          <t>Préventif systématique</t>
        </is>
      </c>
      <c r="I588" s="7" t="inlineStr">
        <is>
          <t>GP-030</t>
        </is>
      </c>
      <c r="J588" s="7" t="inlineStr">
        <is>
          <t>Mécanique</t>
        </is>
      </c>
      <c r="K588" s="7" t="inlineStr">
        <is>
          <t>P3 - Normale</t>
        </is>
      </c>
      <c r="L588" s="7" t="inlineStr">
        <is>
          <t>Contrôle lame, guides et liquide de coupe</t>
        </is>
      </c>
      <c r="M588" s="7" t="n"/>
      <c r="N588" s="7" t="inlineStr">
        <is>
          <t>Gamme réalisée - RAS</t>
        </is>
      </c>
      <c r="O588" s="7" t="inlineStr">
        <is>
          <t>Karim Benali</t>
        </is>
      </c>
      <c r="P588" s="65" t="n">
        <v>45924.47916666666</v>
      </c>
      <c r="Q588" s="75" t="n">
        <v>45924.51388888889</v>
      </c>
      <c r="R588" s="75" t="n">
        <v>45924.54513888889</v>
      </c>
      <c r="S588" s="76" t="n">
        <v>0.4</v>
      </c>
      <c r="T588" s="76" t="n">
        <v>0.75</v>
      </c>
      <c r="U588" s="70">
        <f>IF($A588="","",IFERROR(INDEX('Techniciens'!$F$5:$F$44,MATCH(O588,'Techniciens'!$B$5:$B$44,0)),'Paramètres'!$AA$10))</f>
        <v/>
      </c>
      <c r="V588" s="70">
        <f>IF($A588="","",IF(OR(AC588="Demandé",AC588="Planifié",AC588="Annulé"),0,N(T588)*N(U588)))</f>
        <v/>
      </c>
      <c r="W588" s="70">
        <f>IF($A588="","",SUMIFS('Mouvements stock'!$H$5:$H$3004,'Mouvements stock'!$I$5:$I$3004,$A588,'Mouvements stock'!$C$5:$C$3004,"Sortie")-SUMIFS('Mouvements stock'!$H$5:$H$3004,'Mouvements stock'!$I$5:$I$3004,$A588,'Mouvements stock'!$C$5:$C$3004,"Retour"))</f>
        <v/>
      </c>
      <c r="X588" s="66" t="n">
        <v>0</v>
      </c>
      <c r="Y588" s="66" t="n">
        <v>0</v>
      </c>
      <c r="Z588" s="7" t="n"/>
      <c r="AA588" s="70">
        <f>IF($A588="","",N(V588)+N(W588)+N(X588)+N(Y588))</f>
        <v/>
      </c>
      <c r="AB588" s="70">
        <f>IF($A588="","",N(S588)*'Paramètres'!$AA$9*IFERROR(INDEX('Paramètres'!$O$5:$O$7,MATCH(G588,'Paramètres'!$N$5:$N$7,0)),0))</f>
        <v/>
      </c>
      <c r="AC588" s="7" t="inlineStr">
        <is>
          <t>Clôturé</t>
        </is>
      </c>
      <c r="AD588" s="69">
        <f>IF(OR($A588="",Q588=""),"",(Q588-B588)*24)</f>
        <v/>
      </c>
      <c r="AE588" s="69">
        <f>IF(OR(Q588="",R588=""),"",(R588-Q588)*24)</f>
        <v/>
      </c>
      <c r="AF588" s="77">
        <f>IF(OR($A588="",B588=""),"",YEAR(B588))</f>
        <v/>
      </c>
      <c r="AG588" s="77">
        <f>IF(OR($A588="",B588=""),"",MONTH(B588))</f>
        <v/>
      </c>
    </row>
    <row r="589">
      <c r="A589" s="7" t="inlineStr">
        <is>
          <t>OT-2025-0585</t>
        </is>
      </c>
      <c r="B589" s="75" t="n">
        <v>45917.46527777778</v>
      </c>
      <c r="C589" s="7" t="inlineStr">
        <is>
          <t>Plan préventif</t>
        </is>
      </c>
      <c r="D589" s="7" t="inlineStr">
        <is>
          <t>EQ-USI-012</t>
        </is>
      </c>
      <c r="E589" s="9">
        <f>IF(D589="","",IFERROR(INDEX('Équipements'!$B$5:$B$304,MATCH(D589,'Équipements'!$A$5:$A$304,0)),"Code inconnu"))</f>
        <v/>
      </c>
      <c r="F589" s="9">
        <f>IF(D589="","",IFERROR(INDEX('Équipements'!$D$5:$D$304,MATCH(D589,'Équipements'!$A$5:$A$304,0)),""))</f>
        <v/>
      </c>
      <c r="G589" s="9">
        <f>IF(D589="","",IFERROR(INDEX('Équipements'!$K$5:$K$304,MATCH(D589,'Équipements'!$A$5:$A$304,0)),""))</f>
        <v/>
      </c>
      <c r="H589" s="7" t="inlineStr">
        <is>
          <t>Préventif systématique</t>
        </is>
      </c>
      <c r="I589" s="7" t="inlineStr">
        <is>
          <t>GP-035</t>
        </is>
      </c>
      <c r="J589" s="7" t="inlineStr">
        <is>
          <t>Mécanique</t>
        </is>
      </c>
      <c r="K589" s="7" t="inlineStr">
        <is>
          <t>P3 - Normale</t>
        </is>
      </c>
      <c r="L589" s="7" t="inlineStr">
        <is>
          <t>Nettoyage torche et contrôle faisceau</t>
        </is>
      </c>
      <c r="M589" s="7" t="n"/>
      <c r="N589" s="7" t="inlineStr">
        <is>
          <t>Gamme réalisée - RAS</t>
        </is>
      </c>
      <c r="O589" s="7" t="inlineStr">
        <is>
          <t>Lucas Fontaine</t>
        </is>
      </c>
      <c r="P589" s="65" t="n">
        <v>45924.37847222222</v>
      </c>
      <c r="Q589" s="75" t="n">
        <v>45924.39583333334</v>
      </c>
      <c r="R589" s="75" t="n">
        <v>45924.42708333334</v>
      </c>
      <c r="S589" s="76" t="n">
        <v>0</v>
      </c>
      <c r="T589" s="76" t="n">
        <v>0.75</v>
      </c>
      <c r="U589" s="70">
        <f>IF($A589="","",IFERROR(INDEX('Techniciens'!$F$5:$F$44,MATCH(O589,'Techniciens'!$B$5:$B$44,0)),'Paramètres'!$AA$10))</f>
        <v/>
      </c>
      <c r="V589" s="70">
        <f>IF($A589="","",IF(OR(AC589="Demandé",AC589="Planifié",AC589="Annulé"),0,N(T589)*N(U589)))</f>
        <v/>
      </c>
      <c r="W589" s="70">
        <f>IF($A589="","",SUMIFS('Mouvements stock'!$H$5:$H$3004,'Mouvements stock'!$I$5:$I$3004,$A589,'Mouvements stock'!$C$5:$C$3004,"Sortie")-SUMIFS('Mouvements stock'!$H$5:$H$3004,'Mouvements stock'!$I$5:$I$3004,$A589,'Mouvements stock'!$C$5:$C$3004,"Retour"))</f>
        <v/>
      </c>
      <c r="X589" s="66" t="n">
        <v>0</v>
      </c>
      <c r="Y589" s="66" t="n">
        <v>0</v>
      </c>
      <c r="Z589" s="7" t="n"/>
      <c r="AA589" s="70">
        <f>IF($A589="","",N(V589)+N(W589)+N(X589)+N(Y589))</f>
        <v/>
      </c>
      <c r="AB589" s="70">
        <f>IF($A589="","",N(S589)*'Paramètres'!$AA$9*IFERROR(INDEX('Paramètres'!$O$5:$O$7,MATCH(G589,'Paramètres'!$N$5:$N$7,0)),0))</f>
        <v/>
      </c>
      <c r="AC589" s="7" t="inlineStr">
        <is>
          <t>Clôturé</t>
        </is>
      </c>
      <c r="AD589" s="69">
        <f>IF(OR($A589="",Q589=""),"",(Q589-B589)*24)</f>
        <v/>
      </c>
      <c r="AE589" s="69">
        <f>IF(OR(Q589="",R589=""),"",(R589-Q589)*24)</f>
        <v/>
      </c>
      <c r="AF589" s="77">
        <f>IF(OR($A589="",B589=""),"",YEAR(B589))</f>
        <v/>
      </c>
      <c r="AG589" s="77">
        <f>IF(OR($A589="",B589=""),"",MONTH(B589))</f>
        <v/>
      </c>
    </row>
    <row r="590">
      <c r="A590" s="7" t="inlineStr">
        <is>
          <t>OT-2025-0586</t>
        </is>
      </c>
      <c r="B590" s="75" t="n">
        <v>45917.60555555556</v>
      </c>
      <c r="C590" s="7" t="inlineStr">
        <is>
          <t>Cariste</t>
        </is>
      </c>
      <c r="D590" s="7" t="inlineStr">
        <is>
          <t>EQ-LOG-008</t>
        </is>
      </c>
      <c r="E590" s="9">
        <f>IF(D590="","",IFERROR(INDEX('Équipements'!$B$5:$B$304,MATCH(D590,'Équipements'!$A$5:$A$304,0)),"Code inconnu"))</f>
        <v/>
      </c>
      <c r="F590" s="9">
        <f>IF(D590="","",IFERROR(INDEX('Équipements'!$D$5:$D$304,MATCH(D590,'Équipements'!$A$5:$A$304,0)),""))</f>
        <v/>
      </c>
      <c r="G590" s="9">
        <f>IF(D590="","",IFERROR(INDEX('Équipements'!$K$5:$K$304,MATCH(D590,'Équipements'!$A$5:$A$304,0)),""))</f>
        <v/>
      </c>
      <c r="H590" s="7" t="inlineStr">
        <is>
          <t>Correctif</t>
        </is>
      </c>
      <c r="I590" s="7" t="n"/>
      <c r="J590" s="7" t="inlineStr">
        <is>
          <t>Mécanique</t>
        </is>
      </c>
      <c r="K590" s="7" t="inlineStr">
        <is>
          <t>P4 - Basse</t>
        </is>
      </c>
      <c r="L590" s="7" t="inlineStr">
        <is>
          <t>Frein de levée bruyant</t>
        </is>
      </c>
      <c r="M590" s="7" t="inlineStr">
        <is>
          <t>Usure</t>
        </is>
      </c>
      <c r="N590" s="7" t="inlineStr">
        <is>
          <t>Réglage et remplacement garnitures</t>
        </is>
      </c>
      <c r="O590" s="7" t="inlineStr">
        <is>
          <t>Karim Benali</t>
        </is>
      </c>
      <c r="P590" s="65" t="n"/>
      <c r="Q590" s="75" t="n">
        <v>45923.57291666666</v>
      </c>
      <c r="R590" s="75" t="n">
        <v>45923.75</v>
      </c>
      <c r="S590" s="76" t="n">
        <v>0</v>
      </c>
      <c r="T590" s="76" t="n">
        <v>4.25</v>
      </c>
      <c r="U590" s="70">
        <f>IF($A590="","",IFERROR(INDEX('Techniciens'!$F$5:$F$44,MATCH(O590,'Techniciens'!$B$5:$B$44,0)),'Paramètres'!$AA$10))</f>
        <v/>
      </c>
      <c r="V590" s="70">
        <f>IF($A590="","",IF(OR(AC590="Demandé",AC590="Planifié",AC590="Annulé"),0,N(T590)*N(U590)))</f>
        <v/>
      </c>
      <c r="W590" s="70">
        <f>IF($A590="","",SUMIFS('Mouvements stock'!$H$5:$H$3004,'Mouvements stock'!$I$5:$I$3004,$A590,'Mouvements stock'!$C$5:$C$3004,"Sortie")-SUMIFS('Mouvements stock'!$H$5:$H$3004,'Mouvements stock'!$I$5:$I$3004,$A590,'Mouvements stock'!$C$5:$C$3004,"Retour"))</f>
        <v/>
      </c>
      <c r="X590" s="66" t="n">
        <v>0</v>
      </c>
      <c r="Y590" s="66" t="n">
        <v>0</v>
      </c>
      <c r="Z590" s="7" t="n"/>
      <c r="AA590" s="70">
        <f>IF($A590="","",N(V590)+N(W590)+N(X590)+N(Y590))</f>
        <v/>
      </c>
      <c r="AB590" s="70">
        <f>IF($A590="","",N(S590)*'Paramètres'!$AA$9*IFERROR(INDEX('Paramètres'!$O$5:$O$7,MATCH(G590,'Paramètres'!$N$5:$N$7,0)),0))</f>
        <v/>
      </c>
      <c r="AC590" s="7" t="inlineStr">
        <is>
          <t>Clôturé</t>
        </is>
      </c>
      <c r="AD590" s="69">
        <f>IF(OR($A590="",Q590=""),"",(Q590-B590)*24)</f>
        <v/>
      </c>
      <c r="AE590" s="69">
        <f>IF(OR(Q590="",R590=""),"",(R590-Q590)*24)</f>
        <v/>
      </c>
      <c r="AF590" s="77">
        <f>IF(OR($A590="",B590=""),"",YEAR(B590))</f>
        <v/>
      </c>
      <c r="AG590" s="77">
        <f>IF(OR($A590="",B590=""),"",MONTH(B590))</f>
        <v/>
      </c>
    </row>
    <row r="591">
      <c r="A591" s="7" t="inlineStr">
        <is>
          <t>OT-2025-0587</t>
        </is>
      </c>
      <c r="B591" s="75" t="n">
        <v>45918.22986111111</v>
      </c>
      <c r="C591" s="7" t="inlineStr">
        <is>
          <t>Cariste</t>
        </is>
      </c>
      <c r="D591" s="7" t="inlineStr">
        <is>
          <t>EQ-LOG-006</t>
        </is>
      </c>
      <c r="E591" s="9">
        <f>IF(D591="","",IFERROR(INDEX('Équipements'!$B$5:$B$304,MATCH(D591,'Équipements'!$A$5:$A$304,0)),"Code inconnu"))</f>
        <v/>
      </c>
      <c r="F591" s="9">
        <f>IF(D591="","",IFERROR(INDEX('Équipements'!$D$5:$D$304,MATCH(D591,'Équipements'!$A$5:$A$304,0)),""))</f>
        <v/>
      </c>
      <c r="G591" s="9">
        <f>IF(D591="","",IFERROR(INDEX('Équipements'!$K$5:$K$304,MATCH(D591,'Équipements'!$A$5:$A$304,0)),""))</f>
        <v/>
      </c>
      <c r="H591" s="7" t="inlineStr">
        <is>
          <t>Correctif</t>
        </is>
      </c>
      <c r="I591" s="7" t="n"/>
      <c r="J591" s="7" t="inlineStr">
        <is>
          <t>Électrique</t>
        </is>
      </c>
      <c r="K591" s="7" t="inlineStr">
        <is>
          <t>P2 - Haute</t>
        </is>
      </c>
      <c r="L591" s="7" t="inlineStr">
        <is>
          <t>Défaut boîte à boutons de commande</t>
        </is>
      </c>
      <c r="M591" s="7" t="inlineStr">
        <is>
          <t>Défaut électrique</t>
        </is>
      </c>
      <c r="N591" s="7" t="inlineStr">
        <is>
          <t>Remplacement contacteur de boîte à boutons</t>
        </is>
      </c>
      <c r="O591" s="7" t="inlineStr">
        <is>
          <t>Julien Moreau</t>
        </is>
      </c>
      <c r="P591" s="65" t="n"/>
      <c r="Q591" s="75" t="n">
        <v>45918.46805555555</v>
      </c>
      <c r="R591" s="75" t="n">
        <v>45918.57222222222</v>
      </c>
      <c r="S591" s="76" t="n">
        <v>8.199999999999999</v>
      </c>
      <c r="T591" s="76" t="n">
        <v>2.5</v>
      </c>
      <c r="U591" s="70">
        <f>IF($A591="","",IFERROR(INDEX('Techniciens'!$F$5:$F$44,MATCH(O591,'Techniciens'!$B$5:$B$44,0)),'Paramètres'!$AA$10))</f>
        <v/>
      </c>
      <c r="V591" s="70">
        <f>IF($A591="","",IF(OR(AC591="Demandé",AC591="Planifié",AC591="Annulé"),0,N(T591)*N(U591)))</f>
        <v/>
      </c>
      <c r="W591" s="70">
        <f>IF($A591="","",SUMIFS('Mouvements stock'!$H$5:$H$3004,'Mouvements stock'!$I$5:$I$3004,$A591,'Mouvements stock'!$C$5:$C$3004,"Sortie")-SUMIFS('Mouvements stock'!$H$5:$H$3004,'Mouvements stock'!$I$5:$I$3004,$A591,'Mouvements stock'!$C$5:$C$3004,"Retour"))</f>
        <v/>
      </c>
      <c r="X591" s="66" t="n">
        <v>0</v>
      </c>
      <c r="Y591" s="66" t="n">
        <v>0</v>
      </c>
      <c r="Z591" s="7" t="n"/>
      <c r="AA591" s="70">
        <f>IF($A591="","",N(V591)+N(W591)+N(X591)+N(Y591))</f>
        <v/>
      </c>
      <c r="AB591" s="70">
        <f>IF($A591="","",N(S591)*'Paramètres'!$AA$9*IFERROR(INDEX('Paramètres'!$O$5:$O$7,MATCH(G591,'Paramètres'!$N$5:$N$7,0)),0))</f>
        <v/>
      </c>
      <c r="AC591" s="7" t="inlineStr">
        <is>
          <t>Clôturé</t>
        </is>
      </c>
      <c r="AD591" s="69">
        <f>IF(OR($A591="",Q591=""),"",(Q591-B591)*24)</f>
        <v/>
      </c>
      <c r="AE591" s="69">
        <f>IF(OR(Q591="",R591=""),"",(R591-Q591)*24)</f>
        <v/>
      </c>
      <c r="AF591" s="77">
        <f>IF(OR($A591="",B591=""),"",YEAR(B591))</f>
        <v/>
      </c>
      <c r="AG591" s="77">
        <f>IF(OR($A591="",B591=""),"",MONTH(B591))</f>
        <v/>
      </c>
    </row>
    <row r="592">
      <c r="A592" s="7" t="inlineStr">
        <is>
          <t>OT-2025-0588</t>
        </is>
      </c>
      <c r="B592" s="75" t="n">
        <v>45918.36111111111</v>
      </c>
      <c r="C592" s="7" t="inlineStr">
        <is>
          <t>Plan préventif</t>
        </is>
      </c>
      <c r="D592" s="7" t="inlineStr">
        <is>
          <t>EQ-TOL-002</t>
        </is>
      </c>
      <c r="E592" s="9">
        <f>IF(D592="","",IFERROR(INDEX('Équipements'!$B$5:$B$304,MATCH(D592,'Équipements'!$A$5:$A$304,0)),"Code inconnu"))</f>
        <v/>
      </c>
      <c r="F592" s="9">
        <f>IF(D592="","",IFERROR(INDEX('Équipements'!$D$5:$D$304,MATCH(D592,'Équipements'!$A$5:$A$304,0)),""))</f>
        <v/>
      </c>
      <c r="G592" s="9">
        <f>IF(D592="","",IFERROR(INDEX('Équipements'!$K$5:$K$304,MATCH(D592,'Équipements'!$A$5:$A$304,0)),""))</f>
        <v/>
      </c>
      <c r="H592" s="7" t="inlineStr">
        <is>
          <t>Préventif systématique</t>
        </is>
      </c>
      <c r="I592" s="7" t="inlineStr">
        <is>
          <t>GP-043</t>
        </is>
      </c>
      <c r="J592" s="7" t="inlineStr">
        <is>
          <t>Électrique</t>
        </is>
      </c>
      <c r="K592" s="7" t="inlineStr">
        <is>
          <t>P3 - Normale</t>
        </is>
      </c>
      <c r="L592" s="7" t="inlineStr">
        <is>
          <t>Contrôle des sécurités (barrages, AU, pédale)</t>
        </is>
      </c>
      <c r="M592" s="7" t="n"/>
      <c r="N592" s="7" t="inlineStr">
        <is>
          <t>Gamme réalisée - RAS</t>
        </is>
      </c>
      <c r="O592" s="7" t="inlineStr">
        <is>
          <t>Julien Moreau</t>
        </is>
      </c>
      <c r="P592" s="65" t="n">
        <v>45925.64236111111</v>
      </c>
      <c r="Q592" s="75" t="n">
        <v>45925.52777777778</v>
      </c>
      <c r="R592" s="75" t="n">
        <v>45925.57986111111</v>
      </c>
      <c r="S592" s="76" t="n">
        <v>1.2</v>
      </c>
      <c r="T592" s="76" t="n">
        <v>1.25</v>
      </c>
      <c r="U592" s="70">
        <f>IF($A592="","",IFERROR(INDEX('Techniciens'!$F$5:$F$44,MATCH(O592,'Techniciens'!$B$5:$B$44,0)),'Paramètres'!$AA$10))</f>
        <v/>
      </c>
      <c r="V592" s="70">
        <f>IF($A592="","",IF(OR(AC592="Demandé",AC592="Planifié",AC592="Annulé"),0,N(T592)*N(U592)))</f>
        <v/>
      </c>
      <c r="W592" s="70">
        <f>IF($A592="","",SUMIFS('Mouvements stock'!$H$5:$H$3004,'Mouvements stock'!$I$5:$I$3004,$A592,'Mouvements stock'!$C$5:$C$3004,"Sortie")-SUMIFS('Mouvements stock'!$H$5:$H$3004,'Mouvements stock'!$I$5:$I$3004,$A592,'Mouvements stock'!$C$5:$C$3004,"Retour"))</f>
        <v/>
      </c>
      <c r="X592" s="66" t="n">
        <v>0</v>
      </c>
      <c r="Y592" s="66" t="n">
        <v>0</v>
      </c>
      <c r="Z592" s="7" t="n"/>
      <c r="AA592" s="70">
        <f>IF($A592="","",N(V592)+N(W592)+N(X592)+N(Y592))</f>
        <v/>
      </c>
      <c r="AB592" s="70">
        <f>IF($A592="","",N(S592)*'Paramètres'!$AA$9*IFERROR(INDEX('Paramètres'!$O$5:$O$7,MATCH(G592,'Paramètres'!$N$5:$N$7,0)),0))</f>
        <v/>
      </c>
      <c r="AC592" s="7" t="inlineStr">
        <is>
          <t>Clôturé</t>
        </is>
      </c>
      <c r="AD592" s="69">
        <f>IF(OR($A592="",Q592=""),"",(Q592-B592)*24)</f>
        <v/>
      </c>
      <c r="AE592" s="69">
        <f>IF(OR(Q592="",R592=""),"",(R592-Q592)*24)</f>
        <v/>
      </c>
      <c r="AF592" s="77">
        <f>IF(OR($A592="",B592=""),"",YEAR(B592))</f>
        <v/>
      </c>
      <c r="AG592" s="77">
        <f>IF(OR($A592="",B592=""),"",MONTH(B592))</f>
        <v/>
      </c>
    </row>
    <row r="593">
      <c r="A593" s="7" t="inlineStr">
        <is>
          <t>OT-2025-0589</t>
        </is>
      </c>
      <c r="B593" s="75" t="n">
        <v>45918.4</v>
      </c>
      <c r="C593" s="7" t="inlineStr">
        <is>
          <t>Opérateur soudure</t>
        </is>
      </c>
      <c r="D593" s="7" t="inlineStr">
        <is>
          <t>EQ-SOU-001</t>
        </is>
      </c>
      <c r="E593" s="9">
        <f>IF(D593="","",IFERROR(INDEX('Équipements'!$B$5:$B$304,MATCH(D593,'Équipements'!$A$5:$A$304,0)),"Code inconnu"))</f>
        <v/>
      </c>
      <c r="F593" s="9">
        <f>IF(D593="","",IFERROR(INDEX('Équipements'!$D$5:$D$304,MATCH(D593,'Équipements'!$A$5:$A$304,0)),""))</f>
        <v/>
      </c>
      <c r="G593" s="9">
        <f>IF(D593="","",IFERROR(INDEX('Équipements'!$K$5:$K$304,MATCH(D593,'Équipements'!$A$5:$A$304,0)),""))</f>
        <v/>
      </c>
      <c r="H593" s="7" t="inlineStr">
        <is>
          <t>Correctif</t>
        </is>
      </c>
      <c r="I593" s="7" t="n"/>
      <c r="J593" s="7" t="inlineStr">
        <is>
          <t>Automatisme</t>
        </is>
      </c>
      <c r="K593" s="7" t="inlineStr">
        <is>
          <t>P2 - Haute</t>
        </is>
      </c>
      <c r="L593" s="7" t="inlineStr">
        <is>
          <t>Défaut préhenseur / capteur de présence pièce</t>
        </is>
      </c>
      <c r="M593" s="7" t="inlineStr">
        <is>
          <t>Défaut capteur</t>
        </is>
      </c>
      <c r="N593" s="7" t="inlineStr">
        <is>
          <t>Remplacement détecteur, réglage préhenseur</t>
        </is>
      </c>
      <c r="O593" s="7" t="inlineStr">
        <is>
          <t>Sophie Garnier</t>
        </is>
      </c>
      <c r="P593" s="65" t="n"/>
      <c r="Q593" s="75" t="n">
        <v>45918.46944444445</v>
      </c>
      <c r="R593" s="75" t="n">
        <v>45918.56319444445</v>
      </c>
      <c r="S593" s="76" t="n">
        <v>3.9</v>
      </c>
      <c r="T593" s="76" t="n">
        <v>2.25</v>
      </c>
      <c r="U593" s="70">
        <f>IF($A593="","",IFERROR(INDEX('Techniciens'!$F$5:$F$44,MATCH(O593,'Techniciens'!$B$5:$B$44,0)),'Paramètres'!$AA$10))</f>
        <v/>
      </c>
      <c r="V593" s="70">
        <f>IF($A593="","",IF(OR(AC593="Demandé",AC593="Planifié",AC593="Annulé"),0,N(T593)*N(U593)))</f>
        <v/>
      </c>
      <c r="W593" s="70">
        <f>IF($A593="","",SUMIFS('Mouvements stock'!$H$5:$H$3004,'Mouvements stock'!$I$5:$I$3004,$A593,'Mouvements stock'!$C$5:$C$3004,"Sortie")-SUMIFS('Mouvements stock'!$H$5:$H$3004,'Mouvements stock'!$I$5:$I$3004,$A593,'Mouvements stock'!$C$5:$C$3004,"Retour"))</f>
        <v/>
      </c>
      <c r="X593" s="66" t="n">
        <v>0</v>
      </c>
      <c r="Y593" s="66" t="n">
        <v>0</v>
      </c>
      <c r="Z593" s="7" t="n"/>
      <c r="AA593" s="70">
        <f>IF($A593="","",N(V593)+N(W593)+N(X593)+N(Y593))</f>
        <v/>
      </c>
      <c r="AB593" s="70">
        <f>IF($A593="","",N(S593)*'Paramètres'!$AA$9*IFERROR(INDEX('Paramètres'!$O$5:$O$7,MATCH(G593,'Paramètres'!$N$5:$N$7,0)),0))</f>
        <v/>
      </c>
      <c r="AC593" s="7" t="inlineStr">
        <is>
          <t>Clôturé</t>
        </is>
      </c>
      <c r="AD593" s="69">
        <f>IF(OR($A593="",Q593=""),"",(Q593-B593)*24)</f>
        <v/>
      </c>
      <c r="AE593" s="69">
        <f>IF(OR(Q593="",R593=""),"",(R593-Q593)*24)</f>
        <v/>
      </c>
      <c r="AF593" s="77">
        <f>IF(OR($A593="",B593=""),"",YEAR(B593))</f>
        <v/>
      </c>
      <c r="AG593" s="77">
        <f>IF(OR($A593="",B593=""),"",MONTH(B593))</f>
        <v/>
      </c>
    </row>
    <row r="594">
      <c r="A594" s="7" t="inlineStr">
        <is>
          <t>OT-2025-0590</t>
        </is>
      </c>
      <c r="B594" s="75" t="n">
        <v>45918.46875</v>
      </c>
      <c r="C594" s="7" t="inlineStr">
        <is>
          <t>Plan préventif</t>
        </is>
      </c>
      <c r="D594" s="7" t="inlineStr">
        <is>
          <t>EQ-ASS-004</t>
        </is>
      </c>
      <c r="E594" s="9">
        <f>IF(D594="","",IFERROR(INDEX('Équipements'!$B$5:$B$304,MATCH(D594,'Équipements'!$A$5:$A$304,0)),"Code inconnu"))</f>
        <v/>
      </c>
      <c r="F594" s="9">
        <f>IF(D594="","",IFERROR(INDEX('Équipements'!$D$5:$D$304,MATCH(D594,'Équipements'!$A$5:$A$304,0)),""))</f>
        <v/>
      </c>
      <c r="G594" s="9">
        <f>IF(D594="","",IFERROR(INDEX('Équipements'!$K$5:$K$304,MATCH(D594,'Équipements'!$A$5:$A$304,0)),""))</f>
        <v/>
      </c>
      <c r="H594" s="7" t="inlineStr">
        <is>
          <t>Préventif systématique</t>
        </is>
      </c>
      <c r="I594" s="7" t="inlineStr">
        <is>
          <t>GP-082</t>
        </is>
      </c>
      <c r="J594" s="7" t="inlineStr">
        <is>
          <t>Électrique</t>
        </is>
      </c>
      <c r="K594" s="7" t="inlineStr">
        <is>
          <t>P3 - Normale</t>
        </is>
      </c>
      <c r="L594" s="7" t="inlineStr">
        <is>
          <t>Étalonnage / vérification métrologique</t>
        </is>
      </c>
      <c r="M594" s="7" t="n"/>
      <c r="N594" s="7" t="inlineStr">
        <is>
          <t>Gamme réalisée - RAS</t>
        </is>
      </c>
      <c r="O594" s="7" t="inlineStr">
        <is>
          <t>Antoine Mercier</t>
        </is>
      </c>
      <c r="P594" s="65" t="n">
        <v>45925</v>
      </c>
      <c r="Q594" s="75" t="n">
        <v>45925.58333333334</v>
      </c>
      <c r="R594" s="75" t="n">
        <v>45925.6875</v>
      </c>
      <c r="S594" s="76" t="n">
        <v>0</v>
      </c>
      <c r="T594" s="76" t="n">
        <v>2</v>
      </c>
      <c r="U594" s="70">
        <f>IF($A594="","",IFERROR(INDEX('Techniciens'!$F$5:$F$44,MATCH(O594,'Techniciens'!$B$5:$B$44,0)),'Paramètres'!$AA$10))</f>
        <v/>
      </c>
      <c r="V594" s="70">
        <f>IF($A594="","",IF(OR(AC594="Demandé",AC594="Planifié",AC594="Annulé"),0,N(T594)*N(U594)))</f>
        <v/>
      </c>
      <c r="W594" s="70">
        <f>IF($A594="","",SUMIFS('Mouvements stock'!$H$5:$H$3004,'Mouvements stock'!$I$5:$I$3004,$A594,'Mouvements stock'!$C$5:$C$3004,"Sortie")-SUMIFS('Mouvements stock'!$H$5:$H$3004,'Mouvements stock'!$I$5:$I$3004,$A594,'Mouvements stock'!$C$5:$C$3004,"Retour"))</f>
        <v/>
      </c>
      <c r="X594" s="66" t="n">
        <v>0</v>
      </c>
      <c r="Y594" s="66" t="n">
        <v>640</v>
      </c>
      <c r="Z594" s="7" t="inlineStr">
        <is>
          <t>Métrologie Contrôle Services</t>
        </is>
      </c>
      <c r="AA594" s="70">
        <f>IF($A594="","",N(V594)+N(W594)+N(X594)+N(Y594))</f>
        <v/>
      </c>
      <c r="AB594" s="70">
        <f>IF($A594="","",N(S594)*'Paramètres'!$AA$9*IFERROR(INDEX('Paramètres'!$O$5:$O$7,MATCH(G594,'Paramètres'!$N$5:$N$7,0)),0))</f>
        <v/>
      </c>
      <c r="AC594" s="7" t="inlineStr">
        <is>
          <t>Clôturé</t>
        </is>
      </c>
      <c r="AD594" s="69">
        <f>IF(OR($A594="",Q594=""),"",(Q594-B594)*24)</f>
        <v/>
      </c>
      <c r="AE594" s="69">
        <f>IF(OR(Q594="",R594=""),"",(R594-Q594)*24)</f>
        <v/>
      </c>
      <c r="AF594" s="77">
        <f>IF(OR($A594="",B594=""),"",YEAR(B594))</f>
        <v/>
      </c>
      <c r="AG594" s="77">
        <f>IF(OR($A594="",B594=""),"",MONTH(B594))</f>
        <v/>
      </c>
    </row>
    <row r="595">
      <c r="A595" s="7" t="inlineStr">
        <is>
          <t>OT-2025-0591</t>
        </is>
      </c>
      <c r="B595" s="75" t="n">
        <v>45920.625</v>
      </c>
      <c r="C595" s="7" t="inlineStr">
        <is>
          <t>Éric Laurent (chef d'atelier)</t>
        </is>
      </c>
      <c r="D595" s="7" t="inlineStr">
        <is>
          <t>EQ-USI-006</t>
        </is>
      </c>
      <c r="E595" s="9">
        <f>IF(D595="","",IFERROR(INDEX('Équipements'!$B$5:$B$304,MATCH(D595,'Équipements'!$A$5:$A$304,0)),"Code inconnu"))</f>
        <v/>
      </c>
      <c r="F595" s="9">
        <f>IF(D595="","",IFERROR(INDEX('Équipements'!$D$5:$D$304,MATCH(D595,'Équipements'!$A$5:$A$304,0)),""))</f>
        <v/>
      </c>
      <c r="G595" s="9">
        <f>IF(D595="","",IFERROR(INDEX('Équipements'!$K$5:$K$304,MATCH(D595,'Équipements'!$A$5:$A$304,0)),""))</f>
        <v/>
      </c>
      <c r="H595" s="7" t="inlineStr">
        <is>
          <t>Correctif</t>
        </is>
      </c>
      <c r="I595" s="7" t="n"/>
      <c r="J595" s="7" t="inlineStr">
        <is>
          <t>Électrique</t>
        </is>
      </c>
      <c r="K595" s="7" t="inlineStr">
        <is>
          <t>P3 - Normale</t>
        </is>
      </c>
      <c r="L595" s="7" t="inlineStr">
        <is>
          <t>Défaut ventilation armoire électrique</t>
        </is>
      </c>
      <c r="M595" s="7" t="inlineStr">
        <is>
          <t>Encrassement</t>
        </is>
      </c>
      <c r="N595" s="7" t="inlineStr">
        <is>
          <t>Nettoyage et remplacement ventilateur d'armoire</t>
        </is>
      </c>
      <c r="O595" s="7" t="inlineStr">
        <is>
          <t>Antoine Mercier</t>
        </is>
      </c>
      <c r="P595" s="65" t="n"/>
      <c r="Q595" s="75" t="n">
        <v>45921.55555555555</v>
      </c>
      <c r="R595" s="75" t="n">
        <v>45921.72222222222</v>
      </c>
      <c r="S595" s="76" t="n">
        <v>0</v>
      </c>
      <c r="T595" s="76" t="n">
        <v>4</v>
      </c>
      <c r="U595" s="70">
        <f>IF($A595="","",IFERROR(INDEX('Techniciens'!$F$5:$F$44,MATCH(O595,'Techniciens'!$B$5:$B$44,0)),'Paramètres'!$AA$10))</f>
        <v/>
      </c>
      <c r="V595" s="70">
        <f>IF($A595="","",IF(OR(AC595="Demandé",AC595="Planifié",AC595="Annulé"),0,N(T595)*N(U595)))</f>
        <v/>
      </c>
      <c r="W595" s="70">
        <f>IF($A595="","",SUMIFS('Mouvements stock'!$H$5:$H$3004,'Mouvements stock'!$I$5:$I$3004,$A595,'Mouvements stock'!$C$5:$C$3004,"Sortie")-SUMIFS('Mouvements stock'!$H$5:$H$3004,'Mouvements stock'!$I$5:$I$3004,$A595,'Mouvements stock'!$C$5:$C$3004,"Retour"))</f>
        <v/>
      </c>
      <c r="X595" s="66" t="n">
        <v>0</v>
      </c>
      <c r="Y595" s="66" t="n">
        <v>0</v>
      </c>
      <c r="Z595" s="7" t="n"/>
      <c r="AA595" s="70">
        <f>IF($A595="","",N(V595)+N(W595)+N(X595)+N(Y595))</f>
        <v/>
      </c>
      <c r="AB595" s="70">
        <f>IF($A595="","",N(S595)*'Paramètres'!$AA$9*IFERROR(INDEX('Paramètres'!$O$5:$O$7,MATCH(G595,'Paramètres'!$N$5:$N$7,0)),0))</f>
        <v/>
      </c>
      <c r="AC595" s="7" t="inlineStr">
        <is>
          <t>Clôturé</t>
        </is>
      </c>
      <c r="AD595" s="69">
        <f>IF(OR($A595="",Q595=""),"",(Q595-B595)*24)</f>
        <v/>
      </c>
      <c r="AE595" s="69">
        <f>IF(OR(Q595="",R595=""),"",(R595-Q595)*24)</f>
        <v/>
      </c>
      <c r="AF595" s="77">
        <f>IF(OR($A595="",B595=""),"",YEAR(B595))</f>
        <v/>
      </c>
      <c r="AG595" s="77">
        <f>IF(OR($A595="",B595=""),"",MONTH(B595))</f>
        <v/>
      </c>
    </row>
    <row r="596">
      <c r="A596" s="7" t="inlineStr">
        <is>
          <t>OT-2025-0592</t>
        </is>
      </c>
      <c r="B596" s="75" t="n">
        <v>45922.32847222222</v>
      </c>
      <c r="C596" s="7" t="inlineStr">
        <is>
          <t>Sylvie Mathieu (resp. logistique)</t>
        </is>
      </c>
      <c r="D596" s="7" t="inlineStr">
        <is>
          <t>EQ-LOG-005</t>
        </is>
      </c>
      <c r="E596" s="9">
        <f>IF(D596="","",IFERROR(INDEX('Équipements'!$B$5:$B$304,MATCH(D596,'Équipements'!$A$5:$A$304,0)),"Code inconnu"))</f>
        <v/>
      </c>
      <c r="F596" s="9">
        <f>IF(D596="","",IFERROR(INDEX('Équipements'!$D$5:$D$304,MATCH(D596,'Équipements'!$A$5:$A$304,0)),""))</f>
        <v/>
      </c>
      <c r="G596" s="9">
        <f>IF(D596="","",IFERROR(INDEX('Équipements'!$K$5:$K$304,MATCH(D596,'Équipements'!$A$5:$A$304,0)),""))</f>
        <v/>
      </c>
      <c r="H596" s="7" t="inlineStr">
        <is>
          <t>Correctif</t>
        </is>
      </c>
      <c r="I596" s="7" t="n"/>
      <c r="J596" s="7" t="inlineStr">
        <is>
          <t>Électrique</t>
        </is>
      </c>
      <c r="K596" s="7" t="inlineStr">
        <is>
          <t>P4 - Basse</t>
        </is>
      </c>
      <c r="L596" s="7" t="inlineStr">
        <is>
          <t>Avertisseur / feux défectueux</t>
        </is>
      </c>
      <c r="M596" s="7" t="inlineStr">
        <is>
          <t>Défaut électrique</t>
        </is>
      </c>
      <c r="N596" s="7" t="inlineStr">
        <is>
          <t>Remplacement contacteur</t>
        </is>
      </c>
      <c r="O596" s="7" t="inlineStr">
        <is>
          <t>Julien Moreau</t>
        </is>
      </c>
      <c r="P596" s="65" t="n"/>
      <c r="Q596" s="75" t="n">
        <v>45927.91319444445</v>
      </c>
      <c r="R596" s="75" t="n">
        <v>45928.00694444445</v>
      </c>
      <c r="S596" s="76" t="n">
        <v>0</v>
      </c>
      <c r="T596" s="76" t="n">
        <v>2.25</v>
      </c>
      <c r="U596" s="70">
        <f>IF($A596="","",IFERROR(INDEX('Techniciens'!$F$5:$F$44,MATCH(O596,'Techniciens'!$B$5:$B$44,0)),'Paramètres'!$AA$10))</f>
        <v/>
      </c>
      <c r="V596" s="70">
        <f>IF($A596="","",IF(OR(AC596="Demandé",AC596="Planifié",AC596="Annulé"),0,N(T596)*N(U596)))</f>
        <v/>
      </c>
      <c r="W596" s="70">
        <f>IF($A596="","",SUMIFS('Mouvements stock'!$H$5:$H$3004,'Mouvements stock'!$I$5:$I$3004,$A596,'Mouvements stock'!$C$5:$C$3004,"Sortie")-SUMIFS('Mouvements stock'!$H$5:$H$3004,'Mouvements stock'!$I$5:$I$3004,$A596,'Mouvements stock'!$C$5:$C$3004,"Retour"))</f>
        <v/>
      </c>
      <c r="X596" s="66" t="n">
        <v>0</v>
      </c>
      <c r="Y596" s="66" t="n">
        <v>0</v>
      </c>
      <c r="Z596" s="7" t="n"/>
      <c r="AA596" s="70">
        <f>IF($A596="","",N(V596)+N(W596)+N(X596)+N(Y596))</f>
        <v/>
      </c>
      <c r="AB596" s="70">
        <f>IF($A596="","",N(S596)*'Paramètres'!$AA$9*IFERROR(INDEX('Paramètres'!$O$5:$O$7,MATCH(G596,'Paramètres'!$N$5:$N$7,0)),0))</f>
        <v/>
      </c>
      <c r="AC596" s="7" t="inlineStr">
        <is>
          <t>Clôturé</t>
        </is>
      </c>
      <c r="AD596" s="69">
        <f>IF(OR($A596="",Q596=""),"",(Q596-B596)*24)</f>
        <v/>
      </c>
      <c r="AE596" s="69">
        <f>IF(OR(Q596="",R596=""),"",(R596-Q596)*24)</f>
        <v/>
      </c>
      <c r="AF596" s="77">
        <f>IF(OR($A596="",B596=""),"",YEAR(B596))</f>
        <v/>
      </c>
      <c r="AG596" s="77">
        <f>IF(OR($A596="",B596=""),"",MONTH(B596))</f>
        <v/>
      </c>
    </row>
    <row r="597">
      <c r="A597" s="7" t="inlineStr">
        <is>
          <t>OT-2025-0593</t>
        </is>
      </c>
      <c r="B597" s="75" t="n">
        <v>45922.40277777778</v>
      </c>
      <c r="C597" s="7" t="inlineStr">
        <is>
          <t>Plan préventif</t>
        </is>
      </c>
      <c r="D597" s="7" t="inlineStr">
        <is>
          <t>EQ-BAT-006</t>
        </is>
      </c>
      <c r="E597" s="9">
        <f>IF(D597="","",IFERROR(INDEX('Équipements'!$B$5:$B$304,MATCH(D597,'Équipements'!$A$5:$A$304,0)),"Code inconnu"))</f>
        <v/>
      </c>
      <c r="F597" s="9">
        <f>IF(D597="","",IFERROR(INDEX('Équipements'!$D$5:$D$304,MATCH(D597,'Équipements'!$A$5:$A$304,0)),""))</f>
        <v/>
      </c>
      <c r="G597" s="9">
        <f>IF(D597="","",IFERROR(INDEX('Équipements'!$K$5:$K$304,MATCH(D597,'Équipements'!$A$5:$A$304,0)),""))</f>
        <v/>
      </c>
      <c r="H597" s="7" t="inlineStr">
        <is>
          <t>Préventif systématique</t>
        </is>
      </c>
      <c r="I597" s="7" t="inlineStr">
        <is>
          <t>GP-126</t>
        </is>
      </c>
      <c r="J597" s="7" t="inlineStr">
        <is>
          <t>Électrique</t>
        </is>
      </c>
      <c r="K597" s="7" t="inlineStr">
        <is>
          <t>P3 - Normale</t>
        </is>
      </c>
      <c r="L597" s="7" t="inlineStr">
        <is>
          <t>Inspection, nettoyage et resserrage des connexions</t>
        </is>
      </c>
      <c r="M597" s="7" t="n"/>
      <c r="N597" s="7" t="inlineStr">
        <is>
          <t>Gamme réalisée - RAS</t>
        </is>
      </c>
      <c r="O597" s="7" t="inlineStr">
        <is>
          <t>Antoine Mercier</t>
        </is>
      </c>
      <c r="P597" s="65" t="n">
        <v>45929</v>
      </c>
      <c r="Q597" s="75" t="n">
        <v>45929.44791666666</v>
      </c>
      <c r="R597" s="75" t="n">
        <v>45929.75</v>
      </c>
      <c r="S597" s="76" t="n">
        <v>0</v>
      </c>
      <c r="T597" s="76" t="n">
        <v>7.25</v>
      </c>
      <c r="U597" s="70">
        <f>IF($A597="","",IFERROR(INDEX('Techniciens'!$F$5:$F$44,MATCH(O597,'Techniciens'!$B$5:$B$44,0)),'Paramètres'!$AA$10))</f>
        <v/>
      </c>
      <c r="V597" s="70">
        <f>IF($A597="","",IF(OR(AC597="Demandé",AC597="Planifié",AC597="Annulé"),0,N(T597)*N(U597)))</f>
        <v/>
      </c>
      <c r="W597" s="70">
        <f>IF($A597="","",SUMIFS('Mouvements stock'!$H$5:$H$3004,'Mouvements stock'!$I$5:$I$3004,$A597,'Mouvements stock'!$C$5:$C$3004,"Sortie")-SUMIFS('Mouvements stock'!$H$5:$H$3004,'Mouvements stock'!$I$5:$I$3004,$A597,'Mouvements stock'!$C$5:$C$3004,"Retour"))</f>
        <v/>
      </c>
      <c r="X597" s="66" t="n">
        <v>0</v>
      </c>
      <c r="Y597" s="66" t="n">
        <v>0</v>
      </c>
      <c r="Z597" s="7" t="n"/>
      <c r="AA597" s="70">
        <f>IF($A597="","",N(V597)+N(W597)+N(X597)+N(Y597))</f>
        <v/>
      </c>
      <c r="AB597" s="70">
        <f>IF($A597="","",N(S597)*'Paramètres'!$AA$9*IFERROR(INDEX('Paramètres'!$O$5:$O$7,MATCH(G597,'Paramètres'!$N$5:$N$7,0)),0))</f>
        <v/>
      </c>
      <c r="AC597" s="7" t="inlineStr">
        <is>
          <t>Clôturé</t>
        </is>
      </c>
      <c r="AD597" s="69">
        <f>IF(OR($A597="",Q597=""),"",(Q597-B597)*24)</f>
        <v/>
      </c>
      <c r="AE597" s="69">
        <f>IF(OR(Q597="",R597=""),"",(R597-Q597)*24)</f>
        <v/>
      </c>
      <c r="AF597" s="77">
        <f>IF(OR($A597="",B597=""),"",YEAR(B597))</f>
        <v/>
      </c>
      <c r="AG597" s="77">
        <f>IF(OR($A597="",B597=""),"",MONTH(B597))</f>
        <v/>
      </c>
    </row>
    <row r="598">
      <c r="A598" s="7" t="inlineStr">
        <is>
          <t>OT-2025-0594</t>
        </is>
      </c>
      <c r="B598" s="75" t="n">
        <v>45922.47222222222</v>
      </c>
      <c r="C598" s="7" t="inlineStr">
        <is>
          <t>Plan préventif</t>
        </is>
      </c>
      <c r="D598" s="7" t="inlineStr">
        <is>
          <t>EQ-PEI-003</t>
        </is>
      </c>
      <c r="E598" s="9">
        <f>IF(D598="","",IFERROR(INDEX('Équipements'!$B$5:$B$304,MATCH(D598,'Équipements'!$A$5:$A$304,0)),"Code inconnu"))</f>
        <v/>
      </c>
      <c r="F598" s="9">
        <f>IF(D598="","",IFERROR(INDEX('Équipements'!$D$5:$D$304,MATCH(D598,'Équipements'!$A$5:$A$304,0)),""))</f>
        <v/>
      </c>
      <c r="G598" s="9">
        <f>IF(D598="","",IFERROR(INDEX('Équipements'!$K$5:$K$304,MATCH(D598,'Équipements'!$A$5:$A$304,0)),""))</f>
        <v/>
      </c>
      <c r="H598" s="7" t="inlineStr">
        <is>
          <t>Préventif systématique</t>
        </is>
      </c>
      <c r="I598" s="7" t="inlineStr">
        <is>
          <t>GP-070</t>
        </is>
      </c>
      <c r="J598" s="7" t="inlineStr">
        <is>
          <t>Mécanique</t>
        </is>
      </c>
      <c r="K598" s="7" t="inlineStr">
        <is>
          <t>P3 - Normale</t>
        </is>
      </c>
      <c r="L598" s="7" t="inlineStr">
        <is>
          <t>Nettoyage et remplacement des filtres</t>
        </is>
      </c>
      <c r="M598" s="7" t="n"/>
      <c r="N598" s="7" t="inlineStr">
        <is>
          <t>Gamme réalisée - RAS</t>
        </is>
      </c>
      <c r="O598" s="7" t="inlineStr">
        <is>
          <t>Antoine Mercier</t>
        </is>
      </c>
      <c r="P598" s="65" t="n">
        <v>45929.54513888889</v>
      </c>
      <c r="Q598" s="75" t="n">
        <v>45929.38888888889</v>
      </c>
      <c r="R598" s="75" t="n">
        <v>45929.50347222222</v>
      </c>
      <c r="S598" s="76" t="n">
        <v>2.8</v>
      </c>
      <c r="T598" s="76" t="n">
        <v>2.75</v>
      </c>
      <c r="U598" s="70">
        <f>IF($A598="","",IFERROR(INDEX('Techniciens'!$F$5:$F$44,MATCH(O598,'Techniciens'!$B$5:$B$44,0)),'Paramètres'!$AA$10))</f>
        <v/>
      </c>
      <c r="V598" s="70">
        <f>IF($A598="","",IF(OR(AC598="Demandé",AC598="Planifié",AC598="Annulé"),0,N(T598)*N(U598)))</f>
        <v/>
      </c>
      <c r="W598" s="70">
        <f>IF($A598="","",SUMIFS('Mouvements stock'!$H$5:$H$3004,'Mouvements stock'!$I$5:$I$3004,$A598,'Mouvements stock'!$C$5:$C$3004,"Sortie")-SUMIFS('Mouvements stock'!$H$5:$H$3004,'Mouvements stock'!$I$5:$I$3004,$A598,'Mouvements stock'!$C$5:$C$3004,"Retour"))</f>
        <v/>
      </c>
      <c r="X598" s="66" t="n">
        <v>0</v>
      </c>
      <c r="Y598" s="66" t="n">
        <v>0</v>
      </c>
      <c r="Z598" s="7" t="n"/>
      <c r="AA598" s="70">
        <f>IF($A598="","",N(V598)+N(W598)+N(X598)+N(Y598))</f>
        <v/>
      </c>
      <c r="AB598" s="70">
        <f>IF($A598="","",N(S598)*'Paramètres'!$AA$9*IFERROR(INDEX('Paramètres'!$O$5:$O$7,MATCH(G598,'Paramètres'!$N$5:$N$7,0)),0))</f>
        <v/>
      </c>
      <c r="AC598" s="7" t="inlineStr">
        <is>
          <t>Clôturé</t>
        </is>
      </c>
      <c r="AD598" s="69">
        <f>IF(OR($A598="",Q598=""),"",(Q598-B598)*24)</f>
        <v/>
      </c>
      <c r="AE598" s="69">
        <f>IF(OR(Q598="",R598=""),"",(R598-Q598)*24)</f>
        <v/>
      </c>
      <c r="AF598" s="77">
        <f>IF(OR($A598="",B598=""),"",YEAR(B598))</f>
        <v/>
      </c>
      <c r="AG598" s="77">
        <f>IF(OR($A598="",B598=""),"",MONTH(B598))</f>
        <v/>
      </c>
    </row>
    <row r="599">
      <c r="A599" s="7" t="inlineStr">
        <is>
          <t>OT-2025-0595</t>
        </is>
      </c>
      <c r="B599" s="75" t="n">
        <v>45923.34722222222</v>
      </c>
      <c r="C599" s="7" t="inlineStr">
        <is>
          <t>Planning réglementaire</t>
        </is>
      </c>
      <c r="D599" s="7" t="inlineStr">
        <is>
          <t>EQ-TOL-002</t>
        </is>
      </c>
      <c r="E599" s="9">
        <f>IF(D599="","",IFERROR(INDEX('Équipements'!$B$5:$B$304,MATCH(D599,'Équipements'!$A$5:$A$304,0)),"Code inconnu"))</f>
        <v/>
      </c>
      <c r="F599" s="9">
        <f>IF(D599="","",IFERROR(INDEX('Équipements'!$D$5:$D$304,MATCH(D599,'Équipements'!$A$5:$A$304,0)),""))</f>
        <v/>
      </c>
      <c r="G599" s="9">
        <f>IF(D599="","",IFERROR(INDEX('Équipements'!$K$5:$K$304,MATCH(D599,'Équipements'!$A$5:$A$304,0)),""))</f>
        <v/>
      </c>
      <c r="H599" s="7" t="inlineStr">
        <is>
          <t>Réglementaire</t>
        </is>
      </c>
      <c r="I599" s="7" t="inlineStr">
        <is>
          <t>CR-010</t>
        </is>
      </c>
      <c r="J599" s="7" t="inlineStr">
        <is>
          <t>Multi-technique</t>
        </is>
      </c>
      <c r="K599" s="7" t="inlineStr">
        <is>
          <t>P2 - Haute</t>
        </is>
      </c>
      <c r="L599" s="7" t="inlineStr">
        <is>
          <t>Vérification périodique presse plieuse</t>
        </is>
      </c>
      <c r="M599" s="7" t="n"/>
      <c r="N599" s="7" t="inlineStr">
        <is>
          <t>Contrôle réalisé - aucune observation</t>
        </is>
      </c>
      <c r="O599" s="7" t="inlineStr">
        <is>
          <t>Marc Lefèvre</t>
        </is>
      </c>
      <c r="P599" s="65" t="n">
        <v>45944</v>
      </c>
      <c r="Q599" s="75" t="n">
        <v>45944.48958333334</v>
      </c>
      <c r="R599" s="75" t="n">
        <v>45944.59375</v>
      </c>
      <c r="S599" s="76" t="n">
        <v>1</v>
      </c>
      <c r="T599" s="76" t="n">
        <v>2.5</v>
      </c>
      <c r="U599" s="70">
        <f>IF($A599="","",IFERROR(INDEX('Techniciens'!$F$5:$F$44,MATCH(O599,'Techniciens'!$B$5:$B$44,0)),'Paramètres'!$AA$10))</f>
        <v/>
      </c>
      <c r="V599" s="70">
        <f>IF($A599="","",IF(OR(AC599="Demandé",AC599="Planifié",AC599="Annulé"),0,N(T599)*N(U599)))</f>
        <v/>
      </c>
      <c r="W599" s="70">
        <f>IF($A599="","",SUMIFS('Mouvements stock'!$H$5:$H$3004,'Mouvements stock'!$I$5:$I$3004,$A599,'Mouvements stock'!$C$5:$C$3004,"Sortie")-SUMIFS('Mouvements stock'!$H$5:$H$3004,'Mouvements stock'!$I$5:$I$3004,$A599,'Mouvements stock'!$C$5:$C$3004,"Retour"))</f>
        <v/>
      </c>
      <c r="X599" s="66" t="n">
        <v>0</v>
      </c>
      <c r="Y599" s="66" t="n">
        <v>220</v>
      </c>
      <c r="Z599" s="7" t="inlineStr">
        <is>
          <t>CONTROLIS (organisme fictif)</t>
        </is>
      </c>
      <c r="AA599" s="70">
        <f>IF($A599="","",N(V599)+N(W599)+N(X599)+N(Y599))</f>
        <v/>
      </c>
      <c r="AB599" s="70">
        <f>IF($A599="","",N(S599)*'Paramètres'!$AA$9*IFERROR(INDEX('Paramètres'!$O$5:$O$7,MATCH(G599,'Paramètres'!$N$5:$N$7,0)),0))</f>
        <v/>
      </c>
      <c r="AC599" s="7" t="inlineStr">
        <is>
          <t>Clôturé</t>
        </is>
      </c>
      <c r="AD599" s="69">
        <f>IF(OR($A599="",Q599=""),"",(Q599-B599)*24)</f>
        <v/>
      </c>
      <c r="AE599" s="69">
        <f>IF(OR(Q599="",R599=""),"",(R599-Q599)*24)</f>
        <v/>
      </c>
      <c r="AF599" s="77">
        <f>IF(OR($A599="",B599=""),"",YEAR(B599))</f>
        <v/>
      </c>
      <c r="AG599" s="77">
        <f>IF(OR($A599="",B599=""),"",MONTH(B599))</f>
        <v/>
      </c>
    </row>
    <row r="600">
      <c r="A600" s="7" t="inlineStr">
        <is>
          <t>OT-2025-0596</t>
        </is>
      </c>
      <c r="B600" s="75" t="n">
        <v>45923.375</v>
      </c>
      <c r="C600" s="7" t="inlineStr">
        <is>
          <t>Plan préventif</t>
        </is>
      </c>
      <c r="D600" s="7" t="inlineStr">
        <is>
          <t>EQ-TOL-007</t>
        </is>
      </c>
      <c r="E600" s="9">
        <f>IF(D600="","",IFERROR(INDEX('Équipements'!$B$5:$B$304,MATCH(D600,'Équipements'!$A$5:$A$304,0)),"Code inconnu"))</f>
        <v/>
      </c>
      <c r="F600" s="9">
        <f>IF(D600="","",IFERROR(INDEX('Équipements'!$D$5:$D$304,MATCH(D600,'Équipements'!$A$5:$A$304,0)),""))</f>
        <v/>
      </c>
      <c r="G600" s="9">
        <f>IF(D600="","",IFERROR(INDEX('Équipements'!$K$5:$K$304,MATCH(D600,'Équipements'!$A$5:$A$304,0)),""))</f>
        <v/>
      </c>
      <c r="H600" s="7" t="inlineStr">
        <is>
          <t>Préventif systématique</t>
        </is>
      </c>
      <c r="I600" s="7" t="inlineStr">
        <is>
          <t>GP-056</t>
        </is>
      </c>
      <c r="J600" s="7" t="inlineStr">
        <is>
          <t>Mécanique</t>
        </is>
      </c>
      <c r="K600" s="7" t="inlineStr">
        <is>
          <t>P3 - Normale</t>
        </is>
      </c>
      <c r="L600" s="7" t="inlineStr">
        <is>
          <t>Graissage chaîne / galets et contrôle tension</t>
        </is>
      </c>
      <c r="M600" s="7" t="n"/>
      <c r="N600" s="7" t="inlineStr">
        <is>
          <t>Gamme réalisée - RAS</t>
        </is>
      </c>
      <c r="O600" s="7" t="inlineStr">
        <is>
          <t>Antoine Mercier</t>
        </is>
      </c>
      <c r="P600" s="65" t="n">
        <v>45930.40625</v>
      </c>
      <c r="Q600" s="75" t="n">
        <v>45930.43055555555</v>
      </c>
      <c r="R600" s="75" t="n">
        <v>45930.51388888889</v>
      </c>
      <c r="S600" s="76" t="n">
        <v>2</v>
      </c>
      <c r="T600" s="76" t="n">
        <v>2</v>
      </c>
      <c r="U600" s="70">
        <f>IF($A600="","",IFERROR(INDEX('Techniciens'!$F$5:$F$44,MATCH(O600,'Techniciens'!$B$5:$B$44,0)),'Paramètres'!$AA$10))</f>
        <v/>
      </c>
      <c r="V600" s="70">
        <f>IF($A600="","",IF(OR(AC600="Demandé",AC600="Planifié",AC600="Annulé"),0,N(T600)*N(U600)))</f>
        <v/>
      </c>
      <c r="W600" s="70">
        <f>IF($A600="","",SUMIFS('Mouvements stock'!$H$5:$H$3004,'Mouvements stock'!$I$5:$I$3004,$A600,'Mouvements stock'!$C$5:$C$3004,"Sortie")-SUMIFS('Mouvements stock'!$H$5:$H$3004,'Mouvements stock'!$I$5:$I$3004,$A600,'Mouvements stock'!$C$5:$C$3004,"Retour"))</f>
        <v/>
      </c>
      <c r="X600" s="66" t="n">
        <v>0</v>
      </c>
      <c r="Y600" s="66" t="n">
        <v>0</v>
      </c>
      <c r="Z600" s="7" t="n"/>
      <c r="AA600" s="70">
        <f>IF($A600="","",N(V600)+N(W600)+N(X600)+N(Y600))</f>
        <v/>
      </c>
      <c r="AB600" s="70">
        <f>IF($A600="","",N(S600)*'Paramètres'!$AA$9*IFERROR(INDEX('Paramètres'!$O$5:$O$7,MATCH(G600,'Paramètres'!$N$5:$N$7,0)),0))</f>
        <v/>
      </c>
      <c r="AC600" s="7" t="inlineStr">
        <is>
          <t>Clôturé</t>
        </is>
      </c>
      <c r="AD600" s="69">
        <f>IF(OR($A600="",Q600=""),"",(Q600-B600)*24)</f>
        <v/>
      </c>
      <c r="AE600" s="69">
        <f>IF(OR(Q600="",R600=""),"",(R600-Q600)*24)</f>
        <v/>
      </c>
      <c r="AF600" s="77">
        <f>IF(OR($A600="",B600=""),"",YEAR(B600))</f>
        <v/>
      </c>
      <c r="AG600" s="77">
        <f>IF(OR($A600="",B600=""),"",MONTH(B600))</f>
        <v/>
      </c>
    </row>
    <row r="601">
      <c r="A601" s="7" t="inlineStr">
        <is>
          <t>OT-2025-0597</t>
        </is>
      </c>
      <c r="B601" s="75" t="n">
        <v>45923.375</v>
      </c>
      <c r="C601" s="7" t="inlineStr">
        <is>
          <t>Planning réglementaire</t>
        </is>
      </c>
      <c r="D601" s="7" t="n"/>
      <c r="E601" s="9">
        <f>IF(D601="","",IFERROR(INDEX('Équipements'!$B$5:$B$304,MATCH(D601,'Équipements'!$A$5:$A$304,0)),"Code inconnu"))</f>
        <v/>
      </c>
      <c r="F601" s="9">
        <f>IF(D601="","",IFERROR(INDEX('Équipements'!$D$5:$D$304,MATCH(D601,'Équipements'!$A$5:$A$304,0)),""))</f>
        <v/>
      </c>
      <c r="G601" s="9">
        <f>IF(D601="","",IFERROR(INDEX('Équipements'!$K$5:$K$304,MATCH(D601,'Équipements'!$A$5:$A$304,0)),""))</f>
        <v/>
      </c>
      <c r="H601" s="7" t="inlineStr">
        <is>
          <t>Réglementaire</t>
        </is>
      </c>
      <c r="I601" s="7" t="inlineStr">
        <is>
          <t>CR-013</t>
        </is>
      </c>
      <c r="J601" s="7" t="inlineStr">
        <is>
          <t>Multi-technique</t>
        </is>
      </c>
      <c r="K601" s="7" t="inlineStr">
        <is>
          <t>P2 - Haute</t>
        </is>
      </c>
      <c r="L601" s="7" t="inlineStr">
        <is>
          <t>Vérification périodique des installations électriques</t>
        </is>
      </c>
      <c r="M601" s="7" t="n"/>
      <c r="N601" s="7" t="inlineStr">
        <is>
          <t>Contrôle réalisé - observations mineures au rapport</t>
        </is>
      </c>
      <c r="O601" s="7" t="inlineStr">
        <is>
          <t>Nadia Rousseau</t>
        </is>
      </c>
      <c r="P601" s="65" t="n">
        <v>45944</v>
      </c>
      <c r="Q601" s="75" t="n">
        <v>45944.36805555555</v>
      </c>
      <c r="R601" s="75" t="n">
        <v>45944.42013888889</v>
      </c>
      <c r="S601" s="76" t="n">
        <v>0</v>
      </c>
      <c r="T601" s="76" t="n">
        <v>1.25</v>
      </c>
      <c r="U601" s="70">
        <f>IF($A601="","",IFERROR(INDEX('Techniciens'!$F$5:$F$44,MATCH(O601,'Techniciens'!$B$5:$B$44,0)),'Paramètres'!$AA$10))</f>
        <v/>
      </c>
      <c r="V601" s="70">
        <f>IF($A601="","",IF(OR(AC601="Demandé",AC601="Planifié",AC601="Annulé"),0,N(T601)*N(U601)))</f>
        <v/>
      </c>
      <c r="W601" s="70">
        <f>IF($A601="","",SUMIFS('Mouvements stock'!$H$5:$H$3004,'Mouvements stock'!$I$5:$I$3004,$A601,'Mouvements stock'!$C$5:$C$3004,"Sortie")-SUMIFS('Mouvements stock'!$H$5:$H$3004,'Mouvements stock'!$I$5:$I$3004,$A601,'Mouvements stock'!$C$5:$C$3004,"Retour"))</f>
        <v/>
      </c>
      <c r="X601" s="66" t="n">
        <v>0</v>
      </c>
      <c r="Y601" s="66" t="n">
        <v>1770</v>
      </c>
      <c r="Z601" s="7" t="inlineStr">
        <is>
          <t>CONTROLIS (organisme fictif)</t>
        </is>
      </c>
      <c r="AA601" s="70">
        <f>IF($A601="","",N(V601)+N(W601)+N(X601)+N(Y601))</f>
        <v/>
      </c>
      <c r="AB601" s="70">
        <f>IF($A601="","",N(S601)*'Paramètres'!$AA$9*IFERROR(INDEX('Paramètres'!$O$5:$O$7,MATCH(G601,'Paramètres'!$N$5:$N$7,0)),0))</f>
        <v/>
      </c>
      <c r="AC601" s="7" t="inlineStr">
        <is>
          <t>Clôturé</t>
        </is>
      </c>
      <c r="AD601" s="69">
        <f>IF(OR($A601="",Q601=""),"",(Q601-B601)*24)</f>
        <v/>
      </c>
      <c r="AE601" s="69">
        <f>IF(OR(Q601="",R601=""),"",(R601-Q601)*24)</f>
        <v/>
      </c>
      <c r="AF601" s="77">
        <f>IF(OR($A601="",B601=""),"",YEAR(B601))</f>
        <v/>
      </c>
      <c r="AG601" s="77">
        <f>IF(OR($A601="",B601=""),"",MONTH(B601))</f>
        <v/>
      </c>
    </row>
    <row r="602">
      <c r="A602" s="7" t="inlineStr">
        <is>
          <t>OT-2025-0598</t>
        </is>
      </c>
      <c r="B602" s="75" t="n">
        <v>45923.38541666666</v>
      </c>
      <c r="C602" s="7" t="inlineStr">
        <is>
          <t>Plan préventif</t>
        </is>
      </c>
      <c r="D602" s="7" t="inlineStr">
        <is>
          <t>EQ-PEI-004</t>
        </is>
      </c>
      <c r="E602" s="9">
        <f>IF(D602="","",IFERROR(INDEX('Équipements'!$B$5:$B$304,MATCH(D602,'Équipements'!$A$5:$A$304,0)),"Code inconnu"))</f>
        <v/>
      </c>
      <c r="F602" s="9">
        <f>IF(D602="","",IFERROR(INDEX('Équipements'!$D$5:$D$304,MATCH(D602,'Équipements'!$A$5:$A$304,0)),""))</f>
        <v/>
      </c>
      <c r="G602" s="9">
        <f>IF(D602="","",IFERROR(INDEX('Équipements'!$K$5:$K$304,MATCH(D602,'Équipements'!$A$5:$A$304,0)),""))</f>
        <v/>
      </c>
      <c r="H602" s="7" t="inlineStr">
        <is>
          <t>Préventif systématique</t>
        </is>
      </c>
      <c r="I602" s="7" t="inlineStr">
        <is>
          <t>GP-072</t>
        </is>
      </c>
      <c r="J602" s="7" t="inlineStr">
        <is>
          <t>Mécanique</t>
        </is>
      </c>
      <c r="K602" s="7" t="inlineStr">
        <is>
          <t>P3 - Normale</t>
        </is>
      </c>
      <c r="L602" s="7" t="inlineStr">
        <is>
          <t>Graissage chaîne / galets et contrôle tension</t>
        </is>
      </c>
      <c r="M602" s="7" t="n"/>
      <c r="N602" s="7" t="inlineStr">
        <is>
          <t>Gamme réalisée - RAS</t>
        </is>
      </c>
      <c r="O602" s="7" t="inlineStr">
        <is>
          <t>Karim Benali</t>
        </is>
      </c>
      <c r="P602" s="65" t="n">
        <v>45930.60763888889</v>
      </c>
      <c r="Q602" s="75" t="n">
        <v>45930.40972222222</v>
      </c>
      <c r="R602" s="75" t="n">
        <v>45930.50347222222</v>
      </c>
      <c r="S602" s="76" t="n">
        <v>1.1</v>
      </c>
      <c r="T602" s="76" t="n">
        <v>2.25</v>
      </c>
      <c r="U602" s="70">
        <f>IF($A602="","",IFERROR(INDEX('Techniciens'!$F$5:$F$44,MATCH(O602,'Techniciens'!$B$5:$B$44,0)),'Paramètres'!$AA$10))</f>
        <v/>
      </c>
      <c r="V602" s="70">
        <f>IF($A602="","",IF(OR(AC602="Demandé",AC602="Planifié",AC602="Annulé"),0,N(T602)*N(U602)))</f>
        <v/>
      </c>
      <c r="W602" s="70">
        <f>IF($A602="","",SUMIFS('Mouvements stock'!$H$5:$H$3004,'Mouvements stock'!$I$5:$I$3004,$A602,'Mouvements stock'!$C$5:$C$3004,"Sortie")-SUMIFS('Mouvements stock'!$H$5:$H$3004,'Mouvements stock'!$I$5:$I$3004,$A602,'Mouvements stock'!$C$5:$C$3004,"Retour"))</f>
        <v/>
      </c>
      <c r="X602" s="66" t="n">
        <v>0</v>
      </c>
      <c r="Y602" s="66" t="n">
        <v>0</v>
      </c>
      <c r="Z602" s="7" t="n"/>
      <c r="AA602" s="70">
        <f>IF($A602="","",N(V602)+N(W602)+N(X602)+N(Y602))</f>
        <v/>
      </c>
      <c r="AB602" s="70">
        <f>IF($A602="","",N(S602)*'Paramètres'!$AA$9*IFERROR(INDEX('Paramètres'!$O$5:$O$7,MATCH(G602,'Paramètres'!$N$5:$N$7,0)),0))</f>
        <v/>
      </c>
      <c r="AC602" s="7" t="inlineStr">
        <is>
          <t>Clôturé</t>
        </is>
      </c>
      <c r="AD602" s="69">
        <f>IF(OR($A602="",Q602=""),"",(Q602-B602)*24)</f>
        <v/>
      </c>
      <c r="AE602" s="69">
        <f>IF(OR(Q602="",R602=""),"",(R602-Q602)*24)</f>
        <v/>
      </c>
      <c r="AF602" s="77">
        <f>IF(OR($A602="",B602=""),"",YEAR(B602))</f>
        <v/>
      </c>
      <c r="AG602" s="77">
        <f>IF(OR($A602="",B602=""),"",MONTH(B602))</f>
        <v/>
      </c>
    </row>
    <row r="603">
      <c r="A603" s="7" t="inlineStr">
        <is>
          <t>OT-2025-0599</t>
        </is>
      </c>
      <c r="B603" s="75" t="n">
        <v>45924.35416666666</v>
      </c>
      <c r="C603" s="7" t="inlineStr">
        <is>
          <t>Plan préventif</t>
        </is>
      </c>
      <c r="D603" s="7" t="inlineStr">
        <is>
          <t>EQ-UTI-001</t>
        </is>
      </c>
      <c r="E603" s="9">
        <f>IF(D603="","",IFERROR(INDEX('Équipements'!$B$5:$B$304,MATCH(D603,'Équipements'!$A$5:$A$304,0)),"Code inconnu"))</f>
        <v/>
      </c>
      <c r="F603" s="9">
        <f>IF(D603="","",IFERROR(INDEX('Équipements'!$D$5:$D$304,MATCH(D603,'Équipements'!$A$5:$A$304,0)),""))</f>
        <v/>
      </c>
      <c r="G603" s="9">
        <f>IF(D603="","",IFERROR(INDEX('Équipements'!$K$5:$K$304,MATCH(D603,'Équipements'!$A$5:$A$304,0)),""))</f>
        <v/>
      </c>
      <c r="H603" s="7" t="inlineStr">
        <is>
          <t>Préventif systématique</t>
        </is>
      </c>
      <c r="I603" s="7" t="inlineStr">
        <is>
          <t>GP-088</t>
        </is>
      </c>
      <c r="J603" s="7" t="inlineStr">
        <is>
          <t>Pneumatique</t>
        </is>
      </c>
      <c r="K603" s="7" t="inlineStr">
        <is>
          <t>P3 - Normale</t>
        </is>
      </c>
      <c r="L603" s="7" t="inlineStr">
        <is>
          <t>Purge, contrôle fuites et point de rosée</t>
        </is>
      </c>
      <c r="M603" s="7" t="n"/>
      <c r="N603" s="7" t="inlineStr">
        <is>
          <t>Gamme réalisée - RAS</t>
        </is>
      </c>
      <c r="O603" s="7" t="inlineStr">
        <is>
          <t>Julien Moreau</t>
        </is>
      </c>
      <c r="P603" s="65" t="n">
        <v>45931.42708333334</v>
      </c>
      <c r="Q603" s="75" t="n">
        <v>45931.38888888889</v>
      </c>
      <c r="R603" s="75" t="n">
        <v>45931.45138888889</v>
      </c>
      <c r="S603" s="76" t="n">
        <v>0</v>
      </c>
      <c r="T603" s="76" t="n">
        <v>1.5</v>
      </c>
      <c r="U603" s="70">
        <f>IF($A603="","",IFERROR(INDEX('Techniciens'!$F$5:$F$44,MATCH(O603,'Techniciens'!$B$5:$B$44,0)),'Paramètres'!$AA$10))</f>
        <v/>
      </c>
      <c r="V603" s="70">
        <f>IF($A603="","",IF(OR(AC603="Demandé",AC603="Planifié",AC603="Annulé"),0,N(T603)*N(U603)))</f>
        <v/>
      </c>
      <c r="W603" s="70">
        <f>IF($A603="","",SUMIFS('Mouvements stock'!$H$5:$H$3004,'Mouvements stock'!$I$5:$I$3004,$A603,'Mouvements stock'!$C$5:$C$3004,"Sortie")-SUMIFS('Mouvements stock'!$H$5:$H$3004,'Mouvements stock'!$I$5:$I$3004,$A603,'Mouvements stock'!$C$5:$C$3004,"Retour"))</f>
        <v/>
      </c>
      <c r="X603" s="66" t="n">
        <v>0</v>
      </c>
      <c r="Y603" s="66" t="n">
        <v>0</v>
      </c>
      <c r="Z603" s="7" t="n"/>
      <c r="AA603" s="70">
        <f>IF($A603="","",N(V603)+N(W603)+N(X603)+N(Y603))</f>
        <v/>
      </c>
      <c r="AB603" s="70">
        <f>IF($A603="","",N(S603)*'Paramètres'!$AA$9*IFERROR(INDEX('Paramètres'!$O$5:$O$7,MATCH(G603,'Paramètres'!$N$5:$N$7,0)),0))</f>
        <v/>
      </c>
      <c r="AC603" s="7" t="inlineStr">
        <is>
          <t>Clôturé</t>
        </is>
      </c>
      <c r="AD603" s="69">
        <f>IF(OR($A603="",Q603=""),"",(Q603-B603)*24)</f>
        <v/>
      </c>
      <c r="AE603" s="69">
        <f>IF(OR(Q603="",R603=""),"",(R603-Q603)*24)</f>
        <v/>
      </c>
      <c r="AF603" s="77">
        <f>IF(OR($A603="",B603=""),"",YEAR(B603))</f>
        <v/>
      </c>
      <c r="AG603" s="77">
        <f>IF(OR($A603="",B603=""),"",MONTH(B603))</f>
        <v/>
      </c>
    </row>
    <row r="604">
      <c r="A604" s="7" t="inlineStr">
        <is>
          <t>OT-2025-0600</t>
        </is>
      </c>
      <c r="B604" s="75" t="n">
        <v>45924.36111111111</v>
      </c>
      <c r="C604" s="7" t="inlineStr">
        <is>
          <t>Plan préventif</t>
        </is>
      </c>
      <c r="D604" s="7" t="inlineStr">
        <is>
          <t>EQ-UTI-010</t>
        </is>
      </c>
      <c r="E604" s="9">
        <f>IF(D604="","",IFERROR(INDEX('Équipements'!$B$5:$B$304,MATCH(D604,'Équipements'!$A$5:$A$304,0)),"Code inconnu"))</f>
        <v/>
      </c>
      <c r="F604" s="9">
        <f>IF(D604="","",IFERROR(INDEX('Équipements'!$D$5:$D$304,MATCH(D604,'Équipements'!$A$5:$A$304,0)),""))</f>
        <v/>
      </c>
      <c r="G604" s="9">
        <f>IF(D604="","",IFERROR(INDEX('Équipements'!$K$5:$K$304,MATCH(D604,'Équipements'!$A$5:$A$304,0)),""))</f>
        <v/>
      </c>
      <c r="H604" s="7" t="inlineStr">
        <is>
          <t>Préventif systématique</t>
        </is>
      </c>
      <c r="I604" s="7" t="inlineStr">
        <is>
          <t>GP-104</t>
        </is>
      </c>
      <c r="J604" s="7" t="inlineStr">
        <is>
          <t>Électrique</t>
        </is>
      </c>
      <c r="K604" s="7" t="inlineStr">
        <is>
          <t>P3 - Normale</t>
        </is>
      </c>
      <c r="L604" s="7" t="inlineStr">
        <is>
          <t>Essai mensuel à charge du groupe électrogène</t>
        </is>
      </c>
      <c r="M604" s="7" t="n"/>
      <c r="N604" s="7" t="inlineStr">
        <is>
          <t>Gamme réalisée - RAS</t>
        </is>
      </c>
      <c r="O604" s="7" t="inlineStr">
        <is>
          <t>Julien Moreau</t>
        </is>
      </c>
      <c r="P604" s="65" t="n">
        <v>45931.48958333334</v>
      </c>
      <c r="Q604" s="75" t="n">
        <v>45931.55555555555</v>
      </c>
      <c r="R604" s="75" t="n">
        <v>45931.62847222222</v>
      </c>
      <c r="S604" s="76" t="n">
        <v>0</v>
      </c>
      <c r="T604" s="76" t="n">
        <v>1.75</v>
      </c>
      <c r="U604" s="70">
        <f>IF($A604="","",IFERROR(INDEX('Techniciens'!$F$5:$F$44,MATCH(O604,'Techniciens'!$B$5:$B$44,0)),'Paramètres'!$AA$10))</f>
        <v/>
      </c>
      <c r="V604" s="70">
        <f>IF($A604="","",IF(OR(AC604="Demandé",AC604="Planifié",AC604="Annulé"),0,N(T604)*N(U604)))</f>
        <v/>
      </c>
      <c r="W604" s="70">
        <f>IF($A604="","",SUMIFS('Mouvements stock'!$H$5:$H$3004,'Mouvements stock'!$I$5:$I$3004,$A604,'Mouvements stock'!$C$5:$C$3004,"Sortie")-SUMIFS('Mouvements stock'!$H$5:$H$3004,'Mouvements stock'!$I$5:$I$3004,$A604,'Mouvements stock'!$C$5:$C$3004,"Retour"))</f>
        <v/>
      </c>
      <c r="X604" s="66" t="n">
        <v>0</v>
      </c>
      <c r="Y604" s="66" t="n">
        <v>0</v>
      </c>
      <c r="Z604" s="7" t="n"/>
      <c r="AA604" s="70">
        <f>IF($A604="","",N(V604)+N(W604)+N(X604)+N(Y604))</f>
        <v/>
      </c>
      <c r="AB604" s="70">
        <f>IF($A604="","",N(S604)*'Paramètres'!$AA$9*IFERROR(INDEX('Paramètres'!$O$5:$O$7,MATCH(G604,'Paramètres'!$N$5:$N$7,0)),0))</f>
        <v/>
      </c>
      <c r="AC604" s="7" t="inlineStr">
        <is>
          <t>Clôturé</t>
        </is>
      </c>
      <c r="AD604" s="69">
        <f>IF(OR($A604="",Q604=""),"",(Q604-B604)*24)</f>
        <v/>
      </c>
      <c r="AE604" s="69">
        <f>IF(OR(Q604="",R604=""),"",(R604-Q604)*24)</f>
        <v/>
      </c>
      <c r="AF604" s="77">
        <f>IF(OR($A604="",B604=""),"",YEAR(B604))</f>
        <v/>
      </c>
      <c r="AG604" s="77">
        <f>IF(OR($A604="",B604=""),"",MONTH(B604))</f>
        <v/>
      </c>
    </row>
    <row r="605">
      <c r="A605" s="7" t="inlineStr">
        <is>
          <t>OT-2025-0601</t>
        </is>
      </c>
      <c r="B605" s="75" t="n">
        <v>45924.36805555555</v>
      </c>
      <c r="C605" s="7" t="inlineStr">
        <is>
          <t>Opérateur tôlerie</t>
        </is>
      </c>
      <c r="D605" s="7" t="inlineStr">
        <is>
          <t>EQ-TOL-006</t>
        </is>
      </c>
      <c r="E605" s="9">
        <f>IF(D605="","",IFERROR(INDEX('Équipements'!$B$5:$B$304,MATCH(D605,'Équipements'!$A$5:$A$304,0)),"Code inconnu"))</f>
        <v/>
      </c>
      <c r="F605" s="9">
        <f>IF(D605="","",IFERROR(INDEX('Équipements'!$D$5:$D$304,MATCH(D605,'Équipements'!$A$5:$A$304,0)),""))</f>
        <v/>
      </c>
      <c r="G605" s="9">
        <f>IF(D605="","",IFERROR(INDEX('Équipements'!$K$5:$K$304,MATCH(D605,'Équipements'!$A$5:$A$304,0)),""))</f>
        <v/>
      </c>
      <c r="H605" s="7" t="inlineStr">
        <is>
          <t>Correctif</t>
        </is>
      </c>
      <c r="I605" s="7" t="n"/>
      <c r="J605" s="7" t="inlineStr">
        <is>
          <t>Hydraulique</t>
        </is>
      </c>
      <c r="K605" s="7" t="inlineStr">
        <is>
          <t>P4 - Basse</t>
        </is>
      </c>
      <c r="L605" s="7" t="inlineStr">
        <is>
          <t>Pompe hydraulique bruyante</t>
        </is>
      </c>
      <c r="M605" s="7" t="inlineStr">
        <is>
          <t>Usure</t>
        </is>
      </c>
      <c r="N605" s="7" t="inlineStr">
        <is>
          <t>Remplacement accouplement, contrôle débit pompe</t>
        </is>
      </c>
      <c r="O605" s="7" t="inlineStr">
        <is>
          <t>Karim Benali</t>
        </is>
      </c>
      <c r="P605" s="65" t="n"/>
      <c r="Q605" s="75" t="n">
        <v>45925.57222222222</v>
      </c>
      <c r="R605" s="75" t="n">
        <v>45926.06180555555</v>
      </c>
      <c r="S605" s="76" t="n">
        <v>11.8</v>
      </c>
      <c r="T605" s="76" t="n">
        <v>11.75</v>
      </c>
      <c r="U605" s="70">
        <f>IF($A605="","",IFERROR(INDEX('Techniciens'!$F$5:$F$44,MATCH(O605,'Techniciens'!$B$5:$B$44,0)),'Paramètres'!$AA$10))</f>
        <v/>
      </c>
      <c r="V605" s="70">
        <f>IF($A605="","",IF(OR(AC605="Demandé",AC605="Planifié",AC605="Annulé"),0,N(T605)*N(U605)))</f>
        <v/>
      </c>
      <c r="W605" s="70">
        <f>IF($A605="","",SUMIFS('Mouvements stock'!$H$5:$H$3004,'Mouvements stock'!$I$5:$I$3004,$A605,'Mouvements stock'!$C$5:$C$3004,"Sortie")-SUMIFS('Mouvements stock'!$H$5:$H$3004,'Mouvements stock'!$I$5:$I$3004,$A605,'Mouvements stock'!$C$5:$C$3004,"Retour"))</f>
        <v/>
      </c>
      <c r="X605" s="66" t="n">
        <v>0</v>
      </c>
      <c r="Y605" s="66" t="n">
        <v>0</v>
      </c>
      <c r="Z605" s="7" t="n"/>
      <c r="AA605" s="70">
        <f>IF($A605="","",N(V605)+N(W605)+N(X605)+N(Y605))</f>
        <v/>
      </c>
      <c r="AB605" s="70">
        <f>IF($A605="","",N(S605)*'Paramètres'!$AA$9*IFERROR(INDEX('Paramètres'!$O$5:$O$7,MATCH(G605,'Paramètres'!$N$5:$N$7,0)),0))</f>
        <v/>
      </c>
      <c r="AC605" s="7" t="inlineStr">
        <is>
          <t>Clôturé</t>
        </is>
      </c>
      <c r="AD605" s="69">
        <f>IF(OR($A605="",Q605=""),"",(Q605-B605)*24)</f>
        <v/>
      </c>
      <c r="AE605" s="69">
        <f>IF(OR(Q605="",R605=""),"",(R605-Q605)*24)</f>
        <v/>
      </c>
      <c r="AF605" s="77">
        <f>IF(OR($A605="",B605=""),"",YEAR(B605))</f>
        <v/>
      </c>
      <c r="AG605" s="77">
        <f>IF(OR($A605="",B605=""),"",MONTH(B605))</f>
        <v/>
      </c>
    </row>
    <row r="606">
      <c r="A606" s="7" t="inlineStr">
        <is>
          <t>OT-2025-0602</t>
        </is>
      </c>
      <c r="B606" s="75" t="n">
        <v>45924.49305555555</v>
      </c>
      <c r="C606" s="7" t="inlineStr">
        <is>
          <t>Opérateur assemblage</t>
        </is>
      </c>
      <c r="D606" s="7" t="inlineStr">
        <is>
          <t>EQ-ASS-003</t>
        </is>
      </c>
      <c r="E606" s="9">
        <f>IF(D606="","",IFERROR(INDEX('Équipements'!$B$5:$B$304,MATCH(D606,'Équipements'!$A$5:$A$304,0)),"Code inconnu"))</f>
        <v/>
      </c>
      <c r="F606" s="9">
        <f>IF(D606="","",IFERROR(INDEX('Équipements'!$D$5:$D$304,MATCH(D606,'Équipements'!$A$5:$A$304,0)),""))</f>
        <v/>
      </c>
      <c r="G606" s="9">
        <f>IF(D606="","",IFERROR(INDEX('Équipements'!$K$5:$K$304,MATCH(D606,'Équipements'!$A$5:$A$304,0)),""))</f>
        <v/>
      </c>
      <c r="H606" s="7" t="inlineStr">
        <is>
          <t>Correctif</t>
        </is>
      </c>
      <c r="I606" s="7" t="n"/>
      <c r="J606" s="7" t="inlineStr">
        <is>
          <t>Pneumatique</t>
        </is>
      </c>
      <c r="K606" s="7" t="inlineStr">
        <is>
          <t>P3 - Normale</t>
        </is>
      </c>
      <c r="L606" s="7" t="inlineStr">
        <is>
          <t>Vérin pneumatique en défaut</t>
        </is>
      </c>
      <c r="M606" s="7" t="inlineStr">
        <is>
          <t>Défaut pneumatique</t>
        </is>
      </c>
      <c r="N606" s="7" t="inlineStr">
        <is>
          <t>Remplacement vérin / électrovanne</t>
        </is>
      </c>
      <c r="O606" s="7" t="inlineStr">
        <is>
          <t>Lucas Fontaine</t>
        </is>
      </c>
      <c r="P606" s="65" t="n"/>
      <c r="Q606" s="75" t="n">
        <v>45925.04722222222</v>
      </c>
      <c r="R606" s="75" t="n">
        <v>45925.28680555556</v>
      </c>
      <c r="S606" s="76" t="n">
        <v>0</v>
      </c>
      <c r="T606" s="76" t="n">
        <v>5.75</v>
      </c>
      <c r="U606" s="70">
        <f>IF($A606="","",IFERROR(INDEX('Techniciens'!$F$5:$F$44,MATCH(O606,'Techniciens'!$B$5:$B$44,0)),'Paramètres'!$AA$10))</f>
        <v/>
      </c>
      <c r="V606" s="70">
        <f>IF($A606="","",IF(OR(AC606="Demandé",AC606="Planifié",AC606="Annulé"),0,N(T606)*N(U606)))</f>
        <v/>
      </c>
      <c r="W606" s="70">
        <f>IF($A606="","",SUMIFS('Mouvements stock'!$H$5:$H$3004,'Mouvements stock'!$I$5:$I$3004,$A606,'Mouvements stock'!$C$5:$C$3004,"Sortie")-SUMIFS('Mouvements stock'!$H$5:$H$3004,'Mouvements stock'!$I$5:$I$3004,$A606,'Mouvements stock'!$C$5:$C$3004,"Retour"))</f>
        <v/>
      </c>
      <c r="X606" s="66" t="n">
        <v>0</v>
      </c>
      <c r="Y606" s="66" t="n">
        <v>0</v>
      </c>
      <c r="Z606" s="7" t="n"/>
      <c r="AA606" s="70">
        <f>IF($A606="","",N(V606)+N(W606)+N(X606)+N(Y606))</f>
        <v/>
      </c>
      <c r="AB606" s="70">
        <f>IF($A606="","",N(S606)*'Paramètres'!$AA$9*IFERROR(INDEX('Paramètres'!$O$5:$O$7,MATCH(G606,'Paramètres'!$N$5:$N$7,0)),0))</f>
        <v/>
      </c>
      <c r="AC606" s="7" t="inlineStr">
        <is>
          <t>Clôturé</t>
        </is>
      </c>
      <c r="AD606" s="69">
        <f>IF(OR($A606="",Q606=""),"",(Q606-B606)*24)</f>
        <v/>
      </c>
      <c r="AE606" s="69">
        <f>IF(OR(Q606="",R606=""),"",(R606-Q606)*24)</f>
        <v/>
      </c>
      <c r="AF606" s="77">
        <f>IF(OR($A606="",B606=""),"",YEAR(B606))</f>
        <v/>
      </c>
      <c r="AG606" s="77">
        <f>IF(OR($A606="",B606=""),"",MONTH(B606))</f>
        <v/>
      </c>
    </row>
    <row r="607">
      <c r="A607" s="7" t="inlineStr">
        <is>
          <t>OT-2025-0603</t>
        </is>
      </c>
      <c r="B607" s="75" t="n">
        <v>45925.44791666666</v>
      </c>
      <c r="C607" s="7" t="inlineStr">
        <is>
          <t>Plan préventif</t>
        </is>
      </c>
      <c r="D607" s="7" t="inlineStr">
        <is>
          <t>EQ-PEI-005</t>
        </is>
      </c>
      <c r="E607" s="9">
        <f>IF(D607="","",IFERROR(INDEX('Équipements'!$B$5:$B$304,MATCH(D607,'Équipements'!$A$5:$A$304,0)),"Code inconnu"))</f>
        <v/>
      </c>
      <c r="F607" s="9">
        <f>IF(D607="","",IFERROR(INDEX('Équipements'!$D$5:$D$304,MATCH(D607,'Équipements'!$A$5:$A$304,0)),""))</f>
        <v/>
      </c>
      <c r="G607" s="9">
        <f>IF(D607="","",IFERROR(INDEX('Équipements'!$K$5:$K$304,MATCH(D607,'Équipements'!$A$5:$A$304,0)),""))</f>
        <v/>
      </c>
      <c r="H607" s="7" t="inlineStr">
        <is>
          <t>Préventif systématique</t>
        </is>
      </c>
      <c r="I607" s="7" t="inlineStr">
        <is>
          <t>GP-074</t>
        </is>
      </c>
      <c r="J607" s="7" t="inlineStr">
        <is>
          <t>Mécanique</t>
        </is>
      </c>
      <c r="K607" s="7" t="inlineStr">
        <is>
          <t>P3 - Normale</t>
        </is>
      </c>
      <c r="L607" s="7" t="inlineStr">
        <is>
          <t>Nettoyage et remplacement des filtres</t>
        </is>
      </c>
      <c r="M607" s="7" t="n"/>
      <c r="N607" s="7" t="inlineStr">
        <is>
          <t>Gamme réalisée - RAS</t>
        </is>
      </c>
      <c r="O607" s="7" t="inlineStr">
        <is>
          <t>Lucas Fontaine</t>
        </is>
      </c>
      <c r="P607" s="65" t="n">
        <v>45932.52083333334</v>
      </c>
      <c r="Q607" s="75" t="n">
        <v>45932.375</v>
      </c>
      <c r="R607" s="75" t="n">
        <v>45932.48958333334</v>
      </c>
      <c r="S607" s="76" t="n">
        <v>0</v>
      </c>
      <c r="T607" s="76" t="n">
        <v>2.75</v>
      </c>
      <c r="U607" s="70">
        <f>IF($A607="","",IFERROR(INDEX('Techniciens'!$F$5:$F$44,MATCH(O607,'Techniciens'!$B$5:$B$44,0)),'Paramètres'!$AA$10))</f>
        <v/>
      </c>
      <c r="V607" s="70">
        <f>IF($A607="","",IF(OR(AC607="Demandé",AC607="Planifié",AC607="Annulé"),0,N(T607)*N(U607)))</f>
        <v/>
      </c>
      <c r="W607" s="70">
        <f>IF($A607="","",SUMIFS('Mouvements stock'!$H$5:$H$3004,'Mouvements stock'!$I$5:$I$3004,$A607,'Mouvements stock'!$C$5:$C$3004,"Sortie")-SUMIFS('Mouvements stock'!$H$5:$H$3004,'Mouvements stock'!$I$5:$I$3004,$A607,'Mouvements stock'!$C$5:$C$3004,"Retour"))</f>
        <v/>
      </c>
      <c r="X607" s="66" t="n">
        <v>0</v>
      </c>
      <c r="Y607" s="66" t="n">
        <v>0</v>
      </c>
      <c r="Z607" s="7" t="n"/>
      <c r="AA607" s="70">
        <f>IF($A607="","",N(V607)+N(W607)+N(X607)+N(Y607))</f>
        <v/>
      </c>
      <c r="AB607" s="70">
        <f>IF($A607="","",N(S607)*'Paramètres'!$AA$9*IFERROR(INDEX('Paramètres'!$O$5:$O$7,MATCH(G607,'Paramètres'!$N$5:$N$7,0)),0))</f>
        <v/>
      </c>
      <c r="AC607" s="7" t="inlineStr">
        <is>
          <t>Clôturé</t>
        </is>
      </c>
      <c r="AD607" s="69">
        <f>IF(OR($A607="",Q607=""),"",(Q607-B607)*24)</f>
        <v/>
      </c>
      <c r="AE607" s="69">
        <f>IF(OR(Q607="",R607=""),"",(R607-Q607)*24)</f>
        <v/>
      </c>
      <c r="AF607" s="77">
        <f>IF(OR($A607="",B607=""),"",YEAR(B607))</f>
        <v/>
      </c>
      <c r="AG607" s="77">
        <f>IF(OR($A607="",B607=""),"",MONTH(B607))</f>
        <v/>
      </c>
    </row>
    <row r="608">
      <c r="A608" s="7" t="inlineStr">
        <is>
          <t>OT-2025-0604</t>
        </is>
      </c>
      <c r="B608" s="75" t="n">
        <v>45925.47222222222</v>
      </c>
      <c r="C608" s="7" t="inlineStr">
        <is>
          <t>Plan préventif</t>
        </is>
      </c>
      <c r="D608" s="7" t="inlineStr">
        <is>
          <t>EQ-TOL-002</t>
        </is>
      </c>
      <c r="E608" s="9">
        <f>IF(D608="","",IFERROR(INDEX('Équipements'!$B$5:$B$304,MATCH(D608,'Équipements'!$A$5:$A$304,0)),"Code inconnu"))</f>
        <v/>
      </c>
      <c r="F608" s="9">
        <f>IF(D608="","",IFERROR(INDEX('Équipements'!$D$5:$D$304,MATCH(D608,'Équipements'!$A$5:$A$304,0)),""))</f>
        <v/>
      </c>
      <c r="G608" s="9">
        <f>IF(D608="","",IFERROR(INDEX('Équipements'!$K$5:$K$304,MATCH(D608,'Équipements'!$A$5:$A$304,0)),""))</f>
        <v/>
      </c>
      <c r="H608" s="7" t="inlineStr">
        <is>
          <t>Préventif systématique</t>
        </is>
      </c>
      <c r="I608" s="7" t="inlineStr">
        <is>
          <t>GP-041</t>
        </is>
      </c>
      <c r="J608" s="7" t="inlineStr">
        <is>
          <t>Hydraulique</t>
        </is>
      </c>
      <c r="K608" s="7" t="inlineStr">
        <is>
          <t>P3 - Normale</t>
        </is>
      </c>
      <c r="L608" s="7" t="inlineStr">
        <is>
          <t>Contrôle hydraulique : fuites, niveaux, pressions</t>
        </is>
      </c>
      <c r="M608" s="7" t="n"/>
      <c r="N608" s="7" t="inlineStr">
        <is>
          <t>Gamme réalisée - RAS</t>
        </is>
      </c>
      <c r="O608" s="7" t="inlineStr">
        <is>
          <t>Antoine Mercier</t>
        </is>
      </c>
      <c r="P608" s="65" t="n">
        <v>45932.72222222222</v>
      </c>
      <c r="Q608" s="75" t="n">
        <v>45932.36458333334</v>
      </c>
      <c r="R608" s="75" t="n">
        <v>45932.46875</v>
      </c>
      <c r="S608" s="76" t="n">
        <v>2.5</v>
      </c>
      <c r="T608" s="76" t="n">
        <v>2.5</v>
      </c>
      <c r="U608" s="70">
        <f>IF($A608="","",IFERROR(INDEX('Techniciens'!$F$5:$F$44,MATCH(O608,'Techniciens'!$B$5:$B$44,0)),'Paramètres'!$AA$10))</f>
        <v/>
      </c>
      <c r="V608" s="70">
        <f>IF($A608="","",IF(OR(AC608="Demandé",AC608="Planifié",AC608="Annulé"),0,N(T608)*N(U608)))</f>
        <v/>
      </c>
      <c r="W608" s="70">
        <f>IF($A608="","",SUMIFS('Mouvements stock'!$H$5:$H$3004,'Mouvements stock'!$I$5:$I$3004,$A608,'Mouvements stock'!$C$5:$C$3004,"Sortie")-SUMIFS('Mouvements stock'!$H$5:$H$3004,'Mouvements stock'!$I$5:$I$3004,$A608,'Mouvements stock'!$C$5:$C$3004,"Retour"))</f>
        <v/>
      </c>
      <c r="X608" s="66" t="n">
        <v>0</v>
      </c>
      <c r="Y608" s="66" t="n">
        <v>0</v>
      </c>
      <c r="Z608" s="7" t="n"/>
      <c r="AA608" s="70">
        <f>IF($A608="","",N(V608)+N(W608)+N(X608)+N(Y608))</f>
        <v/>
      </c>
      <c r="AB608" s="70">
        <f>IF($A608="","",N(S608)*'Paramètres'!$AA$9*IFERROR(INDEX('Paramètres'!$O$5:$O$7,MATCH(G608,'Paramètres'!$N$5:$N$7,0)),0))</f>
        <v/>
      </c>
      <c r="AC608" s="7" t="inlineStr">
        <is>
          <t>Clôturé</t>
        </is>
      </c>
      <c r="AD608" s="69">
        <f>IF(OR($A608="",Q608=""),"",(Q608-B608)*24)</f>
        <v/>
      </c>
      <c r="AE608" s="69">
        <f>IF(OR(Q608="",R608=""),"",(R608-Q608)*24)</f>
        <v/>
      </c>
      <c r="AF608" s="77">
        <f>IF(OR($A608="",B608=""),"",YEAR(B608))</f>
        <v/>
      </c>
      <c r="AG608" s="77">
        <f>IF(OR($A608="",B608=""),"",MONTH(B608))</f>
        <v/>
      </c>
    </row>
    <row r="609">
      <c r="A609" s="7" t="inlineStr">
        <is>
          <t>OT-2025-0605</t>
        </is>
      </c>
      <c r="B609" s="75" t="n">
        <v>45925.55555555555</v>
      </c>
      <c r="C609" s="7" t="inlineStr">
        <is>
          <t>Hugo Blanc (chef d'équipe)</t>
        </is>
      </c>
      <c r="D609" s="7" t="inlineStr">
        <is>
          <t>EQ-SOU-002</t>
        </is>
      </c>
      <c r="E609" s="9">
        <f>IF(D609="","",IFERROR(INDEX('Équipements'!$B$5:$B$304,MATCH(D609,'Équipements'!$A$5:$A$304,0)),"Code inconnu"))</f>
        <v/>
      </c>
      <c r="F609" s="9">
        <f>IF(D609="","",IFERROR(INDEX('Équipements'!$D$5:$D$304,MATCH(D609,'Équipements'!$A$5:$A$304,0)),""))</f>
        <v/>
      </c>
      <c r="G609" s="9">
        <f>IF(D609="","",IFERROR(INDEX('Équipements'!$K$5:$K$304,MATCH(D609,'Équipements'!$A$5:$A$304,0)),""))</f>
        <v/>
      </c>
      <c r="H609" s="7" t="inlineStr">
        <is>
          <t>Correctif</t>
        </is>
      </c>
      <c r="I609" s="7" t="n"/>
      <c r="J609" s="7" t="inlineStr">
        <is>
          <t>Mécanique</t>
        </is>
      </c>
      <c r="K609" s="7" t="inlineStr">
        <is>
          <t>P3 - Normale</t>
        </is>
      </c>
      <c r="L609" s="7" t="inlineStr">
        <is>
          <t>Torche défectueuse</t>
        </is>
      </c>
      <c r="M609" s="7" t="inlineStr">
        <is>
          <t>Usure</t>
        </is>
      </c>
      <c r="N609" s="7" t="inlineStr">
        <is>
          <t>Réparation torche, remplacement buse</t>
        </is>
      </c>
      <c r="O609" s="7" t="inlineStr">
        <is>
          <t>Karim Benali</t>
        </is>
      </c>
      <c r="P609" s="65" t="n"/>
      <c r="Q609" s="75" t="n">
        <v>45926.70902777778</v>
      </c>
      <c r="R609" s="75" t="n">
        <v>45926.90694444445</v>
      </c>
      <c r="S609" s="76" t="n">
        <v>0</v>
      </c>
      <c r="T609" s="76" t="n">
        <v>4.75</v>
      </c>
      <c r="U609" s="70">
        <f>IF($A609="","",IFERROR(INDEX('Techniciens'!$F$5:$F$44,MATCH(O609,'Techniciens'!$B$5:$B$44,0)),'Paramètres'!$AA$10))</f>
        <v/>
      </c>
      <c r="V609" s="70">
        <f>IF($A609="","",IF(OR(AC609="Demandé",AC609="Planifié",AC609="Annulé"),0,N(T609)*N(U609)))</f>
        <v/>
      </c>
      <c r="W609" s="70">
        <f>IF($A609="","",SUMIFS('Mouvements stock'!$H$5:$H$3004,'Mouvements stock'!$I$5:$I$3004,$A609,'Mouvements stock'!$C$5:$C$3004,"Sortie")-SUMIFS('Mouvements stock'!$H$5:$H$3004,'Mouvements stock'!$I$5:$I$3004,$A609,'Mouvements stock'!$C$5:$C$3004,"Retour"))</f>
        <v/>
      </c>
      <c r="X609" s="66" t="n">
        <v>0</v>
      </c>
      <c r="Y609" s="66" t="n">
        <v>0</v>
      </c>
      <c r="Z609" s="7" t="n"/>
      <c r="AA609" s="70">
        <f>IF($A609="","",N(V609)+N(W609)+N(X609)+N(Y609))</f>
        <v/>
      </c>
      <c r="AB609" s="70">
        <f>IF($A609="","",N(S609)*'Paramètres'!$AA$9*IFERROR(INDEX('Paramètres'!$O$5:$O$7,MATCH(G609,'Paramètres'!$N$5:$N$7,0)),0))</f>
        <v/>
      </c>
      <c r="AC609" s="7" t="inlineStr">
        <is>
          <t>Clôturé</t>
        </is>
      </c>
      <c r="AD609" s="69">
        <f>IF(OR($A609="",Q609=""),"",(Q609-B609)*24)</f>
        <v/>
      </c>
      <c r="AE609" s="69">
        <f>IF(OR(Q609="",R609=""),"",(R609-Q609)*24)</f>
        <v/>
      </c>
      <c r="AF609" s="77">
        <f>IF(OR($A609="",B609=""),"",YEAR(B609))</f>
        <v/>
      </c>
      <c r="AG609" s="77">
        <f>IF(OR($A609="",B609=""),"",MONTH(B609))</f>
        <v/>
      </c>
    </row>
    <row r="610">
      <c r="A610" s="7" t="inlineStr">
        <is>
          <t>OT-2025-0606</t>
        </is>
      </c>
      <c r="B610" s="75" t="n">
        <v>45925.60972222222</v>
      </c>
      <c r="C610" s="7" t="inlineStr">
        <is>
          <t>Éric Laurent (chef d'atelier)</t>
        </is>
      </c>
      <c r="D610" s="7" t="inlineStr">
        <is>
          <t>EQ-USI-001</t>
        </is>
      </c>
      <c r="E610" s="9">
        <f>IF(D610="","",IFERROR(INDEX('Équipements'!$B$5:$B$304,MATCH(D610,'Équipements'!$A$5:$A$304,0)),"Code inconnu"))</f>
        <v/>
      </c>
      <c r="F610" s="9">
        <f>IF(D610="","",IFERROR(INDEX('Équipements'!$D$5:$D$304,MATCH(D610,'Équipements'!$A$5:$A$304,0)),""))</f>
        <v/>
      </c>
      <c r="G610" s="9">
        <f>IF(D610="","",IFERROR(INDEX('Équipements'!$K$5:$K$304,MATCH(D610,'Équipements'!$A$5:$A$304,0)),""))</f>
        <v/>
      </c>
      <c r="H610" s="7" t="inlineStr">
        <is>
          <t>Correctif</t>
        </is>
      </c>
      <c r="I610" s="7" t="n"/>
      <c r="J610" s="7" t="inlineStr">
        <is>
          <t>Mécanique</t>
        </is>
      </c>
      <c r="K610" s="7" t="inlineStr">
        <is>
          <t>P1 - Urgent</t>
        </is>
      </c>
      <c r="L610" s="7" t="inlineStr">
        <is>
          <t>Défaut changeur d'outils (blocage bras)</t>
        </is>
      </c>
      <c r="M610" s="7" t="inlineStr">
        <is>
          <t>Usure</t>
        </is>
      </c>
      <c r="N610" s="7" t="inlineStr">
        <is>
          <t>Remplacement détecteur position bras et réglage</t>
        </is>
      </c>
      <c r="O610" s="7" t="inlineStr">
        <is>
          <t>Antoine Mercier</t>
        </is>
      </c>
      <c r="P610" s="65" t="n"/>
      <c r="Q610" s="75" t="n">
        <v>45925.64791666667</v>
      </c>
      <c r="R610" s="75" t="n">
        <v>45925.74166666667</v>
      </c>
      <c r="S610" s="76" t="n">
        <v>3.2</v>
      </c>
      <c r="T610" s="76" t="n">
        <v>2.25</v>
      </c>
      <c r="U610" s="70">
        <f>IF($A610="","",IFERROR(INDEX('Techniciens'!$F$5:$F$44,MATCH(O610,'Techniciens'!$B$5:$B$44,0)),'Paramètres'!$AA$10))</f>
        <v/>
      </c>
      <c r="V610" s="70">
        <f>IF($A610="","",IF(OR(AC610="Demandé",AC610="Planifié",AC610="Annulé"),0,N(T610)*N(U610)))</f>
        <v/>
      </c>
      <c r="W610" s="70">
        <f>IF($A610="","",SUMIFS('Mouvements stock'!$H$5:$H$3004,'Mouvements stock'!$I$5:$I$3004,$A610,'Mouvements stock'!$C$5:$C$3004,"Sortie")-SUMIFS('Mouvements stock'!$H$5:$H$3004,'Mouvements stock'!$I$5:$I$3004,$A610,'Mouvements stock'!$C$5:$C$3004,"Retour"))</f>
        <v/>
      </c>
      <c r="X610" s="66" t="n">
        <v>0</v>
      </c>
      <c r="Y610" s="66" t="n">
        <v>0</v>
      </c>
      <c r="Z610" s="7" t="n"/>
      <c r="AA610" s="70">
        <f>IF($A610="","",N(V610)+N(W610)+N(X610)+N(Y610))</f>
        <v/>
      </c>
      <c r="AB610" s="70">
        <f>IF($A610="","",N(S610)*'Paramètres'!$AA$9*IFERROR(INDEX('Paramètres'!$O$5:$O$7,MATCH(G610,'Paramètres'!$N$5:$N$7,0)),0))</f>
        <v/>
      </c>
      <c r="AC610" s="7" t="inlineStr">
        <is>
          <t>Clôturé</t>
        </is>
      </c>
      <c r="AD610" s="69">
        <f>IF(OR($A610="",Q610=""),"",(Q610-B610)*24)</f>
        <v/>
      </c>
      <c r="AE610" s="69">
        <f>IF(OR(Q610="",R610=""),"",(R610-Q610)*24)</f>
        <v/>
      </c>
      <c r="AF610" s="77">
        <f>IF(OR($A610="",B610=""),"",YEAR(B610))</f>
        <v/>
      </c>
      <c r="AG610" s="77">
        <f>IF(OR($A610="",B610=""),"",MONTH(B610))</f>
        <v/>
      </c>
    </row>
    <row r="611">
      <c r="A611" s="7" t="inlineStr">
        <is>
          <t>OT-2025-0607</t>
        </is>
      </c>
      <c r="B611" s="75" t="n">
        <v>45926.72777777778</v>
      </c>
      <c r="C611" s="7" t="inlineStr">
        <is>
          <t>Sylvie Mathieu (resp. logistique)</t>
        </is>
      </c>
      <c r="D611" s="7" t="inlineStr">
        <is>
          <t>EQ-LOG-002</t>
        </is>
      </c>
      <c r="E611" s="9">
        <f>IF(D611="","",IFERROR(INDEX('Équipements'!$B$5:$B$304,MATCH(D611,'Équipements'!$A$5:$A$304,0)),"Code inconnu"))</f>
        <v/>
      </c>
      <c r="F611" s="9">
        <f>IF(D611="","",IFERROR(INDEX('Équipements'!$D$5:$D$304,MATCH(D611,'Équipements'!$A$5:$A$304,0)),""))</f>
        <v/>
      </c>
      <c r="G611" s="9">
        <f>IF(D611="","",IFERROR(INDEX('Équipements'!$K$5:$K$304,MATCH(D611,'Équipements'!$A$5:$A$304,0)),""))</f>
        <v/>
      </c>
      <c r="H611" s="7" t="inlineStr">
        <is>
          <t>Correctif</t>
        </is>
      </c>
      <c r="I611" s="7" t="n"/>
      <c r="J611" s="7" t="inlineStr">
        <is>
          <t>Hydraulique</t>
        </is>
      </c>
      <c r="K611" s="7" t="inlineStr">
        <is>
          <t>P2 - Haute</t>
        </is>
      </c>
      <c r="L611" s="7" t="inlineStr">
        <is>
          <t>Fuite vérin de levée</t>
        </is>
      </c>
      <c r="M611" s="7" t="inlineStr">
        <is>
          <t>Fuite</t>
        </is>
      </c>
      <c r="N611" s="7" t="inlineStr">
        <is>
          <t>Remplacement kit joints</t>
        </is>
      </c>
      <c r="O611" s="7" t="inlineStr">
        <is>
          <t>Karim Benali</t>
        </is>
      </c>
      <c r="P611" s="65" t="n"/>
      <c r="Q611" s="75" t="n">
        <v>45926.83194444444</v>
      </c>
      <c r="R611" s="75" t="n">
        <v>45926.89444444444</v>
      </c>
      <c r="S611" s="76" t="n">
        <v>1.2</v>
      </c>
      <c r="T611" s="76" t="n">
        <v>1.5</v>
      </c>
      <c r="U611" s="70">
        <f>IF($A611="","",IFERROR(INDEX('Techniciens'!$F$5:$F$44,MATCH(O611,'Techniciens'!$B$5:$B$44,0)),'Paramètres'!$AA$10))</f>
        <v/>
      </c>
      <c r="V611" s="70">
        <f>IF($A611="","",IF(OR(AC611="Demandé",AC611="Planifié",AC611="Annulé"),0,N(T611)*N(U611)))</f>
        <v/>
      </c>
      <c r="W611" s="70">
        <f>IF($A611="","",SUMIFS('Mouvements stock'!$H$5:$H$3004,'Mouvements stock'!$I$5:$I$3004,$A611,'Mouvements stock'!$C$5:$C$3004,"Sortie")-SUMIFS('Mouvements stock'!$H$5:$H$3004,'Mouvements stock'!$I$5:$I$3004,$A611,'Mouvements stock'!$C$5:$C$3004,"Retour"))</f>
        <v/>
      </c>
      <c r="X611" s="66" t="n">
        <v>0</v>
      </c>
      <c r="Y611" s="66" t="n">
        <v>0</v>
      </c>
      <c r="Z611" s="7" t="n"/>
      <c r="AA611" s="70">
        <f>IF($A611="","",N(V611)+N(W611)+N(X611)+N(Y611))</f>
        <v/>
      </c>
      <c r="AB611" s="70">
        <f>IF($A611="","",N(S611)*'Paramètres'!$AA$9*IFERROR(INDEX('Paramètres'!$O$5:$O$7,MATCH(G611,'Paramètres'!$N$5:$N$7,0)),0))</f>
        <v/>
      </c>
      <c r="AC611" s="7" t="inlineStr">
        <is>
          <t>Clôturé</t>
        </is>
      </c>
      <c r="AD611" s="69">
        <f>IF(OR($A611="",Q611=""),"",(Q611-B611)*24)</f>
        <v/>
      </c>
      <c r="AE611" s="69">
        <f>IF(OR(Q611="",R611=""),"",(R611-Q611)*24)</f>
        <v/>
      </c>
      <c r="AF611" s="77">
        <f>IF(OR($A611="",B611=""),"",YEAR(B611))</f>
        <v/>
      </c>
      <c r="AG611" s="77">
        <f>IF(OR($A611="",B611=""),"",MONTH(B611))</f>
        <v/>
      </c>
    </row>
    <row r="612">
      <c r="A612" s="7" t="inlineStr">
        <is>
          <t>OT-2025-0608</t>
        </is>
      </c>
      <c r="B612" s="75" t="n">
        <v>45926.83194444444</v>
      </c>
      <c r="C612" s="7" t="inlineStr">
        <is>
          <t>Opérateur peinture</t>
        </is>
      </c>
      <c r="D612" s="7" t="inlineStr">
        <is>
          <t>EQ-PEI-004</t>
        </is>
      </c>
      <c r="E612" s="9">
        <f>IF(D612="","",IFERROR(INDEX('Équipements'!$B$5:$B$304,MATCH(D612,'Équipements'!$A$5:$A$304,0)),"Code inconnu"))</f>
        <v/>
      </c>
      <c r="F612" s="9">
        <f>IF(D612="","",IFERROR(INDEX('Équipements'!$D$5:$D$304,MATCH(D612,'Équipements'!$A$5:$A$304,0)),""))</f>
        <v/>
      </c>
      <c r="G612" s="9">
        <f>IF(D612="","",IFERROR(INDEX('Équipements'!$K$5:$K$304,MATCH(D612,'Équipements'!$A$5:$A$304,0)),""))</f>
        <v/>
      </c>
      <c r="H612" s="7" t="inlineStr">
        <is>
          <t>Correctif</t>
        </is>
      </c>
      <c r="I612" s="7" t="n"/>
      <c r="J612" s="7" t="inlineStr">
        <is>
          <t>Mécanique</t>
        </is>
      </c>
      <c r="K612" s="7" t="inlineStr">
        <is>
          <t>P3 - Normale</t>
        </is>
      </c>
      <c r="L612" s="7" t="inlineStr">
        <is>
          <t>Roulement de tambour bruyant</t>
        </is>
      </c>
      <c r="M612" s="7" t="inlineStr">
        <is>
          <t>Usure</t>
        </is>
      </c>
      <c r="N612" s="7" t="inlineStr">
        <is>
          <t>Remplacement roulements et palier</t>
        </is>
      </c>
      <c r="O612" s="7" t="inlineStr">
        <is>
          <t>Lucas Fontaine</t>
        </is>
      </c>
      <c r="P612" s="65" t="n"/>
      <c r="Q612" s="75" t="n">
        <v>45927.82847222222</v>
      </c>
      <c r="R612" s="75" t="n">
        <v>45927.97430555556</v>
      </c>
      <c r="S612" s="76" t="n">
        <v>3.5</v>
      </c>
      <c r="T612" s="76" t="n">
        <v>3.5</v>
      </c>
      <c r="U612" s="70">
        <f>IF($A612="","",IFERROR(INDEX('Techniciens'!$F$5:$F$44,MATCH(O612,'Techniciens'!$B$5:$B$44,0)),'Paramètres'!$AA$10))</f>
        <v/>
      </c>
      <c r="V612" s="70">
        <f>IF($A612="","",IF(OR(AC612="Demandé",AC612="Planifié",AC612="Annulé"),0,N(T612)*N(U612)))</f>
        <v/>
      </c>
      <c r="W612" s="70">
        <f>IF($A612="","",SUMIFS('Mouvements stock'!$H$5:$H$3004,'Mouvements stock'!$I$5:$I$3004,$A612,'Mouvements stock'!$C$5:$C$3004,"Sortie")-SUMIFS('Mouvements stock'!$H$5:$H$3004,'Mouvements stock'!$I$5:$I$3004,$A612,'Mouvements stock'!$C$5:$C$3004,"Retour"))</f>
        <v/>
      </c>
      <c r="X612" s="66" t="n">
        <v>0</v>
      </c>
      <c r="Y612" s="66" t="n">
        <v>0</v>
      </c>
      <c r="Z612" s="7" t="n"/>
      <c r="AA612" s="70">
        <f>IF($A612="","",N(V612)+N(W612)+N(X612)+N(Y612))</f>
        <v/>
      </c>
      <c r="AB612" s="70">
        <f>IF($A612="","",N(S612)*'Paramètres'!$AA$9*IFERROR(INDEX('Paramètres'!$O$5:$O$7,MATCH(G612,'Paramètres'!$N$5:$N$7,0)),0))</f>
        <v/>
      </c>
      <c r="AC612" s="7" t="inlineStr">
        <is>
          <t>Clôturé</t>
        </is>
      </c>
      <c r="AD612" s="69">
        <f>IF(OR($A612="",Q612=""),"",(Q612-B612)*24)</f>
        <v/>
      </c>
      <c r="AE612" s="69">
        <f>IF(OR(Q612="",R612=""),"",(R612-Q612)*24)</f>
        <v/>
      </c>
      <c r="AF612" s="77">
        <f>IF(OR($A612="",B612=""),"",YEAR(B612))</f>
        <v/>
      </c>
      <c r="AG612" s="77">
        <f>IF(OR($A612="",B612=""),"",MONTH(B612))</f>
        <v/>
      </c>
    </row>
    <row r="613">
      <c r="A613" s="7" t="inlineStr">
        <is>
          <t>OT-2025-0609</t>
        </is>
      </c>
      <c r="B613" s="75" t="n">
        <v>45927.39444444444</v>
      </c>
      <c r="C613" s="7" t="inlineStr">
        <is>
          <t>Opérateur peinture</t>
        </is>
      </c>
      <c r="D613" s="7" t="inlineStr">
        <is>
          <t>EQ-PEI-004</t>
        </is>
      </c>
      <c r="E613" s="9">
        <f>IF(D613="","",IFERROR(INDEX('Équipements'!$B$5:$B$304,MATCH(D613,'Équipements'!$A$5:$A$304,0)),"Code inconnu"))</f>
        <v/>
      </c>
      <c r="F613" s="9">
        <f>IF(D613="","",IFERROR(INDEX('Équipements'!$D$5:$D$304,MATCH(D613,'Équipements'!$A$5:$A$304,0)),""))</f>
        <v/>
      </c>
      <c r="G613" s="9">
        <f>IF(D613="","",IFERROR(INDEX('Équipements'!$K$5:$K$304,MATCH(D613,'Équipements'!$A$5:$A$304,0)),""))</f>
        <v/>
      </c>
      <c r="H613" s="7" t="inlineStr">
        <is>
          <t>Correctif</t>
        </is>
      </c>
      <c r="I613" s="7" t="n"/>
      <c r="J613" s="7" t="inlineStr">
        <is>
          <t>Électrique</t>
        </is>
      </c>
      <c r="K613" s="7" t="inlineStr">
        <is>
          <t>P1 - Urgent</t>
        </is>
      </c>
      <c r="L613" s="7" t="inlineStr">
        <is>
          <t>Moteur d'entraînement en défaut thermique</t>
        </is>
      </c>
      <c r="M613" s="7" t="inlineStr">
        <is>
          <t>Défaut électrique</t>
        </is>
      </c>
      <c r="N613" s="7" t="inlineStr">
        <is>
          <t>Remplacement motoréducteur / disjoncteur moteur</t>
        </is>
      </c>
      <c r="O613" s="7" t="inlineStr">
        <is>
          <t>Antoine Mercier</t>
        </is>
      </c>
      <c r="P613" s="65" t="n"/>
      <c r="Q613" s="75" t="n">
        <v>45927.41944444444</v>
      </c>
      <c r="R613" s="75" t="n">
        <v>45927.50277777778</v>
      </c>
      <c r="S613" s="76" t="n">
        <v>2.6</v>
      </c>
      <c r="T613" s="76" t="n">
        <v>2</v>
      </c>
      <c r="U613" s="70">
        <f>IF($A613="","",IFERROR(INDEX('Techniciens'!$F$5:$F$44,MATCH(O613,'Techniciens'!$B$5:$B$44,0)),'Paramètres'!$AA$10))</f>
        <v/>
      </c>
      <c r="V613" s="70">
        <f>IF($A613="","",IF(OR(AC613="Demandé",AC613="Planifié",AC613="Annulé"),0,N(T613)*N(U613)))</f>
        <v/>
      </c>
      <c r="W613" s="70">
        <f>IF($A613="","",SUMIFS('Mouvements stock'!$H$5:$H$3004,'Mouvements stock'!$I$5:$I$3004,$A613,'Mouvements stock'!$C$5:$C$3004,"Sortie")-SUMIFS('Mouvements stock'!$H$5:$H$3004,'Mouvements stock'!$I$5:$I$3004,$A613,'Mouvements stock'!$C$5:$C$3004,"Retour"))</f>
        <v/>
      </c>
      <c r="X613" s="66" t="n">
        <v>0</v>
      </c>
      <c r="Y613" s="66" t="n">
        <v>0</v>
      </c>
      <c r="Z613" s="7" t="n"/>
      <c r="AA613" s="70">
        <f>IF($A613="","",N(V613)+N(W613)+N(X613)+N(Y613))</f>
        <v/>
      </c>
      <c r="AB613" s="70">
        <f>IF($A613="","",N(S613)*'Paramètres'!$AA$9*IFERROR(INDEX('Paramètres'!$O$5:$O$7,MATCH(G613,'Paramètres'!$N$5:$N$7,0)),0))</f>
        <v/>
      </c>
      <c r="AC613" s="7" t="inlineStr">
        <is>
          <t>Clôturé</t>
        </is>
      </c>
      <c r="AD613" s="69">
        <f>IF(OR($A613="",Q613=""),"",(Q613-B613)*24)</f>
        <v/>
      </c>
      <c r="AE613" s="69">
        <f>IF(OR(Q613="",R613=""),"",(R613-Q613)*24)</f>
        <v/>
      </c>
      <c r="AF613" s="77">
        <f>IF(OR($A613="",B613=""),"",YEAR(B613))</f>
        <v/>
      </c>
      <c r="AG613" s="77">
        <f>IF(OR($A613="",B613=""),"",MONTH(B613))</f>
        <v/>
      </c>
    </row>
    <row r="614">
      <c r="A614" s="7" t="inlineStr">
        <is>
          <t>OT-2025-0610</t>
        </is>
      </c>
      <c r="B614" s="75" t="n">
        <v>45927.53194444445</v>
      </c>
      <c r="C614" s="7" t="inlineStr">
        <is>
          <t>Céline Morel (cheffe d'atelier)</t>
        </is>
      </c>
      <c r="D614" s="7" t="inlineStr">
        <is>
          <t>EQ-TOL-001</t>
        </is>
      </c>
      <c r="E614" s="9">
        <f>IF(D614="","",IFERROR(INDEX('Équipements'!$B$5:$B$304,MATCH(D614,'Équipements'!$A$5:$A$304,0)),"Code inconnu"))</f>
        <v/>
      </c>
      <c r="F614" s="9">
        <f>IF(D614="","",IFERROR(INDEX('Équipements'!$D$5:$D$304,MATCH(D614,'Équipements'!$A$5:$A$304,0)),""))</f>
        <v/>
      </c>
      <c r="G614" s="9">
        <f>IF(D614="","",IFERROR(INDEX('Équipements'!$K$5:$K$304,MATCH(D614,'Équipements'!$A$5:$A$304,0)),""))</f>
        <v/>
      </c>
      <c r="H614" s="7" t="inlineStr">
        <is>
          <t>Correctif</t>
        </is>
      </c>
      <c r="I614" s="7" t="n"/>
      <c r="J614" s="7" t="inlineStr">
        <is>
          <t>Mécanique</t>
        </is>
      </c>
      <c r="K614" s="7" t="inlineStr">
        <is>
          <t>P1 - Urgent</t>
        </is>
      </c>
      <c r="L614" s="7" t="inlineStr">
        <is>
          <t>Alarme débit d'eau groupe froid laser</t>
        </is>
      </c>
      <c r="M614" s="7" t="inlineStr">
        <is>
          <t>Encrassement</t>
        </is>
      </c>
      <c r="N614" s="7" t="inlineStr">
        <is>
          <t>Nettoyage filtres chiller, appoint eau déminéralisée</t>
        </is>
      </c>
      <c r="O614" s="7" t="inlineStr">
        <is>
          <t>Lucas Fontaine</t>
        </is>
      </c>
      <c r="P614" s="65" t="n"/>
      <c r="Q614" s="75" t="n">
        <v>45927.54652777778</v>
      </c>
      <c r="R614" s="75" t="n">
        <v>45927.68194444444</v>
      </c>
      <c r="S614" s="76" t="n">
        <v>3.6</v>
      </c>
      <c r="T614" s="76" t="n">
        <v>3.25</v>
      </c>
      <c r="U614" s="70">
        <f>IF($A614="","",IFERROR(INDEX('Techniciens'!$F$5:$F$44,MATCH(O614,'Techniciens'!$B$5:$B$44,0)),'Paramètres'!$AA$10))</f>
        <v/>
      </c>
      <c r="V614" s="70">
        <f>IF($A614="","",IF(OR(AC614="Demandé",AC614="Planifié",AC614="Annulé"),0,N(T614)*N(U614)))</f>
        <v/>
      </c>
      <c r="W614" s="70">
        <f>IF($A614="","",SUMIFS('Mouvements stock'!$H$5:$H$3004,'Mouvements stock'!$I$5:$I$3004,$A614,'Mouvements stock'!$C$5:$C$3004,"Sortie")-SUMIFS('Mouvements stock'!$H$5:$H$3004,'Mouvements stock'!$I$5:$I$3004,$A614,'Mouvements stock'!$C$5:$C$3004,"Retour"))</f>
        <v/>
      </c>
      <c r="X614" s="66" t="n">
        <v>559</v>
      </c>
      <c r="Y614" s="66" t="n">
        <v>0</v>
      </c>
      <c r="Z614" s="7" t="n"/>
      <c r="AA614" s="70">
        <f>IF($A614="","",N(V614)+N(W614)+N(X614)+N(Y614))</f>
        <v/>
      </c>
      <c r="AB614" s="70">
        <f>IF($A614="","",N(S614)*'Paramètres'!$AA$9*IFERROR(INDEX('Paramètres'!$O$5:$O$7,MATCH(G614,'Paramètres'!$N$5:$N$7,0)),0))</f>
        <v/>
      </c>
      <c r="AC614" s="7" t="inlineStr">
        <is>
          <t>Clôturé</t>
        </is>
      </c>
      <c r="AD614" s="69">
        <f>IF(OR($A614="",Q614=""),"",(Q614-B614)*24)</f>
        <v/>
      </c>
      <c r="AE614" s="69">
        <f>IF(OR(Q614="",R614=""),"",(R614-Q614)*24)</f>
        <v/>
      </c>
      <c r="AF614" s="77">
        <f>IF(OR($A614="",B614=""),"",YEAR(B614))</f>
        <v/>
      </c>
      <c r="AG614" s="77">
        <f>IF(OR($A614="",B614=""),"",MONTH(B614))</f>
        <v/>
      </c>
    </row>
    <row r="615">
      <c r="A615" s="7" t="inlineStr">
        <is>
          <t>OT-2025-0611</t>
        </is>
      </c>
      <c r="B615" s="75" t="n">
        <v>45929.35416666666</v>
      </c>
      <c r="C615" s="7" t="inlineStr">
        <is>
          <t>Plan préventif</t>
        </is>
      </c>
      <c r="D615" s="7" t="inlineStr">
        <is>
          <t>EQ-TOL-003</t>
        </is>
      </c>
      <c r="E615" s="9">
        <f>IF(D615="","",IFERROR(INDEX('Équipements'!$B$5:$B$304,MATCH(D615,'Équipements'!$A$5:$A$304,0)),"Code inconnu"))</f>
        <v/>
      </c>
      <c r="F615" s="9">
        <f>IF(D615="","",IFERROR(INDEX('Équipements'!$D$5:$D$304,MATCH(D615,'Équipements'!$A$5:$A$304,0)),""))</f>
        <v/>
      </c>
      <c r="G615" s="9">
        <f>IF(D615="","",IFERROR(INDEX('Équipements'!$K$5:$K$304,MATCH(D615,'Équipements'!$A$5:$A$304,0)),""))</f>
        <v/>
      </c>
      <c r="H615" s="7" t="inlineStr">
        <is>
          <t>Préventif systématique</t>
        </is>
      </c>
      <c r="I615" s="7" t="inlineStr">
        <is>
          <t>GP-044</t>
        </is>
      </c>
      <c r="J615" s="7" t="inlineStr">
        <is>
          <t>Hydraulique</t>
        </is>
      </c>
      <c r="K615" s="7" t="inlineStr">
        <is>
          <t>P3 - Normale</t>
        </is>
      </c>
      <c r="L615" s="7" t="inlineStr">
        <is>
          <t>Contrôle hydraulique : fuites, niveaux, pressions</t>
        </is>
      </c>
      <c r="M615" s="7" t="n"/>
      <c r="N615" s="7" t="inlineStr">
        <is>
          <t>Gamme réalisée - RAS</t>
        </is>
      </c>
      <c r="O615" s="7" t="inlineStr">
        <is>
          <t>Karim Benali</t>
        </is>
      </c>
      <c r="P615" s="65" t="n">
        <v>45936.52430555555</v>
      </c>
      <c r="Q615" s="75" t="n">
        <v>45936.38194444445</v>
      </c>
      <c r="R615" s="75" t="n">
        <v>45936.48611111111</v>
      </c>
      <c r="S615" s="76" t="n">
        <v>2.5</v>
      </c>
      <c r="T615" s="76" t="n">
        <v>2.5</v>
      </c>
      <c r="U615" s="70">
        <f>IF($A615="","",IFERROR(INDEX('Techniciens'!$F$5:$F$44,MATCH(O615,'Techniciens'!$B$5:$B$44,0)),'Paramètres'!$AA$10))</f>
        <v/>
      </c>
      <c r="V615" s="70">
        <f>IF($A615="","",IF(OR(AC615="Demandé",AC615="Planifié",AC615="Annulé"),0,N(T615)*N(U615)))</f>
        <v/>
      </c>
      <c r="W615" s="70">
        <f>IF($A615="","",SUMIFS('Mouvements stock'!$H$5:$H$3004,'Mouvements stock'!$I$5:$I$3004,$A615,'Mouvements stock'!$C$5:$C$3004,"Sortie")-SUMIFS('Mouvements stock'!$H$5:$H$3004,'Mouvements stock'!$I$5:$I$3004,$A615,'Mouvements stock'!$C$5:$C$3004,"Retour"))</f>
        <v/>
      </c>
      <c r="X615" s="66" t="n">
        <v>0</v>
      </c>
      <c r="Y615" s="66" t="n">
        <v>0</v>
      </c>
      <c r="Z615" s="7" t="n"/>
      <c r="AA615" s="70">
        <f>IF($A615="","",N(V615)+N(W615)+N(X615)+N(Y615))</f>
        <v/>
      </c>
      <c r="AB615" s="70">
        <f>IF($A615="","",N(S615)*'Paramètres'!$AA$9*IFERROR(INDEX('Paramètres'!$O$5:$O$7,MATCH(G615,'Paramètres'!$N$5:$N$7,0)),0))</f>
        <v/>
      </c>
      <c r="AC615" s="7" t="inlineStr">
        <is>
          <t>Clôturé</t>
        </is>
      </c>
      <c r="AD615" s="69">
        <f>IF(OR($A615="",Q615=""),"",(Q615-B615)*24)</f>
        <v/>
      </c>
      <c r="AE615" s="69">
        <f>IF(OR(Q615="",R615=""),"",(R615-Q615)*24)</f>
        <v/>
      </c>
      <c r="AF615" s="77">
        <f>IF(OR($A615="",B615=""),"",YEAR(B615))</f>
        <v/>
      </c>
      <c r="AG615" s="77">
        <f>IF(OR($A615="",B615=""),"",MONTH(B615))</f>
        <v/>
      </c>
    </row>
    <row r="616">
      <c r="A616" s="7" t="inlineStr">
        <is>
          <t>OT-2025-0612</t>
        </is>
      </c>
      <c r="B616" s="75" t="n">
        <v>45929.35416666666</v>
      </c>
      <c r="C616" s="7" t="inlineStr">
        <is>
          <t>Plan préventif</t>
        </is>
      </c>
      <c r="D616" s="7" t="inlineStr">
        <is>
          <t>EQ-ASS-001</t>
        </is>
      </c>
      <c r="E616" s="9">
        <f>IF(D616="","",IFERROR(INDEX('Équipements'!$B$5:$B$304,MATCH(D616,'Équipements'!$A$5:$A$304,0)),"Code inconnu"))</f>
        <v/>
      </c>
      <c r="F616" s="9">
        <f>IF(D616="","",IFERROR(INDEX('Équipements'!$D$5:$D$304,MATCH(D616,'Équipements'!$A$5:$A$304,0)),""))</f>
        <v/>
      </c>
      <c r="G616" s="9">
        <f>IF(D616="","",IFERROR(INDEX('Équipements'!$K$5:$K$304,MATCH(D616,'Équipements'!$A$5:$A$304,0)),""))</f>
        <v/>
      </c>
      <c r="H616" s="7" t="inlineStr">
        <is>
          <t>Préventif systématique</t>
        </is>
      </c>
      <c r="I616" s="7" t="inlineStr">
        <is>
          <t>GP-076</t>
        </is>
      </c>
      <c r="J616" s="7" t="inlineStr">
        <is>
          <t>Mécanique</t>
        </is>
      </c>
      <c r="K616" s="7" t="inlineStr">
        <is>
          <t>P3 - Normale</t>
        </is>
      </c>
      <c r="L616" s="7" t="inlineStr">
        <is>
          <t>Graissage chaîne / galets et contrôle tension</t>
        </is>
      </c>
      <c r="M616" s="7" t="n"/>
      <c r="N616" s="7" t="inlineStr">
        <is>
          <t>Gamme réalisée - RAS</t>
        </is>
      </c>
      <c r="O616" s="7" t="inlineStr">
        <is>
          <t>Lucas Fontaine</t>
        </is>
      </c>
      <c r="P616" s="65" t="n">
        <v>45936.47569444445</v>
      </c>
      <c r="Q616" s="75" t="n">
        <v>45936.48958333334</v>
      </c>
      <c r="R616" s="75" t="n">
        <v>45936.57291666666</v>
      </c>
      <c r="S616" s="76" t="n">
        <v>1</v>
      </c>
      <c r="T616" s="76" t="n">
        <v>2</v>
      </c>
      <c r="U616" s="70">
        <f>IF($A616="","",IFERROR(INDEX('Techniciens'!$F$5:$F$44,MATCH(O616,'Techniciens'!$B$5:$B$44,0)),'Paramètres'!$AA$10))</f>
        <v/>
      </c>
      <c r="V616" s="70">
        <f>IF($A616="","",IF(OR(AC616="Demandé",AC616="Planifié",AC616="Annulé"),0,N(T616)*N(U616)))</f>
        <v/>
      </c>
      <c r="W616" s="70">
        <f>IF($A616="","",SUMIFS('Mouvements stock'!$H$5:$H$3004,'Mouvements stock'!$I$5:$I$3004,$A616,'Mouvements stock'!$C$5:$C$3004,"Sortie")-SUMIFS('Mouvements stock'!$H$5:$H$3004,'Mouvements stock'!$I$5:$I$3004,$A616,'Mouvements stock'!$C$5:$C$3004,"Retour"))</f>
        <v/>
      </c>
      <c r="X616" s="66" t="n">
        <v>0</v>
      </c>
      <c r="Y616" s="66" t="n">
        <v>0</v>
      </c>
      <c r="Z616" s="7" t="n"/>
      <c r="AA616" s="70">
        <f>IF($A616="","",N(V616)+N(W616)+N(X616)+N(Y616))</f>
        <v/>
      </c>
      <c r="AB616" s="70">
        <f>IF($A616="","",N(S616)*'Paramètres'!$AA$9*IFERROR(INDEX('Paramètres'!$O$5:$O$7,MATCH(G616,'Paramètres'!$N$5:$N$7,0)),0))</f>
        <v/>
      </c>
      <c r="AC616" s="7" t="inlineStr">
        <is>
          <t>Clôturé</t>
        </is>
      </c>
      <c r="AD616" s="69">
        <f>IF(OR($A616="",Q616=""),"",(Q616-B616)*24)</f>
        <v/>
      </c>
      <c r="AE616" s="69">
        <f>IF(OR(Q616="",R616=""),"",(R616-Q616)*24)</f>
        <v/>
      </c>
      <c r="AF616" s="77">
        <f>IF(OR($A616="",B616=""),"",YEAR(B616))</f>
        <v/>
      </c>
      <c r="AG616" s="77">
        <f>IF(OR($A616="",B616=""),"",MONTH(B616))</f>
        <v/>
      </c>
    </row>
    <row r="617">
      <c r="A617" s="7" t="inlineStr">
        <is>
          <t>OT-2025-0613</t>
        </is>
      </c>
      <c r="B617" s="75" t="n">
        <v>45929.36111111111</v>
      </c>
      <c r="C617" s="7" t="inlineStr">
        <is>
          <t>Plan préventif</t>
        </is>
      </c>
      <c r="D617" s="7" t="inlineStr">
        <is>
          <t>EQ-LOG-004</t>
        </is>
      </c>
      <c r="E617" s="9">
        <f>IF(D617="","",IFERROR(INDEX('Équipements'!$B$5:$B$304,MATCH(D617,'Équipements'!$A$5:$A$304,0)),"Code inconnu"))</f>
        <v/>
      </c>
      <c r="F617" s="9">
        <f>IF(D617="","",IFERROR(INDEX('Équipements'!$D$5:$D$304,MATCH(D617,'Équipements'!$A$5:$A$304,0)),""))</f>
        <v/>
      </c>
      <c r="G617" s="9">
        <f>IF(D617="","",IFERROR(INDEX('Équipements'!$K$5:$K$304,MATCH(D617,'Équipements'!$A$5:$A$304,0)),""))</f>
        <v/>
      </c>
      <c r="H617" s="7" t="inlineStr">
        <is>
          <t>Préventif systématique</t>
        </is>
      </c>
      <c r="I617" s="7" t="inlineStr">
        <is>
          <t>GP-112</t>
        </is>
      </c>
      <c r="J617" s="7" t="inlineStr">
        <is>
          <t>Mécanique</t>
        </is>
      </c>
      <c r="K617" s="7" t="inlineStr">
        <is>
          <t>P3 - Normale</t>
        </is>
      </c>
      <c r="L617" s="7" t="inlineStr">
        <is>
          <t>Contrôle batterie, niveaux et bandages</t>
        </is>
      </c>
      <c r="M617" s="7" t="n"/>
      <c r="N617" s="7" t="inlineStr">
        <is>
          <t>Gamme réalisée - RAS</t>
        </is>
      </c>
      <c r="O617" s="7" t="inlineStr">
        <is>
          <t>Karim Benali</t>
        </is>
      </c>
      <c r="P617" s="65" t="n">
        <v>45936.4375</v>
      </c>
      <c r="Q617" s="75" t="n">
        <v>45936.47916666666</v>
      </c>
      <c r="R617" s="75" t="n">
        <v>45936.52083333334</v>
      </c>
      <c r="S617" s="76" t="n">
        <v>1</v>
      </c>
      <c r="T617" s="76" t="n">
        <v>1</v>
      </c>
      <c r="U617" s="70">
        <f>IF($A617="","",IFERROR(INDEX('Techniciens'!$F$5:$F$44,MATCH(O617,'Techniciens'!$B$5:$B$44,0)),'Paramètres'!$AA$10))</f>
        <v/>
      </c>
      <c r="V617" s="70">
        <f>IF($A617="","",IF(OR(AC617="Demandé",AC617="Planifié",AC617="Annulé"),0,N(T617)*N(U617)))</f>
        <v/>
      </c>
      <c r="W617" s="70">
        <f>IF($A617="","",SUMIFS('Mouvements stock'!$H$5:$H$3004,'Mouvements stock'!$I$5:$I$3004,$A617,'Mouvements stock'!$C$5:$C$3004,"Sortie")-SUMIFS('Mouvements stock'!$H$5:$H$3004,'Mouvements stock'!$I$5:$I$3004,$A617,'Mouvements stock'!$C$5:$C$3004,"Retour"))</f>
        <v/>
      </c>
      <c r="X617" s="66" t="n">
        <v>0</v>
      </c>
      <c r="Y617" s="66" t="n">
        <v>0</v>
      </c>
      <c r="Z617" s="7" t="n"/>
      <c r="AA617" s="70">
        <f>IF($A617="","",N(V617)+N(W617)+N(X617)+N(Y617))</f>
        <v/>
      </c>
      <c r="AB617" s="70">
        <f>IF($A617="","",N(S617)*'Paramètres'!$AA$9*IFERROR(INDEX('Paramètres'!$O$5:$O$7,MATCH(G617,'Paramètres'!$N$5:$N$7,0)),0))</f>
        <v/>
      </c>
      <c r="AC617" s="7" t="inlineStr">
        <is>
          <t>Clôturé</t>
        </is>
      </c>
      <c r="AD617" s="69">
        <f>IF(OR($A617="",Q617=""),"",(Q617-B617)*24)</f>
        <v/>
      </c>
      <c r="AE617" s="69">
        <f>IF(OR(Q617="",R617=""),"",(R617-Q617)*24)</f>
        <v/>
      </c>
      <c r="AF617" s="77">
        <f>IF(OR($A617="",B617=""),"",YEAR(B617))</f>
        <v/>
      </c>
      <c r="AG617" s="77">
        <f>IF(OR($A617="",B617=""),"",MONTH(B617))</f>
        <v/>
      </c>
    </row>
    <row r="618">
      <c r="A618" s="7" t="inlineStr">
        <is>
          <t>OT-2025-0614</t>
        </is>
      </c>
      <c r="B618" s="75" t="n">
        <v>45929.38541666666</v>
      </c>
      <c r="C618" s="7" t="inlineStr">
        <is>
          <t>Plan préventif</t>
        </is>
      </c>
      <c r="D618" s="7" t="inlineStr">
        <is>
          <t>EQ-UTI-009</t>
        </is>
      </c>
      <c r="E618" s="9">
        <f>IF(D618="","",IFERROR(INDEX('Équipements'!$B$5:$B$304,MATCH(D618,'Équipements'!$A$5:$A$304,0)),"Code inconnu"))</f>
        <v/>
      </c>
      <c r="F618" s="9">
        <f>IF(D618="","",IFERROR(INDEX('Équipements'!$D$5:$D$304,MATCH(D618,'Équipements'!$A$5:$A$304,0)),""))</f>
        <v/>
      </c>
      <c r="G618" s="9">
        <f>IF(D618="","",IFERROR(INDEX('Équipements'!$K$5:$K$304,MATCH(D618,'Équipements'!$A$5:$A$304,0)),""))</f>
        <v/>
      </c>
      <c r="H618" s="7" t="inlineStr">
        <is>
          <t>Préventif systématique</t>
        </is>
      </c>
      <c r="I618" s="7" t="inlineStr">
        <is>
          <t>GP-101</t>
        </is>
      </c>
      <c r="J618" s="7" t="inlineStr">
        <is>
          <t>Électrique</t>
        </is>
      </c>
      <c r="K618" s="7" t="inlineStr">
        <is>
          <t>P3 - Normale</t>
        </is>
      </c>
      <c r="L618" s="7" t="inlineStr">
        <is>
          <t>Étalonnage des sondes pH / redox</t>
        </is>
      </c>
      <c r="M618" s="7" t="n"/>
      <c r="N618" s="7" t="inlineStr">
        <is>
          <t>Gamme réalisée - RAS</t>
        </is>
      </c>
      <c r="O618" s="7" t="inlineStr">
        <is>
          <t>Thomas Petit</t>
        </is>
      </c>
      <c r="P618" s="65" t="n">
        <v>45936.64236111111</v>
      </c>
      <c r="Q618" s="75" t="n">
        <v>45936.40972222222</v>
      </c>
      <c r="R618" s="75" t="n">
        <v>45936.49305555555</v>
      </c>
      <c r="S618" s="76" t="n">
        <v>0</v>
      </c>
      <c r="T618" s="76" t="n">
        <v>2</v>
      </c>
      <c r="U618" s="70">
        <f>IF($A618="","",IFERROR(INDEX('Techniciens'!$F$5:$F$44,MATCH(O618,'Techniciens'!$B$5:$B$44,0)),'Paramètres'!$AA$10))</f>
        <v/>
      </c>
      <c r="V618" s="70">
        <f>IF($A618="","",IF(OR(AC618="Demandé",AC618="Planifié",AC618="Annulé"),0,N(T618)*N(U618)))</f>
        <v/>
      </c>
      <c r="W618" s="70">
        <f>IF($A618="","",SUMIFS('Mouvements stock'!$H$5:$H$3004,'Mouvements stock'!$I$5:$I$3004,$A618,'Mouvements stock'!$C$5:$C$3004,"Sortie")-SUMIFS('Mouvements stock'!$H$5:$H$3004,'Mouvements stock'!$I$5:$I$3004,$A618,'Mouvements stock'!$C$5:$C$3004,"Retour"))</f>
        <v/>
      </c>
      <c r="X618" s="66" t="n">
        <v>0</v>
      </c>
      <c r="Y618" s="66" t="n">
        <v>0</v>
      </c>
      <c r="Z618" s="7" t="n"/>
      <c r="AA618" s="70">
        <f>IF($A618="","",N(V618)+N(W618)+N(X618)+N(Y618))</f>
        <v/>
      </c>
      <c r="AB618" s="70">
        <f>IF($A618="","",N(S618)*'Paramètres'!$AA$9*IFERROR(INDEX('Paramètres'!$O$5:$O$7,MATCH(G618,'Paramètres'!$N$5:$N$7,0)),0))</f>
        <v/>
      </c>
      <c r="AC618" s="7" t="inlineStr">
        <is>
          <t>Clôturé</t>
        </is>
      </c>
      <c r="AD618" s="69">
        <f>IF(OR($A618="",Q618=""),"",(Q618-B618)*24)</f>
        <v/>
      </c>
      <c r="AE618" s="69">
        <f>IF(OR(Q618="",R618=""),"",(R618-Q618)*24)</f>
        <v/>
      </c>
      <c r="AF618" s="77">
        <f>IF(OR($A618="",B618=""),"",YEAR(B618))</f>
        <v/>
      </c>
      <c r="AG618" s="77">
        <f>IF(OR($A618="",B618=""),"",MONTH(B618))</f>
        <v/>
      </c>
    </row>
    <row r="619">
      <c r="A619" s="7" t="inlineStr">
        <is>
          <t>OT-2025-0615</t>
        </is>
      </c>
      <c r="B619" s="75" t="n">
        <v>45929.44791666666</v>
      </c>
      <c r="C619" s="7" t="inlineStr">
        <is>
          <t>Plan préventif</t>
        </is>
      </c>
      <c r="D619" s="7" t="inlineStr">
        <is>
          <t>EQ-TOL-001</t>
        </is>
      </c>
      <c r="E619" s="9">
        <f>IF(D619="","",IFERROR(INDEX('Équipements'!$B$5:$B$304,MATCH(D619,'Équipements'!$A$5:$A$304,0)),"Code inconnu"))</f>
        <v/>
      </c>
      <c r="F619" s="9">
        <f>IF(D619="","",IFERROR(INDEX('Équipements'!$D$5:$D$304,MATCH(D619,'Équipements'!$A$5:$A$304,0)),""))</f>
        <v/>
      </c>
      <c r="G619" s="9">
        <f>IF(D619="","",IFERROR(INDEX('Équipements'!$K$5:$K$304,MATCH(D619,'Équipements'!$A$5:$A$304,0)),""))</f>
        <v/>
      </c>
      <c r="H619" s="7" t="inlineStr">
        <is>
          <t>Préventif systématique</t>
        </is>
      </c>
      <c r="I619" s="7" t="inlineStr">
        <is>
          <t>GP-038</t>
        </is>
      </c>
      <c r="J619" s="7" t="inlineStr">
        <is>
          <t>Mécanique</t>
        </is>
      </c>
      <c r="K619" s="7" t="inlineStr">
        <is>
          <t>P3 - Normale</t>
        </is>
      </c>
      <c r="L619" s="7" t="inlineStr">
        <is>
          <t>Nettoyage optique, contrôle buse et lentille</t>
        </is>
      </c>
      <c r="M619" s="7" t="n"/>
      <c r="N619" s="7" t="inlineStr">
        <is>
          <t>Gamme réalisée - serrages repris</t>
        </is>
      </c>
      <c r="O619" s="7" t="inlineStr">
        <is>
          <t>Karim Benali</t>
        </is>
      </c>
      <c r="P619" s="65" t="n">
        <v>45936.41666666666</v>
      </c>
      <c r="Q619" s="75" t="n">
        <v>45936.35416666666</v>
      </c>
      <c r="R619" s="75" t="n">
        <v>45936.45833333334</v>
      </c>
      <c r="S619" s="76" t="n">
        <v>2.5</v>
      </c>
      <c r="T619" s="76" t="n">
        <v>2.5</v>
      </c>
      <c r="U619" s="70">
        <f>IF($A619="","",IFERROR(INDEX('Techniciens'!$F$5:$F$44,MATCH(O619,'Techniciens'!$B$5:$B$44,0)),'Paramètres'!$AA$10))</f>
        <v/>
      </c>
      <c r="V619" s="70">
        <f>IF($A619="","",IF(OR(AC619="Demandé",AC619="Planifié",AC619="Annulé"),0,N(T619)*N(U619)))</f>
        <v/>
      </c>
      <c r="W619" s="70">
        <f>IF($A619="","",SUMIFS('Mouvements stock'!$H$5:$H$3004,'Mouvements stock'!$I$5:$I$3004,$A619,'Mouvements stock'!$C$5:$C$3004,"Sortie")-SUMIFS('Mouvements stock'!$H$5:$H$3004,'Mouvements stock'!$I$5:$I$3004,$A619,'Mouvements stock'!$C$5:$C$3004,"Retour"))</f>
        <v/>
      </c>
      <c r="X619" s="66" t="n">
        <v>0</v>
      </c>
      <c r="Y619" s="66" t="n">
        <v>0</v>
      </c>
      <c r="Z619" s="7" t="n"/>
      <c r="AA619" s="70">
        <f>IF($A619="","",N(V619)+N(W619)+N(X619)+N(Y619))</f>
        <v/>
      </c>
      <c r="AB619" s="70">
        <f>IF($A619="","",N(S619)*'Paramètres'!$AA$9*IFERROR(INDEX('Paramètres'!$O$5:$O$7,MATCH(G619,'Paramètres'!$N$5:$N$7,0)),0))</f>
        <v/>
      </c>
      <c r="AC619" s="7" t="inlineStr">
        <is>
          <t>Clôturé</t>
        </is>
      </c>
      <c r="AD619" s="69">
        <f>IF(OR($A619="",Q619=""),"",(Q619-B619)*24)</f>
        <v/>
      </c>
      <c r="AE619" s="69">
        <f>IF(OR(Q619="",R619=""),"",(R619-Q619)*24)</f>
        <v/>
      </c>
      <c r="AF619" s="77">
        <f>IF(OR($A619="",B619=""),"",YEAR(B619))</f>
        <v/>
      </c>
      <c r="AG619" s="77">
        <f>IF(OR($A619="",B619=""),"",MONTH(B619))</f>
        <v/>
      </c>
    </row>
    <row r="620">
      <c r="A620" s="7" t="inlineStr">
        <is>
          <t>OT-2025-0616</t>
        </is>
      </c>
      <c r="B620" s="75" t="n">
        <v>45930.53194444445</v>
      </c>
      <c r="C620" s="7" t="inlineStr">
        <is>
          <t>Cariste</t>
        </is>
      </c>
      <c r="D620" s="7" t="inlineStr">
        <is>
          <t>EQ-LOG-010</t>
        </is>
      </c>
      <c r="E620" s="9">
        <f>IF(D620="","",IFERROR(INDEX('Équipements'!$B$5:$B$304,MATCH(D620,'Équipements'!$A$5:$A$304,0)),"Code inconnu"))</f>
        <v/>
      </c>
      <c r="F620" s="9">
        <f>IF(D620="","",IFERROR(INDEX('Équipements'!$D$5:$D$304,MATCH(D620,'Équipements'!$A$5:$A$304,0)),""))</f>
        <v/>
      </c>
      <c r="G620" s="9">
        <f>IF(D620="","",IFERROR(INDEX('Équipements'!$K$5:$K$304,MATCH(D620,'Équipements'!$A$5:$A$304,0)),""))</f>
        <v/>
      </c>
      <c r="H620" s="7" t="inlineStr">
        <is>
          <t>Correctif</t>
        </is>
      </c>
      <c r="I620" s="7" t="n"/>
      <c r="J620" s="7" t="inlineStr">
        <is>
          <t>Électrique</t>
        </is>
      </c>
      <c r="K620" s="7" t="inlineStr">
        <is>
          <t>P4 - Basse</t>
        </is>
      </c>
      <c r="L620" s="7" t="inlineStr">
        <is>
          <t>Cellule photoélectrique HS</t>
        </is>
      </c>
      <c r="M620" s="7" t="inlineStr">
        <is>
          <t>Défaut capteur</t>
        </is>
      </c>
      <c r="N620" s="7" t="inlineStr">
        <is>
          <t>Remplacement cellule</t>
        </is>
      </c>
      <c r="O620" s="7" t="inlineStr">
        <is>
          <t>Thomas Petit</t>
        </is>
      </c>
      <c r="P620" s="65" t="n"/>
      <c r="Q620" s="75" t="n">
        <v>45936.81944444445</v>
      </c>
      <c r="R620" s="75" t="n">
        <v>45936.90277777778</v>
      </c>
      <c r="S620" s="76" t="n">
        <v>0</v>
      </c>
      <c r="T620" s="76" t="n">
        <v>2</v>
      </c>
      <c r="U620" s="70">
        <f>IF($A620="","",IFERROR(INDEX('Techniciens'!$F$5:$F$44,MATCH(O620,'Techniciens'!$B$5:$B$44,0)),'Paramètres'!$AA$10))</f>
        <v/>
      </c>
      <c r="V620" s="70">
        <f>IF($A620="","",IF(OR(AC620="Demandé",AC620="Planifié",AC620="Annulé"),0,N(T620)*N(U620)))</f>
        <v/>
      </c>
      <c r="W620" s="70">
        <f>IF($A620="","",SUMIFS('Mouvements stock'!$H$5:$H$3004,'Mouvements stock'!$I$5:$I$3004,$A620,'Mouvements stock'!$C$5:$C$3004,"Sortie")-SUMIFS('Mouvements stock'!$H$5:$H$3004,'Mouvements stock'!$I$5:$I$3004,$A620,'Mouvements stock'!$C$5:$C$3004,"Retour"))</f>
        <v/>
      </c>
      <c r="X620" s="66" t="n">
        <v>0</v>
      </c>
      <c r="Y620" s="66" t="n">
        <v>0</v>
      </c>
      <c r="Z620" s="7" t="n"/>
      <c r="AA620" s="70">
        <f>IF($A620="","",N(V620)+N(W620)+N(X620)+N(Y620))</f>
        <v/>
      </c>
      <c r="AB620" s="70">
        <f>IF($A620="","",N(S620)*'Paramètres'!$AA$9*IFERROR(INDEX('Paramètres'!$O$5:$O$7,MATCH(G620,'Paramètres'!$N$5:$N$7,0)),0))</f>
        <v/>
      </c>
      <c r="AC620" s="7" t="inlineStr">
        <is>
          <t>Clôturé</t>
        </is>
      </c>
      <c r="AD620" s="69">
        <f>IF(OR($A620="",Q620=""),"",(Q620-B620)*24)</f>
        <v/>
      </c>
      <c r="AE620" s="69">
        <f>IF(OR(Q620="",R620=""),"",(R620-Q620)*24)</f>
        <v/>
      </c>
      <c r="AF620" s="77">
        <f>IF(OR($A620="",B620=""),"",YEAR(B620))</f>
        <v/>
      </c>
      <c r="AG620" s="77">
        <f>IF(OR($A620="",B620=""),"",MONTH(B620))</f>
        <v/>
      </c>
    </row>
    <row r="621">
      <c r="A621" s="7" t="inlineStr">
        <is>
          <t>OT-2025-0617</t>
        </is>
      </c>
      <c r="B621" s="75" t="n">
        <v>45931.35277777778</v>
      </c>
      <c r="C621" s="7" t="inlineStr">
        <is>
          <t>Opérateur peinture</t>
        </is>
      </c>
      <c r="D621" s="7" t="inlineStr">
        <is>
          <t>EQ-PEI-003</t>
        </is>
      </c>
      <c r="E621" s="9">
        <f>IF(D621="","",IFERROR(INDEX('Équipements'!$B$5:$B$304,MATCH(D621,'Équipements'!$A$5:$A$304,0)),"Code inconnu"))</f>
        <v/>
      </c>
      <c r="F621" s="9">
        <f>IF(D621="","",IFERROR(INDEX('Équipements'!$D$5:$D$304,MATCH(D621,'Équipements'!$A$5:$A$304,0)),""))</f>
        <v/>
      </c>
      <c r="G621" s="9">
        <f>IF(D621="","",IFERROR(INDEX('Équipements'!$K$5:$K$304,MATCH(D621,'Équipements'!$A$5:$A$304,0)),""))</f>
        <v/>
      </c>
      <c r="H621" s="7" t="inlineStr">
        <is>
          <t>Correctif</t>
        </is>
      </c>
      <c r="I621" s="7" t="n"/>
      <c r="J621" s="7" t="inlineStr">
        <is>
          <t>Mécanique</t>
        </is>
      </c>
      <c r="K621" s="7" t="inlineStr">
        <is>
          <t>P1 - Urgent</t>
        </is>
      </c>
      <c r="L621" s="7" t="inlineStr">
        <is>
          <t>Pompe de bain en défaut</t>
        </is>
      </c>
      <c r="M621" s="7" t="inlineStr">
        <is>
          <t>Usure</t>
        </is>
      </c>
      <c r="N621" s="7" t="inlineStr">
        <is>
          <t>Remplacement pompe</t>
        </is>
      </c>
      <c r="O621" s="7" t="inlineStr">
        <is>
          <t>Lucas Fontaine</t>
        </is>
      </c>
      <c r="P621" s="65" t="n"/>
      <c r="Q621" s="75" t="n">
        <v>45931.36388888889</v>
      </c>
      <c r="R621" s="75" t="n">
        <v>45931.61388888889</v>
      </c>
      <c r="S621" s="76" t="n">
        <v>6.3</v>
      </c>
      <c r="T621" s="76" t="n">
        <v>6</v>
      </c>
      <c r="U621" s="70">
        <f>IF($A621="","",IFERROR(INDEX('Techniciens'!$F$5:$F$44,MATCH(O621,'Techniciens'!$B$5:$B$44,0)),'Paramètres'!$AA$10))</f>
        <v/>
      </c>
      <c r="V621" s="70">
        <f>IF($A621="","",IF(OR(AC621="Demandé",AC621="Planifié",AC621="Annulé"),0,N(T621)*N(U621)))</f>
        <v/>
      </c>
      <c r="W621" s="70">
        <f>IF($A621="","",SUMIFS('Mouvements stock'!$H$5:$H$3004,'Mouvements stock'!$I$5:$I$3004,$A621,'Mouvements stock'!$C$5:$C$3004,"Sortie")-SUMIFS('Mouvements stock'!$H$5:$H$3004,'Mouvements stock'!$I$5:$I$3004,$A621,'Mouvements stock'!$C$5:$C$3004,"Retour"))</f>
        <v/>
      </c>
      <c r="X621" s="66" t="n">
        <v>0</v>
      </c>
      <c r="Y621" s="66" t="n">
        <v>0</v>
      </c>
      <c r="Z621" s="7" t="n"/>
      <c r="AA621" s="70">
        <f>IF($A621="","",N(V621)+N(W621)+N(X621)+N(Y621))</f>
        <v/>
      </c>
      <c r="AB621" s="70">
        <f>IF($A621="","",N(S621)*'Paramètres'!$AA$9*IFERROR(INDEX('Paramètres'!$O$5:$O$7,MATCH(G621,'Paramètres'!$N$5:$N$7,0)),0))</f>
        <v/>
      </c>
      <c r="AC621" s="7" t="inlineStr">
        <is>
          <t>Clôturé</t>
        </is>
      </c>
      <c r="AD621" s="69">
        <f>IF(OR($A621="",Q621=""),"",(Q621-B621)*24)</f>
        <v/>
      </c>
      <c r="AE621" s="69">
        <f>IF(OR(Q621="",R621=""),"",(R621-Q621)*24)</f>
        <v/>
      </c>
      <c r="AF621" s="77">
        <f>IF(OR($A621="",B621=""),"",YEAR(B621))</f>
        <v/>
      </c>
      <c r="AG621" s="77">
        <f>IF(OR($A621="",B621=""),"",MONTH(B621))</f>
        <v/>
      </c>
    </row>
    <row r="622">
      <c r="A622" s="7" t="inlineStr">
        <is>
          <t>OT-2025-0618</t>
        </is>
      </c>
      <c r="B622" s="75" t="n">
        <v>45931.36111111111</v>
      </c>
      <c r="C622" s="7" t="inlineStr">
        <is>
          <t>Plan préventif</t>
        </is>
      </c>
      <c r="D622" s="7" t="inlineStr">
        <is>
          <t>EQ-UTI-002</t>
        </is>
      </c>
      <c r="E622" s="9">
        <f>IF(D622="","",IFERROR(INDEX('Équipements'!$B$5:$B$304,MATCH(D622,'Équipements'!$A$5:$A$304,0)),"Code inconnu"))</f>
        <v/>
      </c>
      <c r="F622" s="9">
        <f>IF(D622="","",IFERROR(INDEX('Équipements'!$D$5:$D$304,MATCH(D622,'Équipements'!$A$5:$A$304,0)),""))</f>
        <v/>
      </c>
      <c r="G622" s="9">
        <f>IF(D622="","",IFERROR(INDEX('Équipements'!$K$5:$K$304,MATCH(D622,'Équipements'!$A$5:$A$304,0)),""))</f>
        <v/>
      </c>
      <c r="H622" s="7" t="inlineStr">
        <is>
          <t>Préventif systématique</t>
        </is>
      </c>
      <c r="I622" s="7" t="inlineStr">
        <is>
          <t>GP-090</t>
        </is>
      </c>
      <c r="J622" s="7" t="inlineStr">
        <is>
          <t>Pneumatique</t>
        </is>
      </c>
      <c r="K622" s="7" t="inlineStr">
        <is>
          <t>P3 - Normale</t>
        </is>
      </c>
      <c r="L622" s="7" t="inlineStr">
        <is>
          <t>Purge, contrôle fuites et point de rosée</t>
        </is>
      </c>
      <c r="M622" s="7" t="n"/>
      <c r="N622" s="7" t="inlineStr">
        <is>
          <t>Gamme réalisée - RAS</t>
        </is>
      </c>
      <c r="O622" s="7" t="inlineStr">
        <is>
          <t>Lucas Fontaine</t>
        </is>
      </c>
      <c r="P622" s="65" t="n">
        <v>45938.3125</v>
      </c>
      <c r="Q622" s="75" t="n">
        <v>45938.25</v>
      </c>
      <c r="R622" s="75" t="n">
        <v>45938.30208333334</v>
      </c>
      <c r="S622" s="76" t="n">
        <v>0</v>
      </c>
      <c r="T622" s="76" t="n">
        <v>1.25</v>
      </c>
      <c r="U622" s="70">
        <f>IF($A622="","",IFERROR(INDEX('Techniciens'!$F$5:$F$44,MATCH(O622,'Techniciens'!$B$5:$B$44,0)),'Paramètres'!$AA$10))</f>
        <v/>
      </c>
      <c r="V622" s="70">
        <f>IF($A622="","",IF(OR(AC622="Demandé",AC622="Planifié",AC622="Annulé"),0,N(T622)*N(U622)))</f>
        <v/>
      </c>
      <c r="W622" s="70">
        <f>IF($A622="","",SUMIFS('Mouvements stock'!$H$5:$H$3004,'Mouvements stock'!$I$5:$I$3004,$A622,'Mouvements stock'!$C$5:$C$3004,"Sortie")-SUMIFS('Mouvements stock'!$H$5:$H$3004,'Mouvements stock'!$I$5:$I$3004,$A622,'Mouvements stock'!$C$5:$C$3004,"Retour"))</f>
        <v/>
      </c>
      <c r="X622" s="66" t="n">
        <v>0</v>
      </c>
      <c r="Y622" s="66" t="n">
        <v>0</v>
      </c>
      <c r="Z622" s="7" t="n"/>
      <c r="AA622" s="70">
        <f>IF($A622="","",N(V622)+N(W622)+N(X622)+N(Y622))</f>
        <v/>
      </c>
      <c r="AB622" s="70">
        <f>IF($A622="","",N(S622)*'Paramètres'!$AA$9*IFERROR(INDEX('Paramètres'!$O$5:$O$7,MATCH(G622,'Paramètres'!$N$5:$N$7,0)),0))</f>
        <v/>
      </c>
      <c r="AC622" s="7" t="inlineStr">
        <is>
          <t>Clôturé</t>
        </is>
      </c>
      <c r="AD622" s="69">
        <f>IF(OR($A622="",Q622=""),"",(Q622-B622)*24)</f>
        <v/>
      </c>
      <c r="AE622" s="69">
        <f>IF(OR(Q622="",R622=""),"",(R622-Q622)*24)</f>
        <v/>
      </c>
      <c r="AF622" s="77">
        <f>IF(OR($A622="",B622=""),"",YEAR(B622))</f>
        <v/>
      </c>
      <c r="AG622" s="77">
        <f>IF(OR($A622="",B622=""),"",MONTH(B622))</f>
        <v/>
      </c>
    </row>
    <row r="623">
      <c r="A623" s="7" t="inlineStr">
        <is>
          <t>OT-2025-0619</t>
        </is>
      </c>
      <c r="B623" s="75" t="n">
        <v>45931.44791666666</v>
      </c>
      <c r="C623" s="7" t="inlineStr">
        <is>
          <t>Plan préventif</t>
        </is>
      </c>
      <c r="D623" s="7" t="inlineStr">
        <is>
          <t>EQ-PEI-001</t>
        </is>
      </c>
      <c r="E623" s="9">
        <f>IF(D623="","",IFERROR(INDEX('Équipements'!$B$5:$B$304,MATCH(D623,'Équipements'!$A$5:$A$304,0)),"Code inconnu"))</f>
        <v/>
      </c>
      <c r="F623" s="9">
        <f>IF(D623="","",IFERROR(INDEX('Équipements'!$D$5:$D$304,MATCH(D623,'Équipements'!$A$5:$A$304,0)),""))</f>
        <v/>
      </c>
      <c r="G623" s="9">
        <f>IF(D623="","",IFERROR(INDEX('Équipements'!$K$5:$K$304,MATCH(D623,'Équipements'!$A$5:$A$304,0)),""))</f>
        <v/>
      </c>
      <c r="H623" s="7" t="inlineStr">
        <is>
          <t>Préventif systématique</t>
        </is>
      </c>
      <c r="I623" s="7" t="inlineStr">
        <is>
          <t>GP-066</t>
        </is>
      </c>
      <c r="J623" s="7" t="inlineStr">
        <is>
          <t>Mécanique</t>
        </is>
      </c>
      <c r="K623" s="7" t="inlineStr">
        <is>
          <t>P3 - Normale</t>
        </is>
      </c>
      <c r="L623" s="7" t="inlineStr">
        <is>
          <t>Nettoyage et remplacement des filtres</t>
        </is>
      </c>
      <c r="M623" s="7" t="n"/>
      <c r="N623" s="7" t="inlineStr">
        <is>
          <t>Gamme réalisée - petite fuite corrigée</t>
        </is>
      </c>
      <c r="O623" s="7" t="inlineStr">
        <is>
          <t>Lucas Fontaine</t>
        </is>
      </c>
      <c r="P623" s="65" t="n">
        <v>45938.57291666666</v>
      </c>
      <c r="Q623" s="75" t="n">
        <v>45938.42708333334</v>
      </c>
      <c r="R623" s="75" t="n">
        <v>45938.53125</v>
      </c>
      <c r="S623" s="76" t="n">
        <v>1.2</v>
      </c>
      <c r="T623" s="76" t="n">
        <v>2.5</v>
      </c>
      <c r="U623" s="70">
        <f>IF($A623="","",IFERROR(INDEX('Techniciens'!$F$5:$F$44,MATCH(O623,'Techniciens'!$B$5:$B$44,0)),'Paramètres'!$AA$10))</f>
        <v/>
      </c>
      <c r="V623" s="70">
        <f>IF($A623="","",IF(OR(AC623="Demandé",AC623="Planifié",AC623="Annulé"),0,N(T623)*N(U623)))</f>
        <v/>
      </c>
      <c r="W623" s="70">
        <f>IF($A623="","",SUMIFS('Mouvements stock'!$H$5:$H$3004,'Mouvements stock'!$I$5:$I$3004,$A623,'Mouvements stock'!$C$5:$C$3004,"Sortie")-SUMIFS('Mouvements stock'!$H$5:$H$3004,'Mouvements stock'!$I$5:$I$3004,$A623,'Mouvements stock'!$C$5:$C$3004,"Retour"))</f>
        <v/>
      </c>
      <c r="X623" s="66" t="n">
        <v>0</v>
      </c>
      <c r="Y623" s="66" t="n">
        <v>0</v>
      </c>
      <c r="Z623" s="7" t="n"/>
      <c r="AA623" s="70">
        <f>IF($A623="","",N(V623)+N(W623)+N(X623)+N(Y623))</f>
        <v/>
      </c>
      <c r="AB623" s="70">
        <f>IF($A623="","",N(S623)*'Paramètres'!$AA$9*IFERROR(INDEX('Paramètres'!$O$5:$O$7,MATCH(G623,'Paramètres'!$N$5:$N$7,0)),0))</f>
        <v/>
      </c>
      <c r="AC623" s="7" t="inlineStr">
        <is>
          <t>Clôturé</t>
        </is>
      </c>
      <c r="AD623" s="69">
        <f>IF(OR($A623="",Q623=""),"",(Q623-B623)*24)</f>
        <v/>
      </c>
      <c r="AE623" s="69">
        <f>IF(OR(Q623="",R623=""),"",(R623-Q623)*24)</f>
        <v/>
      </c>
      <c r="AF623" s="77">
        <f>IF(OR($A623="",B623=""),"",YEAR(B623))</f>
        <v/>
      </c>
      <c r="AG623" s="77">
        <f>IF(OR($A623="",B623=""),"",MONTH(B623))</f>
        <v/>
      </c>
    </row>
    <row r="624">
      <c r="A624" s="7" t="inlineStr">
        <is>
          <t>OT-2025-0620</t>
        </is>
      </c>
      <c r="B624" s="75" t="n">
        <v>45932.38541666666</v>
      </c>
      <c r="C624" s="7" t="inlineStr">
        <is>
          <t>Plan préventif</t>
        </is>
      </c>
      <c r="D624" s="7" t="inlineStr">
        <is>
          <t>EQ-SOU-001</t>
        </is>
      </c>
      <c r="E624" s="9">
        <f>IF(D624="","",IFERROR(INDEX('Équipements'!$B$5:$B$304,MATCH(D624,'Équipements'!$A$5:$A$304,0)),"Code inconnu"))</f>
        <v/>
      </c>
      <c r="F624" s="9">
        <f>IF(D624="","",IFERROR(INDEX('Équipements'!$D$5:$D$304,MATCH(D624,'Équipements'!$A$5:$A$304,0)),""))</f>
        <v/>
      </c>
      <c r="G624" s="9">
        <f>IF(D624="","",IFERROR(INDEX('Équipements'!$K$5:$K$304,MATCH(D624,'Équipements'!$A$5:$A$304,0)),""))</f>
        <v/>
      </c>
      <c r="H624" s="7" t="inlineStr">
        <is>
          <t>Préventif systématique</t>
        </is>
      </c>
      <c r="I624" s="7" t="inlineStr">
        <is>
          <t>GP-058</t>
        </is>
      </c>
      <c r="J624" s="7" t="inlineStr">
        <is>
          <t>Mécanique</t>
        </is>
      </c>
      <c r="K624" s="7" t="inlineStr">
        <is>
          <t>P3 - Normale</t>
        </is>
      </c>
      <c r="L624" s="7" t="inlineStr">
        <is>
          <t>Nettoyage torche et contrôle faisceau</t>
        </is>
      </c>
      <c r="M624" s="7" t="n"/>
      <c r="N624" s="7" t="inlineStr">
        <is>
          <t>Gamme réalisée - RAS</t>
        </is>
      </c>
      <c r="O624" s="7" t="inlineStr">
        <is>
          <t>Lucas Fontaine</t>
        </is>
      </c>
      <c r="P624" s="65" t="n">
        <v>45939.32291666666</v>
      </c>
      <c r="Q624" s="75" t="n">
        <v>45939.39583333334</v>
      </c>
      <c r="R624" s="75" t="n">
        <v>45939.42708333334</v>
      </c>
      <c r="S624" s="76" t="n">
        <v>0.4</v>
      </c>
      <c r="T624" s="76" t="n">
        <v>0.75</v>
      </c>
      <c r="U624" s="70">
        <f>IF($A624="","",IFERROR(INDEX('Techniciens'!$F$5:$F$44,MATCH(O624,'Techniciens'!$B$5:$B$44,0)),'Paramètres'!$AA$10))</f>
        <v/>
      </c>
      <c r="V624" s="70">
        <f>IF($A624="","",IF(OR(AC624="Demandé",AC624="Planifié",AC624="Annulé"),0,N(T624)*N(U624)))</f>
        <v/>
      </c>
      <c r="W624" s="70">
        <f>IF($A624="","",SUMIFS('Mouvements stock'!$H$5:$H$3004,'Mouvements stock'!$I$5:$I$3004,$A624,'Mouvements stock'!$C$5:$C$3004,"Sortie")-SUMIFS('Mouvements stock'!$H$5:$H$3004,'Mouvements stock'!$I$5:$I$3004,$A624,'Mouvements stock'!$C$5:$C$3004,"Retour"))</f>
        <v/>
      </c>
      <c r="X624" s="66" t="n">
        <v>0</v>
      </c>
      <c r="Y624" s="66" t="n">
        <v>0</v>
      </c>
      <c r="Z624" s="7" t="n"/>
      <c r="AA624" s="70">
        <f>IF($A624="","",N(V624)+N(W624)+N(X624)+N(Y624))</f>
        <v/>
      </c>
      <c r="AB624" s="70">
        <f>IF($A624="","",N(S624)*'Paramètres'!$AA$9*IFERROR(INDEX('Paramètres'!$O$5:$O$7,MATCH(G624,'Paramètres'!$N$5:$N$7,0)),0))</f>
        <v/>
      </c>
      <c r="AC624" s="7" t="inlineStr">
        <is>
          <t>Clôturé</t>
        </is>
      </c>
      <c r="AD624" s="69">
        <f>IF(OR($A624="",Q624=""),"",(Q624-B624)*24)</f>
        <v/>
      </c>
      <c r="AE624" s="69">
        <f>IF(OR(Q624="",R624=""),"",(R624-Q624)*24)</f>
        <v/>
      </c>
      <c r="AF624" s="77">
        <f>IF(OR($A624="",B624=""),"",YEAR(B624))</f>
        <v/>
      </c>
      <c r="AG624" s="77">
        <f>IF(OR($A624="",B624=""),"",MONTH(B624))</f>
        <v/>
      </c>
    </row>
    <row r="625">
      <c r="A625" s="7" t="inlineStr">
        <is>
          <t>OT-2025-0621</t>
        </is>
      </c>
      <c r="B625" s="75" t="n">
        <v>45933.375</v>
      </c>
      <c r="C625" s="7" t="inlineStr">
        <is>
          <t>Plan préventif</t>
        </is>
      </c>
      <c r="D625" s="7" t="inlineStr">
        <is>
          <t>EQ-ASS-002</t>
        </is>
      </c>
      <c r="E625" s="9">
        <f>IF(D625="","",IFERROR(INDEX('Équipements'!$B$5:$B$304,MATCH(D625,'Équipements'!$A$5:$A$304,0)),"Code inconnu"))</f>
        <v/>
      </c>
      <c r="F625" s="9">
        <f>IF(D625="","",IFERROR(INDEX('Équipements'!$D$5:$D$304,MATCH(D625,'Équipements'!$A$5:$A$304,0)),""))</f>
        <v/>
      </c>
      <c r="G625" s="9">
        <f>IF(D625="","",IFERROR(INDEX('Équipements'!$K$5:$K$304,MATCH(D625,'Équipements'!$A$5:$A$304,0)),""))</f>
        <v/>
      </c>
      <c r="H625" s="7" t="inlineStr">
        <is>
          <t>Préventif systématique</t>
        </is>
      </c>
      <c r="I625" s="7" t="inlineStr">
        <is>
          <t>GP-078</t>
        </is>
      </c>
      <c r="J625" s="7" t="inlineStr">
        <is>
          <t>Hydraulique</t>
        </is>
      </c>
      <c r="K625" s="7" t="inlineStr">
        <is>
          <t>P3 - Normale</t>
        </is>
      </c>
      <c r="L625" s="7" t="inlineStr">
        <is>
          <t>Contrôle hydraulique : fuites, niveaux, pressions</t>
        </is>
      </c>
      <c r="M625" s="7" t="n"/>
      <c r="N625" s="7" t="inlineStr">
        <is>
          <t>Gamme réalisée - RAS</t>
        </is>
      </c>
      <c r="O625" s="7" t="inlineStr">
        <is>
          <t>Karim Benali</t>
        </is>
      </c>
      <c r="P625" s="65" t="n">
        <v>45940.47916666666</v>
      </c>
      <c r="Q625" s="75" t="n">
        <v>45940.43055555555</v>
      </c>
      <c r="R625" s="75" t="n">
        <v>45940.51388888889</v>
      </c>
      <c r="S625" s="76" t="n">
        <v>1</v>
      </c>
      <c r="T625" s="76" t="n">
        <v>2</v>
      </c>
      <c r="U625" s="70">
        <f>IF($A625="","",IFERROR(INDEX('Techniciens'!$F$5:$F$44,MATCH(O625,'Techniciens'!$B$5:$B$44,0)),'Paramètres'!$AA$10))</f>
        <v/>
      </c>
      <c r="V625" s="70">
        <f>IF($A625="","",IF(OR(AC625="Demandé",AC625="Planifié",AC625="Annulé"),0,N(T625)*N(U625)))</f>
        <v/>
      </c>
      <c r="W625" s="70">
        <f>IF($A625="","",SUMIFS('Mouvements stock'!$H$5:$H$3004,'Mouvements stock'!$I$5:$I$3004,$A625,'Mouvements stock'!$C$5:$C$3004,"Sortie")-SUMIFS('Mouvements stock'!$H$5:$H$3004,'Mouvements stock'!$I$5:$I$3004,$A625,'Mouvements stock'!$C$5:$C$3004,"Retour"))</f>
        <v/>
      </c>
      <c r="X625" s="66" t="n">
        <v>0</v>
      </c>
      <c r="Y625" s="66" t="n">
        <v>0</v>
      </c>
      <c r="Z625" s="7" t="n"/>
      <c r="AA625" s="70">
        <f>IF($A625="","",N(V625)+N(W625)+N(X625)+N(Y625))</f>
        <v/>
      </c>
      <c r="AB625" s="70">
        <f>IF($A625="","",N(S625)*'Paramètres'!$AA$9*IFERROR(INDEX('Paramètres'!$O$5:$O$7,MATCH(G625,'Paramètres'!$N$5:$N$7,0)),0))</f>
        <v/>
      </c>
      <c r="AC625" s="7" t="inlineStr">
        <is>
          <t>Clôturé</t>
        </is>
      </c>
      <c r="AD625" s="69">
        <f>IF(OR($A625="",Q625=""),"",(Q625-B625)*24)</f>
        <v/>
      </c>
      <c r="AE625" s="69">
        <f>IF(OR(Q625="",R625=""),"",(R625-Q625)*24)</f>
        <v/>
      </c>
      <c r="AF625" s="77">
        <f>IF(OR($A625="",B625=""),"",YEAR(B625))</f>
        <v/>
      </c>
      <c r="AG625" s="77">
        <f>IF(OR($A625="",B625=""),"",MONTH(B625))</f>
        <v/>
      </c>
    </row>
    <row r="626">
      <c r="A626" s="7" t="inlineStr">
        <is>
          <t>OT-2025-0622</t>
        </is>
      </c>
      <c r="B626" s="75" t="n">
        <v>45934.39513888889</v>
      </c>
      <c r="C626" s="7" t="inlineStr">
        <is>
          <t>Opérateur usinage</t>
        </is>
      </c>
      <c r="D626" s="7" t="inlineStr">
        <is>
          <t>EQ-USI-006</t>
        </is>
      </c>
      <c r="E626" s="9">
        <f>IF(D626="","",IFERROR(INDEX('Équipements'!$B$5:$B$304,MATCH(D626,'Équipements'!$A$5:$A$304,0)),"Code inconnu"))</f>
        <v/>
      </c>
      <c r="F626" s="9">
        <f>IF(D626="","",IFERROR(INDEX('Équipements'!$D$5:$D$304,MATCH(D626,'Équipements'!$A$5:$A$304,0)),""))</f>
        <v/>
      </c>
      <c r="G626" s="9">
        <f>IF(D626="","",IFERROR(INDEX('Équipements'!$K$5:$K$304,MATCH(D626,'Équipements'!$A$5:$A$304,0)),""))</f>
        <v/>
      </c>
      <c r="H626" s="7" t="inlineStr">
        <is>
          <t>Correctif</t>
        </is>
      </c>
      <c r="I626" s="7" t="n"/>
      <c r="J626" s="7" t="inlineStr">
        <is>
          <t>Mécanique</t>
        </is>
      </c>
      <c r="K626" s="7" t="inlineStr">
        <is>
          <t>P2 - Haute</t>
        </is>
      </c>
      <c r="L626" s="7" t="inlineStr">
        <is>
          <t>Broche bruyante / vibrations anormales</t>
        </is>
      </c>
      <c r="M626" s="7" t="inlineStr">
        <is>
          <t>Usure</t>
        </is>
      </c>
      <c r="N626" s="7" t="inlineStr">
        <is>
          <t>Analyse vibratoire puis remplacement roulements de broche</t>
        </is>
      </c>
      <c r="O626" s="7" t="inlineStr">
        <is>
          <t>Karim Benali</t>
        </is>
      </c>
      <c r="P626" s="65" t="n"/>
      <c r="Q626" s="75" t="n">
        <v>45934.63125</v>
      </c>
      <c r="R626" s="75" t="n">
        <v>45934.82916666667</v>
      </c>
      <c r="S626" s="76" t="n">
        <v>0</v>
      </c>
      <c r="T626" s="76" t="n">
        <v>4.75</v>
      </c>
      <c r="U626" s="70">
        <f>IF($A626="","",IFERROR(INDEX('Techniciens'!$F$5:$F$44,MATCH(O626,'Techniciens'!$B$5:$B$44,0)),'Paramètres'!$AA$10))</f>
        <v/>
      </c>
      <c r="V626" s="70">
        <f>IF($A626="","",IF(OR(AC626="Demandé",AC626="Planifié",AC626="Annulé"),0,N(T626)*N(U626)))</f>
        <v/>
      </c>
      <c r="W626" s="70">
        <f>IF($A626="","",SUMIFS('Mouvements stock'!$H$5:$H$3004,'Mouvements stock'!$I$5:$I$3004,$A626,'Mouvements stock'!$C$5:$C$3004,"Sortie")-SUMIFS('Mouvements stock'!$H$5:$H$3004,'Mouvements stock'!$I$5:$I$3004,$A626,'Mouvements stock'!$C$5:$C$3004,"Retour"))</f>
        <v/>
      </c>
      <c r="X626" s="66" t="n">
        <v>0</v>
      </c>
      <c r="Y626" s="66" t="n">
        <v>360</v>
      </c>
      <c r="Z626" s="7" t="inlineStr">
        <is>
          <t>SAV Machines-Outils Atlantique</t>
        </is>
      </c>
      <c r="AA626" s="70">
        <f>IF($A626="","",N(V626)+N(W626)+N(X626)+N(Y626))</f>
        <v/>
      </c>
      <c r="AB626" s="70">
        <f>IF($A626="","",N(S626)*'Paramètres'!$AA$9*IFERROR(INDEX('Paramètres'!$O$5:$O$7,MATCH(G626,'Paramètres'!$N$5:$N$7,0)),0))</f>
        <v/>
      </c>
      <c r="AC626" s="7" t="inlineStr">
        <is>
          <t>Clôturé</t>
        </is>
      </c>
      <c r="AD626" s="69">
        <f>IF(OR($A626="",Q626=""),"",(Q626-B626)*24)</f>
        <v/>
      </c>
      <c r="AE626" s="69">
        <f>IF(OR(Q626="",R626=""),"",(R626-Q626)*24)</f>
        <v/>
      </c>
      <c r="AF626" s="77">
        <f>IF(OR($A626="",B626=""),"",YEAR(B626))</f>
        <v/>
      </c>
      <c r="AG626" s="77">
        <f>IF(OR($A626="",B626=""),"",MONTH(B626))</f>
        <v/>
      </c>
    </row>
    <row r="627">
      <c r="A627" s="7" t="inlineStr">
        <is>
          <t>OT-2025-0623</t>
        </is>
      </c>
      <c r="B627" s="75" t="n">
        <v>45934.62708333333</v>
      </c>
      <c r="C627" s="7" t="inlineStr">
        <is>
          <t>Céline Morel (cheffe d'atelier)</t>
        </is>
      </c>
      <c r="D627" s="7" t="inlineStr">
        <is>
          <t>EQ-TOL-005</t>
        </is>
      </c>
      <c r="E627" s="9">
        <f>IF(D627="","",IFERROR(INDEX('Équipements'!$B$5:$B$304,MATCH(D627,'Équipements'!$A$5:$A$304,0)),"Code inconnu"))</f>
        <v/>
      </c>
      <c r="F627" s="9">
        <f>IF(D627="","",IFERROR(INDEX('Équipements'!$D$5:$D$304,MATCH(D627,'Équipements'!$A$5:$A$304,0)),""))</f>
        <v/>
      </c>
      <c r="G627" s="9">
        <f>IF(D627="","",IFERROR(INDEX('Équipements'!$K$5:$K$304,MATCH(D627,'Équipements'!$A$5:$A$304,0)),""))</f>
        <v/>
      </c>
      <c r="H627" s="7" t="inlineStr">
        <is>
          <t>Correctif</t>
        </is>
      </c>
      <c r="I627" s="7" t="n"/>
      <c r="J627" s="7" t="inlineStr">
        <is>
          <t>Mécanique</t>
        </is>
      </c>
      <c r="K627" s="7" t="inlineStr">
        <is>
          <t>P1 - Urgent</t>
        </is>
      </c>
      <c r="L627" s="7" t="inlineStr">
        <is>
          <t>Butée arrière bloquée</t>
        </is>
      </c>
      <c r="M627" s="7" t="inlineStr">
        <is>
          <t>Cause inconnue</t>
        </is>
      </c>
      <c r="N627" s="7" t="inlineStr">
        <is>
          <t>Remplacement courroie et réglage butée</t>
        </is>
      </c>
      <c r="O627" s="7" t="inlineStr">
        <is>
          <t>Lucas Fontaine</t>
        </is>
      </c>
      <c r="P627" s="65" t="n"/>
      <c r="Q627" s="75" t="n">
        <v>45934.66458333333</v>
      </c>
      <c r="R627" s="75" t="n">
        <v>45934.8625</v>
      </c>
      <c r="S627" s="76" t="n">
        <v>5.7</v>
      </c>
      <c r="T627" s="76" t="n">
        <v>4.75</v>
      </c>
      <c r="U627" s="70">
        <f>IF($A627="","",IFERROR(INDEX('Techniciens'!$F$5:$F$44,MATCH(O627,'Techniciens'!$B$5:$B$44,0)),'Paramètres'!$AA$10))</f>
        <v/>
      </c>
      <c r="V627" s="70">
        <f>IF($A627="","",IF(OR(AC627="Demandé",AC627="Planifié",AC627="Annulé"),0,N(T627)*N(U627)))</f>
        <v/>
      </c>
      <c r="W627" s="70">
        <f>IF($A627="","",SUMIFS('Mouvements stock'!$H$5:$H$3004,'Mouvements stock'!$I$5:$I$3004,$A627,'Mouvements stock'!$C$5:$C$3004,"Sortie")-SUMIFS('Mouvements stock'!$H$5:$H$3004,'Mouvements stock'!$I$5:$I$3004,$A627,'Mouvements stock'!$C$5:$C$3004,"Retour"))</f>
        <v/>
      </c>
      <c r="X627" s="66" t="n">
        <v>0</v>
      </c>
      <c r="Y627" s="66" t="n">
        <v>0</v>
      </c>
      <c r="Z627" s="7" t="n"/>
      <c r="AA627" s="70">
        <f>IF($A627="","",N(V627)+N(W627)+N(X627)+N(Y627))</f>
        <v/>
      </c>
      <c r="AB627" s="70">
        <f>IF($A627="","",N(S627)*'Paramètres'!$AA$9*IFERROR(INDEX('Paramètres'!$O$5:$O$7,MATCH(G627,'Paramètres'!$N$5:$N$7,0)),0))</f>
        <v/>
      </c>
      <c r="AC627" s="7" t="inlineStr">
        <is>
          <t>Clôturé</t>
        </is>
      </c>
      <c r="AD627" s="69">
        <f>IF(OR($A627="",Q627=""),"",(Q627-B627)*24)</f>
        <v/>
      </c>
      <c r="AE627" s="69">
        <f>IF(OR(Q627="",R627=""),"",(R627-Q627)*24)</f>
        <v/>
      </c>
      <c r="AF627" s="77">
        <f>IF(OR($A627="",B627=""),"",YEAR(B627))</f>
        <v/>
      </c>
      <c r="AG627" s="77">
        <f>IF(OR($A627="",B627=""),"",MONTH(B627))</f>
        <v/>
      </c>
    </row>
    <row r="628">
      <c r="A628" s="7" t="inlineStr">
        <is>
          <t>OT-2025-0624</t>
        </is>
      </c>
      <c r="B628" s="75" t="n">
        <v>45936.34027777778</v>
      </c>
      <c r="C628" s="7" t="inlineStr">
        <is>
          <t>Plan préventif</t>
        </is>
      </c>
      <c r="D628" s="7" t="inlineStr">
        <is>
          <t>EQ-UTI-003</t>
        </is>
      </c>
      <c r="E628" s="9">
        <f>IF(D628="","",IFERROR(INDEX('Équipements'!$B$5:$B$304,MATCH(D628,'Équipements'!$A$5:$A$304,0)),"Code inconnu"))</f>
        <v/>
      </c>
      <c r="F628" s="9">
        <f>IF(D628="","",IFERROR(INDEX('Équipements'!$D$5:$D$304,MATCH(D628,'Équipements'!$A$5:$A$304,0)),""))</f>
        <v/>
      </c>
      <c r="G628" s="9">
        <f>IF(D628="","",IFERROR(INDEX('Équipements'!$K$5:$K$304,MATCH(D628,'Équipements'!$A$5:$A$304,0)),""))</f>
        <v/>
      </c>
      <c r="H628" s="7" t="inlineStr">
        <is>
          <t>Préventif systématique</t>
        </is>
      </c>
      <c r="I628" s="7" t="inlineStr">
        <is>
          <t>GP-092</t>
        </is>
      </c>
      <c r="J628" s="7" t="inlineStr">
        <is>
          <t>Pneumatique</t>
        </is>
      </c>
      <c r="K628" s="7" t="inlineStr">
        <is>
          <t>P3 - Normale</t>
        </is>
      </c>
      <c r="L628" s="7" t="inlineStr">
        <is>
          <t>Purge, contrôle fuites et point de rosée</t>
        </is>
      </c>
      <c r="M628" s="7" t="n"/>
      <c r="N628" s="7" t="inlineStr">
        <is>
          <t>Gamme réalisée - RAS</t>
        </is>
      </c>
      <c r="O628" s="7" t="inlineStr">
        <is>
          <t>Julien Moreau</t>
        </is>
      </c>
      <c r="P628" s="65" t="n">
        <v>45943.66666666666</v>
      </c>
      <c r="Q628" s="75" t="n">
        <v>45943.5625</v>
      </c>
      <c r="R628" s="75" t="n">
        <v>45943.625</v>
      </c>
      <c r="S628" s="76" t="n">
        <v>0</v>
      </c>
      <c r="T628" s="76" t="n">
        <v>1.5</v>
      </c>
      <c r="U628" s="70">
        <f>IF($A628="","",IFERROR(INDEX('Techniciens'!$F$5:$F$44,MATCH(O628,'Techniciens'!$B$5:$B$44,0)),'Paramètres'!$AA$10))</f>
        <v/>
      </c>
      <c r="V628" s="70">
        <f>IF($A628="","",IF(OR(AC628="Demandé",AC628="Planifié",AC628="Annulé"),0,N(T628)*N(U628)))</f>
        <v/>
      </c>
      <c r="W628" s="70">
        <f>IF($A628="","",SUMIFS('Mouvements stock'!$H$5:$H$3004,'Mouvements stock'!$I$5:$I$3004,$A628,'Mouvements stock'!$C$5:$C$3004,"Sortie")-SUMIFS('Mouvements stock'!$H$5:$H$3004,'Mouvements stock'!$I$5:$I$3004,$A628,'Mouvements stock'!$C$5:$C$3004,"Retour"))</f>
        <v/>
      </c>
      <c r="X628" s="66" t="n">
        <v>0</v>
      </c>
      <c r="Y628" s="66" t="n">
        <v>0</v>
      </c>
      <c r="Z628" s="7" t="n"/>
      <c r="AA628" s="70">
        <f>IF($A628="","",N(V628)+N(W628)+N(X628)+N(Y628))</f>
        <v/>
      </c>
      <c r="AB628" s="70">
        <f>IF($A628="","",N(S628)*'Paramètres'!$AA$9*IFERROR(INDEX('Paramètres'!$O$5:$O$7,MATCH(G628,'Paramètres'!$N$5:$N$7,0)),0))</f>
        <v/>
      </c>
      <c r="AC628" s="7" t="inlineStr">
        <is>
          <t>Clôturé</t>
        </is>
      </c>
      <c r="AD628" s="69">
        <f>IF(OR($A628="",Q628=""),"",(Q628-B628)*24)</f>
        <v/>
      </c>
      <c r="AE628" s="69">
        <f>IF(OR(Q628="",R628=""),"",(R628-Q628)*24)</f>
        <v/>
      </c>
      <c r="AF628" s="77">
        <f>IF(OR($A628="",B628=""),"",YEAR(B628))</f>
        <v/>
      </c>
      <c r="AG628" s="77">
        <f>IF(OR($A628="",B628=""),"",MONTH(B628))</f>
        <v/>
      </c>
    </row>
    <row r="629">
      <c r="A629" s="7" t="inlineStr">
        <is>
          <t>OT-2025-0625</t>
        </is>
      </c>
      <c r="B629" s="75" t="n">
        <v>45936.35416666666</v>
      </c>
      <c r="C629" s="7" t="inlineStr">
        <is>
          <t>Plan préventif</t>
        </is>
      </c>
      <c r="D629" s="7" t="inlineStr">
        <is>
          <t>EQ-TOL-001</t>
        </is>
      </c>
      <c r="E629" s="9">
        <f>IF(D629="","",IFERROR(INDEX('Équipements'!$B$5:$B$304,MATCH(D629,'Équipements'!$A$5:$A$304,0)),"Code inconnu"))</f>
        <v/>
      </c>
      <c r="F629" s="9">
        <f>IF(D629="","",IFERROR(INDEX('Équipements'!$D$5:$D$304,MATCH(D629,'Équipements'!$A$5:$A$304,0)),""))</f>
        <v/>
      </c>
      <c r="G629" s="9">
        <f>IF(D629="","",IFERROR(INDEX('Équipements'!$K$5:$K$304,MATCH(D629,'Équipements'!$A$5:$A$304,0)),""))</f>
        <v/>
      </c>
      <c r="H629" s="7" t="inlineStr">
        <is>
          <t>Préventif systématique</t>
        </is>
      </c>
      <c r="I629" s="7" t="inlineStr">
        <is>
          <t>GP-040</t>
        </is>
      </c>
      <c r="J629" s="7" t="inlineStr">
        <is>
          <t>Multi-technique</t>
        </is>
      </c>
      <c r="K629" s="7" t="inlineStr">
        <is>
          <t>P3 - Normale</t>
        </is>
      </c>
      <c r="L629" s="7" t="inlineStr">
        <is>
          <t>Entretien annuel constructeur (source et tête de coupe)</t>
        </is>
      </c>
      <c r="M629" s="7" t="n"/>
      <c r="N629" s="7" t="inlineStr">
        <is>
          <t>Gamme réalisée - RAS</t>
        </is>
      </c>
      <c r="O629" s="7" t="inlineStr">
        <is>
          <t>Antoine Mercier</t>
        </is>
      </c>
      <c r="P629" s="65" t="n">
        <v>45943</v>
      </c>
      <c r="Q629" s="75" t="n">
        <v>45943.38888888889</v>
      </c>
      <c r="R629" s="75" t="n">
        <v>45944.02430555555</v>
      </c>
      <c r="S629" s="76" t="n">
        <v>15.2</v>
      </c>
      <c r="T629" s="76" t="n">
        <v>2</v>
      </c>
      <c r="U629" s="70">
        <f>IF($A629="","",IFERROR(INDEX('Techniciens'!$F$5:$F$44,MATCH(O629,'Techniciens'!$B$5:$B$44,0)),'Paramètres'!$AA$10))</f>
        <v/>
      </c>
      <c r="V629" s="70">
        <f>IF($A629="","",IF(OR(AC629="Demandé",AC629="Planifié",AC629="Annulé"),0,N(T629)*N(U629)))</f>
        <v/>
      </c>
      <c r="W629" s="70">
        <f>IF($A629="","",SUMIFS('Mouvements stock'!$H$5:$H$3004,'Mouvements stock'!$I$5:$I$3004,$A629,'Mouvements stock'!$C$5:$C$3004,"Sortie")-SUMIFS('Mouvements stock'!$H$5:$H$3004,'Mouvements stock'!$I$5:$I$3004,$A629,'Mouvements stock'!$C$5:$C$3004,"Retour"))</f>
        <v/>
      </c>
      <c r="X629" s="66" t="n">
        <v>0</v>
      </c>
      <c r="Y629" s="66" t="n">
        <v>5070</v>
      </c>
      <c r="Z629" s="7" t="inlineStr">
        <is>
          <t>LaserCare Services</t>
        </is>
      </c>
      <c r="AA629" s="70">
        <f>IF($A629="","",N(V629)+N(W629)+N(X629)+N(Y629))</f>
        <v/>
      </c>
      <c r="AB629" s="70">
        <f>IF($A629="","",N(S629)*'Paramètres'!$AA$9*IFERROR(INDEX('Paramètres'!$O$5:$O$7,MATCH(G629,'Paramètres'!$N$5:$N$7,0)),0))</f>
        <v/>
      </c>
      <c r="AC629" s="7" t="inlineStr">
        <is>
          <t>Clôturé</t>
        </is>
      </c>
      <c r="AD629" s="69">
        <f>IF(OR($A629="",Q629=""),"",(Q629-B629)*24)</f>
        <v/>
      </c>
      <c r="AE629" s="69">
        <f>IF(OR(Q629="",R629=""),"",(R629-Q629)*24)</f>
        <v/>
      </c>
      <c r="AF629" s="77">
        <f>IF(OR($A629="",B629=""),"",YEAR(B629))</f>
        <v/>
      </c>
      <c r="AG629" s="77">
        <f>IF(OR($A629="",B629=""),"",MONTH(B629))</f>
        <v/>
      </c>
    </row>
    <row r="630">
      <c r="A630" s="7" t="inlineStr">
        <is>
          <t>OT-2025-0626</t>
        </is>
      </c>
      <c r="B630" s="75" t="n">
        <v>45936.38541666666</v>
      </c>
      <c r="C630" s="7" t="inlineStr">
        <is>
          <t>Plan préventif</t>
        </is>
      </c>
      <c r="D630" s="7" t="inlineStr">
        <is>
          <t>EQ-USI-011</t>
        </is>
      </c>
      <c r="E630" s="9">
        <f>IF(D630="","",IFERROR(INDEX('Équipements'!$B$5:$B$304,MATCH(D630,'Équipements'!$A$5:$A$304,0)),"Code inconnu"))</f>
        <v/>
      </c>
      <c r="F630" s="9">
        <f>IF(D630="","",IFERROR(INDEX('Équipements'!$D$5:$D$304,MATCH(D630,'Équipements'!$A$5:$A$304,0)),""))</f>
        <v/>
      </c>
      <c r="G630" s="9">
        <f>IF(D630="","",IFERROR(INDEX('Équipements'!$K$5:$K$304,MATCH(D630,'Équipements'!$A$5:$A$304,0)),""))</f>
        <v/>
      </c>
      <c r="H630" s="7" t="inlineStr">
        <is>
          <t>Préventif systématique</t>
        </is>
      </c>
      <c r="I630" s="7" t="inlineStr">
        <is>
          <t>GP-034</t>
        </is>
      </c>
      <c r="J630" s="7" t="inlineStr">
        <is>
          <t>Mécanique</t>
        </is>
      </c>
      <c r="K630" s="7" t="inlineStr">
        <is>
          <t>P3 - Normale</t>
        </is>
      </c>
      <c r="L630" s="7" t="inlineStr">
        <is>
          <t>Graissage et contrôle général</t>
        </is>
      </c>
      <c r="M630" s="7" t="n"/>
      <c r="N630" s="7" t="inlineStr">
        <is>
          <t>Gamme réalisée - RAS</t>
        </is>
      </c>
      <c r="O630" s="7" t="inlineStr">
        <is>
          <t>Karim Benali</t>
        </is>
      </c>
      <c r="P630" s="65" t="n">
        <v>45943.33333333334</v>
      </c>
      <c r="Q630" s="75" t="n">
        <v>45943.54166666666</v>
      </c>
      <c r="R630" s="75" t="n">
        <v>45943.60416666666</v>
      </c>
      <c r="S630" s="76" t="n">
        <v>1.5</v>
      </c>
      <c r="T630" s="76" t="n">
        <v>1.5</v>
      </c>
      <c r="U630" s="70">
        <f>IF($A630="","",IFERROR(INDEX('Techniciens'!$F$5:$F$44,MATCH(O630,'Techniciens'!$B$5:$B$44,0)),'Paramètres'!$AA$10))</f>
        <v/>
      </c>
      <c r="V630" s="70">
        <f>IF($A630="","",IF(OR(AC630="Demandé",AC630="Planifié",AC630="Annulé"),0,N(T630)*N(U630)))</f>
        <v/>
      </c>
      <c r="W630" s="70">
        <f>IF($A630="","",SUMIFS('Mouvements stock'!$H$5:$H$3004,'Mouvements stock'!$I$5:$I$3004,$A630,'Mouvements stock'!$C$5:$C$3004,"Sortie")-SUMIFS('Mouvements stock'!$H$5:$H$3004,'Mouvements stock'!$I$5:$I$3004,$A630,'Mouvements stock'!$C$5:$C$3004,"Retour"))</f>
        <v/>
      </c>
      <c r="X630" s="66" t="n">
        <v>0</v>
      </c>
      <c r="Y630" s="66" t="n">
        <v>0</v>
      </c>
      <c r="Z630" s="7" t="n"/>
      <c r="AA630" s="70">
        <f>IF($A630="","",N(V630)+N(W630)+N(X630)+N(Y630))</f>
        <v/>
      </c>
      <c r="AB630" s="70">
        <f>IF($A630="","",N(S630)*'Paramètres'!$AA$9*IFERROR(INDEX('Paramètres'!$O$5:$O$7,MATCH(G630,'Paramètres'!$N$5:$N$7,0)),0))</f>
        <v/>
      </c>
      <c r="AC630" s="7" t="inlineStr">
        <is>
          <t>Clôturé</t>
        </is>
      </c>
      <c r="AD630" s="69">
        <f>IF(OR($A630="",Q630=""),"",(Q630-B630)*24)</f>
        <v/>
      </c>
      <c r="AE630" s="69">
        <f>IF(OR(Q630="",R630=""),"",(R630-Q630)*24)</f>
        <v/>
      </c>
      <c r="AF630" s="77">
        <f>IF(OR($A630="",B630=""),"",YEAR(B630))</f>
        <v/>
      </c>
      <c r="AG630" s="77">
        <f>IF(OR($A630="",B630=""),"",MONTH(B630))</f>
        <v/>
      </c>
    </row>
    <row r="631">
      <c r="A631" s="7" t="inlineStr">
        <is>
          <t>OT-2025-0627</t>
        </is>
      </c>
      <c r="B631" s="75" t="n">
        <v>45936.40625</v>
      </c>
      <c r="C631" s="7" t="inlineStr">
        <is>
          <t>Plan préventif</t>
        </is>
      </c>
      <c r="D631" s="7" t="inlineStr">
        <is>
          <t>EQ-ASS-006</t>
        </is>
      </c>
      <c r="E631" s="9">
        <f>IF(D631="","",IFERROR(INDEX('Équipements'!$B$5:$B$304,MATCH(D631,'Équipements'!$A$5:$A$304,0)),"Code inconnu"))</f>
        <v/>
      </c>
      <c r="F631" s="9">
        <f>IF(D631="","",IFERROR(INDEX('Équipements'!$D$5:$D$304,MATCH(D631,'Équipements'!$A$5:$A$304,0)),""))</f>
        <v/>
      </c>
      <c r="G631" s="9">
        <f>IF(D631="","",IFERROR(INDEX('Équipements'!$K$5:$K$304,MATCH(D631,'Équipements'!$A$5:$A$304,0)),""))</f>
        <v/>
      </c>
      <c r="H631" s="7" t="inlineStr">
        <is>
          <t>Préventif systématique</t>
        </is>
      </c>
      <c r="I631" s="7" t="inlineStr">
        <is>
          <t>GP-085</t>
        </is>
      </c>
      <c r="J631" s="7" t="inlineStr">
        <is>
          <t>Mécanique</t>
        </is>
      </c>
      <c r="K631" s="7" t="inlineStr">
        <is>
          <t>P3 - Normale</t>
        </is>
      </c>
      <c r="L631" s="7" t="inlineStr">
        <is>
          <t>Graissage chaîne / galets et contrôle tension</t>
        </is>
      </c>
      <c r="M631" s="7" t="n"/>
      <c r="N631" s="7" t="inlineStr">
        <is>
          <t>Gamme réalisée - RAS</t>
        </is>
      </c>
      <c r="O631" s="7" t="inlineStr">
        <is>
          <t>Lucas Fontaine</t>
        </is>
      </c>
      <c r="P631" s="65" t="n">
        <v>45943.4375</v>
      </c>
      <c r="Q631" s="75" t="n">
        <v>45943.42361111111</v>
      </c>
      <c r="R631" s="75" t="n">
        <v>45943.51736111111</v>
      </c>
      <c r="S631" s="76" t="n">
        <v>2.2</v>
      </c>
      <c r="T631" s="76" t="n">
        <v>2.25</v>
      </c>
      <c r="U631" s="70">
        <f>IF($A631="","",IFERROR(INDEX('Techniciens'!$F$5:$F$44,MATCH(O631,'Techniciens'!$B$5:$B$44,0)),'Paramètres'!$AA$10))</f>
        <v/>
      </c>
      <c r="V631" s="70">
        <f>IF($A631="","",IF(OR(AC631="Demandé",AC631="Planifié",AC631="Annulé"),0,N(T631)*N(U631)))</f>
        <v/>
      </c>
      <c r="W631" s="70">
        <f>IF($A631="","",SUMIFS('Mouvements stock'!$H$5:$H$3004,'Mouvements stock'!$I$5:$I$3004,$A631,'Mouvements stock'!$C$5:$C$3004,"Sortie")-SUMIFS('Mouvements stock'!$H$5:$H$3004,'Mouvements stock'!$I$5:$I$3004,$A631,'Mouvements stock'!$C$5:$C$3004,"Retour"))</f>
        <v/>
      </c>
      <c r="X631" s="66" t="n">
        <v>0</v>
      </c>
      <c r="Y631" s="66" t="n">
        <v>0</v>
      </c>
      <c r="Z631" s="7" t="n"/>
      <c r="AA631" s="70">
        <f>IF($A631="","",N(V631)+N(W631)+N(X631)+N(Y631))</f>
        <v/>
      </c>
      <c r="AB631" s="70">
        <f>IF($A631="","",N(S631)*'Paramètres'!$AA$9*IFERROR(INDEX('Paramètres'!$O$5:$O$7,MATCH(G631,'Paramètres'!$N$5:$N$7,0)),0))</f>
        <v/>
      </c>
      <c r="AC631" s="7" t="inlineStr">
        <is>
          <t>Clôturé</t>
        </is>
      </c>
      <c r="AD631" s="69">
        <f>IF(OR($A631="",Q631=""),"",(Q631-B631)*24)</f>
        <v/>
      </c>
      <c r="AE631" s="69">
        <f>IF(OR(Q631="",R631=""),"",(R631-Q631)*24)</f>
        <v/>
      </c>
      <c r="AF631" s="77">
        <f>IF(OR($A631="",B631=""),"",YEAR(B631))</f>
        <v/>
      </c>
      <c r="AG631" s="77">
        <f>IF(OR($A631="",B631=""),"",MONTH(B631))</f>
        <v/>
      </c>
    </row>
    <row r="632">
      <c r="A632" s="7" t="inlineStr">
        <is>
          <t>OT-2025-0628</t>
        </is>
      </c>
      <c r="B632" s="75" t="n">
        <v>45936.40972222222</v>
      </c>
      <c r="C632" s="7" t="inlineStr">
        <is>
          <t>Planning réglementaire</t>
        </is>
      </c>
      <c r="D632" s="7" t="inlineStr">
        <is>
          <t>EQ-ASS-002</t>
        </is>
      </c>
      <c r="E632" s="9">
        <f>IF(D632="","",IFERROR(INDEX('Équipements'!$B$5:$B$304,MATCH(D632,'Équipements'!$A$5:$A$304,0)),"Code inconnu"))</f>
        <v/>
      </c>
      <c r="F632" s="9">
        <f>IF(D632="","",IFERROR(INDEX('Équipements'!$D$5:$D$304,MATCH(D632,'Équipements'!$A$5:$A$304,0)),""))</f>
        <v/>
      </c>
      <c r="G632" s="9">
        <f>IF(D632="","",IFERROR(INDEX('Équipements'!$K$5:$K$304,MATCH(D632,'Équipements'!$A$5:$A$304,0)),""))</f>
        <v/>
      </c>
      <c r="H632" s="7" t="inlineStr">
        <is>
          <t>Réglementaire</t>
        </is>
      </c>
      <c r="I632" s="7" t="inlineStr">
        <is>
          <t>CR-012</t>
        </is>
      </c>
      <c r="J632" s="7" t="inlineStr">
        <is>
          <t>Multi-technique</t>
        </is>
      </c>
      <c r="K632" s="7" t="inlineStr">
        <is>
          <t>P2 - Haute</t>
        </is>
      </c>
      <c r="L632" s="7" t="inlineStr">
        <is>
          <t>Vérification périodique presse hydraulique</t>
        </is>
      </c>
      <c r="M632" s="7" t="n"/>
      <c r="N632" s="7" t="inlineStr">
        <is>
          <t>Contrôle réalisé - observations mineures au rapport</t>
        </is>
      </c>
      <c r="O632" s="7" t="inlineStr">
        <is>
          <t>Nadia Rousseau</t>
        </is>
      </c>
      <c r="P632" s="65" t="n">
        <v>45957</v>
      </c>
      <c r="Q632" s="75" t="n">
        <v>45957.41666666666</v>
      </c>
      <c r="R632" s="75" t="n">
        <v>45957.52083333334</v>
      </c>
      <c r="S632" s="76" t="n">
        <v>1</v>
      </c>
      <c r="T632" s="76" t="n">
        <v>2.5</v>
      </c>
      <c r="U632" s="70">
        <f>IF($A632="","",IFERROR(INDEX('Techniciens'!$F$5:$F$44,MATCH(O632,'Techniciens'!$B$5:$B$44,0)),'Paramètres'!$AA$10))</f>
        <v/>
      </c>
      <c r="V632" s="70">
        <f>IF($A632="","",IF(OR(AC632="Demandé",AC632="Planifié",AC632="Annulé"),0,N(T632)*N(U632)))</f>
        <v/>
      </c>
      <c r="W632" s="70">
        <f>IF($A632="","",SUMIFS('Mouvements stock'!$H$5:$H$3004,'Mouvements stock'!$I$5:$I$3004,$A632,'Mouvements stock'!$C$5:$C$3004,"Sortie")-SUMIFS('Mouvements stock'!$H$5:$H$3004,'Mouvements stock'!$I$5:$I$3004,$A632,'Mouvements stock'!$C$5:$C$3004,"Retour"))</f>
        <v/>
      </c>
      <c r="X632" s="66" t="n">
        <v>0</v>
      </c>
      <c r="Y632" s="66" t="n">
        <v>190</v>
      </c>
      <c r="Z632" s="7" t="inlineStr">
        <is>
          <t>CONTROLIS (organisme fictif)</t>
        </is>
      </c>
      <c r="AA632" s="70">
        <f>IF($A632="","",N(V632)+N(W632)+N(X632)+N(Y632))</f>
        <v/>
      </c>
      <c r="AB632" s="70">
        <f>IF($A632="","",N(S632)*'Paramètres'!$AA$9*IFERROR(INDEX('Paramètres'!$O$5:$O$7,MATCH(G632,'Paramètres'!$N$5:$N$7,0)),0))</f>
        <v/>
      </c>
      <c r="AC632" s="7" t="inlineStr">
        <is>
          <t>Clôturé</t>
        </is>
      </c>
      <c r="AD632" s="69">
        <f>IF(OR($A632="",Q632=""),"",(Q632-B632)*24)</f>
        <v/>
      </c>
      <c r="AE632" s="69">
        <f>IF(OR(Q632="",R632=""),"",(R632-Q632)*24)</f>
        <v/>
      </c>
      <c r="AF632" s="77">
        <f>IF(OR($A632="",B632=""),"",YEAR(B632))</f>
        <v/>
      </c>
      <c r="AG632" s="77">
        <f>IF(OR($A632="",B632=""),"",MONTH(B632))</f>
        <v/>
      </c>
    </row>
    <row r="633">
      <c r="A633" s="7" t="inlineStr">
        <is>
          <t>OT-2025-0629</t>
        </is>
      </c>
      <c r="B633" s="75" t="n">
        <v>45936.43055555555</v>
      </c>
      <c r="C633" s="7" t="inlineStr">
        <is>
          <t>Plan préventif</t>
        </is>
      </c>
      <c r="D633" s="7" t="inlineStr">
        <is>
          <t>EQ-BAT-003</t>
        </is>
      </c>
      <c r="E633" s="9">
        <f>IF(D633="","",IFERROR(INDEX('Équipements'!$B$5:$B$304,MATCH(D633,'Équipements'!$A$5:$A$304,0)),"Code inconnu"))</f>
        <v/>
      </c>
      <c r="F633" s="9">
        <f>IF(D633="","",IFERROR(INDEX('Équipements'!$D$5:$D$304,MATCH(D633,'Équipements'!$A$5:$A$304,0)),""))</f>
        <v/>
      </c>
      <c r="G633" s="9">
        <f>IF(D633="","",IFERROR(INDEX('Équipements'!$K$5:$K$304,MATCH(D633,'Équipements'!$A$5:$A$304,0)),""))</f>
        <v/>
      </c>
      <c r="H633" s="7" t="inlineStr">
        <is>
          <t>Préventif systématique</t>
        </is>
      </c>
      <c r="I633" s="7" t="inlineStr">
        <is>
          <t>GP-124</t>
        </is>
      </c>
      <c r="J633" s="7" t="inlineStr">
        <is>
          <t>Mécanique</t>
        </is>
      </c>
      <c r="K633" s="7" t="inlineStr">
        <is>
          <t>P3 - Normale</t>
        </is>
      </c>
      <c r="L633" s="7" t="inlineStr">
        <is>
          <t>Remplacement filtres et nettoyage batteries</t>
        </is>
      </c>
      <c r="M633" s="7" t="n"/>
      <c r="N633" s="7" t="inlineStr">
        <is>
          <t>Gamme réalisée - RAS</t>
        </is>
      </c>
      <c r="O633" s="7" t="inlineStr">
        <is>
          <t>Lucas Fontaine</t>
        </is>
      </c>
      <c r="P633" s="65" t="n">
        <v>45943.65972222222</v>
      </c>
      <c r="Q633" s="75" t="n">
        <v>45943.59027777778</v>
      </c>
      <c r="R633" s="75" t="n">
        <v>45943.68402777778</v>
      </c>
      <c r="S633" s="76" t="n">
        <v>0</v>
      </c>
      <c r="T633" s="76" t="n">
        <v>2.25</v>
      </c>
      <c r="U633" s="70">
        <f>IF($A633="","",IFERROR(INDEX('Techniciens'!$F$5:$F$44,MATCH(O633,'Techniciens'!$B$5:$B$44,0)),'Paramètres'!$AA$10))</f>
        <v/>
      </c>
      <c r="V633" s="70">
        <f>IF($A633="","",IF(OR(AC633="Demandé",AC633="Planifié",AC633="Annulé"),0,N(T633)*N(U633)))</f>
        <v/>
      </c>
      <c r="W633" s="70">
        <f>IF($A633="","",SUMIFS('Mouvements stock'!$H$5:$H$3004,'Mouvements stock'!$I$5:$I$3004,$A633,'Mouvements stock'!$C$5:$C$3004,"Sortie")-SUMIFS('Mouvements stock'!$H$5:$H$3004,'Mouvements stock'!$I$5:$I$3004,$A633,'Mouvements stock'!$C$5:$C$3004,"Retour"))</f>
        <v/>
      </c>
      <c r="X633" s="66" t="n">
        <v>0</v>
      </c>
      <c r="Y633" s="66" t="n">
        <v>0</v>
      </c>
      <c r="Z633" s="7" t="n"/>
      <c r="AA633" s="70">
        <f>IF($A633="","",N(V633)+N(W633)+N(X633)+N(Y633))</f>
        <v/>
      </c>
      <c r="AB633" s="70">
        <f>IF($A633="","",N(S633)*'Paramètres'!$AA$9*IFERROR(INDEX('Paramètres'!$O$5:$O$7,MATCH(G633,'Paramètres'!$N$5:$N$7,0)),0))</f>
        <v/>
      </c>
      <c r="AC633" s="7" t="inlineStr">
        <is>
          <t>Clôturé</t>
        </is>
      </c>
      <c r="AD633" s="69">
        <f>IF(OR($A633="",Q633=""),"",(Q633-B633)*24)</f>
        <v/>
      </c>
      <c r="AE633" s="69">
        <f>IF(OR(Q633="",R633=""),"",(R633-Q633)*24)</f>
        <v/>
      </c>
      <c r="AF633" s="77">
        <f>IF(OR($A633="",B633=""),"",YEAR(B633))</f>
        <v/>
      </c>
      <c r="AG633" s="77">
        <f>IF(OR($A633="",B633=""),"",MONTH(B633))</f>
        <v/>
      </c>
    </row>
    <row r="634">
      <c r="A634" s="7" t="inlineStr">
        <is>
          <t>OT-2025-0630</t>
        </is>
      </c>
      <c r="B634" s="75" t="n">
        <v>45936.46875</v>
      </c>
      <c r="C634" s="7" t="inlineStr">
        <is>
          <t>Plan préventif</t>
        </is>
      </c>
      <c r="D634" s="7" t="inlineStr">
        <is>
          <t>EQ-LOG-008</t>
        </is>
      </c>
      <c r="E634" s="9">
        <f>IF(D634="","",IFERROR(INDEX('Équipements'!$B$5:$B$304,MATCH(D634,'Équipements'!$A$5:$A$304,0)),"Code inconnu"))</f>
        <v/>
      </c>
      <c r="F634" s="9">
        <f>IF(D634="","",IFERROR(INDEX('Équipements'!$D$5:$D$304,MATCH(D634,'Équipements'!$A$5:$A$304,0)),""))</f>
        <v/>
      </c>
      <c r="G634" s="9">
        <f>IF(D634="","",IFERROR(INDEX('Équipements'!$K$5:$K$304,MATCH(D634,'Équipements'!$A$5:$A$304,0)),""))</f>
        <v/>
      </c>
      <c r="H634" s="7" t="inlineStr">
        <is>
          <t>Préventif systématique</t>
        </is>
      </c>
      <c r="I634" s="7" t="inlineStr">
        <is>
          <t>GP-119</t>
        </is>
      </c>
      <c r="J634" s="7" t="inlineStr">
        <is>
          <t>Mécanique</t>
        </is>
      </c>
      <c r="K634" s="7" t="inlineStr">
        <is>
          <t>P3 - Normale</t>
        </is>
      </c>
      <c r="L634" s="7" t="inlineStr">
        <is>
          <t>Contrôle câbles, crochets, freins et fins de course</t>
        </is>
      </c>
      <c r="M634" s="7" t="n"/>
      <c r="N634" s="7" t="inlineStr">
        <is>
          <t>Gamme réalisée - RAS</t>
        </is>
      </c>
      <c r="O634" s="7" t="inlineStr">
        <is>
          <t>Karim Benali</t>
        </is>
      </c>
      <c r="P634" s="65" t="n">
        <v>45943.57638888889</v>
      </c>
      <c r="Q634" s="75" t="n">
        <v>45943.34027777778</v>
      </c>
      <c r="R634" s="75" t="n">
        <v>45943.46527777778</v>
      </c>
      <c r="S634" s="76" t="n">
        <v>0</v>
      </c>
      <c r="T634" s="76" t="n">
        <v>3</v>
      </c>
      <c r="U634" s="70">
        <f>IF($A634="","",IFERROR(INDEX('Techniciens'!$F$5:$F$44,MATCH(O634,'Techniciens'!$B$5:$B$44,0)),'Paramètres'!$AA$10))</f>
        <v/>
      </c>
      <c r="V634" s="70">
        <f>IF($A634="","",IF(OR(AC634="Demandé",AC634="Planifié",AC634="Annulé"),0,N(T634)*N(U634)))</f>
        <v/>
      </c>
      <c r="W634" s="70">
        <f>IF($A634="","",SUMIFS('Mouvements stock'!$H$5:$H$3004,'Mouvements stock'!$I$5:$I$3004,$A634,'Mouvements stock'!$C$5:$C$3004,"Sortie")-SUMIFS('Mouvements stock'!$H$5:$H$3004,'Mouvements stock'!$I$5:$I$3004,$A634,'Mouvements stock'!$C$5:$C$3004,"Retour"))</f>
        <v/>
      </c>
      <c r="X634" s="66" t="n">
        <v>0</v>
      </c>
      <c r="Y634" s="66" t="n">
        <v>0</v>
      </c>
      <c r="Z634" s="7" t="n"/>
      <c r="AA634" s="70">
        <f>IF($A634="","",N(V634)+N(W634)+N(X634)+N(Y634))</f>
        <v/>
      </c>
      <c r="AB634" s="70">
        <f>IF($A634="","",N(S634)*'Paramètres'!$AA$9*IFERROR(INDEX('Paramètres'!$O$5:$O$7,MATCH(G634,'Paramètres'!$N$5:$N$7,0)),0))</f>
        <v/>
      </c>
      <c r="AC634" s="7" t="inlineStr">
        <is>
          <t>Clôturé</t>
        </is>
      </c>
      <c r="AD634" s="69">
        <f>IF(OR($A634="",Q634=""),"",(Q634-B634)*24)</f>
        <v/>
      </c>
      <c r="AE634" s="69">
        <f>IF(OR(Q634="",R634=""),"",(R634-Q634)*24)</f>
        <v/>
      </c>
      <c r="AF634" s="77">
        <f>IF(OR($A634="",B634=""),"",YEAR(B634))</f>
        <v/>
      </c>
      <c r="AG634" s="77">
        <f>IF(OR($A634="",B634=""),"",MONTH(B634))</f>
        <v/>
      </c>
    </row>
    <row r="635">
      <c r="A635" s="7" t="inlineStr">
        <is>
          <t>OT-2025-0631</t>
        </is>
      </c>
      <c r="B635" s="75" t="n">
        <v>45936.47222222222</v>
      </c>
      <c r="C635" s="7" t="inlineStr">
        <is>
          <t>Plan préventif</t>
        </is>
      </c>
      <c r="D635" s="7" t="inlineStr">
        <is>
          <t>EQ-ASS-005</t>
        </is>
      </c>
      <c r="E635" s="9">
        <f>IF(D635="","",IFERROR(INDEX('Équipements'!$B$5:$B$304,MATCH(D635,'Équipements'!$A$5:$A$304,0)),"Code inconnu"))</f>
        <v/>
      </c>
      <c r="F635" s="9">
        <f>IF(D635="","",IFERROR(INDEX('Équipements'!$D$5:$D$304,MATCH(D635,'Équipements'!$A$5:$A$304,0)),""))</f>
        <v/>
      </c>
      <c r="G635" s="9">
        <f>IF(D635="","",IFERROR(INDEX('Équipements'!$K$5:$K$304,MATCH(D635,'Équipements'!$A$5:$A$304,0)),""))</f>
        <v/>
      </c>
      <c r="H635" s="7" t="inlineStr">
        <is>
          <t>Préventif systématique</t>
        </is>
      </c>
      <c r="I635" s="7" t="inlineStr">
        <is>
          <t>GP-084</t>
        </is>
      </c>
      <c r="J635" s="7" t="inlineStr">
        <is>
          <t>Automatisme</t>
        </is>
      </c>
      <c r="K635" s="7" t="inlineStr">
        <is>
          <t>P3 - Normale</t>
        </is>
      </c>
      <c r="L635" s="7" t="inlineStr">
        <is>
          <t>Contrôle, nettoyage et sauvegarde programmes</t>
        </is>
      </c>
      <c r="M635" s="7" t="n"/>
      <c r="N635" s="7" t="inlineStr">
        <is>
          <t>Gamme réalisée - RAS</t>
        </is>
      </c>
      <c r="O635" s="7" t="inlineStr">
        <is>
          <t>Sophie Garnier</t>
        </is>
      </c>
      <c r="P635" s="65" t="n">
        <v>45943.33333333334</v>
      </c>
      <c r="Q635" s="75" t="n">
        <v>45943.38888888889</v>
      </c>
      <c r="R635" s="75" t="n">
        <v>45943.46180555555</v>
      </c>
      <c r="S635" s="76" t="n">
        <v>1.8</v>
      </c>
      <c r="T635" s="76" t="n">
        <v>1.75</v>
      </c>
      <c r="U635" s="70">
        <f>IF($A635="","",IFERROR(INDEX('Techniciens'!$F$5:$F$44,MATCH(O635,'Techniciens'!$B$5:$B$44,0)),'Paramètres'!$AA$10))</f>
        <v/>
      </c>
      <c r="V635" s="70">
        <f>IF($A635="","",IF(OR(AC635="Demandé",AC635="Planifié",AC635="Annulé"),0,N(T635)*N(U635)))</f>
        <v/>
      </c>
      <c r="W635" s="70">
        <f>IF($A635="","",SUMIFS('Mouvements stock'!$H$5:$H$3004,'Mouvements stock'!$I$5:$I$3004,$A635,'Mouvements stock'!$C$5:$C$3004,"Sortie")-SUMIFS('Mouvements stock'!$H$5:$H$3004,'Mouvements stock'!$I$5:$I$3004,$A635,'Mouvements stock'!$C$5:$C$3004,"Retour"))</f>
        <v/>
      </c>
      <c r="X635" s="66" t="n">
        <v>0</v>
      </c>
      <c r="Y635" s="66" t="n">
        <v>0</v>
      </c>
      <c r="Z635" s="7" t="n"/>
      <c r="AA635" s="70">
        <f>IF($A635="","",N(V635)+N(W635)+N(X635)+N(Y635))</f>
        <v/>
      </c>
      <c r="AB635" s="70">
        <f>IF($A635="","",N(S635)*'Paramètres'!$AA$9*IFERROR(INDEX('Paramètres'!$O$5:$O$7,MATCH(G635,'Paramètres'!$N$5:$N$7,0)),0))</f>
        <v/>
      </c>
      <c r="AC635" s="7" t="inlineStr">
        <is>
          <t>Clôturé</t>
        </is>
      </c>
      <c r="AD635" s="69">
        <f>IF(OR($A635="",Q635=""),"",(Q635-B635)*24)</f>
        <v/>
      </c>
      <c r="AE635" s="69">
        <f>IF(OR(Q635="",R635=""),"",(R635-Q635)*24)</f>
        <v/>
      </c>
      <c r="AF635" s="77">
        <f>IF(OR($A635="",B635=""),"",YEAR(B635))</f>
        <v/>
      </c>
      <c r="AG635" s="77">
        <f>IF(OR($A635="",B635=""),"",MONTH(B635))</f>
        <v/>
      </c>
    </row>
    <row r="636">
      <c r="A636" s="7" t="inlineStr">
        <is>
          <t>OT-2025-0632</t>
        </is>
      </c>
      <c r="B636" s="75" t="n">
        <v>45937.36458333334</v>
      </c>
      <c r="C636" s="7" t="inlineStr">
        <is>
          <t>Plan préventif</t>
        </is>
      </c>
      <c r="D636" s="7" t="inlineStr">
        <is>
          <t>EQ-USI-001</t>
        </is>
      </c>
      <c r="E636" s="9">
        <f>IF(D636="","",IFERROR(INDEX('Équipements'!$B$5:$B$304,MATCH(D636,'Équipements'!$A$5:$A$304,0)),"Code inconnu"))</f>
        <v/>
      </c>
      <c r="F636" s="9">
        <f>IF(D636="","",IFERROR(INDEX('Équipements'!$D$5:$D$304,MATCH(D636,'Équipements'!$A$5:$A$304,0)),""))</f>
        <v/>
      </c>
      <c r="G636" s="9">
        <f>IF(D636="","",IFERROR(INDEX('Équipements'!$K$5:$K$304,MATCH(D636,'Équipements'!$A$5:$A$304,0)),""))</f>
        <v/>
      </c>
      <c r="H636" s="7" t="inlineStr">
        <is>
          <t>Préventif systématique</t>
        </is>
      </c>
      <c r="I636" s="7" t="inlineStr">
        <is>
          <t>GP-001</t>
        </is>
      </c>
      <c r="J636" s="7" t="inlineStr">
        <is>
          <t>Mécanique</t>
        </is>
      </c>
      <c r="K636" s="7" t="inlineStr">
        <is>
          <t>P3 - Normale</t>
        </is>
      </c>
      <c r="L636" s="7" t="inlineStr">
        <is>
          <t>Contrôle niveaux, nettoyage filtres et bac à copeaux</t>
        </is>
      </c>
      <c r="M636" s="7" t="n"/>
      <c r="N636" s="7" t="inlineStr">
        <is>
          <t>Gamme réalisée - RAS</t>
        </is>
      </c>
      <c r="O636" s="7" t="inlineStr">
        <is>
          <t>Antoine Mercier</t>
        </is>
      </c>
      <c r="P636" s="65" t="n">
        <v>45944.49305555555</v>
      </c>
      <c r="Q636" s="75" t="n">
        <v>45944.45138888889</v>
      </c>
      <c r="R636" s="75" t="n">
        <v>45944.50347222222</v>
      </c>
      <c r="S636" s="76" t="n">
        <v>1.2</v>
      </c>
      <c r="T636" s="76" t="n">
        <v>1.25</v>
      </c>
      <c r="U636" s="70">
        <f>IF($A636="","",IFERROR(INDEX('Techniciens'!$F$5:$F$44,MATCH(O636,'Techniciens'!$B$5:$B$44,0)),'Paramètres'!$AA$10))</f>
        <v/>
      </c>
      <c r="V636" s="70">
        <f>IF($A636="","",IF(OR(AC636="Demandé",AC636="Planifié",AC636="Annulé"),0,N(T636)*N(U636)))</f>
        <v/>
      </c>
      <c r="W636" s="70">
        <f>IF($A636="","",SUMIFS('Mouvements stock'!$H$5:$H$3004,'Mouvements stock'!$I$5:$I$3004,$A636,'Mouvements stock'!$C$5:$C$3004,"Sortie")-SUMIFS('Mouvements stock'!$H$5:$H$3004,'Mouvements stock'!$I$5:$I$3004,$A636,'Mouvements stock'!$C$5:$C$3004,"Retour"))</f>
        <v/>
      </c>
      <c r="X636" s="66" t="n">
        <v>0</v>
      </c>
      <c r="Y636" s="66" t="n">
        <v>0</v>
      </c>
      <c r="Z636" s="7" t="n"/>
      <c r="AA636" s="70">
        <f>IF($A636="","",N(V636)+N(W636)+N(X636)+N(Y636))</f>
        <v/>
      </c>
      <c r="AB636" s="70">
        <f>IF($A636="","",N(S636)*'Paramètres'!$AA$9*IFERROR(INDEX('Paramètres'!$O$5:$O$7,MATCH(G636,'Paramètres'!$N$5:$N$7,0)),0))</f>
        <v/>
      </c>
      <c r="AC636" s="7" t="inlineStr">
        <is>
          <t>Clôturé</t>
        </is>
      </c>
      <c r="AD636" s="69">
        <f>IF(OR($A636="",Q636=""),"",(Q636-B636)*24)</f>
        <v/>
      </c>
      <c r="AE636" s="69">
        <f>IF(OR(Q636="",R636=""),"",(R636-Q636)*24)</f>
        <v/>
      </c>
      <c r="AF636" s="77">
        <f>IF(OR($A636="",B636=""),"",YEAR(B636))</f>
        <v/>
      </c>
      <c r="AG636" s="77">
        <f>IF(OR($A636="",B636=""),"",MONTH(B636))</f>
        <v/>
      </c>
    </row>
    <row r="637">
      <c r="A637" s="7" t="inlineStr">
        <is>
          <t>OT-2025-0633</t>
        </is>
      </c>
      <c r="B637" s="75" t="n">
        <v>45937.38194444445</v>
      </c>
      <c r="C637" s="7" t="inlineStr">
        <is>
          <t>Plan préventif</t>
        </is>
      </c>
      <c r="D637" s="7" t="inlineStr">
        <is>
          <t>EQ-PEI-002</t>
        </is>
      </c>
      <c r="E637" s="9">
        <f>IF(D637="","",IFERROR(INDEX('Équipements'!$B$5:$B$304,MATCH(D637,'Équipements'!$A$5:$A$304,0)),"Code inconnu"))</f>
        <v/>
      </c>
      <c r="F637" s="9">
        <f>IF(D637="","",IFERROR(INDEX('Équipements'!$D$5:$D$304,MATCH(D637,'Équipements'!$A$5:$A$304,0)),""))</f>
        <v/>
      </c>
      <c r="G637" s="9">
        <f>IF(D637="","",IFERROR(INDEX('Équipements'!$K$5:$K$304,MATCH(D637,'Équipements'!$A$5:$A$304,0)),""))</f>
        <v/>
      </c>
      <c r="H637" s="7" t="inlineStr">
        <is>
          <t>Préventif systématique</t>
        </is>
      </c>
      <c r="I637" s="7" t="inlineStr">
        <is>
          <t>GP-068</t>
        </is>
      </c>
      <c r="J637" s="7" t="inlineStr">
        <is>
          <t>Mécanique</t>
        </is>
      </c>
      <c r="K637" s="7" t="inlineStr">
        <is>
          <t>P3 - Normale</t>
        </is>
      </c>
      <c r="L637" s="7" t="inlineStr">
        <is>
          <t>Nettoyage et remplacement des filtres</t>
        </is>
      </c>
      <c r="M637" s="7" t="n"/>
      <c r="N637" s="7" t="inlineStr">
        <is>
          <t>Gamme réalisée - RAS</t>
        </is>
      </c>
      <c r="O637" s="7" t="inlineStr">
        <is>
          <t>Karim Benali</t>
        </is>
      </c>
      <c r="P637" s="65" t="n">
        <v>45944.39930555555</v>
      </c>
      <c r="Q637" s="75" t="n">
        <v>45944.48611111111</v>
      </c>
      <c r="R637" s="75" t="n">
        <v>45944.64236111111</v>
      </c>
      <c r="S637" s="76" t="n">
        <v>3.8</v>
      </c>
      <c r="T637" s="76" t="n">
        <v>3.75</v>
      </c>
      <c r="U637" s="70">
        <f>IF($A637="","",IFERROR(INDEX('Techniciens'!$F$5:$F$44,MATCH(O637,'Techniciens'!$B$5:$B$44,0)),'Paramètres'!$AA$10))</f>
        <v/>
      </c>
      <c r="V637" s="70">
        <f>IF($A637="","",IF(OR(AC637="Demandé",AC637="Planifié",AC637="Annulé"),0,N(T637)*N(U637)))</f>
        <v/>
      </c>
      <c r="W637" s="70">
        <f>IF($A637="","",SUMIFS('Mouvements stock'!$H$5:$H$3004,'Mouvements stock'!$I$5:$I$3004,$A637,'Mouvements stock'!$C$5:$C$3004,"Sortie")-SUMIFS('Mouvements stock'!$H$5:$H$3004,'Mouvements stock'!$I$5:$I$3004,$A637,'Mouvements stock'!$C$5:$C$3004,"Retour"))</f>
        <v/>
      </c>
      <c r="X637" s="66" t="n">
        <v>0</v>
      </c>
      <c r="Y637" s="66" t="n">
        <v>0</v>
      </c>
      <c r="Z637" s="7" t="n"/>
      <c r="AA637" s="70">
        <f>IF($A637="","",N(V637)+N(W637)+N(X637)+N(Y637))</f>
        <v/>
      </c>
      <c r="AB637" s="70">
        <f>IF($A637="","",N(S637)*'Paramètres'!$AA$9*IFERROR(INDEX('Paramètres'!$O$5:$O$7,MATCH(G637,'Paramètres'!$N$5:$N$7,0)),0))</f>
        <v/>
      </c>
      <c r="AC637" s="7" t="inlineStr">
        <is>
          <t>Clôturé</t>
        </is>
      </c>
      <c r="AD637" s="69">
        <f>IF(OR($A637="",Q637=""),"",(Q637-B637)*24)</f>
        <v/>
      </c>
      <c r="AE637" s="69">
        <f>IF(OR(Q637="",R637=""),"",(R637-Q637)*24)</f>
        <v/>
      </c>
      <c r="AF637" s="77">
        <f>IF(OR($A637="",B637=""),"",YEAR(B637))</f>
        <v/>
      </c>
      <c r="AG637" s="77">
        <f>IF(OR($A637="",B637=""),"",MONTH(B637))</f>
        <v/>
      </c>
    </row>
    <row r="638">
      <c r="A638" s="7" t="inlineStr">
        <is>
          <t>OT-2025-0634</t>
        </is>
      </c>
      <c r="B638" s="75" t="n">
        <v>45937.47708333333</v>
      </c>
      <c r="C638" s="7" t="inlineStr">
        <is>
          <t>Marc Lefèvre</t>
        </is>
      </c>
      <c r="D638" s="7" t="inlineStr">
        <is>
          <t>EQ-UTI-001</t>
        </is>
      </c>
      <c r="E638" s="9">
        <f>IF(D638="","",IFERROR(INDEX('Équipements'!$B$5:$B$304,MATCH(D638,'Équipements'!$A$5:$A$304,0)),"Code inconnu"))</f>
        <v/>
      </c>
      <c r="F638" s="9">
        <f>IF(D638="","",IFERROR(INDEX('Équipements'!$D$5:$D$304,MATCH(D638,'Équipements'!$A$5:$A$304,0)),""))</f>
        <v/>
      </c>
      <c r="G638" s="9">
        <f>IF(D638="","",IFERROR(INDEX('Équipements'!$K$5:$K$304,MATCH(D638,'Équipements'!$A$5:$A$304,0)),""))</f>
        <v/>
      </c>
      <c r="H638" s="7" t="inlineStr">
        <is>
          <t>Correctif</t>
        </is>
      </c>
      <c r="I638" s="7" t="n"/>
      <c r="J638" s="7" t="inlineStr">
        <is>
          <t>Électrique</t>
        </is>
      </c>
      <c r="K638" s="7" t="inlineStr">
        <is>
          <t>P2 - Haute</t>
        </is>
      </c>
      <c r="L638" s="7" t="inlineStr">
        <is>
          <t>Défaut capteur de pression</t>
        </is>
      </c>
      <c r="M638" s="7" t="inlineStr">
        <is>
          <t>Défaut capteur</t>
        </is>
      </c>
      <c r="N638" s="7" t="inlineStr">
        <is>
          <t>Remplacement capteur</t>
        </is>
      </c>
      <c r="O638" s="7" t="inlineStr">
        <is>
          <t>Thomas Petit</t>
        </is>
      </c>
      <c r="P638" s="65" t="n"/>
      <c r="Q638" s="75" t="n">
        <v>45937.55833333333</v>
      </c>
      <c r="R638" s="75" t="n">
        <v>45937.725</v>
      </c>
      <c r="S638" s="76" t="n">
        <v>6</v>
      </c>
      <c r="T638" s="76" t="n">
        <v>4</v>
      </c>
      <c r="U638" s="70">
        <f>IF($A638="","",IFERROR(INDEX('Techniciens'!$F$5:$F$44,MATCH(O638,'Techniciens'!$B$5:$B$44,0)),'Paramètres'!$AA$10))</f>
        <v/>
      </c>
      <c r="V638" s="70">
        <f>IF($A638="","",IF(OR(AC638="Demandé",AC638="Planifié",AC638="Annulé"),0,N(T638)*N(U638)))</f>
        <v/>
      </c>
      <c r="W638" s="70">
        <f>IF($A638="","",SUMIFS('Mouvements stock'!$H$5:$H$3004,'Mouvements stock'!$I$5:$I$3004,$A638,'Mouvements stock'!$C$5:$C$3004,"Sortie")-SUMIFS('Mouvements stock'!$H$5:$H$3004,'Mouvements stock'!$I$5:$I$3004,$A638,'Mouvements stock'!$C$5:$C$3004,"Retour"))</f>
        <v/>
      </c>
      <c r="X638" s="66" t="n">
        <v>0</v>
      </c>
      <c r="Y638" s="66" t="n">
        <v>0</v>
      </c>
      <c r="Z638" s="7" t="n"/>
      <c r="AA638" s="70">
        <f>IF($A638="","",N(V638)+N(W638)+N(X638)+N(Y638))</f>
        <v/>
      </c>
      <c r="AB638" s="70">
        <f>IF($A638="","",N(S638)*'Paramètres'!$AA$9*IFERROR(INDEX('Paramètres'!$O$5:$O$7,MATCH(G638,'Paramètres'!$N$5:$N$7,0)),0))</f>
        <v/>
      </c>
      <c r="AC638" s="7" t="inlineStr">
        <is>
          <t>Clôturé</t>
        </is>
      </c>
      <c r="AD638" s="69">
        <f>IF(OR($A638="",Q638=""),"",(Q638-B638)*24)</f>
        <v/>
      </c>
      <c r="AE638" s="69">
        <f>IF(OR(Q638="",R638=""),"",(R638-Q638)*24)</f>
        <v/>
      </c>
      <c r="AF638" s="77">
        <f>IF(OR($A638="",B638=""),"",YEAR(B638))</f>
        <v/>
      </c>
      <c r="AG638" s="77">
        <f>IF(OR($A638="",B638=""),"",MONTH(B638))</f>
        <v/>
      </c>
    </row>
    <row r="639">
      <c r="A639" s="7" t="inlineStr">
        <is>
          <t>OT-2025-0635</t>
        </is>
      </c>
      <c r="B639" s="75" t="n">
        <v>45938.62916666667</v>
      </c>
      <c r="C639" s="7" t="inlineStr">
        <is>
          <t>Opérateur usinage</t>
        </is>
      </c>
      <c r="D639" s="7" t="inlineStr">
        <is>
          <t>EQ-USI-002</t>
        </is>
      </c>
      <c r="E639" s="9">
        <f>IF(D639="","",IFERROR(INDEX('Équipements'!$B$5:$B$304,MATCH(D639,'Équipements'!$A$5:$A$304,0)),"Code inconnu"))</f>
        <v/>
      </c>
      <c r="F639" s="9">
        <f>IF(D639="","",IFERROR(INDEX('Équipements'!$D$5:$D$304,MATCH(D639,'Équipements'!$A$5:$A$304,0)),""))</f>
        <v/>
      </c>
      <c r="G639" s="9">
        <f>IF(D639="","",IFERROR(INDEX('Équipements'!$K$5:$K$304,MATCH(D639,'Équipements'!$A$5:$A$304,0)),""))</f>
        <v/>
      </c>
      <c r="H639" s="7" t="inlineStr">
        <is>
          <t>Correctif</t>
        </is>
      </c>
      <c r="I639" s="7" t="n"/>
      <c r="J639" s="7" t="inlineStr">
        <is>
          <t>Mécanique</t>
        </is>
      </c>
      <c r="K639" s="7" t="inlineStr">
        <is>
          <t>P1 - Urgent</t>
        </is>
      </c>
      <c r="L639" s="7" t="inlineStr">
        <is>
          <t>Défaut pression graissage centralisé</t>
        </is>
      </c>
      <c r="M639" s="7" t="inlineStr">
        <is>
          <t>Défaut lubrification</t>
        </is>
      </c>
      <c r="N639" s="7" t="inlineStr">
        <is>
          <t>Nettoyage pompe de graissage, remplacement doseurs</t>
        </is>
      </c>
      <c r="O639" s="7" t="inlineStr">
        <is>
          <t>Antoine Mercier</t>
        </is>
      </c>
      <c r="P639" s="65" t="n"/>
      <c r="Q639" s="75" t="n">
        <v>45938.63958333333</v>
      </c>
      <c r="R639" s="75" t="n">
        <v>45938.85833333333</v>
      </c>
      <c r="S639" s="76" t="n">
        <v>5.5</v>
      </c>
      <c r="T639" s="76" t="n">
        <v>5.25</v>
      </c>
      <c r="U639" s="70">
        <f>IF($A639="","",IFERROR(INDEX('Techniciens'!$F$5:$F$44,MATCH(O639,'Techniciens'!$B$5:$B$44,0)),'Paramètres'!$AA$10))</f>
        <v/>
      </c>
      <c r="V639" s="70">
        <f>IF($A639="","",IF(OR(AC639="Demandé",AC639="Planifié",AC639="Annulé"),0,N(T639)*N(U639)))</f>
        <v/>
      </c>
      <c r="W639" s="70">
        <f>IF($A639="","",SUMIFS('Mouvements stock'!$H$5:$H$3004,'Mouvements stock'!$I$5:$I$3004,$A639,'Mouvements stock'!$C$5:$C$3004,"Sortie")-SUMIFS('Mouvements stock'!$H$5:$H$3004,'Mouvements stock'!$I$5:$I$3004,$A639,'Mouvements stock'!$C$5:$C$3004,"Retour"))</f>
        <v/>
      </c>
      <c r="X639" s="66" t="n">
        <v>448</v>
      </c>
      <c r="Y639" s="66" t="n">
        <v>0</v>
      </c>
      <c r="Z639" s="7" t="n"/>
      <c r="AA639" s="70">
        <f>IF($A639="","",N(V639)+N(W639)+N(X639)+N(Y639))</f>
        <v/>
      </c>
      <c r="AB639" s="70">
        <f>IF($A639="","",N(S639)*'Paramètres'!$AA$9*IFERROR(INDEX('Paramètres'!$O$5:$O$7,MATCH(G639,'Paramètres'!$N$5:$N$7,0)),0))</f>
        <v/>
      </c>
      <c r="AC639" s="7" t="inlineStr">
        <is>
          <t>Clôturé</t>
        </is>
      </c>
      <c r="AD639" s="69">
        <f>IF(OR($A639="",Q639=""),"",(Q639-B639)*24)</f>
        <v/>
      </c>
      <c r="AE639" s="69">
        <f>IF(OR(Q639="",R639=""),"",(R639-Q639)*24)</f>
        <v/>
      </c>
      <c r="AF639" s="77">
        <f>IF(OR($A639="",B639=""),"",YEAR(B639))</f>
        <v/>
      </c>
      <c r="AG639" s="77">
        <f>IF(OR($A639="",B639=""),"",MONTH(B639))</f>
        <v/>
      </c>
    </row>
    <row r="640">
      <c r="A640" s="7" t="inlineStr">
        <is>
          <t>OT-2025-0636</t>
        </is>
      </c>
      <c r="B640" s="75" t="n">
        <v>45939.36458333334</v>
      </c>
      <c r="C640" s="7" t="inlineStr">
        <is>
          <t>Plan préventif</t>
        </is>
      </c>
      <c r="D640" s="7" t="inlineStr">
        <is>
          <t>EQ-LOG-005</t>
        </is>
      </c>
      <c r="E640" s="9">
        <f>IF(D640="","",IFERROR(INDEX('Équipements'!$B$5:$B$304,MATCH(D640,'Équipements'!$A$5:$A$304,0)),"Code inconnu"))</f>
        <v/>
      </c>
      <c r="F640" s="9">
        <f>IF(D640="","",IFERROR(INDEX('Équipements'!$D$5:$D$304,MATCH(D640,'Équipements'!$A$5:$A$304,0)),""))</f>
        <v/>
      </c>
      <c r="G640" s="9">
        <f>IF(D640="","",IFERROR(INDEX('Équipements'!$K$5:$K$304,MATCH(D640,'Équipements'!$A$5:$A$304,0)),""))</f>
        <v/>
      </c>
      <c r="H640" s="7" t="inlineStr">
        <is>
          <t>Préventif systématique</t>
        </is>
      </c>
      <c r="I640" s="7" t="inlineStr">
        <is>
          <t>GP-113</t>
        </is>
      </c>
      <c r="J640" s="7" t="inlineStr">
        <is>
          <t>Multi-technique</t>
        </is>
      </c>
      <c r="K640" s="7" t="inlineStr">
        <is>
          <t>P3 - Normale</t>
        </is>
      </c>
      <c r="L640" s="7" t="inlineStr">
        <is>
          <t>Entretien périodique constructeur</t>
        </is>
      </c>
      <c r="M640" s="7" t="n"/>
      <c r="N640" s="7" t="inlineStr">
        <is>
          <t>Gamme réalisée - serrages repris</t>
        </is>
      </c>
      <c r="O640" s="7" t="inlineStr">
        <is>
          <t>Antoine Mercier</t>
        </is>
      </c>
      <c r="P640" s="65" t="n">
        <v>45946.60416666666</v>
      </c>
      <c r="Q640" s="75" t="n">
        <v>45946.55555555555</v>
      </c>
      <c r="R640" s="75" t="n">
        <v>45946.70138888889</v>
      </c>
      <c r="S640" s="76" t="n">
        <v>3.5</v>
      </c>
      <c r="T640" s="76" t="n">
        <v>2</v>
      </c>
      <c r="U640" s="70">
        <f>IF($A640="","",IFERROR(INDEX('Techniciens'!$F$5:$F$44,MATCH(O640,'Techniciens'!$B$5:$B$44,0)),'Paramètres'!$AA$10))</f>
        <v/>
      </c>
      <c r="V640" s="70">
        <f>IF($A640="","",IF(OR(AC640="Demandé",AC640="Planifié",AC640="Annulé"),0,N(T640)*N(U640)))</f>
        <v/>
      </c>
      <c r="W640" s="70">
        <f>IF($A640="","",SUMIFS('Mouvements stock'!$H$5:$H$3004,'Mouvements stock'!$I$5:$I$3004,$A640,'Mouvements stock'!$C$5:$C$3004,"Sortie")-SUMIFS('Mouvements stock'!$H$5:$H$3004,'Mouvements stock'!$I$5:$I$3004,$A640,'Mouvements stock'!$C$5:$C$3004,"Retour"))</f>
        <v/>
      </c>
      <c r="X640" s="66" t="n">
        <v>0</v>
      </c>
      <c r="Y640" s="66" t="n">
        <v>410</v>
      </c>
      <c r="Z640" s="7" t="inlineStr">
        <is>
          <t>Manutention Services 44</t>
        </is>
      </c>
      <c r="AA640" s="70">
        <f>IF($A640="","",N(V640)+N(W640)+N(X640)+N(Y640))</f>
        <v/>
      </c>
      <c r="AB640" s="70">
        <f>IF($A640="","",N(S640)*'Paramètres'!$AA$9*IFERROR(INDEX('Paramètres'!$O$5:$O$7,MATCH(G640,'Paramètres'!$N$5:$N$7,0)),0))</f>
        <v/>
      </c>
      <c r="AC640" s="7" t="inlineStr">
        <is>
          <t>Clôturé</t>
        </is>
      </c>
      <c r="AD640" s="69">
        <f>IF(OR($A640="",Q640=""),"",(Q640-B640)*24)</f>
        <v/>
      </c>
      <c r="AE640" s="69">
        <f>IF(OR(Q640="",R640=""),"",(R640-Q640)*24)</f>
        <v/>
      </c>
      <c r="AF640" s="77">
        <f>IF(OR($A640="",B640=""),"",YEAR(B640))</f>
        <v/>
      </c>
      <c r="AG640" s="77">
        <f>IF(OR($A640="",B640=""),"",MONTH(B640))</f>
        <v/>
      </c>
    </row>
    <row r="641">
      <c r="A641" s="7" t="inlineStr">
        <is>
          <t>OT-2025-0637</t>
        </is>
      </c>
      <c r="B641" s="75" t="n">
        <v>45939.59930555556</v>
      </c>
      <c r="C641" s="7" t="inlineStr">
        <is>
          <t>Inès Girard (cheffe d'équipe)</t>
        </is>
      </c>
      <c r="D641" s="7" t="inlineStr">
        <is>
          <t>EQ-PEI-003</t>
        </is>
      </c>
      <c r="E641" s="9">
        <f>IF(D641="","",IFERROR(INDEX('Équipements'!$B$5:$B$304,MATCH(D641,'Équipements'!$A$5:$A$304,0)),"Code inconnu"))</f>
        <v/>
      </c>
      <c r="F641" s="9">
        <f>IF(D641="","",IFERROR(INDEX('Équipements'!$D$5:$D$304,MATCH(D641,'Équipements'!$A$5:$A$304,0)),""))</f>
        <v/>
      </c>
      <c r="G641" s="9">
        <f>IF(D641="","",IFERROR(INDEX('Équipements'!$K$5:$K$304,MATCH(D641,'Équipements'!$A$5:$A$304,0)),""))</f>
        <v/>
      </c>
      <c r="H641" s="7" t="inlineStr">
        <is>
          <t>Correctif</t>
        </is>
      </c>
      <c r="I641" s="7" t="n"/>
      <c r="J641" s="7" t="inlineStr">
        <is>
          <t>Mécanique</t>
        </is>
      </c>
      <c r="K641" s="7" t="inlineStr">
        <is>
          <t>P1 - Urgent</t>
        </is>
      </c>
      <c r="L641" s="7" t="inlineStr">
        <is>
          <t>Pompe de bain en défaut</t>
        </is>
      </c>
      <c r="M641" s="7" t="inlineStr">
        <is>
          <t>Usure</t>
        </is>
      </c>
      <c r="N641" s="7" t="inlineStr">
        <is>
          <t>Remplacement pompe</t>
        </is>
      </c>
      <c r="O641" s="7" t="inlineStr">
        <is>
          <t>Lucas Fontaine</t>
        </is>
      </c>
      <c r="P641" s="65" t="n"/>
      <c r="Q641" s="75" t="n">
        <v>45939.61736111111</v>
      </c>
      <c r="R641" s="75" t="n">
        <v>45940.69766429663</v>
      </c>
      <c r="S641" s="76" t="n">
        <v>14.7</v>
      </c>
      <c r="T641" s="76" t="n">
        <v>2.5</v>
      </c>
      <c r="U641" s="70">
        <f>IF($A641="","",IFERROR(INDEX('Techniciens'!$F$5:$F$44,MATCH(O641,'Techniciens'!$B$5:$B$44,0)),'Paramètres'!$AA$10))</f>
        <v/>
      </c>
      <c r="V641" s="70">
        <f>IF($A641="","",IF(OR(AC641="Demandé",AC641="Planifié",AC641="Annulé"),0,N(T641)*N(U641)))</f>
        <v/>
      </c>
      <c r="W641" s="70">
        <f>IF($A641="","",SUMIFS('Mouvements stock'!$H$5:$H$3004,'Mouvements stock'!$I$5:$I$3004,$A641,'Mouvements stock'!$C$5:$C$3004,"Sortie")-SUMIFS('Mouvements stock'!$H$5:$H$3004,'Mouvements stock'!$I$5:$I$3004,$A641,'Mouvements stock'!$C$5:$C$3004,"Retour"))</f>
        <v/>
      </c>
      <c r="X641" s="66" t="n">
        <v>0</v>
      </c>
      <c r="Y641" s="66" t="n">
        <v>0</v>
      </c>
      <c r="Z641" s="7" t="n"/>
      <c r="AA641" s="70">
        <f>IF($A641="","",N(V641)+N(W641)+N(X641)+N(Y641))</f>
        <v/>
      </c>
      <c r="AB641" s="70">
        <f>IF($A641="","",N(S641)*'Paramètres'!$AA$9*IFERROR(INDEX('Paramètres'!$O$5:$O$7,MATCH(G641,'Paramètres'!$N$5:$N$7,0)),0))</f>
        <v/>
      </c>
      <c r="AC641" s="7" t="inlineStr">
        <is>
          <t>Clôturé</t>
        </is>
      </c>
      <c r="AD641" s="69">
        <f>IF(OR($A641="",Q641=""),"",(Q641-B641)*24)</f>
        <v/>
      </c>
      <c r="AE641" s="69">
        <f>IF(OR(Q641="",R641=""),"",(R641-Q641)*24)</f>
        <v/>
      </c>
      <c r="AF641" s="77">
        <f>IF(OR($A641="",B641=""),"",YEAR(B641))</f>
        <v/>
      </c>
      <c r="AG641" s="77">
        <f>IF(OR($A641="",B641=""),"",MONTH(B641))</f>
        <v/>
      </c>
    </row>
    <row r="642">
      <c r="A642" s="7" t="inlineStr">
        <is>
          <t>OT-2025-0638</t>
        </is>
      </c>
      <c r="B642" s="75" t="n">
        <v>45940.48611111111</v>
      </c>
      <c r="C642" s="7" t="inlineStr">
        <is>
          <t>Opérateur soudure</t>
        </is>
      </c>
      <c r="D642" s="7" t="inlineStr">
        <is>
          <t>EQ-SOU-001</t>
        </is>
      </c>
      <c r="E642" s="9">
        <f>IF(D642="","",IFERROR(INDEX('Équipements'!$B$5:$B$304,MATCH(D642,'Équipements'!$A$5:$A$304,0)),"Code inconnu"))</f>
        <v/>
      </c>
      <c r="F642" s="9">
        <f>IF(D642="","",IFERROR(INDEX('Équipements'!$D$5:$D$304,MATCH(D642,'Équipements'!$A$5:$A$304,0)),""))</f>
        <v/>
      </c>
      <c r="G642" s="9">
        <f>IF(D642="","",IFERROR(INDEX('Équipements'!$K$5:$K$304,MATCH(D642,'Équipements'!$A$5:$A$304,0)),""))</f>
        <v/>
      </c>
      <c r="H642" s="7" t="inlineStr">
        <is>
          <t>Correctif</t>
        </is>
      </c>
      <c r="I642" s="7" t="n"/>
      <c r="J642" s="7" t="inlineStr">
        <is>
          <t>Automatisme</t>
        </is>
      </c>
      <c r="K642" s="7" t="inlineStr">
        <is>
          <t>P3 - Normale</t>
        </is>
      </c>
      <c r="L642" s="7" t="inlineStr">
        <is>
          <t>Perte de communication automate / robot</t>
        </is>
      </c>
      <c r="M642" s="7" t="inlineStr">
        <is>
          <t>Défaut logiciel/automate</t>
        </is>
      </c>
      <c r="N642" s="7" t="inlineStr">
        <is>
          <t>Remplacement câble réseau, redémarrage, sauvegarde</t>
        </is>
      </c>
      <c r="O642" s="7" t="inlineStr">
        <is>
          <t>Sophie Garnier</t>
        </is>
      </c>
      <c r="P642" s="65" t="n"/>
      <c r="Q642" s="75" t="n">
        <v>45940.66527777778</v>
      </c>
      <c r="R642" s="75" t="n">
        <v>45941.23819444444</v>
      </c>
      <c r="S642" s="76" t="n">
        <v>13.8</v>
      </c>
      <c r="T642" s="76" t="n">
        <v>13.75</v>
      </c>
      <c r="U642" s="70">
        <f>IF($A642="","",IFERROR(INDEX('Techniciens'!$F$5:$F$44,MATCH(O642,'Techniciens'!$B$5:$B$44,0)),'Paramètres'!$AA$10))</f>
        <v/>
      </c>
      <c r="V642" s="70">
        <f>IF($A642="","",IF(OR(AC642="Demandé",AC642="Planifié",AC642="Annulé"),0,N(T642)*N(U642)))</f>
        <v/>
      </c>
      <c r="W642" s="70">
        <f>IF($A642="","",SUMIFS('Mouvements stock'!$H$5:$H$3004,'Mouvements stock'!$I$5:$I$3004,$A642,'Mouvements stock'!$C$5:$C$3004,"Sortie")-SUMIFS('Mouvements stock'!$H$5:$H$3004,'Mouvements stock'!$I$5:$I$3004,$A642,'Mouvements stock'!$C$5:$C$3004,"Retour"))</f>
        <v/>
      </c>
      <c r="X642" s="66" t="n">
        <v>0</v>
      </c>
      <c r="Y642" s="66" t="n">
        <v>0</v>
      </c>
      <c r="Z642" s="7" t="n"/>
      <c r="AA642" s="70">
        <f>IF($A642="","",N(V642)+N(W642)+N(X642)+N(Y642))</f>
        <v/>
      </c>
      <c r="AB642" s="70">
        <f>IF($A642="","",N(S642)*'Paramètres'!$AA$9*IFERROR(INDEX('Paramètres'!$O$5:$O$7,MATCH(G642,'Paramètres'!$N$5:$N$7,0)),0))</f>
        <v/>
      </c>
      <c r="AC642" s="7" t="inlineStr">
        <is>
          <t>Clôturé</t>
        </is>
      </c>
      <c r="AD642" s="69">
        <f>IF(OR($A642="",Q642=""),"",(Q642-B642)*24)</f>
        <v/>
      </c>
      <c r="AE642" s="69">
        <f>IF(OR(Q642="",R642=""),"",(R642-Q642)*24)</f>
        <v/>
      </c>
      <c r="AF642" s="77">
        <f>IF(OR($A642="",B642=""),"",YEAR(B642))</f>
        <v/>
      </c>
      <c r="AG642" s="77">
        <f>IF(OR($A642="",B642=""),"",MONTH(B642))</f>
        <v/>
      </c>
    </row>
    <row r="643">
      <c r="A643" s="7" t="inlineStr">
        <is>
          <t>OT-2025-0639</t>
        </is>
      </c>
      <c r="B643" s="75" t="n">
        <v>45940.57222222222</v>
      </c>
      <c r="C643" s="7" t="inlineStr">
        <is>
          <t>Hugo Blanc (chef d'équipe)</t>
        </is>
      </c>
      <c r="D643" s="7" t="inlineStr">
        <is>
          <t>EQ-SOU-005</t>
        </is>
      </c>
      <c r="E643" s="9">
        <f>IF(D643="","",IFERROR(INDEX('Équipements'!$B$5:$B$304,MATCH(D643,'Équipements'!$A$5:$A$304,0)),"Code inconnu"))</f>
        <v/>
      </c>
      <c r="F643" s="9">
        <f>IF(D643="","",IFERROR(INDEX('Équipements'!$D$5:$D$304,MATCH(D643,'Équipements'!$A$5:$A$304,0)),""))</f>
        <v/>
      </c>
      <c r="G643" s="9">
        <f>IF(D643="","",IFERROR(INDEX('Équipements'!$K$5:$K$304,MATCH(D643,'Équipements'!$A$5:$A$304,0)),""))</f>
        <v/>
      </c>
      <c r="H643" s="7" t="inlineStr">
        <is>
          <t>Correctif</t>
        </is>
      </c>
      <c r="I643" s="7" t="n"/>
      <c r="J643" s="7" t="inlineStr">
        <is>
          <t>Mécanique</t>
        </is>
      </c>
      <c r="K643" s="7" t="inlineStr">
        <is>
          <t>P3 - Normale</t>
        </is>
      </c>
      <c r="L643" s="7" t="inlineStr">
        <is>
          <t>Ventilateur bruyant</t>
        </is>
      </c>
      <c r="M643" s="7" t="inlineStr">
        <is>
          <t>Usure</t>
        </is>
      </c>
      <c r="N643" s="7" t="inlineStr">
        <is>
          <t>Remplacement roulements et courroie</t>
        </is>
      </c>
      <c r="O643" s="7" t="inlineStr">
        <is>
          <t>Antoine Mercier</t>
        </is>
      </c>
      <c r="P643" s="65" t="n"/>
      <c r="Q643" s="75" t="n">
        <v>45941.81319444445</v>
      </c>
      <c r="R643" s="75" t="n">
        <v>45941.85486111111</v>
      </c>
      <c r="S643" s="76" t="n">
        <v>0</v>
      </c>
      <c r="T643" s="76" t="n">
        <v>1</v>
      </c>
      <c r="U643" s="70">
        <f>IF($A643="","",IFERROR(INDEX('Techniciens'!$F$5:$F$44,MATCH(O643,'Techniciens'!$B$5:$B$44,0)),'Paramètres'!$AA$10))</f>
        <v/>
      </c>
      <c r="V643" s="70">
        <f>IF($A643="","",IF(OR(AC643="Demandé",AC643="Planifié",AC643="Annulé"),0,N(T643)*N(U643)))</f>
        <v/>
      </c>
      <c r="W643" s="70">
        <f>IF($A643="","",SUMIFS('Mouvements stock'!$H$5:$H$3004,'Mouvements stock'!$I$5:$I$3004,$A643,'Mouvements stock'!$C$5:$C$3004,"Sortie")-SUMIFS('Mouvements stock'!$H$5:$H$3004,'Mouvements stock'!$I$5:$I$3004,$A643,'Mouvements stock'!$C$5:$C$3004,"Retour"))</f>
        <v/>
      </c>
      <c r="X643" s="66" t="n">
        <v>0</v>
      </c>
      <c r="Y643" s="66" t="n">
        <v>0</v>
      </c>
      <c r="Z643" s="7" t="n"/>
      <c r="AA643" s="70">
        <f>IF($A643="","",N(V643)+N(W643)+N(X643)+N(Y643))</f>
        <v/>
      </c>
      <c r="AB643" s="70">
        <f>IF($A643="","",N(S643)*'Paramètres'!$AA$9*IFERROR(INDEX('Paramètres'!$O$5:$O$7,MATCH(G643,'Paramètres'!$N$5:$N$7,0)),0))</f>
        <v/>
      </c>
      <c r="AC643" s="7" t="inlineStr">
        <is>
          <t>Clôturé</t>
        </is>
      </c>
      <c r="AD643" s="69">
        <f>IF(OR($A643="",Q643=""),"",(Q643-B643)*24)</f>
        <v/>
      </c>
      <c r="AE643" s="69">
        <f>IF(OR(Q643="",R643=""),"",(R643-Q643)*24)</f>
        <v/>
      </c>
      <c r="AF643" s="77">
        <f>IF(OR($A643="",B643=""),"",YEAR(B643))</f>
        <v/>
      </c>
      <c r="AG643" s="77">
        <f>IF(OR($A643="",B643=""),"",MONTH(B643))</f>
        <v/>
      </c>
    </row>
    <row r="644">
      <c r="A644" s="7" t="inlineStr">
        <is>
          <t>OT-2025-0640</t>
        </is>
      </c>
      <c r="B644" s="75" t="n">
        <v>45944.34722222222</v>
      </c>
      <c r="C644" s="7" t="inlineStr">
        <is>
          <t>Plan préventif</t>
        </is>
      </c>
      <c r="D644" s="7" t="inlineStr">
        <is>
          <t>EQ-TOL-006</t>
        </is>
      </c>
      <c r="E644" s="9">
        <f>IF(D644="","",IFERROR(INDEX('Équipements'!$B$5:$B$304,MATCH(D644,'Équipements'!$A$5:$A$304,0)),"Code inconnu"))</f>
        <v/>
      </c>
      <c r="F644" s="9">
        <f>IF(D644="","",IFERROR(INDEX('Équipements'!$D$5:$D$304,MATCH(D644,'Équipements'!$A$5:$A$304,0)),""))</f>
        <v/>
      </c>
      <c r="G644" s="9">
        <f>IF(D644="","",IFERROR(INDEX('Équipements'!$K$5:$K$304,MATCH(D644,'Équipements'!$A$5:$A$304,0)),""))</f>
        <v/>
      </c>
      <c r="H644" s="7" t="inlineStr">
        <is>
          <t>Préventif systématique</t>
        </is>
      </c>
      <c r="I644" s="7" t="inlineStr">
        <is>
          <t>GP-055</t>
        </is>
      </c>
      <c r="J644" s="7" t="inlineStr">
        <is>
          <t>Électrique</t>
        </is>
      </c>
      <c r="K644" s="7" t="inlineStr">
        <is>
          <t>P3 - Normale</t>
        </is>
      </c>
      <c r="L644" s="7" t="inlineStr">
        <is>
          <t>Contrôle des sécurités (barrages, AU, pédale)</t>
        </is>
      </c>
      <c r="M644" s="7" t="n"/>
      <c r="N644" s="7" t="inlineStr">
        <is>
          <t>Gamme réalisée - serrages repris</t>
        </is>
      </c>
      <c r="O644" s="7" t="inlineStr">
        <is>
          <t>Thomas Petit</t>
        </is>
      </c>
      <c r="P644" s="65" t="n">
        <v>45951.375</v>
      </c>
      <c r="Q644" s="75" t="n">
        <v>45951.46527777778</v>
      </c>
      <c r="R644" s="75" t="n">
        <v>45951.53819444445</v>
      </c>
      <c r="S644" s="76" t="n">
        <v>1.8</v>
      </c>
      <c r="T644" s="76" t="n">
        <v>1.75</v>
      </c>
      <c r="U644" s="70">
        <f>IF($A644="","",IFERROR(INDEX('Techniciens'!$F$5:$F$44,MATCH(O644,'Techniciens'!$B$5:$B$44,0)),'Paramètres'!$AA$10))</f>
        <v/>
      </c>
      <c r="V644" s="70">
        <f>IF($A644="","",IF(OR(AC644="Demandé",AC644="Planifié",AC644="Annulé"),0,N(T644)*N(U644)))</f>
        <v/>
      </c>
      <c r="W644" s="70">
        <f>IF($A644="","",SUMIFS('Mouvements stock'!$H$5:$H$3004,'Mouvements stock'!$I$5:$I$3004,$A644,'Mouvements stock'!$C$5:$C$3004,"Sortie")-SUMIFS('Mouvements stock'!$H$5:$H$3004,'Mouvements stock'!$I$5:$I$3004,$A644,'Mouvements stock'!$C$5:$C$3004,"Retour"))</f>
        <v/>
      </c>
      <c r="X644" s="66" t="n">
        <v>0</v>
      </c>
      <c r="Y644" s="66" t="n">
        <v>0</v>
      </c>
      <c r="Z644" s="7" t="n"/>
      <c r="AA644" s="70">
        <f>IF($A644="","",N(V644)+N(W644)+N(X644)+N(Y644))</f>
        <v/>
      </c>
      <c r="AB644" s="70">
        <f>IF($A644="","",N(S644)*'Paramètres'!$AA$9*IFERROR(INDEX('Paramètres'!$O$5:$O$7,MATCH(G644,'Paramètres'!$N$5:$N$7,0)),0))</f>
        <v/>
      </c>
      <c r="AC644" s="7" t="inlineStr">
        <is>
          <t>Clôturé</t>
        </is>
      </c>
      <c r="AD644" s="69">
        <f>IF(OR($A644="",Q644=""),"",(Q644-B644)*24)</f>
        <v/>
      </c>
      <c r="AE644" s="69">
        <f>IF(OR(Q644="",R644=""),"",(R644-Q644)*24)</f>
        <v/>
      </c>
      <c r="AF644" s="77">
        <f>IF(OR($A644="",B644=""),"",YEAR(B644))</f>
        <v/>
      </c>
      <c r="AG644" s="77">
        <f>IF(OR($A644="",B644=""),"",MONTH(B644))</f>
        <v/>
      </c>
    </row>
    <row r="645">
      <c r="A645" s="7" t="inlineStr">
        <is>
          <t>OT-2025-0641</t>
        </is>
      </c>
      <c r="B645" s="75" t="n">
        <v>45944.75902777778</v>
      </c>
      <c r="C645" s="7" t="inlineStr">
        <is>
          <t>Sylvie Mathieu (resp. logistique)</t>
        </is>
      </c>
      <c r="D645" s="7" t="inlineStr">
        <is>
          <t>EQ-LOG-006</t>
        </is>
      </c>
      <c r="E645" s="9">
        <f>IF(D645="","",IFERROR(INDEX('Équipements'!$B$5:$B$304,MATCH(D645,'Équipements'!$A$5:$A$304,0)),"Code inconnu"))</f>
        <v/>
      </c>
      <c r="F645" s="9">
        <f>IF(D645="","",IFERROR(INDEX('Équipements'!$D$5:$D$304,MATCH(D645,'Équipements'!$A$5:$A$304,0)),""))</f>
        <v/>
      </c>
      <c r="G645" s="9">
        <f>IF(D645="","",IFERROR(INDEX('Équipements'!$K$5:$K$304,MATCH(D645,'Équipements'!$A$5:$A$304,0)),""))</f>
        <v/>
      </c>
      <c r="H645" s="7" t="inlineStr">
        <is>
          <t>Correctif</t>
        </is>
      </c>
      <c r="I645" s="7" t="n"/>
      <c r="J645" s="7" t="inlineStr">
        <is>
          <t>Électrique</t>
        </is>
      </c>
      <c r="K645" s="7" t="inlineStr">
        <is>
          <t>P2 - Haute</t>
        </is>
      </c>
      <c r="L645" s="7" t="inlineStr">
        <is>
          <t>Fin de course de levage HS</t>
        </is>
      </c>
      <c r="M645" s="7" t="inlineStr">
        <is>
          <t>Défaut capteur</t>
        </is>
      </c>
      <c r="N645" s="7" t="inlineStr">
        <is>
          <t>Remplacement fin de course</t>
        </is>
      </c>
      <c r="O645" s="7" t="inlineStr">
        <is>
          <t>Antoine Mercier</t>
        </is>
      </c>
      <c r="P645" s="65" t="n"/>
      <c r="Q645" s="75" t="n">
        <v>45944.83125</v>
      </c>
      <c r="R645" s="75" t="n">
        <v>45944.925</v>
      </c>
      <c r="S645" s="76" t="n">
        <v>4</v>
      </c>
      <c r="T645" s="76" t="n">
        <v>2.25</v>
      </c>
      <c r="U645" s="70">
        <f>IF($A645="","",IFERROR(INDEX('Techniciens'!$F$5:$F$44,MATCH(O645,'Techniciens'!$B$5:$B$44,0)),'Paramètres'!$AA$10))</f>
        <v/>
      </c>
      <c r="V645" s="70">
        <f>IF($A645="","",IF(OR(AC645="Demandé",AC645="Planifié",AC645="Annulé"),0,N(T645)*N(U645)))</f>
        <v/>
      </c>
      <c r="W645" s="70">
        <f>IF($A645="","",SUMIFS('Mouvements stock'!$H$5:$H$3004,'Mouvements stock'!$I$5:$I$3004,$A645,'Mouvements stock'!$C$5:$C$3004,"Sortie")-SUMIFS('Mouvements stock'!$H$5:$H$3004,'Mouvements stock'!$I$5:$I$3004,$A645,'Mouvements stock'!$C$5:$C$3004,"Retour"))</f>
        <v/>
      </c>
      <c r="X645" s="66" t="n">
        <v>0</v>
      </c>
      <c r="Y645" s="66" t="n">
        <v>0</v>
      </c>
      <c r="Z645" s="7" t="n"/>
      <c r="AA645" s="70">
        <f>IF($A645="","",N(V645)+N(W645)+N(X645)+N(Y645))</f>
        <v/>
      </c>
      <c r="AB645" s="70">
        <f>IF($A645="","",N(S645)*'Paramètres'!$AA$9*IFERROR(INDEX('Paramètres'!$O$5:$O$7,MATCH(G645,'Paramètres'!$N$5:$N$7,0)),0))</f>
        <v/>
      </c>
      <c r="AC645" s="7" t="inlineStr">
        <is>
          <t>Clôturé</t>
        </is>
      </c>
      <c r="AD645" s="69">
        <f>IF(OR($A645="",Q645=""),"",(Q645-B645)*24)</f>
        <v/>
      </c>
      <c r="AE645" s="69">
        <f>IF(OR(Q645="",R645=""),"",(R645-Q645)*24)</f>
        <v/>
      </c>
      <c r="AF645" s="77">
        <f>IF(OR($A645="",B645=""),"",YEAR(B645))</f>
        <v/>
      </c>
      <c r="AG645" s="77">
        <f>IF(OR($A645="",B645=""),"",MONTH(B645))</f>
        <v/>
      </c>
    </row>
    <row r="646">
      <c r="A646" s="7" t="inlineStr">
        <is>
          <t>OT-2025-0642</t>
        </is>
      </c>
      <c r="B646" s="75" t="n">
        <v>45945.4375</v>
      </c>
      <c r="C646" s="7" t="inlineStr">
        <is>
          <t>Plan préventif</t>
        </is>
      </c>
      <c r="D646" s="7" t="inlineStr">
        <is>
          <t>EQ-USI-002</t>
        </is>
      </c>
      <c r="E646" s="9">
        <f>IF(D646="","",IFERROR(INDEX('Équipements'!$B$5:$B$304,MATCH(D646,'Équipements'!$A$5:$A$304,0)),"Code inconnu"))</f>
        <v/>
      </c>
      <c r="F646" s="9">
        <f>IF(D646="","",IFERROR(INDEX('Équipements'!$D$5:$D$304,MATCH(D646,'Équipements'!$A$5:$A$304,0)),""))</f>
        <v/>
      </c>
      <c r="G646" s="9">
        <f>IF(D646="","",IFERROR(INDEX('Équipements'!$K$5:$K$304,MATCH(D646,'Équipements'!$A$5:$A$304,0)),""))</f>
        <v/>
      </c>
      <c r="H646" s="7" t="inlineStr">
        <is>
          <t>Préventif systématique</t>
        </is>
      </c>
      <c r="I646" s="7" t="inlineStr">
        <is>
          <t>GP-005</t>
        </is>
      </c>
      <c r="J646" s="7" t="inlineStr">
        <is>
          <t>Mécanique</t>
        </is>
      </c>
      <c r="K646" s="7" t="inlineStr">
        <is>
          <t>P3 - Normale</t>
        </is>
      </c>
      <c r="L646" s="7" t="inlineStr">
        <is>
          <t>Contrôle niveaux, nettoyage filtres et bac à copeaux</t>
        </is>
      </c>
      <c r="M646" s="7" t="n"/>
      <c r="N646" s="7" t="inlineStr">
        <is>
          <t>Gamme réalisée - RAS</t>
        </is>
      </c>
      <c r="O646" s="7" t="inlineStr">
        <is>
          <t>Antoine Mercier</t>
        </is>
      </c>
      <c r="P646" s="65" t="n">
        <v>45952.56944444445</v>
      </c>
      <c r="Q646" s="75" t="n">
        <v>45952.54861111111</v>
      </c>
      <c r="R646" s="75" t="n">
        <v>45952.62152777778</v>
      </c>
      <c r="S646" s="76" t="n">
        <v>1.8</v>
      </c>
      <c r="T646" s="76" t="n">
        <v>1.75</v>
      </c>
      <c r="U646" s="70">
        <f>IF($A646="","",IFERROR(INDEX('Techniciens'!$F$5:$F$44,MATCH(O646,'Techniciens'!$B$5:$B$44,0)),'Paramètres'!$AA$10))</f>
        <v/>
      </c>
      <c r="V646" s="70">
        <f>IF($A646="","",IF(OR(AC646="Demandé",AC646="Planifié",AC646="Annulé"),0,N(T646)*N(U646)))</f>
        <v/>
      </c>
      <c r="W646" s="70">
        <f>IF($A646="","",SUMIFS('Mouvements stock'!$H$5:$H$3004,'Mouvements stock'!$I$5:$I$3004,$A646,'Mouvements stock'!$C$5:$C$3004,"Sortie")-SUMIFS('Mouvements stock'!$H$5:$H$3004,'Mouvements stock'!$I$5:$I$3004,$A646,'Mouvements stock'!$C$5:$C$3004,"Retour"))</f>
        <v/>
      </c>
      <c r="X646" s="66" t="n">
        <v>0</v>
      </c>
      <c r="Y646" s="66" t="n">
        <v>0</v>
      </c>
      <c r="Z646" s="7" t="n"/>
      <c r="AA646" s="70">
        <f>IF($A646="","",N(V646)+N(W646)+N(X646)+N(Y646))</f>
        <v/>
      </c>
      <c r="AB646" s="70">
        <f>IF($A646="","",N(S646)*'Paramètres'!$AA$9*IFERROR(INDEX('Paramètres'!$O$5:$O$7,MATCH(G646,'Paramètres'!$N$5:$N$7,0)),0))</f>
        <v/>
      </c>
      <c r="AC646" s="7" t="inlineStr">
        <is>
          <t>Clôturé</t>
        </is>
      </c>
      <c r="AD646" s="69">
        <f>IF(OR($A646="",Q646=""),"",(Q646-B646)*24)</f>
        <v/>
      </c>
      <c r="AE646" s="69">
        <f>IF(OR(Q646="",R646=""),"",(R646-Q646)*24)</f>
        <v/>
      </c>
      <c r="AF646" s="77">
        <f>IF(OR($A646="",B646=""),"",YEAR(B646))</f>
        <v/>
      </c>
      <c r="AG646" s="77">
        <f>IF(OR($A646="",B646=""),"",MONTH(B646))</f>
        <v/>
      </c>
    </row>
    <row r="647">
      <c r="A647" s="7" t="inlineStr">
        <is>
          <t>OT-2025-0643</t>
        </is>
      </c>
      <c r="B647" s="75" t="n">
        <v>45946.32430555556</v>
      </c>
      <c r="C647" s="7" t="inlineStr">
        <is>
          <t>Opérateur tôlerie</t>
        </is>
      </c>
      <c r="D647" s="7" t="inlineStr">
        <is>
          <t>EQ-TOL-001</t>
        </is>
      </c>
      <c r="E647" s="9">
        <f>IF(D647="","",IFERROR(INDEX('Équipements'!$B$5:$B$304,MATCH(D647,'Équipements'!$A$5:$A$304,0)),"Code inconnu"))</f>
        <v/>
      </c>
      <c r="F647" s="9">
        <f>IF(D647="","",IFERROR(INDEX('Équipements'!$D$5:$D$304,MATCH(D647,'Équipements'!$A$5:$A$304,0)),""))</f>
        <v/>
      </c>
      <c r="G647" s="9">
        <f>IF(D647="","",IFERROR(INDEX('Équipements'!$K$5:$K$304,MATCH(D647,'Équipements'!$A$5:$A$304,0)),""))</f>
        <v/>
      </c>
      <c r="H647" s="7" t="inlineStr">
        <is>
          <t>Correctif</t>
        </is>
      </c>
      <c r="I647" s="7" t="n"/>
      <c r="J647" s="7" t="inlineStr">
        <is>
          <t>Pneumatique</t>
        </is>
      </c>
      <c r="K647" s="7" t="inlineStr">
        <is>
          <t>P3 - Normale</t>
        </is>
      </c>
      <c r="L647" s="7" t="inlineStr">
        <is>
          <t>Défaut pression gaz d'assistance azote</t>
        </is>
      </c>
      <c r="M647" s="7" t="inlineStr">
        <is>
          <t>Fuite</t>
        </is>
      </c>
      <c r="N647" s="7" t="inlineStr">
        <is>
          <t>Remplacement électrovanne et raccords</t>
        </is>
      </c>
      <c r="O647" s="7" t="inlineStr">
        <is>
          <t>Lucas Fontaine</t>
        </is>
      </c>
      <c r="P647" s="65" t="n"/>
      <c r="Q647" s="75" t="n">
        <v>45947.95972222222</v>
      </c>
      <c r="R647" s="75" t="n">
        <v>45948.20972222222</v>
      </c>
      <c r="S647" s="76" t="n">
        <v>0</v>
      </c>
      <c r="T647" s="76" t="n">
        <v>6</v>
      </c>
      <c r="U647" s="70">
        <f>IF($A647="","",IFERROR(INDEX('Techniciens'!$F$5:$F$44,MATCH(O647,'Techniciens'!$B$5:$B$44,0)),'Paramètres'!$AA$10))</f>
        <v/>
      </c>
      <c r="V647" s="70">
        <f>IF($A647="","",IF(OR(AC647="Demandé",AC647="Planifié",AC647="Annulé"),0,N(T647)*N(U647)))</f>
        <v/>
      </c>
      <c r="W647" s="70">
        <f>IF($A647="","",SUMIFS('Mouvements stock'!$H$5:$H$3004,'Mouvements stock'!$I$5:$I$3004,$A647,'Mouvements stock'!$C$5:$C$3004,"Sortie")-SUMIFS('Mouvements stock'!$H$5:$H$3004,'Mouvements stock'!$I$5:$I$3004,$A647,'Mouvements stock'!$C$5:$C$3004,"Retour"))</f>
        <v/>
      </c>
      <c r="X647" s="66" t="n">
        <v>0</v>
      </c>
      <c r="Y647" s="66" t="n">
        <v>0</v>
      </c>
      <c r="Z647" s="7" t="n"/>
      <c r="AA647" s="70">
        <f>IF($A647="","",N(V647)+N(W647)+N(X647)+N(Y647))</f>
        <v/>
      </c>
      <c r="AB647" s="70">
        <f>IF($A647="","",N(S647)*'Paramètres'!$AA$9*IFERROR(INDEX('Paramètres'!$O$5:$O$7,MATCH(G647,'Paramètres'!$N$5:$N$7,0)),0))</f>
        <v/>
      </c>
      <c r="AC647" s="7" t="inlineStr">
        <is>
          <t>Clôturé</t>
        </is>
      </c>
      <c r="AD647" s="69">
        <f>IF(OR($A647="",Q647=""),"",(Q647-B647)*24)</f>
        <v/>
      </c>
      <c r="AE647" s="69">
        <f>IF(OR(Q647="",R647=""),"",(R647-Q647)*24)</f>
        <v/>
      </c>
      <c r="AF647" s="77">
        <f>IF(OR($A647="",B647=""),"",YEAR(B647))</f>
        <v/>
      </c>
      <c r="AG647" s="77">
        <f>IF(OR($A647="",B647=""),"",MONTH(B647))</f>
        <v/>
      </c>
    </row>
    <row r="648">
      <c r="A648" s="7" t="inlineStr">
        <is>
          <t>OT-2025-0644</t>
        </is>
      </c>
      <c r="B648" s="75" t="n">
        <v>45946.32916666667</v>
      </c>
      <c r="C648" s="7" t="inlineStr">
        <is>
          <t>Éric Laurent (chef d'atelier)</t>
        </is>
      </c>
      <c r="D648" s="7" t="inlineStr">
        <is>
          <t>EQ-USI-006</t>
        </is>
      </c>
      <c r="E648" s="9">
        <f>IF(D648="","",IFERROR(INDEX('Équipements'!$B$5:$B$304,MATCH(D648,'Équipements'!$A$5:$A$304,0)),"Code inconnu"))</f>
        <v/>
      </c>
      <c r="F648" s="9">
        <f>IF(D648="","",IFERROR(INDEX('Équipements'!$D$5:$D$304,MATCH(D648,'Équipements'!$A$5:$A$304,0)),""))</f>
        <v/>
      </c>
      <c r="G648" s="9">
        <f>IF(D648="","",IFERROR(INDEX('Équipements'!$K$5:$K$304,MATCH(D648,'Équipements'!$A$5:$A$304,0)),""))</f>
        <v/>
      </c>
      <c r="H648" s="7" t="inlineStr">
        <is>
          <t>Correctif</t>
        </is>
      </c>
      <c r="I648" s="7" t="n"/>
      <c r="J648" s="7" t="inlineStr">
        <is>
          <t>Hydraulique</t>
        </is>
      </c>
      <c r="K648" s="7" t="inlineStr">
        <is>
          <t>P1 - Urgent</t>
        </is>
      </c>
      <c r="L648" s="7" t="inlineStr">
        <is>
          <t>Fuite d'huile hydraulique sous la table</t>
        </is>
      </c>
      <c r="M648" s="7" t="inlineStr">
        <is>
          <t>Fuite</t>
        </is>
      </c>
      <c r="N648" s="7" t="inlineStr">
        <is>
          <t>Remplacement flexible et joints, appoint huile</t>
        </is>
      </c>
      <c r="O648" s="7" t="inlineStr">
        <is>
          <t>Antoine Mercier</t>
        </is>
      </c>
      <c r="P648" s="65" t="n"/>
      <c r="Q648" s="75" t="n">
        <v>45946.36458333334</v>
      </c>
      <c r="R648" s="75" t="n">
        <v>45946.42708333334</v>
      </c>
      <c r="S648" s="76" t="n">
        <v>2.4</v>
      </c>
      <c r="T648" s="76" t="n">
        <v>1.5</v>
      </c>
      <c r="U648" s="70">
        <f>IF($A648="","",IFERROR(INDEX('Techniciens'!$F$5:$F$44,MATCH(O648,'Techniciens'!$B$5:$B$44,0)),'Paramètres'!$AA$10))</f>
        <v/>
      </c>
      <c r="V648" s="70">
        <f>IF($A648="","",IF(OR(AC648="Demandé",AC648="Planifié",AC648="Annulé"),0,N(T648)*N(U648)))</f>
        <v/>
      </c>
      <c r="W648" s="70">
        <f>IF($A648="","",SUMIFS('Mouvements stock'!$H$5:$H$3004,'Mouvements stock'!$I$5:$I$3004,$A648,'Mouvements stock'!$C$5:$C$3004,"Sortie")-SUMIFS('Mouvements stock'!$H$5:$H$3004,'Mouvements stock'!$I$5:$I$3004,$A648,'Mouvements stock'!$C$5:$C$3004,"Retour"))</f>
        <v/>
      </c>
      <c r="X648" s="66" t="n">
        <v>0</v>
      </c>
      <c r="Y648" s="66" t="n">
        <v>0</v>
      </c>
      <c r="Z648" s="7" t="n"/>
      <c r="AA648" s="70">
        <f>IF($A648="","",N(V648)+N(W648)+N(X648)+N(Y648))</f>
        <v/>
      </c>
      <c r="AB648" s="70">
        <f>IF($A648="","",N(S648)*'Paramètres'!$AA$9*IFERROR(INDEX('Paramètres'!$O$5:$O$7,MATCH(G648,'Paramètres'!$N$5:$N$7,0)),0))</f>
        <v/>
      </c>
      <c r="AC648" s="7" t="inlineStr">
        <is>
          <t>Clôturé</t>
        </is>
      </c>
      <c r="AD648" s="69">
        <f>IF(OR($A648="",Q648=""),"",(Q648-B648)*24)</f>
        <v/>
      </c>
      <c r="AE648" s="69">
        <f>IF(OR(Q648="",R648=""),"",(R648-Q648)*24)</f>
        <v/>
      </c>
      <c r="AF648" s="77">
        <f>IF(OR($A648="",B648=""),"",YEAR(B648))</f>
        <v/>
      </c>
      <c r="AG648" s="77">
        <f>IF(OR($A648="",B648=""),"",MONTH(B648))</f>
        <v/>
      </c>
    </row>
    <row r="649">
      <c r="A649" s="7" t="inlineStr">
        <is>
          <t>OT-2025-0645</t>
        </is>
      </c>
      <c r="B649" s="75" t="n">
        <v>45946.38888888889</v>
      </c>
      <c r="C649" s="7" t="inlineStr">
        <is>
          <t>Plan préventif</t>
        </is>
      </c>
      <c r="D649" s="7" t="inlineStr">
        <is>
          <t>EQ-TOL-001</t>
        </is>
      </c>
      <c r="E649" s="9">
        <f>IF(D649="","",IFERROR(INDEX('Équipements'!$B$5:$B$304,MATCH(D649,'Équipements'!$A$5:$A$304,0)),"Code inconnu"))</f>
        <v/>
      </c>
      <c r="F649" s="9">
        <f>IF(D649="","",IFERROR(INDEX('Équipements'!$D$5:$D$304,MATCH(D649,'Équipements'!$A$5:$A$304,0)),""))</f>
        <v/>
      </c>
      <c r="G649" s="9">
        <f>IF(D649="","",IFERROR(INDEX('Équipements'!$K$5:$K$304,MATCH(D649,'Équipements'!$A$5:$A$304,0)),""))</f>
        <v/>
      </c>
      <c r="H649" s="7" t="inlineStr">
        <is>
          <t>Préventif systématique</t>
        </is>
      </c>
      <c r="I649" s="7" t="inlineStr">
        <is>
          <t>GP-039</t>
        </is>
      </c>
      <c r="J649" s="7" t="inlineStr">
        <is>
          <t>Mécanique</t>
        </is>
      </c>
      <c r="K649" s="7" t="inlineStr">
        <is>
          <t>P3 - Normale</t>
        </is>
      </c>
      <c r="L649" s="7" t="inlineStr">
        <is>
          <t>Maintenance groupe froid laser (filtres, eau)</t>
        </is>
      </c>
      <c r="M649" s="7" t="n"/>
      <c r="N649" s="7" t="inlineStr">
        <is>
          <t>Gamme réalisée - RAS</t>
        </is>
      </c>
      <c r="O649" s="7" t="inlineStr">
        <is>
          <t>Antoine Mercier</t>
        </is>
      </c>
      <c r="P649" s="65" t="n">
        <v>45953.69791666666</v>
      </c>
      <c r="Q649" s="75" t="n">
        <v>45953.28125</v>
      </c>
      <c r="R649" s="75" t="n">
        <v>45953.42708333334</v>
      </c>
      <c r="S649" s="76" t="n">
        <v>3.5</v>
      </c>
      <c r="T649" s="76" t="n">
        <v>3.5</v>
      </c>
      <c r="U649" s="70">
        <f>IF($A649="","",IFERROR(INDEX('Techniciens'!$F$5:$F$44,MATCH(O649,'Techniciens'!$B$5:$B$44,0)),'Paramètres'!$AA$10))</f>
        <v/>
      </c>
      <c r="V649" s="70">
        <f>IF($A649="","",IF(OR(AC649="Demandé",AC649="Planifié",AC649="Annulé"),0,N(T649)*N(U649)))</f>
        <v/>
      </c>
      <c r="W649" s="70">
        <f>IF($A649="","",SUMIFS('Mouvements stock'!$H$5:$H$3004,'Mouvements stock'!$I$5:$I$3004,$A649,'Mouvements stock'!$C$5:$C$3004,"Sortie")-SUMIFS('Mouvements stock'!$H$5:$H$3004,'Mouvements stock'!$I$5:$I$3004,$A649,'Mouvements stock'!$C$5:$C$3004,"Retour"))</f>
        <v/>
      </c>
      <c r="X649" s="66" t="n">
        <v>0</v>
      </c>
      <c r="Y649" s="66" t="n">
        <v>0</v>
      </c>
      <c r="Z649" s="7" t="n"/>
      <c r="AA649" s="70">
        <f>IF($A649="","",N(V649)+N(W649)+N(X649)+N(Y649))</f>
        <v/>
      </c>
      <c r="AB649" s="70">
        <f>IF($A649="","",N(S649)*'Paramètres'!$AA$9*IFERROR(INDEX('Paramètres'!$O$5:$O$7,MATCH(G649,'Paramètres'!$N$5:$N$7,0)),0))</f>
        <v/>
      </c>
      <c r="AC649" s="7" t="inlineStr">
        <is>
          <t>Clôturé</t>
        </is>
      </c>
      <c r="AD649" s="69">
        <f>IF(OR($A649="",Q649=""),"",(Q649-B649)*24)</f>
        <v/>
      </c>
      <c r="AE649" s="69">
        <f>IF(OR(Q649="",R649=""),"",(R649-Q649)*24)</f>
        <v/>
      </c>
      <c r="AF649" s="77">
        <f>IF(OR($A649="",B649=""),"",YEAR(B649))</f>
        <v/>
      </c>
      <c r="AG649" s="77">
        <f>IF(OR($A649="",B649=""),"",MONTH(B649))</f>
        <v/>
      </c>
    </row>
    <row r="650">
      <c r="A650" s="7" t="inlineStr">
        <is>
          <t>OT-2025-0646</t>
        </is>
      </c>
      <c r="B650" s="75" t="n">
        <v>45946.45763888889</v>
      </c>
      <c r="C650" s="7" t="inlineStr">
        <is>
          <t>Sylvie Mathieu (resp. logistique)</t>
        </is>
      </c>
      <c r="D650" s="7" t="inlineStr">
        <is>
          <t>EQ-LOG-006</t>
        </is>
      </c>
      <c r="E650" s="9">
        <f>IF(D650="","",IFERROR(INDEX('Équipements'!$B$5:$B$304,MATCH(D650,'Équipements'!$A$5:$A$304,0)),"Code inconnu"))</f>
        <v/>
      </c>
      <c r="F650" s="9">
        <f>IF(D650="","",IFERROR(INDEX('Équipements'!$D$5:$D$304,MATCH(D650,'Équipements'!$A$5:$A$304,0)),""))</f>
        <v/>
      </c>
      <c r="G650" s="9">
        <f>IF(D650="","",IFERROR(INDEX('Équipements'!$K$5:$K$304,MATCH(D650,'Équipements'!$A$5:$A$304,0)),""))</f>
        <v/>
      </c>
      <c r="H650" s="7" t="inlineStr">
        <is>
          <t>Correctif</t>
        </is>
      </c>
      <c r="I650" s="7" t="n"/>
      <c r="J650" s="7" t="inlineStr">
        <is>
          <t>Électrique</t>
        </is>
      </c>
      <c r="K650" s="7" t="inlineStr">
        <is>
          <t>P1 - Urgent</t>
        </is>
      </c>
      <c r="L650" s="7" t="inlineStr">
        <is>
          <t>Défaut boîte à boutons de commande</t>
        </is>
      </c>
      <c r="M650" s="7" t="n"/>
      <c r="N650" s="7" t="inlineStr">
        <is>
          <t>Doublon de demande - annulé</t>
        </is>
      </c>
      <c r="O650" s="7" t="inlineStr">
        <is>
          <t>Antoine Mercier</t>
        </is>
      </c>
      <c r="P650" s="65" t="n"/>
      <c r="Q650" s="75" t="n"/>
      <c r="R650" s="75" t="n"/>
      <c r="S650" s="76" t="n">
        <v>0</v>
      </c>
      <c r="T650" s="76" t="n">
        <v>0</v>
      </c>
      <c r="U650" s="70">
        <f>IF($A650="","",IFERROR(INDEX('Techniciens'!$F$5:$F$44,MATCH(O650,'Techniciens'!$B$5:$B$44,0)),'Paramètres'!$AA$10))</f>
        <v/>
      </c>
      <c r="V650" s="70">
        <f>IF($A650="","",IF(OR(AC650="Demandé",AC650="Planifié",AC650="Annulé"),0,N(T650)*N(U650)))</f>
        <v/>
      </c>
      <c r="W650" s="70">
        <f>IF($A650="","",SUMIFS('Mouvements stock'!$H$5:$H$3004,'Mouvements stock'!$I$5:$I$3004,$A650,'Mouvements stock'!$C$5:$C$3004,"Sortie")-SUMIFS('Mouvements stock'!$H$5:$H$3004,'Mouvements stock'!$I$5:$I$3004,$A650,'Mouvements stock'!$C$5:$C$3004,"Retour"))</f>
        <v/>
      </c>
      <c r="X650" s="66" t="n">
        <v>0</v>
      </c>
      <c r="Y650" s="66" t="n">
        <v>0</v>
      </c>
      <c r="Z650" s="7" t="n"/>
      <c r="AA650" s="70">
        <f>IF($A650="","",N(V650)+N(W650)+N(X650)+N(Y650))</f>
        <v/>
      </c>
      <c r="AB650" s="70">
        <f>IF($A650="","",N(S650)*'Paramètres'!$AA$9*IFERROR(INDEX('Paramètres'!$O$5:$O$7,MATCH(G650,'Paramètres'!$N$5:$N$7,0)),0))</f>
        <v/>
      </c>
      <c r="AC650" s="7" t="inlineStr">
        <is>
          <t>Annulé</t>
        </is>
      </c>
      <c r="AD650" s="69">
        <f>IF(OR($A650="",Q650=""),"",(Q650-B650)*24)</f>
        <v/>
      </c>
      <c r="AE650" s="69">
        <f>IF(OR(Q650="",R650=""),"",(R650-Q650)*24)</f>
        <v/>
      </c>
      <c r="AF650" s="77">
        <f>IF(OR($A650="",B650=""),"",YEAR(B650))</f>
        <v/>
      </c>
      <c r="AG650" s="77">
        <f>IF(OR($A650="",B650=""),"",MONTH(B650))</f>
        <v/>
      </c>
    </row>
    <row r="651">
      <c r="A651" s="7" t="inlineStr">
        <is>
          <t>OT-2025-0647</t>
        </is>
      </c>
      <c r="B651" s="75" t="n">
        <v>45946.61736111111</v>
      </c>
      <c r="C651" s="7" t="inlineStr">
        <is>
          <t>Ronde maintenance</t>
        </is>
      </c>
      <c r="D651" s="7" t="inlineStr">
        <is>
          <t>EQ-UTI-001</t>
        </is>
      </c>
      <c r="E651" s="9">
        <f>IF(D651="","",IFERROR(INDEX('Équipements'!$B$5:$B$304,MATCH(D651,'Équipements'!$A$5:$A$304,0)),"Code inconnu"))</f>
        <v/>
      </c>
      <c r="F651" s="9">
        <f>IF(D651="","",IFERROR(INDEX('Équipements'!$D$5:$D$304,MATCH(D651,'Équipements'!$A$5:$A$304,0)),""))</f>
        <v/>
      </c>
      <c r="G651" s="9">
        <f>IF(D651="","",IFERROR(INDEX('Équipements'!$K$5:$K$304,MATCH(D651,'Équipements'!$A$5:$A$304,0)),""))</f>
        <v/>
      </c>
      <c r="H651" s="7" t="inlineStr">
        <is>
          <t>Correctif</t>
        </is>
      </c>
      <c r="I651" s="7" t="n"/>
      <c r="J651" s="7" t="inlineStr">
        <is>
          <t>Mécanique</t>
        </is>
      </c>
      <c r="K651" s="7" t="inlineStr">
        <is>
          <t>P2 - Haute</t>
        </is>
      </c>
      <c r="L651" s="7" t="inlineStr">
        <is>
          <t>Arrêt sur température haute</t>
        </is>
      </c>
      <c r="M651" s="7" t="inlineStr">
        <is>
          <t>Encrassement</t>
        </is>
      </c>
      <c r="N651" s="7" t="inlineStr">
        <is>
          <t>Nettoyage refroidisseur, remplacement filtre à huile</t>
        </is>
      </c>
      <c r="O651" s="7" t="inlineStr">
        <is>
          <t>Antoine Mercier</t>
        </is>
      </c>
      <c r="P651" s="65" t="n"/>
      <c r="Q651" s="75" t="n">
        <v>45946.70208333333</v>
      </c>
      <c r="R651" s="75" t="n">
        <v>45946.79583333333</v>
      </c>
      <c r="S651" s="76" t="n">
        <v>4.3</v>
      </c>
      <c r="T651" s="76" t="n">
        <v>2.25</v>
      </c>
      <c r="U651" s="70">
        <f>IF($A651="","",IFERROR(INDEX('Techniciens'!$F$5:$F$44,MATCH(O651,'Techniciens'!$B$5:$B$44,0)),'Paramètres'!$AA$10))</f>
        <v/>
      </c>
      <c r="V651" s="70">
        <f>IF($A651="","",IF(OR(AC651="Demandé",AC651="Planifié",AC651="Annulé"),0,N(T651)*N(U651)))</f>
        <v/>
      </c>
      <c r="W651" s="70">
        <f>IF($A651="","",SUMIFS('Mouvements stock'!$H$5:$H$3004,'Mouvements stock'!$I$5:$I$3004,$A651,'Mouvements stock'!$C$5:$C$3004,"Sortie")-SUMIFS('Mouvements stock'!$H$5:$H$3004,'Mouvements stock'!$I$5:$I$3004,$A651,'Mouvements stock'!$C$5:$C$3004,"Retour"))</f>
        <v/>
      </c>
      <c r="X651" s="66" t="n">
        <v>0</v>
      </c>
      <c r="Y651" s="66" t="n">
        <v>0</v>
      </c>
      <c r="Z651" s="7" t="n"/>
      <c r="AA651" s="70">
        <f>IF($A651="","",N(V651)+N(W651)+N(X651)+N(Y651))</f>
        <v/>
      </c>
      <c r="AB651" s="70">
        <f>IF($A651="","",N(S651)*'Paramètres'!$AA$9*IFERROR(INDEX('Paramètres'!$O$5:$O$7,MATCH(G651,'Paramètres'!$N$5:$N$7,0)),0))</f>
        <v/>
      </c>
      <c r="AC651" s="7" t="inlineStr">
        <is>
          <t>Clôturé</t>
        </is>
      </c>
      <c r="AD651" s="69">
        <f>IF(OR($A651="",Q651=""),"",(Q651-B651)*24)</f>
        <v/>
      </c>
      <c r="AE651" s="69">
        <f>IF(OR(Q651="",R651=""),"",(R651-Q651)*24)</f>
        <v/>
      </c>
      <c r="AF651" s="77">
        <f>IF(OR($A651="",B651=""),"",YEAR(B651))</f>
        <v/>
      </c>
      <c r="AG651" s="77">
        <f>IF(OR($A651="",B651=""),"",MONTH(B651))</f>
        <v/>
      </c>
    </row>
    <row r="652">
      <c r="A652" s="7" t="inlineStr">
        <is>
          <t>OT-2025-0648</t>
        </is>
      </c>
      <c r="B652" s="75" t="n">
        <v>45947.38194444445</v>
      </c>
      <c r="C652" s="7" t="inlineStr">
        <is>
          <t>Inès Girard (cheffe d'équipe)</t>
        </is>
      </c>
      <c r="D652" s="7" t="inlineStr">
        <is>
          <t>EQ-PEI-004</t>
        </is>
      </c>
      <c r="E652" s="9">
        <f>IF(D652="","",IFERROR(INDEX('Équipements'!$B$5:$B$304,MATCH(D652,'Équipements'!$A$5:$A$304,0)),"Code inconnu"))</f>
        <v/>
      </c>
      <c r="F652" s="9">
        <f>IF(D652="","",IFERROR(INDEX('Équipements'!$D$5:$D$304,MATCH(D652,'Équipements'!$A$5:$A$304,0)),""))</f>
        <v/>
      </c>
      <c r="G652" s="9">
        <f>IF(D652="","",IFERROR(INDEX('Équipements'!$K$5:$K$304,MATCH(D652,'Équipements'!$A$5:$A$304,0)),""))</f>
        <v/>
      </c>
      <c r="H652" s="7" t="inlineStr">
        <is>
          <t>Correctif</t>
        </is>
      </c>
      <c r="I652" s="7" t="n"/>
      <c r="J652" s="7" t="inlineStr">
        <is>
          <t>Électrique</t>
        </is>
      </c>
      <c r="K652" s="7" t="inlineStr">
        <is>
          <t>P2 - Haute</t>
        </is>
      </c>
      <c r="L652" s="7" t="inlineStr">
        <is>
          <t>Défaut variateur de vitesse</t>
        </is>
      </c>
      <c r="M652" s="7" t="inlineStr">
        <is>
          <t>Défaut électrique</t>
        </is>
      </c>
      <c r="N652" s="7" t="inlineStr">
        <is>
          <t>Remplacement variateur et paramétrage</t>
        </is>
      </c>
      <c r="O652" s="7" t="inlineStr">
        <is>
          <t>Antoine Mercier</t>
        </is>
      </c>
      <c r="P652" s="65" t="n"/>
      <c r="Q652" s="75" t="n">
        <v>45947.52361111111</v>
      </c>
      <c r="R652" s="75" t="n">
        <v>45947.96111111111</v>
      </c>
      <c r="S652" s="76" t="n">
        <v>13.9</v>
      </c>
      <c r="T652" s="76" t="n">
        <v>10.5</v>
      </c>
      <c r="U652" s="70">
        <f>IF($A652="","",IFERROR(INDEX('Techniciens'!$F$5:$F$44,MATCH(O652,'Techniciens'!$B$5:$B$44,0)),'Paramètres'!$AA$10))</f>
        <v/>
      </c>
      <c r="V652" s="70">
        <f>IF($A652="","",IF(OR(AC652="Demandé",AC652="Planifié",AC652="Annulé"),0,N(T652)*N(U652)))</f>
        <v/>
      </c>
      <c r="W652" s="70">
        <f>IF($A652="","",SUMIFS('Mouvements stock'!$H$5:$H$3004,'Mouvements stock'!$I$5:$I$3004,$A652,'Mouvements stock'!$C$5:$C$3004,"Sortie")-SUMIFS('Mouvements stock'!$H$5:$H$3004,'Mouvements stock'!$I$5:$I$3004,$A652,'Mouvements stock'!$C$5:$C$3004,"Retour"))</f>
        <v/>
      </c>
      <c r="X652" s="66" t="n">
        <v>0</v>
      </c>
      <c r="Y652" s="66" t="n">
        <v>0</v>
      </c>
      <c r="Z652" s="7" t="n"/>
      <c r="AA652" s="70">
        <f>IF($A652="","",N(V652)+N(W652)+N(X652)+N(Y652))</f>
        <v/>
      </c>
      <c r="AB652" s="70">
        <f>IF($A652="","",N(S652)*'Paramètres'!$AA$9*IFERROR(INDEX('Paramètres'!$O$5:$O$7,MATCH(G652,'Paramètres'!$N$5:$N$7,0)),0))</f>
        <v/>
      </c>
      <c r="AC652" s="7" t="inlineStr">
        <is>
          <t>Clôturé</t>
        </is>
      </c>
      <c r="AD652" s="69">
        <f>IF(OR($A652="",Q652=""),"",(Q652-B652)*24)</f>
        <v/>
      </c>
      <c r="AE652" s="69">
        <f>IF(OR(Q652="",R652=""),"",(R652-Q652)*24)</f>
        <v/>
      </c>
      <c r="AF652" s="77">
        <f>IF(OR($A652="",B652=""),"",YEAR(B652))</f>
        <v/>
      </c>
      <c r="AG652" s="77">
        <f>IF(OR($A652="",B652=""),"",MONTH(B652))</f>
        <v/>
      </c>
    </row>
    <row r="653">
      <c r="A653" s="7" t="inlineStr">
        <is>
          <t>OT-2025-0649</t>
        </is>
      </c>
      <c r="B653" s="75" t="n">
        <v>45947.41805555556</v>
      </c>
      <c r="C653" s="7" t="inlineStr">
        <is>
          <t>Céline Morel (cheffe d'atelier)</t>
        </is>
      </c>
      <c r="D653" s="7" t="inlineStr">
        <is>
          <t>EQ-TOL-002</t>
        </is>
      </c>
      <c r="E653" s="9">
        <f>IF(D653="","",IFERROR(INDEX('Équipements'!$B$5:$B$304,MATCH(D653,'Équipements'!$A$5:$A$304,0)),"Code inconnu"))</f>
        <v/>
      </c>
      <c r="F653" s="9">
        <f>IF(D653="","",IFERROR(INDEX('Équipements'!$D$5:$D$304,MATCH(D653,'Équipements'!$A$5:$A$304,0)),""))</f>
        <v/>
      </c>
      <c r="G653" s="9">
        <f>IF(D653="","",IFERROR(INDEX('Équipements'!$K$5:$K$304,MATCH(D653,'Équipements'!$A$5:$A$304,0)),""))</f>
        <v/>
      </c>
      <c r="H653" s="7" t="inlineStr">
        <is>
          <t>Correctif</t>
        </is>
      </c>
      <c r="I653" s="7" t="n"/>
      <c r="J653" s="7" t="inlineStr">
        <is>
          <t>Hydraulique</t>
        </is>
      </c>
      <c r="K653" s="7" t="inlineStr">
        <is>
          <t>P1 - Urgent</t>
        </is>
      </c>
      <c r="L653" s="7" t="inlineStr">
        <is>
          <t>Fuite d'huile vérin principal</t>
        </is>
      </c>
      <c r="M653" s="7" t="inlineStr">
        <is>
          <t>Fuite</t>
        </is>
      </c>
      <c r="N653" s="7" t="inlineStr">
        <is>
          <t>Remplacement kit joints vérin</t>
        </is>
      </c>
      <c r="O653" s="7" t="inlineStr">
        <is>
          <t>Karim Benali</t>
        </is>
      </c>
      <c r="P653" s="65" t="n"/>
      <c r="Q653" s="75" t="n">
        <v>45947.43055555555</v>
      </c>
      <c r="R653" s="75" t="n">
        <v>45947.53472222222</v>
      </c>
      <c r="S653" s="76" t="n">
        <v>0</v>
      </c>
      <c r="T653" s="76" t="n">
        <v>2.5</v>
      </c>
      <c r="U653" s="70">
        <f>IF($A653="","",IFERROR(INDEX('Techniciens'!$F$5:$F$44,MATCH(O653,'Techniciens'!$B$5:$B$44,0)),'Paramètres'!$AA$10))</f>
        <v/>
      </c>
      <c r="V653" s="70">
        <f>IF($A653="","",IF(OR(AC653="Demandé",AC653="Planifié",AC653="Annulé"),0,N(T653)*N(U653)))</f>
        <v/>
      </c>
      <c r="W653" s="70">
        <f>IF($A653="","",SUMIFS('Mouvements stock'!$H$5:$H$3004,'Mouvements stock'!$I$5:$I$3004,$A653,'Mouvements stock'!$C$5:$C$3004,"Sortie")-SUMIFS('Mouvements stock'!$H$5:$H$3004,'Mouvements stock'!$I$5:$I$3004,$A653,'Mouvements stock'!$C$5:$C$3004,"Retour"))</f>
        <v/>
      </c>
      <c r="X653" s="66" t="n">
        <v>0</v>
      </c>
      <c r="Y653" s="66" t="n">
        <v>0</v>
      </c>
      <c r="Z653" s="7" t="n"/>
      <c r="AA653" s="70">
        <f>IF($A653="","",N(V653)+N(W653)+N(X653)+N(Y653))</f>
        <v/>
      </c>
      <c r="AB653" s="70">
        <f>IF($A653="","",N(S653)*'Paramètres'!$AA$9*IFERROR(INDEX('Paramètres'!$O$5:$O$7,MATCH(G653,'Paramètres'!$N$5:$N$7,0)),0))</f>
        <v/>
      </c>
      <c r="AC653" s="7" t="inlineStr">
        <is>
          <t>Clôturé</t>
        </is>
      </c>
      <c r="AD653" s="69">
        <f>IF(OR($A653="",Q653=""),"",(Q653-B653)*24)</f>
        <v/>
      </c>
      <c r="AE653" s="69">
        <f>IF(OR(Q653="",R653=""),"",(R653-Q653)*24)</f>
        <v/>
      </c>
      <c r="AF653" s="77">
        <f>IF(OR($A653="",B653=""),"",YEAR(B653))</f>
        <v/>
      </c>
      <c r="AG653" s="77">
        <f>IF(OR($A653="",B653=""),"",MONTH(B653))</f>
        <v/>
      </c>
    </row>
    <row r="654">
      <c r="A654" s="7" t="inlineStr">
        <is>
          <t>OT-2025-0650</t>
        </is>
      </c>
      <c r="B654" s="75" t="n">
        <v>45947.44791666666</v>
      </c>
      <c r="C654" s="7" t="inlineStr">
        <is>
          <t>Plan préventif</t>
        </is>
      </c>
      <c r="D654" s="7" t="inlineStr">
        <is>
          <t>EQ-TOL-007</t>
        </is>
      </c>
      <c r="E654" s="9">
        <f>IF(D654="","",IFERROR(INDEX('Équipements'!$B$5:$B$304,MATCH(D654,'Équipements'!$A$5:$A$304,0)),"Code inconnu"))</f>
        <v/>
      </c>
      <c r="F654" s="9">
        <f>IF(D654="","",IFERROR(INDEX('Équipements'!$D$5:$D$304,MATCH(D654,'Équipements'!$A$5:$A$304,0)),""))</f>
        <v/>
      </c>
      <c r="G654" s="9">
        <f>IF(D654="","",IFERROR(INDEX('Équipements'!$K$5:$K$304,MATCH(D654,'Équipements'!$A$5:$A$304,0)),""))</f>
        <v/>
      </c>
      <c r="H654" s="7" t="inlineStr">
        <is>
          <t>Préventif systématique</t>
        </is>
      </c>
      <c r="I654" s="7" t="inlineStr">
        <is>
          <t>GP-057</t>
        </is>
      </c>
      <c r="J654" s="7" t="inlineStr">
        <is>
          <t>Mécanique</t>
        </is>
      </c>
      <c r="K654" s="7" t="inlineStr">
        <is>
          <t>P3 - Normale</t>
        </is>
      </c>
      <c r="L654" s="7" t="inlineStr">
        <is>
          <t>Contrôle motoréducteurs et usure</t>
        </is>
      </c>
      <c r="M654" s="7" t="n"/>
      <c r="N654" s="7" t="inlineStr">
        <is>
          <t>Gamme réalisée - DI émise pour remplacement pièce</t>
        </is>
      </c>
      <c r="O654" s="7" t="inlineStr">
        <is>
          <t>Karim Benali</t>
        </is>
      </c>
      <c r="P654" s="65" t="n">
        <v>45954.44097222222</v>
      </c>
      <c r="Q654" s="75" t="n">
        <v>45954.28472222222</v>
      </c>
      <c r="R654" s="75" t="n">
        <v>45954.44097222222</v>
      </c>
      <c r="S654" s="76" t="n">
        <v>3.8</v>
      </c>
      <c r="T654" s="76" t="n">
        <v>3.75</v>
      </c>
      <c r="U654" s="70">
        <f>IF($A654="","",IFERROR(INDEX('Techniciens'!$F$5:$F$44,MATCH(O654,'Techniciens'!$B$5:$B$44,0)),'Paramètres'!$AA$10))</f>
        <v/>
      </c>
      <c r="V654" s="70">
        <f>IF($A654="","",IF(OR(AC654="Demandé",AC654="Planifié",AC654="Annulé"),0,N(T654)*N(U654)))</f>
        <v/>
      </c>
      <c r="W654" s="70">
        <f>IF($A654="","",SUMIFS('Mouvements stock'!$H$5:$H$3004,'Mouvements stock'!$I$5:$I$3004,$A654,'Mouvements stock'!$C$5:$C$3004,"Sortie")-SUMIFS('Mouvements stock'!$H$5:$H$3004,'Mouvements stock'!$I$5:$I$3004,$A654,'Mouvements stock'!$C$5:$C$3004,"Retour"))</f>
        <v/>
      </c>
      <c r="X654" s="66" t="n">
        <v>0</v>
      </c>
      <c r="Y654" s="66" t="n">
        <v>0</v>
      </c>
      <c r="Z654" s="7" t="n"/>
      <c r="AA654" s="70">
        <f>IF($A654="","",N(V654)+N(W654)+N(X654)+N(Y654))</f>
        <v/>
      </c>
      <c r="AB654" s="70">
        <f>IF($A654="","",N(S654)*'Paramètres'!$AA$9*IFERROR(INDEX('Paramètres'!$O$5:$O$7,MATCH(G654,'Paramètres'!$N$5:$N$7,0)),0))</f>
        <v/>
      </c>
      <c r="AC654" s="7" t="inlineStr">
        <is>
          <t>Clôturé</t>
        </is>
      </c>
      <c r="AD654" s="69">
        <f>IF(OR($A654="",Q654=""),"",(Q654-B654)*24)</f>
        <v/>
      </c>
      <c r="AE654" s="69">
        <f>IF(OR(Q654="",R654=""),"",(R654-Q654)*24)</f>
        <v/>
      </c>
      <c r="AF654" s="77">
        <f>IF(OR($A654="",B654=""),"",YEAR(B654))</f>
        <v/>
      </c>
      <c r="AG654" s="77">
        <f>IF(OR($A654="",B654=""),"",MONTH(B654))</f>
        <v/>
      </c>
    </row>
    <row r="655">
      <c r="A655" s="7" t="inlineStr">
        <is>
          <t>OT-2025-0651</t>
        </is>
      </c>
      <c r="B655" s="75" t="n">
        <v>45950.33333333334</v>
      </c>
      <c r="C655" s="7" t="inlineStr">
        <is>
          <t>Plan préventif</t>
        </is>
      </c>
      <c r="D655" s="7" t="inlineStr">
        <is>
          <t>EQ-USI-004</t>
        </is>
      </c>
      <c r="E655" s="9">
        <f>IF(D655="","",IFERROR(INDEX('Équipements'!$B$5:$B$304,MATCH(D655,'Équipements'!$A$5:$A$304,0)),"Code inconnu"))</f>
        <v/>
      </c>
      <c r="F655" s="9">
        <f>IF(D655="","",IFERROR(INDEX('Équipements'!$D$5:$D$304,MATCH(D655,'Équipements'!$A$5:$A$304,0)),""))</f>
        <v/>
      </c>
      <c r="G655" s="9">
        <f>IF(D655="","",IFERROR(INDEX('Équipements'!$K$5:$K$304,MATCH(D655,'Équipements'!$A$5:$A$304,0)),""))</f>
        <v/>
      </c>
      <c r="H655" s="7" t="inlineStr">
        <is>
          <t>Préventif systématique</t>
        </is>
      </c>
      <c r="I655" s="7" t="inlineStr">
        <is>
          <t>GP-013</t>
        </is>
      </c>
      <c r="J655" s="7" t="inlineStr">
        <is>
          <t>Mécanique</t>
        </is>
      </c>
      <c r="K655" s="7" t="inlineStr">
        <is>
          <t>P3 - Normale</t>
        </is>
      </c>
      <c r="L655" s="7" t="inlineStr">
        <is>
          <t>Contrôle niveaux, nettoyage filtres et bac à copeaux</t>
        </is>
      </c>
      <c r="M655" s="7" t="n"/>
      <c r="N655" s="7" t="inlineStr">
        <is>
          <t>Gamme réalisée - RAS</t>
        </is>
      </c>
      <c r="O655" s="7" t="inlineStr">
        <is>
          <t>Lucas Fontaine</t>
        </is>
      </c>
      <c r="P655" s="65" t="n">
        <v>45957.66319444445</v>
      </c>
      <c r="Q655" s="75" t="n">
        <v>45957.51041666666</v>
      </c>
      <c r="R655" s="75" t="n">
        <v>45957.58333333334</v>
      </c>
      <c r="S655" s="76" t="n">
        <v>0.9</v>
      </c>
      <c r="T655" s="76" t="n">
        <v>1.75</v>
      </c>
      <c r="U655" s="70">
        <f>IF($A655="","",IFERROR(INDEX('Techniciens'!$F$5:$F$44,MATCH(O655,'Techniciens'!$B$5:$B$44,0)),'Paramètres'!$AA$10))</f>
        <v/>
      </c>
      <c r="V655" s="70">
        <f>IF($A655="","",IF(OR(AC655="Demandé",AC655="Planifié",AC655="Annulé"),0,N(T655)*N(U655)))</f>
        <v/>
      </c>
      <c r="W655" s="70">
        <f>IF($A655="","",SUMIFS('Mouvements stock'!$H$5:$H$3004,'Mouvements stock'!$I$5:$I$3004,$A655,'Mouvements stock'!$C$5:$C$3004,"Sortie")-SUMIFS('Mouvements stock'!$H$5:$H$3004,'Mouvements stock'!$I$5:$I$3004,$A655,'Mouvements stock'!$C$5:$C$3004,"Retour"))</f>
        <v/>
      </c>
      <c r="X655" s="66" t="n">
        <v>0</v>
      </c>
      <c r="Y655" s="66" t="n">
        <v>0</v>
      </c>
      <c r="Z655" s="7" t="n"/>
      <c r="AA655" s="70">
        <f>IF($A655="","",N(V655)+N(W655)+N(X655)+N(Y655))</f>
        <v/>
      </c>
      <c r="AB655" s="70">
        <f>IF($A655="","",N(S655)*'Paramètres'!$AA$9*IFERROR(INDEX('Paramètres'!$O$5:$O$7,MATCH(G655,'Paramètres'!$N$5:$N$7,0)),0))</f>
        <v/>
      </c>
      <c r="AC655" s="7" t="inlineStr">
        <is>
          <t>Clôturé</t>
        </is>
      </c>
      <c r="AD655" s="69">
        <f>IF(OR($A655="",Q655=""),"",(Q655-B655)*24)</f>
        <v/>
      </c>
      <c r="AE655" s="69">
        <f>IF(OR(Q655="",R655=""),"",(R655-Q655)*24)</f>
        <v/>
      </c>
      <c r="AF655" s="77">
        <f>IF(OR($A655="",B655=""),"",YEAR(B655))</f>
        <v/>
      </c>
      <c r="AG655" s="77">
        <f>IF(OR($A655="",B655=""),"",MONTH(B655))</f>
        <v/>
      </c>
    </row>
    <row r="656">
      <c r="A656" s="7" t="inlineStr">
        <is>
          <t>OT-2025-0652</t>
        </is>
      </c>
      <c r="B656" s="75" t="n">
        <v>45950.38194444445</v>
      </c>
      <c r="C656" s="7" t="inlineStr">
        <is>
          <t>Planning réglementaire</t>
        </is>
      </c>
      <c r="D656" s="7" t="inlineStr">
        <is>
          <t>EQ-BAT-001</t>
        </is>
      </c>
      <c r="E656" s="9">
        <f>IF(D656="","",IFERROR(INDEX('Équipements'!$B$5:$B$304,MATCH(D656,'Équipements'!$A$5:$A$304,0)),"Code inconnu"))</f>
        <v/>
      </c>
      <c r="F656" s="9">
        <f>IF(D656="","",IFERROR(INDEX('Équipements'!$D$5:$D$304,MATCH(D656,'Équipements'!$A$5:$A$304,0)),""))</f>
        <v/>
      </c>
      <c r="G656" s="9">
        <f>IF(D656="","",IFERROR(INDEX('Équipements'!$K$5:$K$304,MATCH(D656,'Équipements'!$A$5:$A$304,0)),""))</f>
        <v/>
      </c>
      <c r="H656" s="7" t="inlineStr">
        <is>
          <t>Réglementaire</t>
        </is>
      </c>
      <c r="I656" s="7" t="inlineStr">
        <is>
          <t>CR-020</t>
        </is>
      </c>
      <c r="J656" s="7" t="inlineStr">
        <is>
          <t>Multi-technique</t>
        </is>
      </c>
      <c r="K656" s="7" t="inlineStr">
        <is>
          <t>P2 - Haute</t>
        </is>
      </c>
      <c r="L656" s="7" t="inlineStr">
        <is>
          <t>Entretien et vérification porte automatique</t>
        </is>
      </c>
      <c r="M656" s="7" t="n"/>
      <c r="N656" s="7" t="inlineStr">
        <is>
          <t>Contrôle réalisé - observations mineures au rapport</t>
        </is>
      </c>
      <c r="O656" s="7" t="inlineStr">
        <is>
          <t>Nadia Rousseau</t>
        </is>
      </c>
      <c r="P656" s="65" t="n">
        <v>45971</v>
      </c>
      <c r="Q656" s="75" t="n">
        <v>45971.36111111111</v>
      </c>
      <c r="R656" s="75" t="n">
        <v>45971.42361111111</v>
      </c>
      <c r="S656" s="76" t="n">
        <v>0</v>
      </c>
      <c r="T656" s="76" t="n">
        <v>1.5</v>
      </c>
      <c r="U656" s="70">
        <f>IF($A656="","",IFERROR(INDEX('Techniciens'!$F$5:$F$44,MATCH(O656,'Techniciens'!$B$5:$B$44,0)),'Paramètres'!$AA$10))</f>
        <v/>
      </c>
      <c r="V656" s="70">
        <f>IF($A656="","",IF(OR(AC656="Demandé",AC656="Planifié",AC656="Annulé"),0,N(T656)*N(U656)))</f>
        <v/>
      </c>
      <c r="W656" s="70">
        <f>IF($A656="","",SUMIFS('Mouvements stock'!$H$5:$H$3004,'Mouvements stock'!$I$5:$I$3004,$A656,'Mouvements stock'!$C$5:$C$3004,"Sortie")-SUMIFS('Mouvements stock'!$H$5:$H$3004,'Mouvements stock'!$I$5:$I$3004,$A656,'Mouvements stock'!$C$5:$C$3004,"Retour"))</f>
        <v/>
      </c>
      <c r="X656" s="66" t="n">
        <v>0</v>
      </c>
      <c r="Y656" s="66" t="n">
        <v>170</v>
      </c>
      <c r="Z656" s="7" t="inlineStr">
        <is>
          <t>Fournitures Industrielles Générales</t>
        </is>
      </c>
      <c r="AA656" s="70">
        <f>IF($A656="","",N(V656)+N(W656)+N(X656)+N(Y656))</f>
        <v/>
      </c>
      <c r="AB656" s="70">
        <f>IF($A656="","",N(S656)*'Paramètres'!$AA$9*IFERROR(INDEX('Paramètres'!$O$5:$O$7,MATCH(G656,'Paramètres'!$N$5:$N$7,0)),0))</f>
        <v/>
      </c>
      <c r="AC656" s="7" t="inlineStr">
        <is>
          <t>Clôturé</t>
        </is>
      </c>
      <c r="AD656" s="69">
        <f>IF(OR($A656="",Q656=""),"",(Q656-B656)*24)</f>
        <v/>
      </c>
      <c r="AE656" s="69">
        <f>IF(OR(Q656="",R656=""),"",(R656-Q656)*24)</f>
        <v/>
      </c>
      <c r="AF656" s="77">
        <f>IF(OR($A656="",B656=""),"",YEAR(B656))</f>
        <v/>
      </c>
      <c r="AG656" s="77">
        <f>IF(OR($A656="",B656=""),"",MONTH(B656))</f>
        <v/>
      </c>
    </row>
    <row r="657">
      <c r="A657" s="7" t="inlineStr">
        <is>
          <t>OT-2025-0653</t>
        </is>
      </c>
      <c r="B657" s="75" t="n">
        <v>45950.38541666666</v>
      </c>
      <c r="C657" s="7" t="inlineStr">
        <is>
          <t>Planning réglementaire</t>
        </is>
      </c>
      <c r="D657" s="7" t="inlineStr">
        <is>
          <t>EQ-LOG-009</t>
        </is>
      </c>
      <c r="E657" s="9">
        <f>IF(D657="","",IFERROR(INDEX('Équipements'!$B$5:$B$304,MATCH(D657,'Équipements'!$A$5:$A$304,0)),"Code inconnu"))</f>
        <v/>
      </c>
      <c r="F657" s="9">
        <f>IF(D657="","",IFERROR(INDEX('Équipements'!$D$5:$D$304,MATCH(D657,'Équipements'!$A$5:$A$304,0)),""))</f>
        <v/>
      </c>
      <c r="G657" s="9">
        <f>IF(D657="","",IFERROR(INDEX('Équipements'!$K$5:$K$304,MATCH(D657,'Équipements'!$A$5:$A$304,0)),""))</f>
        <v/>
      </c>
      <c r="H657" s="7" t="inlineStr">
        <is>
          <t>Réglementaire</t>
        </is>
      </c>
      <c r="I657" s="7" t="inlineStr">
        <is>
          <t>CR-022</t>
        </is>
      </c>
      <c r="J657" s="7" t="inlineStr">
        <is>
          <t>Multi-technique</t>
        </is>
      </c>
      <c r="K657" s="7" t="inlineStr">
        <is>
          <t>P2 - Haute</t>
        </is>
      </c>
      <c r="L657" s="7" t="inlineStr">
        <is>
          <t>Inspection annuelle des rayonnages par expert</t>
        </is>
      </c>
      <c r="M657" s="7" t="n"/>
      <c r="N657" s="7" t="inlineStr">
        <is>
          <t>Contrôle réalisé - aucune observation</t>
        </is>
      </c>
      <c r="O657" s="7" t="inlineStr">
        <is>
          <t>Marc Lefèvre</t>
        </is>
      </c>
      <c r="P657" s="65" t="n">
        <v>45971</v>
      </c>
      <c r="Q657" s="75" t="n">
        <v>45971.40277777778</v>
      </c>
      <c r="R657" s="75" t="n">
        <v>45971.44444444445</v>
      </c>
      <c r="S657" s="76" t="n">
        <v>0</v>
      </c>
      <c r="T657" s="76" t="n">
        <v>1</v>
      </c>
      <c r="U657" s="70">
        <f>IF($A657="","",IFERROR(INDEX('Techniciens'!$F$5:$F$44,MATCH(O657,'Techniciens'!$B$5:$B$44,0)),'Paramètres'!$AA$10))</f>
        <v/>
      </c>
      <c r="V657" s="70">
        <f>IF($A657="","",IF(OR(AC657="Demandé",AC657="Planifié",AC657="Annulé"),0,N(T657)*N(U657)))</f>
        <v/>
      </c>
      <c r="W657" s="70">
        <f>IF($A657="","",SUMIFS('Mouvements stock'!$H$5:$H$3004,'Mouvements stock'!$I$5:$I$3004,$A657,'Mouvements stock'!$C$5:$C$3004,"Sortie")-SUMIFS('Mouvements stock'!$H$5:$H$3004,'Mouvements stock'!$I$5:$I$3004,$A657,'Mouvements stock'!$C$5:$C$3004,"Retour"))</f>
        <v/>
      </c>
      <c r="X657" s="66" t="n">
        <v>0</v>
      </c>
      <c r="Y657" s="66" t="n">
        <v>720</v>
      </c>
      <c r="Z657" s="7" t="inlineStr">
        <is>
          <t>CONTROLIS (organisme fictif)</t>
        </is>
      </c>
      <c r="AA657" s="70">
        <f>IF($A657="","",N(V657)+N(W657)+N(X657)+N(Y657))</f>
        <v/>
      </c>
      <c r="AB657" s="70">
        <f>IF($A657="","",N(S657)*'Paramètres'!$AA$9*IFERROR(INDEX('Paramètres'!$O$5:$O$7,MATCH(G657,'Paramètres'!$N$5:$N$7,0)),0))</f>
        <v/>
      </c>
      <c r="AC657" s="7" t="inlineStr">
        <is>
          <t>Clôturé</t>
        </is>
      </c>
      <c r="AD657" s="69">
        <f>IF(OR($A657="",Q657=""),"",(Q657-B657)*24)</f>
        <v/>
      </c>
      <c r="AE657" s="69">
        <f>IF(OR(Q657="",R657=""),"",(R657-Q657)*24)</f>
        <v/>
      </c>
      <c r="AF657" s="77">
        <f>IF(OR($A657="",B657=""),"",YEAR(B657))</f>
        <v/>
      </c>
      <c r="AG657" s="77">
        <f>IF(OR($A657="",B657=""),"",MONTH(B657))</f>
        <v/>
      </c>
    </row>
    <row r="658">
      <c r="A658" s="7" t="inlineStr">
        <is>
          <t>OT-2025-0654</t>
        </is>
      </c>
      <c r="B658" s="75" t="n">
        <v>45950.46527777778</v>
      </c>
      <c r="C658" s="7" t="inlineStr">
        <is>
          <t>Plan préventif</t>
        </is>
      </c>
      <c r="D658" s="7" t="inlineStr">
        <is>
          <t>EQ-USI-004</t>
        </is>
      </c>
      <c r="E658" s="9">
        <f>IF(D658="","",IFERROR(INDEX('Équipements'!$B$5:$B$304,MATCH(D658,'Équipements'!$A$5:$A$304,0)),"Code inconnu"))</f>
        <v/>
      </c>
      <c r="F658" s="9">
        <f>IF(D658="","",IFERROR(INDEX('Équipements'!$D$5:$D$304,MATCH(D658,'Équipements'!$A$5:$A$304,0)),""))</f>
        <v/>
      </c>
      <c r="G658" s="9">
        <f>IF(D658="","",IFERROR(INDEX('Équipements'!$K$5:$K$304,MATCH(D658,'Équipements'!$A$5:$A$304,0)),""))</f>
        <v/>
      </c>
      <c r="H658" s="7" t="inlineStr">
        <is>
          <t>Préventif systématique</t>
        </is>
      </c>
      <c r="I658" s="7" t="inlineStr">
        <is>
          <t>GP-016</t>
        </is>
      </c>
      <c r="J658" s="7" t="inlineStr">
        <is>
          <t>Électrique</t>
        </is>
      </c>
      <c r="K658" s="7" t="inlineStr">
        <is>
          <t>P3 - Normale</t>
        </is>
      </c>
      <c r="L658" s="7" t="inlineStr">
        <is>
          <t>Contrôle armoire électrique (ventilation, serrages)</t>
        </is>
      </c>
      <c r="M658" s="7" t="n"/>
      <c r="N658" s="7" t="inlineStr">
        <is>
          <t>Gamme réalisée - RAS</t>
        </is>
      </c>
      <c r="O658" s="7" t="inlineStr">
        <is>
          <t>Antoine Mercier</t>
        </is>
      </c>
      <c r="P658" s="65" t="n">
        <v>45957</v>
      </c>
      <c r="Q658" s="75" t="n">
        <v>45957.33333333334</v>
      </c>
      <c r="R658" s="75" t="n">
        <v>45957.45833333334</v>
      </c>
      <c r="S658" s="76" t="n">
        <v>3</v>
      </c>
      <c r="T658" s="76" t="n">
        <v>3</v>
      </c>
      <c r="U658" s="70">
        <f>IF($A658="","",IFERROR(INDEX('Techniciens'!$F$5:$F$44,MATCH(O658,'Techniciens'!$B$5:$B$44,0)),'Paramètres'!$AA$10))</f>
        <v/>
      </c>
      <c r="V658" s="70">
        <f>IF($A658="","",IF(OR(AC658="Demandé",AC658="Planifié",AC658="Annulé"),0,N(T658)*N(U658)))</f>
        <v/>
      </c>
      <c r="W658" s="70">
        <f>IF($A658="","",SUMIFS('Mouvements stock'!$H$5:$H$3004,'Mouvements stock'!$I$5:$I$3004,$A658,'Mouvements stock'!$C$5:$C$3004,"Sortie")-SUMIFS('Mouvements stock'!$H$5:$H$3004,'Mouvements stock'!$I$5:$I$3004,$A658,'Mouvements stock'!$C$5:$C$3004,"Retour"))</f>
        <v/>
      </c>
      <c r="X658" s="66" t="n">
        <v>0</v>
      </c>
      <c r="Y658" s="66" t="n">
        <v>0</v>
      </c>
      <c r="Z658" s="7" t="n"/>
      <c r="AA658" s="70">
        <f>IF($A658="","",N(V658)+N(W658)+N(X658)+N(Y658))</f>
        <v/>
      </c>
      <c r="AB658" s="70">
        <f>IF($A658="","",N(S658)*'Paramètres'!$AA$9*IFERROR(INDEX('Paramètres'!$O$5:$O$7,MATCH(G658,'Paramètres'!$N$5:$N$7,0)),0))</f>
        <v/>
      </c>
      <c r="AC658" s="7" t="inlineStr">
        <is>
          <t>Clôturé</t>
        </is>
      </c>
      <c r="AD658" s="69">
        <f>IF(OR($A658="",Q658=""),"",(Q658-B658)*24)</f>
        <v/>
      </c>
      <c r="AE658" s="69">
        <f>IF(OR(Q658="",R658=""),"",(R658-Q658)*24)</f>
        <v/>
      </c>
      <c r="AF658" s="77">
        <f>IF(OR($A658="",B658=""),"",YEAR(B658))</f>
        <v/>
      </c>
      <c r="AG658" s="77">
        <f>IF(OR($A658="",B658=""),"",MONTH(B658))</f>
        <v/>
      </c>
    </row>
    <row r="659">
      <c r="A659" s="7" t="inlineStr">
        <is>
          <t>OT-2025-0655</t>
        </is>
      </c>
      <c r="B659" s="75" t="n">
        <v>45950.46875</v>
      </c>
      <c r="C659" s="7" t="inlineStr">
        <is>
          <t>Plan préventif</t>
        </is>
      </c>
      <c r="D659" s="7" t="inlineStr">
        <is>
          <t>EQ-LOG-005</t>
        </is>
      </c>
      <c r="E659" s="9">
        <f>IF(D659="","",IFERROR(INDEX('Équipements'!$B$5:$B$304,MATCH(D659,'Équipements'!$A$5:$A$304,0)),"Code inconnu"))</f>
        <v/>
      </c>
      <c r="F659" s="9">
        <f>IF(D659="","",IFERROR(INDEX('Équipements'!$D$5:$D$304,MATCH(D659,'Équipements'!$A$5:$A$304,0)),""))</f>
        <v/>
      </c>
      <c r="G659" s="9">
        <f>IF(D659="","",IFERROR(INDEX('Équipements'!$K$5:$K$304,MATCH(D659,'Équipements'!$A$5:$A$304,0)),""))</f>
        <v/>
      </c>
      <c r="H659" s="7" t="inlineStr">
        <is>
          <t>Préventif systématique</t>
        </is>
      </c>
      <c r="I659" s="7" t="inlineStr">
        <is>
          <t>GP-114</t>
        </is>
      </c>
      <c r="J659" s="7" t="inlineStr">
        <is>
          <t>Mécanique</t>
        </is>
      </c>
      <c r="K659" s="7" t="inlineStr">
        <is>
          <t>P3 - Normale</t>
        </is>
      </c>
      <c r="L659" s="7" t="inlineStr">
        <is>
          <t>Contrôle batterie, niveaux et bandages</t>
        </is>
      </c>
      <c r="M659" s="7" t="n"/>
      <c r="N659" s="7" t="inlineStr">
        <is>
          <t>Gamme réalisée - RAS</t>
        </is>
      </c>
      <c r="O659" s="7" t="inlineStr">
        <is>
          <t>Antoine Mercier</t>
        </is>
      </c>
      <c r="P659" s="65" t="n">
        <v>45957.47916666666</v>
      </c>
      <c r="Q659" s="75" t="n">
        <v>45957.28125</v>
      </c>
      <c r="R659" s="75" t="n">
        <v>45957.32291666666</v>
      </c>
      <c r="S659" s="76" t="n">
        <v>0</v>
      </c>
      <c r="T659" s="76" t="n">
        <v>1</v>
      </c>
      <c r="U659" s="70">
        <f>IF($A659="","",IFERROR(INDEX('Techniciens'!$F$5:$F$44,MATCH(O659,'Techniciens'!$B$5:$B$44,0)),'Paramètres'!$AA$10))</f>
        <v/>
      </c>
      <c r="V659" s="70">
        <f>IF($A659="","",IF(OR(AC659="Demandé",AC659="Planifié",AC659="Annulé"),0,N(T659)*N(U659)))</f>
        <v/>
      </c>
      <c r="W659" s="70">
        <f>IF($A659="","",SUMIFS('Mouvements stock'!$H$5:$H$3004,'Mouvements stock'!$I$5:$I$3004,$A659,'Mouvements stock'!$C$5:$C$3004,"Sortie")-SUMIFS('Mouvements stock'!$H$5:$H$3004,'Mouvements stock'!$I$5:$I$3004,$A659,'Mouvements stock'!$C$5:$C$3004,"Retour"))</f>
        <v/>
      </c>
      <c r="X659" s="66" t="n">
        <v>0</v>
      </c>
      <c r="Y659" s="66" t="n">
        <v>0</v>
      </c>
      <c r="Z659" s="7" t="n"/>
      <c r="AA659" s="70">
        <f>IF($A659="","",N(V659)+N(W659)+N(X659)+N(Y659))</f>
        <v/>
      </c>
      <c r="AB659" s="70">
        <f>IF($A659="","",N(S659)*'Paramètres'!$AA$9*IFERROR(INDEX('Paramètres'!$O$5:$O$7,MATCH(G659,'Paramètres'!$N$5:$N$7,0)),0))</f>
        <v/>
      </c>
      <c r="AC659" s="7" t="inlineStr">
        <is>
          <t>Clôturé</t>
        </is>
      </c>
      <c r="AD659" s="69">
        <f>IF(OR($A659="",Q659=""),"",(Q659-B659)*24)</f>
        <v/>
      </c>
      <c r="AE659" s="69">
        <f>IF(OR(Q659="",R659=""),"",(R659-Q659)*24)</f>
        <v/>
      </c>
      <c r="AF659" s="77">
        <f>IF(OR($A659="",B659=""),"",YEAR(B659))</f>
        <v/>
      </c>
      <c r="AG659" s="77">
        <f>IF(OR($A659="",B659=""),"",MONTH(B659))</f>
        <v/>
      </c>
    </row>
    <row r="660">
      <c r="A660" s="7" t="inlineStr">
        <is>
          <t>OT-2025-0656</t>
        </is>
      </c>
      <c r="B660" s="75" t="n">
        <v>45950.89722222222</v>
      </c>
      <c r="C660" s="7" t="inlineStr">
        <is>
          <t>Sylvie Mathieu (resp. logistique)</t>
        </is>
      </c>
      <c r="D660" s="7" t="inlineStr">
        <is>
          <t>EQ-LOG-008</t>
        </is>
      </c>
      <c r="E660" s="9">
        <f>IF(D660="","",IFERROR(INDEX('Équipements'!$B$5:$B$304,MATCH(D660,'Équipements'!$A$5:$A$304,0)),"Code inconnu"))</f>
        <v/>
      </c>
      <c r="F660" s="9">
        <f>IF(D660="","",IFERROR(INDEX('Équipements'!$D$5:$D$304,MATCH(D660,'Équipements'!$A$5:$A$304,0)),""))</f>
        <v/>
      </c>
      <c r="G660" s="9">
        <f>IF(D660="","",IFERROR(INDEX('Équipements'!$K$5:$K$304,MATCH(D660,'Équipements'!$A$5:$A$304,0)),""))</f>
        <v/>
      </c>
      <c r="H660" s="7" t="inlineStr">
        <is>
          <t>Correctif</t>
        </is>
      </c>
      <c r="I660" s="7" t="n"/>
      <c r="J660" s="7" t="inlineStr">
        <is>
          <t>Mécanique</t>
        </is>
      </c>
      <c r="K660" s="7" t="inlineStr">
        <is>
          <t>P2 - Haute</t>
        </is>
      </c>
      <c r="L660" s="7" t="inlineStr">
        <is>
          <t>Frein de levée bruyant</t>
        </is>
      </c>
      <c r="M660" s="7" t="inlineStr">
        <is>
          <t>Usure</t>
        </is>
      </c>
      <c r="N660" s="7" t="inlineStr">
        <is>
          <t>Réglage et remplacement garnitures</t>
        </is>
      </c>
      <c r="O660" s="7" t="inlineStr">
        <is>
          <t>Lucas Fontaine</t>
        </is>
      </c>
      <c r="P660" s="65" t="n"/>
      <c r="Q660" s="75" t="n">
        <v>45951.04444444444</v>
      </c>
      <c r="R660" s="75" t="n">
        <v>45951.21111111111</v>
      </c>
      <c r="S660" s="76" t="n">
        <v>0</v>
      </c>
      <c r="T660" s="76" t="n">
        <v>4</v>
      </c>
      <c r="U660" s="70">
        <f>IF($A660="","",IFERROR(INDEX('Techniciens'!$F$5:$F$44,MATCH(O660,'Techniciens'!$B$5:$B$44,0)),'Paramètres'!$AA$10))</f>
        <v/>
      </c>
      <c r="V660" s="70">
        <f>IF($A660="","",IF(OR(AC660="Demandé",AC660="Planifié",AC660="Annulé"),0,N(T660)*N(U660)))</f>
        <v/>
      </c>
      <c r="W660" s="70">
        <f>IF($A660="","",SUMIFS('Mouvements stock'!$H$5:$H$3004,'Mouvements stock'!$I$5:$I$3004,$A660,'Mouvements stock'!$C$5:$C$3004,"Sortie")-SUMIFS('Mouvements stock'!$H$5:$H$3004,'Mouvements stock'!$I$5:$I$3004,$A660,'Mouvements stock'!$C$5:$C$3004,"Retour"))</f>
        <v/>
      </c>
      <c r="X660" s="66" t="n">
        <v>0</v>
      </c>
      <c r="Y660" s="66" t="n">
        <v>0</v>
      </c>
      <c r="Z660" s="7" t="n"/>
      <c r="AA660" s="70">
        <f>IF($A660="","",N(V660)+N(W660)+N(X660)+N(Y660))</f>
        <v/>
      </c>
      <c r="AB660" s="70">
        <f>IF($A660="","",N(S660)*'Paramètres'!$AA$9*IFERROR(INDEX('Paramètres'!$O$5:$O$7,MATCH(G660,'Paramètres'!$N$5:$N$7,0)),0))</f>
        <v/>
      </c>
      <c r="AC660" s="7" t="inlineStr">
        <is>
          <t>Clôturé</t>
        </is>
      </c>
      <c r="AD660" s="69">
        <f>IF(OR($A660="",Q660=""),"",(Q660-B660)*24)</f>
        <v/>
      </c>
      <c r="AE660" s="69">
        <f>IF(OR(Q660="",R660=""),"",(R660-Q660)*24)</f>
        <v/>
      </c>
      <c r="AF660" s="77">
        <f>IF(OR($A660="",B660=""),"",YEAR(B660))</f>
        <v/>
      </c>
      <c r="AG660" s="77">
        <f>IF(OR($A660="",B660=""),"",MONTH(B660))</f>
        <v/>
      </c>
    </row>
    <row r="661">
      <c r="A661" s="7" t="inlineStr">
        <is>
          <t>OT-2025-0657</t>
        </is>
      </c>
      <c r="B661" s="75" t="n">
        <v>45951.32361111111</v>
      </c>
      <c r="C661" s="7" t="inlineStr">
        <is>
          <t>Inès Girard (cheffe d'équipe)</t>
        </is>
      </c>
      <c r="D661" s="7" t="inlineStr">
        <is>
          <t>EQ-PEI-004</t>
        </is>
      </c>
      <c r="E661" s="9">
        <f>IF(D661="","",IFERROR(INDEX('Équipements'!$B$5:$B$304,MATCH(D661,'Équipements'!$A$5:$A$304,0)),"Code inconnu"))</f>
        <v/>
      </c>
      <c r="F661" s="9">
        <f>IF(D661="","",IFERROR(INDEX('Équipements'!$D$5:$D$304,MATCH(D661,'Équipements'!$A$5:$A$304,0)),""))</f>
        <v/>
      </c>
      <c r="G661" s="9">
        <f>IF(D661="","",IFERROR(INDEX('Équipements'!$K$5:$K$304,MATCH(D661,'Équipements'!$A$5:$A$304,0)),""))</f>
        <v/>
      </c>
      <c r="H661" s="7" t="inlineStr">
        <is>
          <t>Correctif</t>
        </is>
      </c>
      <c r="I661" s="7" t="n"/>
      <c r="J661" s="7" t="inlineStr">
        <is>
          <t>Électrique</t>
        </is>
      </c>
      <c r="K661" s="7" t="inlineStr">
        <is>
          <t>P1 - Urgent</t>
        </is>
      </c>
      <c r="L661" s="7" t="inlineStr">
        <is>
          <t>Détecteur de présence HS</t>
        </is>
      </c>
      <c r="M661" s="7" t="inlineStr">
        <is>
          <t>Défaut capteur</t>
        </is>
      </c>
      <c r="N661" s="7" t="inlineStr">
        <is>
          <t>Remplacement détecteur</t>
        </is>
      </c>
      <c r="O661" s="7" t="inlineStr">
        <is>
          <t>Antoine Mercier</t>
        </is>
      </c>
      <c r="P661" s="65" t="n"/>
      <c r="Q661" s="75" t="n">
        <v>45951.34166666667</v>
      </c>
      <c r="R661" s="75" t="n">
        <v>45951.41458333333</v>
      </c>
      <c r="S661" s="76" t="n">
        <v>2.2</v>
      </c>
      <c r="T661" s="76" t="n">
        <v>1.75</v>
      </c>
      <c r="U661" s="70">
        <f>IF($A661="","",IFERROR(INDEX('Techniciens'!$F$5:$F$44,MATCH(O661,'Techniciens'!$B$5:$B$44,0)),'Paramètres'!$AA$10))</f>
        <v/>
      </c>
      <c r="V661" s="70">
        <f>IF($A661="","",IF(OR(AC661="Demandé",AC661="Planifié",AC661="Annulé"),0,N(T661)*N(U661)))</f>
        <v/>
      </c>
      <c r="W661" s="70">
        <f>IF($A661="","",SUMIFS('Mouvements stock'!$H$5:$H$3004,'Mouvements stock'!$I$5:$I$3004,$A661,'Mouvements stock'!$C$5:$C$3004,"Sortie")-SUMIFS('Mouvements stock'!$H$5:$H$3004,'Mouvements stock'!$I$5:$I$3004,$A661,'Mouvements stock'!$C$5:$C$3004,"Retour"))</f>
        <v/>
      </c>
      <c r="X661" s="66" t="n">
        <v>0</v>
      </c>
      <c r="Y661" s="66" t="n">
        <v>0</v>
      </c>
      <c r="Z661" s="7" t="n"/>
      <c r="AA661" s="70">
        <f>IF($A661="","",N(V661)+N(W661)+N(X661)+N(Y661))</f>
        <v/>
      </c>
      <c r="AB661" s="70">
        <f>IF($A661="","",N(S661)*'Paramètres'!$AA$9*IFERROR(INDEX('Paramètres'!$O$5:$O$7,MATCH(G661,'Paramètres'!$N$5:$N$7,0)),0))</f>
        <v/>
      </c>
      <c r="AC661" s="7" t="inlineStr">
        <is>
          <t>Clôturé</t>
        </is>
      </c>
      <c r="AD661" s="69">
        <f>IF(OR($A661="",Q661=""),"",(Q661-B661)*24)</f>
        <v/>
      </c>
      <c r="AE661" s="69">
        <f>IF(OR(Q661="",R661=""),"",(R661-Q661)*24)</f>
        <v/>
      </c>
      <c r="AF661" s="77">
        <f>IF(OR($A661="",B661=""),"",YEAR(B661))</f>
        <v/>
      </c>
      <c r="AG661" s="77">
        <f>IF(OR($A661="",B661=""),"",MONTH(B661))</f>
        <v/>
      </c>
    </row>
    <row r="662">
      <c r="A662" s="7" t="inlineStr">
        <is>
          <t>OT-2025-0658</t>
        </is>
      </c>
      <c r="B662" s="75" t="n">
        <v>45951.34027777778</v>
      </c>
      <c r="C662" s="7" t="inlineStr">
        <is>
          <t>Plan préventif</t>
        </is>
      </c>
      <c r="D662" s="7" t="inlineStr">
        <is>
          <t>EQ-USI-012</t>
        </is>
      </c>
      <c r="E662" s="9">
        <f>IF(D662="","",IFERROR(INDEX('Équipements'!$B$5:$B$304,MATCH(D662,'Équipements'!$A$5:$A$304,0)),"Code inconnu"))</f>
        <v/>
      </c>
      <c r="F662" s="9">
        <f>IF(D662="","",IFERROR(INDEX('Équipements'!$D$5:$D$304,MATCH(D662,'Équipements'!$A$5:$A$304,0)),""))</f>
        <v/>
      </c>
      <c r="G662" s="9">
        <f>IF(D662="","",IFERROR(INDEX('Équipements'!$K$5:$K$304,MATCH(D662,'Équipements'!$A$5:$A$304,0)),""))</f>
        <v/>
      </c>
      <c r="H662" s="7" t="inlineStr">
        <is>
          <t>Préventif systématique</t>
        </is>
      </c>
      <c r="I662" s="7" t="inlineStr">
        <is>
          <t>GP-035</t>
        </is>
      </c>
      <c r="J662" s="7" t="inlineStr">
        <is>
          <t>Mécanique</t>
        </is>
      </c>
      <c r="K662" s="7" t="inlineStr">
        <is>
          <t>P3 - Normale</t>
        </is>
      </c>
      <c r="L662" s="7" t="inlineStr">
        <is>
          <t>Nettoyage torche et contrôle faisceau</t>
        </is>
      </c>
      <c r="M662" s="7" t="n"/>
      <c r="N662" s="7" t="inlineStr">
        <is>
          <t>Gamme réalisée - petite fuite corrigée</t>
        </is>
      </c>
      <c r="O662" s="7" t="inlineStr">
        <is>
          <t>Lucas Fontaine</t>
        </is>
      </c>
      <c r="P662" s="65" t="n">
        <v>45958.42708333334</v>
      </c>
      <c r="Q662" s="75" t="n">
        <v>45958.49305555555</v>
      </c>
      <c r="R662" s="75" t="n">
        <v>45958.52430555555</v>
      </c>
      <c r="S662" s="76" t="n">
        <v>0.8</v>
      </c>
      <c r="T662" s="76" t="n">
        <v>0.75</v>
      </c>
      <c r="U662" s="70">
        <f>IF($A662="","",IFERROR(INDEX('Techniciens'!$F$5:$F$44,MATCH(O662,'Techniciens'!$B$5:$B$44,0)),'Paramètres'!$AA$10))</f>
        <v/>
      </c>
      <c r="V662" s="70">
        <f>IF($A662="","",IF(OR(AC662="Demandé",AC662="Planifié",AC662="Annulé"),0,N(T662)*N(U662)))</f>
        <v/>
      </c>
      <c r="W662" s="70">
        <f>IF($A662="","",SUMIFS('Mouvements stock'!$H$5:$H$3004,'Mouvements stock'!$I$5:$I$3004,$A662,'Mouvements stock'!$C$5:$C$3004,"Sortie")-SUMIFS('Mouvements stock'!$H$5:$H$3004,'Mouvements stock'!$I$5:$I$3004,$A662,'Mouvements stock'!$C$5:$C$3004,"Retour"))</f>
        <v/>
      </c>
      <c r="X662" s="66" t="n">
        <v>0</v>
      </c>
      <c r="Y662" s="66" t="n">
        <v>0</v>
      </c>
      <c r="Z662" s="7" t="n"/>
      <c r="AA662" s="70">
        <f>IF($A662="","",N(V662)+N(W662)+N(X662)+N(Y662))</f>
        <v/>
      </c>
      <c r="AB662" s="70">
        <f>IF($A662="","",N(S662)*'Paramètres'!$AA$9*IFERROR(INDEX('Paramètres'!$O$5:$O$7,MATCH(G662,'Paramètres'!$N$5:$N$7,0)),0))</f>
        <v/>
      </c>
      <c r="AC662" s="7" t="inlineStr">
        <is>
          <t>Clôturé</t>
        </is>
      </c>
      <c r="AD662" s="69">
        <f>IF(OR($A662="",Q662=""),"",(Q662-B662)*24)</f>
        <v/>
      </c>
      <c r="AE662" s="69">
        <f>IF(OR(Q662="",R662=""),"",(R662-Q662)*24)</f>
        <v/>
      </c>
      <c r="AF662" s="77">
        <f>IF(OR($A662="",B662=""),"",YEAR(B662))</f>
        <v/>
      </c>
      <c r="AG662" s="77">
        <f>IF(OR($A662="",B662=""),"",MONTH(B662))</f>
        <v/>
      </c>
    </row>
    <row r="663">
      <c r="A663" s="7" t="inlineStr">
        <is>
          <t>OT-2025-0659</t>
        </is>
      </c>
      <c r="B663" s="75" t="n">
        <v>45951.34375</v>
      </c>
      <c r="C663" s="7" t="inlineStr">
        <is>
          <t>Plan préventif</t>
        </is>
      </c>
      <c r="D663" s="7" t="inlineStr">
        <is>
          <t>EQ-USI-009</t>
        </is>
      </c>
      <c r="E663" s="9">
        <f>IF(D663="","",IFERROR(INDEX('Équipements'!$B$5:$B$304,MATCH(D663,'Équipements'!$A$5:$A$304,0)),"Code inconnu"))</f>
        <v/>
      </c>
      <c r="F663" s="9">
        <f>IF(D663="","",IFERROR(INDEX('Équipements'!$D$5:$D$304,MATCH(D663,'Équipements'!$A$5:$A$304,0)),""))</f>
        <v/>
      </c>
      <c r="G663" s="9">
        <f>IF(D663="","",IFERROR(INDEX('Équipements'!$K$5:$K$304,MATCH(D663,'Équipements'!$A$5:$A$304,0)),""))</f>
        <v/>
      </c>
      <c r="H663" s="7" t="inlineStr">
        <is>
          <t>Préventif systématique</t>
        </is>
      </c>
      <c r="I663" s="7" t="inlineStr">
        <is>
          <t>GP-030</t>
        </is>
      </c>
      <c r="J663" s="7" t="inlineStr">
        <is>
          <t>Mécanique</t>
        </is>
      </c>
      <c r="K663" s="7" t="inlineStr">
        <is>
          <t>P3 - Normale</t>
        </is>
      </c>
      <c r="L663" s="7" t="inlineStr">
        <is>
          <t>Contrôle lame, guides et liquide de coupe</t>
        </is>
      </c>
      <c r="M663" s="7" t="n"/>
      <c r="N663" s="7" t="inlineStr">
        <is>
          <t>Gamme réalisée - RAS</t>
        </is>
      </c>
      <c r="O663" s="7" t="inlineStr">
        <is>
          <t>Karim Benali</t>
        </is>
      </c>
      <c r="P663" s="65" t="n">
        <v>45958.54513888889</v>
      </c>
      <c r="Q663" s="75" t="n">
        <v>45958.29861111111</v>
      </c>
      <c r="R663" s="75" t="n">
        <v>45958.31944444445</v>
      </c>
      <c r="S663" s="76" t="n">
        <v>0.5</v>
      </c>
      <c r="T663" s="76" t="n">
        <v>0.5</v>
      </c>
      <c r="U663" s="70">
        <f>IF($A663="","",IFERROR(INDEX('Techniciens'!$F$5:$F$44,MATCH(O663,'Techniciens'!$B$5:$B$44,0)),'Paramètres'!$AA$10))</f>
        <v/>
      </c>
      <c r="V663" s="70">
        <f>IF($A663="","",IF(OR(AC663="Demandé",AC663="Planifié",AC663="Annulé"),0,N(T663)*N(U663)))</f>
        <v/>
      </c>
      <c r="W663" s="70">
        <f>IF($A663="","",SUMIFS('Mouvements stock'!$H$5:$H$3004,'Mouvements stock'!$I$5:$I$3004,$A663,'Mouvements stock'!$C$5:$C$3004,"Sortie")-SUMIFS('Mouvements stock'!$H$5:$H$3004,'Mouvements stock'!$I$5:$I$3004,$A663,'Mouvements stock'!$C$5:$C$3004,"Retour"))</f>
        <v/>
      </c>
      <c r="X663" s="66" t="n">
        <v>0</v>
      </c>
      <c r="Y663" s="66" t="n">
        <v>0</v>
      </c>
      <c r="Z663" s="7" t="n"/>
      <c r="AA663" s="70">
        <f>IF($A663="","",N(V663)+N(W663)+N(X663)+N(Y663))</f>
        <v/>
      </c>
      <c r="AB663" s="70">
        <f>IF($A663="","",N(S663)*'Paramètres'!$AA$9*IFERROR(INDEX('Paramètres'!$O$5:$O$7,MATCH(G663,'Paramètres'!$N$5:$N$7,0)),0))</f>
        <v/>
      </c>
      <c r="AC663" s="7" t="inlineStr">
        <is>
          <t>Clôturé</t>
        </is>
      </c>
      <c r="AD663" s="69">
        <f>IF(OR($A663="",Q663=""),"",(Q663-B663)*24)</f>
        <v/>
      </c>
      <c r="AE663" s="69">
        <f>IF(OR(Q663="",R663=""),"",(R663-Q663)*24)</f>
        <v/>
      </c>
      <c r="AF663" s="77">
        <f>IF(OR($A663="",B663=""),"",YEAR(B663))</f>
        <v/>
      </c>
      <c r="AG663" s="77">
        <f>IF(OR($A663="",B663=""),"",MONTH(B663))</f>
        <v/>
      </c>
    </row>
    <row r="664">
      <c r="A664" s="7" t="inlineStr">
        <is>
          <t>OT-2025-0660</t>
        </is>
      </c>
      <c r="B664" s="75" t="n">
        <v>45951.45138888889</v>
      </c>
      <c r="C664" s="7" t="inlineStr">
        <is>
          <t>Plan préventif</t>
        </is>
      </c>
      <c r="D664" s="7" t="inlineStr">
        <is>
          <t>EQ-UTI-005</t>
        </is>
      </c>
      <c r="E664" s="9">
        <f>IF(D664="","",IFERROR(INDEX('Équipements'!$B$5:$B$304,MATCH(D664,'Équipements'!$A$5:$A$304,0)),"Code inconnu"))</f>
        <v/>
      </c>
      <c r="F664" s="9">
        <f>IF(D664="","",IFERROR(INDEX('Équipements'!$D$5:$D$304,MATCH(D664,'Équipements'!$A$5:$A$304,0)),""))</f>
        <v/>
      </c>
      <c r="G664" s="9">
        <f>IF(D664="","",IFERROR(INDEX('Équipements'!$K$5:$K$304,MATCH(D664,'Équipements'!$A$5:$A$304,0)),""))</f>
        <v/>
      </c>
      <c r="H664" s="7" t="inlineStr">
        <is>
          <t>Préventif systématique</t>
        </is>
      </c>
      <c r="I664" s="7" t="inlineStr">
        <is>
          <t>GP-093</t>
        </is>
      </c>
      <c r="J664" s="7" t="inlineStr">
        <is>
          <t>Mécanique</t>
        </is>
      </c>
      <c r="K664" s="7" t="inlineStr">
        <is>
          <t>P3 - Normale</t>
        </is>
      </c>
      <c r="L664" s="7" t="inlineStr">
        <is>
          <t>Remplacement filtres et nettoyage batteries</t>
        </is>
      </c>
      <c r="M664" s="7" t="n"/>
      <c r="N664" s="7" t="inlineStr">
        <is>
          <t>Gamme réalisée - RAS</t>
        </is>
      </c>
      <c r="O664" s="7" t="inlineStr">
        <is>
          <t>Lucas Fontaine</t>
        </is>
      </c>
      <c r="P664" s="65" t="n">
        <v>45958.35416666666</v>
      </c>
      <c r="Q664" s="75" t="n">
        <v>45958.51388888889</v>
      </c>
      <c r="R664" s="75" t="n">
        <v>45958.61805555555</v>
      </c>
      <c r="S664" s="76" t="n">
        <v>0</v>
      </c>
      <c r="T664" s="76" t="n">
        <v>2.5</v>
      </c>
      <c r="U664" s="70">
        <f>IF($A664="","",IFERROR(INDEX('Techniciens'!$F$5:$F$44,MATCH(O664,'Techniciens'!$B$5:$B$44,0)),'Paramètres'!$AA$10))</f>
        <v/>
      </c>
      <c r="V664" s="70">
        <f>IF($A664="","",IF(OR(AC664="Demandé",AC664="Planifié",AC664="Annulé"),0,N(T664)*N(U664)))</f>
        <v/>
      </c>
      <c r="W664" s="70">
        <f>IF($A664="","",SUMIFS('Mouvements stock'!$H$5:$H$3004,'Mouvements stock'!$I$5:$I$3004,$A664,'Mouvements stock'!$C$5:$C$3004,"Sortie")-SUMIFS('Mouvements stock'!$H$5:$H$3004,'Mouvements stock'!$I$5:$I$3004,$A664,'Mouvements stock'!$C$5:$C$3004,"Retour"))</f>
        <v/>
      </c>
      <c r="X664" s="66" t="n">
        <v>0</v>
      </c>
      <c r="Y664" s="66" t="n">
        <v>0</v>
      </c>
      <c r="Z664" s="7" t="n"/>
      <c r="AA664" s="70">
        <f>IF($A664="","",N(V664)+N(W664)+N(X664)+N(Y664))</f>
        <v/>
      </c>
      <c r="AB664" s="70">
        <f>IF($A664="","",N(S664)*'Paramètres'!$AA$9*IFERROR(INDEX('Paramètres'!$O$5:$O$7,MATCH(G664,'Paramètres'!$N$5:$N$7,0)),0))</f>
        <v/>
      </c>
      <c r="AC664" s="7" t="inlineStr">
        <is>
          <t>Clôturé</t>
        </is>
      </c>
      <c r="AD664" s="69">
        <f>IF(OR($A664="",Q664=""),"",(Q664-B664)*24)</f>
        <v/>
      </c>
      <c r="AE664" s="69">
        <f>IF(OR(Q664="",R664=""),"",(R664-Q664)*24)</f>
        <v/>
      </c>
      <c r="AF664" s="77">
        <f>IF(OR($A664="",B664=""),"",YEAR(B664))</f>
        <v/>
      </c>
      <c r="AG664" s="77">
        <f>IF(OR($A664="",B664=""),"",MONTH(B664))</f>
        <v/>
      </c>
    </row>
    <row r="665">
      <c r="A665" s="7" t="inlineStr">
        <is>
          <t>OT-2025-0661</t>
        </is>
      </c>
      <c r="B665" s="75" t="n">
        <v>45951.45833333334</v>
      </c>
      <c r="C665" s="7" t="inlineStr">
        <is>
          <t>Plan préventif</t>
        </is>
      </c>
      <c r="D665" s="7" t="inlineStr">
        <is>
          <t>EQ-USI-005</t>
        </is>
      </c>
      <c r="E665" s="9">
        <f>IF(D665="","",IFERROR(INDEX('Équipements'!$B$5:$B$304,MATCH(D665,'Équipements'!$A$5:$A$304,0)),"Code inconnu"))</f>
        <v/>
      </c>
      <c r="F665" s="9">
        <f>IF(D665="","",IFERROR(INDEX('Équipements'!$D$5:$D$304,MATCH(D665,'Équipements'!$A$5:$A$304,0)),""))</f>
        <v/>
      </c>
      <c r="G665" s="9">
        <f>IF(D665="","",IFERROR(INDEX('Équipements'!$K$5:$K$304,MATCH(D665,'Équipements'!$A$5:$A$304,0)),""))</f>
        <v/>
      </c>
      <c r="H665" s="7" t="inlineStr">
        <is>
          <t>Préventif systématique</t>
        </is>
      </c>
      <c r="I665" s="7" t="inlineStr">
        <is>
          <t>GP-017</t>
        </is>
      </c>
      <c r="J665" s="7" t="inlineStr">
        <is>
          <t>Mécanique</t>
        </is>
      </c>
      <c r="K665" s="7" t="inlineStr">
        <is>
          <t>P3 - Normale</t>
        </is>
      </c>
      <c r="L665" s="7" t="inlineStr">
        <is>
          <t>Contrôle niveaux, nettoyage filtres et bac à copeaux</t>
        </is>
      </c>
      <c r="M665" s="7" t="n"/>
      <c r="N665" s="7" t="inlineStr">
        <is>
          <t>Gamme réalisée - RAS</t>
        </is>
      </c>
      <c r="O665" s="7" t="inlineStr">
        <is>
          <t>Karim Benali</t>
        </is>
      </c>
      <c r="P665" s="65" t="n">
        <v>45958.63194444445</v>
      </c>
      <c r="Q665" s="75" t="n">
        <v>45958.26388888889</v>
      </c>
      <c r="R665" s="75" t="n">
        <v>45958.33680555555</v>
      </c>
      <c r="S665" s="76" t="n">
        <v>1.8</v>
      </c>
      <c r="T665" s="76" t="n">
        <v>1.75</v>
      </c>
      <c r="U665" s="70">
        <f>IF($A665="","",IFERROR(INDEX('Techniciens'!$F$5:$F$44,MATCH(O665,'Techniciens'!$B$5:$B$44,0)),'Paramètres'!$AA$10))</f>
        <v/>
      </c>
      <c r="V665" s="70">
        <f>IF($A665="","",IF(OR(AC665="Demandé",AC665="Planifié",AC665="Annulé"),0,N(T665)*N(U665)))</f>
        <v/>
      </c>
      <c r="W665" s="70">
        <f>IF($A665="","",SUMIFS('Mouvements stock'!$H$5:$H$3004,'Mouvements stock'!$I$5:$I$3004,$A665,'Mouvements stock'!$C$5:$C$3004,"Sortie")-SUMIFS('Mouvements stock'!$H$5:$H$3004,'Mouvements stock'!$I$5:$I$3004,$A665,'Mouvements stock'!$C$5:$C$3004,"Retour"))</f>
        <v/>
      </c>
      <c r="X665" s="66" t="n">
        <v>0</v>
      </c>
      <c r="Y665" s="66" t="n">
        <v>0</v>
      </c>
      <c r="Z665" s="7" t="n"/>
      <c r="AA665" s="70">
        <f>IF($A665="","",N(V665)+N(W665)+N(X665)+N(Y665))</f>
        <v/>
      </c>
      <c r="AB665" s="70">
        <f>IF($A665="","",N(S665)*'Paramètres'!$AA$9*IFERROR(INDEX('Paramètres'!$O$5:$O$7,MATCH(G665,'Paramètres'!$N$5:$N$7,0)),0))</f>
        <v/>
      </c>
      <c r="AC665" s="7" t="inlineStr">
        <is>
          <t>Clôturé</t>
        </is>
      </c>
      <c r="AD665" s="69">
        <f>IF(OR($A665="",Q665=""),"",(Q665-B665)*24)</f>
        <v/>
      </c>
      <c r="AE665" s="69">
        <f>IF(OR(Q665="",R665=""),"",(R665-Q665)*24)</f>
        <v/>
      </c>
      <c r="AF665" s="77">
        <f>IF(OR($A665="",B665=""),"",YEAR(B665))</f>
        <v/>
      </c>
      <c r="AG665" s="77">
        <f>IF(OR($A665="",B665=""),"",MONTH(B665))</f>
        <v/>
      </c>
    </row>
    <row r="666">
      <c r="A666" s="7" t="inlineStr">
        <is>
          <t>OT-2025-0662</t>
        </is>
      </c>
      <c r="B666" s="75" t="n">
        <v>45952.38888888889</v>
      </c>
      <c r="C666" s="7" t="inlineStr">
        <is>
          <t>Plan préventif</t>
        </is>
      </c>
      <c r="D666" s="7" t="inlineStr">
        <is>
          <t>EQ-PEI-005</t>
        </is>
      </c>
      <c r="E666" s="9">
        <f>IF(D666="","",IFERROR(INDEX('Équipements'!$B$5:$B$304,MATCH(D666,'Équipements'!$A$5:$A$304,0)),"Code inconnu"))</f>
        <v/>
      </c>
      <c r="F666" s="9">
        <f>IF(D666="","",IFERROR(INDEX('Équipements'!$D$5:$D$304,MATCH(D666,'Équipements'!$A$5:$A$304,0)),""))</f>
        <v/>
      </c>
      <c r="G666" s="9">
        <f>IF(D666="","",IFERROR(INDEX('Équipements'!$K$5:$K$304,MATCH(D666,'Équipements'!$A$5:$A$304,0)),""))</f>
        <v/>
      </c>
      <c r="H666" s="7" t="inlineStr">
        <is>
          <t>Préventif systématique</t>
        </is>
      </c>
      <c r="I666" s="7" t="inlineStr">
        <is>
          <t>GP-074</t>
        </is>
      </c>
      <c r="J666" s="7" t="inlineStr">
        <is>
          <t>Mécanique</t>
        </is>
      </c>
      <c r="K666" s="7" t="inlineStr">
        <is>
          <t>P3 - Normale</t>
        </is>
      </c>
      <c r="L666" s="7" t="inlineStr">
        <is>
          <t>Nettoyage et remplacement des filtres</t>
        </is>
      </c>
      <c r="M666" s="7" t="n"/>
      <c r="N666" s="7" t="inlineStr">
        <is>
          <t>Gamme réalisée - RAS</t>
        </is>
      </c>
      <c r="O666" s="7" t="inlineStr">
        <is>
          <t>Lucas Fontaine</t>
        </is>
      </c>
      <c r="P666" s="65" t="n">
        <v>45959.48958333334</v>
      </c>
      <c r="Q666" s="75" t="n">
        <v>45959.41666666666</v>
      </c>
      <c r="R666" s="75" t="n">
        <v>45959.55208333334</v>
      </c>
      <c r="S666" s="76" t="n">
        <v>1.6</v>
      </c>
      <c r="T666" s="76" t="n">
        <v>3.25</v>
      </c>
      <c r="U666" s="70">
        <f>IF($A666="","",IFERROR(INDEX('Techniciens'!$F$5:$F$44,MATCH(O666,'Techniciens'!$B$5:$B$44,0)),'Paramètres'!$AA$10))</f>
        <v/>
      </c>
      <c r="V666" s="70">
        <f>IF($A666="","",IF(OR(AC666="Demandé",AC666="Planifié",AC666="Annulé"),0,N(T666)*N(U666)))</f>
        <v/>
      </c>
      <c r="W666" s="70">
        <f>IF($A666="","",SUMIFS('Mouvements stock'!$H$5:$H$3004,'Mouvements stock'!$I$5:$I$3004,$A666,'Mouvements stock'!$C$5:$C$3004,"Sortie")-SUMIFS('Mouvements stock'!$H$5:$H$3004,'Mouvements stock'!$I$5:$I$3004,$A666,'Mouvements stock'!$C$5:$C$3004,"Retour"))</f>
        <v/>
      </c>
      <c r="X666" s="66" t="n">
        <v>0</v>
      </c>
      <c r="Y666" s="66" t="n">
        <v>0</v>
      </c>
      <c r="Z666" s="7" t="n"/>
      <c r="AA666" s="70">
        <f>IF($A666="","",N(V666)+N(W666)+N(X666)+N(Y666))</f>
        <v/>
      </c>
      <c r="AB666" s="70">
        <f>IF($A666="","",N(S666)*'Paramètres'!$AA$9*IFERROR(INDEX('Paramètres'!$O$5:$O$7,MATCH(G666,'Paramètres'!$N$5:$N$7,0)),0))</f>
        <v/>
      </c>
      <c r="AC666" s="7" t="inlineStr">
        <is>
          <t>Clôturé</t>
        </is>
      </c>
      <c r="AD666" s="69">
        <f>IF(OR($A666="",Q666=""),"",(Q666-B666)*24)</f>
        <v/>
      </c>
      <c r="AE666" s="69">
        <f>IF(OR(Q666="",R666=""),"",(R666-Q666)*24)</f>
        <v/>
      </c>
      <c r="AF666" s="77">
        <f>IF(OR($A666="",B666=""),"",YEAR(B666))</f>
        <v/>
      </c>
      <c r="AG666" s="77">
        <f>IF(OR($A666="",B666=""),"",MONTH(B666))</f>
        <v/>
      </c>
    </row>
    <row r="667">
      <c r="A667" s="7" t="inlineStr">
        <is>
          <t>OT-2025-0663</t>
        </is>
      </c>
      <c r="B667" s="75" t="n">
        <v>45952.42708333334</v>
      </c>
      <c r="C667" s="7" t="inlineStr">
        <is>
          <t>Plan préventif</t>
        </is>
      </c>
      <c r="D667" s="7" t="inlineStr">
        <is>
          <t>EQ-UTI-010</t>
        </is>
      </c>
      <c r="E667" s="9">
        <f>IF(D667="","",IFERROR(INDEX('Équipements'!$B$5:$B$304,MATCH(D667,'Équipements'!$A$5:$A$304,0)),"Code inconnu"))</f>
        <v/>
      </c>
      <c r="F667" s="9">
        <f>IF(D667="","",IFERROR(INDEX('Équipements'!$D$5:$D$304,MATCH(D667,'Équipements'!$A$5:$A$304,0)),""))</f>
        <v/>
      </c>
      <c r="G667" s="9">
        <f>IF(D667="","",IFERROR(INDEX('Équipements'!$K$5:$K$304,MATCH(D667,'Équipements'!$A$5:$A$304,0)),""))</f>
        <v/>
      </c>
      <c r="H667" s="7" t="inlineStr">
        <is>
          <t>Préventif systématique</t>
        </is>
      </c>
      <c r="I667" s="7" t="inlineStr">
        <is>
          <t>GP-104</t>
        </is>
      </c>
      <c r="J667" s="7" t="inlineStr">
        <is>
          <t>Électrique</t>
        </is>
      </c>
      <c r="K667" s="7" t="inlineStr">
        <is>
          <t>P3 - Normale</t>
        </is>
      </c>
      <c r="L667" s="7" t="inlineStr">
        <is>
          <t>Essai mensuel à charge du groupe électrogène</t>
        </is>
      </c>
      <c r="M667" s="7" t="n"/>
      <c r="N667" s="7" t="inlineStr">
        <is>
          <t>Gamme réalisée - DI émise pour remplacement pièce</t>
        </is>
      </c>
      <c r="O667" s="7" t="inlineStr">
        <is>
          <t>Julien Moreau</t>
        </is>
      </c>
      <c r="P667" s="65" t="n">
        <v>45959.62847222222</v>
      </c>
      <c r="Q667" s="75" t="n">
        <v>45959.34027777778</v>
      </c>
      <c r="R667" s="75" t="n">
        <v>45959.39236111111</v>
      </c>
      <c r="S667" s="76" t="n">
        <v>0</v>
      </c>
      <c r="T667" s="76" t="n">
        <v>1.25</v>
      </c>
      <c r="U667" s="70">
        <f>IF($A667="","",IFERROR(INDEX('Techniciens'!$F$5:$F$44,MATCH(O667,'Techniciens'!$B$5:$B$44,0)),'Paramètres'!$AA$10))</f>
        <v/>
      </c>
      <c r="V667" s="70">
        <f>IF($A667="","",IF(OR(AC667="Demandé",AC667="Planifié",AC667="Annulé"),0,N(T667)*N(U667)))</f>
        <v/>
      </c>
      <c r="W667" s="70">
        <f>IF($A667="","",SUMIFS('Mouvements stock'!$H$5:$H$3004,'Mouvements stock'!$I$5:$I$3004,$A667,'Mouvements stock'!$C$5:$C$3004,"Sortie")-SUMIFS('Mouvements stock'!$H$5:$H$3004,'Mouvements stock'!$I$5:$I$3004,$A667,'Mouvements stock'!$C$5:$C$3004,"Retour"))</f>
        <v/>
      </c>
      <c r="X667" s="66" t="n">
        <v>0</v>
      </c>
      <c r="Y667" s="66" t="n">
        <v>0</v>
      </c>
      <c r="Z667" s="7" t="n"/>
      <c r="AA667" s="70">
        <f>IF($A667="","",N(V667)+N(W667)+N(X667)+N(Y667))</f>
        <v/>
      </c>
      <c r="AB667" s="70">
        <f>IF($A667="","",N(S667)*'Paramètres'!$AA$9*IFERROR(INDEX('Paramètres'!$O$5:$O$7,MATCH(G667,'Paramètres'!$N$5:$N$7,0)),0))</f>
        <v/>
      </c>
      <c r="AC667" s="7" t="inlineStr">
        <is>
          <t>Clôturé</t>
        </is>
      </c>
      <c r="AD667" s="69">
        <f>IF(OR($A667="",Q667=""),"",(Q667-B667)*24)</f>
        <v/>
      </c>
      <c r="AE667" s="69">
        <f>IF(OR(Q667="",R667=""),"",(R667-Q667)*24)</f>
        <v/>
      </c>
      <c r="AF667" s="77">
        <f>IF(OR($A667="",B667=""),"",YEAR(B667))</f>
        <v/>
      </c>
      <c r="AG667" s="77">
        <f>IF(OR($A667="",B667=""),"",MONTH(B667))</f>
        <v/>
      </c>
    </row>
    <row r="668">
      <c r="A668" s="7" t="inlineStr">
        <is>
          <t>OT-2025-0664</t>
        </is>
      </c>
      <c r="B668" s="75" t="n">
        <v>45953.34930555556</v>
      </c>
      <c r="C668" s="7" t="inlineStr">
        <is>
          <t>Céline Morel (cheffe d'atelier)</t>
        </is>
      </c>
      <c r="D668" s="7" t="inlineStr">
        <is>
          <t>EQ-TOL-007</t>
        </is>
      </c>
      <c r="E668" s="9">
        <f>IF(D668="","",IFERROR(INDEX('Équipements'!$B$5:$B$304,MATCH(D668,'Équipements'!$A$5:$A$304,0)),"Code inconnu"))</f>
        <v/>
      </c>
      <c r="F668" s="9">
        <f>IF(D668="","",IFERROR(INDEX('Équipements'!$D$5:$D$304,MATCH(D668,'Équipements'!$A$5:$A$304,0)),""))</f>
        <v/>
      </c>
      <c r="G668" s="9">
        <f>IF(D668="","",IFERROR(INDEX('Équipements'!$K$5:$K$304,MATCH(D668,'Équipements'!$A$5:$A$304,0)),""))</f>
        <v/>
      </c>
      <c r="H668" s="7" t="inlineStr">
        <is>
          <t>Correctif</t>
        </is>
      </c>
      <c r="I668" s="7" t="n"/>
      <c r="J668" s="7" t="inlineStr">
        <is>
          <t>Mécanique</t>
        </is>
      </c>
      <c r="K668" s="7" t="inlineStr">
        <is>
          <t>P1 - Urgent</t>
        </is>
      </c>
      <c r="L668" s="7" t="inlineStr">
        <is>
          <t>Roulement de tambour bruyant</t>
        </is>
      </c>
      <c r="M668" s="7" t="inlineStr">
        <is>
          <t>Usure</t>
        </is>
      </c>
      <c r="N668" s="7" t="inlineStr">
        <is>
          <t>Remplacement roulements et palier</t>
        </is>
      </c>
      <c r="O668" s="7" t="inlineStr">
        <is>
          <t>Antoine Mercier</t>
        </is>
      </c>
      <c r="P668" s="65" t="n"/>
      <c r="Q668" s="75" t="n">
        <v>45953.3625</v>
      </c>
      <c r="R668" s="75" t="n">
        <v>45953.55</v>
      </c>
      <c r="S668" s="76" t="n">
        <v>4.8</v>
      </c>
      <c r="T668" s="76" t="n">
        <v>4.5</v>
      </c>
      <c r="U668" s="70">
        <f>IF($A668="","",IFERROR(INDEX('Techniciens'!$F$5:$F$44,MATCH(O668,'Techniciens'!$B$5:$B$44,0)),'Paramètres'!$AA$10))</f>
        <v/>
      </c>
      <c r="V668" s="70">
        <f>IF($A668="","",IF(OR(AC668="Demandé",AC668="Planifié",AC668="Annulé"),0,N(T668)*N(U668)))</f>
        <v/>
      </c>
      <c r="W668" s="70">
        <f>IF($A668="","",SUMIFS('Mouvements stock'!$H$5:$H$3004,'Mouvements stock'!$I$5:$I$3004,$A668,'Mouvements stock'!$C$5:$C$3004,"Sortie")-SUMIFS('Mouvements stock'!$H$5:$H$3004,'Mouvements stock'!$I$5:$I$3004,$A668,'Mouvements stock'!$C$5:$C$3004,"Retour"))</f>
        <v/>
      </c>
      <c r="X668" s="66" t="n">
        <v>0</v>
      </c>
      <c r="Y668" s="66" t="n">
        <v>0</v>
      </c>
      <c r="Z668" s="7" t="n"/>
      <c r="AA668" s="70">
        <f>IF($A668="","",N(V668)+N(W668)+N(X668)+N(Y668))</f>
        <v/>
      </c>
      <c r="AB668" s="70">
        <f>IF($A668="","",N(S668)*'Paramètres'!$AA$9*IFERROR(INDEX('Paramètres'!$O$5:$O$7,MATCH(G668,'Paramètres'!$N$5:$N$7,0)),0))</f>
        <v/>
      </c>
      <c r="AC668" s="7" t="inlineStr">
        <is>
          <t>Clôturé</t>
        </is>
      </c>
      <c r="AD668" s="69">
        <f>IF(OR($A668="",Q668=""),"",(Q668-B668)*24)</f>
        <v/>
      </c>
      <c r="AE668" s="69">
        <f>IF(OR(Q668="",R668=""),"",(R668-Q668)*24)</f>
        <v/>
      </c>
      <c r="AF668" s="77">
        <f>IF(OR($A668="",B668=""),"",YEAR(B668))</f>
        <v/>
      </c>
      <c r="AG668" s="77">
        <f>IF(OR($A668="",B668=""),"",MONTH(B668))</f>
        <v/>
      </c>
    </row>
    <row r="669">
      <c r="A669" s="7" t="inlineStr">
        <is>
          <t>OT-2025-0665</t>
        </is>
      </c>
      <c r="B669" s="75" t="n">
        <v>45953.88055555556</v>
      </c>
      <c r="C669" s="7" t="inlineStr">
        <is>
          <t>Sylvie Mathieu (resp. logistique)</t>
        </is>
      </c>
      <c r="D669" s="7" t="inlineStr">
        <is>
          <t>EQ-LOG-007</t>
        </is>
      </c>
      <c r="E669" s="9">
        <f>IF(D669="","",IFERROR(INDEX('Équipements'!$B$5:$B$304,MATCH(D669,'Équipements'!$A$5:$A$304,0)),"Code inconnu"))</f>
        <v/>
      </c>
      <c r="F669" s="9">
        <f>IF(D669="","",IFERROR(INDEX('Équipements'!$D$5:$D$304,MATCH(D669,'Équipements'!$A$5:$A$304,0)),""))</f>
        <v/>
      </c>
      <c r="G669" s="9">
        <f>IF(D669="","",IFERROR(INDEX('Équipements'!$K$5:$K$304,MATCH(D669,'Équipements'!$A$5:$A$304,0)),""))</f>
        <v/>
      </c>
      <c r="H669" s="7" t="inlineStr">
        <is>
          <t>Correctif</t>
        </is>
      </c>
      <c r="I669" s="7" t="n"/>
      <c r="J669" s="7" t="inlineStr">
        <is>
          <t>Électrique</t>
        </is>
      </c>
      <c r="K669" s="7" t="inlineStr">
        <is>
          <t>P1 - Urgent</t>
        </is>
      </c>
      <c r="L669" s="7" t="inlineStr">
        <is>
          <t>Défaut boîte à boutons de commande</t>
        </is>
      </c>
      <c r="M669" s="7" t="inlineStr">
        <is>
          <t>Défaut électrique</t>
        </is>
      </c>
      <c r="N669" s="7" t="inlineStr">
        <is>
          <t>Remplacement contacteur de boîte à boutons</t>
        </is>
      </c>
      <c r="O669" s="7" t="inlineStr">
        <is>
          <t>Julien Moreau</t>
        </is>
      </c>
      <c r="P669" s="65" t="n"/>
      <c r="Q669" s="75" t="n">
        <v>45953.89513888889</v>
      </c>
      <c r="R669" s="75" t="n">
        <v>45953.94722222222</v>
      </c>
      <c r="S669" s="76" t="n">
        <v>1.6</v>
      </c>
      <c r="T669" s="76" t="n">
        <v>1.25</v>
      </c>
      <c r="U669" s="70">
        <f>IF($A669="","",IFERROR(INDEX('Techniciens'!$F$5:$F$44,MATCH(O669,'Techniciens'!$B$5:$B$44,0)),'Paramètres'!$AA$10))</f>
        <v/>
      </c>
      <c r="V669" s="70">
        <f>IF($A669="","",IF(OR(AC669="Demandé",AC669="Planifié",AC669="Annulé"),0,N(T669)*N(U669)))</f>
        <v/>
      </c>
      <c r="W669" s="70">
        <f>IF($A669="","",SUMIFS('Mouvements stock'!$H$5:$H$3004,'Mouvements stock'!$I$5:$I$3004,$A669,'Mouvements stock'!$C$5:$C$3004,"Sortie")-SUMIFS('Mouvements stock'!$H$5:$H$3004,'Mouvements stock'!$I$5:$I$3004,$A669,'Mouvements stock'!$C$5:$C$3004,"Retour"))</f>
        <v/>
      </c>
      <c r="X669" s="66" t="n">
        <v>0</v>
      </c>
      <c r="Y669" s="66" t="n">
        <v>0</v>
      </c>
      <c r="Z669" s="7" t="n"/>
      <c r="AA669" s="70">
        <f>IF($A669="","",N(V669)+N(W669)+N(X669)+N(Y669))</f>
        <v/>
      </c>
      <c r="AB669" s="70">
        <f>IF($A669="","",N(S669)*'Paramètres'!$AA$9*IFERROR(INDEX('Paramètres'!$O$5:$O$7,MATCH(G669,'Paramètres'!$N$5:$N$7,0)),0))</f>
        <v/>
      </c>
      <c r="AC669" s="7" t="inlineStr">
        <is>
          <t>Clôturé</t>
        </is>
      </c>
      <c r="AD669" s="69">
        <f>IF(OR($A669="",Q669=""),"",(Q669-B669)*24)</f>
        <v/>
      </c>
      <c r="AE669" s="69">
        <f>IF(OR(Q669="",R669=""),"",(R669-Q669)*24)</f>
        <v/>
      </c>
      <c r="AF669" s="77">
        <f>IF(OR($A669="",B669=""),"",YEAR(B669))</f>
        <v/>
      </c>
      <c r="AG669" s="77">
        <f>IF(OR($A669="",B669=""),"",MONTH(B669))</f>
        <v/>
      </c>
    </row>
    <row r="670">
      <c r="A670" s="7" t="inlineStr">
        <is>
          <t>OT-2025-0666</t>
        </is>
      </c>
      <c r="B670" s="75" t="n">
        <v>45954.36458333334</v>
      </c>
      <c r="C670" s="7" t="inlineStr">
        <is>
          <t>Plan préventif</t>
        </is>
      </c>
      <c r="D670" s="7" t="inlineStr">
        <is>
          <t>EQ-PEI-004</t>
        </is>
      </c>
      <c r="E670" s="9">
        <f>IF(D670="","",IFERROR(INDEX('Équipements'!$B$5:$B$304,MATCH(D670,'Équipements'!$A$5:$A$304,0)),"Code inconnu"))</f>
        <v/>
      </c>
      <c r="F670" s="9">
        <f>IF(D670="","",IFERROR(INDEX('Équipements'!$D$5:$D$304,MATCH(D670,'Équipements'!$A$5:$A$304,0)),""))</f>
        <v/>
      </c>
      <c r="G670" s="9">
        <f>IF(D670="","",IFERROR(INDEX('Équipements'!$K$5:$K$304,MATCH(D670,'Équipements'!$A$5:$A$304,0)),""))</f>
        <v/>
      </c>
      <c r="H670" s="7" t="inlineStr">
        <is>
          <t>Préventif systématique</t>
        </is>
      </c>
      <c r="I670" s="7" t="inlineStr">
        <is>
          <t>GP-072</t>
        </is>
      </c>
      <c r="J670" s="7" t="inlineStr">
        <is>
          <t>Mécanique</t>
        </is>
      </c>
      <c r="K670" s="7" t="inlineStr">
        <is>
          <t>P3 - Normale</t>
        </is>
      </c>
      <c r="L670" s="7" t="inlineStr">
        <is>
          <t>Graissage chaîne / galets et contrôle tension</t>
        </is>
      </c>
      <c r="M670" s="7" t="n"/>
      <c r="N670" s="7" t="inlineStr">
        <is>
          <t>Gamme réalisée - RAS</t>
        </is>
      </c>
      <c r="O670" s="7" t="inlineStr">
        <is>
          <t>Karim Benali</t>
        </is>
      </c>
      <c r="P670" s="65" t="n">
        <v>45961.50347222222</v>
      </c>
      <c r="Q670" s="75" t="n">
        <v>45961.51041666666</v>
      </c>
      <c r="R670" s="75" t="n">
        <v>45961.625</v>
      </c>
      <c r="S670" s="76" t="n">
        <v>1.4</v>
      </c>
      <c r="T670" s="76" t="n">
        <v>2.75</v>
      </c>
      <c r="U670" s="70">
        <f>IF($A670="","",IFERROR(INDEX('Techniciens'!$F$5:$F$44,MATCH(O670,'Techniciens'!$B$5:$B$44,0)),'Paramètres'!$AA$10))</f>
        <v/>
      </c>
      <c r="V670" s="70">
        <f>IF($A670="","",IF(OR(AC670="Demandé",AC670="Planifié",AC670="Annulé"),0,N(T670)*N(U670)))</f>
        <v/>
      </c>
      <c r="W670" s="70">
        <f>IF($A670="","",SUMIFS('Mouvements stock'!$H$5:$H$3004,'Mouvements stock'!$I$5:$I$3004,$A670,'Mouvements stock'!$C$5:$C$3004,"Sortie")-SUMIFS('Mouvements stock'!$H$5:$H$3004,'Mouvements stock'!$I$5:$I$3004,$A670,'Mouvements stock'!$C$5:$C$3004,"Retour"))</f>
        <v/>
      </c>
      <c r="X670" s="66" t="n">
        <v>0</v>
      </c>
      <c r="Y670" s="66" t="n">
        <v>0</v>
      </c>
      <c r="Z670" s="7" t="n"/>
      <c r="AA670" s="70">
        <f>IF($A670="","",N(V670)+N(W670)+N(X670)+N(Y670))</f>
        <v/>
      </c>
      <c r="AB670" s="70">
        <f>IF($A670="","",N(S670)*'Paramètres'!$AA$9*IFERROR(INDEX('Paramètres'!$O$5:$O$7,MATCH(G670,'Paramètres'!$N$5:$N$7,0)),0))</f>
        <v/>
      </c>
      <c r="AC670" s="7" t="inlineStr">
        <is>
          <t>Clôturé</t>
        </is>
      </c>
      <c r="AD670" s="69">
        <f>IF(OR($A670="",Q670=""),"",(Q670-B670)*24)</f>
        <v/>
      </c>
      <c r="AE670" s="69">
        <f>IF(OR(Q670="",R670=""),"",(R670-Q670)*24)</f>
        <v/>
      </c>
      <c r="AF670" s="77">
        <f>IF(OR($A670="",B670=""),"",YEAR(B670))</f>
        <v/>
      </c>
      <c r="AG670" s="77">
        <f>IF(OR($A670="",B670=""),"",MONTH(B670))</f>
        <v/>
      </c>
    </row>
    <row r="671">
      <c r="A671" s="7" t="inlineStr">
        <is>
          <t>OT-2025-0667</t>
        </is>
      </c>
      <c r="B671" s="75" t="n">
        <v>45954.55833333333</v>
      </c>
      <c r="C671" s="7" t="inlineStr">
        <is>
          <t>Ronde maintenance</t>
        </is>
      </c>
      <c r="D671" s="7" t="inlineStr">
        <is>
          <t>EQ-UTI-001</t>
        </is>
      </c>
      <c r="E671" s="9">
        <f>IF(D671="","",IFERROR(INDEX('Équipements'!$B$5:$B$304,MATCH(D671,'Équipements'!$A$5:$A$304,0)),"Code inconnu"))</f>
        <v/>
      </c>
      <c r="F671" s="9">
        <f>IF(D671="","",IFERROR(INDEX('Équipements'!$D$5:$D$304,MATCH(D671,'Équipements'!$A$5:$A$304,0)),""))</f>
        <v/>
      </c>
      <c r="G671" s="9">
        <f>IF(D671="","",IFERROR(INDEX('Équipements'!$K$5:$K$304,MATCH(D671,'Équipements'!$A$5:$A$304,0)),""))</f>
        <v/>
      </c>
      <c r="H671" s="7" t="inlineStr">
        <is>
          <t>Correctif</t>
        </is>
      </c>
      <c r="I671" s="7" t="n"/>
      <c r="J671" s="7" t="inlineStr">
        <is>
          <t>Pneumatique</t>
        </is>
      </c>
      <c r="K671" s="7" t="inlineStr">
        <is>
          <t>P1 - Urgent</t>
        </is>
      </c>
      <c r="L671" s="7" t="inlineStr">
        <is>
          <t>Fuite d'air importante sur réseau</t>
        </is>
      </c>
      <c r="M671" s="7" t="inlineStr">
        <is>
          <t>Fuite</t>
        </is>
      </c>
      <c r="N671" s="7" t="inlineStr">
        <is>
          <t>Recherche de fuites aux ultrasons, remplacement raccords</t>
        </is>
      </c>
      <c r="O671" s="7" t="inlineStr">
        <is>
          <t>Lucas Fontaine</t>
        </is>
      </c>
      <c r="P671" s="65" t="n"/>
      <c r="Q671" s="75" t="n">
        <v>45954.57569444444</v>
      </c>
      <c r="R671" s="75" t="n">
        <v>45954.79444444444</v>
      </c>
      <c r="S671" s="76" t="n">
        <v>5.7</v>
      </c>
      <c r="T671" s="76" t="n">
        <v>5.25</v>
      </c>
      <c r="U671" s="70">
        <f>IF($A671="","",IFERROR(INDEX('Techniciens'!$F$5:$F$44,MATCH(O671,'Techniciens'!$B$5:$B$44,0)),'Paramètres'!$AA$10))</f>
        <v/>
      </c>
      <c r="V671" s="70">
        <f>IF($A671="","",IF(OR(AC671="Demandé",AC671="Planifié",AC671="Annulé"),0,N(T671)*N(U671)))</f>
        <v/>
      </c>
      <c r="W671" s="70">
        <f>IF($A671="","",SUMIFS('Mouvements stock'!$H$5:$H$3004,'Mouvements stock'!$I$5:$I$3004,$A671,'Mouvements stock'!$C$5:$C$3004,"Sortie")-SUMIFS('Mouvements stock'!$H$5:$H$3004,'Mouvements stock'!$I$5:$I$3004,$A671,'Mouvements stock'!$C$5:$C$3004,"Retour"))</f>
        <v/>
      </c>
      <c r="X671" s="66" t="n">
        <v>0</v>
      </c>
      <c r="Y671" s="66" t="n">
        <v>0</v>
      </c>
      <c r="Z671" s="7" t="n"/>
      <c r="AA671" s="70">
        <f>IF($A671="","",N(V671)+N(W671)+N(X671)+N(Y671))</f>
        <v/>
      </c>
      <c r="AB671" s="70">
        <f>IF($A671="","",N(S671)*'Paramètres'!$AA$9*IFERROR(INDEX('Paramètres'!$O$5:$O$7,MATCH(G671,'Paramètres'!$N$5:$N$7,0)),0))</f>
        <v/>
      </c>
      <c r="AC671" s="7" t="inlineStr">
        <is>
          <t>Clôturé</t>
        </is>
      </c>
      <c r="AD671" s="69">
        <f>IF(OR($A671="",Q671=""),"",(Q671-B671)*24)</f>
        <v/>
      </c>
      <c r="AE671" s="69">
        <f>IF(OR(Q671="",R671=""),"",(R671-Q671)*24)</f>
        <v/>
      </c>
      <c r="AF671" s="77">
        <f>IF(OR($A671="",B671=""),"",YEAR(B671))</f>
        <v/>
      </c>
      <c r="AG671" s="77">
        <f>IF(OR($A671="",B671=""),"",MONTH(B671))</f>
        <v/>
      </c>
    </row>
    <row r="672">
      <c r="A672" s="7" t="inlineStr">
        <is>
          <t>OT-2025-0668</t>
        </is>
      </c>
      <c r="B672" s="75" t="n">
        <v>45955.82916666667</v>
      </c>
      <c r="C672" s="7" t="inlineStr">
        <is>
          <t>Hugo Blanc (chef d'équipe)</t>
        </is>
      </c>
      <c r="D672" s="7" t="inlineStr">
        <is>
          <t>EQ-SOU-001</t>
        </is>
      </c>
      <c r="E672" s="9">
        <f>IF(D672="","",IFERROR(INDEX('Équipements'!$B$5:$B$304,MATCH(D672,'Équipements'!$A$5:$A$304,0)),"Code inconnu"))</f>
        <v/>
      </c>
      <c r="F672" s="9">
        <f>IF(D672="","",IFERROR(INDEX('Équipements'!$D$5:$D$304,MATCH(D672,'Équipements'!$A$5:$A$304,0)),""))</f>
        <v/>
      </c>
      <c r="G672" s="9">
        <f>IF(D672="","",IFERROR(INDEX('Équipements'!$K$5:$K$304,MATCH(D672,'Équipements'!$A$5:$A$304,0)),""))</f>
        <v/>
      </c>
      <c r="H672" s="7" t="inlineStr">
        <is>
          <t>Correctif</t>
        </is>
      </c>
      <c r="I672" s="7" t="n"/>
      <c r="J672" s="7" t="inlineStr">
        <is>
          <t>Automatisme</t>
        </is>
      </c>
      <c r="K672" s="7" t="inlineStr">
        <is>
          <t>P1 - Urgent</t>
        </is>
      </c>
      <c r="L672" s="7" t="inlineStr">
        <is>
          <t>Défaut préhenseur / capteur de présence pièce</t>
        </is>
      </c>
      <c r="M672" s="7" t="inlineStr">
        <is>
          <t>Défaut capteur</t>
        </is>
      </c>
      <c r="N672" s="7" t="inlineStr">
        <is>
          <t>Remplacement détecteur, réglage préhenseur</t>
        </is>
      </c>
      <c r="O672" s="7" t="inlineStr">
        <is>
          <t>Julien Moreau</t>
        </is>
      </c>
      <c r="P672" s="65" t="n"/>
      <c r="Q672" s="75" t="n">
        <v>45955.85972222222</v>
      </c>
      <c r="R672" s="75" t="n">
        <v>45956.52638888889</v>
      </c>
      <c r="S672" s="76" t="n">
        <v>16.7</v>
      </c>
      <c r="T672" s="76" t="n">
        <v>16</v>
      </c>
      <c r="U672" s="70">
        <f>IF($A672="","",IFERROR(INDEX('Techniciens'!$F$5:$F$44,MATCH(O672,'Techniciens'!$B$5:$B$44,0)),'Paramètres'!$AA$10))</f>
        <v/>
      </c>
      <c r="V672" s="70">
        <f>IF($A672="","",IF(OR(AC672="Demandé",AC672="Planifié",AC672="Annulé"),0,N(T672)*N(U672)))</f>
        <v/>
      </c>
      <c r="W672" s="70">
        <f>IF($A672="","",SUMIFS('Mouvements stock'!$H$5:$H$3004,'Mouvements stock'!$I$5:$I$3004,$A672,'Mouvements stock'!$C$5:$C$3004,"Sortie")-SUMIFS('Mouvements stock'!$H$5:$H$3004,'Mouvements stock'!$I$5:$I$3004,$A672,'Mouvements stock'!$C$5:$C$3004,"Retour"))</f>
        <v/>
      </c>
      <c r="X672" s="66" t="n">
        <v>0</v>
      </c>
      <c r="Y672" s="66" t="n">
        <v>0</v>
      </c>
      <c r="Z672" s="7" t="n"/>
      <c r="AA672" s="70">
        <f>IF($A672="","",N(V672)+N(W672)+N(X672)+N(Y672))</f>
        <v/>
      </c>
      <c r="AB672" s="70">
        <f>IF($A672="","",N(S672)*'Paramètres'!$AA$9*IFERROR(INDEX('Paramètres'!$O$5:$O$7,MATCH(G672,'Paramètres'!$N$5:$N$7,0)),0))</f>
        <v/>
      </c>
      <c r="AC672" s="7" t="inlineStr">
        <is>
          <t>Clôturé</t>
        </is>
      </c>
      <c r="AD672" s="69">
        <f>IF(OR($A672="",Q672=""),"",(Q672-B672)*24)</f>
        <v/>
      </c>
      <c r="AE672" s="69">
        <f>IF(OR(Q672="",R672=""),"",(R672-Q672)*24)</f>
        <v/>
      </c>
      <c r="AF672" s="77">
        <f>IF(OR($A672="",B672=""),"",YEAR(B672))</f>
        <v/>
      </c>
      <c r="AG672" s="77">
        <f>IF(OR($A672="",B672=""),"",MONTH(B672))</f>
        <v/>
      </c>
    </row>
    <row r="673">
      <c r="A673" s="7" t="inlineStr">
        <is>
          <t>OT-2025-0669</t>
        </is>
      </c>
      <c r="B673" s="75" t="n">
        <v>45957.34027777778</v>
      </c>
      <c r="C673" s="7" t="inlineStr">
        <is>
          <t>Planning réglementaire</t>
        </is>
      </c>
      <c r="D673" s="7" t="inlineStr">
        <is>
          <t>EQ-TOL-003</t>
        </is>
      </c>
      <c r="E673" s="9">
        <f>IF(D673="","",IFERROR(INDEX('Équipements'!$B$5:$B$304,MATCH(D673,'Équipements'!$A$5:$A$304,0)),"Code inconnu"))</f>
        <v/>
      </c>
      <c r="F673" s="9">
        <f>IF(D673="","",IFERROR(INDEX('Équipements'!$D$5:$D$304,MATCH(D673,'Équipements'!$A$5:$A$304,0)),""))</f>
        <v/>
      </c>
      <c r="G673" s="9">
        <f>IF(D673="","",IFERROR(INDEX('Équipements'!$K$5:$K$304,MATCH(D673,'Équipements'!$A$5:$A$304,0)),""))</f>
        <v/>
      </c>
      <c r="H673" s="7" t="inlineStr">
        <is>
          <t>Réglementaire</t>
        </is>
      </c>
      <c r="I673" s="7" t="inlineStr">
        <is>
          <t>CR-011</t>
        </is>
      </c>
      <c r="J673" s="7" t="inlineStr">
        <is>
          <t>Multi-technique</t>
        </is>
      </c>
      <c r="K673" s="7" t="inlineStr">
        <is>
          <t>P2 - Haute</t>
        </is>
      </c>
      <c r="L673" s="7" t="inlineStr">
        <is>
          <t>Vérification périodique presse plieuse</t>
        </is>
      </c>
      <c r="M673" s="7" t="n"/>
      <c r="N673" s="7" t="inlineStr">
        <is>
          <t>Contrôle réalisé - observations mineures au rapport</t>
        </is>
      </c>
      <c r="O673" s="7" t="inlineStr">
        <is>
          <t>Marc Lefèvre</t>
        </is>
      </c>
      <c r="P673" s="65" t="n">
        <v>45978</v>
      </c>
      <c r="Q673" s="75" t="n">
        <v>45978.34722222222</v>
      </c>
      <c r="R673" s="75" t="n">
        <v>45978.40972222222</v>
      </c>
      <c r="S673" s="76" t="n">
        <v>1</v>
      </c>
      <c r="T673" s="76" t="n">
        <v>1.5</v>
      </c>
      <c r="U673" s="70">
        <f>IF($A673="","",IFERROR(INDEX('Techniciens'!$F$5:$F$44,MATCH(O673,'Techniciens'!$B$5:$B$44,0)),'Paramètres'!$AA$10))</f>
        <v/>
      </c>
      <c r="V673" s="70">
        <f>IF($A673="","",IF(OR(AC673="Demandé",AC673="Planifié",AC673="Annulé"),0,N(T673)*N(U673)))</f>
        <v/>
      </c>
      <c r="W673" s="70">
        <f>IF($A673="","",SUMIFS('Mouvements stock'!$H$5:$H$3004,'Mouvements stock'!$I$5:$I$3004,$A673,'Mouvements stock'!$C$5:$C$3004,"Sortie")-SUMIFS('Mouvements stock'!$H$5:$H$3004,'Mouvements stock'!$I$5:$I$3004,$A673,'Mouvements stock'!$C$5:$C$3004,"Retour"))</f>
        <v/>
      </c>
      <c r="X673" s="66" t="n">
        <v>0</v>
      </c>
      <c r="Y673" s="66" t="n">
        <v>230</v>
      </c>
      <c r="Z673" s="7" t="inlineStr">
        <is>
          <t>CONTROLIS (organisme fictif)</t>
        </is>
      </c>
      <c r="AA673" s="70">
        <f>IF($A673="","",N(V673)+N(W673)+N(X673)+N(Y673))</f>
        <v/>
      </c>
      <c r="AB673" s="70">
        <f>IF($A673="","",N(S673)*'Paramètres'!$AA$9*IFERROR(INDEX('Paramètres'!$O$5:$O$7,MATCH(G673,'Paramètres'!$N$5:$N$7,0)),0))</f>
        <v/>
      </c>
      <c r="AC673" s="7" t="inlineStr">
        <is>
          <t>Clôturé</t>
        </is>
      </c>
      <c r="AD673" s="69">
        <f>IF(OR($A673="",Q673=""),"",(Q673-B673)*24)</f>
        <v/>
      </c>
      <c r="AE673" s="69">
        <f>IF(OR(Q673="",R673=""),"",(R673-Q673)*24)</f>
        <v/>
      </c>
      <c r="AF673" s="77">
        <f>IF(OR($A673="",B673=""),"",YEAR(B673))</f>
        <v/>
      </c>
      <c r="AG673" s="77">
        <f>IF(OR($A673="",B673=""),"",MONTH(B673))</f>
        <v/>
      </c>
    </row>
    <row r="674">
      <c r="A674" s="7" t="inlineStr">
        <is>
          <t>OT-2025-0670</t>
        </is>
      </c>
      <c r="B674" s="75" t="n">
        <v>45957.40277777778</v>
      </c>
      <c r="C674" s="7" t="inlineStr">
        <is>
          <t>Plan préventif</t>
        </is>
      </c>
      <c r="D674" s="7" t="inlineStr">
        <is>
          <t>EQ-UTI-001</t>
        </is>
      </c>
      <c r="E674" s="9">
        <f>IF(D674="","",IFERROR(INDEX('Équipements'!$B$5:$B$304,MATCH(D674,'Équipements'!$A$5:$A$304,0)),"Code inconnu"))</f>
        <v/>
      </c>
      <c r="F674" s="9">
        <f>IF(D674="","",IFERROR(INDEX('Équipements'!$D$5:$D$304,MATCH(D674,'Équipements'!$A$5:$A$304,0)),""))</f>
        <v/>
      </c>
      <c r="G674" s="9">
        <f>IF(D674="","",IFERROR(INDEX('Équipements'!$K$5:$K$304,MATCH(D674,'Équipements'!$A$5:$A$304,0)),""))</f>
        <v/>
      </c>
      <c r="H674" s="7" t="inlineStr">
        <is>
          <t>Préventif systématique</t>
        </is>
      </c>
      <c r="I674" s="7" t="inlineStr">
        <is>
          <t>GP-088</t>
        </is>
      </c>
      <c r="J674" s="7" t="inlineStr">
        <is>
          <t>Pneumatique</t>
        </is>
      </c>
      <c r="K674" s="7" t="inlineStr">
        <is>
          <t>P3 - Normale</t>
        </is>
      </c>
      <c r="L674" s="7" t="inlineStr">
        <is>
          <t>Purge, contrôle fuites et point de rosée</t>
        </is>
      </c>
      <c r="M674" s="7" t="n"/>
      <c r="N674" s="7" t="inlineStr">
        <is>
          <t>Gamme réalisée - serrages repris</t>
        </is>
      </c>
      <c r="O674" s="7" t="inlineStr">
        <is>
          <t>Julien Moreau</t>
        </is>
      </c>
      <c r="P674" s="65" t="n">
        <v>45964.45138888889</v>
      </c>
      <c r="Q674" s="75" t="n">
        <v>45964.53125</v>
      </c>
      <c r="R674" s="75" t="n">
        <v>45964.60416666666</v>
      </c>
      <c r="S674" s="76" t="n">
        <v>0</v>
      </c>
      <c r="T674" s="76" t="n">
        <v>1.75</v>
      </c>
      <c r="U674" s="70">
        <f>IF($A674="","",IFERROR(INDEX('Techniciens'!$F$5:$F$44,MATCH(O674,'Techniciens'!$B$5:$B$44,0)),'Paramètres'!$AA$10))</f>
        <v/>
      </c>
      <c r="V674" s="70">
        <f>IF($A674="","",IF(OR(AC674="Demandé",AC674="Planifié",AC674="Annulé"),0,N(T674)*N(U674)))</f>
        <v/>
      </c>
      <c r="W674" s="70">
        <f>IF($A674="","",SUMIFS('Mouvements stock'!$H$5:$H$3004,'Mouvements stock'!$I$5:$I$3004,$A674,'Mouvements stock'!$C$5:$C$3004,"Sortie")-SUMIFS('Mouvements stock'!$H$5:$H$3004,'Mouvements stock'!$I$5:$I$3004,$A674,'Mouvements stock'!$C$5:$C$3004,"Retour"))</f>
        <v/>
      </c>
      <c r="X674" s="66" t="n">
        <v>0</v>
      </c>
      <c r="Y674" s="66" t="n">
        <v>0</v>
      </c>
      <c r="Z674" s="7" t="n"/>
      <c r="AA674" s="70">
        <f>IF($A674="","",N(V674)+N(W674)+N(X674)+N(Y674))</f>
        <v/>
      </c>
      <c r="AB674" s="70">
        <f>IF($A674="","",N(S674)*'Paramètres'!$AA$9*IFERROR(INDEX('Paramètres'!$O$5:$O$7,MATCH(G674,'Paramètres'!$N$5:$N$7,0)),0))</f>
        <v/>
      </c>
      <c r="AC674" s="7" t="inlineStr">
        <is>
          <t>Clôturé</t>
        </is>
      </c>
      <c r="AD674" s="69">
        <f>IF(OR($A674="",Q674=""),"",(Q674-B674)*24)</f>
        <v/>
      </c>
      <c r="AE674" s="69">
        <f>IF(OR(Q674="",R674=""),"",(R674-Q674)*24)</f>
        <v/>
      </c>
      <c r="AF674" s="77">
        <f>IF(OR($A674="",B674=""),"",YEAR(B674))</f>
        <v/>
      </c>
      <c r="AG674" s="77">
        <f>IF(OR($A674="",B674=""),"",MONTH(B674))</f>
        <v/>
      </c>
    </row>
    <row r="675">
      <c r="A675" s="7" t="inlineStr">
        <is>
          <t>OT-2025-0671</t>
        </is>
      </c>
      <c r="B675" s="75" t="n">
        <v>45957.43055555555</v>
      </c>
      <c r="C675" s="7" t="inlineStr">
        <is>
          <t>Plan préventif</t>
        </is>
      </c>
      <c r="D675" s="7" t="inlineStr">
        <is>
          <t>EQ-ASS-001</t>
        </is>
      </c>
      <c r="E675" s="9">
        <f>IF(D675="","",IFERROR(INDEX('Équipements'!$B$5:$B$304,MATCH(D675,'Équipements'!$A$5:$A$304,0)),"Code inconnu"))</f>
        <v/>
      </c>
      <c r="F675" s="9">
        <f>IF(D675="","",IFERROR(INDEX('Équipements'!$D$5:$D$304,MATCH(D675,'Équipements'!$A$5:$A$304,0)),""))</f>
        <v/>
      </c>
      <c r="G675" s="9">
        <f>IF(D675="","",IFERROR(INDEX('Équipements'!$K$5:$K$304,MATCH(D675,'Équipements'!$A$5:$A$304,0)),""))</f>
        <v/>
      </c>
      <c r="H675" s="7" t="inlineStr">
        <is>
          <t>Préventif systématique</t>
        </is>
      </c>
      <c r="I675" s="7" t="inlineStr">
        <is>
          <t>GP-076</t>
        </is>
      </c>
      <c r="J675" s="7" t="inlineStr">
        <is>
          <t>Mécanique</t>
        </is>
      </c>
      <c r="K675" s="7" t="inlineStr">
        <is>
          <t>P3 - Normale</t>
        </is>
      </c>
      <c r="L675" s="7" t="inlineStr">
        <is>
          <t>Graissage chaîne / galets et contrôle tension</t>
        </is>
      </c>
      <c r="M675" s="7" t="n"/>
      <c r="N675" s="7" t="inlineStr">
        <is>
          <t>Gamme réalisée - DI émise pour remplacement pièce</t>
        </is>
      </c>
      <c r="O675" s="7" t="inlineStr">
        <is>
          <t>Lucas Fontaine</t>
        </is>
      </c>
      <c r="P675" s="65" t="n">
        <v>45964.57291666666</v>
      </c>
      <c r="Q675" s="75" t="n">
        <v>45964.42708333334</v>
      </c>
      <c r="R675" s="75" t="n">
        <v>45964.52083333334</v>
      </c>
      <c r="S675" s="76" t="n">
        <v>0</v>
      </c>
      <c r="T675" s="76" t="n">
        <v>2.25</v>
      </c>
      <c r="U675" s="70">
        <f>IF($A675="","",IFERROR(INDEX('Techniciens'!$F$5:$F$44,MATCH(O675,'Techniciens'!$B$5:$B$44,0)),'Paramètres'!$AA$10))</f>
        <v/>
      </c>
      <c r="V675" s="70">
        <f>IF($A675="","",IF(OR(AC675="Demandé",AC675="Planifié",AC675="Annulé"),0,N(T675)*N(U675)))</f>
        <v/>
      </c>
      <c r="W675" s="70">
        <f>IF($A675="","",SUMIFS('Mouvements stock'!$H$5:$H$3004,'Mouvements stock'!$I$5:$I$3004,$A675,'Mouvements stock'!$C$5:$C$3004,"Sortie")-SUMIFS('Mouvements stock'!$H$5:$H$3004,'Mouvements stock'!$I$5:$I$3004,$A675,'Mouvements stock'!$C$5:$C$3004,"Retour"))</f>
        <v/>
      </c>
      <c r="X675" s="66" t="n">
        <v>0</v>
      </c>
      <c r="Y675" s="66" t="n">
        <v>0</v>
      </c>
      <c r="Z675" s="7" t="n"/>
      <c r="AA675" s="70">
        <f>IF($A675="","",N(V675)+N(W675)+N(X675)+N(Y675))</f>
        <v/>
      </c>
      <c r="AB675" s="70">
        <f>IF($A675="","",N(S675)*'Paramètres'!$AA$9*IFERROR(INDEX('Paramètres'!$O$5:$O$7,MATCH(G675,'Paramètres'!$N$5:$N$7,0)),0))</f>
        <v/>
      </c>
      <c r="AC675" s="7" t="inlineStr">
        <is>
          <t>Clôturé</t>
        </is>
      </c>
      <c r="AD675" s="69">
        <f>IF(OR($A675="",Q675=""),"",(Q675-B675)*24)</f>
        <v/>
      </c>
      <c r="AE675" s="69">
        <f>IF(OR(Q675="",R675=""),"",(R675-Q675)*24)</f>
        <v/>
      </c>
      <c r="AF675" s="77">
        <f>IF(OR($A675="",B675=""),"",YEAR(B675))</f>
        <v/>
      </c>
      <c r="AG675" s="77">
        <f>IF(OR($A675="",B675=""),"",MONTH(B675))</f>
        <v/>
      </c>
    </row>
    <row r="676">
      <c r="A676" s="7" t="inlineStr">
        <is>
          <t>OT-2025-0672</t>
        </is>
      </c>
      <c r="B676" s="75" t="n">
        <v>45957.49305555555</v>
      </c>
      <c r="C676" s="7" t="inlineStr">
        <is>
          <t>Plan préventif</t>
        </is>
      </c>
      <c r="D676" s="7" t="inlineStr">
        <is>
          <t>EQ-LOG-002</t>
        </is>
      </c>
      <c r="E676" s="9">
        <f>IF(D676="","",IFERROR(INDEX('Équipements'!$B$5:$B$304,MATCH(D676,'Équipements'!$A$5:$A$304,0)),"Code inconnu"))</f>
        <v/>
      </c>
      <c r="F676" s="9">
        <f>IF(D676="","",IFERROR(INDEX('Équipements'!$D$5:$D$304,MATCH(D676,'Équipements'!$A$5:$A$304,0)),""))</f>
        <v/>
      </c>
      <c r="G676" s="9">
        <f>IF(D676="","",IFERROR(INDEX('Équipements'!$K$5:$K$304,MATCH(D676,'Équipements'!$A$5:$A$304,0)),""))</f>
        <v/>
      </c>
      <c r="H676" s="7" t="inlineStr">
        <is>
          <t>Préventif systématique</t>
        </is>
      </c>
      <c r="I676" s="7" t="inlineStr">
        <is>
          <t>GP-108</t>
        </is>
      </c>
      <c r="J676" s="7" t="inlineStr">
        <is>
          <t>Mécanique</t>
        </is>
      </c>
      <c r="K676" s="7" t="inlineStr">
        <is>
          <t>P3 - Normale</t>
        </is>
      </c>
      <c r="L676" s="7" t="inlineStr">
        <is>
          <t>Contrôle batterie, niveaux et bandages</t>
        </is>
      </c>
      <c r="M676" s="7" t="n"/>
      <c r="N676" s="7" t="inlineStr">
        <is>
          <t>Gamme réalisée - RAS</t>
        </is>
      </c>
      <c r="O676" s="7" t="inlineStr">
        <is>
          <t>Antoine Mercier</t>
        </is>
      </c>
      <c r="P676" s="65" t="n">
        <v>45964.65625</v>
      </c>
      <c r="Q676" s="75" t="n">
        <v>45964.5625</v>
      </c>
      <c r="R676" s="75" t="n">
        <v>45964.59375</v>
      </c>
      <c r="S676" s="76" t="n">
        <v>0.4</v>
      </c>
      <c r="T676" s="76" t="n">
        <v>0.75</v>
      </c>
      <c r="U676" s="70">
        <f>IF($A676="","",IFERROR(INDEX('Techniciens'!$F$5:$F$44,MATCH(O676,'Techniciens'!$B$5:$B$44,0)),'Paramètres'!$AA$10))</f>
        <v/>
      </c>
      <c r="V676" s="70">
        <f>IF($A676="","",IF(OR(AC676="Demandé",AC676="Planifié",AC676="Annulé"),0,N(T676)*N(U676)))</f>
        <v/>
      </c>
      <c r="W676" s="70">
        <f>IF($A676="","",SUMIFS('Mouvements stock'!$H$5:$H$3004,'Mouvements stock'!$I$5:$I$3004,$A676,'Mouvements stock'!$C$5:$C$3004,"Sortie")-SUMIFS('Mouvements stock'!$H$5:$H$3004,'Mouvements stock'!$I$5:$I$3004,$A676,'Mouvements stock'!$C$5:$C$3004,"Retour"))</f>
        <v/>
      </c>
      <c r="X676" s="66" t="n">
        <v>0</v>
      </c>
      <c r="Y676" s="66" t="n">
        <v>0</v>
      </c>
      <c r="Z676" s="7" t="n"/>
      <c r="AA676" s="70">
        <f>IF($A676="","",N(V676)+N(W676)+N(X676)+N(Y676))</f>
        <v/>
      </c>
      <c r="AB676" s="70">
        <f>IF($A676="","",N(S676)*'Paramètres'!$AA$9*IFERROR(INDEX('Paramètres'!$O$5:$O$7,MATCH(G676,'Paramètres'!$N$5:$N$7,0)),0))</f>
        <v/>
      </c>
      <c r="AC676" s="7" t="inlineStr">
        <is>
          <t>Clôturé</t>
        </is>
      </c>
      <c r="AD676" s="69">
        <f>IF(OR($A676="",Q676=""),"",(Q676-B676)*24)</f>
        <v/>
      </c>
      <c r="AE676" s="69">
        <f>IF(OR(Q676="",R676=""),"",(R676-Q676)*24)</f>
        <v/>
      </c>
      <c r="AF676" s="77">
        <f>IF(OR($A676="",B676=""),"",YEAR(B676))</f>
        <v/>
      </c>
      <c r="AG676" s="77">
        <f>IF(OR($A676="",B676=""),"",MONTH(B676))</f>
        <v/>
      </c>
    </row>
    <row r="677">
      <c r="A677" s="7" t="inlineStr">
        <is>
          <t>OT-2025-0673</t>
        </is>
      </c>
      <c r="B677" s="75" t="n">
        <v>45957.50347222222</v>
      </c>
      <c r="C677" s="7" t="inlineStr">
        <is>
          <t>Inès Girard (cheffe d'équipe)</t>
        </is>
      </c>
      <c r="D677" s="7" t="inlineStr">
        <is>
          <t>EQ-PEI-004</t>
        </is>
      </c>
      <c r="E677" s="9">
        <f>IF(D677="","",IFERROR(INDEX('Équipements'!$B$5:$B$304,MATCH(D677,'Équipements'!$A$5:$A$304,0)),"Code inconnu"))</f>
        <v/>
      </c>
      <c r="F677" s="9">
        <f>IF(D677="","",IFERROR(INDEX('Équipements'!$D$5:$D$304,MATCH(D677,'Équipements'!$A$5:$A$304,0)),""))</f>
        <v/>
      </c>
      <c r="G677" s="9">
        <f>IF(D677="","",IFERROR(INDEX('Équipements'!$K$5:$K$304,MATCH(D677,'Équipements'!$A$5:$A$304,0)),""))</f>
        <v/>
      </c>
      <c r="H677" s="7" t="inlineStr">
        <is>
          <t>Correctif</t>
        </is>
      </c>
      <c r="I677" s="7" t="n"/>
      <c r="J677" s="7" t="inlineStr">
        <is>
          <t>Mécanique</t>
        </is>
      </c>
      <c r="K677" s="7" t="inlineStr">
        <is>
          <t>P2 - Haute</t>
        </is>
      </c>
      <c r="L677" s="7" t="inlineStr">
        <is>
          <t>Galets bloqués / bruit anormal</t>
        </is>
      </c>
      <c r="M677" s="7" t="inlineStr">
        <is>
          <t>Défaut lubrification</t>
        </is>
      </c>
      <c r="N677" s="7" t="inlineStr">
        <is>
          <t>Graissage et remplacement galets</t>
        </is>
      </c>
      <c r="O677" s="7" t="inlineStr">
        <is>
          <t>Antoine Mercier</t>
        </is>
      </c>
      <c r="P677" s="65" t="n"/>
      <c r="Q677" s="75" t="n">
        <v>45957.63958333333</v>
      </c>
      <c r="R677" s="75" t="n">
        <v>45957.74375</v>
      </c>
      <c r="S677" s="76" t="n">
        <v>5.8</v>
      </c>
      <c r="T677" s="76" t="n">
        <v>2.5</v>
      </c>
      <c r="U677" s="70">
        <f>IF($A677="","",IFERROR(INDEX('Techniciens'!$F$5:$F$44,MATCH(O677,'Techniciens'!$B$5:$B$44,0)),'Paramètres'!$AA$10))</f>
        <v/>
      </c>
      <c r="V677" s="70">
        <f>IF($A677="","",IF(OR(AC677="Demandé",AC677="Planifié",AC677="Annulé"),0,N(T677)*N(U677)))</f>
        <v/>
      </c>
      <c r="W677" s="70">
        <f>IF($A677="","",SUMIFS('Mouvements stock'!$H$5:$H$3004,'Mouvements stock'!$I$5:$I$3004,$A677,'Mouvements stock'!$C$5:$C$3004,"Sortie")-SUMIFS('Mouvements stock'!$H$5:$H$3004,'Mouvements stock'!$I$5:$I$3004,$A677,'Mouvements stock'!$C$5:$C$3004,"Retour"))</f>
        <v/>
      </c>
      <c r="X677" s="66" t="n">
        <v>0</v>
      </c>
      <c r="Y677" s="66" t="n">
        <v>0</v>
      </c>
      <c r="Z677" s="7" t="n"/>
      <c r="AA677" s="70">
        <f>IF($A677="","",N(V677)+N(W677)+N(X677)+N(Y677))</f>
        <v/>
      </c>
      <c r="AB677" s="70">
        <f>IF($A677="","",N(S677)*'Paramètres'!$AA$9*IFERROR(INDEX('Paramètres'!$O$5:$O$7,MATCH(G677,'Paramètres'!$N$5:$N$7,0)),0))</f>
        <v/>
      </c>
      <c r="AC677" s="7" t="inlineStr">
        <is>
          <t>Clôturé</t>
        </is>
      </c>
      <c r="AD677" s="69">
        <f>IF(OR($A677="",Q677=""),"",(Q677-B677)*24)</f>
        <v/>
      </c>
      <c r="AE677" s="69">
        <f>IF(OR(Q677="",R677=""),"",(R677-Q677)*24)</f>
        <v/>
      </c>
      <c r="AF677" s="77">
        <f>IF(OR($A677="",B677=""),"",YEAR(B677))</f>
        <v/>
      </c>
      <c r="AG677" s="77">
        <f>IF(OR($A677="",B677=""),"",MONTH(B677))</f>
        <v/>
      </c>
    </row>
    <row r="678">
      <c r="A678" s="7" t="inlineStr">
        <is>
          <t>OT-2025-0674</t>
        </is>
      </c>
      <c r="B678" s="75" t="n">
        <v>45957.71944444445</v>
      </c>
      <c r="C678" s="7" t="inlineStr">
        <is>
          <t>Opérateur assemblage</t>
        </is>
      </c>
      <c r="D678" s="7" t="inlineStr">
        <is>
          <t>EQ-ASS-001</t>
        </is>
      </c>
      <c r="E678" s="9">
        <f>IF(D678="","",IFERROR(INDEX('Équipements'!$B$5:$B$304,MATCH(D678,'Équipements'!$A$5:$A$304,0)),"Code inconnu"))</f>
        <v/>
      </c>
      <c r="F678" s="9">
        <f>IF(D678="","",IFERROR(INDEX('Équipements'!$D$5:$D$304,MATCH(D678,'Équipements'!$A$5:$A$304,0)),""))</f>
        <v/>
      </c>
      <c r="G678" s="9">
        <f>IF(D678="","",IFERROR(INDEX('Équipements'!$K$5:$K$304,MATCH(D678,'Équipements'!$A$5:$A$304,0)),""))</f>
        <v/>
      </c>
      <c r="H678" s="7" t="inlineStr">
        <is>
          <t>Correctif</t>
        </is>
      </c>
      <c r="I678" s="7" t="n"/>
      <c r="J678" s="7" t="inlineStr">
        <is>
          <t>Électrique</t>
        </is>
      </c>
      <c r="K678" s="7" t="inlineStr">
        <is>
          <t>P1 - Urgent</t>
        </is>
      </c>
      <c r="L678" s="7" t="inlineStr">
        <is>
          <t>Moteur d'entraînement en défaut thermique</t>
        </is>
      </c>
      <c r="M678" s="7" t="inlineStr">
        <is>
          <t>Défaut électrique</t>
        </is>
      </c>
      <c r="N678" s="7" t="inlineStr">
        <is>
          <t>Remplacement motoréducteur / disjoncteur moteur</t>
        </is>
      </c>
      <c r="O678" s="7" t="inlineStr">
        <is>
          <t>Antoine Mercier</t>
        </is>
      </c>
      <c r="P678" s="65" t="n"/>
      <c r="Q678" s="75" t="n">
        <v>45957.74305555555</v>
      </c>
      <c r="R678" s="75" t="n">
        <v>45957.81597222222</v>
      </c>
      <c r="S678" s="76" t="n">
        <v>0</v>
      </c>
      <c r="T678" s="76" t="n">
        <v>1.75</v>
      </c>
      <c r="U678" s="70">
        <f>IF($A678="","",IFERROR(INDEX('Techniciens'!$F$5:$F$44,MATCH(O678,'Techniciens'!$B$5:$B$44,0)),'Paramètres'!$AA$10))</f>
        <v/>
      </c>
      <c r="V678" s="70">
        <f>IF($A678="","",IF(OR(AC678="Demandé",AC678="Planifié",AC678="Annulé"),0,N(T678)*N(U678)))</f>
        <v/>
      </c>
      <c r="W678" s="70">
        <f>IF($A678="","",SUMIFS('Mouvements stock'!$H$5:$H$3004,'Mouvements stock'!$I$5:$I$3004,$A678,'Mouvements stock'!$C$5:$C$3004,"Sortie")-SUMIFS('Mouvements stock'!$H$5:$H$3004,'Mouvements stock'!$I$5:$I$3004,$A678,'Mouvements stock'!$C$5:$C$3004,"Retour"))</f>
        <v/>
      </c>
      <c r="X678" s="66" t="n">
        <v>0</v>
      </c>
      <c r="Y678" s="66" t="n">
        <v>0</v>
      </c>
      <c r="Z678" s="7" t="n"/>
      <c r="AA678" s="70">
        <f>IF($A678="","",N(V678)+N(W678)+N(X678)+N(Y678))</f>
        <v/>
      </c>
      <c r="AB678" s="70">
        <f>IF($A678="","",N(S678)*'Paramètres'!$AA$9*IFERROR(INDEX('Paramètres'!$O$5:$O$7,MATCH(G678,'Paramètres'!$N$5:$N$7,0)),0))</f>
        <v/>
      </c>
      <c r="AC678" s="7" t="inlineStr">
        <is>
          <t>Clôturé</t>
        </is>
      </c>
      <c r="AD678" s="69">
        <f>IF(OR($A678="",Q678=""),"",(Q678-B678)*24)</f>
        <v/>
      </c>
      <c r="AE678" s="69">
        <f>IF(OR(Q678="",R678=""),"",(R678-Q678)*24)</f>
        <v/>
      </c>
      <c r="AF678" s="77">
        <f>IF(OR($A678="",B678=""),"",YEAR(B678))</f>
        <v/>
      </c>
      <c r="AG678" s="77">
        <f>IF(OR($A678="",B678=""),"",MONTH(B678))</f>
        <v/>
      </c>
    </row>
    <row r="679">
      <c r="A679" s="7" t="inlineStr">
        <is>
          <t>OT-2025-0675</t>
        </is>
      </c>
      <c r="B679" s="75" t="n">
        <v>45958.225</v>
      </c>
      <c r="C679" s="7" t="inlineStr">
        <is>
          <t>Opérateur tôlerie</t>
        </is>
      </c>
      <c r="D679" s="7" t="inlineStr">
        <is>
          <t>EQ-TOL-002</t>
        </is>
      </c>
      <c r="E679" s="9">
        <f>IF(D679="","",IFERROR(INDEX('Équipements'!$B$5:$B$304,MATCH(D679,'Équipements'!$A$5:$A$304,0)),"Code inconnu"))</f>
        <v/>
      </c>
      <c r="F679" s="9">
        <f>IF(D679="","",IFERROR(INDEX('Équipements'!$D$5:$D$304,MATCH(D679,'Équipements'!$A$5:$A$304,0)),""))</f>
        <v/>
      </c>
      <c r="G679" s="9">
        <f>IF(D679="","",IFERROR(INDEX('Équipements'!$K$5:$K$304,MATCH(D679,'Équipements'!$A$5:$A$304,0)),""))</f>
        <v/>
      </c>
      <c r="H679" s="7" t="inlineStr">
        <is>
          <t>Correctif</t>
        </is>
      </c>
      <c r="I679" s="7" t="n"/>
      <c r="J679" s="7" t="inlineStr">
        <is>
          <t>Automatisme</t>
        </is>
      </c>
      <c r="K679" s="7" t="inlineStr">
        <is>
          <t>P3 - Normale</t>
        </is>
      </c>
      <c r="L679" s="7" t="inlineStr">
        <is>
          <t>Défaut de synchronisation Y1/Y2</t>
        </is>
      </c>
      <c r="M679" s="7" t="inlineStr">
        <is>
          <t>Défaut capteur</t>
        </is>
      </c>
      <c r="N679" s="7" t="inlineStr">
        <is>
          <t>Recalage règles de mesure, contrôle distributeur proportionnel</t>
        </is>
      </c>
      <c r="O679" s="7" t="inlineStr">
        <is>
          <t>Julien Moreau</t>
        </is>
      </c>
      <c r="P679" s="65" t="n"/>
      <c r="Q679" s="75" t="n">
        <v>45959.15486111111</v>
      </c>
      <c r="R679" s="75" t="n">
        <v>45959.49861111111</v>
      </c>
      <c r="S679" s="76" t="n">
        <v>0</v>
      </c>
      <c r="T679" s="76" t="n">
        <v>8.25</v>
      </c>
      <c r="U679" s="70">
        <f>IF($A679="","",IFERROR(INDEX('Techniciens'!$F$5:$F$44,MATCH(O679,'Techniciens'!$B$5:$B$44,0)),'Paramètres'!$AA$10))</f>
        <v/>
      </c>
      <c r="V679" s="70">
        <f>IF($A679="","",IF(OR(AC679="Demandé",AC679="Planifié",AC679="Annulé"),0,N(T679)*N(U679)))</f>
        <v/>
      </c>
      <c r="W679" s="70">
        <f>IF($A679="","",SUMIFS('Mouvements stock'!$H$5:$H$3004,'Mouvements stock'!$I$5:$I$3004,$A679,'Mouvements stock'!$C$5:$C$3004,"Sortie")-SUMIFS('Mouvements stock'!$H$5:$H$3004,'Mouvements stock'!$I$5:$I$3004,$A679,'Mouvements stock'!$C$5:$C$3004,"Retour"))</f>
        <v/>
      </c>
      <c r="X679" s="66" t="n">
        <v>0</v>
      </c>
      <c r="Y679" s="66" t="n">
        <v>1610</v>
      </c>
      <c r="Z679" s="7" t="inlineStr">
        <is>
          <t>HydroFluid Services</t>
        </is>
      </c>
      <c r="AA679" s="70">
        <f>IF($A679="","",N(V679)+N(W679)+N(X679)+N(Y679))</f>
        <v/>
      </c>
      <c r="AB679" s="70">
        <f>IF($A679="","",N(S679)*'Paramètres'!$AA$9*IFERROR(INDEX('Paramètres'!$O$5:$O$7,MATCH(G679,'Paramètres'!$N$5:$N$7,0)),0))</f>
        <v/>
      </c>
      <c r="AC679" s="7" t="inlineStr">
        <is>
          <t>Clôturé</t>
        </is>
      </c>
      <c r="AD679" s="69">
        <f>IF(OR($A679="",Q679=""),"",(Q679-B679)*24)</f>
        <v/>
      </c>
      <c r="AE679" s="69">
        <f>IF(OR(Q679="",R679=""),"",(R679-Q679)*24)</f>
        <v/>
      </c>
      <c r="AF679" s="77">
        <f>IF(OR($A679="",B679=""),"",YEAR(B679))</f>
        <v/>
      </c>
      <c r="AG679" s="77">
        <f>IF(OR($A679="",B679=""),"",MONTH(B679))</f>
        <v/>
      </c>
    </row>
    <row r="680">
      <c r="A680" s="7" t="inlineStr">
        <is>
          <t>OT-2025-0676</t>
        </is>
      </c>
      <c r="B680" s="75" t="n">
        <v>45958.34375</v>
      </c>
      <c r="C680" s="7" t="inlineStr">
        <is>
          <t>Plan préventif</t>
        </is>
      </c>
      <c r="D680" s="7" t="inlineStr">
        <is>
          <t>EQ-TOL-007</t>
        </is>
      </c>
      <c r="E680" s="9">
        <f>IF(D680="","",IFERROR(INDEX('Équipements'!$B$5:$B$304,MATCH(D680,'Équipements'!$A$5:$A$304,0)),"Code inconnu"))</f>
        <v/>
      </c>
      <c r="F680" s="9">
        <f>IF(D680="","",IFERROR(INDEX('Équipements'!$D$5:$D$304,MATCH(D680,'Équipements'!$A$5:$A$304,0)),""))</f>
        <v/>
      </c>
      <c r="G680" s="9">
        <f>IF(D680="","",IFERROR(INDEX('Équipements'!$K$5:$K$304,MATCH(D680,'Équipements'!$A$5:$A$304,0)),""))</f>
        <v/>
      </c>
      <c r="H680" s="7" t="inlineStr">
        <is>
          <t>Préventif systématique</t>
        </is>
      </c>
      <c r="I680" s="7" t="inlineStr">
        <is>
          <t>GP-056</t>
        </is>
      </c>
      <c r="J680" s="7" t="inlineStr">
        <is>
          <t>Mécanique</t>
        </is>
      </c>
      <c r="K680" s="7" t="inlineStr">
        <is>
          <t>P3 - Normale</t>
        </is>
      </c>
      <c r="L680" s="7" t="inlineStr">
        <is>
          <t>Graissage chaîne / galets et contrôle tension</t>
        </is>
      </c>
      <c r="M680" s="7" t="n"/>
      <c r="N680" s="7" t="inlineStr">
        <is>
          <t>Gamme réalisée - RAS</t>
        </is>
      </c>
      <c r="O680" s="7" t="inlineStr">
        <is>
          <t>Antoine Mercier</t>
        </is>
      </c>
      <c r="P680" s="65" t="n">
        <v>45965.51388888889</v>
      </c>
      <c r="Q680" s="75" t="n">
        <v>45965.375</v>
      </c>
      <c r="R680" s="75" t="n">
        <v>45965.45833333334</v>
      </c>
      <c r="S680" s="76" t="n">
        <v>2</v>
      </c>
      <c r="T680" s="76" t="n">
        <v>2</v>
      </c>
      <c r="U680" s="70">
        <f>IF($A680="","",IFERROR(INDEX('Techniciens'!$F$5:$F$44,MATCH(O680,'Techniciens'!$B$5:$B$44,0)),'Paramètres'!$AA$10))</f>
        <v/>
      </c>
      <c r="V680" s="70">
        <f>IF($A680="","",IF(OR(AC680="Demandé",AC680="Planifié",AC680="Annulé"),0,N(T680)*N(U680)))</f>
        <v/>
      </c>
      <c r="W680" s="70">
        <f>IF($A680="","",SUMIFS('Mouvements stock'!$H$5:$H$3004,'Mouvements stock'!$I$5:$I$3004,$A680,'Mouvements stock'!$C$5:$C$3004,"Sortie")-SUMIFS('Mouvements stock'!$H$5:$H$3004,'Mouvements stock'!$I$5:$I$3004,$A680,'Mouvements stock'!$C$5:$C$3004,"Retour"))</f>
        <v/>
      </c>
      <c r="X680" s="66" t="n">
        <v>0</v>
      </c>
      <c r="Y680" s="66" t="n">
        <v>0</v>
      </c>
      <c r="Z680" s="7" t="n"/>
      <c r="AA680" s="70">
        <f>IF($A680="","",N(V680)+N(W680)+N(X680)+N(Y680))</f>
        <v/>
      </c>
      <c r="AB680" s="70">
        <f>IF($A680="","",N(S680)*'Paramètres'!$AA$9*IFERROR(INDEX('Paramètres'!$O$5:$O$7,MATCH(G680,'Paramètres'!$N$5:$N$7,0)),0))</f>
        <v/>
      </c>
      <c r="AC680" s="7" t="inlineStr">
        <is>
          <t>Clôturé</t>
        </is>
      </c>
      <c r="AD680" s="69">
        <f>IF(OR($A680="",Q680=""),"",(Q680-B680)*24)</f>
        <v/>
      </c>
      <c r="AE680" s="69">
        <f>IF(OR(Q680="",R680=""),"",(R680-Q680)*24)</f>
        <v/>
      </c>
      <c r="AF680" s="77">
        <f>IF(OR($A680="",B680=""),"",YEAR(B680))</f>
        <v/>
      </c>
      <c r="AG680" s="77">
        <f>IF(OR($A680="",B680=""),"",MONTH(B680))</f>
        <v/>
      </c>
    </row>
    <row r="681">
      <c r="A681" s="7" t="inlineStr">
        <is>
          <t>OT-2025-0677</t>
        </is>
      </c>
      <c r="B681" s="75" t="n">
        <v>45958.36805555555</v>
      </c>
      <c r="C681" s="7" t="inlineStr">
        <is>
          <t>Plan préventif</t>
        </is>
      </c>
      <c r="D681" s="7" t="inlineStr">
        <is>
          <t>EQ-LOG-003</t>
        </is>
      </c>
      <c r="E681" s="9">
        <f>IF(D681="","",IFERROR(INDEX('Équipements'!$B$5:$B$304,MATCH(D681,'Équipements'!$A$5:$A$304,0)),"Code inconnu"))</f>
        <v/>
      </c>
      <c r="F681" s="9">
        <f>IF(D681="","",IFERROR(INDEX('Équipements'!$D$5:$D$304,MATCH(D681,'Équipements'!$A$5:$A$304,0)),""))</f>
        <v/>
      </c>
      <c r="G681" s="9">
        <f>IF(D681="","",IFERROR(INDEX('Équipements'!$K$5:$K$304,MATCH(D681,'Équipements'!$A$5:$A$304,0)),""))</f>
        <v/>
      </c>
      <c r="H681" s="7" t="inlineStr">
        <is>
          <t>Préventif systématique</t>
        </is>
      </c>
      <c r="I681" s="7" t="inlineStr">
        <is>
          <t>GP-110</t>
        </is>
      </c>
      <c r="J681" s="7" t="inlineStr">
        <is>
          <t>Mécanique</t>
        </is>
      </c>
      <c r="K681" s="7" t="inlineStr">
        <is>
          <t>P3 - Normale</t>
        </is>
      </c>
      <c r="L681" s="7" t="inlineStr">
        <is>
          <t>Contrôle batterie, niveaux et bandages</t>
        </is>
      </c>
      <c r="M681" s="7" t="n"/>
      <c r="N681" s="7" t="inlineStr">
        <is>
          <t>Gamme réalisée - RAS</t>
        </is>
      </c>
      <c r="O681" s="7" t="inlineStr">
        <is>
          <t>Lucas Fontaine</t>
        </is>
      </c>
      <c r="P681" s="65" t="n">
        <v>45965.27777777778</v>
      </c>
      <c r="Q681" s="75" t="n">
        <v>45965.42361111111</v>
      </c>
      <c r="R681" s="75" t="n">
        <v>45965.46527777778</v>
      </c>
      <c r="S681" s="76" t="n">
        <v>0.5</v>
      </c>
      <c r="T681" s="76" t="n">
        <v>1</v>
      </c>
      <c r="U681" s="70">
        <f>IF($A681="","",IFERROR(INDEX('Techniciens'!$F$5:$F$44,MATCH(O681,'Techniciens'!$B$5:$B$44,0)),'Paramètres'!$AA$10))</f>
        <v/>
      </c>
      <c r="V681" s="70">
        <f>IF($A681="","",IF(OR(AC681="Demandé",AC681="Planifié",AC681="Annulé"),0,N(T681)*N(U681)))</f>
        <v/>
      </c>
      <c r="W681" s="70">
        <f>IF($A681="","",SUMIFS('Mouvements stock'!$H$5:$H$3004,'Mouvements stock'!$I$5:$I$3004,$A681,'Mouvements stock'!$C$5:$C$3004,"Sortie")-SUMIFS('Mouvements stock'!$H$5:$H$3004,'Mouvements stock'!$I$5:$I$3004,$A681,'Mouvements stock'!$C$5:$C$3004,"Retour"))</f>
        <v/>
      </c>
      <c r="X681" s="66" t="n">
        <v>0</v>
      </c>
      <c r="Y681" s="66" t="n">
        <v>0</v>
      </c>
      <c r="Z681" s="7" t="n"/>
      <c r="AA681" s="70">
        <f>IF($A681="","",N(V681)+N(W681)+N(X681)+N(Y681))</f>
        <v/>
      </c>
      <c r="AB681" s="70">
        <f>IF($A681="","",N(S681)*'Paramètres'!$AA$9*IFERROR(INDEX('Paramètres'!$O$5:$O$7,MATCH(G681,'Paramètres'!$N$5:$N$7,0)),0))</f>
        <v/>
      </c>
      <c r="AC681" s="7" t="inlineStr">
        <is>
          <t>Clôturé</t>
        </is>
      </c>
      <c r="AD681" s="69">
        <f>IF(OR($A681="",Q681=""),"",(Q681-B681)*24)</f>
        <v/>
      </c>
      <c r="AE681" s="69">
        <f>IF(OR(Q681="",R681=""),"",(R681-Q681)*24)</f>
        <v/>
      </c>
      <c r="AF681" s="77">
        <f>IF(OR($A681="",B681=""),"",YEAR(B681))</f>
        <v/>
      </c>
      <c r="AG681" s="77">
        <f>IF(OR($A681="",B681=""),"",MONTH(B681))</f>
        <v/>
      </c>
    </row>
    <row r="682">
      <c r="A682" s="7" t="inlineStr">
        <is>
          <t>OT-2025-0678</t>
        </is>
      </c>
      <c r="B682" s="75" t="n">
        <v>45958.39583333334</v>
      </c>
      <c r="C682" s="7" t="inlineStr">
        <is>
          <t>Plan préventif</t>
        </is>
      </c>
      <c r="D682" s="7" t="inlineStr">
        <is>
          <t>EQ-ASS-004</t>
        </is>
      </c>
      <c r="E682" s="9">
        <f>IF(D682="","",IFERROR(INDEX('Équipements'!$B$5:$B$304,MATCH(D682,'Équipements'!$A$5:$A$304,0)),"Code inconnu"))</f>
        <v/>
      </c>
      <c r="F682" s="9">
        <f>IF(D682="","",IFERROR(INDEX('Équipements'!$D$5:$D$304,MATCH(D682,'Équipements'!$A$5:$A$304,0)),""))</f>
        <v/>
      </c>
      <c r="G682" s="9">
        <f>IF(D682="","",IFERROR(INDEX('Équipements'!$K$5:$K$304,MATCH(D682,'Équipements'!$A$5:$A$304,0)),""))</f>
        <v/>
      </c>
      <c r="H682" s="7" t="inlineStr">
        <is>
          <t>Préventif systématique</t>
        </is>
      </c>
      <c r="I682" s="7" t="inlineStr">
        <is>
          <t>GP-083</t>
        </is>
      </c>
      <c r="J682" s="7" t="inlineStr">
        <is>
          <t>Mécanique</t>
        </is>
      </c>
      <c r="K682" s="7" t="inlineStr">
        <is>
          <t>P3 - Normale</t>
        </is>
      </c>
      <c r="L682" s="7" t="inlineStr">
        <is>
          <t>Nettoyage et contrôle général</t>
        </is>
      </c>
      <c r="M682" s="7" t="n"/>
      <c r="N682" s="7" t="inlineStr">
        <is>
          <t>Gamme réalisée - serrages repris</t>
        </is>
      </c>
      <c r="O682" s="7" t="inlineStr">
        <is>
          <t>Antoine Mercier</t>
        </is>
      </c>
      <c r="P682" s="65" t="n">
        <v>45965.38541666666</v>
      </c>
      <c r="Q682" s="75" t="n">
        <v>45965.52083333334</v>
      </c>
      <c r="R682" s="75" t="n">
        <v>45965.54166666666</v>
      </c>
      <c r="S682" s="76" t="n">
        <v>0</v>
      </c>
      <c r="T682" s="76" t="n">
        <v>0.5</v>
      </c>
      <c r="U682" s="70">
        <f>IF($A682="","",IFERROR(INDEX('Techniciens'!$F$5:$F$44,MATCH(O682,'Techniciens'!$B$5:$B$44,0)),'Paramètres'!$AA$10))</f>
        <v/>
      </c>
      <c r="V682" s="70">
        <f>IF($A682="","",IF(OR(AC682="Demandé",AC682="Planifié",AC682="Annulé"),0,N(T682)*N(U682)))</f>
        <v/>
      </c>
      <c r="W682" s="70">
        <f>IF($A682="","",SUMIFS('Mouvements stock'!$H$5:$H$3004,'Mouvements stock'!$I$5:$I$3004,$A682,'Mouvements stock'!$C$5:$C$3004,"Sortie")-SUMIFS('Mouvements stock'!$H$5:$H$3004,'Mouvements stock'!$I$5:$I$3004,$A682,'Mouvements stock'!$C$5:$C$3004,"Retour"))</f>
        <v/>
      </c>
      <c r="X682" s="66" t="n">
        <v>0</v>
      </c>
      <c r="Y682" s="66" t="n">
        <v>0</v>
      </c>
      <c r="Z682" s="7" t="n"/>
      <c r="AA682" s="70">
        <f>IF($A682="","",N(V682)+N(W682)+N(X682)+N(Y682))</f>
        <v/>
      </c>
      <c r="AB682" s="70">
        <f>IF($A682="","",N(S682)*'Paramètres'!$AA$9*IFERROR(INDEX('Paramètres'!$O$5:$O$7,MATCH(G682,'Paramètres'!$N$5:$N$7,0)),0))</f>
        <v/>
      </c>
      <c r="AC682" s="7" t="inlineStr">
        <is>
          <t>Clôturé</t>
        </is>
      </c>
      <c r="AD682" s="69">
        <f>IF(OR($A682="",Q682=""),"",(Q682-B682)*24)</f>
        <v/>
      </c>
      <c r="AE682" s="69">
        <f>IF(OR(Q682="",R682=""),"",(R682-Q682)*24)</f>
        <v/>
      </c>
      <c r="AF682" s="77">
        <f>IF(OR($A682="",B682=""),"",YEAR(B682))</f>
        <v/>
      </c>
      <c r="AG682" s="77">
        <f>IF(OR($A682="",B682=""),"",MONTH(B682))</f>
        <v/>
      </c>
    </row>
    <row r="683">
      <c r="A683" s="7" t="inlineStr">
        <is>
          <t>OT-2025-0679</t>
        </is>
      </c>
      <c r="B683" s="75" t="n">
        <v>45958.43055555555</v>
      </c>
      <c r="C683" s="7" t="inlineStr">
        <is>
          <t>Plan préventif</t>
        </is>
      </c>
      <c r="D683" s="7" t="inlineStr">
        <is>
          <t>EQ-USI-006</t>
        </is>
      </c>
      <c r="E683" s="9">
        <f>IF(D683="","",IFERROR(INDEX('Équipements'!$B$5:$B$304,MATCH(D683,'Équipements'!$A$5:$A$304,0)),"Code inconnu"))</f>
        <v/>
      </c>
      <c r="F683" s="9">
        <f>IF(D683="","",IFERROR(INDEX('Équipements'!$D$5:$D$304,MATCH(D683,'Équipements'!$A$5:$A$304,0)),""))</f>
        <v/>
      </c>
      <c r="G683" s="9">
        <f>IF(D683="","",IFERROR(INDEX('Équipements'!$K$5:$K$304,MATCH(D683,'Équipements'!$A$5:$A$304,0)),""))</f>
        <v/>
      </c>
      <c r="H683" s="7" t="inlineStr">
        <is>
          <t>Préventif systématique</t>
        </is>
      </c>
      <c r="I683" s="7" t="inlineStr">
        <is>
          <t>GP-021</t>
        </is>
      </c>
      <c r="J683" s="7" t="inlineStr">
        <is>
          <t>Mécanique</t>
        </is>
      </c>
      <c r="K683" s="7" t="inlineStr">
        <is>
          <t>P3 - Normale</t>
        </is>
      </c>
      <c r="L683" s="7" t="inlineStr">
        <is>
          <t>Contrôle niveaux, nettoyage filtres et bac à copeaux</t>
        </is>
      </c>
      <c r="M683" s="7" t="n"/>
      <c r="N683" s="7" t="inlineStr">
        <is>
          <t>Gamme réalisée - RAS</t>
        </is>
      </c>
      <c r="O683" s="7" t="inlineStr">
        <is>
          <t>Lucas Fontaine</t>
        </is>
      </c>
      <c r="P683" s="65" t="n">
        <v>45965.54166666666</v>
      </c>
      <c r="Q683" s="75" t="n">
        <v>45965.5</v>
      </c>
      <c r="R683" s="75" t="n">
        <v>45965.57291666666</v>
      </c>
      <c r="S683" s="76" t="n">
        <v>0</v>
      </c>
      <c r="T683" s="76" t="n">
        <v>1.75</v>
      </c>
      <c r="U683" s="70">
        <f>IF($A683="","",IFERROR(INDEX('Techniciens'!$F$5:$F$44,MATCH(O683,'Techniciens'!$B$5:$B$44,0)),'Paramètres'!$AA$10))</f>
        <v/>
      </c>
      <c r="V683" s="70">
        <f>IF($A683="","",IF(OR(AC683="Demandé",AC683="Planifié",AC683="Annulé"),0,N(T683)*N(U683)))</f>
        <v/>
      </c>
      <c r="W683" s="70">
        <f>IF($A683="","",SUMIFS('Mouvements stock'!$H$5:$H$3004,'Mouvements stock'!$I$5:$I$3004,$A683,'Mouvements stock'!$C$5:$C$3004,"Sortie")-SUMIFS('Mouvements stock'!$H$5:$H$3004,'Mouvements stock'!$I$5:$I$3004,$A683,'Mouvements stock'!$C$5:$C$3004,"Retour"))</f>
        <v/>
      </c>
      <c r="X683" s="66" t="n">
        <v>0</v>
      </c>
      <c r="Y683" s="66" t="n">
        <v>0</v>
      </c>
      <c r="Z683" s="7" t="n"/>
      <c r="AA683" s="70">
        <f>IF($A683="","",N(V683)+N(W683)+N(X683)+N(Y683))</f>
        <v/>
      </c>
      <c r="AB683" s="70">
        <f>IF($A683="","",N(S683)*'Paramètres'!$AA$9*IFERROR(INDEX('Paramètres'!$O$5:$O$7,MATCH(G683,'Paramètres'!$N$5:$N$7,0)),0))</f>
        <v/>
      </c>
      <c r="AC683" s="7" t="inlineStr">
        <is>
          <t>Clôturé</t>
        </is>
      </c>
      <c r="AD683" s="69">
        <f>IF(OR($A683="",Q683=""),"",(Q683-B683)*24)</f>
        <v/>
      </c>
      <c r="AE683" s="69">
        <f>IF(OR(Q683="",R683=""),"",(R683-Q683)*24)</f>
        <v/>
      </c>
      <c r="AF683" s="77">
        <f>IF(OR($A683="",B683=""),"",YEAR(B683))</f>
        <v/>
      </c>
      <c r="AG683" s="77">
        <f>IF(OR($A683="",B683=""),"",MONTH(B683))</f>
        <v/>
      </c>
    </row>
    <row r="684">
      <c r="A684" s="7" t="inlineStr">
        <is>
          <t>OT-2025-0680</t>
        </is>
      </c>
      <c r="B684" s="75" t="n">
        <v>45958.48611111111</v>
      </c>
      <c r="C684" s="7" t="inlineStr">
        <is>
          <t>Plan préventif</t>
        </is>
      </c>
      <c r="D684" s="7" t="inlineStr">
        <is>
          <t>EQ-PEI-003</t>
        </is>
      </c>
      <c r="E684" s="9">
        <f>IF(D684="","",IFERROR(INDEX('Équipements'!$B$5:$B$304,MATCH(D684,'Équipements'!$A$5:$A$304,0)),"Code inconnu"))</f>
        <v/>
      </c>
      <c r="F684" s="9">
        <f>IF(D684="","",IFERROR(INDEX('Équipements'!$D$5:$D$304,MATCH(D684,'Équipements'!$A$5:$A$304,0)),""))</f>
        <v/>
      </c>
      <c r="G684" s="9">
        <f>IF(D684="","",IFERROR(INDEX('Équipements'!$K$5:$K$304,MATCH(D684,'Équipements'!$A$5:$A$304,0)),""))</f>
        <v/>
      </c>
      <c r="H684" s="7" t="inlineStr">
        <is>
          <t>Préventif systématique</t>
        </is>
      </c>
      <c r="I684" s="7" t="inlineStr">
        <is>
          <t>GP-070</t>
        </is>
      </c>
      <c r="J684" s="7" t="inlineStr">
        <is>
          <t>Mécanique</t>
        </is>
      </c>
      <c r="K684" s="7" t="inlineStr">
        <is>
          <t>P3 - Normale</t>
        </is>
      </c>
      <c r="L684" s="7" t="inlineStr">
        <is>
          <t>Nettoyage et remplacement des filtres</t>
        </is>
      </c>
      <c r="M684" s="7" t="n"/>
      <c r="N684" s="7" t="inlineStr">
        <is>
          <t>Gamme réalisée - RAS</t>
        </is>
      </c>
      <c r="O684" s="7" t="inlineStr">
        <is>
          <t>Antoine Mercier</t>
        </is>
      </c>
      <c r="P684" s="65" t="n">
        <v>45965.50347222222</v>
      </c>
      <c r="Q684" s="75" t="n">
        <v>45965.61458333334</v>
      </c>
      <c r="R684" s="75" t="n">
        <v>45965.73958333334</v>
      </c>
      <c r="S684" s="76" t="n">
        <v>1.5</v>
      </c>
      <c r="T684" s="76" t="n">
        <v>3</v>
      </c>
      <c r="U684" s="70">
        <f>IF($A684="","",IFERROR(INDEX('Techniciens'!$F$5:$F$44,MATCH(O684,'Techniciens'!$B$5:$B$44,0)),'Paramètres'!$AA$10))</f>
        <v/>
      </c>
      <c r="V684" s="70">
        <f>IF($A684="","",IF(OR(AC684="Demandé",AC684="Planifié",AC684="Annulé"),0,N(T684)*N(U684)))</f>
        <v/>
      </c>
      <c r="W684" s="70">
        <f>IF($A684="","",SUMIFS('Mouvements stock'!$H$5:$H$3004,'Mouvements stock'!$I$5:$I$3004,$A684,'Mouvements stock'!$C$5:$C$3004,"Sortie")-SUMIFS('Mouvements stock'!$H$5:$H$3004,'Mouvements stock'!$I$5:$I$3004,$A684,'Mouvements stock'!$C$5:$C$3004,"Retour"))</f>
        <v/>
      </c>
      <c r="X684" s="66" t="n">
        <v>0</v>
      </c>
      <c r="Y684" s="66" t="n">
        <v>0</v>
      </c>
      <c r="Z684" s="7" t="n"/>
      <c r="AA684" s="70">
        <f>IF($A684="","",N(V684)+N(W684)+N(X684)+N(Y684))</f>
        <v/>
      </c>
      <c r="AB684" s="70">
        <f>IF($A684="","",N(S684)*'Paramètres'!$AA$9*IFERROR(INDEX('Paramètres'!$O$5:$O$7,MATCH(G684,'Paramètres'!$N$5:$N$7,0)),0))</f>
        <v/>
      </c>
      <c r="AC684" s="7" t="inlineStr">
        <is>
          <t>Clôturé</t>
        </is>
      </c>
      <c r="AD684" s="69">
        <f>IF(OR($A684="",Q684=""),"",(Q684-B684)*24)</f>
        <v/>
      </c>
      <c r="AE684" s="69">
        <f>IF(OR(Q684="",R684=""),"",(R684-Q684)*24)</f>
        <v/>
      </c>
      <c r="AF684" s="77">
        <f>IF(OR($A684="",B684=""),"",YEAR(B684))</f>
        <v/>
      </c>
      <c r="AG684" s="77">
        <f>IF(OR($A684="",B684=""),"",MONTH(B684))</f>
        <v/>
      </c>
    </row>
    <row r="685">
      <c r="A685" s="7" t="inlineStr">
        <is>
          <t>OT-2025-0681</t>
        </is>
      </c>
      <c r="B685" s="75" t="n">
        <v>45959.82777777778</v>
      </c>
      <c r="C685" s="7" t="inlineStr">
        <is>
          <t>Sylvie Mathieu (resp. logistique)</t>
        </is>
      </c>
      <c r="D685" s="7" t="inlineStr">
        <is>
          <t>EQ-LOG-004</t>
        </is>
      </c>
      <c r="E685" s="9">
        <f>IF(D685="","",IFERROR(INDEX('Équipements'!$B$5:$B$304,MATCH(D685,'Équipements'!$A$5:$A$304,0)),"Code inconnu"))</f>
        <v/>
      </c>
      <c r="F685" s="9">
        <f>IF(D685="","",IFERROR(INDEX('Équipements'!$D$5:$D$304,MATCH(D685,'Équipements'!$A$5:$A$304,0)),""))</f>
        <v/>
      </c>
      <c r="G685" s="9">
        <f>IF(D685="","",IFERROR(INDEX('Équipements'!$K$5:$K$304,MATCH(D685,'Équipements'!$A$5:$A$304,0)),""))</f>
        <v/>
      </c>
      <c r="H685" s="7" t="inlineStr">
        <is>
          <t>Correctif</t>
        </is>
      </c>
      <c r="I685" s="7" t="n"/>
      <c r="J685" s="7" t="inlineStr">
        <is>
          <t>Mécanique</t>
        </is>
      </c>
      <c r="K685" s="7" t="inlineStr">
        <is>
          <t>P3 - Normale</t>
        </is>
      </c>
      <c r="L685" s="7" t="inlineStr">
        <is>
          <t>Freinage inefficace</t>
        </is>
      </c>
      <c r="M685" s="7" t="inlineStr">
        <is>
          <t>Usure</t>
        </is>
      </c>
      <c r="N685" s="7" t="inlineStr">
        <is>
          <t>Remplacement garnitures de frein</t>
        </is>
      </c>
      <c r="O685" s="7" t="inlineStr">
        <is>
          <t>Lucas Fontaine</t>
        </is>
      </c>
      <c r="P685" s="65" t="n"/>
      <c r="Q685" s="75" t="n">
        <v>45961.81597222222</v>
      </c>
      <c r="R685" s="75" t="n">
        <v>45964.0841322766</v>
      </c>
      <c r="S685" s="76" t="n">
        <v>0</v>
      </c>
      <c r="T685" s="76" t="n">
        <v>4.75</v>
      </c>
      <c r="U685" s="70">
        <f>IF($A685="","",IFERROR(INDEX('Techniciens'!$F$5:$F$44,MATCH(O685,'Techniciens'!$B$5:$B$44,0)),'Paramètres'!$AA$10))</f>
        <v/>
      </c>
      <c r="V685" s="70">
        <f>IF($A685="","",IF(OR(AC685="Demandé",AC685="Planifié",AC685="Annulé"),0,N(T685)*N(U685)))</f>
        <v/>
      </c>
      <c r="W685" s="70">
        <f>IF($A685="","",SUMIFS('Mouvements stock'!$H$5:$H$3004,'Mouvements stock'!$I$5:$I$3004,$A685,'Mouvements stock'!$C$5:$C$3004,"Sortie")-SUMIFS('Mouvements stock'!$H$5:$H$3004,'Mouvements stock'!$I$5:$I$3004,$A685,'Mouvements stock'!$C$5:$C$3004,"Retour"))</f>
        <v/>
      </c>
      <c r="X685" s="66" t="n">
        <v>0</v>
      </c>
      <c r="Y685" s="66" t="n">
        <v>0</v>
      </c>
      <c r="Z685" s="7" t="n"/>
      <c r="AA685" s="70">
        <f>IF($A685="","",N(V685)+N(W685)+N(X685)+N(Y685))</f>
        <v/>
      </c>
      <c r="AB685" s="70">
        <f>IF($A685="","",N(S685)*'Paramètres'!$AA$9*IFERROR(INDEX('Paramètres'!$O$5:$O$7,MATCH(G685,'Paramètres'!$N$5:$N$7,0)),0))</f>
        <v/>
      </c>
      <c r="AC685" s="7" t="inlineStr">
        <is>
          <t>Clôturé</t>
        </is>
      </c>
      <c r="AD685" s="69">
        <f>IF(OR($A685="",Q685=""),"",(Q685-B685)*24)</f>
        <v/>
      </c>
      <c r="AE685" s="69">
        <f>IF(OR(Q685="",R685=""),"",(R685-Q685)*24)</f>
        <v/>
      </c>
      <c r="AF685" s="77">
        <f>IF(OR($A685="",B685=""),"",YEAR(B685))</f>
        <v/>
      </c>
      <c r="AG685" s="77">
        <f>IF(OR($A685="",B685=""),"",MONTH(B685))</f>
        <v/>
      </c>
    </row>
    <row r="686">
      <c r="A686" s="7" t="inlineStr">
        <is>
          <t>OT-2025-0682</t>
        </is>
      </c>
      <c r="B686" s="75" t="n">
        <v>45960.33333333334</v>
      </c>
      <c r="C686" s="7" t="inlineStr">
        <is>
          <t>Plan préventif</t>
        </is>
      </c>
      <c r="D686" s="7" t="inlineStr">
        <is>
          <t>EQ-BAT-006</t>
        </is>
      </c>
      <c r="E686" s="9">
        <f>IF(D686="","",IFERROR(INDEX('Équipements'!$B$5:$B$304,MATCH(D686,'Équipements'!$A$5:$A$304,0)),"Code inconnu"))</f>
        <v/>
      </c>
      <c r="F686" s="9">
        <f>IF(D686="","",IFERROR(INDEX('Équipements'!$D$5:$D$304,MATCH(D686,'Équipements'!$A$5:$A$304,0)),""))</f>
        <v/>
      </c>
      <c r="G686" s="9">
        <f>IF(D686="","",IFERROR(INDEX('Équipements'!$K$5:$K$304,MATCH(D686,'Équipements'!$A$5:$A$304,0)),""))</f>
        <v/>
      </c>
      <c r="H686" s="7" t="inlineStr">
        <is>
          <t>Préventif systématique</t>
        </is>
      </c>
      <c r="I686" s="7" t="inlineStr">
        <is>
          <t>GP-127</t>
        </is>
      </c>
      <c r="J686" s="7" t="inlineStr">
        <is>
          <t>Électrique</t>
        </is>
      </c>
      <c r="K686" s="7" t="inlineStr">
        <is>
          <t>P3 - Normale</t>
        </is>
      </c>
      <c r="L686" s="7" t="inlineStr">
        <is>
          <t>Essai de fonctionnement / contrôle visuel</t>
        </is>
      </c>
      <c r="M686" s="7" t="n"/>
      <c r="N686" s="7" t="inlineStr">
        <is>
          <t>Gamme réalisée - RAS</t>
        </is>
      </c>
      <c r="O686" s="7" t="inlineStr">
        <is>
          <t>Julien Moreau</t>
        </is>
      </c>
      <c r="P686" s="65" t="n">
        <v>45967.39930555555</v>
      </c>
      <c r="Q686" s="75" t="n">
        <v>45967.25</v>
      </c>
      <c r="R686" s="75" t="n">
        <v>45967.32291666666</v>
      </c>
      <c r="S686" s="76" t="n">
        <v>0</v>
      </c>
      <c r="T686" s="76" t="n">
        <v>1.75</v>
      </c>
      <c r="U686" s="70">
        <f>IF($A686="","",IFERROR(INDEX('Techniciens'!$F$5:$F$44,MATCH(O686,'Techniciens'!$B$5:$B$44,0)),'Paramètres'!$AA$10))</f>
        <v/>
      </c>
      <c r="V686" s="70">
        <f>IF($A686="","",IF(OR(AC686="Demandé",AC686="Planifié",AC686="Annulé"),0,N(T686)*N(U686)))</f>
        <v/>
      </c>
      <c r="W686" s="70">
        <f>IF($A686="","",SUMIFS('Mouvements stock'!$H$5:$H$3004,'Mouvements stock'!$I$5:$I$3004,$A686,'Mouvements stock'!$C$5:$C$3004,"Sortie")-SUMIFS('Mouvements stock'!$H$5:$H$3004,'Mouvements stock'!$I$5:$I$3004,$A686,'Mouvements stock'!$C$5:$C$3004,"Retour"))</f>
        <v/>
      </c>
      <c r="X686" s="66" t="n">
        <v>0</v>
      </c>
      <c r="Y686" s="66" t="n">
        <v>0</v>
      </c>
      <c r="Z686" s="7" t="n"/>
      <c r="AA686" s="70">
        <f>IF($A686="","",N(V686)+N(W686)+N(X686)+N(Y686))</f>
        <v/>
      </c>
      <c r="AB686" s="70">
        <f>IF($A686="","",N(S686)*'Paramètres'!$AA$9*IFERROR(INDEX('Paramètres'!$O$5:$O$7,MATCH(G686,'Paramètres'!$N$5:$N$7,0)),0))</f>
        <v/>
      </c>
      <c r="AC686" s="7" t="inlineStr">
        <is>
          <t>Clôturé</t>
        </is>
      </c>
      <c r="AD686" s="69">
        <f>IF(OR($A686="",Q686=""),"",(Q686-B686)*24)</f>
        <v/>
      </c>
      <c r="AE686" s="69">
        <f>IF(OR(Q686="",R686=""),"",(R686-Q686)*24)</f>
        <v/>
      </c>
      <c r="AF686" s="77">
        <f>IF(OR($A686="",B686=""),"",YEAR(B686))</f>
        <v/>
      </c>
      <c r="AG686" s="77">
        <f>IF(OR($A686="",B686=""),"",MONTH(B686))</f>
        <v/>
      </c>
    </row>
    <row r="687">
      <c r="A687" s="7" t="inlineStr">
        <is>
          <t>OT-2025-0683</t>
        </is>
      </c>
      <c r="B687" s="75" t="n">
        <v>45960.34375</v>
      </c>
      <c r="C687" s="7" t="inlineStr">
        <is>
          <t>Plan préventif</t>
        </is>
      </c>
      <c r="D687" s="7" t="inlineStr">
        <is>
          <t>EQ-TOL-001</t>
        </is>
      </c>
      <c r="E687" s="9">
        <f>IF(D687="","",IFERROR(INDEX('Équipements'!$B$5:$B$304,MATCH(D687,'Équipements'!$A$5:$A$304,0)),"Code inconnu"))</f>
        <v/>
      </c>
      <c r="F687" s="9">
        <f>IF(D687="","",IFERROR(INDEX('Équipements'!$D$5:$D$304,MATCH(D687,'Équipements'!$A$5:$A$304,0)),""))</f>
        <v/>
      </c>
      <c r="G687" s="9">
        <f>IF(D687="","",IFERROR(INDEX('Équipements'!$K$5:$K$304,MATCH(D687,'Équipements'!$A$5:$A$304,0)),""))</f>
        <v/>
      </c>
      <c r="H687" s="7" t="inlineStr">
        <is>
          <t>Préventif systématique</t>
        </is>
      </c>
      <c r="I687" s="7" t="inlineStr">
        <is>
          <t>GP-038</t>
        </is>
      </c>
      <c r="J687" s="7" t="inlineStr">
        <is>
          <t>Mécanique</t>
        </is>
      </c>
      <c r="K687" s="7" t="inlineStr">
        <is>
          <t>P3 - Normale</t>
        </is>
      </c>
      <c r="L687" s="7" t="inlineStr">
        <is>
          <t>Nettoyage optique, contrôle buse et lentille</t>
        </is>
      </c>
      <c r="M687" s="7" t="n"/>
      <c r="N687" s="7" t="inlineStr">
        <is>
          <t>Gamme réalisée - RAS</t>
        </is>
      </c>
      <c r="O687" s="7" t="inlineStr">
        <is>
          <t>Karim Benali</t>
        </is>
      </c>
      <c r="P687" s="65" t="n">
        <v>45967.45833333334</v>
      </c>
      <c r="Q687" s="75" t="n">
        <v>45967.25</v>
      </c>
      <c r="R687" s="75" t="n">
        <v>45967.33333333334</v>
      </c>
      <c r="S687" s="76" t="n">
        <v>0</v>
      </c>
      <c r="T687" s="76" t="n">
        <v>2</v>
      </c>
      <c r="U687" s="70">
        <f>IF($A687="","",IFERROR(INDEX('Techniciens'!$F$5:$F$44,MATCH(O687,'Techniciens'!$B$5:$B$44,0)),'Paramètres'!$AA$10))</f>
        <v/>
      </c>
      <c r="V687" s="70">
        <f>IF($A687="","",IF(OR(AC687="Demandé",AC687="Planifié",AC687="Annulé"),0,N(T687)*N(U687)))</f>
        <v/>
      </c>
      <c r="W687" s="70">
        <f>IF($A687="","",SUMIFS('Mouvements stock'!$H$5:$H$3004,'Mouvements stock'!$I$5:$I$3004,$A687,'Mouvements stock'!$C$5:$C$3004,"Sortie")-SUMIFS('Mouvements stock'!$H$5:$H$3004,'Mouvements stock'!$I$5:$I$3004,$A687,'Mouvements stock'!$C$5:$C$3004,"Retour"))</f>
        <v/>
      </c>
      <c r="X687" s="66" t="n">
        <v>0</v>
      </c>
      <c r="Y687" s="66" t="n">
        <v>0</v>
      </c>
      <c r="Z687" s="7" t="n"/>
      <c r="AA687" s="70">
        <f>IF($A687="","",N(V687)+N(W687)+N(X687)+N(Y687))</f>
        <v/>
      </c>
      <c r="AB687" s="70">
        <f>IF($A687="","",N(S687)*'Paramètres'!$AA$9*IFERROR(INDEX('Paramètres'!$O$5:$O$7,MATCH(G687,'Paramètres'!$N$5:$N$7,0)),0))</f>
        <v/>
      </c>
      <c r="AC687" s="7" t="inlineStr">
        <is>
          <t>Clôturé</t>
        </is>
      </c>
      <c r="AD687" s="69">
        <f>IF(OR($A687="",Q687=""),"",(Q687-B687)*24)</f>
        <v/>
      </c>
      <c r="AE687" s="69">
        <f>IF(OR(Q687="",R687=""),"",(R687-Q687)*24)</f>
        <v/>
      </c>
      <c r="AF687" s="77">
        <f>IF(OR($A687="",B687=""),"",YEAR(B687))</f>
        <v/>
      </c>
      <c r="AG687" s="77">
        <f>IF(OR($A687="",B687=""),"",MONTH(B687))</f>
        <v/>
      </c>
    </row>
    <row r="688">
      <c r="A688" s="7" t="inlineStr">
        <is>
          <t>OT-2025-0684</t>
        </is>
      </c>
      <c r="B688" s="75" t="n">
        <v>45961.41666666666</v>
      </c>
      <c r="C688" s="7" t="inlineStr">
        <is>
          <t>Plan préventif</t>
        </is>
      </c>
      <c r="D688" s="7" t="inlineStr">
        <is>
          <t>EQ-USI-003</t>
        </is>
      </c>
      <c r="E688" s="9">
        <f>IF(D688="","",IFERROR(INDEX('Équipements'!$B$5:$B$304,MATCH(D688,'Équipements'!$A$5:$A$304,0)),"Code inconnu"))</f>
        <v/>
      </c>
      <c r="F688" s="9">
        <f>IF(D688="","",IFERROR(INDEX('Équipements'!$D$5:$D$304,MATCH(D688,'Équipements'!$A$5:$A$304,0)),""))</f>
        <v/>
      </c>
      <c r="G688" s="9">
        <f>IF(D688="","",IFERROR(INDEX('Équipements'!$K$5:$K$304,MATCH(D688,'Équipements'!$A$5:$A$304,0)),""))</f>
        <v/>
      </c>
      <c r="H688" s="7" t="inlineStr">
        <is>
          <t>Préventif systématique</t>
        </is>
      </c>
      <c r="I688" s="7" t="inlineStr">
        <is>
          <t>GP-009</t>
        </is>
      </c>
      <c r="J688" s="7" t="inlineStr">
        <is>
          <t>Mécanique</t>
        </is>
      </c>
      <c r="K688" s="7" t="inlineStr">
        <is>
          <t>P3 - Normale</t>
        </is>
      </c>
      <c r="L688" s="7" t="inlineStr">
        <is>
          <t>Contrôle niveaux, nettoyage filtres et bac à copeaux</t>
        </is>
      </c>
      <c r="M688" s="7" t="n"/>
      <c r="N688" s="7" t="inlineStr">
        <is>
          <t>Gamme réalisée - RAS</t>
        </is>
      </c>
      <c r="O688" s="7" t="inlineStr">
        <is>
          <t>Lucas Fontaine</t>
        </is>
      </c>
      <c r="P688" s="65" t="n">
        <v>45968.31944444445</v>
      </c>
      <c r="Q688" s="75" t="n">
        <v>45968.48958333334</v>
      </c>
      <c r="R688" s="75" t="n">
        <v>45968.5625</v>
      </c>
      <c r="S688" s="76" t="n">
        <v>0.9</v>
      </c>
      <c r="T688" s="76" t="n">
        <v>1.75</v>
      </c>
      <c r="U688" s="70">
        <f>IF($A688="","",IFERROR(INDEX('Techniciens'!$F$5:$F$44,MATCH(O688,'Techniciens'!$B$5:$B$44,0)),'Paramètres'!$AA$10))</f>
        <v/>
      </c>
      <c r="V688" s="70">
        <f>IF($A688="","",IF(OR(AC688="Demandé",AC688="Planifié",AC688="Annulé"),0,N(T688)*N(U688)))</f>
        <v/>
      </c>
      <c r="W688" s="70">
        <f>IF($A688="","",SUMIFS('Mouvements stock'!$H$5:$H$3004,'Mouvements stock'!$I$5:$I$3004,$A688,'Mouvements stock'!$C$5:$C$3004,"Sortie")-SUMIFS('Mouvements stock'!$H$5:$H$3004,'Mouvements stock'!$I$5:$I$3004,$A688,'Mouvements stock'!$C$5:$C$3004,"Retour"))</f>
        <v/>
      </c>
      <c r="X688" s="66" t="n">
        <v>0</v>
      </c>
      <c r="Y688" s="66" t="n">
        <v>0</v>
      </c>
      <c r="Z688" s="7" t="n"/>
      <c r="AA688" s="70">
        <f>IF($A688="","",N(V688)+N(W688)+N(X688)+N(Y688))</f>
        <v/>
      </c>
      <c r="AB688" s="70">
        <f>IF($A688="","",N(S688)*'Paramètres'!$AA$9*IFERROR(INDEX('Paramètres'!$O$5:$O$7,MATCH(G688,'Paramètres'!$N$5:$N$7,0)),0))</f>
        <v/>
      </c>
      <c r="AC688" s="7" t="inlineStr">
        <is>
          <t>Clôturé</t>
        </is>
      </c>
      <c r="AD688" s="69">
        <f>IF(OR($A688="",Q688=""),"",(Q688-B688)*24)</f>
        <v/>
      </c>
      <c r="AE688" s="69">
        <f>IF(OR(Q688="",R688=""),"",(R688-Q688)*24)</f>
        <v/>
      </c>
      <c r="AF688" s="77">
        <f>IF(OR($A688="",B688=""),"",YEAR(B688))</f>
        <v/>
      </c>
      <c r="AG688" s="77">
        <f>IF(OR($A688="",B688=""),"",MONTH(B688))</f>
        <v/>
      </c>
    </row>
    <row r="689">
      <c r="A689" s="7" t="inlineStr">
        <is>
          <t>OT-2025-0685</t>
        </is>
      </c>
      <c r="B689" s="75" t="n">
        <v>45962.34583333333</v>
      </c>
      <c r="C689" s="7" t="inlineStr">
        <is>
          <t>Opérateur soudure</t>
        </is>
      </c>
      <c r="D689" s="7" t="inlineStr">
        <is>
          <t>EQ-SOU-005</t>
        </is>
      </c>
      <c r="E689" s="9">
        <f>IF(D689="","",IFERROR(INDEX('Équipements'!$B$5:$B$304,MATCH(D689,'Équipements'!$A$5:$A$304,0)),"Code inconnu"))</f>
        <v/>
      </c>
      <c r="F689" s="9">
        <f>IF(D689="","",IFERROR(INDEX('Équipements'!$D$5:$D$304,MATCH(D689,'Équipements'!$A$5:$A$304,0)),""))</f>
        <v/>
      </c>
      <c r="G689" s="9">
        <f>IF(D689="","",IFERROR(INDEX('Équipements'!$K$5:$K$304,MATCH(D689,'Équipements'!$A$5:$A$304,0)),""))</f>
        <v/>
      </c>
      <c r="H689" s="7" t="inlineStr">
        <is>
          <t>Correctif</t>
        </is>
      </c>
      <c r="I689" s="7" t="n"/>
      <c r="J689" s="7" t="inlineStr">
        <is>
          <t>Mécanique</t>
        </is>
      </c>
      <c r="K689" s="7" t="inlineStr">
        <is>
          <t>P3 - Normale</t>
        </is>
      </c>
      <c r="L689" s="7" t="inlineStr">
        <is>
          <t>Groupe en défaut haute pression</t>
        </is>
      </c>
      <c r="M689" s="7" t="inlineStr">
        <is>
          <t>Encrassement</t>
        </is>
      </c>
      <c r="N689" s="7" t="inlineStr">
        <is>
          <t>Nettoyage condenseur, contrôle charge fluide</t>
        </is>
      </c>
      <c r="O689" s="7" t="inlineStr">
        <is>
          <t>Lucas Fontaine</t>
        </is>
      </c>
      <c r="P689" s="65" t="n"/>
      <c r="Q689" s="75" t="n">
        <v>45963.85277777778</v>
      </c>
      <c r="R689" s="75" t="n">
        <v>45963.98819444444</v>
      </c>
      <c r="S689" s="76" t="n">
        <v>3.2</v>
      </c>
      <c r="T689" s="76" t="n">
        <v>3.25</v>
      </c>
      <c r="U689" s="70">
        <f>IF($A689="","",IFERROR(INDEX('Techniciens'!$F$5:$F$44,MATCH(O689,'Techniciens'!$B$5:$B$44,0)),'Paramètres'!$AA$10))</f>
        <v/>
      </c>
      <c r="V689" s="70">
        <f>IF($A689="","",IF(OR(AC689="Demandé",AC689="Planifié",AC689="Annulé"),0,N(T689)*N(U689)))</f>
        <v/>
      </c>
      <c r="W689" s="70">
        <f>IF($A689="","",SUMIFS('Mouvements stock'!$H$5:$H$3004,'Mouvements stock'!$I$5:$I$3004,$A689,'Mouvements stock'!$C$5:$C$3004,"Sortie")-SUMIFS('Mouvements stock'!$H$5:$H$3004,'Mouvements stock'!$I$5:$I$3004,$A689,'Mouvements stock'!$C$5:$C$3004,"Retour"))</f>
        <v/>
      </c>
      <c r="X689" s="66" t="n">
        <v>0</v>
      </c>
      <c r="Y689" s="66" t="n">
        <v>690</v>
      </c>
      <c r="Z689" s="7" t="inlineStr">
        <is>
          <t>Thermique &amp; Clim Services</t>
        </is>
      </c>
      <c r="AA689" s="70">
        <f>IF($A689="","",N(V689)+N(W689)+N(X689)+N(Y689))</f>
        <v/>
      </c>
      <c r="AB689" s="70">
        <f>IF($A689="","",N(S689)*'Paramètres'!$AA$9*IFERROR(INDEX('Paramètres'!$O$5:$O$7,MATCH(G689,'Paramètres'!$N$5:$N$7,0)),0))</f>
        <v/>
      </c>
      <c r="AC689" s="7" t="inlineStr">
        <is>
          <t>Clôturé</t>
        </is>
      </c>
      <c r="AD689" s="69">
        <f>IF(OR($A689="",Q689=""),"",(Q689-B689)*24)</f>
        <v/>
      </c>
      <c r="AE689" s="69">
        <f>IF(OR(Q689="",R689=""),"",(R689-Q689)*24)</f>
        <v/>
      </c>
      <c r="AF689" s="77">
        <f>IF(OR($A689="",B689=""),"",YEAR(B689))</f>
        <v/>
      </c>
      <c r="AG689" s="77">
        <f>IF(OR($A689="",B689=""),"",MONTH(B689))</f>
        <v/>
      </c>
    </row>
    <row r="690">
      <c r="A690" s="7" t="inlineStr">
        <is>
          <t>OT-2025-0686</t>
        </is>
      </c>
      <c r="B690" s="75" t="n">
        <v>45964.36111111111</v>
      </c>
      <c r="C690" s="7" t="inlineStr">
        <is>
          <t>Plan préventif</t>
        </is>
      </c>
      <c r="D690" s="7" t="inlineStr">
        <is>
          <t>EQ-LOG-007</t>
        </is>
      </c>
      <c r="E690" s="9">
        <f>IF(D690="","",IFERROR(INDEX('Équipements'!$B$5:$B$304,MATCH(D690,'Équipements'!$A$5:$A$304,0)),"Code inconnu"))</f>
        <v/>
      </c>
      <c r="F690" s="9">
        <f>IF(D690="","",IFERROR(INDEX('Équipements'!$D$5:$D$304,MATCH(D690,'Équipements'!$A$5:$A$304,0)),""))</f>
        <v/>
      </c>
      <c r="G690" s="9">
        <f>IF(D690="","",IFERROR(INDEX('Équipements'!$K$5:$K$304,MATCH(D690,'Équipements'!$A$5:$A$304,0)),""))</f>
        <v/>
      </c>
      <c r="H690" s="7" t="inlineStr">
        <is>
          <t>Préventif systématique</t>
        </is>
      </c>
      <c r="I690" s="7" t="inlineStr">
        <is>
          <t>GP-118</t>
        </is>
      </c>
      <c r="J690" s="7" t="inlineStr">
        <is>
          <t>Mécanique</t>
        </is>
      </c>
      <c r="K690" s="7" t="inlineStr">
        <is>
          <t>P3 - Normale</t>
        </is>
      </c>
      <c r="L690" s="7" t="inlineStr">
        <is>
          <t>Graissage et entretien annuel</t>
        </is>
      </c>
      <c r="M690" s="7" t="n"/>
      <c r="N690" s="7" t="inlineStr">
        <is>
          <t>Gamme réalisée - RAS</t>
        </is>
      </c>
      <c r="O690" s="7" t="inlineStr">
        <is>
          <t>Karim Benali</t>
        </is>
      </c>
      <c r="P690" s="65" t="n">
        <v>45971</v>
      </c>
      <c r="Q690" s="75" t="n">
        <v>45971.44444444445</v>
      </c>
      <c r="R690" s="75" t="n">
        <v>45971.66319444445</v>
      </c>
      <c r="S690" s="76" t="n">
        <v>0</v>
      </c>
      <c r="T690" s="76" t="n">
        <v>2</v>
      </c>
      <c r="U690" s="70">
        <f>IF($A690="","",IFERROR(INDEX('Techniciens'!$F$5:$F$44,MATCH(O690,'Techniciens'!$B$5:$B$44,0)),'Paramètres'!$AA$10))</f>
        <v/>
      </c>
      <c r="V690" s="70">
        <f>IF($A690="","",IF(OR(AC690="Demandé",AC690="Planifié",AC690="Annulé"),0,N(T690)*N(U690)))</f>
        <v/>
      </c>
      <c r="W690" s="70">
        <f>IF($A690="","",SUMIFS('Mouvements stock'!$H$5:$H$3004,'Mouvements stock'!$I$5:$I$3004,$A690,'Mouvements stock'!$C$5:$C$3004,"Sortie")-SUMIFS('Mouvements stock'!$H$5:$H$3004,'Mouvements stock'!$I$5:$I$3004,$A690,'Mouvements stock'!$C$5:$C$3004,"Retour"))</f>
        <v/>
      </c>
      <c r="X690" s="66" t="n">
        <v>0</v>
      </c>
      <c r="Y690" s="66" t="n">
        <v>960</v>
      </c>
      <c r="Z690" s="7" t="inlineStr">
        <is>
          <t>Levage Expertise Ouest</t>
        </is>
      </c>
      <c r="AA690" s="70">
        <f>IF($A690="","",N(V690)+N(W690)+N(X690)+N(Y690))</f>
        <v/>
      </c>
      <c r="AB690" s="70">
        <f>IF($A690="","",N(S690)*'Paramètres'!$AA$9*IFERROR(INDEX('Paramètres'!$O$5:$O$7,MATCH(G690,'Paramètres'!$N$5:$N$7,0)),0))</f>
        <v/>
      </c>
      <c r="AC690" s="7" t="inlineStr">
        <is>
          <t>Clôturé</t>
        </is>
      </c>
      <c r="AD690" s="69">
        <f>IF(OR($A690="",Q690=""),"",(Q690-B690)*24)</f>
        <v/>
      </c>
      <c r="AE690" s="69">
        <f>IF(OR(Q690="",R690=""),"",(R690-Q690)*24)</f>
        <v/>
      </c>
      <c r="AF690" s="77">
        <f>IF(OR($A690="",B690=""),"",YEAR(B690))</f>
        <v/>
      </c>
      <c r="AG690" s="77">
        <f>IF(OR($A690="",B690=""),"",MONTH(B690))</f>
        <v/>
      </c>
    </row>
    <row r="691">
      <c r="A691" s="7" t="inlineStr">
        <is>
          <t>OT-2025-0687</t>
        </is>
      </c>
      <c r="B691" s="75" t="n">
        <v>45964.36805555555</v>
      </c>
      <c r="C691" s="7" t="inlineStr">
        <is>
          <t>Plan préventif</t>
        </is>
      </c>
      <c r="D691" s="7" t="inlineStr">
        <is>
          <t>EQ-SOU-001</t>
        </is>
      </c>
      <c r="E691" s="9">
        <f>IF(D691="","",IFERROR(INDEX('Équipements'!$B$5:$B$304,MATCH(D691,'Équipements'!$A$5:$A$304,0)),"Code inconnu"))</f>
        <v/>
      </c>
      <c r="F691" s="9">
        <f>IF(D691="","",IFERROR(INDEX('Équipements'!$D$5:$D$304,MATCH(D691,'Équipements'!$A$5:$A$304,0)),""))</f>
        <v/>
      </c>
      <c r="G691" s="9">
        <f>IF(D691="","",IFERROR(INDEX('Équipements'!$K$5:$K$304,MATCH(D691,'Équipements'!$A$5:$A$304,0)),""))</f>
        <v/>
      </c>
      <c r="H691" s="7" t="inlineStr">
        <is>
          <t>Préventif systématique</t>
        </is>
      </c>
      <c r="I691" s="7" t="inlineStr">
        <is>
          <t>GP-058</t>
        </is>
      </c>
      <c r="J691" s="7" t="inlineStr">
        <is>
          <t>Mécanique</t>
        </is>
      </c>
      <c r="K691" s="7" t="inlineStr">
        <is>
          <t>P3 - Normale</t>
        </is>
      </c>
      <c r="L691" s="7" t="inlineStr">
        <is>
          <t>Nettoyage torche et contrôle faisceau</t>
        </is>
      </c>
      <c r="M691" s="7" t="n"/>
      <c r="N691" s="7" t="inlineStr">
        <is>
          <t>Gamme réalisée - RAS</t>
        </is>
      </c>
      <c r="O691" s="7" t="inlineStr">
        <is>
          <t>Lucas Fontaine</t>
        </is>
      </c>
      <c r="P691" s="65" t="n">
        <v>45971.42708333334</v>
      </c>
      <c r="Q691" s="75" t="n">
        <v>45971.26041666666</v>
      </c>
      <c r="R691" s="75" t="n">
        <v>45971.29166666666</v>
      </c>
      <c r="S691" s="76" t="n">
        <v>0.8</v>
      </c>
      <c r="T691" s="76" t="n">
        <v>0.75</v>
      </c>
      <c r="U691" s="70">
        <f>IF($A691="","",IFERROR(INDEX('Techniciens'!$F$5:$F$44,MATCH(O691,'Techniciens'!$B$5:$B$44,0)),'Paramètres'!$AA$10))</f>
        <v/>
      </c>
      <c r="V691" s="70">
        <f>IF($A691="","",IF(OR(AC691="Demandé",AC691="Planifié",AC691="Annulé"),0,N(T691)*N(U691)))</f>
        <v/>
      </c>
      <c r="W691" s="70">
        <f>IF($A691="","",SUMIFS('Mouvements stock'!$H$5:$H$3004,'Mouvements stock'!$I$5:$I$3004,$A691,'Mouvements stock'!$C$5:$C$3004,"Sortie")-SUMIFS('Mouvements stock'!$H$5:$H$3004,'Mouvements stock'!$I$5:$I$3004,$A691,'Mouvements stock'!$C$5:$C$3004,"Retour"))</f>
        <v/>
      </c>
      <c r="X691" s="66" t="n">
        <v>0</v>
      </c>
      <c r="Y691" s="66" t="n">
        <v>0</v>
      </c>
      <c r="Z691" s="7" t="n"/>
      <c r="AA691" s="70">
        <f>IF($A691="","",N(V691)+N(W691)+N(X691)+N(Y691))</f>
        <v/>
      </c>
      <c r="AB691" s="70">
        <f>IF($A691="","",N(S691)*'Paramètres'!$AA$9*IFERROR(INDEX('Paramètres'!$O$5:$O$7,MATCH(G691,'Paramètres'!$N$5:$N$7,0)),0))</f>
        <v/>
      </c>
      <c r="AC691" s="7" t="inlineStr">
        <is>
          <t>Clôturé</t>
        </is>
      </c>
      <c r="AD691" s="69">
        <f>IF(OR($A691="",Q691=""),"",(Q691-B691)*24)</f>
        <v/>
      </c>
      <c r="AE691" s="69">
        <f>IF(OR(Q691="",R691=""),"",(R691-Q691)*24)</f>
        <v/>
      </c>
      <c r="AF691" s="77">
        <f>IF(OR($A691="",B691=""),"",YEAR(B691))</f>
        <v/>
      </c>
      <c r="AG691" s="77">
        <f>IF(OR($A691="",B691=""),"",MONTH(B691))</f>
        <v/>
      </c>
    </row>
    <row r="692">
      <c r="A692" s="7" t="inlineStr">
        <is>
          <t>OT-2025-0688</t>
        </is>
      </c>
      <c r="B692" s="75" t="n">
        <v>45964.40277777778</v>
      </c>
      <c r="C692" s="7" t="inlineStr">
        <is>
          <t>Plan préventif</t>
        </is>
      </c>
      <c r="D692" s="7" t="inlineStr">
        <is>
          <t>EQ-UTI-009</t>
        </is>
      </c>
      <c r="E692" s="9">
        <f>IF(D692="","",IFERROR(INDEX('Équipements'!$B$5:$B$304,MATCH(D692,'Équipements'!$A$5:$A$304,0)),"Code inconnu"))</f>
        <v/>
      </c>
      <c r="F692" s="9">
        <f>IF(D692="","",IFERROR(INDEX('Équipements'!$D$5:$D$304,MATCH(D692,'Équipements'!$A$5:$A$304,0)),""))</f>
        <v/>
      </c>
      <c r="G692" s="9">
        <f>IF(D692="","",IFERROR(INDEX('Équipements'!$K$5:$K$304,MATCH(D692,'Équipements'!$A$5:$A$304,0)),""))</f>
        <v/>
      </c>
      <c r="H692" s="7" t="inlineStr">
        <is>
          <t>Préventif systématique</t>
        </is>
      </c>
      <c r="I692" s="7" t="inlineStr">
        <is>
          <t>GP-101</t>
        </is>
      </c>
      <c r="J692" s="7" t="inlineStr">
        <is>
          <t>Électrique</t>
        </is>
      </c>
      <c r="K692" s="7" t="inlineStr">
        <is>
          <t>P3 - Normale</t>
        </is>
      </c>
      <c r="L692" s="7" t="inlineStr">
        <is>
          <t>Étalonnage des sondes pH / redox</t>
        </is>
      </c>
      <c r="M692" s="7" t="n"/>
      <c r="N692" s="7" t="inlineStr">
        <is>
          <t>Gamme réalisée - RAS</t>
        </is>
      </c>
      <c r="O692" s="7" t="inlineStr">
        <is>
          <t>Thomas Petit</t>
        </is>
      </c>
      <c r="P692" s="65" t="n">
        <v>45971.49305555555</v>
      </c>
      <c r="Q692" s="75" t="n">
        <v>45971.3125</v>
      </c>
      <c r="R692" s="75" t="n">
        <v>45971.375</v>
      </c>
      <c r="S692" s="76" t="n">
        <v>0</v>
      </c>
      <c r="T692" s="76" t="n">
        <v>1.5</v>
      </c>
      <c r="U692" s="70">
        <f>IF($A692="","",IFERROR(INDEX('Techniciens'!$F$5:$F$44,MATCH(O692,'Techniciens'!$B$5:$B$44,0)),'Paramètres'!$AA$10))</f>
        <v/>
      </c>
      <c r="V692" s="70">
        <f>IF($A692="","",IF(OR(AC692="Demandé",AC692="Planifié",AC692="Annulé"),0,N(T692)*N(U692)))</f>
        <v/>
      </c>
      <c r="W692" s="70">
        <f>IF($A692="","",SUMIFS('Mouvements stock'!$H$5:$H$3004,'Mouvements stock'!$I$5:$I$3004,$A692,'Mouvements stock'!$C$5:$C$3004,"Sortie")-SUMIFS('Mouvements stock'!$H$5:$H$3004,'Mouvements stock'!$I$5:$I$3004,$A692,'Mouvements stock'!$C$5:$C$3004,"Retour"))</f>
        <v/>
      </c>
      <c r="X692" s="66" t="n">
        <v>0</v>
      </c>
      <c r="Y692" s="66" t="n">
        <v>0</v>
      </c>
      <c r="Z692" s="7" t="n"/>
      <c r="AA692" s="70">
        <f>IF($A692="","",N(V692)+N(W692)+N(X692)+N(Y692))</f>
        <v/>
      </c>
      <c r="AB692" s="70">
        <f>IF($A692="","",N(S692)*'Paramètres'!$AA$9*IFERROR(INDEX('Paramètres'!$O$5:$O$7,MATCH(G692,'Paramètres'!$N$5:$N$7,0)),0))</f>
        <v/>
      </c>
      <c r="AC692" s="7" t="inlineStr">
        <is>
          <t>Clôturé</t>
        </is>
      </c>
      <c r="AD692" s="69">
        <f>IF(OR($A692="",Q692=""),"",(Q692-B692)*24)</f>
        <v/>
      </c>
      <c r="AE692" s="69">
        <f>IF(OR(Q692="",R692=""),"",(R692-Q692)*24)</f>
        <v/>
      </c>
      <c r="AF692" s="77">
        <f>IF(OR($A692="",B692=""),"",YEAR(B692))</f>
        <v/>
      </c>
      <c r="AG692" s="77">
        <f>IF(OR($A692="",B692=""),"",MONTH(B692))</f>
        <v/>
      </c>
    </row>
    <row r="693">
      <c r="A693" s="7" t="inlineStr">
        <is>
          <t>OT-2025-0689</t>
        </is>
      </c>
      <c r="B693" s="75" t="n">
        <v>45964.5625</v>
      </c>
      <c r="C693" s="7" t="inlineStr">
        <is>
          <t>Éric Laurent (chef d'atelier)</t>
        </is>
      </c>
      <c r="D693" s="7" t="inlineStr">
        <is>
          <t>EQ-USI-001</t>
        </is>
      </c>
      <c r="E693" s="9">
        <f>IF(D693="","",IFERROR(INDEX('Équipements'!$B$5:$B$304,MATCH(D693,'Équipements'!$A$5:$A$304,0)),"Code inconnu"))</f>
        <v/>
      </c>
      <c r="F693" s="9">
        <f>IF(D693="","",IFERROR(INDEX('Équipements'!$D$5:$D$304,MATCH(D693,'Équipements'!$A$5:$A$304,0)),""))</f>
        <v/>
      </c>
      <c r="G693" s="9">
        <f>IF(D693="","",IFERROR(INDEX('Équipements'!$K$5:$K$304,MATCH(D693,'Équipements'!$A$5:$A$304,0)),""))</f>
        <v/>
      </c>
      <c r="H693" s="7" t="inlineStr">
        <is>
          <t>Correctif</t>
        </is>
      </c>
      <c r="I693" s="7" t="n"/>
      <c r="J693" s="7" t="inlineStr">
        <is>
          <t>Mécanique</t>
        </is>
      </c>
      <c r="K693" s="7" t="inlineStr">
        <is>
          <t>P2 - Haute</t>
        </is>
      </c>
      <c r="L693" s="7" t="inlineStr">
        <is>
          <t>Bourrage convoyeur à copeaux</t>
        </is>
      </c>
      <c r="M693" s="7" t="inlineStr">
        <is>
          <t>Encrassement</t>
        </is>
      </c>
      <c r="N693" s="7" t="inlineStr">
        <is>
          <t>Dégagement et nettoyage convoyeur, retension chaîne</t>
        </is>
      </c>
      <c r="O693" s="7" t="inlineStr">
        <is>
          <t>Lucas Fontaine</t>
        </is>
      </c>
      <c r="P693" s="65" t="n"/>
      <c r="Q693" s="75" t="n">
        <v>45964.67638888889</v>
      </c>
      <c r="R693" s="75" t="n">
        <v>45964.79097222222</v>
      </c>
      <c r="S693" s="76" t="n">
        <v>5.5</v>
      </c>
      <c r="T693" s="76" t="n">
        <v>2.75</v>
      </c>
      <c r="U693" s="70">
        <f>IF($A693="","",IFERROR(INDEX('Techniciens'!$F$5:$F$44,MATCH(O693,'Techniciens'!$B$5:$B$44,0)),'Paramètres'!$AA$10))</f>
        <v/>
      </c>
      <c r="V693" s="70">
        <f>IF($A693="","",IF(OR(AC693="Demandé",AC693="Planifié",AC693="Annulé"),0,N(T693)*N(U693)))</f>
        <v/>
      </c>
      <c r="W693" s="70">
        <f>IF($A693="","",SUMIFS('Mouvements stock'!$H$5:$H$3004,'Mouvements stock'!$I$5:$I$3004,$A693,'Mouvements stock'!$C$5:$C$3004,"Sortie")-SUMIFS('Mouvements stock'!$H$5:$H$3004,'Mouvements stock'!$I$5:$I$3004,$A693,'Mouvements stock'!$C$5:$C$3004,"Retour"))</f>
        <v/>
      </c>
      <c r="X693" s="66" t="n">
        <v>0</v>
      </c>
      <c r="Y693" s="66" t="n">
        <v>0</v>
      </c>
      <c r="Z693" s="7" t="n"/>
      <c r="AA693" s="70">
        <f>IF($A693="","",N(V693)+N(W693)+N(X693)+N(Y693))</f>
        <v/>
      </c>
      <c r="AB693" s="70">
        <f>IF($A693="","",N(S693)*'Paramètres'!$AA$9*IFERROR(INDEX('Paramètres'!$O$5:$O$7,MATCH(G693,'Paramètres'!$N$5:$N$7,0)),0))</f>
        <v/>
      </c>
      <c r="AC693" s="7" t="inlineStr">
        <is>
          <t>Clôturé</t>
        </is>
      </c>
      <c r="AD693" s="69">
        <f>IF(OR($A693="",Q693=""),"",(Q693-B693)*24)</f>
        <v/>
      </c>
      <c r="AE693" s="69">
        <f>IF(OR(Q693="",R693=""),"",(R693-Q693)*24)</f>
        <v/>
      </c>
      <c r="AF693" s="77">
        <f>IF(OR($A693="",B693=""),"",YEAR(B693))</f>
        <v/>
      </c>
      <c r="AG693" s="77">
        <f>IF(OR($A693="",B693=""),"",MONTH(B693))</f>
        <v/>
      </c>
    </row>
    <row r="694">
      <c r="A694" s="7" t="inlineStr">
        <is>
          <t>OT-2025-0690</t>
        </is>
      </c>
      <c r="B694" s="75" t="n">
        <v>45964.67916666667</v>
      </c>
      <c r="C694" s="7" t="inlineStr">
        <is>
          <t>Opérateur usinage</t>
        </is>
      </c>
      <c r="D694" s="7" t="inlineStr">
        <is>
          <t>EQ-USI-008</t>
        </is>
      </c>
      <c r="E694" s="9">
        <f>IF(D694="","",IFERROR(INDEX('Équipements'!$B$5:$B$304,MATCH(D694,'Équipements'!$A$5:$A$304,0)),"Code inconnu"))</f>
        <v/>
      </c>
      <c r="F694" s="9">
        <f>IF(D694="","",IFERROR(INDEX('Équipements'!$D$5:$D$304,MATCH(D694,'Équipements'!$A$5:$A$304,0)),""))</f>
        <v/>
      </c>
      <c r="G694" s="9">
        <f>IF(D694="","",IFERROR(INDEX('Équipements'!$K$5:$K$304,MATCH(D694,'Équipements'!$A$5:$A$304,0)),""))</f>
        <v/>
      </c>
      <c r="H694" s="7" t="inlineStr">
        <is>
          <t>Correctif</t>
        </is>
      </c>
      <c r="I694" s="7" t="n"/>
      <c r="J694" s="7" t="inlineStr">
        <is>
          <t>Mécanique</t>
        </is>
      </c>
      <c r="K694" s="7" t="inlineStr">
        <is>
          <t>P4 - Basse</t>
        </is>
      </c>
      <c r="L694" s="7" t="inlineStr">
        <is>
          <t>Jeu excessif sur la table</t>
        </is>
      </c>
      <c r="M694" s="7" t="inlineStr">
        <is>
          <t>Usure</t>
        </is>
      </c>
      <c r="N694" s="7" t="inlineStr">
        <is>
          <t>Réglage des lardons, graissage</t>
        </is>
      </c>
      <c r="O694" s="7" t="inlineStr">
        <is>
          <t>Lucas Fontaine</t>
        </is>
      </c>
      <c r="P694" s="65" t="n"/>
      <c r="Q694" s="75" t="n">
        <v>45971.34027777778</v>
      </c>
      <c r="R694" s="75" t="n">
        <v>45971.38194444445</v>
      </c>
      <c r="S694" s="76" t="n">
        <v>0</v>
      </c>
      <c r="T694" s="76" t="n">
        <v>1</v>
      </c>
      <c r="U694" s="70">
        <f>IF($A694="","",IFERROR(INDEX('Techniciens'!$F$5:$F$44,MATCH(O694,'Techniciens'!$B$5:$B$44,0)),'Paramètres'!$AA$10))</f>
        <v/>
      </c>
      <c r="V694" s="70">
        <f>IF($A694="","",IF(OR(AC694="Demandé",AC694="Planifié",AC694="Annulé"),0,N(T694)*N(U694)))</f>
        <v/>
      </c>
      <c r="W694" s="70">
        <f>IF($A694="","",SUMIFS('Mouvements stock'!$H$5:$H$3004,'Mouvements stock'!$I$5:$I$3004,$A694,'Mouvements stock'!$C$5:$C$3004,"Sortie")-SUMIFS('Mouvements stock'!$H$5:$H$3004,'Mouvements stock'!$I$5:$I$3004,$A694,'Mouvements stock'!$C$5:$C$3004,"Retour"))</f>
        <v/>
      </c>
      <c r="X694" s="66" t="n">
        <v>0</v>
      </c>
      <c r="Y694" s="66" t="n">
        <v>0</v>
      </c>
      <c r="Z694" s="7" t="n"/>
      <c r="AA694" s="70">
        <f>IF($A694="","",N(V694)+N(W694)+N(X694)+N(Y694))</f>
        <v/>
      </c>
      <c r="AB694" s="70">
        <f>IF($A694="","",N(S694)*'Paramètres'!$AA$9*IFERROR(INDEX('Paramètres'!$O$5:$O$7,MATCH(G694,'Paramètres'!$N$5:$N$7,0)),0))</f>
        <v/>
      </c>
      <c r="AC694" s="7" t="inlineStr">
        <is>
          <t>Clôturé</t>
        </is>
      </c>
      <c r="AD694" s="69">
        <f>IF(OR($A694="",Q694=""),"",(Q694-B694)*24)</f>
        <v/>
      </c>
      <c r="AE694" s="69">
        <f>IF(OR(Q694="",R694=""),"",(R694-Q694)*24)</f>
        <v/>
      </c>
      <c r="AF694" s="77">
        <f>IF(OR($A694="",B694=""),"",YEAR(B694))</f>
        <v/>
      </c>
      <c r="AG694" s="77">
        <f>IF(OR($A694="",B694=""),"",MONTH(B694))</f>
        <v/>
      </c>
    </row>
    <row r="695">
      <c r="A695" s="7" t="inlineStr">
        <is>
          <t>OT-2025-0691</t>
        </is>
      </c>
      <c r="B695" s="75" t="n">
        <v>45964.75486111111</v>
      </c>
      <c r="C695" s="7" t="inlineStr">
        <is>
          <t>Paul Roux (chef d'atelier)</t>
        </is>
      </c>
      <c r="D695" s="7" t="inlineStr">
        <is>
          <t>EQ-ASS-002</t>
        </is>
      </c>
      <c r="E695" s="9">
        <f>IF(D695="","",IFERROR(INDEX('Équipements'!$B$5:$B$304,MATCH(D695,'Équipements'!$A$5:$A$304,0)),"Code inconnu"))</f>
        <v/>
      </c>
      <c r="F695" s="9">
        <f>IF(D695="","",IFERROR(INDEX('Équipements'!$D$5:$D$304,MATCH(D695,'Équipements'!$A$5:$A$304,0)),""))</f>
        <v/>
      </c>
      <c r="G695" s="9">
        <f>IF(D695="","",IFERROR(INDEX('Équipements'!$K$5:$K$304,MATCH(D695,'Équipements'!$A$5:$A$304,0)),""))</f>
        <v/>
      </c>
      <c r="H695" s="7" t="inlineStr">
        <is>
          <t>Correctif</t>
        </is>
      </c>
      <c r="I695" s="7" t="n"/>
      <c r="J695" s="7" t="inlineStr">
        <is>
          <t>Hydraulique</t>
        </is>
      </c>
      <c r="K695" s="7" t="inlineStr">
        <is>
          <t>P2 - Haute</t>
        </is>
      </c>
      <c r="L695" s="7" t="inlineStr">
        <is>
          <t>Montée en température huile hydraulique</t>
        </is>
      </c>
      <c r="M695" s="7" t="inlineStr">
        <is>
          <t>Encrassement</t>
        </is>
      </c>
      <c r="N695" s="7" t="inlineStr">
        <is>
          <t>Nettoyage échangeur, remplacement filtre</t>
        </is>
      </c>
      <c r="O695" s="7" t="inlineStr">
        <is>
          <t>Karim Benali</t>
        </is>
      </c>
      <c r="P695" s="65" t="n"/>
      <c r="Q695" s="75" t="n">
        <v>45964.8625</v>
      </c>
      <c r="R695" s="75" t="n">
        <v>45964.925</v>
      </c>
      <c r="S695" s="76" t="n">
        <v>4.1</v>
      </c>
      <c r="T695" s="76" t="n">
        <v>1.5</v>
      </c>
      <c r="U695" s="70">
        <f>IF($A695="","",IFERROR(INDEX('Techniciens'!$F$5:$F$44,MATCH(O695,'Techniciens'!$B$5:$B$44,0)),'Paramètres'!$AA$10))</f>
        <v/>
      </c>
      <c r="V695" s="70">
        <f>IF($A695="","",IF(OR(AC695="Demandé",AC695="Planifié",AC695="Annulé"),0,N(T695)*N(U695)))</f>
        <v/>
      </c>
      <c r="W695" s="70">
        <f>IF($A695="","",SUMIFS('Mouvements stock'!$H$5:$H$3004,'Mouvements stock'!$I$5:$I$3004,$A695,'Mouvements stock'!$C$5:$C$3004,"Sortie")-SUMIFS('Mouvements stock'!$H$5:$H$3004,'Mouvements stock'!$I$5:$I$3004,$A695,'Mouvements stock'!$C$5:$C$3004,"Retour"))</f>
        <v/>
      </c>
      <c r="X695" s="66" t="n">
        <v>0</v>
      </c>
      <c r="Y695" s="66" t="n">
        <v>0</v>
      </c>
      <c r="Z695" s="7" t="n"/>
      <c r="AA695" s="70">
        <f>IF($A695="","",N(V695)+N(W695)+N(X695)+N(Y695))</f>
        <v/>
      </c>
      <c r="AB695" s="70">
        <f>IF($A695="","",N(S695)*'Paramètres'!$AA$9*IFERROR(INDEX('Paramètres'!$O$5:$O$7,MATCH(G695,'Paramètres'!$N$5:$N$7,0)),0))</f>
        <v/>
      </c>
      <c r="AC695" s="7" t="inlineStr">
        <is>
          <t>Clôturé</t>
        </is>
      </c>
      <c r="AD695" s="69">
        <f>IF(OR($A695="",Q695=""),"",(Q695-B695)*24)</f>
        <v/>
      </c>
      <c r="AE695" s="69">
        <f>IF(OR(Q695="",R695=""),"",(R695-Q695)*24)</f>
        <v/>
      </c>
      <c r="AF695" s="77">
        <f>IF(OR($A695="",B695=""),"",YEAR(B695))</f>
        <v/>
      </c>
      <c r="AG695" s="77">
        <f>IF(OR($A695="",B695=""),"",MONTH(B695))</f>
        <v/>
      </c>
    </row>
    <row r="696">
      <c r="A696" s="7" t="inlineStr">
        <is>
          <t>OT-2025-0692</t>
        </is>
      </c>
      <c r="B696" s="75" t="n">
        <v>45965.36805555555</v>
      </c>
      <c r="C696" s="7" t="inlineStr">
        <is>
          <t>Plan préventif</t>
        </is>
      </c>
      <c r="D696" s="7" t="inlineStr">
        <is>
          <t>EQ-UTI-002</t>
        </is>
      </c>
      <c r="E696" s="9">
        <f>IF(D696="","",IFERROR(INDEX('Équipements'!$B$5:$B$304,MATCH(D696,'Équipements'!$A$5:$A$304,0)),"Code inconnu"))</f>
        <v/>
      </c>
      <c r="F696" s="9">
        <f>IF(D696="","",IFERROR(INDEX('Équipements'!$D$5:$D$304,MATCH(D696,'Équipements'!$A$5:$A$304,0)),""))</f>
        <v/>
      </c>
      <c r="G696" s="9">
        <f>IF(D696="","",IFERROR(INDEX('Équipements'!$K$5:$K$304,MATCH(D696,'Équipements'!$A$5:$A$304,0)),""))</f>
        <v/>
      </c>
      <c r="H696" s="7" t="inlineStr">
        <is>
          <t>Préventif conditionnel</t>
        </is>
      </c>
      <c r="I696" s="7" t="inlineStr">
        <is>
          <t>GP-089</t>
        </is>
      </c>
      <c r="J696" s="7" t="inlineStr">
        <is>
          <t>Mécanique</t>
        </is>
      </c>
      <c r="K696" s="7" t="inlineStr">
        <is>
          <t>P3 - Normale</t>
        </is>
      </c>
      <c r="L696" s="7" t="inlineStr">
        <is>
          <t>Entretien 2000 h : filtres air/huile, séparateur</t>
        </is>
      </c>
      <c r="M696" s="7" t="n"/>
      <c r="N696" s="7" t="inlineStr">
        <is>
          <t>Gamme réalisée - RAS</t>
        </is>
      </c>
      <c r="O696" s="7" t="inlineStr">
        <is>
          <t>Antoine Mercier</t>
        </is>
      </c>
      <c r="P696" s="65" t="n">
        <v>45972.53819444445</v>
      </c>
      <c r="Q696" s="75" t="n">
        <v>45972.28125</v>
      </c>
      <c r="R696" s="75" t="n">
        <v>45972.44791666666</v>
      </c>
      <c r="S696" s="76" t="n">
        <v>0</v>
      </c>
      <c r="T696" s="76" t="n">
        <v>4</v>
      </c>
      <c r="U696" s="70">
        <f>IF($A696="","",IFERROR(INDEX('Techniciens'!$F$5:$F$44,MATCH(O696,'Techniciens'!$B$5:$B$44,0)),'Paramètres'!$AA$10))</f>
        <v/>
      </c>
      <c r="V696" s="70">
        <f>IF($A696="","",IF(OR(AC696="Demandé",AC696="Planifié",AC696="Annulé"),0,N(T696)*N(U696)))</f>
        <v/>
      </c>
      <c r="W696" s="70">
        <f>IF($A696="","",SUMIFS('Mouvements stock'!$H$5:$H$3004,'Mouvements stock'!$I$5:$I$3004,$A696,'Mouvements stock'!$C$5:$C$3004,"Sortie")-SUMIFS('Mouvements stock'!$H$5:$H$3004,'Mouvements stock'!$I$5:$I$3004,$A696,'Mouvements stock'!$C$5:$C$3004,"Retour"))</f>
        <v/>
      </c>
      <c r="X696" s="66" t="n">
        <v>0</v>
      </c>
      <c r="Y696" s="66" t="n">
        <v>0</v>
      </c>
      <c r="Z696" s="7" t="n"/>
      <c r="AA696" s="70">
        <f>IF($A696="","",N(V696)+N(W696)+N(X696)+N(Y696))</f>
        <v/>
      </c>
      <c r="AB696" s="70">
        <f>IF($A696="","",N(S696)*'Paramètres'!$AA$9*IFERROR(INDEX('Paramètres'!$O$5:$O$7,MATCH(G696,'Paramètres'!$N$5:$N$7,0)),0))</f>
        <v/>
      </c>
      <c r="AC696" s="7" t="inlineStr">
        <is>
          <t>Clôturé</t>
        </is>
      </c>
      <c r="AD696" s="69">
        <f>IF(OR($A696="",Q696=""),"",(Q696-B696)*24)</f>
        <v/>
      </c>
      <c r="AE696" s="69">
        <f>IF(OR(Q696="",R696=""),"",(R696-Q696)*24)</f>
        <v/>
      </c>
      <c r="AF696" s="77">
        <f>IF(OR($A696="",B696=""),"",YEAR(B696))</f>
        <v/>
      </c>
      <c r="AG696" s="77">
        <f>IF(OR($A696="",B696=""),"",MONTH(B696))</f>
        <v/>
      </c>
    </row>
    <row r="697">
      <c r="A697" s="7" t="inlineStr">
        <is>
          <t>OT-2025-0693</t>
        </is>
      </c>
      <c r="B697" s="75" t="n">
        <v>45965.47916666666</v>
      </c>
      <c r="C697" s="7" t="inlineStr">
        <is>
          <t>Plan préventif</t>
        </is>
      </c>
      <c r="D697" s="7" t="inlineStr">
        <is>
          <t>EQ-PEI-001</t>
        </is>
      </c>
      <c r="E697" s="9">
        <f>IF(D697="","",IFERROR(INDEX('Équipements'!$B$5:$B$304,MATCH(D697,'Équipements'!$A$5:$A$304,0)),"Code inconnu"))</f>
        <v/>
      </c>
      <c r="F697" s="9">
        <f>IF(D697="","",IFERROR(INDEX('Équipements'!$D$5:$D$304,MATCH(D697,'Équipements'!$A$5:$A$304,0)),""))</f>
        <v/>
      </c>
      <c r="G697" s="9">
        <f>IF(D697="","",IFERROR(INDEX('Équipements'!$K$5:$K$304,MATCH(D697,'Équipements'!$A$5:$A$304,0)),""))</f>
        <v/>
      </c>
      <c r="H697" s="7" t="inlineStr">
        <is>
          <t>Préventif systématique</t>
        </is>
      </c>
      <c r="I697" s="7" t="inlineStr">
        <is>
          <t>GP-066</t>
        </is>
      </c>
      <c r="J697" s="7" t="inlineStr">
        <is>
          <t>Mécanique</t>
        </is>
      </c>
      <c r="K697" s="7" t="inlineStr">
        <is>
          <t>P3 - Normale</t>
        </is>
      </c>
      <c r="L697" s="7" t="inlineStr">
        <is>
          <t>Nettoyage et remplacement des filtres</t>
        </is>
      </c>
      <c r="M697" s="7" t="n"/>
      <c r="N697" s="7" t="inlineStr">
        <is>
          <t>Gamme réalisée - RAS</t>
        </is>
      </c>
      <c r="O697" s="7" t="inlineStr">
        <is>
          <t>Lucas Fontaine</t>
        </is>
      </c>
      <c r="P697" s="65" t="n">
        <v>45972.53125</v>
      </c>
      <c r="Q697" s="75" t="n">
        <v>45972.30208333334</v>
      </c>
      <c r="R697" s="75" t="n">
        <v>45972.45833333334</v>
      </c>
      <c r="S697" s="76" t="n">
        <v>0</v>
      </c>
      <c r="T697" s="76" t="n">
        <v>3.75</v>
      </c>
      <c r="U697" s="70">
        <f>IF($A697="","",IFERROR(INDEX('Techniciens'!$F$5:$F$44,MATCH(O697,'Techniciens'!$B$5:$B$44,0)),'Paramètres'!$AA$10))</f>
        <v/>
      </c>
      <c r="V697" s="70">
        <f>IF($A697="","",IF(OR(AC697="Demandé",AC697="Planifié",AC697="Annulé"),0,N(T697)*N(U697)))</f>
        <v/>
      </c>
      <c r="W697" s="70">
        <f>IF($A697="","",SUMIFS('Mouvements stock'!$H$5:$H$3004,'Mouvements stock'!$I$5:$I$3004,$A697,'Mouvements stock'!$C$5:$C$3004,"Sortie")-SUMIFS('Mouvements stock'!$H$5:$H$3004,'Mouvements stock'!$I$5:$I$3004,$A697,'Mouvements stock'!$C$5:$C$3004,"Retour"))</f>
        <v/>
      </c>
      <c r="X697" s="66" t="n">
        <v>0</v>
      </c>
      <c r="Y697" s="66" t="n">
        <v>0</v>
      </c>
      <c r="Z697" s="7" t="n"/>
      <c r="AA697" s="70">
        <f>IF($A697="","",N(V697)+N(W697)+N(X697)+N(Y697))</f>
        <v/>
      </c>
      <c r="AB697" s="70">
        <f>IF($A697="","",N(S697)*'Paramètres'!$AA$9*IFERROR(INDEX('Paramètres'!$O$5:$O$7,MATCH(G697,'Paramètres'!$N$5:$N$7,0)),0))</f>
        <v/>
      </c>
      <c r="AC697" s="7" t="inlineStr">
        <is>
          <t>Clôturé</t>
        </is>
      </c>
      <c r="AD697" s="69">
        <f>IF(OR($A697="",Q697=""),"",(Q697-B697)*24)</f>
        <v/>
      </c>
      <c r="AE697" s="69">
        <f>IF(OR(Q697="",R697=""),"",(R697-Q697)*24)</f>
        <v/>
      </c>
      <c r="AF697" s="77">
        <f>IF(OR($A697="",B697=""),"",YEAR(B697))</f>
        <v/>
      </c>
      <c r="AG697" s="77">
        <f>IF(OR($A697="",B697=""),"",MONTH(B697))</f>
        <v/>
      </c>
    </row>
    <row r="698">
      <c r="A698" s="7" t="inlineStr">
        <is>
          <t>OT-2025-0694</t>
        </is>
      </c>
      <c r="B698" s="75" t="n">
        <v>45965.54861111111</v>
      </c>
      <c r="C698" s="7" t="inlineStr">
        <is>
          <t>Marc Lefèvre</t>
        </is>
      </c>
      <c r="D698" s="7" t="inlineStr">
        <is>
          <t>EQ-LOG-009</t>
        </is>
      </c>
      <c r="E698" s="9">
        <f>IF(D698="","",IFERROR(INDEX('Équipements'!$B$5:$B$304,MATCH(D698,'Équipements'!$A$5:$A$304,0)),"Code inconnu"))</f>
        <v/>
      </c>
      <c r="F698" s="9">
        <f>IF(D698="","",IFERROR(INDEX('Équipements'!$D$5:$D$304,MATCH(D698,'Équipements'!$A$5:$A$304,0)),""))</f>
        <v/>
      </c>
      <c r="G698" s="9">
        <f>IF(D698="","",IFERROR(INDEX('Équipements'!$K$5:$K$304,MATCH(D698,'Équipements'!$A$5:$A$304,0)),""))</f>
        <v/>
      </c>
      <c r="H698" s="7" t="inlineStr">
        <is>
          <t>Amélioratif</t>
        </is>
      </c>
      <c r="I698" s="7" t="n"/>
      <c r="J698" s="7" t="inlineStr">
        <is>
          <t>Bâtiment</t>
        </is>
      </c>
      <c r="K698" s="7" t="inlineStr">
        <is>
          <t>P4 - Basse</t>
        </is>
      </c>
      <c r="L698" s="7" t="inlineStr">
        <is>
          <t>Pose de protections d'échelles sur palettiers</t>
        </is>
      </c>
      <c r="M698" s="7" t="n"/>
      <c r="N698" s="7" t="inlineStr">
        <is>
          <t>Réalisé conformément au devis / dossier technique</t>
        </is>
      </c>
      <c r="O698" s="7" t="inlineStr">
        <is>
          <t>Lucas Fontaine</t>
        </is>
      </c>
      <c r="P698" s="65" t="n">
        <v>45996</v>
      </c>
      <c r="Q698" s="75" t="n">
        <v>45996.31944444445</v>
      </c>
      <c r="R698" s="75" t="n">
        <v>45996.78611111111</v>
      </c>
      <c r="S698" s="76" t="n">
        <v>0</v>
      </c>
      <c r="T698" s="76" t="n">
        <v>8</v>
      </c>
      <c r="U698" s="70">
        <f>IF($A698="","",IFERROR(INDEX('Techniciens'!$F$5:$F$44,MATCH(O698,'Techniciens'!$B$5:$B$44,0)),'Paramètres'!$AA$10))</f>
        <v/>
      </c>
      <c r="V698" s="70">
        <f>IF($A698="","",IF(OR(AC698="Demandé",AC698="Planifié",AC698="Annulé"),0,N(T698)*N(U698)))</f>
        <v/>
      </c>
      <c r="W698" s="70">
        <f>IF($A698="","",SUMIFS('Mouvements stock'!$H$5:$H$3004,'Mouvements stock'!$I$5:$I$3004,$A698,'Mouvements stock'!$C$5:$C$3004,"Sortie")-SUMIFS('Mouvements stock'!$H$5:$H$3004,'Mouvements stock'!$I$5:$I$3004,$A698,'Mouvements stock'!$C$5:$C$3004,"Retour"))</f>
        <v/>
      </c>
      <c r="X698" s="66" t="n">
        <v>1100</v>
      </c>
      <c r="Y698" s="66" t="n">
        <v>0</v>
      </c>
      <c r="Z698" s="7" t="n"/>
      <c r="AA698" s="70">
        <f>IF($A698="","",N(V698)+N(W698)+N(X698)+N(Y698))</f>
        <v/>
      </c>
      <c r="AB698" s="70">
        <f>IF($A698="","",N(S698)*'Paramètres'!$AA$9*IFERROR(INDEX('Paramètres'!$O$5:$O$7,MATCH(G698,'Paramètres'!$N$5:$N$7,0)),0))</f>
        <v/>
      </c>
      <c r="AC698" s="7" t="inlineStr">
        <is>
          <t>Clôturé</t>
        </is>
      </c>
      <c r="AD698" s="69">
        <f>IF(OR($A698="",Q698=""),"",(Q698-B698)*24)</f>
        <v/>
      </c>
      <c r="AE698" s="69">
        <f>IF(OR(Q698="",R698=""),"",(R698-Q698)*24)</f>
        <v/>
      </c>
      <c r="AF698" s="77">
        <f>IF(OR($A698="",B698=""),"",YEAR(B698))</f>
        <v/>
      </c>
      <c r="AG698" s="77">
        <f>IF(OR($A698="",B698=""),"",MONTH(B698))</f>
        <v/>
      </c>
    </row>
    <row r="699">
      <c r="A699" s="7" t="inlineStr">
        <is>
          <t>OT-2025-0695</t>
        </is>
      </c>
      <c r="B699" s="75" t="n">
        <v>45966.36111111111</v>
      </c>
      <c r="C699" s="7" t="inlineStr">
        <is>
          <t>Plan préventif</t>
        </is>
      </c>
      <c r="D699" s="7" t="inlineStr">
        <is>
          <t>EQ-UTI-002</t>
        </is>
      </c>
      <c r="E699" s="9">
        <f>IF(D699="","",IFERROR(INDEX('Équipements'!$B$5:$B$304,MATCH(D699,'Équipements'!$A$5:$A$304,0)),"Code inconnu"))</f>
        <v/>
      </c>
      <c r="F699" s="9">
        <f>IF(D699="","",IFERROR(INDEX('Équipements'!$D$5:$D$304,MATCH(D699,'Équipements'!$A$5:$A$304,0)),""))</f>
        <v/>
      </c>
      <c r="G699" s="9">
        <f>IF(D699="","",IFERROR(INDEX('Équipements'!$K$5:$K$304,MATCH(D699,'Équipements'!$A$5:$A$304,0)),""))</f>
        <v/>
      </c>
      <c r="H699" s="7" t="inlineStr">
        <is>
          <t>Préventif systématique</t>
        </is>
      </c>
      <c r="I699" s="7" t="inlineStr">
        <is>
          <t>GP-090</t>
        </is>
      </c>
      <c r="J699" s="7" t="inlineStr">
        <is>
          <t>Pneumatique</t>
        </is>
      </c>
      <c r="K699" s="7" t="inlineStr">
        <is>
          <t>P3 - Normale</t>
        </is>
      </c>
      <c r="L699" s="7" t="inlineStr">
        <is>
          <t>Purge, contrôle fuites et point de rosée</t>
        </is>
      </c>
      <c r="M699" s="7" t="n"/>
      <c r="N699" s="7" t="inlineStr">
        <is>
          <t>Gamme réalisée - RAS</t>
        </is>
      </c>
      <c r="O699" s="7" t="inlineStr">
        <is>
          <t>Lucas Fontaine</t>
        </is>
      </c>
      <c r="P699" s="65" t="n">
        <v>45973.30208333334</v>
      </c>
      <c r="Q699" s="75" t="n">
        <v>45973.45833333334</v>
      </c>
      <c r="R699" s="75" t="n">
        <v>45973.53125</v>
      </c>
      <c r="S699" s="76" t="n">
        <v>0</v>
      </c>
      <c r="T699" s="76" t="n">
        <v>1.75</v>
      </c>
      <c r="U699" s="70">
        <f>IF($A699="","",IFERROR(INDEX('Techniciens'!$F$5:$F$44,MATCH(O699,'Techniciens'!$B$5:$B$44,0)),'Paramètres'!$AA$10))</f>
        <v/>
      </c>
      <c r="V699" s="70">
        <f>IF($A699="","",IF(OR(AC699="Demandé",AC699="Planifié",AC699="Annulé"),0,N(T699)*N(U699)))</f>
        <v/>
      </c>
      <c r="W699" s="70">
        <f>IF($A699="","",SUMIFS('Mouvements stock'!$H$5:$H$3004,'Mouvements stock'!$I$5:$I$3004,$A699,'Mouvements stock'!$C$5:$C$3004,"Sortie")-SUMIFS('Mouvements stock'!$H$5:$H$3004,'Mouvements stock'!$I$5:$I$3004,$A699,'Mouvements stock'!$C$5:$C$3004,"Retour"))</f>
        <v/>
      </c>
      <c r="X699" s="66" t="n">
        <v>0</v>
      </c>
      <c r="Y699" s="66" t="n">
        <v>0</v>
      </c>
      <c r="Z699" s="7" t="n"/>
      <c r="AA699" s="70">
        <f>IF($A699="","",N(V699)+N(W699)+N(X699)+N(Y699))</f>
        <v/>
      </c>
      <c r="AB699" s="70">
        <f>IF($A699="","",N(S699)*'Paramètres'!$AA$9*IFERROR(INDEX('Paramètres'!$O$5:$O$7,MATCH(G699,'Paramètres'!$N$5:$N$7,0)),0))</f>
        <v/>
      </c>
      <c r="AC699" s="7" t="inlineStr">
        <is>
          <t>Clôturé</t>
        </is>
      </c>
      <c r="AD699" s="69">
        <f>IF(OR($A699="",Q699=""),"",(Q699-B699)*24)</f>
        <v/>
      </c>
      <c r="AE699" s="69">
        <f>IF(OR(Q699="",R699=""),"",(R699-Q699)*24)</f>
        <v/>
      </c>
      <c r="AF699" s="77">
        <f>IF(OR($A699="",B699=""),"",YEAR(B699))</f>
        <v/>
      </c>
      <c r="AG699" s="77">
        <f>IF(OR($A699="",B699=""),"",MONTH(B699))</f>
        <v/>
      </c>
    </row>
    <row r="700">
      <c r="A700" s="7" t="inlineStr">
        <is>
          <t>OT-2025-0696</t>
        </is>
      </c>
      <c r="B700" s="75" t="n">
        <v>45966.42361111111</v>
      </c>
      <c r="C700" s="7" t="inlineStr">
        <is>
          <t>Planning réglementaire</t>
        </is>
      </c>
      <c r="D700" s="7" t="inlineStr">
        <is>
          <t>EQ-LOG-001</t>
        </is>
      </c>
      <c r="E700" s="9">
        <f>IF(D700="","",IFERROR(INDEX('Équipements'!$B$5:$B$304,MATCH(D700,'Équipements'!$A$5:$A$304,0)),"Code inconnu"))</f>
        <v/>
      </c>
      <c r="F700" s="9">
        <f>IF(D700="","",IFERROR(INDEX('Équipements'!$D$5:$D$304,MATCH(D700,'Équipements'!$A$5:$A$304,0)),""))</f>
        <v/>
      </c>
      <c r="G700" s="9">
        <f>IF(D700="","",IFERROR(INDEX('Équipements'!$K$5:$K$304,MATCH(D700,'Équipements'!$A$5:$A$304,0)),""))</f>
        <v/>
      </c>
      <c r="H700" s="7" t="inlineStr">
        <is>
          <t>Réglementaire</t>
        </is>
      </c>
      <c r="I700" s="7" t="inlineStr">
        <is>
          <t>CR-004</t>
        </is>
      </c>
      <c r="J700" s="7" t="inlineStr">
        <is>
          <t>Multi-technique</t>
        </is>
      </c>
      <c r="K700" s="7" t="inlineStr">
        <is>
          <t>P2 - Haute</t>
        </is>
      </c>
      <c r="L700" s="7" t="inlineStr">
        <is>
          <t>VGP chariot automoteur</t>
        </is>
      </c>
      <c r="M700" s="7" t="n"/>
      <c r="N700" s="7" t="inlineStr">
        <is>
          <t>Contrôle réalisé - aucune observation</t>
        </is>
      </c>
      <c r="O700" s="7" t="inlineStr">
        <is>
          <t>Nadia Rousseau</t>
        </is>
      </c>
      <c r="P700" s="65" t="n">
        <v>45987</v>
      </c>
      <c r="Q700" s="75" t="n">
        <v>45987.50694444445</v>
      </c>
      <c r="R700" s="75" t="n">
        <v>45987.56944444445</v>
      </c>
      <c r="S700" s="76" t="n">
        <v>0</v>
      </c>
      <c r="T700" s="76" t="n">
        <v>1.5</v>
      </c>
      <c r="U700" s="70">
        <f>IF($A700="","",IFERROR(INDEX('Techniciens'!$F$5:$F$44,MATCH(O700,'Techniciens'!$B$5:$B$44,0)),'Paramètres'!$AA$10))</f>
        <v/>
      </c>
      <c r="V700" s="70">
        <f>IF($A700="","",IF(OR(AC700="Demandé",AC700="Planifié",AC700="Annulé"),0,N(T700)*N(U700)))</f>
        <v/>
      </c>
      <c r="W700" s="70">
        <f>IF($A700="","",SUMIFS('Mouvements stock'!$H$5:$H$3004,'Mouvements stock'!$I$5:$I$3004,$A700,'Mouvements stock'!$C$5:$C$3004,"Sortie")-SUMIFS('Mouvements stock'!$H$5:$H$3004,'Mouvements stock'!$I$5:$I$3004,$A700,'Mouvements stock'!$C$5:$C$3004,"Retour"))</f>
        <v/>
      </c>
      <c r="X700" s="66" t="n">
        <v>0</v>
      </c>
      <c r="Y700" s="66" t="n">
        <v>120</v>
      </c>
      <c r="Z700" s="7" t="inlineStr">
        <is>
          <t>CONTROLIS (organisme fictif)</t>
        </is>
      </c>
      <c r="AA700" s="70">
        <f>IF($A700="","",N(V700)+N(W700)+N(X700)+N(Y700))</f>
        <v/>
      </c>
      <c r="AB700" s="70">
        <f>IF($A700="","",N(S700)*'Paramètres'!$AA$9*IFERROR(INDEX('Paramètres'!$O$5:$O$7,MATCH(G700,'Paramètres'!$N$5:$N$7,0)),0))</f>
        <v/>
      </c>
      <c r="AC700" s="7" t="inlineStr">
        <is>
          <t>Clôturé</t>
        </is>
      </c>
      <c r="AD700" s="69">
        <f>IF(OR($A700="",Q700=""),"",(Q700-B700)*24)</f>
        <v/>
      </c>
      <c r="AE700" s="69">
        <f>IF(OR(Q700="",R700=""),"",(R700-Q700)*24)</f>
        <v/>
      </c>
      <c r="AF700" s="77">
        <f>IF(OR($A700="",B700=""),"",YEAR(B700))</f>
        <v/>
      </c>
      <c r="AG700" s="77">
        <f>IF(OR($A700="",B700=""),"",MONTH(B700))</f>
        <v/>
      </c>
    </row>
    <row r="701">
      <c r="A701" s="7" t="inlineStr">
        <is>
          <t>OT-2025-0697</t>
        </is>
      </c>
      <c r="B701" s="75" t="n">
        <v>45966.44444444445</v>
      </c>
      <c r="C701" s="7" t="inlineStr">
        <is>
          <t>Plan préventif</t>
        </is>
      </c>
      <c r="D701" s="7" t="inlineStr">
        <is>
          <t>EQ-ASS-006</t>
        </is>
      </c>
      <c r="E701" s="9">
        <f>IF(D701="","",IFERROR(INDEX('Équipements'!$B$5:$B$304,MATCH(D701,'Équipements'!$A$5:$A$304,0)),"Code inconnu"))</f>
        <v/>
      </c>
      <c r="F701" s="9">
        <f>IF(D701="","",IFERROR(INDEX('Équipements'!$D$5:$D$304,MATCH(D701,'Équipements'!$A$5:$A$304,0)),""))</f>
        <v/>
      </c>
      <c r="G701" s="9">
        <f>IF(D701="","",IFERROR(INDEX('Équipements'!$K$5:$K$304,MATCH(D701,'Équipements'!$A$5:$A$304,0)),""))</f>
        <v/>
      </c>
      <c r="H701" s="7" t="inlineStr">
        <is>
          <t>Préventif systématique</t>
        </is>
      </c>
      <c r="I701" s="7" t="inlineStr">
        <is>
          <t>GP-085</t>
        </is>
      </c>
      <c r="J701" s="7" t="inlineStr">
        <is>
          <t>Mécanique</t>
        </is>
      </c>
      <c r="K701" s="7" t="inlineStr">
        <is>
          <t>P3 - Normale</t>
        </is>
      </c>
      <c r="L701" s="7" t="inlineStr">
        <is>
          <t>Graissage chaîne / galets et contrôle tension</t>
        </is>
      </c>
      <c r="M701" s="7" t="n"/>
      <c r="N701" s="7" t="inlineStr">
        <is>
          <t>Gamme réalisée - serrages repris</t>
        </is>
      </c>
      <c r="O701" s="7" t="inlineStr">
        <is>
          <t>Lucas Fontaine</t>
        </is>
      </c>
      <c r="P701" s="65" t="n">
        <v>45973.51736111111</v>
      </c>
      <c r="Q701" s="75" t="n">
        <v>45973.53472222222</v>
      </c>
      <c r="R701" s="75" t="n">
        <v>45973.63888888889</v>
      </c>
      <c r="S701" s="76" t="n">
        <v>1.2</v>
      </c>
      <c r="T701" s="76" t="n">
        <v>2.5</v>
      </c>
      <c r="U701" s="70">
        <f>IF($A701="","",IFERROR(INDEX('Techniciens'!$F$5:$F$44,MATCH(O701,'Techniciens'!$B$5:$B$44,0)),'Paramètres'!$AA$10))</f>
        <v/>
      </c>
      <c r="V701" s="70">
        <f>IF($A701="","",IF(OR(AC701="Demandé",AC701="Planifié",AC701="Annulé"),0,N(T701)*N(U701)))</f>
        <v/>
      </c>
      <c r="W701" s="70">
        <f>IF($A701="","",SUMIFS('Mouvements stock'!$H$5:$H$3004,'Mouvements stock'!$I$5:$I$3004,$A701,'Mouvements stock'!$C$5:$C$3004,"Sortie")-SUMIFS('Mouvements stock'!$H$5:$H$3004,'Mouvements stock'!$I$5:$I$3004,$A701,'Mouvements stock'!$C$5:$C$3004,"Retour"))</f>
        <v/>
      </c>
      <c r="X701" s="66" t="n">
        <v>0</v>
      </c>
      <c r="Y701" s="66" t="n">
        <v>0</v>
      </c>
      <c r="Z701" s="7" t="n"/>
      <c r="AA701" s="70">
        <f>IF($A701="","",N(V701)+N(W701)+N(X701)+N(Y701))</f>
        <v/>
      </c>
      <c r="AB701" s="70">
        <f>IF($A701="","",N(S701)*'Paramètres'!$AA$9*IFERROR(INDEX('Paramètres'!$O$5:$O$7,MATCH(G701,'Paramètres'!$N$5:$N$7,0)),0))</f>
        <v/>
      </c>
      <c r="AC701" s="7" t="inlineStr">
        <is>
          <t>Clôturé</t>
        </is>
      </c>
      <c r="AD701" s="69">
        <f>IF(OR($A701="",Q701=""),"",(Q701-B701)*24)</f>
        <v/>
      </c>
      <c r="AE701" s="69">
        <f>IF(OR(Q701="",R701=""),"",(R701-Q701)*24)</f>
        <v/>
      </c>
      <c r="AF701" s="77">
        <f>IF(OR($A701="",B701=""),"",YEAR(B701))</f>
        <v/>
      </c>
      <c r="AG701" s="77">
        <f>IF(OR($A701="",B701=""),"",MONTH(B701))</f>
        <v/>
      </c>
    </row>
    <row r="702">
      <c r="A702" s="7" t="inlineStr">
        <is>
          <t>OT-2025-0698</t>
        </is>
      </c>
      <c r="B702" s="75" t="n">
        <v>45966.46527777778</v>
      </c>
      <c r="C702" s="7" t="inlineStr">
        <is>
          <t>Plan préventif</t>
        </is>
      </c>
      <c r="D702" s="7" t="inlineStr">
        <is>
          <t>EQ-UTI-003</t>
        </is>
      </c>
      <c r="E702" s="9">
        <f>IF(D702="","",IFERROR(INDEX('Équipements'!$B$5:$B$304,MATCH(D702,'Équipements'!$A$5:$A$304,0)),"Code inconnu"))</f>
        <v/>
      </c>
      <c r="F702" s="9">
        <f>IF(D702="","",IFERROR(INDEX('Équipements'!$D$5:$D$304,MATCH(D702,'Équipements'!$A$5:$A$304,0)),""))</f>
        <v/>
      </c>
      <c r="G702" s="9">
        <f>IF(D702="","",IFERROR(INDEX('Équipements'!$K$5:$K$304,MATCH(D702,'Équipements'!$A$5:$A$304,0)),""))</f>
        <v/>
      </c>
      <c r="H702" s="7" t="inlineStr">
        <is>
          <t>Préventif systématique</t>
        </is>
      </c>
      <c r="I702" s="7" t="inlineStr">
        <is>
          <t>GP-092</t>
        </is>
      </c>
      <c r="J702" s="7" t="inlineStr">
        <is>
          <t>Pneumatique</t>
        </is>
      </c>
      <c r="K702" s="7" t="inlineStr">
        <is>
          <t>P3 - Normale</t>
        </is>
      </c>
      <c r="L702" s="7" t="inlineStr">
        <is>
          <t>Purge, contrôle fuites et point de rosée</t>
        </is>
      </c>
      <c r="M702" s="7" t="n"/>
      <c r="N702" s="7" t="inlineStr">
        <is>
          <t>Gamme réalisée - RAS</t>
        </is>
      </c>
      <c r="O702" s="7" t="inlineStr">
        <is>
          <t>Julien Moreau</t>
        </is>
      </c>
      <c r="P702" s="65" t="n">
        <v>45973.625</v>
      </c>
      <c r="Q702" s="75" t="n">
        <v>45973.34722222222</v>
      </c>
      <c r="R702" s="75" t="n">
        <v>45973.40972222222</v>
      </c>
      <c r="S702" s="76" t="n">
        <v>0</v>
      </c>
      <c r="T702" s="76" t="n">
        <v>1.5</v>
      </c>
      <c r="U702" s="70">
        <f>IF($A702="","",IFERROR(INDEX('Techniciens'!$F$5:$F$44,MATCH(O702,'Techniciens'!$B$5:$B$44,0)),'Paramètres'!$AA$10))</f>
        <v/>
      </c>
      <c r="V702" s="70">
        <f>IF($A702="","",IF(OR(AC702="Demandé",AC702="Planifié",AC702="Annulé"),0,N(T702)*N(U702)))</f>
        <v/>
      </c>
      <c r="W702" s="70">
        <f>IF($A702="","",SUMIFS('Mouvements stock'!$H$5:$H$3004,'Mouvements stock'!$I$5:$I$3004,$A702,'Mouvements stock'!$C$5:$C$3004,"Sortie")-SUMIFS('Mouvements stock'!$H$5:$H$3004,'Mouvements stock'!$I$5:$I$3004,$A702,'Mouvements stock'!$C$5:$C$3004,"Retour"))</f>
        <v/>
      </c>
      <c r="X702" s="66" t="n">
        <v>0</v>
      </c>
      <c r="Y702" s="66" t="n">
        <v>0</v>
      </c>
      <c r="Z702" s="7" t="n"/>
      <c r="AA702" s="70">
        <f>IF($A702="","",N(V702)+N(W702)+N(X702)+N(Y702))</f>
        <v/>
      </c>
      <c r="AB702" s="70">
        <f>IF($A702="","",N(S702)*'Paramètres'!$AA$9*IFERROR(INDEX('Paramètres'!$O$5:$O$7,MATCH(G702,'Paramètres'!$N$5:$N$7,0)),0))</f>
        <v/>
      </c>
      <c r="AC702" s="7" t="inlineStr">
        <is>
          <t>Clôturé</t>
        </is>
      </c>
      <c r="AD702" s="69">
        <f>IF(OR($A702="",Q702=""),"",(Q702-B702)*24)</f>
        <v/>
      </c>
      <c r="AE702" s="69">
        <f>IF(OR(Q702="",R702=""),"",(R702-Q702)*24)</f>
        <v/>
      </c>
      <c r="AF702" s="77">
        <f>IF(OR($A702="",B702=""),"",YEAR(B702))</f>
        <v/>
      </c>
      <c r="AG702" s="77">
        <f>IF(OR($A702="",B702=""),"",MONTH(B702))</f>
        <v/>
      </c>
    </row>
    <row r="703">
      <c r="A703" s="7" t="inlineStr">
        <is>
          <t>OT-2025-0699</t>
        </is>
      </c>
      <c r="B703" s="75" t="n">
        <v>45967.49305555555</v>
      </c>
      <c r="C703" s="7" t="inlineStr">
        <is>
          <t>Plan préventif</t>
        </is>
      </c>
      <c r="D703" s="7" t="inlineStr">
        <is>
          <t>EQ-TOL-005</t>
        </is>
      </c>
      <c r="E703" s="9">
        <f>IF(D703="","",IFERROR(INDEX('Équipements'!$B$5:$B$304,MATCH(D703,'Équipements'!$A$5:$A$304,0)),"Code inconnu"))</f>
        <v/>
      </c>
      <c r="F703" s="9">
        <f>IF(D703="","",IFERROR(INDEX('Équipements'!$D$5:$D$304,MATCH(D703,'Équipements'!$A$5:$A$304,0)),""))</f>
        <v/>
      </c>
      <c r="G703" s="9">
        <f>IF(D703="","",IFERROR(INDEX('Équipements'!$K$5:$K$304,MATCH(D703,'Équipements'!$A$5:$A$304,0)),""))</f>
        <v/>
      </c>
      <c r="H703" s="7" t="inlineStr">
        <is>
          <t>Préventif systématique</t>
        </is>
      </c>
      <c r="I703" s="7" t="inlineStr">
        <is>
          <t>GP-050</t>
        </is>
      </c>
      <c r="J703" s="7" t="inlineStr">
        <is>
          <t>Hydraulique</t>
        </is>
      </c>
      <c r="K703" s="7" t="inlineStr">
        <is>
          <t>P3 - Normale</t>
        </is>
      </c>
      <c r="L703" s="7" t="inlineStr">
        <is>
          <t>Contrôle hydraulique : fuites, niveaux, pressions</t>
        </is>
      </c>
      <c r="M703" s="7" t="n"/>
      <c r="N703" s="7" t="inlineStr">
        <is>
          <t>Gamme réalisée - RAS</t>
        </is>
      </c>
      <c r="O703" s="7" t="inlineStr">
        <is>
          <t>Antoine Mercier</t>
        </is>
      </c>
      <c r="P703" s="65" t="n">
        <v>45974.61458333334</v>
      </c>
      <c r="Q703" s="75" t="n">
        <v>45974.46875</v>
      </c>
      <c r="R703" s="75" t="n">
        <v>45974.55208333334</v>
      </c>
      <c r="S703" s="76" t="n">
        <v>2</v>
      </c>
      <c r="T703" s="76" t="n">
        <v>2</v>
      </c>
      <c r="U703" s="70">
        <f>IF($A703="","",IFERROR(INDEX('Techniciens'!$F$5:$F$44,MATCH(O703,'Techniciens'!$B$5:$B$44,0)),'Paramètres'!$AA$10))</f>
        <v/>
      </c>
      <c r="V703" s="70">
        <f>IF($A703="","",IF(OR(AC703="Demandé",AC703="Planifié",AC703="Annulé"),0,N(T703)*N(U703)))</f>
        <v/>
      </c>
      <c r="W703" s="70">
        <f>IF($A703="","",SUMIFS('Mouvements stock'!$H$5:$H$3004,'Mouvements stock'!$I$5:$I$3004,$A703,'Mouvements stock'!$C$5:$C$3004,"Sortie")-SUMIFS('Mouvements stock'!$H$5:$H$3004,'Mouvements stock'!$I$5:$I$3004,$A703,'Mouvements stock'!$C$5:$C$3004,"Retour"))</f>
        <v/>
      </c>
      <c r="X703" s="66" t="n">
        <v>0</v>
      </c>
      <c r="Y703" s="66" t="n">
        <v>0</v>
      </c>
      <c r="Z703" s="7" t="n"/>
      <c r="AA703" s="70">
        <f>IF($A703="","",N(V703)+N(W703)+N(X703)+N(Y703))</f>
        <v/>
      </c>
      <c r="AB703" s="70">
        <f>IF($A703="","",N(S703)*'Paramètres'!$AA$9*IFERROR(INDEX('Paramètres'!$O$5:$O$7,MATCH(G703,'Paramètres'!$N$5:$N$7,0)),0))</f>
        <v/>
      </c>
      <c r="AC703" s="7" t="inlineStr">
        <is>
          <t>Clôturé</t>
        </is>
      </c>
      <c r="AD703" s="69">
        <f>IF(OR($A703="",Q703=""),"",(Q703-B703)*24)</f>
        <v/>
      </c>
      <c r="AE703" s="69">
        <f>IF(OR(Q703="",R703=""),"",(R703-Q703)*24)</f>
        <v/>
      </c>
      <c r="AF703" s="77">
        <f>IF(OR($A703="",B703=""),"",YEAR(B703))</f>
        <v/>
      </c>
      <c r="AG703" s="77">
        <f>IF(OR($A703="",B703=""),"",MONTH(B703))</f>
        <v/>
      </c>
    </row>
    <row r="704">
      <c r="A704" s="7" t="inlineStr">
        <is>
          <t>OT-2025-0700</t>
        </is>
      </c>
      <c r="B704" s="75" t="n">
        <v>45967.64097222222</v>
      </c>
      <c r="C704" s="7" t="inlineStr">
        <is>
          <t>Opérateur peinture</t>
        </is>
      </c>
      <c r="D704" s="7" t="inlineStr">
        <is>
          <t>EQ-PEI-001</t>
        </is>
      </c>
      <c r="E704" s="9">
        <f>IF(D704="","",IFERROR(INDEX('Équipements'!$B$5:$B$304,MATCH(D704,'Équipements'!$A$5:$A$304,0)),"Code inconnu"))</f>
        <v/>
      </c>
      <c r="F704" s="9">
        <f>IF(D704="","",IFERROR(INDEX('Équipements'!$D$5:$D$304,MATCH(D704,'Équipements'!$A$5:$A$304,0)),""))</f>
        <v/>
      </c>
      <c r="G704" s="9">
        <f>IF(D704="","",IFERROR(INDEX('Équipements'!$K$5:$K$304,MATCH(D704,'Équipements'!$A$5:$A$304,0)),""))</f>
        <v/>
      </c>
      <c r="H704" s="7" t="inlineStr">
        <is>
          <t>Correctif</t>
        </is>
      </c>
      <c r="I704" s="7" t="n"/>
      <c r="J704" s="7" t="inlineStr">
        <is>
          <t>Électrique</t>
        </is>
      </c>
      <c r="K704" s="7" t="inlineStr">
        <is>
          <t>P2 - Haute</t>
        </is>
      </c>
      <c r="L704" s="7" t="inlineStr">
        <is>
          <t>Brûleur en sécurité (défaut flamme)</t>
        </is>
      </c>
      <c r="M704" s="7" t="inlineStr">
        <is>
          <t>Défaut capteur</t>
        </is>
      </c>
      <c r="N704" s="7" t="inlineStr">
        <is>
          <t>Remplacement sonde, réglage brûleur</t>
        </is>
      </c>
      <c r="O704" s="7" t="inlineStr">
        <is>
          <t>Antoine Mercier</t>
        </is>
      </c>
      <c r="P704" s="65" t="n"/>
      <c r="Q704" s="75" t="n">
        <v>45967.76666666667</v>
      </c>
      <c r="R704" s="75" t="n">
        <v>45967.96458333333</v>
      </c>
      <c r="S704" s="76" t="n">
        <v>0</v>
      </c>
      <c r="T704" s="76" t="n">
        <v>4.75</v>
      </c>
      <c r="U704" s="70">
        <f>IF($A704="","",IFERROR(INDEX('Techniciens'!$F$5:$F$44,MATCH(O704,'Techniciens'!$B$5:$B$44,0)),'Paramètres'!$AA$10))</f>
        <v/>
      </c>
      <c r="V704" s="70">
        <f>IF($A704="","",IF(OR(AC704="Demandé",AC704="Planifié",AC704="Annulé"),0,N(T704)*N(U704)))</f>
        <v/>
      </c>
      <c r="W704" s="70">
        <f>IF($A704="","",SUMIFS('Mouvements stock'!$H$5:$H$3004,'Mouvements stock'!$I$5:$I$3004,$A704,'Mouvements stock'!$C$5:$C$3004,"Sortie")-SUMIFS('Mouvements stock'!$H$5:$H$3004,'Mouvements stock'!$I$5:$I$3004,$A704,'Mouvements stock'!$C$5:$C$3004,"Retour"))</f>
        <v/>
      </c>
      <c r="X704" s="66" t="n">
        <v>0</v>
      </c>
      <c r="Y704" s="66" t="n">
        <v>1340</v>
      </c>
      <c r="Z704" s="7" t="inlineStr">
        <is>
          <t>Surface Process Assistance</t>
        </is>
      </c>
      <c r="AA704" s="70">
        <f>IF($A704="","",N(V704)+N(W704)+N(X704)+N(Y704))</f>
        <v/>
      </c>
      <c r="AB704" s="70">
        <f>IF($A704="","",N(S704)*'Paramètres'!$AA$9*IFERROR(INDEX('Paramètres'!$O$5:$O$7,MATCH(G704,'Paramètres'!$N$5:$N$7,0)),0))</f>
        <v/>
      </c>
      <c r="AC704" s="7" t="inlineStr">
        <is>
          <t>Clôturé</t>
        </is>
      </c>
      <c r="AD704" s="69">
        <f>IF(OR($A704="",Q704=""),"",(Q704-B704)*24)</f>
        <v/>
      </c>
      <c r="AE704" s="69">
        <f>IF(OR(Q704="",R704=""),"",(R704-Q704)*24)</f>
        <v/>
      </c>
      <c r="AF704" s="77">
        <f>IF(OR($A704="",B704=""),"",YEAR(B704))</f>
        <v/>
      </c>
      <c r="AG704" s="77">
        <f>IF(OR($A704="",B704=""),"",MONTH(B704))</f>
        <v/>
      </c>
    </row>
    <row r="705">
      <c r="A705" s="7" t="inlineStr">
        <is>
          <t>OT-2025-0701</t>
        </is>
      </c>
      <c r="B705" s="75" t="n">
        <v>45967.78194444445</v>
      </c>
      <c r="C705" s="7" t="inlineStr">
        <is>
          <t>Hugo Blanc (chef d'équipe)</t>
        </is>
      </c>
      <c r="D705" s="7" t="inlineStr">
        <is>
          <t>EQ-SOU-001</t>
        </is>
      </c>
      <c r="E705" s="9">
        <f>IF(D705="","",IFERROR(INDEX('Équipements'!$B$5:$B$304,MATCH(D705,'Équipements'!$A$5:$A$304,0)),"Code inconnu"))</f>
        <v/>
      </c>
      <c r="F705" s="9">
        <f>IF(D705="","",IFERROR(INDEX('Équipements'!$D$5:$D$304,MATCH(D705,'Équipements'!$A$5:$A$304,0)),""))</f>
        <v/>
      </c>
      <c r="G705" s="9">
        <f>IF(D705="","",IFERROR(INDEX('Équipements'!$K$5:$K$304,MATCH(D705,'Équipements'!$A$5:$A$304,0)),""))</f>
        <v/>
      </c>
      <c r="H705" s="7" t="inlineStr">
        <is>
          <t>Correctif</t>
        </is>
      </c>
      <c r="I705" s="7" t="n"/>
      <c r="J705" s="7" t="inlineStr">
        <is>
          <t>Automatisme</t>
        </is>
      </c>
      <c r="K705" s="7" t="inlineStr">
        <is>
          <t>P1 - Urgent</t>
        </is>
      </c>
      <c r="L705" s="7" t="inlineStr">
        <is>
          <t>Défaut collision robot</t>
        </is>
      </c>
      <c r="M705" s="7" t="inlineStr">
        <is>
          <t>Erreur opérateur</t>
        </is>
      </c>
      <c r="N705" s="7" t="inlineStr">
        <is>
          <t>Recalage TCP, remplacement buse et tube contact</t>
        </is>
      </c>
      <c r="O705" s="7" t="inlineStr">
        <is>
          <t>Julien Moreau</t>
        </is>
      </c>
      <c r="P705" s="65" t="n"/>
      <c r="Q705" s="75" t="n">
        <v>45967.79652777778</v>
      </c>
      <c r="R705" s="75" t="n">
        <v>45967.83819444444</v>
      </c>
      <c r="S705" s="76" t="n">
        <v>1.4</v>
      </c>
      <c r="T705" s="76" t="n">
        <v>1</v>
      </c>
      <c r="U705" s="70">
        <f>IF($A705="","",IFERROR(INDEX('Techniciens'!$F$5:$F$44,MATCH(O705,'Techniciens'!$B$5:$B$44,0)),'Paramètres'!$AA$10))</f>
        <v/>
      </c>
      <c r="V705" s="70">
        <f>IF($A705="","",IF(OR(AC705="Demandé",AC705="Planifié",AC705="Annulé"),0,N(T705)*N(U705)))</f>
        <v/>
      </c>
      <c r="W705" s="70">
        <f>IF($A705="","",SUMIFS('Mouvements stock'!$H$5:$H$3004,'Mouvements stock'!$I$5:$I$3004,$A705,'Mouvements stock'!$C$5:$C$3004,"Sortie")-SUMIFS('Mouvements stock'!$H$5:$H$3004,'Mouvements stock'!$I$5:$I$3004,$A705,'Mouvements stock'!$C$5:$C$3004,"Retour"))</f>
        <v/>
      </c>
      <c r="X705" s="66" t="n">
        <v>0</v>
      </c>
      <c r="Y705" s="66" t="n">
        <v>0</v>
      </c>
      <c r="Z705" s="7" t="n"/>
      <c r="AA705" s="70">
        <f>IF($A705="","",N(V705)+N(W705)+N(X705)+N(Y705))</f>
        <v/>
      </c>
      <c r="AB705" s="70">
        <f>IF($A705="","",N(S705)*'Paramètres'!$AA$9*IFERROR(INDEX('Paramètres'!$O$5:$O$7,MATCH(G705,'Paramètres'!$N$5:$N$7,0)),0))</f>
        <v/>
      </c>
      <c r="AC705" s="7" t="inlineStr">
        <is>
          <t>Clôturé</t>
        </is>
      </c>
      <c r="AD705" s="69">
        <f>IF(OR($A705="",Q705=""),"",(Q705-B705)*24)</f>
        <v/>
      </c>
      <c r="AE705" s="69">
        <f>IF(OR(Q705="",R705=""),"",(R705-Q705)*24)</f>
        <v/>
      </c>
      <c r="AF705" s="77">
        <f>IF(OR($A705="",B705=""),"",YEAR(B705))</f>
        <v/>
      </c>
      <c r="AG705" s="77">
        <f>IF(OR($A705="",B705=""),"",MONTH(B705))</f>
        <v/>
      </c>
    </row>
    <row r="706">
      <c r="A706" s="7" t="inlineStr">
        <is>
          <t>OT-2025-0702</t>
        </is>
      </c>
      <c r="B706" s="75" t="n">
        <v>45968.41666666666</v>
      </c>
      <c r="C706" s="7" t="inlineStr">
        <is>
          <t>Plan préventif</t>
        </is>
      </c>
      <c r="D706" s="7" t="inlineStr">
        <is>
          <t>EQ-USI-001</t>
        </is>
      </c>
      <c r="E706" s="9">
        <f>IF(D706="","",IFERROR(INDEX('Équipements'!$B$5:$B$304,MATCH(D706,'Équipements'!$A$5:$A$304,0)),"Code inconnu"))</f>
        <v/>
      </c>
      <c r="F706" s="9">
        <f>IF(D706="","",IFERROR(INDEX('Équipements'!$D$5:$D$304,MATCH(D706,'Équipements'!$A$5:$A$304,0)),""))</f>
        <v/>
      </c>
      <c r="G706" s="9">
        <f>IF(D706="","",IFERROR(INDEX('Équipements'!$K$5:$K$304,MATCH(D706,'Équipements'!$A$5:$A$304,0)),""))</f>
        <v/>
      </c>
      <c r="H706" s="7" t="inlineStr">
        <is>
          <t>Préventif systématique</t>
        </is>
      </c>
      <c r="I706" s="7" t="inlineStr">
        <is>
          <t>GP-001</t>
        </is>
      </c>
      <c r="J706" s="7" t="inlineStr">
        <is>
          <t>Mécanique</t>
        </is>
      </c>
      <c r="K706" s="7" t="inlineStr">
        <is>
          <t>P3 - Normale</t>
        </is>
      </c>
      <c r="L706" s="7" t="inlineStr">
        <is>
          <t>Contrôle niveaux, nettoyage filtres et bac à copeaux</t>
        </is>
      </c>
      <c r="M706" s="7" t="n"/>
      <c r="N706" s="7" t="inlineStr">
        <is>
          <t>Gamme réalisée - RAS</t>
        </is>
      </c>
      <c r="O706" s="7" t="inlineStr">
        <is>
          <t>Antoine Mercier</t>
        </is>
      </c>
      <c r="P706" s="65" t="n">
        <v>45975.50347222222</v>
      </c>
      <c r="Q706" s="75" t="n">
        <v>45975.44791666666</v>
      </c>
      <c r="R706" s="75" t="n">
        <v>45975.52083333334</v>
      </c>
      <c r="S706" s="76" t="n">
        <v>0.9</v>
      </c>
      <c r="T706" s="76" t="n">
        <v>1.75</v>
      </c>
      <c r="U706" s="70">
        <f>IF($A706="","",IFERROR(INDEX('Techniciens'!$F$5:$F$44,MATCH(O706,'Techniciens'!$B$5:$B$44,0)),'Paramètres'!$AA$10))</f>
        <v/>
      </c>
      <c r="V706" s="70">
        <f>IF($A706="","",IF(OR(AC706="Demandé",AC706="Planifié",AC706="Annulé"),0,N(T706)*N(U706)))</f>
        <v/>
      </c>
      <c r="W706" s="70">
        <f>IF($A706="","",SUMIFS('Mouvements stock'!$H$5:$H$3004,'Mouvements stock'!$I$5:$I$3004,$A706,'Mouvements stock'!$C$5:$C$3004,"Sortie")-SUMIFS('Mouvements stock'!$H$5:$H$3004,'Mouvements stock'!$I$5:$I$3004,$A706,'Mouvements stock'!$C$5:$C$3004,"Retour"))</f>
        <v/>
      </c>
      <c r="X706" s="66" t="n">
        <v>0</v>
      </c>
      <c r="Y706" s="66" t="n">
        <v>0</v>
      </c>
      <c r="Z706" s="7" t="n"/>
      <c r="AA706" s="70">
        <f>IF($A706="","",N(V706)+N(W706)+N(X706)+N(Y706))</f>
        <v/>
      </c>
      <c r="AB706" s="70">
        <f>IF($A706="","",N(S706)*'Paramètres'!$AA$9*IFERROR(INDEX('Paramètres'!$O$5:$O$7,MATCH(G706,'Paramètres'!$N$5:$N$7,0)),0))</f>
        <v/>
      </c>
      <c r="AC706" s="7" t="inlineStr">
        <is>
          <t>Clôturé</t>
        </is>
      </c>
      <c r="AD706" s="69">
        <f>IF(OR($A706="",Q706=""),"",(Q706-B706)*24)</f>
        <v/>
      </c>
      <c r="AE706" s="69">
        <f>IF(OR(Q706="",R706=""),"",(R706-Q706)*24)</f>
        <v/>
      </c>
      <c r="AF706" s="77">
        <f>IF(OR($A706="",B706=""),"",YEAR(B706))</f>
        <v/>
      </c>
      <c r="AG706" s="77">
        <f>IF(OR($A706="",B706=""),"",MONTH(B706))</f>
        <v/>
      </c>
    </row>
    <row r="707">
      <c r="A707" s="7" t="inlineStr">
        <is>
          <t>OT-2025-0703</t>
        </is>
      </c>
      <c r="B707" s="75" t="n">
        <v>45968.42361111111</v>
      </c>
      <c r="C707" s="7" t="inlineStr">
        <is>
          <t>Plan préventif</t>
        </is>
      </c>
      <c r="D707" s="7" t="inlineStr">
        <is>
          <t>EQ-PEI-002</t>
        </is>
      </c>
      <c r="E707" s="9">
        <f>IF(D707="","",IFERROR(INDEX('Équipements'!$B$5:$B$304,MATCH(D707,'Équipements'!$A$5:$A$304,0)),"Code inconnu"))</f>
        <v/>
      </c>
      <c r="F707" s="9">
        <f>IF(D707="","",IFERROR(INDEX('Équipements'!$D$5:$D$304,MATCH(D707,'Équipements'!$A$5:$A$304,0)),""))</f>
        <v/>
      </c>
      <c r="G707" s="9">
        <f>IF(D707="","",IFERROR(INDEX('Équipements'!$K$5:$K$304,MATCH(D707,'Équipements'!$A$5:$A$304,0)),""))</f>
        <v/>
      </c>
      <c r="H707" s="7" t="inlineStr">
        <is>
          <t>Préventif systématique</t>
        </is>
      </c>
      <c r="I707" s="7" t="inlineStr">
        <is>
          <t>GP-068</t>
        </is>
      </c>
      <c r="J707" s="7" t="inlineStr">
        <is>
          <t>Mécanique</t>
        </is>
      </c>
      <c r="K707" s="7" t="inlineStr">
        <is>
          <t>P3 - Normale</t>
        </is>
      </c>
      <c r="L707" s="7" t="inlineStr">
        <is>
          <t>Nettoyage et remplacement des filtres</t>
        </is>
      </c>
      <c r="M707" s="7" t="n"/>
      <c r="N707" s="7" t="inlineStr">
        <is>
          <t>Gamme réalisée - DI émise pour remplacement pièce</t>
        </is>
      </c>
      <c r="O707" s="7" t="inlineStr">
        <is>
          <t>Karim Benali</t>
        </is>
      </c>
      <c r="P707" s="65" t="n">
        <v>45975.64236111111</v>
      </c>
      <c r="Q707" s="75" t="n">
        <v>45975.40277777778</v>
      </c>
      <c r="R707" s="75" t="n">
        <v>45975.50694444445</v>
      </c>
      <c r="S707" s="76" t="n">
        <v>2.5</v>
      </c>
      <c r="T707" s="76" t="n">
        <v>2.5</v>
      </c>
      <c r="U707" s="70">
        <f>IF($A707="","",IFERROR(INDEX('Techniciens'!$F$5:$F$44,MATCH(O707,'Techniciens'!$B$5:$B$44,0)),'Paramètres'!$AA$10))</f>
        <v/>
      </c>
      <c r="V707" s="70">
        <f>IF($A707="","",IF(OR(AC707="Demandé",AC707="Planifié",AC707="Annulé"),0,N(T707)*N(U707)))</f>
        <v/>
      </c>
      <c r="W707" s="70">
        <f>IF($A707="","",SUMIFS('Mouvements stock'!$H$5:$H$3004,'Mouvements stock'!$I$5:$I$3004,$A707,'Mouvements stock'!$C$5:$C$3004,"Sortie")-SUMIFS('Mouvements stock'!$H$5:$H$3004,'Mouvements stock'!$I$5:$I$3004,$A707,'Mouvements stock'!$C$5:$C$3004,"Retour"))</f>
        <v/>
      </c>
      <c r="X707" s="66" t="n">
        <v>0</v>
      </c>
      <c r="Y707" s="66" t="n">
        <v>0</v>
      </c>
      <c r="Z707" s="7" t="n"/>
      <c r="AA707" s="70">
        <f>IF($A707="","",N(V707)+N(W707)+N(X707)+N(Y707))</f>
        <v/>
      </c>
      <c r="AB707" s="70">
        <f>IF($A707="","",N(S707)*'Paramètres'!$AA$9*IFERROR(INDEX('Paramètres'!$O$5:$O$7,MATCH(G707,'Paramètres'!$N$5:$N$7,0)),0))</f>
        <v/>
      </c>
      <c r="AC707" s="7" t="inlineStr">
        <is>
          <t>Clôturé</t>
        </is>
      </c>
      <c r="AD707" s="69">
        <f>IF(OR($A707="",Q707=""),"",(Q707-B707)*24)</f>
        <v/>
      </c>
      <c r="AE707" s="69">
        <f>IF(OR(Q707="",R707=""),"",(R707-Q707)*24)</f>
        <v/>
      </c>
      <c r="AF707" s="77">
        <f>IF(OR($A707="",B707=""),"",YEAR(B707))</f>
        <v/>
      </c>
      <c r="AG707" s="77">
        <f>IF(OR($A707="",B707=""),"",MONTH(B707))</f>
        <v/>
      </c>
    </row>
    <row r="708">
      <c r="A708" s="7" t="inlineStr">
        <is>
          <t>OT-2025-0704</t>
        </is>
      </c>
      <c r="B708" s="75" t="n">
        <v>45968.84097222222</v>
      </c>
      <c r="C708" s="7" t="inlineStr">
        <is>
          <t>Paul Roux (chef d'atelier)</t>
        </is>
      </c>
      <c r="D708" s="7" t="inlineStr">
        <is>
          <t>EQ-ASS-001</t>
        </is>
      </c>
      <c r="E708" s="9">
        <f>IF(D708="","",IFERROR(INDEX('Équipements'!$B$5:$B$304,MATCH(D708,'Équipements'!$A$5:$A$304,0)),"Code inconnu"))</f>
        <v/>
      </c>
      <c r="F708" s="9">
        <f>IF(D708="","",IFERROR(INDEX('Équipements'!$D$5:$D$304,MATCH(D708,'Équipements'!$A$5:$A$304,0)),""))</f>
        <v/>
      </c>
      <c r="G708" s="9">
        <f>IF(D708="","",IFERROR(INDEX('Équipements'!$K$5:$K$304,MATCH(D708,'Équipements'!$A$5:$A$304,0)),""))</f>
        <v/>
      </c>
      <c r="H708" s="7" t="inlineStr">
        <is>
          <t>Correctif</t>
        </is>
      </c>
      <c r="I708" s="7" t="n"/>
      <c r="J708" s="7" t="inlineStr">
        <is>
          <t>Électrique</t>
        </is>
      </c>
      <c r="K708" s="7" t="inlineStr">
        <is>
          <t>P1 - Urgent</t>
        </is>
      </c>
      <c r="L708" s="7" t="inlineStr">
        <is>
          <t>Moteur d'entraînement en défaut thermique</t>
        </is>
      </c>
      <c r="M708" s="7" t="inlineStr">
        <is>
          <t>Défaut électrique</t>
        </is>
      </c>
      <c r="N708" s="7" t="inlineStr">
        <is>
          <t>Remplacement motoréducteur / disjoncteur moteur</t>
        </is>
      </c>
      <c r="O708" s="7" t="inlineStr">
        <is>
          <t>Thomas Petit</t>
        </is>
      </c>
      <c r="P708" s="65" t="n"/>
      <c r="Q708" s="75" t="n">
        <v>45968.85833333333</v>
      </c>
      <c r="R708" s="75" t="n">
        <v>45969.04583333333</v>
      </c>
      <c r="S708" s="76" t="n">
        <v>4.9</v>
      </c>
      <c r="T708" s="76" t="n">
        <v>4.5</v>
      </c>
      <c r="U708" s="70">
        <f>IF($A708="","",IFERROR(INDEX('Techniciens'!$F$5:$F$44,MATCH(O708,'Techniciens'!$B$5:$B$44,0)),'Paramètres'!$AA$10))</f>
        <v/>
      </c>
      <c r="V708" s="70">
        <f>IF($A708="","",IF(OR(AC708="Demandé",AC708="Planifié",AC708="Annulé"),0,N(T708)*N(U708)))</f>
        <v/>
      </c>
      <c r="W708" s="70">
        <f>IF($A708="","",SUMIFS('Mouvements stock'!$H$5:$H$3004,'Mouvements stock'!$I$5:$I$3004,$A708,'Mouvements stock'!$C$5:$C$3004,"Sortie")-SUMIFS('Mouvements stock'!$H$5:$H$3004,'Mouvements stock'!$I$5:$I$3004,$A708,'Mouvements stock'!$C$5:$C$3004,"Retour"))</f>
        <v/>
      </c>
      <c r="X708" s="66" t="n">
        <v>759</v>
      </c>
      <c r="Y708" s="66" t="n">
        <v>0</v>
      </c>
      <c r="Z708" s="7" t="n"/>
      <c r="AA708" s="70">
        <f>IF($A708="","",N(V708)+N(W708)+N(X708)+N(Y708))</f>
        <v/>
      </c>
      <c r="AB708" s="70">
        <f>IF($A708="","",N(S708)*'Paramètres'!$AA$9*IFERROR(INDEX('Paramètres'!$O$5:$O$7,MATCH(G708,'Paramètres'!$N$5:$N$7,0)),0))</f>
        <v/>
      </c>
      <c r="AC708" s="7" t="inlineStr">
        <is>
          <t>Clôturé</t>
        </is>
      </c>
      <c r="AD708" s="69">
        <f>IF(OR($A708="",Q708=""),"",(Q708-B708)*24)</f>
        <v/>
      </c>
      <c r="AE708" s="69">
        <f>IF(OR(Q708="",R708=""),"",(R708-Q708)*24)</f>
        <v/>
      </c>
      <c r="AF708" s="77">
        <f>IF(OR($A708="",B708=""),"",YEAR(B708))</f>
        <v/>
      </c>
      <c r="AG708" s="77">
        <f>IF(OR($A708="",B708=""),"",MONTH(B708))</f>
        <v/>
      </c>
    </row>
    <row r="709">
      <c r="A709" s="7" t="inlineStr">
        <is>
          <t>OT-2025-0705</t>
        </is>
      </c>
      <c r="B709" s="75" t="n">
        <v>45971.41666666666</v>
      </c>
      <c r="C709" s="7" t="inlineStr">
        <is>
          <t>Plan préventif</t>
        </is>
      </c>
      <c r="D709" s="7" t="inlineStr">
        <is>
          <t>EQ-SOU-003</t>
        </is>
      </c>
      <c r="E709" s="9">
        <f>IF(D709="","",IFERROR(INDEX('Équipements'!$B$5:$B$304,MATCH(D709,'Équipements'!$A$5:$A$304,0)),"Code inconnu"))</f>
        <v/>
      </c>
      <c r="F709" s="9">
        <f>IF(D709="","",IFERROR(INDEX('Équipements'!$D$5:$D$304,MATCH(D709,'Équipements'!$A$5:$A$304,0)),""))</f>
        <v/>
      </c>
      <c r="G709" s="9">
        <f>IF(D709="","",IFERROR(INDEX('Équipements'!$K$5:$K$304,MATCH(D709,'Équipements'!$A$5:$A$304,0)),""))</f>
        <v/>
      </c>
      <c r="H709" s="7" t="inlineStr">
        <is>
          <t>Préventif systématique</t>
        </is>
      </c>
      <c r="I709" s="7" t="inlineStr">
        <is>
          <t>GP-062</t>
        </is>
      </c>
      <c r="J709" s="7" t="inlineStr">
        <is>
          <t>Électrique</t>
        </is>
      </c>
      <c r="K709" s="7" t="inlineStr">
        <is>
          <t>P3 - Normale</t>
        </is>
      </c>
      <c r="L709" s="7" t="inlineStr">
        <is>
          <t>Contrôle et nettoyage poste, dévidoir, câbles</t>
        </is>
      </c>
      <c r="M709" s="7" t="n"/>
      <c r="N709" s="7" t="inlineStr">
        <is>
          <t>Gamme réalisée - RAS</t>
        </is>
      </c>
      <c r="O709" s="7" t="inlineStr">
        <is>
          <t>Julien Moreau</t>
        </is>
      </c>
      <c r="P709" s="65" t="n">
        <v>45978.38541666666</v>
      </c>
      <c r="Q709" s="75" t="n">
        <v>45978.25694444445</v>
      </c>
      <c r="R709" s="75" t="n">
        <v>45978.32986111111</v>
      </c>
      <c r="S709" s="76" t="n">
        <v>1.8</v>
      </c>
      <c r="T709" s="76" t="n">
        <v>1.75</v>
      </c>
      <c r="U709" s="70">
        <f>IF($A709="","",IFERROR(INDEX('Techniciens'!$F$5:$F$44,MATCH(O709,'Techniciens'!$B$5:$B$44,0)),'Paramètres'!$AA$10))</f>
        <v/>
      </c>
      <c r="V709" s="70">
        <f>IF($A709="","",IF(OR(AC709="Demandé",AC709="Planifié",AC709="Annulé"),0,N(T709)*N(U709)))</f>
        <v/>
      </c>
      <c r="W709" s="70">
        <f>IF($A709="","",SUMIFS('Mouvements stock'!$H$5:$H$3004,'Mouvements stock'!$I$5:$I$3004,$A709,'Mouvements stock'!$C$5:$C$3004,"Sortie")-SUMIFS('Mouvements stock'!$H$5:$H$3004,'Mouvements stock'!$I$5:$I$3004,$A709,'Mouvements stock'!$C$5:$C$3004,"Retour"))</f>
        <v/>
      </c>
      <c r="X709" s="66" t="n">
        <v>0</v>
      </c>
      <c r="Y709" s="66" t="n">
        <v>0</v>
      </c>
      <c r="Z709" s="7" t="n"/>
      <c r="AA709" s="70">
        <f>IF($A709="","",N(V709)+N(W709)+N(X709)+N(Y709))</f>
        <v/>
      </c>
      <c r="AB709" s="70">
        <f>IF($A709="","",N(S709)*'Paramètres'!$AA$9*IFERROR(INDEX('Paramètres'!$O$5:$O$7,MATCH(G709,'Paramètres'!$N$5:$N$7,0)),0))</f>
        <v/>
      </c>
      <c r="AC709" s="7" t="inlineStr">
        <is>
          <t>Clôturé</t>
        </is>
      </c>
      <c r="AD709" s="69">
        <f>IF(OR($A709="",Q709=""),"",(Q709-B709)*24)</f>
        <v/>
      </c>
      <c r="AE709" s="69">
        <f>IF(OR(Q709="",R709=""),"",(R709-Q709)*24)</f>
        <v/>
      </c>
      <c r="AF709" s="77">
        <f>IF(OR($A709="",B709=""),"",YEAR(B709))</f>
        <v/>
      </c>
      <c r="AG709" s="77">
        <f>IF(OR($A709="",B709=""),"",MONTH(B709))</f>
        <v/>
      </c>
    </row>
    <row r="710">
      <c r="A710" s="7" t="inlineStr">
        <is>
          <t>OT-2025-0706</t>
        </is>
      </c>
      <c r="B710" s="75" t="n">
        <v>45971.43055555555</v>
      </c>
      <c r="C710" s="7" t="inlineStr">
        <is>
          <t>Plan préventif</t>
        </is>
      </c>
      <c r="D710" s="7" t="inlineStr">
        <is>
          <t>EQ-USI-010</t>
        </is>
      </c>
      <c r="E710" s="9">
        <f>IF(D710="","",IFERROR(INDEX('Équipements'!$B$5:$B$304,MATCH(D710,'Équipements'!$A$5:$A$304,0)),"Code inconnu"))</f>
        <v/>
      </c>
      <c r="F710" s="9">
        <f>IF(D710="","",IFERROR(INDEX('Équipements'!$D$5:$D$304,MATCH(D710,'Équipements'!$A$5:$A$304,0)),""))</f>
        <v/>
      </c>
      <c r="G710" s="9">
        <f>IF(D710="","",IFERROR(INDEX('Équipements'!$K$5:$K$304,MATCH(D710,'Équipements'!$A$5:$A$304,0)),""))</f>
        <v/>
      </c>
      <c r="H710" s="7" t="inlineStr">
        <is>
          <t>Préventif systématique</t>
        </is>
      </c>
      <c r="I710" s="7" t="inlineStr">
        <is>
          <t>GP-033</t>
        </is>
      </c>
      <c r="J710" s="7" t="inlineStr">
        <is>
          <t>Mécanique</t>
        </is>
      </c>
      <c r="K710" s="7" t="inlineStr">
        <is>
          <t>P3 - Normale</t>
        </is>
      </c>
      <c r="L710" s="7" t="inlineStr">
        <is>
          <t>Nettoyage et contrôle général</t>
        </is>
      </c>
      <c r="M710" s="7" t="n"/>
      <c r="N710" s="7" t="inlineStr">
        <is>
          <t>Gamme réalisée - RAS</t>
        </is>
      </c>
      <c r="O710" s="7" t="inlineStr">
        <is>
          <t>Antoine Mercier</t>
        </is>
      </c>
      <c r="P710" s="65" t="n">
        <v>45978.53472222222</v>
      </c>
      <c r="Q710" s="75" t="n">
        <v>45978.55555555555</v>
      </c>
      <c r="R710" s="75" t="n">
        <v>45978.57638888889</v>
      </c>
      <c r="S710" s="76" t="n">
        <v>0</v>
      </c>
      <c r="T710" s="76" t="n">
        <v>0.5</v>
      </c>
      <c r="U710" s="70">
        <f>IF($A710="","",IFERROR(INDEX('Techniciens'!$F$5:$F$44,MATCH(O710,'Techniciens'!$B$5:$B$44,0)),'Paramètres'!$AA$10))</f>
        <v/>
      </c>
      <c r="V710" s="70">
        <f>IF($A710="","",IF(OR(AC710="Demandé",AC710="Planifié",AC710="Annulé"),0,N(T710)*N(U710)))</f>
        <v/>
      </c>
      <c r="W710" s="70">
        <f>IF($A710="","",SUMIFS('Mouvements stock'!$H$5:$H$3004,'Mouvements stock'!$I$5:$I$3004,$A710,'Mouvements stock'!$C$5:$C$3004,"Sortie")-SUMIFS('Mouvements stock'!$H$5:$H$3004,'Mouvements stock'!$I$5:$I$3004,$A710,'Mouvements stock'!$C$5:$C$3004,"Retour"))</f>
        <v/>
      </c>
      <c r="X710" s="66" t="n">
        <v>0</v>
      </c>
      <c r="Y710" s="66" t="n">
        <v>0</v>
      </c>
      <c r="Z710" s="7" t="n"/>
      <c r="AA710" s="70">
        <f>IF($A710="","",N(V710)+N(W710)+N(X710)+N(Y710))</f>
        <v/>
      </c>
      <c r="AB710" s="70">
        <f>IF($A710="","",N(S710)*'Paramètres'!$AA$9*IFERROR(INDEX('Paramètres'!$O$5:$O$7,MATCH(G710,'Paramètres'!$N$5:$N$7,0)),0))</f>
        <v/>
      </c>
      <c r="AC710" s="7" t="inlineStr">
        <is>
          <t>Clôturé</t>
        </is>
      </c>
      <c r="AD710" s="69">
        <f>IF(OR($A710="",Q710=""),"",(Q710-B710)*24)</f>
        <v/>
      </c>
      <c r="AE710" s="69">
        <f>IF(OR(Q710="",R710=""),"",(R710-Q710)*24)</f>
        <v/>
      </c>
      <c r="AF710" s="77">
        <f>IF(OR($A710="",B710=""),"",YEAR(B710))</f>
        <v/>
      </c>
      <c r="AG710" s="77">
        <f>IF(OR($A710="",B710=""),"",MONTH(B710))</f>
        <v/>
      </c>
    </row>
    <row r="711">
      <c r="A711" s="7" t="inlineStr">
        <is>
          <t>OT-2025-0707</t>
        </is>
      </c>
      <c r="B711" s="75" t="n">
        <v>45971.43055555555</v>
      </c>
      <c r="C711" s="7" t="inlineStr">
        <is>
          <t>Plan préventif</t>
        </is>
      </c>
      <c r="D711" s="7" t="inlineStr">
        <is>
          <t>EQ-LOG-007</t>
        </is>
      </c>
      <c r="E711" s="9">
        <f>IF(D711="","",IFERROR(INDEX('Équipements'!$B$5:$B$304,MATCH(D711,'Équipements'!$A$5:$A$304,0)),"Code inconnu"))</f>
        <v/>
      </c>
      <c r="F711" s="9">
        <f>IF(D711="","",IFERROR(INDEX('Équipements'!$D$5:$D$304,MATCH(D711,'Équipements'!$A$5:$A$304,0)),""))</f>
        <v/>
      </c>
      <c r="G711" s="9">
        <f>IF(D711="","",IFERROR(INDEX('Équipements'!$K$5:$K$304,MATCH(D711,'Équipements'!$A$5:$A$304,0)),""))</f>
        <v/>
      </c>
      <c r="H711" s="7" t="inlineStr">
        <is>
          <t>Préventif systématique</t>
        </is>
      </c>
      <c r="I711" s="7" t="inlineStr">
        <is>
          <t>GP-117</t>
        </is>
      </c>
      <c r="J711" s="7" t="inlineStr">
        <is>
          <t>Mécanique</t>
        </is>
      </c>
      <c r="K711" s="7" t="inlineStr">
        <is>
          <t>P3 - Normale</t>
        </is>
      </c>
      <c r="L711" s="7" t="inlineStr">
        <is>
          <t>Contrôle câbles, crochets, freins et fins de course</t>
        </is>
      </c>
      <c r="M711" s="7" t="n"/>
      <c r="N711" s="7" t="inlineStr">
        <is>
          <t>Gamme réalisée - RAS</t>
        </is>
      </c>
      <c r="O711" s="7" t="inlineStr">
        <is>
          <t>Karim Benali</t>
        </is>
      </c>
      <c r="P711" s="65" t="n">
        <v>45978.47916666666</v>
      </c>
      <c r="Q711" s="75" t="n">
        <v>45978.48611111111</v>
      </c>
      <c r="R711" s="75" t="n">
        <v>45978.62152777778</v>
      </c>
      <c r="S711" s="76" t="n">
        <v>3.2</v>
      </c>
      <c r="T711" s="76" t="n">
        <v>3.25</v>
      </c>
      <c r="U711" s="70">
        <f>IF($A711="","",IFERROR(INDEX('Techniciens'!$F$5:$F$44,MATCH(O711,'Techniciens'!$B$5:$B$44,0)),'Paramètres'!$AA$10))</f>
        <v/>
      </c>
      <c r="V711" s="70">
        <f>IF($A711="","",IF(OR(AC711="Demandé",AC711="Planifié",AC711="Annulé"),0,N(T711)*N(U711)))</f>
        <v/>
      </c>
      <c r="W711" s="70">
        <f>IF($A711="","",SUMIFS('Mouvements stock'!$H$5:$H$3004,'Mouvements stock'!$I$5:$I$3004,$A711,'Mouvements stock'!$C$5:$C$3004,"Sortie")-SUMIFS('Mouvements stock'!$H$5:$H$3004,'Mouvements stock'!$I$5:$I$3004,$A711,'Mouvements stock'!$C$5:$C$3004,"Retour"))</f>
        <v/>
      </c>
      <c r="X711" s="66" t="n">
        <v>0</v>
      </c>
      <c r="Y711" s="66" t="n">
        <v>0</v>
      </c>
      <c r="Z711" s="7" t="n"/>
      <c r="AA711" s="70">
        <f>IF($A711="","",N(V711)+N(W711)+N(X711)+N(Y711))</f>
        <v/>
      </c>
      <c r="AB711" s="70">
        <f>IF($A711="","",N(S711)*'Paramètres'!$AA$9*IFERROR(INDEX('Paramètres'!$O$5:$O$7,MATCH(G711,'Paramètres'!$N$5:$N$7,0)),0))</f>
        <v/>
      </c>
      <c r="AC711" s="7" t="inlineStr">
        <is>
          <t>Clôturé</t>
        </is>
      </c>
      <c r="AD711" s="69">
        <f>IF(OR($A711="",Q711=""),"",(Q711-B711)*24)</f>
        <v/>
      </c>
      <c r="AE711" s="69">
        <f>IF(OR(Q711="",R711=""),"",(R711-Q711)*24)</f>
        <v/>
      </c>
      <c r="AF711" s="77">
        <f>IF(OR($A711="",B711=""),"",YEAR(B711))</f>
        <v/>
      </c>
      <c r="AG711" s="77">
        <f>IF(OR($A711="",B711=""),"",MONTH(B711))</f>
        <v/>
      </c>
    </row>
    <row r="712">
      <c r="A712" s="7" t="inlineStr">
        <is>
          <t>OT-2025-0708</t>
        </is>
      </c>
      <c r="B712" s="75" t="n">
        <v>45971.48611111111</v>
      </c>
      <c r="C712" s="7" t="inlineStr">
        <is>
          <t>Plan préventif</t>
        </is>
      </c>
      <c r="D712" s="7" t="inlineStr">
        <is>
          <t>EQ-ASS-001</t>
        </is>
      </c>
      <c r="E712" s="9">
        <f>IF(D712="","",IFERROR(INDEX('Équipements'!$B$5:$B$304,MATCH(D712,'Équipements'!$A$5:$A$304,0)),"Code inconnu"))</f>
        <v/>
      </c>
      <c r="F712" s="9">
        <f>IF(D712="","",IFERROR(INDEX('Équipements'!$D$5:$D$304,MATCH(D712,'Équipements'!$A$5:$A$304,0)),""))</f>
        <v/>
      </c>
      <c r="G712" s="9">
        <f>IF(D712="","",IFERROR(INDEX('Équipements'!$K$5:$K$304,MATCH(D712,'Équipements'!$A$5:$A$304,0)),""))</f>
        <v/>
      </c>
      <c r="H712" s="7" t="inlineStr">
        <is>
          <t>Préventif systématique</t>
        </is>
      </c>
      <c r="I712" s="7" t="inlineStr">
        <is>
          <t>GP-077</t>
        </is>
      </c>
      <c r="J712" s="7" t="inlineStr">
        <is>
          <t>Mécanique</t>
        </is>
      </c>
      <c r="K712" s="7" t="inlineStr">
        <is>
          <t>P3 - Normale</t>
        </is>
      </c>
      <c r="L712" s="7" t="inlineStr">
        <is>
          <t>Contrôle motoréducteurs et usure</t>
        </is>
      </c>
      <c r="M712" s="7" t="n"/>
      <c r="N712" s="7" t="inlineStr">
        <is>
          <t>Gamme réalisée - RAS</t>
        </is>
      </c>
      <c r="O712" s="7" t="inlineStr">
        <is>
          <t>Karim Benali</t>
        </is>
      </c>
      <c r="P712" s="65" t="n">
        <v>45978.79861111111</v>
      </c>
      <c r="Q712" s="75" t="n">
        <v>45978.57291666666</v>
      </c>
      <c r="R712" s="75" t="n">
        <v>45978.72916666666</v>
      </c>
      <c r="S712" s="76" t="n">
        <v>3.8</v>
      </c>
      <c r="T712" s="76" t="n">
        <v>3.75</v>
      </c>
      <c r="U712" s="70">
        <f>IF($A712="","",IFERROR(INDEX('Techniciens'!$F$5:$F$44,MATCH(O712,'Techniciens'!$B$5:$B$44,0)),'Paramètres'!$AA$10))</f>
        <v/>
      </c>
      <c r="V712" s="70">
        <f>IF($A712="","",IF(OR(AC712="Demandé",AC712="Planifié",AC712="Annulé"),0,N(T712)*N(U712)))</f>
        <v/>
      </c>
      <c r="W712" s="70">
        <f>IF($A712="","",SUMIFS('Mouvements stock'!$H$5:$H$3004,'Mouvements stock'!$I$5:$I$3004,$A712,'Mouvements stock'!$C$5:$C$3004,"Sortie")-SUMIFS('Mouvements stock'!$H$5:$H$3004,'Mouvements stock'!$I$5:$I$3004,$A712,'Mouvements stock'!$C$5:$C$3004,"Retour"))</f>
        <v/>
      </c>
      <c r="X712" s="66" t="n">
        <v>0</v>
      </c>
      <c r="Y712" s="66" t="n">
        <v>0</v>
      </c>
      <c r="Z712" s="7" t="n"/>
      <c r="AA712" s="70">
        <f>IF($A712="","",N(V712)+N(W712)+N(X712)+N(Y712))</f>
        <v/>
      </c>
      <c r="AB712" s="70">
        <f>IF($A712="","",N(S712)*'Paramètres'!$AA$9*IFERROR(INDEX('Paramètres'!$O$5:$O$7,MATCH(G712,'Paramètres'!$N$5:$N$7,0)),0))</f>
        <v/>
      </c>
      <c r="AC712" s="7" t="inlineStr">
        <is>
          <t>Clôturé</t>
        </is>
      </c>
      <c r="AD712" s="69">
        <f>IF(OR($A712="",Q712=""),"",(Q712-B712)*24)</f>
        <v/>
      </c>
      <c r="AE712" s="69">
        <f>IF(OR(Q712="",R712=""),"",(R712-Q712)*24)</f>
        <v/>
      </c>
      <c r="AF712" s="77">
        <f>IF(OR($A712="",B712=""),"",YEAR(B712))</f>
        <v/>
      </c>
      <c r="AG712" s="77">
        <f>IF(OR($A712="",B712=""),"",MONTH(B712))</f>
        <v/>
      </c>
    </row>
    <row r="713">
      <c r="A713" s="7" t="inlineStr">
        <is>
          <t>OT-2025-0709</t>
        </is>
      </c>
      <c r="B713" s="75" t="n">
        <v>45971.48958333334</v>
      </c>
      <c r="C713" s="7" t="inlineStr">
        <is>
          <t>Direction industrielle</t>
        </is>
      </c>
      <c r="D713" s="7" t="inlineStr">
        <is>
          <t>EQ-UTI-003</t>
        </is>
      </c>
      <c r="E713" s="9">
        <f>IF(D713="","",IFERROR(INDEX('Équipements'!$B$5:$B$304,MATCH(D713,'Équipements'!$A$5:$A$304,0)),"Code inconnu"))</f>
        <v/>
      </c>
      <c r="F713" s="9">
        <f>IF(D713="","",IFERROR(INDEX('Équipements'!$D$5:$D$304,MATCH(D713,'Équipements'!$A$5:$A$304,0)),""))</f>
        <v/>
      </c>
      <c r="G713" s="9">
        <f>IF(D713="","",IFERROR(INDEX('Équipements'!$K$5:$K$304,MATCH(D713,'Équipements'!$A$5:$A$304,0)),""))</f>
        <v/>
      </c>
      <c r="H713" s="7" t="inlineStr">
        <is>
          <t>Amélioratif</t>
        </is>
      </c>
      <c r="I713" s="7" t="n"/>
      <c r="J713" s="7" t="inlineStr">
        <is>
          <t>Pneumatique</t>
        </is>
      </c>
      <c r="K713" s="7" t="inlineStr">
        <is>
          <t>P4 - Basse</t>
        </is>
      </c>
      <c r="L713" s="7" t="inlineStr">
        <is>
          <t>Remplacement purgeurs par purgeurs sans perte d'air</t>
        </is>
      </c>
      <c r="M713" s="7" t="n"/>
      <c r="N713" s="7" t="inlineStr">
        <is>
          <t>Réalisé conformément au devis / dossier technique</t>
        </is>
      </c>
      <c r="O713" s="7" t="inlineStr">
        <is>
          <t>Lucas Fontaine</t>
        </is>
      </c>
      <c r="P713" s="65" t="n">
        <v>45992</v>
      </c>
      <c r="Q713" s="75" t="n">
        <v>45992.35416666666</v>
      </c>
      <c r="R713" s="75" t="n">
        <v>45992.5875</v>
      </c>
      <c r="S713" s="76" t="n">
        <v>0</v>
      </c>
      <c r="T713" s="76" t="n">
        <v>4</v>
      </c>
      <c r="U713" s="70">
        <f>IF($A713="","",IFERROR(INDEX('Techniciens'!$F$5:$F$44,MATCH(O713,'Techniciens'!$B$5:$B$44,0)),'Paramètres'!$AA$10))</f>
        <v/>
      </c>
      <c r="V713" s="70">
        <f>IF($A713="","",IF(OR(AC713="Demandé",AC713="Planifié",AC713="Annulé"),0,N(T713)*N(U713)))</f>
        <v/>
      </c>
      <c r="W713" s="70">
        <f>IF($A713="","",SUMIFS('Mouvements stock'!$H$5:$H$3004,'Mouvements stock'!$I$5:$I$3004,$A713,'Mouvements stock'!$C$5:$C$3004,"Sortie")-SUMIFS('Mouvements stock'!$H$5:$H$3004,'Mouvements stock'!$I$5:$I$3004,$A713,'Mouvements stock'!$C$5:$C$3004,"Retour"))</f>
        <v/>
      </c>
      <c r="X713" s="66" t="n">
        <v>690</v>
      </c>
      <c r="Y713" s="66" t="n">
        <v>0</v>
      </c>
      <c r="Z713" s="7" t="n"/>
      <c r="AA713" s="70">
        <f>IF($A713="","",N(V713)+N(W713)+N(X713)+N(Y713))</f>
        <v/>
      </c>
      <c r="AB713" s="70">
        <f>IF($A713="","",N(S713)*'Paramètres'!$AA$9*IFERROR(INDEX('Paramètres'!$O$5:$O$7,MATCH(G713,'Paramètres'!$N$5:$N$7,0)),0))</f>
        <v/>
      </c>
      <c r="AC713" s="7" t="inlineStr">
        <is>
          <t>Clôturé</t>
        </is>
      </c>
      <c r="AD713" s="69">
        <f>IF(OR($A713="",Q713=""),"",(Q713-B713)*24)</f>
        <v/>
      </c>
      <c r="AE713" s="69">
        <f>IF(OR(Q713="",R713=""),"",(R713-Q713)*24)</f>
        <v/>
      </c>
      <c r="AF713" s="77">
        <f>IF(OR($A713="",B713=""),"",YEAR(B713))</f>
        <v/>
      </c>
      <c r="AG713" s="77">
        <f>IF(OR($A713="",B713=""),"",MONTH(B713))</f>
        <v/>
      </c>
    </row>
    <row r="714">
      <c r="A714" s="7" t="inlineStr">
        <is>
          <t>OT-2025-0710</t>
        </is>
      </c>
      <c r="B714" s="75" t="n">
        <v>45971.49305555555</v>
      </c>
      <c r="C714" s="7" t="inlineStr">
        <is>
          <t>Plan préventif</t>
        </is>
      </c>
      <c r="D714" s="7" t="inlineStr">
        <is>
          <t>EQ-LOG-006</t>
        </is>
      </c>
      <c r="E714" s="9">
        <f>IF(D714="","",IFERROR(INDEX('Équipements'!$B$5:$B$304,MATCH(D714,'Équipements'!$A$5:$A$304,0)),"Code inconnu"))</f>
        <v/>
      </c>
      <c r="F714" s="9">
        <f>IF(D714="","",IFERROR(INDEX('Équipements'!$D$5:$D$304,MATCH(D714,'Équipements'!$A$5:$A$304,0)),""))</f>
        <v/>
      </c>
      <c r="G714" s="9">
        <f>IF(D714="","",IFERROR(INDEX('Équipements'!$K$5:$K$304,MATCH(D714,'Équipements'!$A$5:$A$304,0)),""))</f>
        <v/>
      </c>
      <c r="H714" s="7" t="inlineStr">
        <is>
          <t>Préventif systématique</t>
        </is>
      </c>
      <c r="I714" s="7" t="inlineStr">
        <is>
          <t>GP-115</t>
        </is>
      </c>
      <c r="J714" s="7" t="inlineStr">
        <is>
          <t>Mécanique</t>
        </is>
      </c>
      <c r="K714" s="7" t="inlineStr">
        <is>
          <t>P3 - Normale</t>
        </is>
      </c>
      <c r="L714" s="7" t="inlineStr">
        <is>
          <t>Contrôle câbles, crochets, freins et fins de course</t>
        </is>
      </c>
      <c r="M714" s="7" t="n"/>
      <c r="N714" s="7" t="inlineStr">
        <is>
          <t>Gamme réalisée - RAS</t>
        </is>
      </c>
      <c r="O714" s="7" t="inlineStr">
        <is>
          <t>Karim Benali</t>
        </is>
      </c>
      <c r="P714" s="65" t="n">
        <v>45978.40972222222</v>
      </c>
      <c r="Q714" s="75" t="n">
        <v>45978.25</v>
      </c>
      <c r="R714" s="75" t="n">
        <v>45978.39583333334</v>
      </c>
      <c r="S714" s="76" t="n">
        <v>3.5</v>
      </c>
      <c r="T714" s="76" t="n">
        <v>3.5</v>
      </c>
      <c r="U714" s="70">
        <f>IF($A714="","",IFERROR(INDEX('Techniciens'!$F$5:$F$44,MATCH(O714,'Techniciens'!$B$5:$B$44,0)),'Paramètres'!$AA$10))</f>
        <v/>
      </c>
      <c r="V714" s="70">
        <f>IF($A714="","",IF(OR(AC714="Demandé",AC714="Planifié",AC714="Annulé"),0,N(T714)*N(U714)))</f>
        <v/>
      </c>
      <c r="W714" s="70">
        <f>IF($A714="","",SUMIFS('Mouvements stock'!$H$5:$H$3004,'Mouvements stock'!$I$5:$I$3004,$A714,'Mouvements stock'!$C$5:$C$3004,"Sortie")-SUMIFS('Mouvements stock'!$H$5:$H$3004,'Mouvements stock'!$I$5:$I$3004,$A714,'Mouvements stock'!$C$5:$C$3004,"Retour"))</f>
        <v/>
      </c>
      <c r="X714" s="66" t="n">
        <v>0</v>
      </c>
      <c r="Y714" s="66" t="n">
        <v>0</v>
      </c>
      <c r="Z714" s="7" t="n"/>
      <c r="AA714" s="70">
        <f>IF($A714="","",N(V714)+N(W714)+N(X714)+N(Y714))</f>
        <v/>
      </c>
      <c r="AB714" s="70">
        <f>IF($A714="","",N(S714)*'Paramètres'!$AA$9*IFERROR(INDEX('Paramètres'!$O$5:$O$7,MATCH(G714,'Paramètres'!$N$5:$N$7,0)),0))</f>
        <v/>
      </c>
      <c r="AC714" s="7" t="inlineStr">
        <is>
          <t>Clôturé</t>
        </is>
      </c>
      <c r="AD714" s="69">
        <f>IF(OR($A714="",Q714=""),"",(Q714-B714)*24)</f>
        <v/>
      </c>
      <c r="AE714" s="69">
        <f>IF(OR(Q714="",R714=""),"",(R714-Q714)*24)</f>
        <v/>
      </c>
      <c r="AF714" s="77">
        <f>IF(OR($A714="",B714=""),"",YEAR(B714))</f>
        <v/>
      </c>
      <c r="AG714" s="77">
        <f>IF(OR($A714="",B714=""),"",MONTH(B714))</f>
        <v/>
      </c>
    </row>
    <row r="715">
      <c r="A715" s="7" t="inlineStr">
        <is>
          <t>OT-2025-0711</t>
        </is>
      </c>
      <c r="B715" s="75" t="n">
        <v>45972.36111111111</v>
      </c>
      <c r="C715" s="7" t="inlineStr">
        <is>
          <t>Plan préventif</t>
        </is>
      </c>
      <c r="D715" s="7" t="inlineStr">
        <is>
          <t>EQ-PEI-005</t>
        </is>
      </c>
      <c r="E715" s="9">
        <f>IF(D715="","",IFERROR(INDEX('Équipements'!$B$5:$B$304,MATCH(D715,'Équipements'!$A$5:$A$304,0)),"Code inconnu"))</f>
        <v/>
      </c>
      <c r="F715" s="9">
        <f>IF(D715="","",IFERROR(INDEX('Équipements'!$D$5:$D$304,MATCH(D715,'Équipements'!$A$5:$A$304,0)),""))</f>
        <v/>
      </c>
      <c r="G715" s="9">
        <f>IF(D715="","",IFERROR(INDEX('Équipements'!$K$5:$K$304,MATCH(D715,'Équipements'!$A$5:$A$304,0)),""))</f>
        <v/>
      </c>
      <c r="H715" s="7" t="inlineStr">
        <is>
          <t>Préventif systématique</t>
        </is>
      </c>
      <c r="I715" s="7" t="inlineStr">
        <is>
          <t>GP-075</t>
        </is>
      </c>
      <c r="J715" s="7" t="inlineStr">
        <is>
          <t>Multi-technique</t>
        </is>
      </c>
      <c r="K715" s="7" t="inlineStr">
        <is>
          <t>P3 - Normale</t>
        </is>
      </c>
      <c r="L715" s="7" t="inlineStr">
        <is>
          <t>Contrôle ventilation, brûleurs, pompes et sécurités</t>
        </is>
      </c>
      <c r="M715" s="7" t="n"/>
      <c r="N715" s="7" t="inlineStr">
        <is>
          <t>Gamme réalisée - RAS</t>
        </is>
      </c>
      <c r="O715" s="7" t="inlineStr">
        <is>
          <t>Antoine Mercier</t>
        </is>
      </c>
      <c r="P715" s="65" t="n">
        <v>45979.60416666666</v>
      </c>
      <c r="Q715" s="75" t="n">
        <v>45979.57291666666</v>
      </c>
      <c r="R715" s="75" t="n">
        <v>45979.77083333334</v>
      </c>
      <c r="S715" s="76" t="n">
        <v>0</v>
      </c>
      <c r="T715" s="76" t="n">
        <v>4.75</v>
      </c>
      <c r="U715" s="70">
        <f>IF($A715="","",IFERROR(INDEX('Techniciens'!$F$5:$F$44,MATCH(O715,'Techniciens'!$B$5:$B$44,0)),'Paramètres'!$AA$10))</f>
        <v/>
      </c>
      <c r="V715" s="70">
        <f>IF($A715="","",IF(OR(AC715="Demandé",AC715="Planifié",AC715="Annulé"),0,N(T715)*N(U715)))</f>
        <v/>
      </c>
      <c r="W715" s="70">
        <f>IF($A715="","",SUMIFS('Mouvements stock'!$H$5:$H$3004,'Mouvements stock'!$I$5:$I$3004,$A715,'Mouvements stock'!$C$5:$C$3004,"Sortie")-SUMIFS('Mouvements stock'!$H$5:$H$3004,'Mouvements stock'!$I$5:$I$3004,$A715,'Mouvements stock'!$C$5:$C$3004,"Retour"))</f>
        <v/>
      </c>
      <c r="X715" s="66" t="n">
        <v>0</v>
      </c>
      <c r="Y715" s="66" t="n">
        <v>0</v>
      </c>
      <c r="Z715" s="7" t="n"/>
      <c r="AA715" s="70">
        <f>IF($A715="","",N(V715)+N(W715)+N(X715)+N(Y715))</f>
        <v/>
      </c>
      <c r="AB715" s="70">
        <f>IF($A715="","",N(S715)*'Paramètres'!$AA$9*IFERROR(INDEX('Paramètres'!$O$5:$O$7,MATCH(G715,'Paramètres'!$N$5:$N$7,0)),0))</f>
        <v/>
      </c>
      <c r="AC715" s="7" t="inlineStr">
        <is>
          <t>Clôturé</t>
        </is>
      </c>
      <c r="AD715" s="69">
        <f>IF(OR($A715="",Q715=""),"",(Q715-B715)*24)</f>
        <v/>
      </c>
      <c r="AE715" s="69">
        <f>IF(OR(Q715="",R715=""),"",(R715-Q715)*24)</f>
        <v/>
      </c>
      <c r="AF715" s="77">
        <f>IF(OR($A715="",B715=""),"",YEAR(B715))</f>
        <v/>
      </c>
      <c r="AG715" s="77">
        <f>IF(OR($A715="",B715=""),"",MONTH(B715))</f>
        <v/>
      </c>
    </row>
    <row r="716">
      <c r="A716" s="7" t="inlineStr">
        <is>
          <t>OT-2025-0712</t>
        </is>
      </c>
      <c r="B716" s="75" t="n">
        <v>45972.45138888889</v>
      </c>
      <c r="C716" s="7" t="inlineStr">
        <is>
          <t>Plan préventif</t>
        </is>
      </c>
      <c r="D716" s="7" t="inlineStr">
        <is>
          <t>EQ-TOL-003</t>
        </is>
      </c>
      <c r="E716" s="9">
        <f>IF(D716="","",IFERROR(INDEX('Équipements'!$B$5:$B$304,MATCH(D716,'Équipements'!$A$5:$A$304,0)),"Code inconnu"))</f>
        <v/>
      </c>
      <c r="F716" s="9">
        <f>IF(D716="","",IFERROR(INDEX('Équipements'!$D$5:$D$304,MATCH(D716,'Équipements'!$A$5:$A$304,0)),""))</f>
        <v/>
      </c>
      <c r="G716" s="9">
        <f>IF(D716="","",IFERROR(INDEX('Équipements'!$K$5:$K$304,MATCH(D716,'Équipements'!$A$5:$A$304,0)),""))</f>
        <v/>
      </c>
      <c r="H716" s="7" t="inlineStr">
        <is>
          <t>Préventif systématique</t>
        </is>
      </c>
      <c r="I716" s="7" t="inlineStr">
        <is>
          <t>GP-046</t>
        </is>
      </c>
      <c r="J716" s="7" t="inlineStr">
        <is>
          <t>Électrique</t>
        </is>
      </c>
      <c r="K716" s="7" t="inlineStr">
        <is>
          <t>P3 - Normale</t>
        </is>
      </c>
      <c r="L716" s="7" t="inlineStr">
        <is>
          <t>Contrôle des sécurités (barrages, AU, pédale)</t>
        </is>
      </c>
      <c r="M716" s="7" t="n"/>
      <c r="N716" s="7" t="inlineStr">
        <is>
          <t>Gamme réalisée - usure constatée, à surveiller</t>
        </is>
      </c>
      <c r="O716" s="7" t="inlineStr">
        <is>
          <t>Antoine Mercier</t>
        </is>
      </c>
      <c r="P716" s="65" t="n">
        <v>45979.64930555555</v>
      </c>
      <c r="Q716" s="75" t="n">
        <v>45979.5</v>
      </c>
      <c r="R716" s="75" t="n">
        <v>45979.55208333334</v>
      </c>
      <c r="S716" s="76" t="n">
        <v>0.6</v>
      </c>
      <c r="T716" s="76" t="n">
        <v>1.25</v>
      </c>
      <c r="U716" s="70">
        <f>IF($A716="","",IFERROR(INDEX('Techniciens'!$F$5:$F$44,MATCH(O716,'Techniciens'!$B$5:$B$44,0)),'Paramètres'!$AA$10))</f>
        <v/>
      </c>
      <c r="V716" s="70">
        <f>IF($A716="","",IF(OR(AC716="Demandé",AC716="Planifié",AC716="Annulé"),0,N(T716)*N(U716)))</f>
        <v/>
      </c>
      <c r="W716" s="70">
        <f>IF($A716="","",SUMIFS('Mouvements stock'!$H$5:$H$3004,'Mouvements stock'!$I$5:$I$3004,$A716,'Mouvements stock'!$C$5:$C$3004,"Sortie")-SUMIFS('Mouvements stock'!$H$5:$H$3004,'Mouvements stock'!$I$5:$I$3004,$A716,'Mouvements stock'!$C$5:$C$3004,"Retour"))</f>
        <v/>
      </c>
      <c r="X716" s="66" t="n">
        <v>0</v>
      </c>
      <c r="Y716" s="66" t="n">
        <v>0</v>
      </c>
      <c r="Z716" s="7" t="n"/>
      <c r="AA716" s="70">
        <f>IF($A716="","",N(V716)+N(W716)+N(X716)+N(Y716))</f>
        <v/>
      </c>
      <c r="AB716" s="70">
        <f>IF($A716="","",N(S716)*'Paramètres'!$AA$9*IFERROR(INDEX('Paramètres'!$O$5:$O$7,MATCH(G716,'Paramètres'!$N$5:$N$7,0)),0))</f>
        <v/>
      </c>
      <c r="AC716" s="7" t="inlineStr">
        <is>
          <t>Clôturé</t>
        </is>
      </c>
      <c r="AD716" s="69">
        <f>IF(OR($A716="",Q716=""),"",(Q716-B716)*24)</f>
        <v/>
      </c>
      <c r="AE716" s="69">
        <f>IF(OR(Q716="",R716=""),"",(R716-Q716)*24)</f>
        <v/>
      </c>
      <c r="AF716" s="77">
        <f>IF(OR($A716="",B716=""),"",YEAR(B716))</f>
        <v/>
      </c>
      <c r="AG716" s="77">
        <f>IF(OR($A716="",B716=""),"",MONTH(B716))</f>
        <v/>
      </c>
    </row>
    <row r="717">
      <c r="A717" s="7" t="inlineStr">
        <is>
          <t>OT-2025-0713</t>
        </is>
      </c>
      <c r="B717" s="75" t="n">
        <v>45972.78819444445</v>
      </c>
      <c r="C717" s="7" t="inlineStr">
        <is>
          <t>Sylvie Mathieu (resp. logistique)</t>
        </is>
      </c>
      <c r="D717" s="7" t="inlineStr">
        <is>
          <t>EQ-LOG-001</t>
        </is>
      </c>
      <c r="E717" s="9">
        <f>IF(D717="","",IFERROR(INDEX('Équipements'!$B$5:$B$304,MATCH(D717,'Équipements'!$A$5:$A$304,0)),"Code inconnu"))</f>
        <v/>
      </c>
      <c r="F717" s="9">
        <f>IF(D717="","",IFERROR(INDEX('Équipements'!$D$5:$D$304,MATCH(D717,'Équipements'!$A$5:$A$304,0)),""))</f>
        <v/>
      </c>
      <c r="G717" s="9">
        <f>IF(D717="","",IFERROR(INDEX('Équipements'!$K$5:$K$304,MATCH(D717,'Équipements'!$A$5:$A$304,0)),""))</f>
        <v/>
      </c>
      <c r="H717" s="7" t="inlineStr">
        <is>
          <t>Correctif</t>
        </is>
      </c>
      <c r="I717" s="7" t="n"/>
      <c r="J717" s="7" t="inlineStr">
        <is>
          <t>Électrique</t>
        </is>
      </c>
      <c r="K717" s="7" t="inlineStr">
        <is>
          <t>P3 - Normale</t>
        </is>
      </c>
      <c r="L717" s="7" t="inlineStr">
        <is>
          <t>Avertisseur / feux défectueux</t>
        </is>
      </c>
      <c r="M717" s="7" t="inlineStr">
        <is>
          <t>Défaut électrique</t>
        </is>
      </c>
      <c r="N717" s="7" t="inlineStr">
        <is>
          <t>Remplacement contacteur</t>
        </is>
      </c>
      <c r="O717" s="7" t="inlineStr">
        <is>
          <t>Antoine Mercier</t>
        </is>
      </c>
      <c r="P717" s="65" t="n"/>
      <c r="Q717" s="75" t="n">
        <v>45973.26597222222</v>
      </c>
      <c r="R717" s="75" t="n">
        <v>45973.38055555556</v>
      </c>
      <c r="S717" s="76" t="n">
        <v>0</v>
      </c>
      <c r="T717" s="76" t="n">
        <v>2.75</v>
      </c>
      <c r="U717" s="70">
        <f>IF($A717="","",IFERROR(INDEX('Techniciens'!$F$5:$F$44,MATCH(O717,'Techniciens'!$B$5:$B$44,0)),'Paramètres'!$AA$10))</f>
        <v/>
      </c>
      <c r="V717" s="70">
        <f>IF($A717="","",IF(OR(AC717="Demandé",AC717="Planifié",AC717="Annulé"),0,N(T717)*N(U717)))</f>
        <v/>
      </c>
      <c r="W717" s="70">
        <f>IF($A717="","",SUMIFS('Mouvements stock'!$H$5:$H$3004,'Mouvements stock'!$I$5:$I$3004,$A717,'Mouvements stock'!$C$5:$C$3004,"Sortie")-SUMIFS('Mouvements stock'!$H$5:$H$3004,'Mouvements stock'!$I$5:$I$3004,$A717,'Mouvements stock'!$C$5:$C$3004,"Retour"))</f>
        <v/>
      </c>
      <c r="X717" s="66" t="n">
        <v>0</v>
      </c>
      <c r="Y717" s="66" t="n">
        <v>0</v>
      </c>
      <c r="Z717" s="7" t="n"/>
      <c r="AA717" s="70">
        <f>IF($A717="","",N(V717)+N(W717)+N(X717)+N(Y717))</f>
        <v/>
      </c>
      <c r="AB717" s="70">
        <f>IF($A717="","",N(S717)*'Paramètres'!$AA$9*IFERROR(INDEX('Paramètres'!$O$5:$O$7,MATCH(G717,'Paramètres'!$N$5:$N$7,0)),0))</f>
        <v/>
      </c>
      <c r="AC717" s="7" t="inlineStr">
        <is>
          <t>Clôturé</t>
        </is>
      </c>
      <c r="AD717" s="69">
        <f>IF(OR($A717="",Q717=""),"",(Q717-B717)*24)</f>
        <v/>
      </c>
      <c r="AE717" s="69">
        <f>IF(OR(Q717="",R717=""),"",(R717-Q717)*24)</f>
        <v/>
      </c>
      <c r="AF717" s="77">
        <f>IF(OR($A717="",B717=""),"",YEAR(B717))</f>
        <v/>
      </c>
      <c r="AG717" s="77">
        <f>IF(OR($A717="",B717=""),"",MONTH(B717))</f>
        <v/>
      </c>
    </row>
    <row r="718">
      <c r="A718" s="7" t="inlineStr">
        <is>
          <t>OT-2025-0714</t>
        </is>
      </c>
      <c r="B718" s="75" t="n">
        <v>45972.81458333333</v>
      </c>
      <c r="C718" s="7" t="inlineStr">
        <is>
          <t>Hugo Blanc (chef d'équipe)</t>
        </is>
      </c>
      <c r="D718" s="7" t="inlineStr">
        <is>
          <t>EQ-SOU-001</t>
        </is>
      </c>
      <c r="E718" s="9">
        <f>IF(D718="","",IFERROR(INDEX('Équipements'!$B$5:$B$304,MATCH(D718,'Équipements'!$A$5:$A$304,0)),"Code inconnu"))</f>
        <v/>
      </c>
      <c r="F718" s="9">
        <f>IF(D718="","",IFERROR(INDEX('Équipements'!$D$5:$D$304,MATCH(D718,'Équipements'!$A$5:$A$304,0)),""))</f>
        <v/>
      </c>
      <c r="G718" s="9">
        <f>IF(D718="","",IFERROR(INDEX('Équipements'!$K$5:$K$304,MATCH(D718,'Équipements'!$A$5:$A$304,0)),""))</f>
        <v/>
      </c>
      <c r="H718" s="7" t="inlineStr">
        <is>
          <t>Correctif</t>
        </is>
      </c>
      <c r="I718" s="7" t="n"/>
      <c r="J718" s="7" t="inlineStr">
        <is>
          <t>Automatisme</t>
        </is>
      </c>
      <c r="K718" s="7" t="inlineStr">
        <is>
          <t>P1 - Urgent</t>
        </is>
      </c>
      <c r="L718" s="7" t="inlineStr">
        <is>
          <t>Défaut collision robot</t>
        </is>
      </c>
      <c r="M718" s="7" t="inlineStr">
        <is>
          <t>Erreur opérateur</t>
        </is>
      </c>
      <c r="N718" s="7" t="inlineStr">
        <is>
          <t>Recalage TCP, remplacement buse et tube contact</t>
        </is>
      </c>
      <c r="O718" s="7" t="inlineStr">
        <is>
          <t>Julien Moreau</t>
        </is>
      </c>
      <c r="P718" s="65" t="n"/>
      <c r="Q718" s="75" t="n">
        <v>45972.82708333333</v>
      </c>
      <c r="R718" s="75" t="n">
        <v>45974.55889805493</v>
      </c>
      <c r="S718" s="76" t="n">
        <v>23.5</v>
      </c>
      <c r="T718" s="76" t="n">
        <v>4.75</v>
      </c>
      <c r="U718" s="70">
        <f>IF($A718="","",IFERROR(INDEX('Techniciens'!$F$5:$F$44,MATCH(O718,'Techniciens'!$B$5:$B$44,0)),'Paramètres'!$AA$10))</f>
        <v/>
      </c>
      <c r="V718" s="70">
        <f>IF($A718="","",IF(OR(AC718="Demandé",AC718="Planifié",AC718="Annulé"),0,N(T718)*N(U718)))</f>
        <v/>
      </c>
      <c r="W718" s="70">
        <f>IF($A718="","",SUMIFS('Mouvements stock'!$H$5:$H$3004,'Mouvements stock'!$I$5:$I$3004,$A718,'Mouvements stock'!$C$5:$C$3004,"Sortie")-SUMIFS('Mouvements stock'!$H$5:$H$3004,'Mouvements stock'!$I$5:$I$3004,$A718,'Mouvements stock'!$C$5:$C$3004,"Retour"))</f>
        <v/>
      </c>
      <c r="X718" s="66" t="n">
        <v>0</v>
      </c>
      <c r="Y718" s="66" t="n">
        <v>0</v>
      </c>
      <c r="Z718" s="7" t="n"/>
      <c r="AA718" s="70">
        <f>IF($A718="","",N(V718)+N(W718)+N(X718)+N(Y718))</f>
        <v/>
      </c>
      <c r="AB718" s="70">
        <f>IF($A718="","",N(S718)*'Paramètres'!$AA$9*IFERROR(INDEX('Paramètres'!$O$5:$O$7,MATCH(G718,'Paramètres'!$N$5:$N$7,0)),0))</f>
        <v/>
      </c>
      <c r="AC718" s="7" t="inlineStr">
        <is>
          <t>Clôturé</t>
        </is>
      </c>
      <c r="AD718" s="69">
        <f>IF(OR($A718="",Q718=""),"",(Q718-B718)*24)</f>
        <v/>
      </c>
      <c r="AE718" s="69">
        <f>IF(OR(Q718="",R718=""),"",(R718-Q718)*24)</f>
        <v/>
      </c>
      <c r="AF718" s="77">
        <f>IF(OR($A718="",B718=""),"",YEAR(B718))</f>
        <v/>
      </c>
      <c r="AG718" s="77">
        <f>IF(OR($A718="",B718=""),"",MONTH(B718))</f>
        <v/>
      </c>
    </row>
    <row r="719">
      <c r="A719" s="7" t="inlineStr">
        <is>
          <t>OT-2025-0715</t>
        </is>
      </c>
      <c r="B719" s="75" t="n">
        <v>45973.40972222222</v>
      </c>
      <c r="C719" s="7" t="inlineStr">
        <is>
          <t>Plan préventif</t>
        </is>
      </c>
      <c r="D719" s="7" t="inlineStr">
        <is>
          <t>EQ-SOU-005</t>
        </is>
      </c>
      <c r="E719" s="9">
        <f>IF(D719="","",IFERROR(INDEX('Équipements'!$B$5:$B$304,MATCH(D719,'Équipements'!$A$5:$A$304,0)),"Code inconnu"))</f>
        <v/>
      </c>
      <c r="F719" s="9">
        <f>IF(D719="","",IFERROR(INDEX('Équipements'!$D$5:$D$304,MATCH(D719,'Équipements'!$A$5:$A$304,0)),""))</f>
        <v/>
      </c>
      <c r="G719" s="9">
        <f>IF(D719="","",IFERROR(INDEX('Équipements'!$K$5:$K$304,MATCH(D719,'Équipements'!$A$5:$A$304,0)),""))</f>
        <v/>
      </c>
      <c r="H719" s="7" t="inlineStr">
        <is>
          <t>Préventif systématique</t>
        </is>
      </c>
      <c r="I719" s="7" t="inlineStr">
        <is>
          <t>GP-065</t>
        </is>
      </c>
      <c r="J719" s="7" t="inlineStr">
        <is>
          <t>Multi-technique</t>
        </is>
      </c>
      <c r="K719" s="7" t="inlineStr">
        <is>
          <t>P3 - Normale</t>
        </is>
      </c>
      <c r="L719" s="7" t="inlineStr">
        <is>
          <t>Entretien annuel complet</t>
        </is>
      </c>
      <c r="M719" s="7" t="n"/>
      <c r="N719" s="7" t="inlineStr">
        <is>
          <t>Gamme réalisée - RAS</t>
        </is>
      </c>
      <c r="O719" s="7" t="inlineStr">
        <is>
          <t>Antoine Mercier</t>
        </is>
      </c>
      <c r="P719" s="65" t="n">
        <v>45980</v>
      </c>
      <c r="Q719" s="75" t="n">
        <v>45980.42708333334</v>
      </c>
      <c r="R719" s="75" t="n">
        <v>45980.67708333334</v>
      </c>
      <c r="S719" s="76" t="n">
        <v>0</v>
      </c>
      <c r="T719" s="76" t="n">
        <v>2</v>
      </c>
      <c r="U719" s="70">
        <f>IF($A719="","",IFERROR(INDEX('Techniciens'!$F$5:$F$44,MATCH(O719,'Techniciens'!$B$5:$B$44,0)),'Paramètres'!$AA$10))</f>
        <v/>
      </c>
      <c r="V719" s="70">
        <f>IF($A719="","",IF(OR(AC719="Demandé",AC719="Planifié",AC719="Annulé"),0,N(T719)*N(U719)))</f>
        <v/>
      </c>
      <c r="W719" s="70">
        <f>IF($A719="","",SUMIFS('Mouvements stock'!$H$5:$H$3004,'Mouvements stock'!$I$5:$I$3004,$A719,'Mouvements stock'!$C$5:$C$3004,"Sortie")-SUMIFS('Mouvements stock'!$H$5:$H$3004,'Mouvements stock'!$I$5:$I$3004,$A719,'Mouvements stock'!$C$5:$C$3004,"Retour"))</f>
        <v/>
      </c>
      <c r="X719" s="66" t="n">
        <v>0</v>
      </c>
      <c r="Y719" s="66" t="n">
        <v>730</v>
      </c>
      <c r="Z719" s="7" t="inlineStr">
        <is>
          <t>Thermique &amp; Clim Services</t>
        </is>
      </c>
      <c r="AA719" s="70">
        <f>IF($A719="","",N(V719)+N(W719)+N(X719)+N(Y719))</f>
        <v/>
      </c>
      <c r="AB719" s="70">
        <f>IF($A719="","",N(S719)*'Paramètres'!$AA$9*IFERROR(INDEX('Paramètres'!$O$5:$O$7,MATCH(G719,'Paramètres'!$N$5:$N$7,0)),0))</f>
        <v/>
      </c>
      <c r="AC719" s="7" t="inlineStr">
        <is>
          <t>Clôturé</t>
        </is>
      </c>
      <c r="AD719" s="69">
        <f>IF(OR($A719="",Q719=""),"",(Q719-B719)*24)</f>
        <v/>
      </c>
      <c r="AE719" s="69">
        <f>IF(OR(Q719="",R719=""),"",(R719-Q719)*24)</f>
        <v/>
      </c>
      <c r="AF719" s="77">
        <f>IF(OR($A719="",B719=""),"",YEAR(B719))</f>
        <v/>
      </c>
      <c r="AG719" s="77">
        <f>IF(OR($A719="",B719=""),"",MONTH(B719))</f>
        <v/>
      </c>
    </row>
    <row r="720">
      <c r="A720" s="7" t="inlineStr">
        <is>
          <t>OT-2025-0716</t>
        </is>
      </c>
      <c r="B720" s="75" t="n">
        <v>45973.48958333334</v>
      </c>
      <c r="C720" s="7" t="inlineStr">
        <is>
          <t>Plan préventif</t>
        </is>
      </c>
      <c r="D720" s="7" t="inlineStr">
        <is>
          <t>EQ-LOG-001</t>
        </is>
      </c>
      <c r="E720" s="9">
        <f>IF(D720="","",IFERROR(INDEX('Équipements'!$B$5:$B$304,MATCH(D720,'Équipements'!$A$5:$A$304,0)),"Code inconnu"))</f>
        <v/>
      </c>
      <c r="F720" s="9">
        <f>IF(D720="","",IFERROR(INDEX('Équipements'!$D$5:$D$304,MATCH(D720,'Équipements'!$A$5:$A$304,0)),""))</f>
        <v/>
      </c>
      <c r="G720" s="9">
        <f>IF(D720="","",IFERROR(INDEX('Équipements'!$K$5:$K$304,MATCH(D720,'Équipements'!$A$5:$A$304,0)),""))</f>
        <v/>
      </c>
      <c r="H720" s="7" t="inlineStr">
        <is>
          <t>Préventif systématique</t>
        </is>
      </c>
      <c r="I720" s="7" t="inlineStr">
        <is>
          <t>GP-106</t>
        </is>
      </c>
      <c r="J720" s="7" t="inlineStr">
        <is>
          <t>Mécanique</t>
        </is>
      </c>
      <c r="K720" s="7" t="inlineStr">
        <is>
          <t>P3 - Normale</t>
        </is>
      </c>
      <c r="L720" s="7" t="inlineStr">
        <is>
          <t>Contrôle batterie, niveaux et bandages</t>
        </is>
      </c>
      <c r="M720" s="7" t="n"/>
      <c r="N720" s="7" t="inlineStr">
        <is>
          <t>Gamme réalisée - RAS</t>
        </is>
      </c>
      <c r="O720" s="7" t="inlineStr">
        <is>
          <t>Lucas Fontaine</t>
        </is>
      </c>
      <c r="P720" s="65" t="n">
        <v>45980.32291666666</v>
      </c>
      <c r="Q720" s="75" t="n">
        <v>45980.54166666666</v>
      </c>
      <c r="R720" s="75" t="n">
        <v>45980.57291666666</v>
      </c>
      <c r="S720" s="76" t="n">
        <v>0</v>
      </c>
      <c r="T720" s="76" t="n">
        <v>0.75</v>
      </c>
      <c r="U720" s="70">
        <f>IF($A720="","",IFERROR(INDEX('Techniciens'!$F$5:$F$44,MATCH(O720,'Techniciens'!$B$5:$B$44,0)),'Paramètres'!$AA$10))</f>
        <v/>
      </c>
      <c r="V720" s="70">
        <f>IF($A720="","",IF(OR(AC720="Demandé",AC720="Planifié",AC720="Annulé"),0,N(T720)*N(U720)))</f>
        <v/>
      </c>
      <c r="W720" s="70">
        <f>IF($A720="","",SUMIFS('Mouvements stock'!$H$5:$H$3004,'Mouvements stock'!$I$5:$I$3004,$A720,'Mouvements stock'!$C$5:$C$3004,"Sortie")-SUMIFS('Mouvements stock'!$H$5:$H$3004,'Mouvements stock'!$I$5:$I$3004,$A720,'Mouvements stock'!$C$5:$C$3004,"Retour"))</f>
        <v/>
      </c>
      <c r="X720" s="66" t="n">
        <v>0</v>
      </c>
      <c r="Y720" s="66" t="n">
        <v>0</v>
      </c>
      <c r="Z720" s="7" t="n"/>
      <c r="AA720" s="70">
        <f>IF($A720="","",N(V720)+N(W720)+N(X720)+N(Y720))</f>
        <v/>
      </c>
      <c r="AB720" s="70">
        <f>IF($A720="","",N(S720)*'Paramètres'!$AA$9*IFERROR(INDEX('Paramètres'!$O$5:$O$7,MATCH(G720,'Paramètres'!$N$5:$N$7,0)),0))</f>
        <v/>
      </c>
      <c r="AC720" s="7" t="inlineStr">
        <is>
          <t>Clôturé</t>
        </is>
      </c>
      <c r="AD720" s="69">
        <f>IF(OR($A720="",Q720=""),"",(Q720-B720)*24)</f>
        <v/>
      </c>
      <c r="AE720" s="69">
        <f>IF(OR(Q720="",R720=""),"",(R720-Q720)*24)</f>
        <v/>
      </c>
      <c r="AF720" s="77">
        <f>IF(OR($A720="",B720=""),"",YEAR(B720))</f>
        <v/>
      </c>
      <c r="AG720" s="77">
        <f>IF(OR($A720="",B720=""),"",MONTH(B720))</f>
        <v/>
      </c>
    </row>
    <row r="721">
      <c r="A721" s="7" t="inlineStr">
        <is>
          <t>OT-2025-0717</t>
        </is>
      </c>
      <c r="B721" s="75" t="n">
        <v>45973.77986111111</v>
      </c>
      <c r="C721" s="7" t="inlineStr">
        <is>
          <t>Marc Lefèvre</t>
        </is>
      </c>
      <c r="D721" s="7" t="inlineStr">
        <is>
          <t>EQ-UTI-001</t>
        </is>
      </c>
      <c r="E721" s="9">
        <f>IF(D721="","",IFERROR(INDEX('Équipements'!$B$5:$B$304,MATCH(D721,'Équipements'!$A$5:$A$304,0)),"Code inconnu"))</f>
        <v/>
      </c>
      <c r="F721" s="9">
        <f>IF(D721="","",IFERROR(INDEX('Équipements'!$D$5:$D$304,MATCH(D721,'Équipements'!$A$5:$A$304,0)),""))</f>
        <v/>
      </c>
      <c r="G721" s="9">
        <f>IF(D721="","",IFERROR(INDEX('Équipements'!$K$5:$K$304,MATCH(D721,'Équipements'!$A$5:$A$304,0)),""))</f>
        <v/>
      </c>
      <c r="H721" s="7" t="inlineStr">
        <is>
          <t>Correctif</t>
        </is>
      </c>
      <c r="I721" s="7" t="n"/>
      <c r="J721" s="7" t="inlineStr">
        <is>
          <t>Pneumatique</t>
        </is>
      </c>
      <c r="K721" s="7" t="inlineStr">
        <is>
          <t>P1 - Urgent</t>
        </is>
      </c>
      <c r="L721" s="7" t="inlineStr">
        <is>
          <t>Purgeur de condensats bloqué</t>
        </is>
      </c>
      <c r="M721" s="7" t="inlineStr">
        <is>
          <t>Encrassement</t>
        </is>
      </c>
      <c r="N721" s="7" t="inlineStr">
        <is>
          <t>Remplacement purgeur électronique</t>
        </is>
      </c>
      <c r="O721" s="7" t="inlineStr">
        <is>
          <t>Julien Moreau</t>
        </is>
      </c>
      <c r="P721" s="65" t="n"/>
      <c r="Q721" s="75" t="n">
        <v>45973.81944444445</v>
      </c>
      <c r="R721" s="75" t="n">
        <v>45974.68402777778</v>
      </c>
      <c r="S721" s="76" t="n">
        <v>21.7</v>
      </c>
      <c r="T721" s="76" t="n">
        <v>20.75</v>
      </c>
      <c r="U721" s="70">
        <f>IF($A721="","",IFERROR(INDEX('Techniciens'!$F$5:$F$44,MATCH(O721,'Techniciens'!$B$5:$B$44,0)),'Paramètres'!$AA$10))</f>
        <v/>
      </c>
      <c r="V721" s="70">
        <f>IF($A721="","",IF(OR(AC721="Demandé",AC721="Planifié",AC721="Annulé"),0,N(T721)*N(U721)))</f>
        <v/>
      </c>
      <c r="W721" s="70">
        <f>IF($A721="","",SUMIFS('Mouvements stock'!$H$5:$H$3004,'Mouvements stock'!$I$5:$I$3004,$A721,'Mouvements stock'!$C$5:$C$3004,"Sortie")-SUMIFS('Mouvements stock'!$H$5:$H$3004,'Mouvements stock'!$I$5:$I$3004,$A721,'Mouvements stock'!$C$5:$C$3004,"Retour"))</f>
        <v/>
      </c>
      <c r="X721" s="66" t="n">
        <v>0</v>
      </c>
      <c r="Y721" s="66" t="n">
        <v>0</v>
      </c>
      <c r="Z721" s="7" t="n"/>
      <c r="AA721" s="70">
        <f>IF($A721="","",N(V721)+N(W721)+N(X721)+N(Y721))</f>
        <v/>
      </c>
      <c r="AB721" s="70">
        <f>IF($A721="","",N(S721)*'Paramètres'!$AA$9*IFERROR(INDEX('Paramètres'!$O$5:$O$7,MATCH(G721,'Paramètres'!$N$5:$N$7,0)),0))</f>
        <v/>
      </c>
      <c r="AC721" s="7" t="inlineStr">
        <is>
          <t>Clôturé</t>
        </is>
      </c>
      <c r="AD721" s="69">
        <f>IF(OR($A721="",Q721=""),"",(Q721-B721)*24)</f>
        <v/>
      </c>
      <c r="AE721" s="69">
        <f>IF(OR(Q721="",R721=""),"",(R721-Q721)*24)</f>
        <v/>
      </c>
      <c r="AF721" s="77">
        <f>IF(OR($A721="",B721=""),"",YEAR(B721))</f>
        <v/>
      </c>
      <c r="AG721" s="77">
        <f>IF(OR($A721="",B721=""),"",MONTH(B721))</f>
        <v/>
      </c>
    </row>
    <row r="722">
      <c r="A722" s="7" t="inlineStr">
        <is>
          <t>OT-2025-0718</t>
        </is>
      </c>
      <c r="B722" s="75" t="n">
        <v>45973.80625</v>
      </c>
      <c r="C722" s="7" t="inlineStr">
        <is>
          <t>Opérateur peinture</t>
        </is>
      </c>
      <c r="D722" s="7" t="inlineStr">
        <is>
          <t>EQ-PEI-003</t>
        </is>
      </c>
      <c r="E722" s="9">
        <f>IF(D722="","",IFERROR(INDEX('Équipements'!$B$5:$B$304,MATCH(D722,'Équipements'!$A$5:$A$304,0)),"Code inconnu"))</f>
        <v/>
      </c>
      <c r="F722" s="9">
        <f>IF(D722="","",IFERROR(INDEX('Équipements'!$D$5:$D$304,MATCH(D722,'Équipements'!$A$5:$A$304,0)),""))</f>
        <v/>
      </c>
      <c r="G722" s="9">
        <f>IF(D722="","",IFERROR(INDEX('Équipements'!$K$5:$K$304,MATCH(D722,'Équipements'!$A$5:$A$304,0)),""))</f>
        <v/>
      </c>
      <c r="H722" s="7" t="inlineStr">
        <is>
          <t>Correctif</t>
        </is>
      </c>
      <c r="I722" s="7" t="n"/>
      <c r="J722" s="7" t="inlineStr">
        <is>
          <t>Pneumatique</t>
        </is>
      </c>
      <c r="K722" s="7" t="inlineStr">
        <is>
          <t>P3 - Normale</t>
        </is>
      </c>
      <c r="L722" s="7" t="inlineStr">
        <is>
          <t>Pistolet poudre : débit irrégulier</t>
        </is>
      </c>
      <c r="M722" s="7" t="inlineStr">
        <is>
          <t>Usure</t>
        </is>
      </c>
      <c r="N722" s="7" t="inlineStr">
        <is>
          <t>Remplacement injecteur et buse</t>
        </is>
      </c>
      <c r="O722" s="7" t="inlineStr">
        <is>
          <t>Julien Moreau</t>
        </is>
      </c>
      <c r="P722" s="65" t="n"/>
      <c r="Q722" s="75" t="n">
        <v>45974.66875</v>
      </c>
      <c r="R722" s="75" t="n">
        <v>45974.78333333333</v>
      </c>
      <c r="S722" s="76" t="n">
        <v>0</v>
      </c>
      <c r="T722" s="76" t="n">
        <v>2.75</v>
      </c>
      <c r="U722" s="70">
        <f>IF($A722="","",IFERROR(INDEX('Techniciens'!$F$5:$F$44,MATCH(O722,'Techniciens'!$B$5:$B$44,0)),'Paramètres'!$AA$10))</f>
        <v/>
      </c>
      <c r="V722" s="70">
        <f>IF($A722="","",IF(OR(AC722="Demandé",AC722="Planifié",AC722="Annulé"),0,N(T722)*N(U722)))</f>
        <v/>
      </c>
      <c r="W722" s="70">
        <f>IF($A722="","",SUMIFS('Mouvements stock'!$H$5:$H$3004,'Mouvements stock'!$I$5:$I$3004,$A722,'Mouvements stock'!$C$5:$C$3004,"Sortie")-SUMIFS('Mouvements stock'!$H$5:$H$3004,'Mouvements stock'!$I$5:$I$3004,$A722,'Mouvements stock'!$C$5:$C$3004,"Retour"))</f>
        <v/>
      </c>
      <c r="X722" s="66" t="n">
        <v>0</v>
      </c>
      <c r="Y722" s="66" t="n">
        <v>0</v>
      </c>
      <c r="Z722" s="7" t="n"/>
      <c r="AA722" s="70">
        <f>IF($A722="","",N(V722)+N(W722)+N(X722)+N(Y722))</f>
        <v/>
      </c>
      <c r="AB722" s="70">
        <f>IF($A722="","",N(S722)*'Paramètres'!$AA$9*IFERROR(INDEX('Paramètres'!$O$5:$O$7,MATCH(G722,'Paramètres'!$N$5:$N$7,0)),0))</f>
        <v/>
      </c>
      <c r="AC722" s="7" t="inlineStr">
        <is>
          <t>Clôturé</t>
        </is>
      </c>
      <c r="AD722" s="69">
        <f>IF(OR($A722="",Q722=""),"",(Q722-B722)*24)</f>
        <v/>
      </c>
      <c r="AE722" s="69">
        <f>IF(OR(Q722="",R722=""),"",(R722-Q722)*24)</f>
        <v/>
      </c>
      <c r="AF722" s="77">
        <f>IF(OR($A722="",B722=""),"",YEAR(B722))</f>
        <v/>
      </c>
      <c r="AG722" s="77">
        <f>IF(OR($A722="",B722=""),"",MONTH(B722))</f>
        <v/>
      </c>
    </row>
    <row r="723">
      <c r="A723" s="7" t="inlineStr">
        <is>
          <t>OT-2025-0719</t>
        </is>
      </c>
      <c r="B723" s="75" t="n">
        <v>45975.31041666667</v>
      </c>
      <c r="C723" s="7" t="inlineStr">
        <is>
          <t>Éric Laurent (chef d'atelier)</t>
        </is>
      </c>
      <c r="D723" s="7" t="inlineStr">
        <is>
          <t>EQ-USI-012</t>
        </is>
      </c>
      <c r="E723" s="9">
        <f>IF(D723="","",IFERROR(INDEX('Équipements'!$B$5:$B$304,MATCH(D723,'Équipements'!$A$5:$A$304,0)),"Code inconnu"))</f>
        <v/>
      </c>
      <c r="F723" s="9">
        <f>IF(D723="","",IFERROR(INDEX('Équipements'!$D$5:$D$304,MATCH(D723,'Équipements'!$A$5:$A$304,0)),""))</f>
        <v/>
      </c>
      <c r="G723" s="9">
        <f>IF(D723="","",IFERROR(INDEX('Équipements'!$K$5:$K$304,MATCH(D723,'Équipements'!$A$5:$A$304,0)),""))</f>
        <v/>
      </c>
      <c r="H723" s="7" t="inlineStr">
        <is>
          <t>Correctif</t>
        </is>
      </c>
      <c r="I723" s="7" t="n"/>
      <c r="J723" s="7" t="inlineStr">
        <is>
          <t>Automatisme</t>
        </is>
      </c>
      <c r="K723" s="7" t="inlineStr">
        <is>
          <t>P3 - Normale</t>
        </is>
      </c>
      <c r="L723" s="7" t="inlineStr">
        <is>
          <t>Perte de communication automate / robot</t>
        </is>
      </c>
      <c r="M723" s="7" t="inlineStr">
        <is>
          <t>Défaut logiciel/automate</t>
        </is>
      </c>
      <c r="N723" s="7" t="inlineStr">
        <is>
          <t>Remplacement câble réseau, redémarrage, sauvegarde</t>
        </is>
      </c>
      <c r="O723" s="7" t="inlineStr">
        <is>
          <t>Julien Moreau</t>
        </is>
      </c>
      <c r="P723" s="65" t="n"/>
      <c r="Q723" s="75" t="n">
        <v>45975.5</v>
      </c>
      <c r="R723" s="75" t="n">
        <v>45975.59375</v>
      </c>
      <c r="S723" s="76" t="n">
        <v>0</v>
      </c>
      <c r="T723" s="76" t="n">
        <v>2.25</v>
      </c>
      <c r="U723" s="70">
        <f>IF($A723="","",IFERROR(INDEX('Techniciens'!$F$5:$F$44,MATCH(O723,'Techniciens'!$B$5:$B$44,0)),'Paramètres'!$AA$10))</f>
        <v/>
      </c>
      <c r="V723" s="70">
        <f>IF($A723="","",IF(OR(AC723="Demandé",AC723="Planifié",AC723="Annulé"),0,N(T723)*N(U723)))</f>
        <v/>
      </c>
      <c r="W723" s="70">
        <f>IF($A723="","",SUMIFS('Mouvements stock'!$H$5:$H$3004,'Mouvements stock'!$I$5:$I$3004,$A723,'Mouvements stock'!$C$5:$C$3004,"Sortie")-SUMIFS('Mouvements stock'!$H$5:$H$3004,'Mouvements stock'!$I$5:$I$3004,$A723,'Mouvements stock'!$C$5:$C$3004,"Retour"))</f>
        <v/>
      </c>
      <c r="X723" s="66" t="n">
        <v>0</v>
      </c>
      <c r="Y723" s="66" t="n">
        <v>0</v>
      </c>
      <c r="Z723" s="7" t="n"/>
      <c r="AA723" s="70">
        <f>IF($A723="","",N(V723)+N(W723)+N(X723)+N(Y723))</f>
        <v/>
      </c>
      <c r="AB723" s="70">
        <f>IF($A723="","",N(S723)*'Paramètres'!$AA$9*IFERROR(INDEX('Paramètres'!$O$5:$O$7,MATCH(G723,'Paramètres'!$N$5:$N$7,0)),0))</f>
        <v/>
      </c>
      <c r="AC723" s="7" t="inlineStr">
        <is>
          <t>Clôturé</t>
        </is>
      </c>
      <c r="AD723" s="69">
        <f>IF(OR($A723="",Q723=""),"",(Q723-B723)*24)</f>
        <v/>
      </c>
      <c r="AE723" s="69">
        <f>IF(OR(Q723="",R723=""),"",(R723-Q723)*24)</f>
        <v/>
      </c>
      <c r="AF723" s="77">
        <f>IF(OR($A723="",B723=""),"",YEAR(B723))</f>
        <v/>
      </c>
      <c r="AG723" s="77">
        <f>IF(OR($A723="",B723=""),"",MONTH(B723))</f>
        <v/>
      </c>
    </row>
    <row r="724">
      <c r="A724" s="7" t="inlineStr">
        <is>
          <t>OT-2025-0720</t>
        </is>
      </c>
      <c r="B724" s="75" t="n">
        <v>45975.58541666667</v>
      </c>
      <c r="C724" s="7" t="inlineStr">
        <is>
          <t>Opérateur peinture</t>
        </is>
      </c>
      <c r="D724" s="7" t="inlineStr">
        <is>
          <t>EQ-PEI-005</t>
        </is>
      </c>
      <c r="E724" s="9">
        <f>IF(D724="","",IFERROR(INDEX('Équipements'!$B$5:$B$304,MATCH(D724,'Équipements'!$A$5:$A$304,0)),"Code inconnu"))</f>
        <v/>
      </c>
      <c r="F724" s="9">
        <f>IF(D724="","",IFERROR(INDEX('Équipements'!$D$5:$D$304,MATCH(D724,'Équipements'!$A$5:$A$304,0)),""))</f>
        <v/>
      </c>
      <c r="G724" s="9">
        <f>IF(D724="","",IFERROR(INDEX('Équipements'!$K$5:$K$304,MATCH(D724,'Équipements'!$A$5:$A$304,0)),""))</f>
        <v/>
      </c>
      <c r="H724" s="7" t="inlineStr">
        <is>
          <t>Correctif</t>
        </is>
      </c>
      <c r="I724" s="7" t="n"/>
      <c r="J724" s="7" t="inlineStr">
        <is>
          <t>Électrique</t>
        </is>
      </c>
      <c r="K724" s="7" t="inlineStr">
        <is>
          <t>P4 - Basse</t>
        </is>
      </c>
      <c r="L724" s="7" t="inlineStr">
        <is>
          <t>Température de bain hors tolérance</t>
        </is>
      </c>
      <c r="M724" s="7" t="inlineStr">
        <is>
          <t>Défaut capteur</t>
        </is>
      </c>
      <c r="N724" s="7" t="inlineStr">
        <is>
          <t>Remplacement sonde PT100</t>
        </is>
      </c>
      <c r="O724" s="7" t="inlineStr">
        <is>
          <t>Thomas Petit</t>
        </is>
      </c>
      <c r="P724" s="65" t="n"/>
      <c r="Q724" s="75" t="n">
        <v>45980.82916666667</v>
      </c>
      <c r="R724" s="75" t="n">
        <v>45980.9125</v>
      </c>
      <c r="S724" s="76" t="n">
        <v>0</v>
      </c>
      <c r="T724" s="76" t="n">
        <v>2</v>
      </c>
      <c r="U724" s="70">
        <f>IF($A724="","",IFERROR(INDEX('Techniciens'!$F$5:$F$44,MATCH(O724,'Techniciens'!$B$5:$B$44,0)),'Paramètres'!$AA$10))</f>
        <v/>
      </c>
      <c r="V724" s="70">
        <f>IF($A724="","",IF(OR(AC724="Demandé",AC724="Planifié",AC724="Annulé"),0,N(T724)*N(U724)))</f>
        <v/>
      </c>
      <c r="W724" s="70">
        <f>IF($A724="","",SUMIFS('Mouvements stock'!$H$5:$H$3004,'Mouvements stock'!$I$5:$I$3004,$A724,'Mouvements stock'!$C$5:$C$3004,"Sortie")-SUMIFS('Mouvements stock'!$H$5:$H$3004,'Mouvements stock'!$I$5:$I$3004,$A724,'Mouvements stock'!$C$5:$C$3004,"Retour"))</f>
        <v/>
      </c>
      <c r="X724" s="66" t="n">
        <v>0</v>
      </c>
      <c r="Y724" s="66" t="n">
        <v>0</v>
      </c>
      <c r="Z724" s="7" t="n"/>
      <c r="AA724" s="70">
        <f>IF($A724="","",N(V724)+N(W724)+N(X724)+N(Y724))</f>
        <v/>
      </c>
      <c r="AB724" s="70">
        <f>IF($A724="","",N(S724)*'Paramètres'!$AA$9*IFERROR(INDEX('Paramètres'!$O$5:$O$7,MATCH(G724,'Paramètres'!$N$5:$N$7,0)),0))</f>
        <v/>
      </c>
      <c r="AC724" s="7" t="inlineStr">
        <is>
          <t>Clôturé</t>
        </is>
      </c>
      <c r="AD724" s="69">
        <f>IF(OR($A724="",Q724=""),"",(Q724-B724)*24)</f>
        <v/>
      </c>
      <c r="AE724" s="69">
        <f>IF(OR(Q724="",R724=""),"",(R724-Q724)*24)</f>
        <v/>
      </c>
      <c r="AF724" s="77">
        <f>IF(OR($A724="",B724=""),"",YEAR(B724))</f>
        <v/>
      </c>
      <c r="AG724" s="77">
        <f>IF(OR($A724="",B724=""),"",MONTH(B724))</f>
        <v/>
      </c>
    </row>
    <row r="725">
      <c r="A725" s="7" t="inlineStr">
        <is>
          <t>OT-2025-0721</t>
        </is>
      </c>
      <c r="B725" s="75" t="n">
        <v>45978.34722222222</v>
      </c>
      <c r="C725" s="7" t="inlineStr">
        <is>
          <t>Plan préventif</t>
        </is>
      </c>
      <c r="D725" s="7" t="inlineStr">
        <is>
          <t>EQ-USI-007</t>
        </is>
      </c>
      <c r="E725" s="9">
        <f>IF(D725="","",IFERROR(INDEX('Équipements'!$B$5:$B$304,MATCH(D725,'Équipements'!$A$5:$A$304,0)),"Code inconnu"))</f>
        <v/>
      </c>
      <c r="F725" s="9">
        <f>IF(D725="","",IFERROR(INDEX('Équipements'!$D$5:$D$304,MATCH(D725,'Équipements'!$A$5:$A$304,0)),""))</f>
        <v/>
      </c>
      <c r="G725" s="9">
        <f>IF(D725="","",IFERROR(INDEX('Équipements'!$K$5:$K$304,MATCH(D725,'Équipements'!$A$5:$A$304,0)),""))</f>
        <v/>
      </c>
      <c r="H725" s="7" t="inlineStr">
        <is>
          <t>Préventif systématique</t>
        </is>
      </c>
      <c r="I725" s="7" t="inlineStr">
        <is>
          <t>GP-025</t>
        </is>
      </c>
      <c r="J725" s="7" t="inlineStr">
        <is>
          <t>Mécanique</t>
        </is>
      </c>
      <c r="K725" s="7" t="inlineStr">
        <is>
          <t>P3 - Normale</t>
        </is>
      </c>
      <c r="L725" s="7" t="inlineStr">
        <is>
          <t>Contrôle niveaux, nettoyage filtres et bac à copeaux</t>
        </is>
      </c>
      <c r="M725" s="7" t="n"/>
      <c r="N725" s="7" t="inlineStr">
        <is>
          <t>Gamme réalisée - RAS</t>
        </is>
      </c>
      <c r="O725" s="7" t="inlineStr">
        <is>
          <t>Lucas Fontaine</t>
        </is>
      </c>
      <c r="P725" s="65" t="n">
        <v>45985.47916666666</v>
      </c>
      <c r="Q725" s="75" t="n">
        <v>45985.42708333334</v>
      </c>
      <c r="R725" s="75" t="n">
        <v>45985.47916666666</v>
      </c>
      <c r="S725" s="76" t="n">
        <v>0</v>
      </c>
      <c r="T725" s="76" t="n">
        <v>1.25</v>
      </c>
      <c r="U725" s="70">
        <f>IF($A725="","",IFERROR(INDEX('Techniciens'!$F$5:$F$44,MATCH(O725,'Techniciens'!$B$5:$B$44,0)),'Paramètres'!$AA$10))</f>
        <v/>
      </c>
      <c r="V725" s="70">
        <f>IF($A725="","",IF(OR(AC725="Demandé",AC725="Planifié",AC725="Annulé"),0,N(T725)*N(U725)))</f>
        <v/>
      </c>
      <c r="W725" s="70">
        <f>IF($A725="","",SUMIFS('Mouvements stock'!$H$5:$H$3004,'Mouvements stock'!$I$5:$I$3004,$A725,'Mouvements stock'!$C$5:$C$3004,"Sortie")-SUMIFS('Mouvements stock'!$H$5:$H$3004,'Mouvements stock'!$I$5:$I$3004,$A725,'Mouvements stock'!$C$5:$C$3004,"Retour"))</f>
        <v/>
      </c>
      <c r="X725" s="66" t="n">
        <v>0</v>
      </c>
      <c r="Y725" s="66" t="n">
        <v>0</v>
      </c>
      <c r="Z725" s="7" t="n"/>
      <c r="AA725" s="70">
        <f>IF($A725="","",N(V725)+N(W725)+N(X725)+N(Y725))</f>
        <v/>
      </c>
      <c r="AB725" s="70">
        <f>IF($A725="","",N(S725)*'Paramètres'!$AA$9*IFERROR(INDEX('Paramètres'!$O$5:$O$7,MATCH(G725,'Paramètres'!$N$5:$N$7,0)),0))</f>
        <v/>
      </c>
      <c r="AC725" s="7" t="inlineStr">
        <is>
          <t>Clôturé</t>
        </is>
      </c>
      <c r="AD725" s="69">
        <f>IF(OR($A725="",Q725=""),"",(Q725-B725)*24)</f>
        <v/>
      </c>
      <c r="AE725" s="69">
        <f>IF(OR(Q725="",R725=""),"",(R725-Q725)*24)</f>
        <v/>
      </c>
      <c r="AF725" s="77">
        <f>IF(OR($A725="",B725=""),"",YEAR(B725))</f>
        <v/>
      </c>
      <c r="AG725" s="77">
        <f>IF(OR($A725="",B725=""),"",MONTH(B725))</f>
        <v/>
      </c>
    </row>
    <row r="726">
      <c r="A726" s="7" t="inlineStr">
        <is>
          <t>OT-2025-0722</t>
        </is>
      </c>
      <c r="B726" s="75" t="n">
        <v>45978.375</v>
      </c>
      <c r="C726" s="7" t="inlineStr">
        <is>
          <t>Plan préventif</t>
        </is>
      </c>
      <c r="D726" s="7" t="inlineStr">
        <is>
          <t>EQ-USI-003</t>
        </is>
      </c>
      <c r="E726" s="9">
        <f>IF(D726="","",IFERROR(INDEX('Équipements'!$B$5:$B$304,MATCH(D726,'Équipements'!$A$5:$A$304,0)),"Code inconnu"))</f>
        <v/>
      </c>
      <c r="F726" s="9">
        <f>IF(D726="","",IFERROR(INDEX('Équipements'!$D$5:$D$304,MATCH(D726,'Équipements'!$A$5:$A$304,0)),""))</f>
        <v/>
      </c>
      <c r="G726" s="9">
        <f>IF(D726="","",IFERROR(INDEX('Équipements'!$K$5:$K$304,MATCH(D726,'Équipements'!$A$5:$A$304,0)),""))</f>
        <v/>
      </c>
      <c r="H726" s="7" t="inlineStr">
        <is>
          <t>Préventif systématique</t>
        </is>
      </c>
      <c r="I726" s="7" t="inlineStr">
        <is>
          <t>GP-010</t>
        </is>
      </c>
      <c r="J726" s="7" t="inlineStr">
        <is>
          <t>Mécanique</t>
        </is>
      </c>
      <c r="K726" s="7" t="inlineStr">
        <is>
          <t>P3 - Normale</t>
        </is>
      </c>
      <c r="L726" s="7" t="inlineStr">
        <is>
          <t>Contrôle géométrie, jeux et graissage des axes</t>
        </is>
      </c>
      <c r="M726" s="7" t="n"/>
      <c r="N726" s="7" t="inlineStr">
        <is>
          <t>Gamme réalisée - RAS</t>
        </is>
      </c>
      <c r="O726" s="7" t="inlineStr">
        <is>
          <t>Antoine Mercier</t>
        </is>
      </c>
      <c r="P726" s="65" t="n">
        <v>45985.80555555555</v>
      </c>
      <c r="Q726" s="75" t="n">
        <v>45985.59722222222</v>
      </c>
      <c r="R726" s="75" t="n">
        <v>45985.82638888889</v>
      </c>
      <c r="S726" s="76" t="n">
        <v>2.8</v>
      </c>
      <c r="T726" s="76" t="n">
        <v>5.5</v>
      </c>
      <c r="U726" s="70">
        <f>IF($A726="","",IFERROR(INDEX('Techniciens'!$F$5:$F$44,MATCH(O726,'Techniciens'!$B$5:$B$44,0)),'Paramètres'!$AA$10))</f>
        <v/>
      </c>
      <c r="V726" s="70">
        <f>IF($A726="","",IF(OR(AC726="Demandé",AC726="Planifié",AC726="Annulé"),0,N(T726)*N(U726)))</f>
        <v/>
      </c>
      <c r="W726" s="70">
        <f>IF($A726="","",SUMIFS('Mouvements stock'!$H$5:$H$3004,'Mouvements stock'!$I$5:$I$3004,$A726,'Mouvements stock'!$C$5:$C$3004,"Sortie")-SUMIFS('Mouvements stock'!$H$5:$H$3004,'Mouvements stock'!$I$5:$I$3004,$A726,'Mouvements stock'!$C$5:$C$3004,"Retour"))</f>
        <v/>
      </c>
      <c r="X726" s="66" t="n">
        <v>0</v>
      </c>
      <c r="Y726" s="66" t="n">
        <v>0</v>
      </c>
      <c r="Z726" s="7" t="n"/>
      <c r="AA726" s="70">
        <f>IF($A726="","",N(V726)+N(W726)+N(X726)+N(Y726))</f>
        <v/>
      </c>
      <c r="AB726" s="70">
        <f>IF($A726="","",N(S726)*'Paramètres'!$AA$9*IFERROR(INDEX('Paramètres'!$O$5:$O$7,MATCH(G726,'Paramètres'!$N$5:$N$7,0)),0))</f>
        <v/>
      </c>
      <c r="AC726" s="7" t="inlineStr">
        <is>
          <t>Clôturé</t>
        </is>
      </c>
      <c r="AD726" s="69">
        <f>IF(OR($A726="",Q726=""),"",(Q726-B726)*24)</f>
        <v/>
      </c>
      <c r="AE726" s="69">
        <f>IF(OR(Q726="",R726=""),"",(R726-Q726)*24)</f>
        <v/>
      </c>
      <c r="AF726" s="77">
        <f>IF(OR($A726="",B726=""),"",YEAR(B726))</f>
        <v/>
      </c>
      <c r="AG726" s="77">
        <f>IF(OR($A726="",B726=""),"",MONTH(B726))</f>
        <v/>
      </c>
    </row>
    <row r="727">
      <c r="A727" s="7" t="inlineStr">
        <is>
          <t>OT-2025-0723</t>
        </is>
      </c>
      <c r="B727" s="75" t="n">
        <v>45978.41875</v>
      </c>
      <c r="C727" s="7" t="inlineStr">
        <is>
          <t>Opérateur peinture</t>
        </is>
      </c>
      <c r="D727" s="7" t="inlineStr">
        <is>
          <t>EQ-PEI-001</t>
        </is>
      </c>
      <c r="E727" s="9">
        <f>IF(D727="","",IFERROR(INDEX('Équipements'!$B$5:$B$304,MATCH(D727,'Équipements'!$A$5:$A$304,0)),"Code inconnu"))</f>
        <v/>
      </c>
      <c r="F727" s="9">
        <f>IF(D727="","",IFERROR(INDEX('Équipements'!$D$5:$D$304,MATCH(D727,'Équipements'!$A$5:$A$304,0)),""))</f>
        <v/>
      </c>
      <c r="G727" s="9">
        <f>IF(D727="","",IFERROR(INDEX('Équipements'!$K$5:$K$304,MATCH(D727,'Équipements'!$A$5:$A$304,0)),""))</f>
        <v/>
      </c>
      <c r="H727" s="7" t="inlineStr">
        <is>
          <t>Correctif</t>
        </is>
      </c>
      <c r="I727" s="7" t="n"/>
      <c r="J727" s="7" t="inlineStr">
        <is>
          <t>Pneumatique</t>
        </is>
      </c>
      <c r="K727" s="7" t="inlineStr">
        <is>
          <t>P2 - Haute</t>
        </is>
      </c>
      <c r="L727" s="7" t="inlineStr">
        <is>
          <t>Pistolet poudre : débit irrégulier</t>
        </is>
      </c>
      <c r="M727" s="7" t="inlineStr">
        <is>
          <t>Usure</t>
        </is>
      </c>
      <c r="N727" s="7" t="inlineStr">
        <is>
          <t>Remplacement injecteur et buse</t>
        </is>
      </c>
      <c r="O727" s="7" t="inlineStr">
        <is>
          <t>Julien Moreau</t>
        </is>
      </c>
      <c r="P727" s="65" t="n"/>
      <c r="Q727" s="75" t="n">
        <v>45978.55</v>
      </c>
      <c r="R727" s="75" t="n">
        <v>45979.3</v>
      </c>
      <c r="S727" s="76" t="n">
        <v>21.2</v>
      </c>
      <c r="T727" s="76" t="n">
        <v>18</v>
      </c>
      <c r="U727" s="70">
        <f>IF($A727="","",IFERROR(INDEX('Techniciens'!$F$5:$F$44,MATCH(O727,'Techniciens'!$B$5:$B$44,0)),'Paramètres'!$AA$10))</f>
        <v/>
      </c>
      <c r="V727" s="70">
        <f>IF($A727="","",IF(OR(AC727="Demandé",AC727="Planifié",AC727="Annulé"),0,N(T727)*N(U727)))</f>
        <v/>
      </c>
      <c r="W727" s="70">
        <f>IF($A727="","",SUMIFS('Mouvements stock'!$H$5:$H$3004,'Mouvements stock'!$I$5:$I$3004,$A727,'Mouvements stock'!$C$5:$C$3004,"Sortie")-SUMIFS('Mouvements stock'!$H$5:$H$3004,'Mouvements stock'!$I$5:$I$3004,$A727,'Mouvements stock'!$C$5:$C$3004,"Retour"))</f>
        <v/>
      </c>
      <c r="X727" s="66" t="n">
        <v>0</v>
      </c>
      <c r="Y727" s="66" t="n">
        <v>0</v>
      </c>
      <c r="Z727" s="7" t="n"/>
      <c r="AA727" s="70">
        <f>IF($A727="","",N(V727)+N(W727)+N(X727)+N(Y727))</f>
        <v/>
      </c>
      <c r="AB727" s="70">
        <f>IF($A727="","",N(S727)*'Paramètres'!$AA$9*IFERROR(INDEX('Paramètres'!$O$5:$O$7,MATCH(G727,'Paramètres'!$N$5:$N$7,0)),0))</f>
        <v/>
      </c>
      <c r="AC727" s="7" t="inlineStr">
        <is>
          <t>Clôturé</t>
        </is>
      </c>
      <c r="AD727" s="69">
        <f>IF(OR($A727="",Q727=""),"",(Q727-B727)*24)</f>
        <v/>
      </c>
      <c r="AE727" s="69">
        <f>IF(OR(Q727="",R727=""),"",(R727-Q727)*24)</f>
        <v/>
      </c>
      <c r="AF727" s="77">
        <f>IF(OR($A727="",B727=""),"",YEAR(B727))</f>
        <v/>
      </c>
      <c r="AG727" s="77">
        <f>IF(OR($A727="",B727=""),"",MONTH(B727))</f>
        <v/>
      </c>
    </row>
    <row r="728">
      <c r="A728" s="7" t="inlineStr">
        <is>
          <t>OT-2025-0724</t>
        </is>
      </c>
      <c r="B728" s="75" t="n">
        <v>45978.43055555555</v>
      </c>
      <c r="C728" s="7" t="inlineStr">
        <is>
          <t>Plan préventif</t>
        </is>
      </c>
      <c r="D728" s="7" t="inlineStr">
        <is>
          <t>EQ-LOG-010</t>
        </is>
      </c>
      <c r="E728" s="9">
        <f>IF(D728="","",IFERROR(INDEX('Équipements'!$B$5:$B$304,MATCH(D728,'Équipements'!$A$5:$A$304,0)),"Code inconnu"))</f>
        <v/>
      </c>
      <c r="F728" s="9">
        <f>IF(D728="","",IFERROR(INDEX('Équipements'!$D$5:$D$304,MATCH(D728,'Équipements'!$A$5:$A$304,0)),""))</f>
        <v/>
      </c>
      <c r="G728" s="9">
        <f>IF(D728="","",IFERROR(INDEX('Équipements'!$K$5:$K$304,MATCH(D728,'Équipements'!$A$5:$A$304,0)),""))</f>
        <v/>
      </c>
      <c r="H728" s="7" t="inlineStr">
        <is>
          <t>Préventif systématique</t>
        </is>
      </c>
      <c r="I728" s="7" t="inlineStr">
        <is>
          <t>GP-121</t>
        </is>
      </c>
      <c r="J728" s="7" t="inlineStr">
        <is>
          <t>Bâtiment</t>
        </is>
      </c>
      <c r="K728" s="7" t="inlineStr">
        <is>
          <t>P3 - Normale</t>
        </is>
      </c>
      <c r="L728" s="7" t="inlineStr">
        <is>
          <t>Graissage et contrôle des sécurités</t>
        </is>
      </c>
      <c r="M728" s="7" t="n"/>
      <c r="N728" s="7" t="inlineStr">
        <is>
          <t>Gamme réalisée - usure constatée, à surveiller</t>
        </is>
      </c>
      <c r="O728" s="7" t="inlineStr">
        <is>
          <t>Karim Benali</t>
        </is>
      </c>
      <c r="P728" s="65" t="n">
        <v>45985.60069444445</v>
      </c>
      <c r="Q728" s="75" t="n">
        <v>45985.29861111111</v>
      </c>
      <c r="R728" s="75" t="n">
        <v>45985.38194444445</v>
      </c>
      <c r="S728" s="76" t="n">
        <v>0</v>
      </c>
      <c r="T728" s="76" t="n">
        <v>2</v>
      </c>
      <c r="U728" s="70">
        <f>IF($A728="","",IFERROR(INDEX('Techniciens'!$F$5:$F$44,MATCH(O728,'Techniciens'!$B$5:$B$44,0)),'Paramètres'!$AA$10))</f>
        <v/>
      </c>
      <c r="V728" s="70">
        <f>IF($A728="","",IF(OR(AC728="Demandé",AC728="Planifié",AC728="Annulé"),0,N(T728)*N(U728)))</f>
        <v/>
      </c>
      <c r="W728" s="70">
        <f>IF($A728="","",SUMIFS('Mouvements stock'!$H$5:$H$3004,'Mouvements stock'!$I$5:$I$3004,$A728,'Mouvements stock'!$C$5:$C$3004,"Sortie")-SUMIFS('Mouvements stock'!$H$5:$H$3004,'Mouvements stock'!$I$5:$I$3004,$A728,'Mouvements stock'!$C$5:$C$3004,"Retour"))</f>
        <v/>
      </c>
      <c r="X728" s="66" t="n">
        <v>0</v>
      </c>
      <c r="Y728" s="66" t="n">
        <v>0</v>
      </c>
      <c r="Z728" s="7" t="n"/>
      <c r="AA728" s="70">
        <f>IF($A728="","",N(V728)+N(W728)+N(X728)+N(Y728))</f>
        <v/>
      </c>
      <c r="AB728" s="70">
        <f>IF($A728="","",N(S728)*'Paramètres'!$AA$9*IFERROR(INDEX('Paramètres'!$O$5:$O$7,MATCH(G728,'Paramètres'!$N$5:$N$7,0)),0))</f>
        <v/>
      </c>
      <c r="AC728" s="7" t="inlineStr">
        <is>
          <t>Clôturé</t>
        </is>
      </c>
      <c r="AD728" s="69">
        <f>IF(OR($A728="",Q728=""),"",(Q728-B728)*24)</f>
        <v/>
      </c>
      <c r="AE728" s="69">
        <f>IF(OR(Q728="",R728=""),"",(R728-Q728)*24)</f>
        <v/>
      </c>
      <c r="AF728" s="77">
        <f>IF(OR($A728="",B728=""),"",YEAR(B728))</f>
        <v/>
      </c>
      <c r="AG728" s="77">
        <f>IF(OR($A728="",B728=""),"",MONTH(B728))</f>
        <v/>
      </c>
    </row>
    <row r="729">
      <c r="A729" s="7" t="inlineStr">
        <is>
          <t>OT-2025-0725</t>
        </is>
      </c>
      <c r="B729" s="75" t="n">
        <v>45978.45833333334</v>
      </c>
      <c r="C729" s="7" t="inlineStr">
        <is>
          <t>Plan préventif</t>
        </is>
      </c>
      <c r="D729" s="7" t="inlineStr">
        <is>
          <t>EQ-TOL-004</t>
        </is>
      </c>
      <c r="E729" s="9">
        <f>IF(D729="","",IFERROR(INDEX('Équipements'!$B$5:$B$304,MATCH(D729,'Équipements'!$A$5:$A$304,0)),"Code inconnu"))</f>
        <v/>
      </c>
      <c r="F729" s="9">
        <f>IF(D729="","",IFERROR(INDEX('Équipements'!$D$5:$D$304,MATCH(D729,'Équipements'!$A$5:$A$304,0)),""))</f>
        <v/>
      </c>
      <c r="G729" s="9">
        <f>IF(D729="","",IFERROR(INDEX('Équipements'!$K$5:$K$304,MATCH(D729,'Équipements'!$A$5:$A$304,0)),""))</f>
        <v/>
      </c>
      <c r="H729" s="7" t="inlineStr">
        <is>
          <t>Préventif systématique</t>
        </is>
      </c>
      <c r="I729" s="7" t="inlineStr">
        <is>
          <t>GP-047</t>
        </is>
      </c>
      <c r="J729" s="7" t="inlineStr">
        <is>
          <t>Hydraulique</t>
        </is>
      </c>
      <c r="K729" s="7" t="inlineStr">
        <is>
          <t>P3 - Normale</t>
        </is>
      </c>
      <c r="L729" s="7" t="inlineStr">
        <is>
          <t>Contrôle hydraulique : fuites, niveaux, pressions</t>
        </is>
      </c>
      <c r="M729" s="7" t="n"/>
      <c r="N729" s="7" t="inlineStr">
        <is>
          <t>Gamme réalisée - RAS</t>
        </is>
      </c>
      <c r="O729" s="7" t="inlineStr">
        <is>
          <t>Antoine Mercier</t>
        </is>
      </c>
      <c r="P729" s="65" t="n">
        <v>45985.5625</v>
      </c>
      <c r="Q729" s="75" t="n">
        <v>45985.31944444445</v>
      </c>
      <c r="R729" s="75" t="n">
        <v>45985.41319444445</v>
      </c>
      <c r="S729" s="76" t="n">
        <v>1.1</v>
      </c>
      <c r="T729" s="76" t="n">
        <v>2.25</v>
      </c>
      <c r="U729" s="70">
        <f>IF($A729="","",IFERROR(INDEX('Techniciens'!$F$5:$F$44,MATCH(O729,'Techniciens'!$B$5:$B$44,0)),'Paramètres'!$AA$10))</f>
        <v/>
      </c>
      <c r="V729" s="70">
        <f>IF($A729="","",IF(OR(AC729="Demandé",AC729="Planifié",AC729="Annulé"),0,N(T729)*N(U729)))</f>
        <v/>
      </c>
      <c r="W729" s="70">
        <f>IF($A729="","",SUMIFS('Mouvements stock'!$H$5:$H$3004,'Mouvements stock'!$I$5:$I$3004,$A729,'Mouvements stock'!$C$5:$C$3004,"Sortie")-SUMIFS('Mouvements stock'!$H$5:$H$3004,'Mouvements stock'!$I$5:$I$3004,$A729,'Mouvements stock'!$C$5:$C$3004,"Retour"))</f>
        <v/>
      </c>
      <c r="X729" s="66" t="n">
        <v>0</v>
      </c>
      <c r="Y729" s="66" t="n">
        <v>0</v>
      </c>
      <c r="Z729" s="7" t="n"/>
      <c r="AA729" s="70">
        <f>IF($A729="","",N(V729)+N(W729)+N(X729)+N(Y729))</f>
        <v/>
      </c>
      <c r="AB729" s="70">
        <f>IF($A729="","",N(S729)*'Paramètres'!$AA$9*IFERROR(INDEX('Paramètres'!$O$5:$O$7,MATCH(G729,'Paramètres'!$N$5:$N$7,0)),0))</f>
        <v/>
      </c>
      <c r="AC729" s="7" t="inlineStr">
        <is>
          <t>Clôturé</t>
        </is>
      </c>
      <c r="AD729" s="69">
        <f>IF(OR($A729="",Q729=""),"",(Q729-B729)*24)</f>
        <v/>
      </c>
      <c r="AE729" s="69">
        <f>IF(OR(Q729="",R729=""),"",(R729-Q729)*24)</f>
        <v/>
      </c>
      <c r="AF729" s="77">
        <f>IF(OR($A729="",B729=""),"",YEAR(B729))</f>
        <v/>
      </c>
      <c r="AG729" s="77">
        <f>IF(OR($A729="",B729=""),"",MONTH(B729))</f>
        <v/>
      </c>
    </row>
    <row r="730">
      <c r="A730" s="7" t="inlineStr">
        <is>
          <t>OT-2025-0726</t>
        </is>
      </c>
      <c r="B730" s="75" t="n">
        <v>45979.40625</v>
      </c>
      <c r="C730" s="7" t="inlineStr">
        <is>
          <t>Plan préventif</t>
        </is>
      </c>
      <c r="D730" s="7" t="inlineStr">
        <is>
          <t>EQ-USI-002</t>
        </is>
      </c>
      <c r="E730" s="9">
        <f>IF(D730="","",IFERROR(INDEX('Équipements'!$B$5:$B$304,MATCH(D730,'Équipements'!$A$5:$A$304,0)),"Code inconnu"))</f>
        <v/>
      </c>
      <c r="F730" s="9">
        <f>IF(D730="","",IFERROR(INDEX('Équipements'!$D$5:$D$304,MATCH(D730,'Équipements'!$A$5:$A$304,0)),""))</f>
        <v/>
      </c>
      <c r="G730" s="9">
        <f>IF(D730="","",IFERROR(INDEX('Équipements'!$K$5:$K$304,MATCH(D730,'Équipements'!$A$5:$A$304,0)),""))</f>
        <v/>
      </c>
      <c r="H730" s="7" t="inlineStr">
        <is>
          <t>Préventif systématique</t>
        </is>
      </c>
      <c r="I730" s="7" t="inlineStr">
        <is>
          <t>GP-005</t>
        </is>
      </c>
      <c r="J730" s="7" t="inlineStr">
        <is>
          <t>Mécanique</t>
        </is>
      </c>
      <c r="K730" s="7" t="inlineStr">
        <is>
          <t>P3 - Normale</t>
        </is>
      </c>
      <c r="L730" s="7" t="inlineStr">
        <is>
          <t>Contrôle niveaux, nettoyage filtres et bac à copeaux</t>
        </is>
      </c>
      <c r="M730" s="7" t="n"/>
      <c r="N730" s="7" t="inlineStr">
        <is>
          <t>Gamme réalisée - RAS</t>
        </is>
      </c>
      <c r="O730" s="7" t="inlineStr">
        <is>
          <t>Antoine Mercier</t>
        </is>
      </c>
      <c r="P730" s="65" t="n">
        <v>45986.62152777778</v>
      </c>
      <c r="Q730" s="75" t="n">
        <v>45986.57291666666</v>
      </c>
      <c r="R730" s="75" t="n">
        <v>45986.63541666666</v>
      </c>
      <c r="S730" s="76" t="n">
        <v>0.8</v>
      </c>
      <c r="T730" s="76" t="n">
        <v>1.5</v>
      </c>
      <c r="U730" s="70">
        <f>IF($A730="","",IFERROR(INDEX('Techniciens'!$F$5:$F$44,MATCH(O730,'Techniciens'!$B$5:$B$44,0)),'Paramètres'!$AA$10))</f>
        <v/>
      </c>
      <c r="V730" s="70">
        <f>IF($A730="","",IF(OR(AC730="Demandé",AC730="Planifié",AC730="Annulé"),0,N(T730)*N(U730)))</f>
        <v/>
      </c>
      <c r="W730" s="70">
        <f>IF($A730="","",SUMIFS('Mouvements stock'!$H$5:$H$3004,'Mouvements stock'!$I$5:$I$3004,$A730,'Mouvements stock'!$C$5:$C$3004,"Sortie")-SUMIFS('Mouvements stock'!$H$5:$H$3004,'Mouvements stock'!$I$5:$I$3004,$A730,'Mouvements stock'!$C$5:$C$3004,"Retour"))</f>
        <v/>
      </c>
      <c r="X730" s="66" t="n">
        <v>0</v>
      </c>
      <c r="Y730" s="66" t="n">
        <v>0</v>
      </c>
      <c r="Z730" s="7" t="n"/>
      <c r="AA730" s="70">
        <f>IF($A730="","",N(V730)+N(W730)+N(X730)+N(Y730))</f>
        <v/>
      </c>
      <c r="AB730" s="70">
        <f>IF($A730="","",N(S730)*'Paramètres'!$AA$9*IFERROR(INDEX('Paramètres'!$O$5:$O$7,MATCH(G730,'Paramètres'!$N$5:$N$7,0)),0))</f>
        <v/>
      </c>
      <c r="AC730" s="7" t="inlineStr">
        <is>
          <t>Clôturé</t>
        </is>
      </c>
      <c r="AD730" s="69">
        <f>IF(OR($A730="",Q730=""),"",(Q730-B730)*24)</f>
        <v/>
      </c>
      <c r="AE730" s="69">
        <f>IF(OR(Q730="",R730=""),"",(R730-Q730)*24)</f>
        <v/>
      </c>
      <c r="AF730" s="77">
        <f>IF(OR($A730="",B730=""),"",YEAR(B730))</f>
        <v/>
      </c>
      <c r="AG730" s="77">
        <f>IF(OR($A730="",B730=""),"",MONTH(B730))</f>
        <v/>
      </c>
    </row>
    <row r="731">
      <c r="A731" s="7" t="inlineStr">
        <is>
          <t>OT-2025-0727</t>
        </is>
      </c>
      <c r="B731" s="75" t="n">
        <v>45979.42361111111</v>
      </c>
      <c r="C731" s="7" t="inlineStr">
        <is>
          <t>Plan préventif</t>
        </is>
      </c>
      <c r="D731" s="7" t="inlineStr">
        <is>
          <t>EQ-SOU-005</t>
        </is>
      </c>
      <c r="E731" s="9">
        <f>IF(D731="","",IFERROR(INDEX('Équipements'!$B$5:$B$304,MATCH(D731,'Équipements'!$A$5:$A$304,0)),"Code inconnu"))</f>
        <v/>
      </c>
      <c r="F731" s="9">
        <f>IF(D731="","",IFERROR(INDEX('Équipements'!$D$5:$D$304,MATCH(D731,'Équipements'!$A$5:$A$304,0)),""))</f>
        <v/>
      </c>
      <c r="G731" s="9">
        <f>IF(D731="","",IFERROR(INDEX('Équipements'!$K$5:$K$304,MATCH(D731,'Équipements'!$A$5:$A$304,0)),""))</f>
        <v/>
      </c>
      <c r="H731" s="7" t="inlineStr">
        <is>
          <t>Préventif systématique</t>
        </is>
      </c>
      <c r="I731" s="7" t="inlineStr">
        <is>
          <t>GP-064</t>
        </is>
      </c>
      <c r="J731" s="7" t="inlineStr">
        <is>
          <t>Mécanique</t>
        </is>
      </c>
      <c r="K731" s="7" t="inlineStr">
        <is>
          <t>P3 - Normale</t>
        </is>
      </c>
      <c r="L731" s="7" t="inlineStr">
        <is>
          <t>Remplacement filtres et nettoyage batteries</t>
        </is>
      </c>
      <c r="M731" s="7" t="n"/>
      <c r="N731" s="7" t="inlineStr">
        <is>
          <t>Gamme réalisée - RAS</t>
        </is>
      </c>
      <c r="O731" s="7" t="inlineStr">
        <is>
          <t>Antoine Mercier</t>
        </is>
      </c>
      <c r="P731" s="65" t="n">
        <v>45986.49305555555</v>
      </c>
      <c r="Q731" s="75" t="n">
        <v>45986.32638888889</v>
      </c>
      <c r="R731" s="75" t="n">
        <v>45986.45138888889</v>
      </c>
      <c r="S731" s="76" t="n">
        <v>0</v>
      </c>
      <c r="T731" s="76" t="n">
        <v>3</v>
      </c>
      <c r="U731" s="70">
        <f>IF($A731="","",IFERROR(INDEX('Techniciens'!$F$5:$F$44,MATCH(O731,'Techniciens'!$B$5:$B$44,0)),'Paramètres'!$AA$10))</f>
        <v/>
      </c>
      <c r="V731" s="70">
        <f>IF($A731="","",IF(OR(AC731="Demandé",AC731="Planifié",AC731="Annulé"),0,N(T731)*N(U731)))</f>
        <v/>
      </c>
      <c r="W731" s="70">
        <f>IF($A731="","",SUMIFS('Mouvements stock'!$H$5:$H$3004,'Mouvements stock'!$I$5:$I$3004,$A731,'Mouvements stock'!$C$5:$C$3004,"Sortie")-SUMIFS('Mouvements stock'!$H$5:$H$3004,'Mouvements stock'!$I$5:$I$3004,$A731,'Mouvements stock'!$C$5:$C$3004,"Retour"))</f>
        <v/>
      </c>
      <c r="X731" s="66" t="n">
        <v>0</v>
      </c>
      <c r="Y731" s="66" t="n">
        <v>0</v>
      </c>
      <c r="Z731" s="7" t="n"/>
      <c r="AA731" s="70">
        <f>IF($A731="","",N(V731)+N(W731)+N(X731)+N(Y731))</f>
        <v/>
      </c>
      <c r="AB731" s="70">
        <f>IF($A731="","",N(S731)*'Paramètres'!$AA$9*IFERROR(INDEX('Paramètres'!$O$5:$O$7,MATCH(G731,'Paramètres'!$N$5:$N$7,0)),0))</f>
        <v/>
      </c>
      <c r="AC731" s="7" t="inlineStr">
        <is>
          <t>Clôturé</t>
        </is>
      </c>
      <c r="AD731" s="69">
        <f>IF(OR($A731="",Q731=""),"",(Q731-B731)*24)</f>
        <v/>
      </c>
      <c r="AE731" s="69">
        <f>IF(OR(Q731="",R731=""),"",(R731-Q731)*24)</f>
        <v/>
      </c>
      <c r="AF731" s="77">
        <f>IF(OR($A731="",B731=""),"",YEAR(B731))</f>
        <v/>
      </c>
      <c r="AG731" s="77">
        <f>IF(OR($A731="",B731=""),"",MONTH(B731))</f>
        <v/>
      </c>
    </row>
    <row r="732">
      <c r="A732" s="7" t="inlineStr">
        <is>
          <t>OT-2025-0728</t>
        </is>
      </c>
      <c r="B732" s="75" t="n">
        <v>45979.44791666666</v>
      </c>
      <c r="C732" s="7" t="inlineStr">
        <is>
          <t>Planning réglementaire</t>
        </is>
      </c>
      <c r="D732" s="7" t="inlineStr">
        <is>
          <t>EQ-UTI-006</t>
        </is>
      </c>
      <c r="E732" s="9">
        <f>IF(D732="","",IFERROR(INDEX('Équipements'!$B$5:$B$304,MATCH(D732,'Équipements'!$A$5:$A$304,0)),"Code inconnu"))</f>
        <v/>
      </c>
      <c r="F732" s="9">
        <f>IF(D732="","",IFERROR(INDEX('Équipements'!$D$5:$D$304,MATCH(D732,'Équipements'!$A$5:$A$304,0)),""))</f>
        <v/>
      </c>
      <c r="G732" s="9">
        <f>IF(D732="","",IFERROR(INDEX('Équipements'!$K$5:$K$304,MATCH(D732,'Équipements'!$A$5:$A$304,0)),""))</f>
        <v/>
      </c>
      <c r="H732" s="7" t="inlineStr">
        <is>
          <t>Réglementaire</t>
        </is>
      </c>
      <c r="I732" s="7" t="inlineStr">
        <is>
          <t>CR-026</t>
        </is>
      </c>
      <c r="J732" s="7" t="inlineStr">
        <is>
          <t>Multi-technique</t>
        </is>
      </c>
      <c r="K732" s="7" t="inlineStr">
        <is>
          <t>P2 - Haute</t>
        </is>
      </c>
      <c r="L732" s="7" t="inlineStr">
        <is>
          <t>Entretien annuel chaudière</t>
        </is>
      </c>
      <c r="M732" s="7" t="n"/>
      <c r="N732" s="7" t="inlineStr">
        <is>
          <t>Contrôle réalisé - observations mineures au rapport</t>
        </is>
      </c>
      <c r="O732" s="7" t="inlineStr">
        <is>
          <t>Nadia Rousseau</t>
        </is>
      </c>
      <c r="P732" s="65" t="n">
        <v>46000</v>
      </c>
      <c r="Q732" s="75" t="n">
        <v>46000.55555555555</v>
      </c>
      <c r="R732" s="75" t="n">
        <v>46000.60763888889</v>
      </c>
      <c r="S732" s="76" t="n">
        <v>0</v>
      </c>
      <c r="T732" s="76" t="n">
        <v>1.25</v>
      </c>
      <c r="U732" s="70">
        <f>IF($A732="","",IFERROR(INDEX('Techniciens'!$F$5:$F$44,MATCH(O732,'Techniciens'!$B$5:$B$44,0)),'Paramètres'!$AA$10))</f>
        <v/>
      </c>
      <c r="V732" s="70">
        <f>IF($A732="","",IF(OR(AC732="Demandé",AC732="Planifié",AC732="Annulé"),0,N(T732)*N(U732)))</f>
        <v/>
      </c>
      <c r="W732" s="70">
        <f>IF($A732="","",SUMIFS('Mouvements stock'!$H$5:$H$3004,'Mouvements stock'!$I$5:$I$3004,$A732,'Mouvements stock'!$C$5:$C$3004,"Sortie")-SUMIFS('Mouvements stock'!$H$5:$H$3004,'Mouvements stock'!$I$5:$I$3004,$A732,'Mouvements stock'!$C$5:$C$3004,"Retour"))</f>
        <v/>
      </c>
      <c r="X732" s="66" t="n">
        <v>0</v>
      </c>
      <c r="Y732" s="66" t="n">
        <v>380</v>
      </c>
      <c r="Z732" s="7" t="inlineStr">
        <is>
          <t>Thermique &amp; Clim Services</t>
        </is>
      </c>
      <c r="AA732" s="70">
        <f>IF($A732="","",N(V732)+N(W732)+N(X732)+N(Y732))</f>
        <v/>
      </c>
      <c r="AB732" s="70">
        <f>IF($A732="","",N(S732)*'Paramètres'!$AA$9*IFERROR(INDEX('Paramètres'!$O$5:$O$7,MATCH(G732,'Paramètres'!$N$5:$N$7,0)),0))</f>
        <v/>
      </c>
      <c r="AC732" s="7" t="inlineStr">
        <is>
          <t>Clôturé</t>
        </is>
      </c>
      <c r="AD732" s="69">
        <f>IF(OR($A732="",Q732=""),"",(Q732-B732)*24)</f>
        <v/>
      </c>
      <c r="AE732" s="69">
        <f>IF(OR(Q732="",R732=""),"",(R732-Q732)*24)</f>
        <v/>
      </c>
      <c r="AF732" s="77">
        <f>IF(OR($A732="",B732=""),"",YEAR(B732))</f>
        <v/>
      </c>
      <c r="AG732" s="77">
        <f>IF(OR($A732="",B732=""),"",MONTH(B732))</f>
        <v/>
      </c>
    </row>
    <row r="733">
      <c r="A733" s="7" t="inlineStr">
        <is>
          <t>OT-2025-0729</t>
        </is>
      </c>
      <c r="B733" s="75" t="n">
        <v>45979.63888888889</v>
      </c>
      <c r="C733" s="7" t="inlineStr">
        <is>
          <t>Marc Lefèvre</t>
        </is>
      </c>
      <c r="D733" s="7" t="inlineStr">
        <is>
          <t>EQ-UTI-004</t>
        </is>
      </c>
      <c r="E733" s="9">
        <f>IF(D733="","",IFERROR(INDEX('Équipements'!$B$5:$B$304,MATCH(D733,'Équipements'!$A$5:$A$304,0)),"Code inconnu"))</f>
        <v/>
      </c>
      <c r="F733" s="9">
        <f>IF(D733="","",IFERROR(INDEX('Équipements'!$D$5:$D$304,MATCH(D733,'Équipements'!$A$5:$A$304,0)),""))</f>
        <v/>
      </c>
      <c r="G733" s="9">
        <f>IF(D733="","",IFERROR(INDEX('Équipements'!$K$5:$K$304,MATCH(D733,'Équipements'!$A$5:$A$304,0)),""))</f>
        <v/>
      </c>
      <c r="H733" s="7" t="inlineStr">
        <is>
          <t>Correctif</t>
        </is>
      </c>
      <c r="I733" s="7" t="n"/>
      <c r="J733" s="7" t="inlineStr">
        <is>
          <t>Mécanique</t>
        </is>
      </c>
      <c r="K733" s="7" t="inlineStr">
        <is>
          <t>P3 - Normale</t>
        </is>
      </c>
      <c r="L733" s="7" t="inlineStr">
        <is>
          <t>Élément endommagé par un chariot</t>
        </is>
      </c>
      <c r="M733" s="7" t="inlineStr">
        <is>
          <t>Choc / accident</t>
        </is>
      </c>
      <c r="N733" s="7" t="inlineStr">
        <is>
          <t>Remplacement de l'élément endommagé</t>
        </is>
      </c>
      <c r="O733" s="7" t="inlineStr">
        <is>
          <t>Karim Benali</t>
        </is>
      </c>
      <c r="P733" s="65" t="n"/>
      <c r="Q733" s="75" t="n">
        <v>45981.09236111111</v>
      </c>
      <c r="R733" s="75" t="n">
        <v>45981.13402777778</v>
      </c>
      <c r="S733" s="76" t="n">
        <v>0</v>
      </c>
      <c r="T733" s="76" t="n">
        <v>1</v>
      </c>
      <c r="U733" s="70">
        <f>IF($A733="","",IFERROR(INDEX('Techniciens'!$F$5:$F$44,MATCH(O733,'Techniciens'!$B$5:$B$44,0)),'Paramètres'!$AA$10))</f>
        <v/>
      </c>
      <c r="V733" s="70">
        <f>IF($A733="","",IF(OR(AC733="Demandé",AC733="Planifié",AC733="Annulé"),0,N(T733)*N(U733)))</f>
        <v/>
      </c>
      <c r="W733" s="70">
        <f>IF($A733="","",SUMIFS('Mouvements stock'!$H$5:$H$3004,'Mouvements stock'!$I$5:$I$3004,$A733,'Mouvements stock'!$C$5:$C$3004,"Sortie")-SUMIFS('Mouvements stock'!$H$5:$H$3004,'Mouvements stock'!$I$5:$I$3004,$A733,'Mouvements stock'!$C$5:$C$3004,"Retour"))</f>
        <v/>
      </c>
      <c r="X733" s="66" t="n">
        <v>0</v>
      </c>
      <c r="Y733" s="66" t="n">
        <v>760</v>
      </c>
      <c r="Z733" s="7" t="inlineStr">
        <is>
          <t>AirComp Maintenance</t>
        </is>
      </c>
      <c r="AA733" s="70">
        <f>IF($A733="","",N(V733)+N(W733)+N(X733)+N(Y733))</f>
        <v/>
      </c>
      <c r="AB733" s="70">
        <f>IF($A733="","",N(S733)*'Paramètres'!$AA$9*IFERROR(INDEX('Paramètres'!$O$5:$O$7,MATCH(G733,'Paramètres'!$N$5:$N$7,0)),0))</f>
        <v/>
      </c>
      <c r="AC733" s="7" t="inlineStr">
        <is>
          <t>Clôturé</t>
        </is>
      </c>
      <c r="AD733" s="69">
        <f>IF(OR($A733="",Q733=""),"",(Q733-B733)*24)</f>
        <v/>
      </c>
      <c r="AE733" s="69">
        <f>IF(OR(Q733="",R733=""),"",(R733-Q733)*24)</f>
        <v/>
      </c>
      <c r="AF733" s="77">
        <f>IF(OR($A733="",B733=""),"",YEAR(B733))</f>
        <v/>
      </c>
      <c r="AG733" s="77">
        <f>IF(OR($A733="",B733=""),"",MONTH(B733))</f>
        <v/>
      </c>
    </row>
    <row r="734">
      <c r="A734" s="7" t="inlineStr">
        <is>
          <t>OT-2025-0730</t>
        </is>
      </c>
      <c r="B734" s="75" t="n">
        <v>45980.33333333334</v>
      </c>
      <c r="C734" s="7" t="inlineStr">
        <is>
          <t>Plan préventif</t>
        </is>
      </c>
      <c r="D734" s="7" t="inlineStr">
        <is>
          <t>EQ-UTI-007</t>
        </is>
      </c>
      <c r="E734" s="9">
        <f>IF(D734="","",IFERROR(INDEX('Équipements'!$B$5:$B$304,MATCH(D734,'Équipements'!$A$5:$A$304,0)),"Code inconnu"))</f>
        <v/>
      </c>
      <c r="F734" s="9">
        <f>IF(D734="","",IFERROR(INDEX('Équipements'!$D$5:$D$304,MATCH(D734,'Équipements'!$A$5:$A$304,0)),""))</f>
        <v/>
      </c>
      <c r="G734" s="9">
        <f>IF(D734="","",IFERROR(INDEX('Équipements'!$K$5:$K$304,MATCH(D734,'Équipements'!$A$5:$A$304,0)),""))</f>
        <v/>
      </c>
      <c r="H734" s="7" t="inlineStr">
        <is>
          <t>Préventif systématique</t>
        </is>
      </c>
      <c r="I734" s="7" t="inlineStr">
        <is>
          <t>GP-098</t>
        </is>
      </c>
      <c r="J734" s="7" t="inlineStr">
        <is>
          <t>Électrique</t>
        </is>
      </c>
      <c r="K734" s="7" t="inlineStr">
        <is>
          <t>P3 - Normale</t>
        </is>
      </c>
      <c r="L734" s="7" t="inlineStr">
        <is>
          <t>Essai de fonctionnement / contrôle visuel</t>
        </is>
      </c>
      <c r="M734" s="7" t="n"/>
      <c r="N734" s="7" t="inlineStr">
        <is>
          <t>Gamme réalisée - RAS</t>
        </is>
      </c>
      <c r="O734" s="7" t="inlineStr">
        <is>
          <t>Antoine Mercier</t>
        </is>
      </c>
      <c r="P734" s="65" t="n">
        <v>45987.67708333334</v>
      </c>
      <c r="Q734" s="75" t="n">
        <v>45987.32638888889</v>
      </c>
      <c r="R734" s="75" t="n">
        <v>45987.38888888889</v>
      </c>
      <c r="S734" s="76" t="n">
        <v>0</v>
      </c>
      <c r="T734" s="76" t="n">
        <v>1.5</v>
      </c>
      <c r="U734" s="70">
        <f>IF($A734="","",IFERROR(INDEX('Techniciens'!$F$5:$F$44,MATCH(O734,'Techniciens'!$B$5:$B$44,0)),'Paramètres'!$AA$10))</f>
        <v/>
      </c>
      <c r="V734" s="70">
        <f>IF($A734="","",IF(OR(AC734="Demandé",AC734="Planifié",AC734="Annulé"),0,N(T734)*N(U734)))</f>
        <v/>
      </c>
      <c r="W734" s="70">
        <f>IF($A734="","",SUMIFS('Mouvements stock'!$H$5:$H$3004,'Mouvements stock'!$I$5:$I$3004,$A734,'Mouvements stock'!$C$5:$C$3004,"Sortie")-SUMIFS('Mouvements stock'!$H$5:$H$3004,'Mouvements stock'!$I$5:$I$3004,$A734,'Mouvements stock'!$C$5:$C$3004,"Retour"))</f>
        <v/>
      </c>
      <c r="X734" s="66" t="n">
        <v>0</v>
      </c>
      <c r="Y734" s="66" t="n">
        <v>0</v>
      </c>
      <c r="Z734" s="7" t="n"/>
      <c r="AA734" s="70">
        <f>IF($A734="","",N(V734)+N(W734)+N(X734)+N(Y734))</f>
        <v/>
      </c>
      <c r="AB734" s="70">
        <f>IF($A734="","",N(S734)*'Paramètres'!$AA$9*IFERROR(INDEX('Paramètres'!$O$5:$O$7,MATCH(G734,'Paramètres'!$N$5:$N$7,0)),0))</f>
        <v/>
      </c>
      <c r="AC734" s="7" t="inlineStr">
        <is>
          <t>Clôturé</t>
        </is>
      </c>
      <c r="AD734" s="69">
        <f>IF(OR($A734="",Q734=""),"",(Q734-B734)*24)</f>
        <v/>
      </c>
      <c r="AE734" s="69">
        <f>IF(OR(Q734="",R734=""),"",(R734-Q734)*24)</f>
        <v/>
      </c>
      <c r="AF734" s="77">
        <f>IF(OR($A734="",B734=""),"",YEAR(B734))</f>
        <v/>
      </c>
      <c r="AG734" s="77">
        <f>IF(OR($A734="",B734=""),"",MONTH(B734))</f>
        <v/>
      </c>
    </row>
    <row r="735">
      <c r="A735" s="7" t="inlineStr">
        <is>
          <t>OT-2025-0731</t>
        </is>
      </c>
      <c r="B735" s="75" t="n">
        <v>45980.35277777778</v>
      </c>
      <c r="C735" s="7" t="inlineStr">
        <is>
          <t>Éric Laurent (chef d'atelier)</t>
        </is>
      </c>
      <c r="D735" s="7" t="inlineStr">
        <is>
          <t>EQ-USI-004</t>
        </is>
      </c>
      <c r="E735" s="9">
        <f>IF(D735="","",IFERROR(INDEX('Équipements'!$B$5:$B$304,MATCH(D735,'Équipements'!$A$5:$A$304,0)),"Code inconnu"))</f>
        <v/>
      </c>
      <c r="F735" s="9">
        <f>IF(D735="","",IFERROR(INDEX('Équipements'!$D$5:$D$304,MATCH(D735,'Équipements'!$A$5:$A$304,0)),""))</f>
        <v/>
      </c>
      <c r="G735" s="9">
        <f>IF(D735="","",IFERROR(INDEX('Équipements'!$K$5:$K$304,MATCH(D735,'Équipements'!$A$5:$A$304,0)),""))</f>
        <v/>
      </c>
      <c r="H735" s="7" t="inlineStr">
        <is>
          <t>Correctif</t>
        </is>
      </c>
      <c r="I735" s="7" t="n"/>
      <c r="J735" s="7" t="inlineStr">
        <is>
          <t>Mécanique</t>
        </is>
      </c>
      <c r="K735" s="7" t="inlineStr">
        <is>
          <t>P1 - Urgent</t>
        </is>
      </c>
      <c r="L735" s="7" t="inlineStr">
        <is>
          <t>Bourrage convoyeur à copeaux</t>
        </is>
      </c>
      <c r="M735" s="7" t="inlineStr">
        <is>
          <t>Cause inconnue</t>
        </is>
      </c>
      <c r="N735" s="7" t="inlineStr">
        <is>
          <t>Dégagement et nettoyage convoyeur, retension chaîne</t>
        </is>
      </c>
      <c r="O735" s="7" t="inlineStr">
        <is>
          <t>Lucas Fontaine</t>
        </is>
      </c>
      <c r="P735" s="65" t="n"/>
      <c r="Q735" s="75" t="n">
        <v>45980.37430555555</v>
      </c>
      <c r="R735" s="75" t="n">
        <v>45980.81180555555</v>
      </c>
      <c r="S735" s="76" t="n">
        <v>11</v>
      </c>
      <c r="T735" s="76" t="n">
        <v>10.5</v>
      </c>
      <c r="U735" s="70">
        <f>IF($A735="","",IFERROR(INDEX('Techniciens'!$F$5:$F$44,MATCH(O735,'Techniciens'!$B$5:$B$44,0)),'Paramètres'!$AA$10))</f>
        <v/>
      </c>
      <c r="V735" s="70">
        <f>IF($A735="","",IF(OR(AC735="Demandé",AC735="Planifié",AC735="Annulé"),0,N(T735)*N(U735)))</f>
        <v/>
      </c>
      <c r="W735" s="70">
        <f>IF($A735="","",SUMIFS('Mouvements stock'!$H$5:$H$3004,'Mouvements stock'!$I$5:$I$3004,$A735,'Mouvements stock'!$C$5:$C$3004,"Sortie")-SUMIFS('Mouvements stock'!$H$5:$H$3004,'Mouvements stock'!$I$5:$I$3004,$A735,'Mouvements stock'!$C$5:$C$3004,"Retour"))</f>
        <v/>
      </c>
      <c r="X735" s="66" t="n">
        <v>0</v>
      </c>
      <c r="Y735" s="66" t="n">
        <v>0</v>
      </c>
      <c r="Z735" s="7" t="n"/>
      <c r="AA735" s="70">
        <f>IF($A735="","",N(V735)+N(W735)+N(X735)+N(Y735))</f>
        <v/>
      </c>
      <c r="AB735" s="70">
        <f>IF($A735="","",N(S735)*'Paramètres'!$AA$9*IFERROR(INDEX('Paramètres'!$O$5:$O$7,MATCH(G735,'Paramètres'!$N$5:$N$7,0)),0))</f>
        <v/>
      </c>
      <c r="AC735" s="7" t="inlineStr">
        <is>
          <t>Clôturé</t>
        </is>
      </c>
      <c r="AD735" s="69">
        <f>IF(OR($A735="",Q735=""),"",(Q735-B735)*24)</f>
        <v/>
      </c>
      <c r="AE735" s="69">
        <f>IF(OR(Q735="",R735=""),"",(R735-Q735)*24)</f>
        <v/>
      </c>
      <c r="AF735" s="77">
        <f>IF(OR($A735="",B735=""),"",YEAR(B735))</f>
        <v/>
      </c>
      <c r="AG735" s="77">
        <f>IF(OR($A735="",B735=""),"",MONTH(B735))</f>
        <v/>
      </c>
    </row>
    <row r="736">
      <c r="A736" s="7" t="inlineStr">
        <is>
          <t>OT-2025-0732</t>
        </is>
      </c>
      <c r="B736" s="75" t="n">
        <v>45980.42361111111</v>
      </c>
      <c r="C736" s="7" t="inlineStr">
        <is>
          <t>Planning réglementaire</t>
        </is>
      </c>
      <c r="D736" s="7" t="inlineStr">
        <is>
          <t>EQ-LOG-003</t>
        </is>
      </c>
      <c r="E736" s="9">
        <f>IF(D736="","",IFERROR(INDEX('Équipements'!$B$5:$B$304,MATCH(D736,'Équipements'!$A$5:$A$304,0)),"Code inconnu"))</f>
        <v/>
      </c>
      <c r="F736" s="9">
        <f>IF(D736="","",IFERROR(INDEX('Équipements'!$D$5:$D$304,MATCH(D736,'Équipements'!$A$5:$A$304,0)),""))</f>
        <v/>
      </c>
      <c r="G736" s="9">
        <f>IF(D736="","",IFERROR(INDEX('Équipements'!$K$5:$K$304,MATCH(D736,'Équipements'!$A$5:$A$304,0)),""))</f>
        <v/>
      </c>
      <c r="H736" s="7" t="inlineStr">
        <is>
          <t>Réglementaire</t>
        </is>
      </c>
      <c r="I736" s="7" t="inlineStr">
        <is>
          <t>CR-006</t>
        </is>
      </c>
      <c r="J736" s="7" t="inlineStr">
        <is>
          <t>Multi-technique</t>
        </is>
      </c>
      <c r="K736" s="7" t="inlineStr">
        <is>
          <t>P2 - Haute</t>
        </is>
      </c>
      <c r="L736" s="7" t="inlineStr">
        <is>
          <t>VGP chariot automoteur</t>
        </is>
      </c>
      <c r="M736" s="7" t="n"/>
      <c r="N736" s="7" t="inlineStr">
        <is>
          <t>Contrôle réalisé - observations mineures au rapport</t>
        </is>
      </c>
      <c r="O736" s="7" t="inlineStr">
        <is>
          <t>Marc Lefèvre</t>
        </is>
      </c>
      <c r="P736" s="65" t="n">
        <v>46001</v>
      </c>
      <c r="Q736" s="75" t="n">
        <v>46001.40972222222</v>
      </c>
      <c r="R736" s="75" t="n">
        <v>46001.46180555555</v>
      </c>
      <c r="S736" s="76" t="n">
        <v>0</v>
      </c>
      <c r="T736" s="76" t="n">
        <v>1.25</v>
      </c>
      <c r="U736" s="70">
        <f>IF($A736="","",IFERROR(INDEX('Techniciens'!$F$5:$F$44,MATCH(O736,'Techniciens'!$B$5:$B$44,0)),'Paramètres'!$AA$10))</f>
        <v/>
      </c>
      <c r="V736" s="70">
        <f>IF($A736="","",IF(OR(AC736="Demandé",AC736="Planifié",AC736="Annulé"),0,N(T736)*N(U736)))</f>
        <v/>
      </c>
      <c r="W736" s="70">
        <f>IF($A736="","",SUMIFS('Mouvements stock'!$H$5:$H$3004,'Mouvements stock'!$I$5:$I$3004,$A736,'Mouvements stock'!$C$5:$C$3004,"Sortie")-SUMIFS('Mouvements stock'!$H$5:$H$3004,'Mouvements stock'!$I$5:$I$3004,$A736,'Mouvements stock'!$C$5:$C$3004,"Retour"))</f>
        <v/>
      </c>
      <c r="X736" s="66" t="n">
        <v>0</v>
      </c>
      <c r="Y736" s="66" t="n">
        <v>120</v>
      </c>
      <c r="Z736" s="7" t="inlineStr">
        <is>
          <t>CONTROLIS (organisme fictif)</t>
        </is>
      </c>
      <c r="AA736" s="70">
        <f>IF($A736="","",N(V736)+N(W736)+N(X736)+N(Y736))</f>
        <v/>
      </c>
      <c r="AB736" s="70">
        <f>IF($A736="","",N(S736)*'Paramètres'!$AA$9*IFERROR(INDEX('Paramètres'!$O$5:$O$7,MATCH(G736,'Paramètres'!$N$5:$N$7,0)),0))</f>
        <v/>
      </c>
      <c r="AC736" s="7" t="inlineStr">
        <is>
          <t>Clôturé</t>
        </is>
      </c>
      <c r="AD736" s="69">
        <f>IF(OR($A736="",Q736=""),"",(Q736-B736)*24)</f>
        <v/>
      </c>
      <c r="AE736" s="69">
        <f>IF(OR(Q736="",R736=""),"",(R736-Q736)*24)</f>
        <v/>
      </c>
      <c r="AF736" s="77">
        <f>IF(OR($A736="",B736=""),"",YEAR(B736))</f>
        <v/>
      </c>
      <c r="AG736" s="77">
        <f>IF(OR($A736="",B736=""),"",MONTH(B736))</f>
        <v/>
      </c>
    </row>
    <row r="737">
      <c r="A737" s="7" t="inlineStr">
        <is>
          <t>OT-2025-0733</t>
        </is>
      </c>
      <c r="B737" s="75" t="n">
        <v>45980.47222222222</v>
      </c>
      <c r="C737" s="7" t="inlineStr">
        <is>
          <t>Plan préventif</t>
        </is>
      </c>
      <c r="D737" s="7" t="inlineStr">
        <is>
          <t>EQ-USI-012</t>
        </is>
      </c>
      <c r="E737" s="9">
        <f>IF(D737="","",IFERROR(INDEX('Équipements'!$B$5:$B$304,MATCH(D737,'Équipements'!$A$5:$A$304,0)),"Code inconnu"))</f>
        <v/>
      </c>
      <c r="F737" s="9">
        <f>IF(D737="","",IFERROR(INDEX('Équipements'!$D$5:$D$304,MATCH(D737,'Équipements'!$A$5:$A$304,0)),""))</f>
        <v/>
      </c>
      <c r="G737" s="9">
        <f>IF(D737="","",IFERROR(INDEX('Équipements'!$K$5:$K$304,MATCH(D737,'Équipements'!$A$5:$A$304,0)),""))</f>
        <v/>
      </c>
      <c r="H737" s="7" t="inlineStr">
        <is>
          <t>Préventif systématique</t>
        </is>
      </c>
      <c r="I737" s="7" t="inlineStr">
        <is>
          <t>GP-035</t>
        </is>
      </c>
      <c r="J737" s="7" t="inlineStr">
        <is>
          <t>Mécanique</t>
        </is>
      </c>
      <c r="K737" s="7" t="inlineStr">
        <is>
          <t>P3 - Normale</t>
        </is>
      </c>
      <c r="L737" s="7" t="inlineStr">
        <is>
          <t>Nettoyage torche et contrôle faisceau</t>
        </is>
      </c>
      <c r="M737" s="7" t="n"/>
      <c r="N737" s="7" t="inlineStr">
        <is>
          <t>Gamme réalisée - RAS</t>
        </is>
      </c>
      <c r="O737" s="7" t="inlineStr">
        <is>
          <t>Lucas Fontaine</t>
        </is>
      </c>
      <c r="P737" s="65" t="n">
        <v>45987.52430555555</v>
      </c>
      <c r="Q737" s="75" t="n">
        <v>45987.40277777778</v>
      </c>
      <c r="R737" s="75" t="n">
        <v>45987.44444444445</v>
      </c>
      <c r="S737" s="76" t="n">
        <v>0</v>
      </c>
      <c r="T737" s="76" t="n">
        <v>1</v>
      </c>
      <c r="U737" s="70">
        <f>IF($A737="","",IFERROR(INDEX('Techniciens'!$F$5:$F$44,MATCH(O737,'Techniciens'!$B$5:$B$44,0)),'Paramètres'!$AA$10))</f>
        <v/>
      </c>
      <c r="V737" s="70">
        <f>IF($A737="","",IF(OR(AC737="Demandé",AC737="Planifié",AC737="Annulé"),0,N(T737)*N(U737)))</f>
        <v/>
      </c>
      <c r="W737" s="70">
        <f>IF($A737="","",SUMIFS('Mouvements stock'!$H$5:$H$3004,'Mouvements stock'!$I$5:$I$3004,$A737,'Mouvements stock'!$C$5:$C$3004,"Sortie")-SUMIFS('Mouvements stock'!$H$5:$H$3004,'Mouvements stock'!$I$5:$I$3004,$A737,'Mouvements stock'!$C$5:$C$3004,"Retour"))</f>
        <v/>
      </c>
      <c r="X737" s="66" t="n">
        <v>0</v>
      </c>
      <c r="Y737" s="66" t="n">
        <v>0</v>
      </c>
      <c r="Z737" s="7" t="n"/>
      <c r="AA737" s="70">
        <f>IF($A737="","",N(V737)+N(W737)+N(X737)+N(Y737))</f>
        <v/>
      </c>
      <c r="AB737" s="70">
        <f>IF($A737="","",N(S737)*'Paramètres'!$AA$9*IFERROR(INDEX('Paramètres'!$O$5:$O$7,MATCH(G737,'Paramètres'!$N$5:$N$7,0)),0))</f>
        <v/>
      </c>
      <c r="AC737" s="7" t="inlineStr">
        <is>
          <t>Clôturé</t>
        </is>
      </c>
      <c r="AD737" s="69">
        <f>IF(OR($A737="",Q737=""),"",(Q737-B737)*24)</f>
        <v/>
      </c>
      <c r="AE737" s="69">
        <f>IF(OR(Q737="",R737=""),"",(R737-Q737)*24)</f>
        <v/>
      </c>
      <c r="AF737" s="77">
        <f>IF(OR($A737="",B737=""),"",YEAR(B737))</f>
        <v/>
      </c>
      <c r="AG737" s="77">
        <f>IF(OR($A737="",B737=""),"",MONTH(B737))</f>
        <v/>
      </c>
    </row>
    <row r="738">
      <c r="A738" s="7" t="inlineStr">
        <is>
          <t>OT-2025-0734</t>
        </is>
      </c>
      <c r="B738" s="75" t="n">
        <v>45980.47222222222</v>
      </c>
      <c r="C738" s="7" t="inlineStr">
        <is>
          <t>Plan préventif</t>
        </is>
      </c>
      <c r="D738" s="7" t="inlineStr">
        <is>
          <t>EQ-UTI-010</t>
        </is>
      </c>
      <c r="E738" s="9">
        <f>IF(D738="","",IFERROR(INDEX('Équipements'!$B$5:$B$304,MATCH(D738,'Équipements'!$A$5:$A$304,0)),"Code inconnu"))</f>
        <v/>
      </c>
      <c r="F738" s="9">
        <f>IF(D738="","",IFERROR(INDEX('Équipements'!$D$5:$D$304,MATCH(D738,'Équipements'!$A$5:$A$304,0)),""))</f>
        <v/>
      </c>
      <c r="G738" s="9">
        <f>IF(D738="","",IFERROR(INDEX('Équipements'!$K$5:$K$304,MATCH(D738,'Équipements'!$A$5:$A$304,0)),""))</f>
        <v/>
      </c>
      <c r="H738" s="7" t="inlineStr">
        <is>
          <t>Préventif systématique</t>
        </is>
      </c>
      <c r="I738" s="7" t="inlineStr">
        <is>
          <t>GP-104</t>
        </is>
      </c>
      <c r="J738" s="7" t="inlineStr">
        <is>
          <t>Électrique</t>
        </is>
      </c>
      <c r="K738" s="7" t="inlineStr">
        <is>
          <t>P3 - Normale</t>
        </is>
      </c>
      <c r="L738" s="7" t="inlineStr">
        <is>
          <t>Essai mensuel à charge du groupe électrogène</t>
        </is>
      </c>
      <c r="M738" s="7" t="n"/>
      <c r="N738" s="7" t="inlineStr">
        <is>
          <t>Gamme réalisée - RAS</t>
        </is>
      </c>
      <c r="O738" s="7" t="inlineStr">
        <is>
          <t>Julien Moreau</t>
        </is>
      </c>
      <c r="P738" s="65" t="n">
        <v>45987.39236111111</v>
      </c>
      <c r="Q738" s="75" t="n">
        <v>45987.58333333334</v>
      </c>
      <c r="R738" s="75" t="n">
        <v>45987.65625</v>
      </c>
      <c r="S738" s="76" t="n">
        <v>0</v>
      </c>
      <c r="T738" s="76" t="n">
        <v>1.75</v>
      </c>
      <c r="U738" s="70">
        <f>IF($A738="","",IFERROR(INDEX('Techniciens'!$F$5:$F$44,MATCH(O738,'Techniciens'!$B$5:$B$44,0)),'Paramètres'!$AA$10))</f>
        <v/>
      </c>
      <c r="V738" s="70">
        <f>IF($A738="","",IF(OR(AC738="Demandé",AC738="Planifié",AC738="Annulé"),0,N(T738)*N(U738)))</f>
        <v/>
      </c>
      <c r="W738" s="70">
        <f>IF($A738="","",SUMIFS('Mouvements stock'!$H$5:$H$3004,'Mouvements stock'!$I$5:$I$3004,$A738,'Mouvements stock'!$C$5:$C$3004,"Sortie")-SUMIFS('Mouvements stock'!$H$5:$H$3004,'Mouvements stock'!$I$5:$I$3004,$A738,'Mouvements stock'!$C$5:$C$3004,"Retour"))</f>
        <v/>
      </c>
      <c r="X738" s="66" t="n">
        <v>0</v>
      </c>
      <c r="Y738" s="66" t="n">
        <v>0</v>
      </c>
      <c r="Z738" s="7" t="n"/>
      <c r="AA738" s="70">
        <f>IF($A738="","",N(V738)+N(W738)+N(X738)+N(Y738))</f>
        <v/>
      </c>
      <c r="AB738" s="70">
        <f>IF($A738="","",N(S738)*'Paramètres'!$AA$9*IFERROR(INDEX('Paramètres'!$O$5:$O$7,MATCH(G738,'Paramètres'!$N$5:$N$7,0)),0))</f>
        <v/>
      </c>
      <c r="AC738" s="7" t="inlineStr">
        <is>
          <t>Clôturé</t>
        </is>
      </c>
      <c r="AD738" s="69">
        <f>IF(OR($A738="",Q738=""),"",(Q738-B738)*24)</f>
        <v/>
      </c>
      <c r="AE738" s="69">
        <f>IF(OR(Q738="",R738=""),"",(R738-Q738)*24)</f>
        <v/>
      </c>
      <c r="AF738" s="77">
        <f>IF(OR($A738="",B738=""),"",YEAR(B738))</f>
        <v/>
      </c>
      <c r="AG738" s="77">
        <f>IF(OR($A738="",B738=""),"",MONTH(B738))</f>
        <v/>
      </c>
    </row>
    <row r="739">
      <c r="A739" s="7" t="inlineStr">
        <is>
          <t>OT-2025-0735</t>
        </is>
      </c>
      <c r="B739" s="75" t="n">
        <v>45980.47916666666</v>
      </c>
      <c r="C739" s="7" t="inlineStr">
        <is>
          <t>Plan préventif</t>
        </is>
      </c>
      <c r="D739" s="7" t="inlineStr">
        <is>
          <t>EQ-UTI-007</t>
        </is>
      </c>
      <c r="E739" s="9">
        <f>IF(D739="","",IFERROR(INDEX('Équipements'!$B$5:$B$304,MATCH(D739,'Équipements'!$A$5:$A$304,0)),"Code inconnu"))</f>
        <v/>
      </c>
      <c r="F739" s="9">
        <f>IF(D739="","",IFERROR(INDEX('Équipements'!$D$5:$D$304,MATCH(D739,'Équipements'!$A$5:$A$304,0)),""))</f>
        <v/>
      </c>
      <c r="G739" s="9">
        <f>IF(D739="","",IFERROR(INDEX('Équipements'!$K$5:$K$304,MATCH(D739,'Équipements'!$A$5:$A$304,0)),""))</f>
        <v/>
      </c>
      <c r="H739" s="7" t="inlineStr">
        <is>
          <t>Préventif systématique</t>
        </is>
      </c>
      <c r="I739" s="7" t="inlineStr">
        <is>
          <t>GP-097</t>
        </is>
      </c>
      <c r="J739" s="7" t="inlineStr">
        <is>
          <t>Électrique</t>
        </is>
      </c>
      <c r="K739" s="7" t="inlineStr">
        <is>
          <t>P3 - Normale</t>
        </is>
      </c>
      <c r="L739" s="7" t="inlineStr">
        <is>
          <t>Inspection, nettoyage et resserrage des connexions</t>
        </is>
      </c>
      <c r="M739" s="7" t="n"/>
      <c r="N739" s="7" t="inlineStr">
        <is>
          <t>Gamme réalisée - RAS</t>
        </is>
      </c>
      <c r="O739" s="7" t="inlineStr">
        <is>
          <t>Julien Moreau</t>
        </is>
      </c>
      <c r="P739" s="65" t="n">
        <v>45987</v>
      </c>
      <c r="Q739" s="75" t="n">
        <v>45987.60416666666</v>
      </c>
      <c r="R739" s="75" t="n">
        <v>45987.89583333334</v>
      </c>
      <c r="S739" s="76" t="n">
        <v>0</v>
      </c>
      <c r="T739" s="76" t="n">
        <v>7</v>
      </c>
      <c r="U739" s="70">
        <f>IF($A739="","",IFERROR(INDEX('Techniciens'!$F$5:$F$44,MATCH(O739,'Techniciens'!$B$5:$B$44,0)),'Paramètres'!$AA$10))</f>
        <v/>
      </c>
      <c r="V739" s="70">
        <f>IF($A739="","",IF(OR(AC739="Demandé",AC739="Planifié",AC739="Annulé"),0,N(T739)*N(U739)))</f>
        <v/>
      </c>
      <c r="W739" s="70">
        <f>IF($A739="","",SUMIFS('Mouvements stock'!$H$5:$H$3004,'Mouvements stock'!$I$5:$I$3004,$A739,'Mouvements stock'!$C$5:$C$3004,"Sortie")-SUMIFS('Mouvements stock'!$H$5:$H$3004,'Mouvements stock'!$I$5:$I$3004,$A739,'Mouvements stock'!$C$5:$C$3004,"Retour"))</f>
        <v/>
      </c>
      <c r="X739" s="66" t="n">
        <v>0</v>
      </c>
      <c r="Y739" s="66" t="n">
        <v>0</v>
      </c>
      <c r="Z739" s="7" t="n"/>
      <c r="AA739" s="70">
        <f>IF($A739="","",N(V739)+N(W739)+N(X739)+N(Y739))</f>
        <v/>
      </c>
      <c r="AB739" s="70">
        <f>IF($A739="","",N(S739)*'Paramètres'!$AA$9*IFERROR(INDEX('Paramètres'!$O$5:$O$7,MATCH(G739,'Paramètres'!$N$5:$N$7,0)),0))</f>
        <v/>
      </c>
      <c r="AC739" s="7" t="inlineStr">
        <is>
          <t>Clôturé</t>
        </is>
      </c>
      <c r="AD739" s="69">
        <f>IF(OR($A739="",Q739=""),"",(Q739-B739)*24)</f>
        <v/>
      </c>
      <c r="AE739" s="69">
        <f>IF(OR(Q739="",R739=""),"",(R739-Q739)*24)</f>
        <v/>
      </c>
      <c r="AF739" s="77">
        <f>IF(OR($A739="",B739=""),"",YEAR(B739))</f>
        <v/>
      </c>
      <c r="AG739" s="77">
        <f>IF(OR($A739="",B739=""),"",MONTH(B739))</f>
        <v/>
      </c>
    </row>
    <row r="740">
      <c r="A740" s="7" t="inlineStr">
        <is>
          <t>OT-2025-0736</t>
        </is>
      </c>
      <c r="B740" s="75" t="n">
        <v>45980.50902777778</v>
      </c>
      <c r="C740" s="7" t="inlineStr">
        <is>
          <t>Opérateur peinture</t>
        </is>
      </c>
      <c r="D740" s="7" t="inlineStr">
        <is>
          <t>EQ-PEI-004</t>
        </is>
      </c>
      <c r="E740" s="9">
        <f>IF(D740="","",IFERROR(INDEX('Équipements'!$B$5:$B$304,MATCH(D740,'Équipements'!$A$5:$A$304,0)),"Code inconnu"))</f>
        <v/>
      </c>
      <c r="F740" s="9">
        <f>IF(D740="","",IFERROR(INDEX('Équipements'!$D$5:$D$304,MATCH(D740,'Équipements'!$A$5:$A$304,0)),""))</f>
        <v/>
      </c>
      <c r="G740" s="9">
        <f>IF(D740="","",IFERROR(INDEX('Équipements'!$K$5:$K$304,MATCH(D740,'Équipements'!$A$5:$A$304,0)),""))</f>
        <v/>
      </c>
      <c r="H740" s="7" t="inlineStr">
        <is>
          <t>Correctif</t>
        </is>
      </c>
      <c r="I740" s="7" t="n"/>
      <c r="J740" s="7" t="inlineStr">
        <is>
          <t>Électrique</t>
        </is>
      </c>
      <c r="K740" s="7" t="inlineStr">
        <is>
          <t>P3 - Normale</t>
        </is>
      </c>
      <c r="L740" s="7" t="inlineStr">
        <is>
          <t>Détecteur de présence HS</t>
        </is>
      </c>
      <c r="M740" s="7" t="inlineStr">
        <is>
          <t>Défaut capteur</t>
        </is>
      </c>
      <c r="N740" s="7" t="inlineStr">
        <is>
          <t>Remplacement détecteur</t>
        </is>
      </c>
      <c r="O740" s="7" t="inlineStr">
        <is>
          <t>Antoine Mercier</t>
        </is>
      </c>
      <c r="P740" s="65" t="n"/>
      <c r="Q740" s="75" t="n">
        <v>45982.04513888889</v>
      </c>
      <c r="R740" s="75" t="n">
        <v>45983.21180555555</v>
      </c>
      <c r="S740" s="76" t="n">
        <v>0</v>
      </c>
      <c r="T740" s="76" t="n">
        <v>28</v>
      </c>
      <c r="U740" s="70">
        <f>IF($A740="","",IFERROR(INDEX('Techniciens'!$F$5:$F$44,MATCH(O740,'Techniciens'!$B$5:$B$44,0)),'Paramètres'!$AA$10))</f>
        <v/>
      </c>
      <c r="V740" s="70">
        <f>IF($A740="","",IF(OR(AC740="Demandé",AC740="Planifié",AC740="Annulé"),0,N(T740)*N(U740)))</f>
        <v/>
      </c>
      <c r="W740" s="70">
        <f>IF($A740="","",SUMIFS('Mouvements stock'!$H$5:$H$3004,'Mouvements stock'!$I$5:$I$3004,$A740,'Mouvements stock'!$C$5:$C$3004,"Sortie")-SUMIFS('Mouvements stock'!$H$5:$H$3004,'Mouvements stock'!$I$5:$I$3004,$A740,'Mouvements stock'!$C$5:$C$3004,"Retour"))</f>
        <v/>
      </c>
      <c r="X740" s="66" t="n">
        <v>0</v>
      </c>
      <c r="Y740" s="66" t="n">
        <v>0</v>
      </c>
      <c r="Z740" s="7" t="n"/>
      <c r="AA740" s="70">
        <f>IF($A740="","",N(V740)+N(W740)+N(X740)+N(Y740))</f>
        <v/>
      </c>
      <c r="AB740" s="70">
        <f>IF($A740="","",N(S740)*'Paramètres'!$AA$9*IFERROR(INDEX('Paramètres'!$O$5:$O$7,MATCH(G740,'Paramètres'!$N$5:$N$7,0)),0))</f>
        <v/>
      </c>
      <c r="AC740" s="7" t="inlineStr">
        <is>
          <t>Clôturé</t>
        </is>
      </c>
      <c r="AD740" s="69">
        <f>IF(OR($A740="",Q740=""),"",(Q740-B740)*24)</f>
        <v/>
      </c>
      <c r="AE740" s="69">
        <f>IF(OR(Q740="",R740=""),"",(R740-Q740)*24)</f>
        <v/>
      </c>
      <c r="AF740" s="77">
        <f>IF(OR($A740="",B740=""),"",YEAR(B740))</f>
        <v/>
      </c>
      <c r="AG740" s="77">
        <f>IF(OR($A740="",B740=""),"",MONTH(B740))</f>
        <v/>
      </c>
    </row>
    <row r="741">
      <c r="A741" s="7" t="inlineStr">
        <is>
          <t>OT-2025-0737</t>
        </is>
      </c>
      <c r="B741" s="75" t="n">
        <v>45981.375</v>
      </c>
      <c r="C741" s="7" t="inlineStr">
        <is>
          <t>Plan préventif</t>
        </is>
      </c>
      <c r="D741" s="7" t="inlineStr">
        <is>
          <t>EQ-UTI-009</t>
        </is>
      </c>
      <c r="E741" s="9">
        <f>IF(D741="","",IFERROR(INDEX('Équipements'!$B$5:$B$304,MATCH(D741,'Équipements'!$A$5:$A$304,0)),"Code inconnu"))</f>
        <v/>
      </c>
      <c r="F741" s="9">
        <f>IF(D741="","",IFERROR(INDEX('Équipements'!$D$5:$D$304,MATCH(D741,'Équipements'!$A$5:$A$304,0)),""))</f>
        <v/>
      </c>
      <c r="G741" s="9">
        <f>IF(D741="","",IFERROR(INDEX('Équipements'!$K$5:$K$304,MATCH(D741,'Équipements'!$A$5:$A$304,0)),""))</f>
        <v/>
      </c>
      <c r="H741" s="7" t="inlineStr">
        <is>
          <t>Préventif systématique</t>
        </is>
      </c>
      <c r="I741" s="7" t="inlineStr">
        <is>
          <t>GP-102</t>
        </is>
      </c>
      <c r="J741" s="7" t="inlineStr">
        <is>
          <t>Mécanique</t>
        </is>
      </c>
      <c r="K741" s="7" t="inlineStr">
        <is>
          <t>P3 - Normale</t>
        </is>
      </c>
      <c r="L741" s="7" t="inlineStr">
        <is>
          <t>Nettoyage décanteur et filtre-presse</t>
        </is>
      </c>
      <c r="M741" s="7" t="n"/>
      <c r="N741" s="7" t="inlineStr">
        <is>
          <t>Gamme réalisée - RAS</t>
        </is>
      </c>
      <c r="O741" s="7" t="inlineStr">
        <is>
          <t>Lucas Fontaine</t>
        </is>
      </c>
      <c r="P741" s="65" t="n">
        <v>45988.61458333334</v>
      </c>
      <c r="Q741" s="75" t="n">
        <v>45988.26388888889</v>
      </c>
      <c r="R741" s="75" t="n">
        <v>45988.47222222222</v>
      </c>
      <c r="S741" s="76" t="n">
        <v>0</v>
      </c>
      <c r="T741" s="76" t="n">
        <v>5</v>
      </c>
      <c r="U741" s="70">
        <f>IF($A741="","",IFERROR(INDEX('Techniciens'!$F$5:$F$44,MATCH(O741,'Techniciens'!$B$5:$B$44,0)),'Paramètres'!$AA$10))</f>
        <v/>
      </c>
      <c r="V741" s="70">
        <f>IF($A741="","",IF(OR(AC741="Demandé",AC741="Planifié",AC741="Annulé"),0,N(T741)*N(U741)))</f>
        <v/>
      </c>
      <c r="W741" s="70">
        <f>IF($A741="","",SUMIFS('Mouvements stock'!$H$5:$H$3004,'Mouvements stock'!$I$5:$I$3004,$A741,'Mouvements stock'!$C$5:$C$3004,"Sortie")-SUMIFS('Mouvements stock'!$H$5:$H$3004,'Mouvements stock'!$I$5:$I$3004,$A741,'Mouvements stock'!$C$5:$C$3004,"Retour"))</f>
        <v/>
      </c>
      <c r="X741" s="66" t="n">
        <v>0</v>
      </c>
      <c r="Y741" s="66" t="n">
        <v>0</v>
      </c>
      <c r="Z741" s="7" t="n"/>
      <c r="AA741" s="70">
        <f>IF($A741="","",N(V741)+N(W741)+N(X741)+N(Y741))</f>
        <v/>
      </c>
      <c r="AB741" s="70">
        <f>IF($A741="","",N(S741)*'Paramètres'!$AA$9*IFERROR(INDEX('Paramètres'!$O$5:$O$7,MATCH(G741,'Paramètres'!$N$5:$N$7,0)),0))</f>
        <v/>
      </c>
      <c r="AC741" s="7" t="inlineStr">
        <is>
          <t>Clôturé</t>
        </is>
      </c>
      <c r="AD741" s="69">
        <f>IF(OR($A741="",Q741=""),"",(Q741-B741)*24)</f>
        <v/>
      </c>
      <c r="AE741" s="69">
        <f>IF(OR(Q741="",R741=""),"",(R741-Q741)*24)</f>
        <v/>
      </c>
      <c r="AF741" s="77">
        <f>IF(OR($A741="",B741=""),"",YEAR(B741))</f>
        <v/>
      </c>
      <c r="AG741" s="77">
        <f>IF(OR($A741="",B741=""),"",MONTH(B741))</f>
        <v/>
      </c>
    </row>
    <row r="742">
      <c r="A742" s="7" t="inlineStr">
        <is>
          <t>OT-2025-0738</t>
        </is>
      </c>
      <c r="B742" s="75" t="n">
        <v>45981.40625</v>
      </c>
      <c r="C742" s="7" t="inlineStr">
        <is>
          <t>Hugo Blanc (chef d'équipe)</t>
        </is>
      </c>
      <c r="D742" s="7" t="inlineStr">
        <is>
          <t>EQ-SOU-004</t>
        </is>
      </c>
      <c r="E742" s="9">
        <f>IF(D742="","",IFERROR(INDEX('Équipements'!$B$5:$B$304,MATCH(D742,'Équipements'!$A$5:$A$304,0)),"Code inconnu"))</f>
        <v/>
      </c>
      <c r="F742" s="9">
        <f>IF(D742="","",IFERROR(INDEX('Équipements'!$D$5:$D$304,MATCH(D742,'Équipements'!$A$5:$A$304,0)),""))</f>
        <v/>
      </c>
      <c r="G742" s="9">
        <f>IF(D742="","",IFERROR(INDEX('Équipements'!$K$5:$K$304,MATCH(D742,'Équipements'!$A$5:$A$304,0)),""))</f>
        <v/>
      </c>
      <c r="H742" s="7" t="inlineStr">
        <is>
          <t>Correctif</t>
        </is>
      </c>
      <c r="I742" s="7" t="n"/>
      <c r="J742" s="7" t="inlineStr">
        <is>
          <t>Mécanique</t>
        </is>
      </c>
      <c r="K742" s="7" t="inlineStr">
        <is>
          <t>P3 - Normale</t>
        </is>
      </c>
      <c r="L742" s="7" t="inlineStr">
        <is>
          <t>Torche défectueuse</t>
        </is>
      </c>
      <c r="M742" s="7" t="inlineStr">
        <is>
          <t>Usure</t>
        </is>
      </c>
      <c r="N742" s="7" t="inlineStr">
        <is>
          <t>Réparation torche, remplacement buse</t>
        </is>
      </c>
      <c r="O742" s="7" t="inlineStr">
        <is>
          <t>Antoine Mercier</t>
        </is>
      </c>
      <c r="P742" s="65" t="n"/>
      <c r="Q742" s="75" t="n">
        <v>45982.57847222222</v>
      </c>
      <c r="R742" s="75" t="n">
        <v>45982.75555555556</v>
      </c>
      <c r="S742" s="76" t="n">
        <v>0</v>
      </c>
      <c r="T742" s="76" t="n">
        <v>4.25</v>
      </c>
      <c r="U742" s="70">
        <f>IF($A742="","",IFERROR(INDEX('Techniciens'!$F$5:$F$44,MATCH(O742,'Techniciens'!$B$5:$B$44,0)),'Paramètres'!$AA$10))</f>
        <v/>
      </c>
      <c r="V742" s="70">
        <f>IF($A742="","",IF(OR(AC742="Demandé",AC742="Planifié",AC742="Annulé"),0,N(T742)*N(U742)))</f>
        <v/>
      </c>
      <c r="W742" s="70">
        <f>IF($A742="","",SUMIFS('Mouvements stock'!$H$5:$H$3004,'Mouvements stock'!$I$5:$I$3004,$A742,'Mouvements stock'!$C$5:$C$3004,"Sortie")-SUMIFS('Mouvements stock'!$H$5:$H$3004,'Mouvements stock'!$I$5:$I$3004,$A742,'Mouvements stock'!$C$5:$C$3004,"Retour"))</f>
        <v/>
      </c>
      <c r="X742" s="66" t="n">
        <v>0</v>
      </c>
      <c r="Y742" s="66" t="n">
        <v>0</v>
      </c>
      <c r="Z742" s="7" t="n"/>
      <c r="AA742" s="70">
        <f>IF($A742="","",N(V742)+N(W742)+N(X742)+N(Y742))</f>
        <v/>
      </c>
      <c r="AB742" s="70">
        <f>IF($A742="","",N(S742)*'Paramètres'!$AA$9*IFERROR(INDEX('Paramètres'!$O$5:$O$7,MATCH(G742,'Paramètres'!$N$5:$N$7,0)),0))</f>
        <v/>
      </c>
      <c r="AC742" s="7" t="inlineStr">
        <is>
          <t>Clôturé</t>
        </is>
      </c>
      <c r="AD742" s="69">
        <f>IF(OR($A742="",Q742=""),"",(Q742-B742)*24)</f>
        <v/>
      </c>
      <c r="AE742" s="69">
        <f>IF(OR(Q742="",R742=""),"",(R742-Q742)*24)</f>
        <v/>
      </c>
      <c r="AF742" s="77">
        <f>IF(OR($A742="",B742=""),"",YEAR(B742))</f>
        <v/>
      </c>
      <c r="AG742" s="77">
        <f>IF(OR($A742="",B742=""),"",MONTH(B742))</f>
        <v/>
      </c>
    </row>
    <row r="743">
      <c r="A743" s="7" t="inlineStr">
        <is>
          <t>OT-2025-0739</t>
        </is>
      </c>
      <c r="B743" s="75" t="n">
        <v>45981.47222222222</v>
      </c>
      <c r="C743" s="7" t="inlineStr">
        <is>
          <t>Plan préventif</t>
        </is>
      </c>
      <c r="D743" s="7" t="inlineStr">
        <is>
          <t>EQ-PEI-004</t>
        </is>
      </c>
      <c r="E743" s="9">
        <f>IF(D743="","",IFERROR(INDEX('Équipements'!$B$5:$B$304,MATCH(D743,'Équipements'!$A$5:$A$304,0)),"Code inconnu"))</f>
        <v/>
      </c>
      <c r="F743" s="9">
        <f>IF(D743="","",IFERROR(INDEX('Équipements'!$D$5:$D$304,MATCH(D743,'Équipements'!$A$5:$A$304,0)),""))</f>
        <v/>
      </c>
      <c r="G743" s="9">
        <f>IF(D743="","",IFERROR(INDEX('Équipements'!$K$5:$K$304,MATCH(D743,'Équipements'!$A$5:$A$304,0)),""))</f>
        <v/>
      </c>
      <c r="H743" s="7" t="inlineStr">
        <is>
          <t>Préventif systématique</t>
        </is>
      </c>
      <c r="I743" s="7" t="inlineStr">
        <is>
          <t>GP-072</t>
        </is>
      </c>
      <c r="J743" s="7" t="inlineStr">
        <is>
          <t>Mécanique</t>
        </is>
      </c>
      <c r="K743" s="7" t="inlineStr">
        <is>
          <t>P3 - Normale</t>
        </is>
      </c>
      <c r="L743" s="7" t="inlineStr">
        <is>
          <t>Graissage chaîne / galets et contrôle tension</t>
        </is>
      </c>
      <c r="M743" s="7" t="n"/>
      <c r="N743" s="7" t="inlineStr">
        <is>
          <t>Gamme réalisée - RAS</t>
        </is>
      </c>
      <c r="O743" s="7" t="inlineStr">
        <is>
          <t>Karim Benali</t>
        </is>
      </c>
      <c r="P743" s="65" t="n">
        <v>45988.625</v>
      </c>
      <c r="Q743" s="75" t="n">
        <v>45988.60416666666</v>
      </c>
      <c r="R743" s="75" t="n">
        <v>45988.69791666666</v>
      </c>
      <c r="S743" s="76" t="n">
        <v>2.2</v>
      </c>
      <c r="T743" s="76" t="n">
        <v>2.25</v>
      </c>
      <c r="U743" s="70">
        <f>IF($A743="","",IFERROR(INDEX('Techniciens'!$F$5:$F$44,MATCH(O743,'Techniciens'!$B$5:$B$44,0)),'Paramètres'!$AA$10))</f>
        <v/>
      </c>
      <c r="V743" s="70">
        <f>IF($A743="","",IF(OR(AC743="Demandé",AC743="Planifié",AC743="Annulé"),0,N(T743)*N(U743)))</f>
        <v/>
      </c>
      <c r="W743" s="70">
        <f>IF($A743="","",SUMIFS('Mouvements stock'!$H$5:$H$3004,'Mouvements stock'!$I$5:$I$3004,$A743,'Mouvements stock'!$C$5:$C$3004,"Sortie")-SUMIFS('Mouvements stock'!$H$5:$H$3004,'Mouvements stock'!$I$5:$I$3004,$A743,'Mouvements stock'!$C$5:$C$3004,"Retour"))</f>
        <v/>
      </c>
      <c r="X743" s="66" t="n">
        <v>0</v>
      </c>
      <c r="Y743" s="66" t="n">
        <v>0</v>
      </c>
      <c r="Z743" s="7" t="n"/>
      <c r="AA743" s="70">
        <f>IF($A743="","",N(V743)+N(W743)+N(X743)+N(Y743))</f>
        <v/>
      </c>
      <c r="AB743" s="70">
        <f>IF($A743="","",N(S743)*'Paramètres'!$AA$9*IFERROR(INDEX('Paramètres'!$O$5:$O$7,MATCH(G743,'Paramètres'!$N$5:$N$7,0)),0))</f>
        <v/>
      </c>
      <c r="AC743" s="7" t="inlineStr">
        <is>
          <t>Clôturé</t>
        </is>
      </c>
      <c r="AD743" s="69">
        <f>IF(OR($A743="",Q743=""),"",(Q743-B743)*24)</f>
        <v/>
      </c>
      <c r="AE743" s="69">
        <f>IF(OR(Q743="",R743=""),"",(R743-Q743)*24)</f>
        <v/>
      </c>
      <c r="AF743" s="77">
        <f>IF(OR($A743="",B743=""),"",YEAR(B743))</f>
        <v/>
      </c>
      <c r="AG743" s="77">
        <f>IF(OR($A743="",B743=""),"",MONTH(B743))</f>
        <v/>
      </c>
    </row>
    <row r="744">
      <c r="A744" s="7" t="inlineStr">
        <is>
          <t>OT-2025-0740</t>
        </is>
      </c>
      <c r="B744" s="75" t="n">
        <v>45982.45138888889</v>
      </c>
      <c r="C744" s="7" t="inlineStr">
        <is>
          <t>Plan préventif</t>
        </is>
      </c>
      <c r="D744" s="7" t="inlineStr">
        <is>
          <t>EQ-SOU-004</t>
        </is>
      </c>
      <c r="E744" s="9">
        <f>IF(D744="","",IFERROR(INDEX('Équipements'!$B$5:$B$304,MATCH(D744,'Équipements'!$A$5:$A$304,0)),"Code inconnu"))</f>
        <v/>
      </c>
      <c r="F744" s="9">
        <f>IF(D744="","",IFERROR(INDEX('Équipements'!$D$5:$D$304,MATCH(D744,'Équipements'!$A$5:$A$304,0)),""))</f>
        <v/>
      </c>
      <c r="G744" s="9">
        <f>IF(D744="","",IFERROR(INDEX('Équipements'!$K$5:$K$304,MATCH(D744,'Équipements'!$A$5:$A$304,0)),""))</f>
        <v/>
      </c>
      <c r="H744" s="7" t="inlineStr">
        <is>
          <t>Préventif systématique</t>
        </is>
      </c>
      <c r="I744" s="7" t="inlineStr">
        <is>
          <t>GP-063</t>
        </is>
      </c>
      <c r="J744" s="7" t="inlineStr">
        <is>
          <t>Électrique</t>
        </is>
      </c>
      <c r="K744" s="7" t="inlineStr">
        <is>
          <t>P3 - Normale</t>
        </is>
      </c>
      <c r="L744" s="7" t="inlineStr">
        <is>
          <t>Contrôle et nettoyage poste, dévidoir, câbles</t>
        </is>
      </c>
      <c r="M744" s="7" t="n"/>
      <c r="N744" s="7" t="inlineStr">
        <is>
          <t>Gamme réalisée - RAS</t>
        </is>
      </c>
      <c r="O744" s="7" t="inlineStr">
        <is>
          <t>Antoine Mercier</t>
        </is>
      </c>
      <c r="P744" s="65" t="n">
        <v>45989.51041666666</v>
      </c>
      <c r="Q744" s="75" t="n">
        <v>45989.40625</v>
      </c>
      <c r="R744" s="75" t="n">
        <v>45989.47916666666</v>
      </c>
      <c r="S744" s="76" t="n">
        <v>1.8</v>
      </c>
      <c r="T744" s="76" t="n">
        <v>1.75</v>
      </c>
      <c r="U744" s="70">
        <f>IF($A744="","",IFERROR(INDEX('Techniciens'!$F$5:$F$44,MATCH(O744,'Techniciens'!$B$5:$B$44,0)),'Paramètres'!$AA$10))</f>
        <v/>
      </c>
      <c r="V744" s="70">
        <f>IF($A744="","",IF(OR(AC744="Demandé",AC744="Planifié",AC744="Annulé"),0,N(T744)*N(U744)))</f>
        <v/>
      </c>
      <c r="W744" s="70">
        <f>IF($A744="","",SUMIFS('Mouvements stock'!$H$5:$H$3004,'Mouvements stock'!$I$5:$I$3004,$A744,'Mouvements stock'!$C$5:$C$3004,"Sortie")-SUMIFS('Mouvements stock'!$H$5:$H$3004,'Mouvements stock'!$I$5:$I$3004,$A744,'Mouvements stock'!$C$5:$C$3004,"Retour"))</f>
        <v/>
      </c>
      <c r="X744" s="66" t="n">
        <v>0</v>
      </c>
      <c r="Y744" s="66" t="n">
        <v>0</v>
      </c>
      <c r="Z744" s="7" t="n"/>
      <c r="AA744" s="70">
        <f>IF($A744="","",N(V744)+N(W744)+N(X744)+N(Y744))</f>
        <v/>
      </c>
      <c r="AB744" s="70">
        <f>IF($A744="","",N(S744)*'Paramètres'!$AA$9*IFERROR(INDEX('Paramètres'!$O$5:$O$7,MATCH(G744,'Paramètres'!$N$5:$N$7,0)),0))</f>
        <v/>
      </c>
      <c r="AC744" s="7" t="inlineStr">
        <is>
          <t>Clôturé</t>
        </is>
      </c>
      <c r="AD744" s="69">
        <f>IF(OR($A744="",Q744=""),"",(Q744-B744)*24)</f>
        <v/>
      </c>
      <c r="AE744" s="69">
        <f>IF(OR(Q744="",R744=""),"",(R744-Q744)*24)</f>
        <v/>
      </c>
      <c r="AF744" s="77">
        <f>IF(OR($A744="",B744=""),"",YEAR(B744))</f>
        <v/>
      </c>
      <c r="AG744" s="77">
        <f>IF(OR($A744="",B744=""),"",MONTH(B744))</f>
        <v/>
      </c>
    </row>
    <row r="745">
      <c r="A745" s="7" t="inlineStr">
        <is>
          <t>OT-2025-0741</t>
        </is>
      </c>
      <c r="B745" s="75" t="n">
        <v>45982.61319444444</v>
      </c>
      <c r="C745" s="7" t="inlineStr">
        <is>
          <t>Sylvie Mathieu (resp. logistique)</t>
        </is>
      </c>
      <c r="D745" s="7" t="inlineStr">
        <is>
          <t>EQ-LOG-006</t>
        </is>
      </c>
      <c r="E745" s="9">
        <f>IF(D745="","",IFERROR(INDEX('Équipements'!$B$5:$B$304,MATCH(D745,'Équipements'!$A$5:$A$304,0)),"Code inconnu"))</f>
        <v/>
      </c>
      <c r="F745" s="9">
        <f>IF(D745="","",IFERROR(INDEX('Équipements'!$D$5:$D$304,MATCH(D745,'Équipements'!$A$5:$A$304,0)),""))</f>
        <v/>
      </c>
      <c r="G745" s="9">
        <f>IF(D745="","",IFERROR(INDEX('Équipements'!$K$5:$K$304,MATCH(D745,'Équipements'!$A$5:$A$304,0)),""))</f>
        <v/>
      </c>
      <c r="H745" s="7" t="inlineStr">
        <is>
          <t>Correctif</t>
        </is>
      </c>
      <c r="I745" s="7" t="n"/>
      <c r="J745" s="7" t="inlineStr">
        <is>
          <t>Électrique</t>
        </is>
      </c>
      <c r="K745" s="7" t="inlineStr">
        <is>
          <t>P1 - Urgent</t>
        </is>
      </c>
      <c r="L745" s="7" t="inlineStr">
        <is>
          <t>Défaut boîte à boutons de commande</t>
        </is>
      </c>
      <c r="M745" s="7" t="inlineStr">
        <is>
          <t>Défaut électrique</t>
        </is>
      </c>
      <c r="N745" s="7" t="inlineStr">
        <is>
          <t>Remplacement contacteur de boîte à boutons</t>
        </is>
      </c>
      <c r="O745" s="7" t="inlineStr">
        <is>
          <t>Antoine Mercier</t>
        </is>
      </c>
      <c r="P745" s="65" t="n"/>
      <c r="Q745" s="75" t="n">
        <v>45982.65277777778</v>
      </c>
      <c r="R745" s="75" t="n">
        <v>45982.77777777778</v>
      </c>
      <c r="S745" s="76" t="n">
        <v>4</v>
      </c>
      <c r="T745" s="76" t="n">
        <v>3</v>
      </c>
      <c r="U745" s="70">
        <f>IF($A745="","",IFERROR(INDEX('Techniciens'!$F$5:$F$44,MATCH(O745,'Techniciens'!$B$5:$B$44,0)),'Paramètres'!$AA$10))</f>
        <v/>
      </c>
      <c r="V745" s="70">
        <f>IF($A745="","",IF(OR(AC745="Demandé",AC745="Planifié",AC745="Annulé"),0,N(T745)*N(U745)))</f>
        <v/>
      </c>
      <c r="W745" s="70">
        <f>IF($A745="","",SUMIFS('Mouvements stock'!$H$5:$H$3004,'Mouvements stock'!$I$5:$I$3004,$A745,'Mouvements stock'!$C$5:$C$3004,"Sortie")-SUMIFS('Mouvements stock'!$H$5:$H$3004,'Mouvements stock'!$I$5:$I$3004,$A745,'Mouvements stock'!$C$5:$C$3004,"Retour"))</f>
        <v/>
      </c>
      <c r="X745" s="66" t="n">
        <v>0</v>
      </c>
      <c r="Y745" s="66" t="n">
        <v>0</v>
      </c>
      <c r="Z745" s="7" t="n"/>
      <c r="AA745" s="70">
        <f>IF($A745="","",N(V745)+N(W745)+N(X745)+N(Y745))</f>
        <v/>
      </c>
      <c r="AB745" s="70">
        <f>IF($A745="","",N(S745)*'Paramètres'!$AA$9*IFERROR(INDEX('Paramètres'!$O$5:$O$7,MATCH(G745,'Paramètres'!$N$5:$N$7,0)),0))</f>
        <v/>
      </c>
      <c r="AC745" s="7" t="inlineStr">
        <is>
          <t>Clôturé</t>
        </is>
      </c>
      <c r="AD745" s="69">
        <f>IF(OR($A745="",Q745=""),"",(Q745-B745)*24)</f>
        <v/>
      </c>
      <c r="AE745" s="69">
        <f>IF(OR(Q745="",R745=""),"",(R745-Q745)*24)</f>
        <v/>
      </c>
      <c r="AF745" s="77">
        <f>IF(OR($A745="",B745=""),"",YEAR(B745))</f>
        <v/>
      </c>
      <c r="AG745" s="77">
        <f>IF(OR($A745="",B745=""),"",MONTH(B745))</f>
        <v/>
      </c>
    </row>
    <row r="746">
      <c r="A746" s="7" t="inlineStr">
        <is>
          <t>OT-2025-0742</t>
        </is>
      </c>
      <c r="B746" s="75" t="n">
        <v>45982.71458333333</v>
      </c>
      <c r="C746" s="7" t="inlineStr">
        <is>
          <t>Inès Girard (cheffe d'équipe)</t>
        </is>
      </c>
      <c r="D746" s="7" t="inlineStr">
        <is>
          <t>EQ-PEI-003</t>
        </is>
      </c>
      <c r="E746" s="9">
        <f>IF(D746="","",IFERROR(INDEX('Équipements'!$B$5:$B$304,MATCH(D746,'Équipements'!$A$5:$A$304,0)),"Code inconnu"))</f>
        <v/>
      </c>
      <c r="F746" s="9">
        <f>IF(D746="","",IFERROR(INDEX('Équipements'!$D$5:$D$304,MATCH(D746,'Équipements'!$A$5:$A$304,0)),""))</f>
        <v/>
      </c>
      <c r="G746" s="9">
        <f>IF(D746="","",IFERROR(INDEX('Équipements'!$K$5:$K$304,MATCH(D746,'Équipements'!$A$5:$A$304,0)),""))</f>
        <v/>
      </c>
      <c r="H746" s="7" t="inlineStr">
        <is>
          <t>Correctif</t>
        </is>
      </c>
      <c r="I746" s="7" t="n"/>
      <c r="J746" s="7" t="inlineStr">
        <is>
          <t>Électrique</t>
        </is>
      </c>
      <c r="K746" s="7" t="inlineStr">
        <is>
          <t>P2 - Haute</t>
        </is>
      </c>
      <c r="L746" s="7" t="inlineStr">
        <is>
          <t>Ventilateur d'extraction en défaut</t>
        </is>
      </c>
      <c r="M746" s="7" t="inlineStr">
        <is>
          <t>Défaut électrique</t>
        </is>
      </c>
      <c r="N746" s="7" t="inlineStr">
        <is>
          <t>Remplacement contacteur et courroie</t>
        </is>
      </c>
      <c r="O746" s="7" t="inlineStr">
        <is>
          <t>Thomas Petit</t>
        </is>
      </c>
      <c r="P746" s="65" t="n"/>
      <c r="Q746" s="75" t="n">
        <v>45982.85486111111</v>
      </c>
      <c r="R746" s="75" t="n">
        <v>45983.03194444445</v>
      </c>
      <c r="S746" s="76" t="n">
        <v>7.6</v>
      </c>
      <c r="T746" s="76" t="n">
        <v>4.25</v>
      </c>
      <c r="U746" s="70">
        <f>IF($A746="","",IFERROR(INDEX('Techniciens'!$F$5:$F$44,MATCH(O746,'Techniciens'!$B$5:$B$44,0)),'Paramètres'!$AA$10))</f>
        <v/>
      </c>
      <c r="V746" s="70">
        <f>IF($A746="","",IF(OR(AC746="Demandé",AC746="Planifié",AC746="Annulé"),0,N(T746)*N(U746)))</f>
        <v/>
      </c>
      <c r="W746" s="70">
        <f>IF($A746="","",SUMIFS('Mouvements stock'!$H$5:$H$3004,'Mouvements stock'!$I$5:$I$3004,$A746,'Mouvements stock'!$C$5:$C$3004,"Sortie")-SUMIFS('Mouvements stock'!$H$5:$H$3004,'Mouvements stock'!$I$5:$I$3004,$A746,'Mouvements stock'!$C$5:$C$3004,"Retour"))</f>
        <v/>
      </c>
      <c r="X746" s="66" t="n">
        <v>841</v>
      </c>
      <c r="Y746" s="66" t="n">
        <v>0</v>
      </c>
      <c r="Z746" s="7" t="n"/>
      <c r="AA746" s="70">
        <f>IF($A746="","",N(V746)+N(W746)+N(X746)+N(Y746))</f>
        <v/>
      </c>
      <c r="AB746" s="70">
        <f>IF($A746="","",N(S746)*'Paramètres'!$AA$9*IFERROR(INDEX('Paramètres'!$O$5:$O$7,MATCH(G746,'Paramètres'!$N$5:$N$7,0)),0))</f>
        <v/>
      </c>
      <c r="AC746" s="7" t="inlineStr">
        <is>
          <t>Clôturé</t>
        </is>
      </c>
      <c r="AD746" s="69">
        <f>IF(OR($A746="",Q746=""),"",(Q746-B746)*24)</f>
        <v/>
      </c>
      <c r="AE746" s="69">
        <f>IF(OR(Q746="",R746=""),"",(R746-Q746)*24)</f>
        <v/>
      </c>
      <c r="AF746" s="77">
        <f>IF(OR($A746="",B746=""),"",YEAR(B746))</f>
        <v/>
      </c>
      <c r="AG746" s="77">
        <f>IF(OR($A746="",B746=""),"",MONTH(B746))</f>
        <v/>
      </c>
    </row>
    <row r="747">
      <c r="A747" s="7" t="inlineStr">
        <is>
          <t>OT-2025-0743</t>
        </is>
      </c>
      <c r="B747" s="75" t="n">
        <v>45982.88333333333</v>
      </c>
      <c r="C747" s="7" t="inlineStr">
        <is>
          <t>Opérateur peinture</t>
        </is>
      </c>
      <c r="D747" s="7" t="inlineStr">
        <is>
          <t>EQ-PEI-002</t>
        </is>
      </c>
      <c r="E747" s="9">
        <f>IF(D747="","",IFERROR(INDEX('Équipements'!$B$5:$B$304,MATCH(D747,'Équipements'!$A$5:$A$304,0)),"Code inconnu"))</f>
        <v/>
      </c>
      <c r="F747" s="9">
        <f>IF(D747="","",IFERROR(INDEX('Équipements'!$D$5:$D$304,MATCH(D747,'Équipements'!$A$5:$A$304,0)),""))</f>
        <v/>
      </c>
      <c r="G747" s="9">
        <f>IF(D747="","",IFERROR(INDEX('Équipements'!$K$5:$K$304,MATCH(D747,'Équipements'!$A$5:$A$304,0)),""))</f>
        <v/>
      </c>
      <c r="H747" s="7" t="inlineStr">
        <is>
          <t>Correctif</t>
        </is>
      </c>
      <c r="I747" s="7" t="n"/>
      <c r="J747" s="7" t="inlineStr">
        <is>
          <t>Pneumatique</t>
        </is>
      </c>
      <c r="K747" s="7" t="inlineStr">
        <is>
          <t>P1 - Urgent</t>
        </is>
      </c>
      <c r="L747" s="7" t="inlineStr">
        <is>
          <t>Pistolet poudre : débit irrégulier</t>
        </is>
      </c>
      <c r="M747" s="7" t="inlineStr">
        <is>
          <t>Usure</t>
        </is>
      </c>
      <c r="N747" s="7" t="inlineStr">
        <is>
          <t>Remplacement injecteur et buse</t>
        </is>
      </c>
      <c r="O747" s="7" t="inlineStr">
        <is>
          <t>Julien Moreau</t>
        </is>
      </c>
      <c r="P747" s="65" t="n"/>
      <c r="Q747" s="75" t="n">
        <v>45982.9125</v>
      </c>
      <c r="R747" s="75" t="n">
        <v>45983.04791666667</v>
      </c>
      <c r="S747" s="76" t="n">
        <v>4</v>
      </c>
      <c r="T747" s="76" t="n">
        <v>3.25</v>
      </c>
      <c r="U747" s="70">
        <f>IF($A747="","",IFERROR(INDEX('Techniciens'!$F$5:$F$44,MATCH(O747,'Techniciens'!$B$5:$B$44,0)),'Paramètres'!$AA$10))</f>
        <v/>
      </c>
      <c r="V747" s="70">
        <f>IF($A747="","",IF(OR(AC747="Demandé",AC747="Planifié",AC747="Annulé"),0,N(T747)*N(U747)))</f>
        <v/>
      </c>
      <c r="W747" s="70">
        <f>IF($A747="","",SUMIFS('Mouvements stock'!$H$5:$H$3004,'Mouvements stock'!$I$5:$I$3004,$A747,'Mouvements stock'!$C$5:$C$3004,"Sortie")-SUMIFS('Mouvements stock'!$H$5:$H$3004,'Mouvements stock'!$I$5:$I$3004,$A747,'Mouvements stock'!$C$5:$C$3004,"Retour"))</f>
        <v/>
      </c>
      <c r="X747" s="66" t="n">
        <v>0</v>
      </c>
      <c r="Y747" s="66" t="n">
        <v>0</v>
      </c>
      <c r="Z747" s="7" t="n"/>
      <c r="AA747" s="70">
        <f>IF($A747="","",N(V747)+N(W747)+N(X747)+N(Y747))</f>
        <v/>
      </c>
      <c r="AB747" s="70">
        <f>IF($A747="","",N(S747)*'Paramètres'!$AA$9*IFERROR(INDEX('Paramètres'!$O$5:$O$7,MATCH(G747,'Paramètres'!$N$5:$N$7,0)),0))</f>
        <v/>
      </c>
      <c r="AC747" s="7" t="inlineStr">
        <is>
          <t>Clôturé</t>
        </is>
      </c>
      <c r="AD747" s="69">
        <f>IF(OR($A747="",Q747=""),"",(Q747-B747)*24)</f>
        <v/>
      </c>
      <c r="AE747" s="69">
        <f>IF(OR(Q747="",R747=""),"",(R747-Q747)*24)</f>
        <v/>
      </c>
      <c r="AF747" s="77">
        <f>IF(OR($A747="",B747=""),"",YEAR(B747))</f>
        <v/>
      </c>
      <c r="AG747" s="77">
        <f>IF(OR($A747="",B747=""),"",MONTH(B747))</f>
        <v/>
      </c>
    </row>
    <row r="748">
      <c r="A748" s="7" t="inlineStr">
        <is>
          <t>OT-2025-0744</t>
        </is>
      </c>
      <c r="B748" s="75" t="n">
        <v>45983.60486111111</v>
      </c>
      <c r="C748" s="7" t="inlineStr">
        <is>
          <t>Opérateur peinture</t>
        </is>
      </c>
      <c r="D748" s="7" t="inlineStr">
        <is>
          <t>EQ-PEI-004</t>
        </is>
      </c>
      <c r="E748" s="9">
        <f>IF(D748="","",IFERROR(INDEX('Équipements'!$B$5:$B$304,MATCH(D748,'Équipements'!$A$5:$A$304,0)),"Code inconnu"))</f>
        <v/>
      </c>
      <c r="F748" s="9">
        <f>IF(D748="","",IFERROR(INDEX('Équipements'!$D$5:$D$304,MATCH(D748,'Équipements'!$A$5:$A$304,0)),""))</f>
        <v/>
      </c>
      <c r="G748" s="9">
        <f>IF(D748="","",IFERROR(INDEX('Équipements'!$K$5:$K$304,MATCH(D748,'Équipements'!$A$5:$A$304,0)),""))</f>
        <v/>
      </c>
      <c r="H748" s="7" t="inlineStr">
        <is>
          <t>Correctif</t>
        </is>
      </c>
      <c r="I748" s="7" t="n"/>
      <c r="J748" s="7" t="inlineStr">
        <is>
          <t>Électrique</t>
        </is>
      </c>
      <c r="K748" s="7" t="inlineStr">
        <is>
          <t>P1 - Urgent</t>
        </is>
      </c>
      <c r="L748" s="7" t="inlineStr">
        <is>
          <t>Défaut variateur de vitesse</t>
        </is>
      </c>
      <c r="M748" s="7" t="n"/>
      <c r="N748" s="7" t="inlineStr">
        <is>
          <t>Doublon de demande - annulé</t>
        </is>
      </c>
      <c r="O748" s="7" t="inlineStr">
        <is>
          <t>Antoine Mercier</t>
        </is>
      </c>
      <c r="P748" s="65" t="n"/>
      <c r="Q748" s="75" t="n"/>
      <c r="R748" s="75" t="n"/>
      <c r="S748" s="76" t="n">
        <v>0</v>
      </c>
      <c r="T748" s="76" t="n">
        <v>0</v>
      </c>
      <c r="U748" s="70">
        <f>IF($A748="","",IFERROR(INDEX('Techniciens'!$F$5:$F$44,MATCH(O748,'Techniciens'!$B$5:$B$44,0)),'Paramètres'!$AA$10))</f>
        <v/>
      </c>
      <c r="V748" s="70">
        <f>IF($A748="","",IF(OR(AC748="Demandé",AC748="Planifié",AC748="Annulé"),0,N(T748)*N(U748)))</f>
        <v/>
      </c>
      <c r="W748" s="70">
        <f>IF($A748="","",SUMIFS('Mouvements stock'!$H$5:$H$3004,'Mouvements stock'!$I$5:$I$3004,$A748,'Mouvements stock'!$C$5:$C$3004,"Sortie")-SUMIFS('Mouvements stock'!$H$5:$H$3004,'Mouvements stock'!$I$5:$I$3004,$A748,'Mouvements stock'!$C$5:$C$3004,"Retour"))</f>
        <v/>
      </c>
      <c r="X748" s="66" t="n">
        <v>0</v>
      </c>
      <c r="Y748" s="66" t="n">
        <v>0</v>
      </c>
      <c r="Z748" s="7" t="n"/>
      <c r="AA748" s="70">
        <f>IF($A748="","",N(V748)+N(W748)+N(X748)+N(Y748))</f>
        <v/>
      </c>
      <c r="AB748" s="70">
        <f>IF($A748="","",N(S748)*'Paramètres'!$AA$9*IFERROR(INDEX('Paramètres'!$O$5:$O$7,MATCH(G748,'Paramètres'!$N$5:$N$7,0)),0))</f>
        <v/>
      </c>
      <c r="AC748" s="7" t="inlineStr">
        <is>
          <t>Annulé</t>
        </is>
      </c>
      <c r="AD748" s="69">
        <f>IF(OR($A748="",Q748=""),"",(Q748-B748)*24)</f>
        <v/>
      </c>
      <c r="AE748" s="69">
        <f>IF(OR(Q748="",R748=""),"",(R748-Q748)*24)</f>
        <v/>
      </c>
      <c r="AF748" s="77">
        <f>IF(OR($A748="",B748=""),"",YEAR(B748))</f>
        <v/>
      </c>
      <c r="AG748" s="77">
        <f>IF(OR($A748="",B748=""),"",MONTH(B748))</f>
        <v/>
      </c>
    </row>
    <row r="749">
      <c r="A749" s="7" t="inlineStr">
        <is>
          <t>OT-2025-0745</t>
        </is>
      </c>
      <c r="B749" s="75" t="n">
        <v>45985.29305555556</v>
      </c>
      <c r="C749" s="7" t="inlineStr">
        <is>
          <t>Éric Laurent (chef d'atelier)</t>
        </is>
      </c>
      <c r="D749" s="7" t="inlineStr">
        <is>
          <t>EQ-USI-009</t>
        </is>
      </c>
      <c r="E749" s="9">
        <f>IF(D749="","",IFERROR(INDEX('Équipements'!$B$5:$B$304,MATCH(D749,'Équipements'!$A$5:$A$304,0)),"Code inconnu"))</f>
        <v/>
      </c>
      <c r="F749" s="9">
        <f>IF(D749="","",IFERROR(INDEX('Équipements'!$D$5:$D$304,MATCH(D749,'Équipements'!$A$5:$A$304,0)),""))</f>
        <v/>
      </c>
      <c r="G749" s="9">
        <f>IF(D749="","",IFERROR(INDEX('Équipements'!$K$5:$K$304,MATCH(D749,'Équipements'!$A$5:$A$304,0)),""))</f>
        <v/>
      </c>
      <c r="H749" s="7" t="inlineStr">
        <is>
          <t>Correctif</t>
        </is>
      </c>
      <c r="I749" s="7" t="n"/>
      <c r="J749" s="7" t="inlineStr">
        <is>
          <t>Mécanique</t>
        </is>
      </c>
      <c r="K749" s="7" t="inlineStr">
        <is>
          <t>P2 - Haute</t>
        </is>
      </c>
      <c r="L749" s="7" t="inlineStr">
        <is>
          <t>Lame cassée</t>
        </is>
      </c>
      <c r="M749" s="7" t="inlineStr">
        <is>
          <t>Usure</t>
        </is>
      </c>
      <c r="N749" s="7" t="inlineStr">
        <is>
          <t>Remplacement lame, contrôle guides</t>
        </is>
      </c>
      <c r="O749" s="7" t="inlineStr">
        <is>
          <t>Antoine Mercier</t>
        </is>
      </c>
      <c r="P749" s="65" t="n"/>
      <c r="Q749" s="75" t="n">
        <v>45985.53125</v>
      </c>
      <c r="R749" s="75" t="n">
        <v>45985.67708333334</v>
      </c>
      <c r="S749" s="76" t="n">
        <v>0</v>
      </c>
      <c r="T749" s="76" t="n">
        <v>3.5</v>
      </c>
      <c r="U749" s="70">
        <f>IF($A749="","",IFERROR(INDEX('Techniciens'!$F$5:$F$44,MATCH(O749,'Techniciens'!$B$5:$B$44,0)),'Paramètres'!$AA$10))</f>
        <v/>
      </c>
      <c r="V749" s="70">
        <f>IF($A749="","",IF(OR(AC749="Demandé",AC749="Planifié",AC749="Annulé"),0,N(T749)*N(U749)))</f>
        <v/>
      </c>
      <c r="W749" s="70">
        <f>IF($A749="","",SUMIFS('Mouvements stock'!$H$5:$H$3004,'Mouvements stock'!$I$5:$I$3004,$A749,'Mouvements stock'!$C$5:$C$3004,"Sortie")-SUMIFS('Mouvements stock'!$H$5:$H$3004,'Mouvements stock'!$I$5:$I$3004,$A749,'Mouvements stock'!$C$5:$C$3004,"Retour"))</f>
        <v/>
      </c>
      <c r="X749" s="66" t="n">
        <v>0</v>
      </c>
      <c r="Y749" s="66" t="n">
        <v>0</v>
      </c>
      <c r="Z749" s="7" t="n"/>
      <c r="AA749" s="70">
        <f>IF($A749="","",N(V749)+N(W749)+N(X749)+N(Y749))</f>
        <v/>
      </c>
      <c r="AB749" s="70">
        <f>IF($A749="","",N(S749)*'Paramètres'!$AA$9*IFERROR(INDEX('Paramètres'!$O$5:$O$7,MATCH(G749,'Paramètres'!$N$5:$N$7,0)),0))</f>
        <v/>
      </c>
      <c r="AC749" s="7" t="inlineStr">
        <is>
          <t>Clôturé</t>
        </is>
      </c>
      <c r="AD749" s="69">
        <f>IF(OR($A749="",Q749=""),"",(Q749-B749)*24)</f>
        <v/>
      </c>
      <c r="AE749" s="69">
        <f>IF(OR(Q749="",R749=""),"",(R749-Q749)*24)</f>
        <v/>
      </c>
      <c r="AF749" s="77">
        <f>IF(OR($A749="",B749=""),"",YEAR(B749))</f>
        <v/>
      </c>
      <c r="AG749" s="77">
        <f>IF(OR($A749="",B749=""),"",MONTH(B749))</f>
        <v/>
      </c>
    </row>
    <row r="750">
      <c r="A750" s="7" t="inlineStr">
        <is>
          <t>OT-2025-0746</t>
        </is>
      </c>
      <c r="B750" s="75" t="n">
        <v>45985.38194444445</v>
      </c>
      <c r="C750" s="7" t="inlineStr">
        <is>
          <t>Plan préventif</t>
        </is>
      </c>
      <c r="D750" s="7" t="inlineStr">
        <is>
          <t>EQ-USI-009</t>
        </is>
      </c>
      <c r="E750" s="9">
        <f>IF(D750="","",IFERROR(INDEX('Équipements'!$B$5:$B$304,MATCH(D750,'Équipements'!$A$5:$A$304,0)),"Code inconnu"))</f>
        <v/>
      </c>
      <c r="F750" s="9">
        <f>IF(D750="","",IFERROR(INDEX('Équipements'!$D$5:$D$304,MATCH(D750,'Équipements'!$A$5:$A$304,0)),""))</f>
        <v/>
      </c>
      <c r="G750" s="9">
        <f>IF(D750="","",IFERROR(INDEX('Équipements'!$K$5:$K$304,MATCH(D750,'Équipements'!$A$5:$A$304,0)),""))</f>
        <v/>
      </c>
      <c r="H750" s="7" t="inlineStr">
        <is>
          <t>Préventif systématique</t>
        </is>
      </c>
      <c r="I750" s="7" t="inlineStr">
        <is>
          <t>GP-030</t>
        </is>
      </c>
      <c r="J750" s="7" t="inlineStr">
        <is>
          <t>Mécanique</t>
        </is>
      </c>
      <c r="K750" s="7" t="inlineStr">
        <is>
          <t>P3 - Normale</t>
        </is>
      </c>
      <c r="L750" s="7" t="inlineStr">
        <is>
          <t>Contrôle lame, guides et liquide de coupe</t>
        </is>
      </c>
      <c r="M750" s="7" t="n"/>
      <c r="N750" s="7" t="inlineStr">
        <is>
          <t>Gamme réalisée - RAS</t>
        </is>
      </c>
      <c r="O750" s="7" t="inlineStr">
        <is>
          <t>Karim Benali</t>
        </is>
      </c>
      <c r="P750" s="65" t="n">
        <v>45992.31944444445</v>
      </c>
      <c r="Q750" s="75" t="n">
        <v>45992.56944444445</v>
      </c>
      <c r="R750" s="75" t="n">
        <v>45992.60069444445</v>
      </c>
      <c r="S750" s="76" t="n">
        <v>0.4</v>
      </c>
      <c r="T750" s="76" t="n">
        <v>0.75</v>
      </c>
      <c r="U750" s="70">
        <f>IF($A750="","",IFERROR(INDEX('Techniciens'!$F$5:$F$44,MATCH(O750,'Techniciens'!$B$5:$B$44,0)),'Paramètres'!$AA$10))</f>
        <v/>
      </c>
      <c r="V750" s="70">
        <f>IF($A750="","",IF(OR(AC750="Demandé",AC750="Planifié",AC750="Annulé"),0,N(T750)*N(U750)))</f>
        <v/>
      </c>
      <c r="W750" s="70">
        <f>IF($A750="","",SUMIFS('Mouvements stock'!$H$5:$H$3004,'Mouvements stock'!$I$5:$I$3004,$A750,'Mouvements stock'!$C$5:$C$3004,"Sortie")-SUMIFS('Mouvements stock'!$H$5:$H$3004,'Mouvements stock'!$I$5:$I$3004,$A750,'Mouvements stock'!$C$5:$C$3004,"Retour"))</f>
        <v/>
      </c>
      <c r="X750" s="66" t="n">
        <v>0</v>
      </c>
      <c r="Y750" s="66" t="n">
        <v>0</v>
      </c>
      <c r="Z750" s="7" t="n"/>
      <c r="AA750" s="70">
        <f>IF($A750="","",N(V750)+N(W750)+N(X750)+N(Y750))</f>
        <v/>
      </c>
      <c r="AB750" s="70">
        <f>IF($A750="","",N(S750)*'Paramètres'!$AA$9*IFERROR(INDEX('Paramètres'!$O$5:$O$7,MATCH(G750,'Paramètres'!$N$5:$N$7,0)),0))</f>
        <v/>
      </c>
      <c r="AC750" s="7" t="inlineStr">
        <is>
          <t>Clôturé</t>
        </is>
      </c>
      <c r="AD750" s="69">
        <f>IF(OR($A750="",Q750=""),"",(Q750-B750)*24)</f>
        <v/>
      </c>
      <c r="AE750" s="69">
        <f>IF(OR(Q750="",R750=""),"",(R750-Q750)*24)</f>
        <v/>
      </c>
      <c r="AF750" s="77">
        <f>IF(OR($A750="",B750=""),"",YEAR(B750))</f>
        <v/>
      </c>
      <c r="AG750" s="77">
        <f>IF(OR($A750="",B750=""),"",MONTH(B750))</f>
        <v/>
      </c>
    </row>
    <row r="751">
      <c r="A751" s="7" t="inlineStr">
        <is>
          <t>OT-2025-0747</t>
        </is>
      </c>
      <c r="B751" s="75" t="n">
        <v>45985.40277777778</v>
      </c>
      <c r="C751" s="7" t="inlineStr">
        <is>
          <t>Plan préventif</t>
        </is>
      </c>
      <c r="D751" s="7" t="inlineStr">
        <is>
          <t>EQ-UTI-008</t>
        </is>
      </c>
      <c r="E751" s="9">
        <f>IF(D751="","",IFERROR(INDEX('Équipements'!$B$5:$B$304,MATCH(D751,'Équipements'!$A$5:$A$304,0)),"Code inconnu"))</f>
        <v/>
      </c>
      <c r="F751" s="9">
        <f>IF(D751="","",IFERROR(INDEX('Équipements'!$D$5:$D$304,MATCH(D751,'Équipements'!$A$5:$A$304,0)),""))</f>
        <v/>
      </c>
      <c r="G751" s="9">
        <f>IF(D751="","",IFERROR(INDEX('Équipements'!$K$5:$K$304,MATCH(D751,'Équipements'!$A$5:$A$304,0)),""))</f>
        <v/>
      </c>
      <c r="H751" s="7" t="inlineStr">
        <is>
          <t>Préventif systématique</t>
        </is>
      </c>
      <c r="I751" s="7" t="inlineStr">
        <is>
          <t>GP-100</t>
        </is>
      </c>
      <c r="J751" s="7" t="inlineStr">
        <is>
          <t>Électrique</t>
        </is>
      </c>
      <c r="K751" s="7" t="inlineStr">
        <is>
          <t>P3 - Normale</t>
        </is>
      </c>
      <c r="L751" s="7" t="inlineStr">
        <is>
          <t>Essai de fonctionnement / contrôle visuel</t>
        </is>
      </c>
      <c r="M751" s="7" t="n"/>
      <c r="N751" s="7" t="inlineStr">
        <is>
          <t>Gamme réalisée - RAS</t>
        </is>
      </c>
      <c r="O751" s="7" t="inlineStr">
        <is>
          <t>Julien Moreau</t>
        </is>
      </c>
      <c r="P751" s="65" t="n">
        <v>45992.42361111111</v>
      </c>
      <c r="Q751" s="75" t="n">
        <v>45992.36805555555</v>
      </c>
      <c r="R751" s="75" t="n">
        <v>45992.43055555555</v>
      </c>
      <c r="S751" s="76" t="n">
        <v>0</v>
      </c>
      <c r="T751" s="76" t="n">
        <v>1.5</v>
      </c>
      <c r="U751" s="70">
        <f>IF($A751="","",IFERROR(INDEX('Techniciens'!$F$5:$F$44,MATCH(O751,'Techniciens'!$B$5:$B$44,0)),'Paramètres'!$AA$10))</f>
        <v/>
      </c>
      <c r="V751" s="70">
        <f>IF($A751="","",IF(OR(AC751="Demandé",AC751="Planifié",AC751="Annulé"),0,N(T751)*N(U751)))</f>
        <v/>
      </c>
      <c r="W751" s="70">
        <f>IF($A751="","",SUMIFS('Mouvements stock'!$H$5:$H$3004,'Mouvements stock'!$I$5:$I$3004,$A751,'Mouvements stock'!$C$5:$C$3004,"Sortie")-SUMIFS('Mouvements stock'!$H$5:$H$3004,'Mouvements stock'!$I$5:$I$3004,$A751,'Mouvements stock'!$C$5:$C$3004,"Retour"))</f>
        <v/>
      </c>
      <c r="X751" s="66" t="n">
        <v>0</v>
      </c>
      <c r="Y751" s="66" t="n">
        <v>0</v>
      </c>
      <c r="Z751" s="7" t="n"/>
      <c r="AA751" s="70">
        <f>IF($A751="","",N(V751)+N(W751)+N(X751)+N(Y751))</f>
        <v/>
      </c>
      <c r="AB751" s="70">
        <f>IF($A751="","",N(S751)*'Paramètres'!$AA$9*IFERROR(INDEX('Paramètres'!$O$5:$O$7,MATCH(G751,'Paramètres'!$N$5:$N$7,0)),0))</f>
        <v/>
      </c>
      <c r="AC751" s="7" t="inlineStr">
        <is>
          <t>Clôturé</t>
        </is>
      </c>
      <c r="AD751" s="69">
        <f>IF(OR($A751="",Q751=""),"",(Q751-B751)*24)</f>
        <v/>
      </c>
      <c r="AE751" s="69">
        <f>IF(OR(Q751="",R751=""),"",(R751-Q751)*24)</f>
        <v/>
      </c>
      <c r="AF751" s="77">
        <f>IF(OR($A751="",B751=""),"",YEAR(B751))</f>
        <v/>
      </c>
      <c r="AG751" s="77">
        <f>IF(OR($A751="",B751=""),"",MONTH(B751))</f>
        <v/>
      </c>
    </row>
    <row r="752">
      <c r="A752" s="7" t="inlineStr">
        <is>
          <t>OT-2025-0748</t>
        </is>
      </c>
      <c r="B752" s="75" t="n">
        <v>45985.43055555555</v>
      </c>
      <c r="C752" s="7" t="inlineStr">
        <is>
          <t>Plan préventif</t>
        </is>
      </c>
      <c r="D752" s="7" t="inlineStr">
        <is>
          <t>EQ-USI-004</t>
        </is>
      </c>
      <c r="E752" s="9">
        <f>IF(D752="","",IFERROR(INDEX('Équipements'!$B$5:$B$304,MATCH(D752,'Équipements'!$A$5:$A$304,0)),"Code inconnu"))</f>
        <v/>
      </c>
      <c r="F752" s="9">
        <f>IF(D752="","",IFERROR(INDEX('Équipements'!$D$5:$D$304,MATCH(D752,'Équipements'!$A$5:$A$304,0)),""))</f>
        <v/>
      </c>
      <c r="G752" s="9">
        <f>IF(D752="","",IFERROR(INDEX('Équipements'!$K$5:$K$304,MATCH(D752,'Équipements'!$A$5:$A$304,0)),""))</f>
        <v/>
      </c>
      <c r="H752" s="7" t="inlineStr">
        <is>
          <t>Préventif systématique</t>
        </is>
      </c>
      <c r="I752" s="7" t="inlineStr">
        <is>
          <t>GP-013</t>
        </is>
      </c>
      <c r="J752" s="7" t="inlineStr">
        <is>
          <t>Mécanique</t>
        </is>
      </c>
      <c r="K752" s="7" t="inlineStr">
        <is>
          <t>P3 - Normale</t>
        </is>
      </c>
      <c r="L752" s="7" t="inlineStr">
        <is>
          <t>Contrôle niveaux, nettoyage filtres et bac à copeaux</t>
        </is>
      </c>
      <c r="M752" s="7" t="n"/>
      <c r="N752" s="7" t="inlineStr">
        <is>
          <t>Gamme réalisée - RAS</t>
        </is>
      </c>
      <c r="O752" s="7" t="inlineStr">
        <is>
          <t>Lucas Fontaine</t>
        </is>
      </c>
      <c r="P752" s="65" t="n">
        <v>45992.58333333334</v>
      </c>
      <c r="Q752" s="75" t="n">
        <v>45992.34375</v>
      </c>
      <c r="R752" s="75" t="n">
        <v>45992.39583333334</v>
      </c>
      <c r="S752" s="76" t="n">
        <v>0</v>
      </c>
      <c r="T752" s="76" t="n">
        <v>1.25</v>
      </c>
      <c r="U752" s="70">
        <f>IF($A752="","",IFERROR(INDEX('Techniciens'!$F$5:$F$44,MATCH(O752,'Techniciens'!$B$5:$B$44,0)),'Paramètres'!$AA$10))</f>
        <v/>
      </c>
      <c r="V752" s="70">
        <f>IF($A752="","",IF(OR(AC752="Demandé",AC752="Planifié",AC752="Annulé"),0,N(T752)*N(U752)))</f>
        <v/>
      </c>
      <c r="W752" s="70">
        <f>IF($A752="","",SUMIFS('Mouvements stock'!$H$5:$H$3004,'Mouvements stock'!$I$5:$I$3004,$A752,'Mouvements stock'!$C$5:$C$3004,"Sortie")-SUMIFS('Mouvements stock'!$H$5:$H$3004,'Mouvements stock'!$I$5:$I$3004,$A752,'Mouvements stock'!$C$5:$C$3004,"Retour"))</f>
        <v/>
      </c>
      <c r="X752" s="66" t="n">
        <v>0</v>
      </c>
      <c r="Y752" s="66" t="n">
        <v>0</v>
      </c>
      <c r="Z752" s="7" t="n"/>
      <c r="AA752" s="70">
        <f>IF($A752="","",N(V752)+N(W752)+N(X752)+N(Y752))</f>
        <v/>
      </c>
      <c r="AB752" s="70">
        <f>IF($A752="","",N(S752)*'Paramètres'!$AA$9*IFERROR(INDEX('Paramètres'!$O$5:$O$7,MATCH(G752,'Paramètres'!$N$5:$N$7,0)),0))</f>
        <v/>
      </c>
      <c r="AC752" s="7" t="inlineStr">
        <is>
          <t>Clôturé</t>
        </is>
      </c>
      <c r="AD752" s="69">
        <f>IF(OR($A752="",Q752=""),"",(Q752-B752)*24)</f>
        <v/>
      </c>
      <c r="AE752" s="69">
        <f>IF(OR(Q752="",R752=""),"",(R752-Q752)*24)</f>
        <v/>
      </c>
      <c r="AF752" s="77">
        <f>IF(OR($A752="",B752=""),"",YEAR(B752))</f>
        <v/>
      </c>
      <c r="AG752" s="77">
        <f>IF(OR($A752="",B752=""),"",MONTH(B752))</f>
        <v/>
      </c>
    </row>
    <row r="753">
      <c r="A753" s="7" t="inlineStr">
        <is>
          <t>OT-2025-0749</t>
        </is>
      </c>
      <c r="B753" s="75" t="n">
        <v>45985.4375</v>
      </c>
      <c r="C753" s="7" t="inlineStr">
        <is>
          <t>Plan préventif</t>
        </is>
      </c>
      <c r="D753" s="7" t="inlineStr">
        <is>
          <t>EQ-LOG-004</t>
        </is>
      </c>
      <c r="E753" s="9">
        <f>IF(D753="","",IFERROR(INDEX('Équipements'!$B$5:$B$304,MATCH(D753,'Équipements'!$A$5:$A$304,0)),"Code inconnu"))</f>
        <v/>
      </c>
      <c r="F753" s="9">
        <f>IF(D753="","",IFERROR(INDEX('Équipements'!$D$5:$D$304,MATCH(D753,'Équipements'!$A$5:$A$304,0)),""))</f>
        <v/>
      </c>
      <c r="G753" s="9">
        <f>IF(D753="","",IFERROR(INDEX('Équipements'!$K$5:$K$304,MATCH(D753,'Équipements'!$A$5:$A$304,0)),""))</f>
        <v/>
      </c>
      <c r="H753" s="7" t="inlineStr">
        <is>
          <t>Préventif systématique</t>
        </is>
      </c>
      <c r="I753" s="7" t="inlineStr">
        <is>
          <t>GP-111</t>
        </is>
      </c>
      <c r="J753" s="7" t="inlineStr">
        <is>
          <t>Multi-technique</t>
        </is>
      </c>
      <c r="K753" s="7" t="inlineStr">
        <is>
          <t>P3 - Normale</t>
        </is>
      </c>
      <c r="L753" s="7" t="inlineStr">
        <is>
          <t>Entretien périodique constructeur</t>
        </is>
      </c>
      <c r="M753" s="7" t="n"/>
      <c r="N753" s="7" t="inlineStr">
        <is>
          <t>Gamme réalisée - RAS</t>
        </is>
      </c>
      <c r="O753" s="7" t="inlineStr">
        <is>
          <t>Antoine Mercier</t>
        </is>
      </c>
      <c r="P753" s="65" t="n">
        <v>45992.79166666666</v>
      </c>
      <c r="Q753" s="75" t="n">
        <v>45992.60416666666</v>
      </c>
      <c r="R753" s="75" t="n">
        <v>45992.77083333334</v>
      </c>
      <c r="S753" s="76" t="n">
        <v>2</v>
      </c>
      <c r="T753" s="76" t="n">
        <v>2</v>
      </c>
      <c r="U753" s="70">
        <f>IF($A753="","",IFERROR(INDEX('Techniciens'!$F$5:$F$44,MATCH(O753,'Techniciens'!$B$5:$B$44,0)),'Paramètres'!$AA$10))</f>
        <v/>
      </c>
      <c r="V753" s="70">
        <f>IF($A753="","",IF(OR(AC753="Demandé",AC753="Planifié",AC753="Annulé"),0,N(T753)*N(U753)))</f>
        <v/>
      </c>
      <c r="W753" s="70">
        <f>IF($A753="","",SUMIFS('Mouvements stock'!$H$5:$H$3004,'Mouvements stock'!$I$5:$I$3004,$A753,'Mouvements stock'!$C$5:$C$3004,"Sortie")-SUMIFS('Mouvements stock'!$H$5:$H$3004,'Mouvements stock'!$I$5:$I$3004,$A753,'Mouvements stock'!$C$5:$C$3004,"Retour"))</f>
        <v/>
      </c>
      <c r="X753" s="66" t="n">
        <v>0</v>
      </c>
      <c r="Y753" s="66" t="n">
        <v>400</v>
      </c>
      <c r="Z753" s="7" t="inlineStr">
        <is>
          <t>Manutention Services 44</t>
        </is>
      </c>
      <c r="AA753" s="70">
        <f>IF($A753="","",N(V753)+N(W753)+N(X753)+N(Y753))</f>
        <v/>
      </c>
      <c r="AB753" s="70">
        <f>IF($A753="","",N(S753)*'Paramètres'!$AA$9*IFERROR(INDEX('Paramètres'!$O$5:$O$7,MATCH(G753,'Paramètres'!$N$5:$N$7,0)),0))</f>
        <v/>
      </c>
      <c r="AC753" s="7" t="inlineStr">
        <is>
          <t>Clôturé</t>
        </is>
      </c>
      <c r="AD753" s="69">
        <f>IF(OR($A753="",Q753=""),"",(Q753-B753)*24)</f>
        <v/>
      </c>
      <c r="AE753" s="69">
        <f>IF(OR(Q753="",R753=""),"",(R753-Q753)*24)</f>
        <v/>
      </c>
      <c r="AF753" s="77">
        <f>IF(OR($A753="",B753=""),"",YEAR(B753))</f>
        <v/>
      </c>
      <c r="AG753" s="77">
        <f>IF(OR($A753="",B753=""),"",MONTH(B753))</f>
        <v/>
      </c>
    </row>
    <row r="754">
      <c r="A754" s="7" t="inlineStr">
        <is>
          <t>OT-2025-0750</t>
        </is>
      </c>
      <c r="B754" s="75" t="n">
        <v>45985.44444444445</v>
      </c>
      <c r="C754" s="7" t="inlineStr">
        <is>
          <t>Plan préventif</t>
        </is>
      </c>
      <c r="D754" s="7" t="inlineStr">
        <is>
          <t>EQ-USI-005</t>
        </is>
      </c>
      <c r="E754" s="9">
        <f>IF(D754="","",IFERROR(INDEX('Équipements'!$B$5:$B$304,MATCH(D754,'Équipements'!$A$5:$A$304,0)),"Code inconnu"))</f>
        <v/>
      </c>
      <c r="F754" s="9">
        <f>IF(D754="","",IFERROR(INDEX('Équipements'!$D$5:$D$304,MATCH(D754,'Équipements'!$A$5:$A$304,0)),""))</f>
        <v/>
      </c>
      <c r="G754" s="9">
        <f>IF(D754="","",IFERROR(INDEX('Équipements'!$K$5:$K$304,MATCH(D754,'Équipements'!$A$5:$A$304,0)),""))</f>
        <v/>
      </c>
      <c r="H754" s="7" t="inlineStr">
        <is>
          <t>Préventif systématique</t>
        </is>
      </c>
      <c r="I754" s="7" t="inlineStr">
        <is>
          <t>GP-017</t>
        </is>
      </c>
      <c r="J754" s="7" t="inlineStr">
        <is>
          <t>Mécanique</t>
        </is>
      </c>
      <c r="K754" s="7" t="inlineStr">
        <is>
          <t>P3 - Normale</t>
        </is>
      </c>
      <c r="L754" s="7" t="inlineStr">
        <is>
          <t>Contrôle niveaux, nettoyage filtres et bac à copeaux</t>
        </is>
      </c>
      <c r="M754" s="7" t="n"/>
      <c r="N754" s="7" t="inlineStr">
        <is>
          <t>Gamme réalisée - RAS</t>
        </is>
      </c>
      <c r="O754" s="7" t="inlineStr">
        <is>
          <t>Karim Benali</t>
        </is>
      </c>
      <c r="P754" s="65" t="n">
        <v>45992.33680555555</v>
      </c>
      <c r="Q754" s="75" t="n">
        <v>45992.28472222222</v>
      </c>
      <c r="R754" s="75" t="n">
        <v>45992.33680555555</v>
      </c>
      <c r="S754" s="76" t="n">
        <v>0.6</v>
      </c>
      <c r="T754" s="76" t="n">
        <v>1.25</v>
      </c>
      <c r="U754" s="70">
        <f>IF($A754="","",IFERROR(INDEX('Techniciens'!$F$5:$F$44,MATCH(O754,'Techniciens'!$B$5:$B$44,0)),'Paramètres'!$AA$10))</f>
        <v/>
      </c>
      <c r="V754" s="70">
        <f>IF($A754="","",IF(OR(AC754="Demandé",AC754="Planifié",AC754="Annulé"),0,N(T754)*N(U754)))</f>
        <v/>
      </c>
      <c r="W754" s="70">
        <f>IF($A754="","",SUMIFS('Mouvements stock'!$H$5:$H$3004,'Mouvements stock'!$I$5:$I$3004,$A754,'Mouvements stock'!$C$5:$C$3004,"Sortie")-SUMIFS('Mouvements stock'!$H$5:$H$3004,'Mouvements stock'!$I$5:$I$3004,$A754,'Mouvements stock'!$C$5:$C$3004,"Retour"))</f>
        <v/>
      </c>
      <c r="X754" s="66" t="n">
        <v>0</v>
      </c>
      <c r="Y754" s="66" t="n">
        <v>0</v>
      </c>
      <c r="Z754" s="7" t="n"/>
      <c r="AA754" s="70">
        <f>IF($A754="","",N(V754)+N(W754)+N(X754)+N(Y754))</f>
        <v/>
      </c>
      <c r="AB754" s="70">
        <f>IF($A754="","",N(S754)*'Paramètres'!$AA$9*IFERROR(INDEX('Paramètres'!$O$5:$O$7,MATCH(G754,'Paramètres'!$N$5:$N$7,0)),0))</f>
        <v/>
      </c>
      <c r="AC754" s="7" t="inlineStr">
        <is>
          <t>Clôturé</t>
        </is>
      </c>
      <c r="AD754" s="69">
        <f>IF(OR($A754="",Q754=""),"",(Q754-B754)*24)</f>
        <v/>
      </c>
      <c r="AE754" s="69">
        <f>IF(OR(Q754="",R754=""),"",(R754-Q754)*24)</f>
        <v/>
      </c>
      <c r="AF754" s="77">
        <f>IF(OR($A754="",B754=""),"",YEAR(B754))</f>
        <v/>
      </c>
      <c r="AG754" s="77">
        <f>IF(OR($A754="",B754=""),"",MONTH(B754))</f>
        <v/>
      </c>
    </row>
    <row r="755">
      <c r="A755" s="7" t="inlineStr">
        <is>
          <t>OT-2025-0751</t>
        </is>
      </c>
      <c r="B755" s="75" t="n">
        <v>45985.44444444445</v>
      </c>
      <c r="C755" s="7" t="inlineStr">
        <is>
          <t>Plan préventif</t>
        </is>
      </c>
      <c r="D755" s="7" t="inlineStr">
        <is>
          <t>EQ-TOL-007</t>
        </is>
      </c>
      <c r="E755" s="9">
        <f>IF(D755="","",IFERROR(INDEX('Équipements'!$B$5:$B$304,MATCH(D755,'Équipements'!$A$5:$A$304,0)),"Code inconnu"))</f>
        <v/>
      </c>
      <c r="F755" s="9">
        <f>IF(D755="","",IFERROR(INDEX('Équipements'!$D$5:$D$304,MATCH(D755,'Équipements'!$A$5:$A$304,0)),""))</f>
        <v/>
      </c>
      <c r="G755" s="9">
        <f>IF(D755="","",IFERROR(INDEX('Équipements'!$K$5:$K$304,MATCH(D755,'Équipements'!$A$5:$A$304,0)),""))</f>
        <v/>
      </c>
      <c r="H755" s="7" t="inlineStr">
        <is>
          <t>Préventif systématique</t>
        </is>
      </c>
      <c r="I755" s="7" t="inlineStr">
        <is>
          <t>GP-056</t>
        </is>
      </c>
      <c r="J755" s="7" t="inlineStr">
        <is>
          <t>Mécanique</t>
        </is>
      </c>
      <c r="K755" s="7" t="inlineStr">
        <is>
          <t>P3 - Normale</t>
        </is>
      </c>
      <c r="L755" s="7" t="inlineStr">
        <is>
          <t>Graissage chaîne / galets et contrôle tension</t>
        </is>
      </c>
      <c r="M755" s="7" t="n"/>
      <c r="N755" s="7" t="inlineStr">
        <is>
          <t>Gamme réalisée - RAS</t>
        </is>
      </c>
      <c r="O755" s="7" t="inlineStr">
        <is>
          <t>Antoine Mercier</t>
        </is>
      </c>
      <c r="P755" s="65" t="n">
        <v>45992.45833333334</v>
      </c>
      <c r="Q755" s="75" t="n">
        <v>45992.40277777778</v>
      </c>
      <c r="R755" s="75" t="n">
        <v>45992.48611111111</v>
      </c>
      <c r="S755" s="76" t="n">
        <v>2</v>
      </c>
      <c r="T755" s="76" t="n">
        <v>2</v>
      </c>
      <c r="U755" s="70">
        <f>IF($A755="","",IFERROR(INDEX('Techniciens'!$F$5:$F$44,MATCH(O755,'Techniciens'!$B$5:$B$44,0)),'Paramètres'!$AA$10))</f>
        <v/>
      </c>
      <c r="V755" s="70">
        <f>IF($A755="","",IF(OR(AC755="Demandé",AC755="Planifié",AC755="Annulé"),0,N(T755)*N(U755)))</f>
        <v/>
      </c>
      <c r="W755" s="70">
        <f>IF($A755="","",SUMIFS('Mouvements stock'!$H$5:$H$3004,'Mouvements stock'!$I$5:$I$3004,$A755,'Mouvements stock'!$C$5:$C$3004,"Sortie")-SUMIFS('Mouvements stock'!$H$5:$H$3004,'Mouvements stock'!$I$5:$I$3004,$A755,'Mouvements stock'!$C$5:$C$3004,"Retour"))</f>
        <v/>
      </c>
      <c r="X755" s="66" t="n">
        <v>0</v>
      </c>
      <c r="Y755" s="66" t="n">
        <v>0</v>
      </c>
      <c r="Z755" s="7" t="n"/>
      <c r="AA755" s="70">
        <f>IF($A755="","",N(V755)+N(W755)+N(X755)+N(Y755))</f>
        <v/>
      </c>
      <c r="AB755" s="70">
        <f>IF($A755="","",N(S755)*'Paramètres'!$AA$9*IFERROR(INDEX('Paramètres'!$O$5:$O$7,MATCH(G755,'Paramètres'!$N$5:$N$7,0)),0))</f>
        <v/>
      </c>
      <c r="AC755" s="7" t="inlineStr">
        <is>
          <t>Clôturé</t>
        </is>
      </c>
      <c r="AD755" s="69">
        <f>IF(OR($A755="",Q755=""),"",(Q755-B755)*24)</f>
        <v/>
      </c>
      <c r="AE755" s="69">
        <f>IF(OR(Q755="",R755=""),"",(R755-Q755)*24)</f>
        <v/>
      </c>
      <c r="AF755" s="77">
        <f>IF(OR($A755="",B755=""),"",YEAR(B755))</f>
        <v/>
      </c>
      <c r="AG755" s="77">
        <f>IF(OR($A755="",B755=""),"",MONTH(B755))</f>
        <v/>
      </c>
    </row>
    <row r="756">
      <c r="A756" s="7" t="inlineStr">
        <is>
          <t>OT-2025-0752</t>
        </is>
      </c>
      <c r="B756" s="75" t="n">
        <v>45985.44791666666</v>
      </c>
      <c r="C756" s="7" t="inlineStr">
        <is>
          <t>Plan préventif</t>
        </is>
      </c>
      <c r="D756" s="7" t="inlineStr">
        <is>
          <t>EQ-PEI-005</t>
        </is>
      </c>
      <c r="E756" s="9">
        <f>IF(D756="","",IFERROR(INDEX('Équipements'!$B$5:$B$304,MATCH(D756,'Équipements'!$A$5:$A$304,0)),"Code inconnu"))</f>
        <v/>
      </c>
      <c r="F756" s="9">
        <f>IF(D756="","",IFERROR(INDEX('Équipements'!$D$5:$D$304,MATCH(D756,'Équipements'!$A$5:$A$304,0)),""))</f>
        <v/>
      </c>
      <c r="G756" s="9">
        <f>IF(D756="","",IFERROR(INDEX('Équipements'!$K$5:$K$304,MATCH(D756,'Équipements'!$A$5:$A$304,0)),""))</f>
        <v/>
      </c>
      <c r="H756" s="7" t="inlineStr">
        <is>
          <t>Préventif systématique</t>
        </is>
      </c>
      <c r="I756" s="7" t="inlineStr">
        <is>
          <t>GP-074</t>
        </is>
      </c>
      <c r="J756" s="7" t="inlineStr">
        <is>
          <t>Mécanique</t>
        </is>
      </c>
      <c r="K756" s="7" t="inlineStr">
        <is>
          <t>P3 - Normale</t>
        </is>
      </c>
      <c r="L756" s="7" t="inlineStr">
        <is>
          <t>Nettoyage et remplacement des filtres</t>
        </is>
      </c>
      <c r="M756" s="7" t="n"/>
      <c r="N756" s="7" t="inlineStr">
        <is>
          <t>Gamme réalisée - RAS</t>
        </is>
      </c>
      <c r="O756" s="7" t="inlineStr">
        <is>
          <t>Lucas Fontaine</t>
        </is>
      </c>
      <c r="P756" s="65" t="n">
        <v>45992.55208333334</v>
      </c>
      <c r="Q756" s="75" t="n">
        <v>45992.28125</v>
      </c>
      <c r="R756" s="75" t="n">
        <v>45992.40625</v>
      </c>
      <c r="S756" s="76" t="n">
        <v>1.5</v>
      </c>
      <c r="T756" s="76" t="n">
        <v>3</v>
      </c>
      <c r="U756" s="70">
        <f>IF($A756="","",IFERROR(INDEX('Techniciens'!$F$5:$F$44,MATCH(O756,'Techniciens'!$B$5:$B$44,0)),'Paramètres'!$AA$10))</f>
        <v/>
      </c>
      <c r="V756" s="70">
        <f>IF($A756="","",IF(OR(AC756="Demandé",AC756="Planifié",AC756="Annulé"),0,N(T756)*N(U756)))</f>
        <v/>
      </c>
      <c r="W756" s="70">
        <f>IF($A756="","",SUMIFS('Mouvements stock'!$H$5:$H$3004,'Mouvements stock'!$I$5:$I$3004,$A756,'Mouvements stock'!$C$5:$C$3004,"Sortie")-SUMIFS('Mouvements stock'!$H$5:$H$3004,'Mouvements stock'!$I$5:$I$3004,$A756,'Mouvements stock'!$C$5:$C$3004,"Retour"))</f>
        <v/>
      </c>
      <c r="X756" s="66" t="n">
        <v>0</v>
      </c>
      <c r="Y756" s="66" t="n">
        <v>0</v>
      </c>
      <c r="Z756" s="7" t="n"/>
      <c r="AA756" s="70">
        <f>IF($A756="","",N(V756)+N(W756)+N(X756)+N(Y756))</f>
        <v/>
      </c>
      <c r="AB756" s="70">
        <f>IF($A756="","",N(S756)*'Paramètres'!$AA$9*IFERROR(INDEX('Paramètres'!$O$5:$O$7,MATCH(G756,'Paramètres'!$N$5:$N$7,0)),0))</f>
        <v/>
      </c>
      <c r="AC756" s="7" t="inlineStr">
        <is>
          <t>Clôturé</t>
        </is>
      </c>
      <c r="AD756" s="69">
        <f>IF(OR($A756="",Q756=""),"",(Q756-B756)*24)</f>
        <v/>
      </c>
      <c r="AE756" s="69">
        <f>IF(OR(Q756="",R756=""),"",(R756-Q756)*24)</f>
        <v/>
      </c>
      <c r="AF756" s="77">
        <f>IF(OR($A756="",B756=""),"",YEAR(B756))</f>
        <v/>
      </c>
      <c r="AG756" s="77">
        <f>IF(OR($A756="",B756=""),"",MONTH(B756))</f>
        <v/>
      </c>
    </row>
    <row r="757">
      <c r="A757" s="7" t="inlineStr">
        <is>
          <t>OT-2025-0753</t>
        </is>
      </c>
      <c r="B757" s="75" t="n">
        <v>45985.45138888889</v>
      </c>
      <c r="C757" s="7" t="inlineStr">
        <is>
          <t>Opérateur soudure</t>
        </is>
      </c>
      <c r="D757" s="7" t="inlineStr">
        <is>
          <t>EQ-SOU-002</t>
        </is>
      </c>
      <c r="E757" s="9">
        <f>IF(D757="","",IFERROR(INDEX('Équipements'!$B$5:$B$304,MATCH(D757,'Équipements'!$A$5:$A$304,0)),"Code inconnu"))</f>
        <v/>
      </c>
      <c r="F757" s="9">
        <f>IF(D757="","",IFERROR(INDEX('Équipements'!$D$5:$D$304,MATCH(D757,'Équipements'!$A$5:$A$304,0)),""))</f>
        <v/>
      </c>
      <c r="G757" s="9">
        <f>IF(D757="","",IFERROR(INDEX('Équipements'!$K$5:$K$304,MATCH(D757,'Équipements'!$A$5:$A$304,0)),""))</f>
        <v/>
      </c>
      <c r="H757" s="7" t="inlineStr">
        <is>
          <t>Correctif</t>
        </is>
      </c>
      <c r="I757" s="7" t="n"/>
      <c r="J757" s="7" t="inlineStr">
        <is>
          <t>Électrique</t>
        </is>
      </c>
      <c r="K757" s="7" t="inlineStr">
        <is>
          <t>P3 - Normale</t>
        </is>
      </c>
      <c r="L757" s="7" t="inlineStr">
        <is>
          <t>Poste ne démarre plus</t>
        </is>
      </c>
      <c r="M757" s="7" t="inlineStr">
        <is>
          <t>Défaut électrique</t>
        </is>
      </c>
      <c r="N757" s="7" t="inlineStr">
        <is>
          <t>Remplacement fusibles, contrôle carte de puissance</t>
        </is>
      </c>
      <c r="O757" s="7" t="inlineStr">
        <is>
          <t>Antoine Mercier</t>
        </is>
      </c>
      <c r="P757" s="65" t="n"/>
      <c r="Q757" s="75" t="n">
        <v>45986.27430555555</v>
      </c>
      <c r="R757" s="75" t="n">
        <v>45986.42013888889</v>
      </c>
      <c r="S757" s="76" t="n">
        <v>3.5</v>
      </c>
      <c r="T757" s="76" t="n">
        <v>3.5</v>
      </c>
      <c r="U757" s="70">
        <f>IF($A757="","",IFERROR(INDEX('Techniciens'!$F$5:$F$44,MATCH(O757,'Techniciens'!$B$5:$B$44,0)),'Paramètres'!$AA$10))</f>
        <v/>
      </c>
      <c r="V757" s="70">
        <f>IF($A757="","",IF(OR(AC757="Demandé",AC757="Planifié",AC757="Annulé"),0,N(T757)*N(U757)))</f>
        <v/>
      </c>
      <c r="W757" s="70">
        <f>IF($A757="","",SUMIFS('Mouvements stock'!$H$5:$H$3004,'Mouvements stock'!$I$5:$I$3004,$A757,'Mouvements stock'!$C$5:$C$3004,"Sortie")-SUMIFS('Mouvements stock'!$H$5:$H$3004,'Mouvements stock'!$I$5:$I$3004,$A757,'Mouvements stock'!$C$5:$C$3004,"Retour"))</f>
        <v/>
      </c>
      <c r="X757" s="66" t="n">
        <v>0</v>
      </c>
      <c r="Y757" s="66" t="n">
        <v>890</v>
      </c>
      <c r="Z757" s="7" t="inlineStr">
        <is>
          <t>Fournitures Industrielles Générales</t>
        </is>
      </c>
      <c r="AA757" s="70">
        <f>IF($A757="","",N(V757)+N(W757)+N(X757)+N(Y757))</f>
        <v/>
      </c>
      <c r="AB757" s="70">
        <f>IF($A757="","",N(S757)*'Paramètres'!$AA$9*IFERROR(INDEX('Paramètres'!$O$5:$O$7,MATCH(G757,'Paramètres'!$N$5:$N$7,0)),0))</f>
        <v/>
      </c>
      <c r="AC757" s="7" t="inlineStr">
        <is>
          <t>Clôturé</t>
        </is>
      </c>
      <c r="AD757" s="69">
        <f>IF(OR($A757="",Q757=""),"",(Q757-B757)*24)</f>
        <v/>
      </c>
      <c r="AE757" s="69">
        <f>IF(OR(Q757="",R757=""),"",(R757-Q757)*24)</f>
        <v/>
      </c>
      <c r="AF757" s="77">
        <f>IF(OR($A757="",B757=""),"",YEAR(B757))</f>
        <v/>
      </c>
      <c r="AG757" s="77">
        <f>IF(OR($A757="",B757=""),"",MONTH(B757))</f>
        <v/>
      </c>
    </row>
    <row r="758">
      <c r="A758" s="7" t="inlineStr">
        <is>
          <t>OT-2025-0754</t>
        </is>
      </c>
      <c r="B758" s="75" t="n">
        <v>45985.5125</v>
      </c>
      <c r="C758" s="7" t="inlineStr">
        <is>
          <t>Opérateur usinage</t>
        </is>
      </c>
      <c r="D758" s="7" t="inlineStr">
        <is>
          <t>EQ-USI-012</t>
        </is>
      </c>
      <c r="E758" s="9">
        <f>IF(D758="","",IFERROR(INDEX('Équipements'!$B$5:$B$304,MATCH(D758,'Équipements'!$A$5:$A$304,0)),"Code inconnu"))</f>
        <v/>
      </c>
      <c r="F758" s="9">
        <f>IF(D758="","",IFERROR(INDEX('Équipements'!$D$5:$D$304,MATCH(D758,'Équipements'!$A$5:$A$304,0)),""))</f>
        <v/>
      </c>
      <c r="G758" s="9">
        <f>IF(D758="","",IFERROR(INDEX('Équipements'!$K$5:$K$304,MATCH(D758,'Équipements'!$A$5:$A$304,0)),""))</f>
        <v/>
      </c>
      <c r="H758" s="7" t="inlineStr">
        <is>
          <t>Correctif</t>
        </is>
      </c>
      <c r="I758" s="7" t="n"/>
      <c r="J758" s="7" t="inlineStr">
        <is>
          <t>Électrique</t>
        </is>
      </c>
      <c r="K758" s="7" t="inlineStr">
        <is>
          <t>P2 - Haute</t>
        </is>
      </c>
      <c r="L758" s="7" t="inlineStr">
        <is>
          <t>Alarme batterie codeurs</t>
        </is>
      </c>
      <c r="M758" s="7" t="inlineStr">
        <is>
          <t>Usure</t>
        </is>
      </c>
      <c r="N758" s="7" t="inlineStr">
        <is>
          <t>Remplacement batteries codeurs, sauvegarde programmes</t>
        </is>
      </c>
      <c r="O758" s="7" t="inlineStr">
        <is>
          <t>Antoine Mercier</t>
        </is>
      </c>
      <c r="P758" s="65" t="n"/>
      <c r="Q758" s="75" t="n">
        <v>45985.76111111111</v>
      </c>
      <c r="R758" s="75" t="n">
        <v>45985.80277777778</v>
      </c>
      <c r="S758" s="76" t="n">
        <v>0</v>
      </c>
      <c r="T758" s="76" t="n">
        <v>1</v>
      </c>
      <c r="U758" s="70">
        <f>IF($A758="","",IFERROR(INDEX('Techniciens'!$F$5:$F$44,MATCH(O758,'Techniciens'!$B$5:$B$44,0)),'Paramètres'!$AA$10))</f>
        <v/>
      </c>
      <c r="V758" s="70">
        <f>IF($A758="","",IF(OR(AC758="Demandé",AC758="Planifié",AC758="Annulé"),0,N(T758)*N(U758)))</f>
        <v/>
      </c>
      <c r="W758" s="70">
        <f>IF($A758="","",SUMIFS('Mouvements stock'!$H$5:$H$3004,'Mouvements stock'!$I$5:$I$3004,$A758,'Mouvements stock'!$C$5:$C$3004,"Sortie")-SUMIFS('Mouvements stock'!$H$5:$H$3004,'Mouvements stock'!$I$5:$I$3004,$A758,'Mouvements stock'!$C$5:$C$3004,"Retour"))</f>
        <v/>
      </c>
      <c r="X758" s="66" t="n">
        <v>0</v>
      </c>
      <c r="Y758" s="66" t="n">
        <v>0</v>
      </c>
      <c r="Z758" s="7" t="n"/>
      <c r="AA758" s="70">
        <f>IF($A758="","",N(V758)+N(W758)+N(X758)+N(Y758))</f>
        <v/>
      </c>
      <c r="AB758" s="70">
        <f>IF($A758="","",N(S758)*'Paramètres'!$AA$9*IFERROR(INDEX('Paramètres'!$O$5:$O$7,MATCH(G758,'Paramètres'!$N$5:$N$7,0)),0))</f>
        <v/>
      </c>
      <c r="AC758" s="7" t="inlineStr">
        <is>
          <t>Clôturé</t>
        </is>
      </c>
      <c r="AD758" s="69">
        <f>IF(OR($A758="",Q758=""),"",(Q758-B758)*24)</f>
        <v/>
      </c>
      <c r="AE758" s="69">
        <f>IF(OR(Q758="",R758=""),"",(R758-Q758)*24)</f>
        <v/>
      </c>
      <c r="AF758" s="77">
        <f>IF(OR($A758="",B758=""),"",YEAR(B758))</f>
        <v/>
      </c>
      <c r="AG758" s="77">
        <f>IF(OR($A758="",B758=""),"",MONTH(B758))</f>
        <v/>
      </c>
    </row>
    <row r="759">
      <c r="A759" s="7" t="inlineStr">
        <is>
          <t>OT-2025-0755</t>
        </is>
      </c>
      <c r="B759" s="75" t="n">
        <v>45985.59513888889</v>
      </c>
      <c r="C759" s="7" t="inlineStr">
        <is>
          <t>Sylvie Mathieu (resp. logistique)</t>
        </is>
      </c>
      <c r="D759" s="7" t="inlineStr">
        <is>
          <t>EQ-LOG-005</t>
        </is>
      </c>
      <c r="E759" s="9">
        <f>IF(D759="","",IFERROR(INDEX('Équipements'!$B$5:$B$304,MATCH(D759,'Équipements'!$A$5:$A$304,0)),"Code inconnu"))</f>
        <v/>
      </c>
      <c r="F759" s="9">
        <f>IF(D759="","",IFERROR(INDEX('Équipements'!$D$5:$D$304,MATCH(D759,'Équipements'!$A$5:$A$304,0)),""))</f>
        <v/>
      </c>
      <c r="G759" s="9">
        <f>IF(D759="","",IFERROR(INDEX('Équipements'!$K$5:$K$304,MATCH(D759,'Équipements'!$A$5:$A$304,0)),""))</f>
        <v/>
      </c>
      <c r="H759" s="7" t="inlineStr">
        <is>
          <t>Correctif</t>
        </is>
      </c>
      <c r="I759" s="7" t="n"/>
      <c r="J759" s="7" t="inlineStr">
        <is>
          <t>Hydraulique</t>
        </is>
      </c>
      <c r="K759" s="7" t="inlineStr">
        <is>
          <t>P3 - Normale</t>
        </is>
      </c>
      <c r="L759" s="7" t="inlineStr">
        <is>
          <t>Fuite vérin de levée</t>
        </is>
      </c>
      <c r="M759" s="7" t="inlineStr">
        <is>
          <t>Fuite</t>
        </is>
      </c>
      <c r="N759" s="7" t="inlineStr">
        <is>
          <t>Remplacement kit joints</t>
        </is>
      </c>
      <c r="O759" s="7" t="inlineStr">
        <is>
          <t>Antoine Mercier</t>
        </is>
      </c>
      <c r="P759" s="65" t="n"/>
      <c r="Q759" s="75" t="n">
        <v>45986.64791666667</v>
      </c>
      <c r="R759" s="75" t="n">
        <v>45986.825</v>
      </c>
      <c r="S759" s="76" t="n">
        <v>1.3</v>
      </c>
      <c r="T759" s="76" t="n">
        <v>4.25</v>
      </c>
      <c r="U759" s="70">
        <f>IF($A759="","",IFERROR(INDEX('Techniciens'!$F$5:$F$44,MATCH(O759,'Techniciens'!$B$5:$B$44,0)),'Paramètres'!$AA$10))</f>
        <v/>
      </c>
      <c r="V759" s="70">
        <f>IF($A759="","",IF(OR(AC759="Demandé",AC759="Planifié",AC759="Annulé"),0,N(T759)*N(U759)))</f>
        <v/>
      </c>
      <c r="W759" s="70">
        <f>IF($A759="","",SUMIFS('Mouvements stock'!$H$5:$H$3004,'Mouvements stock'!$I$5:$I$3004,$A759,'Mouvements stock'!$C$5:$C$3004,"Sortie")-SUMIFS('Mouvements stock'!$H$5:$H$3004,'Mouvements stock'!$I$5:$I$3004,$A759,'Mouvements stock'!$C$5:$C$3004,"Retour"))</f>
        <v/>
      </c>
      <c r="X759" s="66" t="n">
        <v>0</v>
      </c>
      <c r="Y759" s="66" t="n">
        <v>0</v>
      </c>
      <c r="Z759" s="7" t="n"/>
      <c r="AA759" s="70">
        <f>IF($A759="","",N(V759)+N(W759)+N(X759)+N(Y759))</f>
        <v/>
      </c>
      <c r="AB759" s="70">
        <f>IF($A759="","",N(S759)*'Paramètres'!$AA$9*IFERROR(INDEX('Paramètres'!$O$5:$O$7,MATCH(G759,'Paramètres'!$N$5:$N$7,0)),0))</f>
        <v/>
      </c>
      <c r="AC759" s="7" t="inlineStr">
        <is>
          <t>Clôturé</t>
        </is>
      </c>
      <c r="AD759" s="69">
        <f>IF(OR($A759="",Q759=""),"",(Q759-B759)*24)</f>
        <v/>
      </c>
      <c r="AE759" s="69">
        <f>IF(OR(Q759="",R759=""),"",(R759-Q759)*24)</f>
        <v/>
      </c>
      <c r="AF759" s="77">
        <f>IF(OR($A759="",B759=""),"",YEAR(B759))</f>
        <v/>
      </c>
      <c r="AG759" s="77">
        <f>IF(OR($A759="",B759=""),"",MONTH(B759))</f>
        <v/>
      </c>
    </row>
    <row r="760">
      <c r="A760" s="7" t="inlineStr">
        <is>
          <t>OT-2025-0756</t>
        </is>
      </c>
      <c r="B760" s="75" t="n">
        <v>45985.69444444445</v>
      </c>
      <c r="C760" s="7" t="inlineStr">
        <is>
          <t>Opérateur usinage</t>
        </is>
      </c>
      <c r="D760" s="7" t="inlineStr">
        <is>
          <t>EQ-USI-006</t>
        </is>
      </c>
      <c r="E760" s="9">
        <f>IF(D760="","",IFERROR(INDEX('Équipements'!$B$5:$B$304,MATCH(D760,'Équipements'!$A$5:$A$304,0)),"Code inconnu"))</f>
        <v/>
      </c>
      <c r="F760" s="9">
        <f>IF(D760="","",IFERROR(INDEX('Équipements'!$D$5:$D$304,MATCH(D760,'Équipements'!$A$5:$A$304,0)),""))</f>
        <v/>
      </c>
      <c r="G760" s="9">
        <f>IF(D760="","",IFERROR(INDEX('Équipements'!$K$5:$K$304,MATCH(D760,'Équipements'!$A$5:$A$304,0)),""))</f>
        <v/>
      </c>
      <c r="H760" s="7" t="inlineStr">
        <is>
          <t>Correctif</t>
        </is>
      </c>
      <c r="I760" s="7" t="n"/>
      <c r="J760" s="7" t="inlineStr">
        <is>
          <t>Mécanique</t>
        </is>
      </c>
      <c r="K760" s="7" t="inlineStr">
        <is>
          <t>P2 - Haute</t>
        </is>
      </c>
      <c r="L760" s="7" t="inlineStr">
        <is>
          <t>Défaut changeur d'outils (blocage bras)</t>
        </is>
      </c>
      <c r="M760" s="7" t="inlineStr">
        <is>
          <t>Usure</t>
        </is>
      </c>
      <c r="N760" s="7" t="inlineStr">
        <is>
          <t>Remplacement détecteur position bras et réglage</t>
        </is>
      </c>
      <c r="O760" s="7" t="inlineStr">
        <is>
          <t>Lucas Fontaine</t>
        </is>
      </c>
      <c r="P760" s="65" t="n"/>
      <c r="Q760" s="75" t="n">
        <v>45985.74791666667</v>
      </c>
      <c r="R760" s="75" t="n">
        <v>45985.90416666667</v>
      </c>
      <c r="S760" s="76" t="n">
        <v>5</v>
      </c>
      <c r="T760" s="76" t="n">
        <v>3.75</v>
      </c>
      <c r="U760" s="70">
        <f>IF($A760="","",IFERROR(INDEX('Techniciens'!$F$5:$F$44,MATCH(O760,'Techniciens'!$B$5:$B$44,0)),'Paramètres'!$AA$10))</f>
        <v/>
      </c>
      <c r="V760" s="70">
        <f>IF($A760="","",IF(OR(AC760="Demandé",AC760="Planifié",AC760="Annulé"),0,N(T760)*N(U760)))</f>
        <v/>
      </c>
      <c r="W760" s="70">
        <f>IF($A760="","",SUMIFS('Mouvements stock'!$H$5:$H$3004,'Mouvements stock'!$I$5:$I$3004,$A760,'Mouvements stock'!$C$5:$C$3004,"Sortie")-SUMIFS('Mouvements stock'!$H$5:$H$3004,'Mouvements stock'!$I$5:$I$3004,$A760,'Mouvements stock'!$C$5:$C$3004,"Retour"))</f>
        <v/>
      </c>
      <c r="X760" s="66" t="n">
        <v>0</v>
      </c>
      <c r="Y760" s="66" t="n">
        <v>0</v>
      </c>
      <c r="Z760" s="7" t="n"/>
      <c r="AA760" s="70">
        <f>IF($A760="","",N(V760)+N(W760)+N(X760)+N(Y760))</f>
        <v/>
      </c>
      <c r="AB760" s="70">
        <f>IF($A760="","",N(S760)*'Paramètres'!$AA$9*IFERROR(INDEX('Paramètres'!$O$5:$O$7,MATCH(G760,'Paramètres'!$N$5:$N$7,0)),0))</f>
        <v/>
      </c>
      <c r="AC760" s="7" t="inlineStr">
        <is>
          <t>Clôturé</t>
        </is>
      </c>
      <c r="AD760" s="69">
        <f>IF(OR($A760="",Q760=""),"",(Q760-B760)*24)</f>
        <v/>
      </c>
      <c r="AE760" s="69">
        <f>IF(OR(Q760="",R760=""),"",(R760-Q760)*24)</f>
        <v/>
      </c>
      <c r="AF760" s="77">
        <f>IF(OR($A760="",B760=""),"",YEAR(B760))</f>
        <v/>
      </c>
      <c r="AG760" s="77">
        <f>IF(OR($A760="",B760=""),"",MONTH(B760))</f>
        <v/>
      </c>
    </row>
    <row r="761">
      <c r="A761" s="7" t="inlineStr">
        <is>
          <t>OT-2025-0757</t>
        </is>
      </c>
      <c r="B761" s="75" t="n">
        <v>45985.82777777778</v>
      </c>
      <c r="C761" s="7" t="inlineStr">
        <is>
          <t>Opérateur usinage</t>
        </is>
      </c>
      <c r="D761" s="7" t="inlineStr">
        <is>
          <t>EQ-USI-012</t>
        </is>
      </c>
      <c r="E761" s="9">
        <f>IF(D761="","",IFERROR(INDEX('Équipements'!$B$5:$B$304,MATCH(D761,'Équipements'!$A$5:$A$304,0)),"Code inconnu"))</f>
        <v/>
      </c>
      <c r="F761" s="9">
        <f>IF(D761="","",IFERROR(INDEX('Équipements'!$D$5:$D$304,MATCH(D761,'Équipements'!$A$5:$A$304,0)),""))</f>
        <v/>
      </c>
      <c r="G761" s="9">
        <f>IF(D761="","",IFERROR(INDEX('Équipements'!$K$5:$K$304,MATCH(D761,'Équipements'!$A$5:$A$304,0)),""))</f>
        <v/>
      </c>
      <c r="H761" s="7" t="inlineStr">
        <is>
          <t>Correctif</t>
        </is>
      </c>
      <c r="I761" s="7" t="n"/>
      <c r="J761" s="7" t="inlineStr">
        <is>
          <t>Automatisme</t>
        </is>
      </c>
      <c r="K761" s="7" t="inlineStr">
        <is>
          <t>P2 - Haute</t>
        </is>
      </c>
      <c r="L761" s="7" t="inlineStr">
        <is>
          <t>Défaut préhenseur / capteur de présence pièce</t>
        </is>
      </c>
      <c r="M761" s="7" t="inlineStr">
        <is>
          <t>Défaut capteur</t>
        </is>
      </c>
      <c r="N761" s="7" t="inlineStr">
        <is>
          <t>Remplacement détecteur, réglage préhenseur</t>
        </is>
      </c>
      <c r="O761" s="7" t="inlineStr">
        <is>
          <t>Sophie Garnier</t>
        </is>
      </c>
      <c r="P761" s="65" t="n"/>
      <c r="Q761" s="75" t="n">
        <v>45985.91180555556</v>
      </c>
      <c r="R761" s="75" t="n">
        <v>45986.13055555556</v>
      </c>
      <c r="S761" s="76" t="n">
        <v>0</v>
      </c>
      <c r="T761" s="76" t="n">
        <v>5.25</v>
      </c>
      <c r="U761" s="70">
        <f>IF($A761="","",IFERROR(INDEX('Techniciens'!$F$5:$F$44,MATCH(O761,'Techniciens'!$B$5:$B$44,0)),'Paramètres'!$AA$10))</f>
        <v/>
      </c>
      <c r="V761" s="70">
        <f>IF($A761="","",IF(OR(AC761="Demandé",AC761="Planifié",AC761="Annulé"),0,N(T761)*N(U761)))</f>
        <v/>
      </c>
      <c r="W761" s="70">
        <f>IF($A761="","",SUMIFS('Mouvements stock'!$H$5:$H$3004,'Mouvements stock'!$I$5:$I$3004,$A761,'Mouvements stock'!$C$5:$C$3004,"Sortie")-SUMIFS('Mouvements stock'!$H$5:$H$3004,'Mouvements stock'!$I$5:$I$3004,$A761,'Mouvements stock'!$C$5:$C$3004,"Retour"))</f>
        <v/>
      </c>
      <c r="X761" s="66" t="n">
        <v>0</v>
      </c>
      <c r="Y761" s="66" t="n">
        <v>0</v>
      </c>
      <c r="Z761" s="7" t="n"/>
      <c r="AA761" s="70">
        <f>IF($A761="","",N(V761)+N(W761)+N(X761)+N(Y761))</f>
        <v/>
      </c>
      <c r="AB761" s="70">
        <f>IF($A761="","",N(S761)*'Paramètres'!$AA$9*IFERROR(INDEX('Paramètres'!$O$5:$O$7,MATCH(G761,'Paramètres'!$N$5:$N$7,0)),0))</f>
        <v/>
      </c>
      <c r="AC761" s="7" t="inlineStr">
        <is>
          <t>Clôturé</t>
        </is>
      </c>
      <c r="AD761" s="69">
        <f>IF(OR($A761="",Q761=""),"",(Q761-B761)*24)</f>
        <v/>
      </c>
      <c r="AE761" s="69">
        <f>IF(OR(Q761="",R761=""),"",(R761-Q761)*24)</f>
        <v/>
      </c>
      <c r="AF761" s="77">
        <f>IF(OR($A761="",B761=""),"",YEAR(B761))</f>
        <v/>
      </c>
      <c r="AG761" s="77">
        <f>IF(OR($A761="",B761=""),"",MONTH(B761))</f>
        <v/>
      </c>
    </row>
    <row r="762">
      <c r="A762" s="7" t="inlineStr">
        <is>
          <t>OT-2025-0758</t>
        </is>
      </c>
      <c r="B762" s="75" t="n">
        <v>45986.40625</v>
      </c>
      <c r="C762" s="7" t="inlineStr">
        <is>
          <t>Plan préventif</t>
        </is>
      </c>
      <c r="D762" s="7" t="inlineStr">
        <is>
          <t>EQ-UTI-006</t>
        </is>
      </c>
      <c r="E762" s="9">
        <f>IF(D762="","",IFERROR(INDEX('Équipements'!$B$5:$B$304,MATCH(D762,'Équipements'!$A$5:$A$304,0)),"Code inconnu"))</f>
        <v/>
      </c>
      <c r="F762" s="9">
        <f>IF(D762="","",IFERROR(INDEX('Équipements'!$D$5:$D$304,MATCH(D762,'Équipements'!$A$5:$A$304,0)),""))</f>
        <v/>
      </c>
      <c r="G762" s="9">
        <f>IF(D762="","",IFERROR(INDEX('Équipements'!$K$5:$K$304,MATCH(D762,'Équipements'!$A$5:$A$304,0)),""))</f>
        <v/>
      </c>
      <c r="H762" s="7" t="inlineStr">
        <is>
          <t>Préventif systématique</t>
        </is>
      </c>
      <c r="I762" s="7" t="inlineStr">
        <is>
          <t>GP-096</t>
        </is>
      </c>
      <c r="J762" s="7" t="inlineStr">
        <is>
          <t>Multi-technique</t>
        </is>
      </c>
      <c r="K762" s="7" t="inlineStr">
        <is>
          <t>P3 - Normale</t>
        </is>
      </c>
      <c r="L762" s="7" t="inlineStr">
        <is>
          <t>Entretien annuel complet</t>
        </is>
      </c>
      <c r="M762" s="7" t="n"/>
      <c r="N762" s="7" t="inlineStr">
        <is>
          <t>Gamme réalisée - RAS</t>
        </is>
      </c>
      <c r="O762" s="7" t="inlineStr">
        <is>
          <t>Antoine Mercier</t>
        </is>
      </c>
      <c r="P762" s="65" t="n">
        <v>45993</v>
      </c>
      <c r="Q762" s="75" t="n">
        <v>45993.27777777778</v>
      </c>
      <c r="R762" s="75" t="n">
        <v>45993.55902777778</v>
      </c>
      <c r="S762" s="76" t="n">
        <v>0</v>
      </c>
      <c r="T762" s="76" t="n">
        <v>2</v>
      </c>
      <c r="U762" s="70">
        <f>IF($A762="","",IFERROR(INDEX('Techniciens'!$F$5:$F$44,MATCH(O762,'Techniciens'!$B$5:$B$44,0)),'Paramètres'!$AA$10))</f>
        <v/>
      </c>
      <c r="V762" s="70">
        <f>IF($A762="","",IF(OR(AC762="Demandé",AC762="Planifié",AC762="Annulé"),0,N(T762)*N(U762)))</f>
        <v/>
      </c>
      <c r="W762" s="70">
        <f>IF($A762="","",SUMIFS('Mouvements stock'!$H$5:$H$3004,'Mouvements stock'!$I$5:$I$3004,$A762,'Mouvements stock'!$C$5:$C$3004,"Sortie")-SUMIFS('Mouvements stock'!$H$5:$H$3004,'Mouvements stock'!$I$5:$I$3004,$A762,'Mouvements stock'!$C$5:$C$3004,"Retour"))</f>
        <v/>
      </c>
      <c r="X762" s="66" t="n">
        <v>0</v>
      </c>
      <c r="Y762" s="66" t="n">
        <v>820</v>
      </c>
      <c r="Z762" s="7" t="inlineStr">
        <is>
          <t>Thermique &amp; Clim Services</t>
        </is>
      </c>
      <c r="AA762" s="70">
        <f>IF($A762="","",N(V762)+N(W762)+N(X762)+N(Y762))</f>
        <v/>
      </c>
      <c r="AB762" s="70">
        <f>IF($A762="","",N(S762)*'Paramètres'!$AA$9*IFERROR(INDEX('Paramètres'!$O$5:$O$7,MATCH(G762,'Paramètres'!$N$5:$N$7,0)),0))</f>
        <v/>
      </c>
      <c r="AC762" s="7" t="inlineStr">
        <is>
          <t>Clôturé</t>
        </is>
      </c>
      <c r="AD762" s="69">
        <f>IF(OR($A762="",Q762=""),"",(Q762-B762)*24)</f>
        <v/>
      </c>
      <c r="AE762" s="69">
        <f>IF(OR(Q762="",R762=""),"",(R762-Q762)*24)</f>
        <v/>
      </c>
      <c r="AF762" s="77">
        <f>IF(OR($A762="",B762=""),"",YEAR(B762))</f>
        <v/>
      </c>
      <c r="AG762" s="77">
        <f>IF(OR($A762="",B762=""),"",MONTH(B762))</f>
        <v/>
      </c>
    </row>
    <row r="763">
      <c r="A763" s="7" t="inlineStr">
        <is>
          <t>OT-2025-0759</t>
        </is>
      </c>
      <c r="B763" s="75" t="n">
        <v>45986.4375</v>
      </c>
      <c r="C763" s="7" t="inlineStr">
        <is>
          <t>Plan préventif</t>
        </is>
      </c>
      <c r="D763" s="7" t="inlineStr">
        <is>
          <t>EQ-UTI-001</t>
        </is>
      </c>
      <c r="E763" s="9">
        <f>IF(D763="","",IFERROR(INDEX('Équipements'!$B$5:$B$304,MATCH(D763,'Équipements'!$A$5:$A$304,0)),"Code inconnu"))</f>
        <v/>
      </c>
      <c r="F763" s="9">
        <f>IF(D763="","",IFERROR(INDEX('Équipements'!$D$5:$D$304,MATCH(D763,'Équipements'!$A$5:$A$304,0)),""))</f>
        <v/>
      </c>
      <c r="G763" s="9">
        <f>IF(D763="","",IFERROR(INDEX('Équipements'!$K$5:$K$304,MATCH(D763,'Équipements'!$A$5:$A$304,0)),""))</f>
        <v/>
      </c>
      <c r="H763" s="7" t="inlineStr">
        <is>
          <t>Préventif systématique</t>
        </is>
      </c>
      <c r="I763" s="7" t="inlineStr">
        <is>
          <t>GP-088</t>
        </is>
      </c>
      <c r="J763" s="7" t="inlineStr">
        <is>
          <t>Pneumatique</t>
        </is>
      </c>
      <c r="K763" s="7" t="inlineStr">
        <is>
          <t>P3 - Normale</t>
        </is>
      </c>
      <c r="L763" s="7" t="inlineStr">
        <is>
          <t>Purge, contrôle fuites et point de rosée</t>
        </is>
      </c>
      <c r="M763" s="7" t="n"/>
      <c r="N763" s="7" t="inlineStr">
        <is>
          <t>Gamme réalisée - usure constatée, à surveiller</t>
        </is>
      </c>
      <c r="O763" s="7" t="inlineStr">
        <is>
          <t>Julien Moreau</t>
        </is>
      </c>
      <c r="P763" s="65" t="n">
        <v>45993.60416666666</v>
      </c>
      <c r="Q763" s="75" t="n">
        <v>45993.40972222222</v>
      </c>
      <c r="R763" s="75" t="n">
        <v>45993.49305555555</v>
      </c>
      <c r="S763" s="76" t="n">
        <v>0</v>
      </c>
      <c r="T763" s="76" t="n">
        <v>2</v>
      </c>
      <c r="U763" s="70">
        <f>IF($A763="","",IFERROR(INDEX('Techniciens'!$F$5:$F$44,MATCH(O763,'Techniciens'!$B$5:$B$44,0)),'Paramètres'!$AA$10))</f>
        <v/>
      </c>
      <c r="V763" s="70">
        <f>IF($A763="","",IF(OR(AC763="Demandé",AC763="Planifié",AC763="Annulé"),0,N(T763)*N(U763)))</f>
        <v/>
      </c>
      <c r="W763" s="70">
        <f>IF($A763="","",SUMIFS('Mouvements stock'!$H$5:$H$3004,'Mouvements stock'!$I$5:$I$3004,$A763,'Mouvements stock'!$C$5:$C$3004,"Sortie")-SUMIFS('Mouvements stock'!$H$5:$H$3004,'Mouvements stock'!$I$5:$I$3004,$A763,'Mouvements stock'!$C$5:$C$3004,"Retour"))</f>
        <v/>
      </c>
      <c r="X763" s="66" t="n">
        <v>0</v>
      </c>
      <c r="Y763" s="66" t="n">
        <v>0</v>
      </c>
      <c r="Z763" s="7" t="n"/>
      <c r="AA763" s="70">
        <f>IF($A763="","",N(V763)+N(W763)+N(X763)+N(Y763))</f>
        <v/>
      </c>
      <c r="AB763" s="70">
        <f>IF($A763="","",N(S763)*'Paramètres'!$AA$9*IFERROR(INDEX('Paramètres'!$O$5:$O$7,MATCH(G763,'Paramètres'!$N$5:$N$7,0)),0))</f>
        <v/>
      </c>
      <c r="AC763" s="7" t="inlineStr">
        <is>
          <t>Clôturé</t>
        </is>
      </c>
      <c r="AD763" s="69">
        <f>IF(OR($A763="",Q763=""),"",(Q763-B763)*24)</f>
        <v/>
      </c>
      <c r="AE763" s="69">
        <f>IF(OR(Q763="",R763=""),"",(R763-Q763)*24)</f>
        <v/>
      </c>
      <c r="AF763" s="77">
        <f>IF(OR($A763="",B763=""),"",YEAR(B763))</f>
        <v/>
      </c>
      <c r="AG763" s="77">
        <f>IF(OR($A763="",B763=""),"",MONTH(B763))</f>
        <v/>
      </c>
    </row>
    <row r="764">
      <c r="A764" s="7" t="inlineStr">
        <is>
          <t>OT-2025-0760</t>
        </is>
      </c>
      <c r="B764" s="75" t="n">
        <v>45987.43055555555</v>
      </c>
      <c r="C764" s="7" t="inlineStr">
        <is>
          <t>Plan préventif</t>
        </is>
      </c>
      <c r="D764" s="7" t="inlineStr">
        <is>
          <t>EQ-PEI-003</t>
        </is>
      </c>
      <c r="E764" s="9">
        <f>IF(D764="","",IFERROR(INDEX('Équipements'!$B$5:$B$304,MATCH(D764,'Équipements'!$A$5:$A$304,0)),"Code inconnu"))</f>
        <v/>
      </c>
      <c r="F764" s="9">
        <f>IF(D764="","",IFERROR(INDEX('Équipements'!$D$5:$D$304,MATCH(D764,'Équipements'!$A$5:$A$304,0)),""))</f>
        <v/>
      </c>
      <c r="G764" s="9">
        <f>IF(D764="","",IFERROR(INDEX('Équipements'!$K$5:$K$304,MATCH(D764,'Équipements'!$A$5:$A$304,0)),""))</f>
        <v/>
      </c>
      <c r="H764" s="7" t="inlineStr">
        <is>
          <t>Préventif systématique</t>
        </is>
      </c>
      <c r="I764" s="7" t="inlineStr">
        <is>
          <t>GP-071</t>
        </is>
      </c>
      <c r="J764" s="7" t="inlineStr">
        <is>
          <t>Multi-technique</t>
        </is>
      </c>
      <c r="K764" s="7" t="inlineStr">
        <is>
          <t>P3 - Normale</t>
        </is>
      </c>
      <c r="L764" s="7" t="inlineStr">
        <is>
          <t>Contrôle ventilation, brûleurs, pompes et sécurités</t>
        </is>
      </c>
      <c r="M764" s="7" t="n"/>
      <c r="N764" s="7" t="inlineStr">
        <is>
          <t>Gamme réalisée - serrages repris</t>
        </is>
      </c>
      <c r="O764" s="7" t="inlineStr">
        <is>
          <t>Antoine Mercier</t>
        </is>
      </c>
      <c r="P764" s="65" t="n">
        <v>45994.78125</v>
      </c>
      <c r="Q764" s="75" t="n">
        <v>45994.34722222222</v>
      </c>
      <c r="R764" s="75" t="n">
        <v>45994.55555555555</v>
      </c>
      <c r="S764" s="76" t="n">
        <v>2.5</v>
      </c>
      <c r="T764" s="76" t="n">
        <v>5</v>
      </c>
      <c r="U764" s="70">
        <f>IF($A764="","",IFERROR(INDEX('Techniciens'!$F$5:$F$44,MATCH(O764,'Techniciens'!$B$5:$B$44,0)),'Paramètres'!$AA$10))</f>
        <v/>
      </c>
      <c r="V764" s="70">
        <f>IF($A764="","",IF(OR(AC764="Demandé",AC764="Planifié",AC764="Annulé"),0,N(T764)*N(U764)))</f>
        <v/>
      </c>
      <c r="W764" s="70">
        <f>IF($A764="","",SUMIFS('Mouvements stock'!$H$5:$H$3004,'Mouvements stock'!$I$5:$I$3004,$A764,'Mouvements stock'!$C$5:$C$3004,"Sortie")-SUMIFS('Mouvements stock'!$H$5:$H$3004,'Mouvements stock'!$I$5:$I$3004,$A764,'Mouvements stock'!$C$5:$C$3004,"Retour"))</f>
        <v/>
      </c>
      <c r="X764" s="66" t="n">
        <v>0</v>
      </c>
      <c r="Y764" s="66" t="n">
        <v>0</v>
      </c>
      <c r="Z764" s="7" t="n"/>
      <c r="AA764" s="70">
        <f>IF($A764="","",N(V764)+N(W764)+N(X764)+N(Y764))</f>
        <v/>
      </c>
      <c r="AB764" s="70">
        <f>IF($A764="","",N(S764)*'Paramètres'!$AA$9*IFERROR(INDEX('Paramètres'!$O$5:$O$7,MATCH(G764,'Paramètres'!$N$5:$N$7,0)),0))</f>
        <v/>
      </c>
      <c r="AC764" s="7" t="inlineStr">
        <is>
          <t>Clôturé</t>
        </is>
      </c>
      <c r="AD764" s="69">
        <f>IF(OR($A764="",Q764=""),"",(Q764-B764)*24)</f>
        <v/>
      </c>
      <c r="AE764" s="69">
        <f>IF(OR(Q764="",R764=""),"",(R764-Q764)*24)</f>
        <v/>
      </c>
      <c r="AF764" s="77">
        <f>IF(OR($A764="",B764=""),"",YEAR(B764))</f>
        <v/>
      </c>
      <c r="AG764" s="77">
        <f>IF(OR($A764="",B764=""),"",MONTH(B764))</f>
        <v/>
      </c>
    </row>
    <row r="765">
      <c r="A765" s="7" t="inlineStr">
        <is>
          <t>OT-2025-0761</t>
        </is>
      </c>
      <c r="B765" s="75" t="n">
        <v>45987.4375</v>
      </c>
      <c r="C765" s="7" t="inlineStr">
        <is>
          <t>Planning réglementaire</t>
        </is>
      </c>
      <c r="D765" s="7" t="inlineStr">
        <is>
          <t>EQ-LOG-002</t>
        </is>
      </c>
      <c r="E765" s="9">
        <f>IF(D765="","",IFERROR(INDEX('Équipements'!$B$5:$B$304,MATCH(D765,'Équipements'!$A$5:$A$304,0)),"Code inconnu"))</f>
        <v/>
      </c>
      <c r="F765" s="9">
        <f>IF(D765="","",IFERROR(INDEX('Équipements'!$D$5:$D$304,MATCH(D765,'Équipements'!$A$5:$A$304,0)),""))</f>
        <v/>
      </c>
      <c r="G765" s="9">
        <f>IF(D765="","",IFERROR(INDEX('Équipements'!$K$5:$K$304,MATCH(D765,'Équipements'!$A$5:$A$304,0)),""))</f>
        <v/>
      </c>
      <c r="H765" s="7" t="inlineStr">
        <is>
          <t>Réglementaire</t>
        </is>
      </c>
      <c r="I765" s="7" t="inlineStr">
        <is>
          <t>CR-005</t>
        </is>
      </c>
      <c r="J765" s="7" t="inlineStr">
        <is>
          <t>Multi-technique</t>
        </is>
      </c>
      <c r="K765" s="7" t="inlineStr">
        <is>
          <t>P2 - Haute</t>
        </is>
      </c>
      <c r="L765" s="7" t="inlineStr">
        <is>
          <t>VGP chariot automoteur</t>
        </is>
      </c>
      <c r="M765" s="7" t="n"/>
      <c r="N765" s="7" t="inlineStr">
        <is>
          <t>Contrôle réalisé - observations mineures au rapport</t>
        </is>
      </c>
      <c r="O765" s="7" t="inlineStr">
        <is>
          <t>Marc Lefèvre</t>
        </is>
      </c>
      <c r="P765" s="65" t="n">
        <v>46008</v>
      </c>
      <c r="Q765" s="75" t="n">
        <v>46008.5</v>
      </c>
      <c r="R765" s="75" t="n">
        <v>46008.52083333334</v>
      </c>
      <c r="S765" s="76" t="n">
        <v>0</v>
      </c>
      <c r="T765" s="76" t="n">
        <v>0.5</v>
      </c>
      <c r="U765" s="70">
        <f>IF($A765="","",IFERROR(INDEX('Techniciens'!$F$5:$F$44,MATCH(O765,'Techniciens'!$B$5:$B$44,0)),'Paramètres'!$AA$10))</f>
        <v/>
      </c>
      <c r="V765" s="70">
        <f>IF($A765="","",IF(OR(AC765="Demandé",AC765="Planifié",AC765="Annulé"),0,N(T765)*N(U765)))</f>
        <v/>
      </c>
      <c r="W765" s="70">
        <f>IF($A765="","",SUMIFS('Mouvements stock'!$H$5:$H$3004,'Mouvements stock'!$I$5:$I$3004,$A765,'Mouvements stock'!$C$5:$C$3004,"Sortie")-SUMIFS('Mouvements stock'!$H$5:$H$3004,'Mouvements stock'!$I$5:$I$3004,$A765,'Mouvements stock'!$C$5:$C$3004,"Retour"))</f>
        <v/>
      </c>
      <c r="X765" s="66" t="n">
        <v>0</v>
      </c>
      <c r="Y765" s="66" t="n">
        <v>120</v>
      </c>
      <c r="Z765" s="7" t="inlineStr">
        <is>
          <t>CONTROLIS (organisme fictif)</t>
        </is>
      </c>
      <c r="AA765" s="70">
        <f>IF($A765="","",N(V765)+N(W765)+N(X765)+N(Y765))</f>
        <v/>
      </c>
      <c r="AB765" s="70">
        <f>IF($A765="","",N(S765)*'Paramètres'!$AA$9*IFERROR(INDEX('Paramètres'!$O$5:$O$7,MATCH(G765,'Paramètres'!$N$5:$N$7,0)),0))</f>
        <v/>
      </c>
      <c r="AC765" s="7" t="inlineStr">
        <is>
          <t>Clôturé</t>
        </is>
      </c>
      <c r="AD765" s="69">
        <f>IF(OR($A765="",Q765=""),"",(Q765-B765)*24)</f>
        <v/>
      </c>
      <c r="AE765" s="69">
        <f>IF(OR(Q765="",R765=""),"",(R765-Q765)*24)</f>
        <v/>
      </c>
      <c r="AF765" s="77">
        <f>IF(OR($A765="",B765=""),"",YEAR(B765))</f>
        <v/>
      </c>
      <c r="AG765" s="77">
        <f>IF(OR($A765="",B765=""),"",MONTH(B765))</f>
        <v/>
      </c>
    </row>
    <row r="766">
      <c r="A766" s="7" t="inlineStr">
        <is>
          <t>OT-2025-0762</t>
        </is>
      </c>
      <c r="B766" s="75" t="n">
        <v>45987.44791666666</v>
      </c>
      <c r="C766" s="7" t="inlineStr">
        <is>
          <t>Plan préventif</t>
        </is>
      </c>
      <c r="D766" s="7" t="inlineStr">
        <is>
          <t>EQ-ASS-001</t>
        </is>
      </c>
      <c r="E766" s="9">
        <f>IF(D766="","",IFERROR(INDEX('Équipements'!$B$5:$B$304,MATCH(D766,'Équipements'!$A$5:$A$304,0)),"Code inconnu"))</f>
        <v/>
      </c>
      <c r="F766" s="9">
        <f>IF(D766="","",IFERROR(INDEX('Équipements'!$D$5:$D$304,MATCH(D766,'Équipements'!$A$5:$A$304,0)),""))</f>
        <v/>
      </c>
      <c r="G766" s="9">
        <f>IF(D766="","",IFERROR(INDEX('Équipements'!$K$5:$K$304,MATCH(D766,'Équipements'!$A$5:$A$304,0)),""))</f>
        <v/>
      </c>
      <c r="H766" s="7" t="inlineStr">
        <is>
          <t>Préventif systématique</t>
        </is>
      </c>
      <c r="I766" s="7" t="inlineStr">
        <is>
          <t>GP-076</t>
        </is>
      </c>
      <c r="J766" s="7" t="inlineStr">
        <is>
          <t>Mécanique</t>
        </is>
      </c>
      <c r="K766" s="7" t="inlineStr">
        <is>
          <t>P3 - Normale</t>
        </is>
      </c>
      <c r="L766" s="7" t="inlineStr">
        <is>
          <t>Graissage chaîne / galets et contrôle tension</t>
        </is>
      </c>
      <c r="M766" s="7" t="n"/>
      <c r="N766" s="7" t="inlineStr">
        <is>
          <t>Gamme réalisée - RAS</t>
        </is>
      </c>
      <c r="O766" s="7" t="inlineStr">
        <is>
          <t>Lucas Fontaine</t>
        </is>
      </c>
      <c r="P766" s="65" t="n">
        <v>45994.52083333334</v>
      </c>
      <c r="Q766" s="75" t="n">
        <v>45994.29861111111</v>
      </c>
      <c r="R766" s="75" t="n">
        <v>45994.38194444445</v>
      </c>
      <c r="S766" s="76" t="n">
        <v>0</v>
      </c>
      <c r="T766" s="76" t="n">
        <v>2</v>
      </c>
      <c r="U766" s="70">
        <f>IF($A766="","",IFERROR(INDEX('Techniciens'!$F$5:$F$44,MATCH(O766,'Techniciens'!$B$5:$B$44,0)),'Paramètres'!$AA$10))</f>
        <v/>
      </c>
      <c r="V766" s="70">
        <f>IF($A766="","",IF(OR(AC766="Demandé",AC766="Planifié",AC766="Annulé"),0,N(T766)*N(U766)))</f>
        <v/>
      </c>
      <c r="W766" s="70">
        <f>IF($A766="","",SUMIFS('Mouvements stock'!$H$5:$H$3004,'Mouvements stock'!$I$5:$I$3004,$A766,'Mouvements stock'!$C$5:$C$3004,"Sortie")-SUMIFS('Mouvements stock'!$H$5:$H$3004,'Mouvements stock'!$I$5:$I$3004,$A766,'Mouvements stock'!$C$5:$C$3004,"Retour"))</f>
        <v/>
      </c>
      <c r="X766" s="66" t="n">
        <v>0</v>
      </c>
      <c r="Y766" s="66" t="n">
        <v>0</v>
      </c>
      <c r="Z766" s="7" t="n"/>
      <c r="AA766" s="70">
        <f>IF($A766="","",N(V766)+N(W766)+N(X766)+N(Y766))</f>
        <v/>
      </c>
      <c r="AB766" s="70">
        <f>IF($A766="","",N(S766)*'Paramètres'!$AA$9*IFERROR(INDEX('Paramètres'!$O$5:$O$7,MATCH(G766,'Paramètres'!$N$5:$N$7,0)),0))</f>
        <v/>
      </c>
      <c r="AC766" s="7" t="inlineStr">
        <is>
          <t>Clôturé</t>
        </is>
      </c>
      <c r="AD766" s="69">
        <f>IF(OR($A766="",Q766=""),"",(Q766-B766)*24)</f>
        <v/>
      </c>
      <c r="AE766" s="69">
        <f>IF(OR(Q766="",R766=""),"",(R766-Q766)*24)</f>
        <v/>
      </c>
      <c r="AF766" s="77">
        <f>IF(OR($A766="",B766=""),"",YEAR(B766))</f>
        <v/>
      </c>
      <c r="AG766" s="77">
        <f>IF(OR($A766="",B766=""),"",MONTH(B766))</f>
        <v/>
      </c>
    </row>
    <row r="767">
      <c r="A767" s="7" t="inlineStr">
        <is>
          <t>OT-2025-0763</t>
        </is>
      </c>
      <c r="B767" s="75" t="n">
        <v>45988.40625</v>
      </c>
      <c r="C767" s="7" t="inlineStr">
        <is>
          <t>Plan préventif</t>
        </is>
      </c>
      <c r="D767" s="7" t="inlineStr">
        <is>
          <t>EQ-UTI-008</t>
        </is>
      </c>
      <c r="E767" s="9">
        <f>IF(D767="","",IFERROR(INDEX('Équipements'!$B$5:$B$304,MATCH(D767,'Équipements'!$A$5:$A$304,0)),"Code inconnu"))</f>
        <v/>
      </c>
      <c r="F767" s="9">
        <f>IF(D767="","",IFERROR(INDEX('Équipements'!$D$5:$D$304,MATCH(D767,'Équipements'!$A$5:$A$304,0)),""))</f>
        <v/>
      </c>
      <c r="G767" s="9">
        <f>IF(D767="","",IFERROR(INDEX('Équipements'!$K$5:$K$304,MATCH(D767,'Équipements'!$A$5:$A$304,0)),""))</f>
        <v/>
      </c>
      <c r="H767" s="7" t="inlineStr">
        <is>
          <t>Préventif systématique</t>
        </is>
      </c>
      <c r="I767" s="7" t="inlineStr">
        <is>
          <t>GP-099</t>
        </is>
      </c>
      <c r="J767" s="7" t="inlineStr">
        <is>
          <t>Électrique</t>
        </is>
      </c>
      <c r="K767" s="7" t="inlineStr">
        <is>
          <t>P3 - Normale</t>
        </is>
      </c>
      <c r="L767" s="7" t="inlineStr">
        <is>
          <t>Inspection, nettoyage et resserrage des connexions</t>
        </is>
      </c>
      <c r="M767" s="7" t="n"/>
      <c r="N767" s="7" t="inlineStr">
        <is>
          <t>Gamme réalisée - RAS</t>
        </is>
      </c>
      <c r="O767" s="7" t="inlineStr">
        <is>
          <t>Thomas Petit</t>
        </is>
      </c>
      <c r="P767" s="65" t="n">
        <v>45995</v>
      </c>
      <c r="Q767" s="75" t="n">
        <v>45995.27777777778</v>
      </c>
      <c r="R767" s="75" t="n">
        <v>45995.48611111111</v>
      </c>
      <c r="S767" s="76" t="n">
        <v>0</v>
      </c>
      <c r="T767" s="76" t="n">
        <v>5</v>
      </c>
      <c r="U767" s="70">
        <f>IF($A767="","",IFERROR(INDEX('Techniciens'!$F$5:$F$44,MATCH(O767,'Techniciens'!$B$5:$B$44,0)),'Paramètres'!$AA$10))</f>
        <v/>
      </c>
      <c r="V767" s="70">
        <f>IF($A767="","",IF(OR(AC767="Demandé",AC767="Planifié",AC767="Annulé"),0,N(T767)*N(U767)))</f>
        <v/>
      </c>
      <c r="W767" s="70">
        <f>IF($A767="","",SUMIFS('Mouvements stock'!$H$5:$H$3004,'Mouvements stock'!$I$5:$I$3004,$A767,'Mouvements stock'!$C$5:$C$3004,"Sortie")-SUMIFS('Mouvements stock'!$H$5:$H$3004,'Mouvements stock'!$I$5:$I$3004,$A767,'Mouvements stock'!$C$5:$C$3004,"Retour"))</f>
        <v/>
      </c>
      <c r="X767" s="66" t="n">
        <v>0</v>
      </c>
      <c r="Y767" s="66" t="n">
        <v>0</v>
      </c>
      <c r="Z767" s="7" t="n"/>
      <c r="AA767" s="70">
        <f>IF($A767="","",N(V767)+N(W767)+N(X767)+N(Y767))</f>
        <v/>
      </c>
      <c r="AB767" s="70">
        <f>IF($A767="","",N(S767)*'Paramètres'!$AA$9*IFERROR(INDEX('Paramètres'!$O$5:$O$7,MATCH(G767,'Paramètres'!$N$5:$N$7,0)),0))</f>
        <v/>
      </c>
      <c r="AC767" s="7" t="inlineStr">
        <is>
          <t>Clôturé</t>
        </is>
      </c>
      <c r="AD767" s="69">
        <f>IF(OR($A767="",Q767=""),"",(Q767-B767)*24)</f>
        <v/>
      </c>
      <c r="AE767" s="69">
        <f>IF(OR(Q767="",R767=""),"",(R767-Q767)*24)</f>
        <v/>
      </c>
      <c r="AF767" s="77">
        <f>IF(OR($A767="",B767=""),"",YEAR(B767))</f>
        <v/>
      </c>
      <c r="AG767" s="77">
        <f>IF(OR($A767="",B767=""),"",MONTH(B767))</f>
        <v/>
      </c>
    </row>
    <row r="768">
      <c r="A768" s="7" t="inlineStr">
        <is>
          <t>OT-2025-0764</t>
        </is>
      </c>
      <c r="B768" s="75" t="n">
        <v>45989.88402777778</v>
      </c>
      <c r="C768" s="7" t="inlineStr">
        <is>
          <t>Sylvie Mathieu (resp. logistique)</t>
        </is>
      </c>
      <c r="D768" s="7" t="inlineStr">
        <is>
          <t>EQ-LOG-004</t>
        </is>
      </c>
      <c r="E768" s="9">
        <f>IF(D768="","",IFERROR(INDEX('Équipements'!$B$5:$B$304,MATCH(D768,'Équipements'!$A$5:$A$304,0)),"Code inconnu"))</f>
        <v/>
      </c>
      <c r="F768" s="9">
        <f>IF(D768="","",IFERROR(INDEX('Équipements'!$D$5:$D$304,MATCH(D768,'Équipements'!$A$5:$A$304,0)),""))</f>
        <v/>
      </c>
      <c r="G768" s="9">
        <f>IF(D768="","",IFERROR(INDEX('Équipements'!$K$5:$K$304,MATCH(D768,'Équipements'!$A$5:$A$304,0)),""))</f>
        <v/>
      </c>
      <c r="H768" s="7" t="inlineStr">
        <is>
          <t>Correctif</t>
        </is>
      </c>
      <c r="I768" s="7" t="n"/>
      <c r="J768" s="7" t="inlineStr">
        <is>
          <t>Hydraulique</t>
        </is>
      </c>
      <c r="K768" s="7" t="inlineStr">
        <is>
          <t>P3 - Normale</t>
        </is>
      </c>
      <c r="L768" s="7" t="inlineStr">
        <is>
          <t>Fuite vérin de levée</t>
        </is>
      </c>
      <c r="M768" s="7" t="inlineStr">
        <is>
          <t>Fuite</t>
        </is>
      </c>
      <c r="N768" s="7" t="inlineStr">
        <is>
          <t>Remplacement kit joints</t>
        </is>
      </c>
      <c r="O768" s="7" t="inlineStr">
        <is>
          <t>Karim Benali</t>
        </is>
      </c>
      <c r="P768" s="65" t="n"/>
      <c r="Q768" s="75" t="n">
        <v>45990.9625</v>
      </c>
      <c r="R768" s="75" t="n">
        <v>45992.66694042462</v>
      </c>
      <c r="S768" s="76" t="n">
        <v>0</v>
      </c>
      <c r="T768" s="76" t="n">
        <v>6.5</v>
      </c>
      <c r="U768" s="70">
        <f>IF($A768="","",IFERROR(INDEX('Techniciens'!$F$5:$F$44,MATCH(O768,'Techniciens'!$B$5:$B$44,0)),'Paramètres'!$AA$10))</f>
        <v/>
      </c>
      <c r="V768" s="70">
        <f>IF($A768="","",IF(OR(AC768="Demandé",AC768="Planifié",AC768="Annulé"),0,N(T768)*N(U768)))</f>
        <v/>
      </c>
      <c r="W768" s="70">
        <f>IF($A768="","",SUMIFS('Mouvements stock'!$H$5:$H$3004,'Mouvements stock'!$I$5:$I$3004,$A768,'Mouvements stock'!$C$5:$C$3004,"Sortie")-SUMIFS('Mouvements stock'!$H$5:$H$3004,'Mouvements stock'!$I$5:$I$3004,$A768,'Mouvements stock'!$C$5:$C$3004,"Retour"))</f>
        <v/>
      </c>
      <c r="X768" s="66" t="n">
        <v>0</v>
      </c>
      <c r="Y768" s="66" t="n">
        <v>490</v>
      </c>
      <c r="Z768" s="7" t="inlineStr">
        <is>
          <t>Manutention Services 44</t>
        </is>
      </c>
      <c r="AA768" s="70">
        <f>IF($A768="","",N(V768)+N(W768)+N(X768)+N(Y768))</f>
        <v/>
      </c>
      <c r="AB768" s="70">
        <f>IF($A768="","",N(S768)*'Paramètres'!$AA$9*IFERROR(INDEX('Paramètres'!$O$5:$O$7,MATCH(G768,'Paramètres'!$N$5:$N$7,0)),0))</f>
        <v/>
      </c>
      <c r="AC768" s="7" t="inlineStr">
        <is>
          <t>Clôturé</t>
        </is>
      </c>
      <c r="AD768" s="69">
        <f>IF(OR($A768="",Q768=""),"",(Q768-B768)*24)</f>
        <v/>
      </c>
      <c r="AE768" s="69">
        <f>IF(OR(Q768="",R768=""),"",(R768-Q768)*24)</f>
        <v/>
      </c>
      <c r="AF768" s="77">
        <f>IF(OR($A768="",B768=""),"",YEAR(B768))</f>
        <v/>
      </c>
      <c r="AG768" s="77">
        <f>IF(OR($A768="",B768=""),"",MONTH(B768))</f>
        <v/>
      </c>
    </row>
    <row r="769">
      <c r="A769" s="7" t="inlineStr">
        <is>
          <t>OT-2025-0765</t>
        </is>
      </c>
      <c r="B769" s="75" t="n">
        <v>45990.54305555556</v>
      </c>
      <c r="C769" s="7" t="inlineStr">
        <is>
          <t>Marc Lefèvre</t>
        </is>
      </c>
      <c r="D769" s="7" t="inlineStr">
        <is>
          <t>EQ-UTI-009</t>
        </is>
      </c>
      <c r="E769" s="9">
        <f>IF(D769="","",IFERROR(INDEX('Équipements'!$B$5:$B$304,MATCH(D769,'Équipements'!$A$5:$A$304,0)),"Code inconnu"))</f>
        <v/>
      </c>
      <c r="F769" s="9">
        <f>IF(D769="","",IFERROR(INDEX('Équipements'!$D$5:$D$304,MATCH(D769,'Équipements'!$A$5:$A$304,0)),""))</f>
        <v/>
      </c>
      <c r="G769" s="9">
        <f>IF(D769="","",IFERROR(INDEX('Équipements'!$K$5:$K$304,MATCH(D769,'Équipements'!$A$5:$A$304,0)),""))</f>
        <v/>
      </c>
      <c r="H769" s="7" t="inlineStr">
        <is>
          <t>Correctif</t>
        </is>
      </c>
      <c r="I769" s="7" t="n"/>
      <c r="J769" s="7" t="inlineStr">
        <is>
          <t>Mécanique</t>
        </is>
      </c>
      <c r="K769" s="7" t="inlineStr">
        <is>
          <t>P2 - Haute</t>
        </is>
      </c>
      <c r="L769" s="7" t="inlineStr">
        <is>
          <t>Colmatage filtre-presse</t>
        </is>
      </c>
      <c r="M769" s="7" t="inlineStr">
        <is>
          <t>Encrassement</t>
        </is>
      </c>
      <c r="N769" s="7" t="inlineStr">
        <is>
          <t>Nettoyage des toiles filtrantes</t>
        </is>
      </c>
      <c r="O769" s="7" t="inlineStr">
        <is>
          <t>Antoine Mercier</t>
        </is>
      </c>
      <c r="P769" s="65" t="n"/>
      <c r="Q769" s="75" t="n">
        <v>45990.76041666666</v>
      </c>
      <c r="R769" s="75" t="n">
        <v>45991.75520506498</v>
      </c>
      <c r="S769" s="76" t="n">
        <v>17.9</v>
      </c>
      <c r="T769" s="76" t="n">
        <v>1.5</v>
      </c>
      <c r="U769" s="70">
        <f>IF($A769="","",IFERROR(INDEX('Techniciens'!$F$5:$F$44,MATCH(O769,'Techniciens'!$B$5:$B$44,0)),'Paramètres'!$AA$10))</f>
        <v/>
      </c>
      <c r="V769" s="70">
        <f>IF($A769="","",IF(OR(AC769="Demandé",AC769="Planifié",AC769="Annulé"),0,N(T769)*N(U769)))</f>
        <v/>
      </c>
      <c r="W769" s="70">
        <f>IF($A769="","",SUMIFS('Mouvements stock'!$H$5:$H$3004,'Mouvements stock'!$I$5:$I$3004,$A769,'Mouvements stock'!$C$5:$C$3004,"Sortie")-SUMIFS('Mouvements stock'!$H$5:$H$3004,'Mouvements stock'!$I$5:$I$3004,$A769,'Mouvements stock'!$C$5:$C$3004,"Retour"))</f>
        <v/>
      </c>
      <c r="X769" s="66" t="n">
        <v>0</v>
      </c>
      <c r="Y769" s="66" t="n">
        <v>0</v>
      </c>
      <c r="Z769" s="7" t="n"/>
      <c r="AA769" s="70">
        <f>IF($A769="","",N(V769)+N(W769)+N(X769)+N(Y769))</f>
        <v/>
      </c>
      <c r="AB769" s="70">
        <f>IF($A769="","",N(S769)*'Paramètres'!$AA$9*IFERROR(INDEX('Paramètres'!$O$5:$O$7,MATCH(G769,'Paramètres'!$N$5:$N$7,0)),0))</f>
        <v/>
      </c>
      <c r="AC769" s="7" t="inlineStr">
        <is>
          <t>Clôturé</t>
        </is>
      </c>
      <c r="AD769" s="69">
        <f>IF(OR($A769="",Q769=""),"",(Q769-B769)*24)</f>
        <v/>
      </c>
      <c r="AE769" s="69">
        <f>IF(OR(Q769="",R769=""),"",(R769-Q769)*24)</f>
        <v/>
      </c>
      <c r="AF769" s="77">
        <f>IF(OR($A769="",B769=""),"",YEAR(B769))</f>
        <v/>
      </c>
      <c r="AG769" s="77">
        <f>IF(OR($A769="",B769=""),"",MONTH(B769))</f>
        <v/>
      </c>
    </row>
    <row r="770">
      <c r="A770" s="7" t="inlineStr">
        <is>
          <t>OT-2025-0766</t>
        </is>
      </c>
      <c r="B770" s="75" t="n">
        <v>45990.70069444444</v>
      </c>
      <c r="C770" s="7" t="inlineStr">
        <is>
          <t>Éric Laurent (chef d'atelier)</t>
        </is>
      </c>
      <c r="D770" s="7" t="inlineStr">
        <is>
          <t>EQ-USI-005</t>
        </is>
      </c>
      <c r="E770" s="9">
        <f>IF(D770="","",IFERROR(INDEX('Équipements'!$B$5:$B$304,MATCH(D770,'Équipements'!$A$5:$A$304,0)),"Code inconnu"))</f>
        <v/>
      </c>
      <c r="F770" s="9">
        <f>IF(D770="","",IFERROR(INDEX('Équipements'!$D$5:$D$304,MATCH(D770,'Équipements'!$A$5:$A$304,0)),""))</f>
        <v/>
      </c>
      <c r="G770" s="9">
        <f>IF(D770="","",IFERROR(INDEX('Équipements'!$K$5:$K$304,MATCH(D770,'Équipements'!$A$5:$A$304,0)),""))</f>
        <v/>
      </c>
      <c r="H770" s="7" t="inlineStr">
        <is>
          <t>Correctif</t>
        </is>
      </c>
      <c r="I770" s="7" t="n"/>
      <c r="J770" s="7" t="inlineStr">
        <is>
          <t>Hydraulique</t>
        </is>
      </c>
      <c r="K770" s="7" t="inlineStr">
        <is>
          <t>P2 - Haute</t>
        </is>
      </c>
      <c r="L770" s="7" t="inlineStr">
        <is>
          <t>Fuite d'huile hydraulique sous la table</t>
        </is>
      </c>
      <c r="M770" s="7" t="inlineStr">
        <is>
          <t>Fuite</t>
        </is>
      </c>
      <c r="N770" s="7" t="inlineStr">
        <is>
          <t>Remplacement flexible et joints, appoint huile</t>
        </is>
      </c>
      <c r="O770" s="7" t="inlineStr">
        <is>
          <t>Karim Benali</t>
        </is>
      </c>
      <c r="P770" s="65" t="n"/>
      <c r="Q770" s="75" t="n">
        <v>45990.76805555556</v>
      </c>
      <c r="R770" s="75" t="n">
        <v>45990.86180555556</v>
      </c>
      <c r="S770" s="76" t="n">
        <v>0</v>
      </c>
      <c r="T770" s="76" t="n">
        <v>2.25</v>
      </c>
      <c r="U770" s="70">
        <f>IF($A770="","",IFERROR(INDEX('Techniciens'!$F$5:$F$44,MATCH(O770,'Techniciens'!$B$5:$B$44,0)),'Paramètres'!$AA$10))</f>
        <v/>
      </c>
      <c r="V770" s="70">
        <f>IF($A770="","",IF(OR(AC770="Demandé",AC770="Planifié",AC770="Annulé"),0,N(T770)*N(U770)))</f>
        <v/>
      </c>
      <c r="W770" s="70">
        <f>IF($A770="","",SUMIFS('Mouvements stock'!$H$5:$H$3004,'Mouvements stock'!$I$5:$I$3004,$A770,'Mouvements stock'!$C$5:$C$3004,"Sortie")-SUMIFS('Mouvements stock'!$H$5:$H$3004,'Mouvements stock'!$I$5:$I$3004,$A770,'Mouvements stock'!$C$5:$C$3004,"Retour"))</f>
        <v/>
      </c>
      <c r="X770" s="66" t="n">
        <v>0</v>
      </c>
      <c r="Y770" s="66" t="n">
        <v>0</v>
      </c>
      <c r="Z770" s="7" t="n"/>
      <c r="AA770" s="70">
        <f>IF($A770="","",N(V770)+N(W770)+N(X770)+N(Y770))</f>
        <v/>
      </c>
      <c r="AB770" s="70">
        <f>IF($A770="","",N(S770)*'Paramètres'!$AA$9*IFERROR(INDEX('Paramètres'!$O$5:$O$7,MATCH(G770,'Paramètres'!$N$5:$N$7,0)),0))</f>
        <v/>
      </c>
      <c r="AC770" s="7" t="inlineStr">
        <is>
          <t>Clôturé</t>
        </is>
      </c>
      <c r="AD770" s="69">
        <f>IF(OR($A770="",Q770=""),"",(Q770-B770)*24)</f>
        <v/>
      </c>
      <c r="AE770" s="69">
        <f>IF(OR(Q770="",R770=""),"",(R770-Q770)*24)</f>
        <v/>
      </c>
      <c r="AF770" s="77">
        <f>IF(OR($A770="",B770=""),"",YEAR(B770))</f>
        <v/>
      </c>
      <c r="AG770" s="77">
        <f>IF(OR($A770="",B770=""),"",MONTH(B770))</f>
        <v/>
      </c>
    </row>
    <row r="771">
      <c r="A771" s="7" t="inlineStr">
        <is>
          <t>OT-2025-0767</t>
        </is>
      </c>
      <c r="B771" s="75" t="n">
        <v>45990.81458333333</v>
      </c>
      <c r="C771" s="7" t="inlineStr">
        <is>
          <t>Opérateur tôlerie</t>
        </is>
      </c>
      <c r="D771" s="7" t="inlineStr">
        <is>
          <t>EQ-TOL-003</t>
        </is>
      </c>
      <c r="E771" s="9">
        <f>IF(D771="","",IFERROR(INDEX('Équipements'!$B$5:$B$304,MATCH(D771,'Équipements'!$A$5:$A$304,0)),"Code inconnu"))</f>
        <v/>
      </c>
      <c r="F771" s="9">
        <f>IF(D771="","",IFERROR(INDEX('Équipements'!$D$5:$D$304,MATCH(D771,'Équipements'!$A$5:$A$304,0)),""))</f>
        <v/>
      </c>
      <c r="G771" s="9">
        <f>IF(D771="","",IFERROR(INDEX('Équipements'!$K$5:$K$304,MATCH(D771,'Équipements'!$A$5:$A$304,0)),""))</f>
        <v/>
      </c>
      <c r="H771" s="7" t="inlineStr">
        <is>
          <t>Correctif</t>
        </is>
      </c>
      <c r="I771" s="7" t="n"/>
      <c r="J771" s="7" t="inlineStr">
        <is>
          <t>Mécanique</t>
        </is>
      </c>
      <c r="K771" s="7" t="inlineStr">
        <is>
          <t>P1 - Urgent</t>
        </is>
      </c>
      <c r="L771" s="7" t="inlineStr">
        <is>
          <t>Butée arrière bloquée</t>
        </is>
      </c>
      <c r="M771" s="7" t="inlineStr">
        <is>
          <t>Casse mécanique</t>
        </is>
      </c>
      <c r="N771" s="7" t="inlineStr">
        <is>
          <t>Remplacement courroie et réglage butée</t>
        </is>
      </c>
      <c r="O771" s="7" t="inlineStr">
        <is>
          <t>Lucas Fontaine</t>
        </is>
      </c>
      <c r="P771" s="65" t="n"/>
      <c r="Q771" s="75" t="n">
        <v>45990.82916666667</v>
      </c>
      <c r="R771" s="75" t="n">
        <v>45990.93333333333</v>
      </c>
      <c r="S771" s="76" t="n">
        <v>2.9</v>
      </c>
      <c r="T771" s="76" t="n">
        <v>2.5</v>
      </c>
      <c r="U771" s="70">
        <f>IF($A771="","",IFERROR(INDEX('Techniciens'!$F$5:$F$44,MATCH(O771,'Techniciens'!$B$5:$B$44,0)),'Paramètres'!$AA$10))</f>
        <v/>
      </c>
      <c r="V771" s="70">
        <f>IF($A771="","",IF(OR(AC771="Demandé",AC771="Planifié",AC771="Annulé"),0,N(T771)*N(U771)))</f>
        <v/>
      </c>
      <c r="W771" s="70">
        <f>IF($A771="","",SUMIFS('Mouvements stock'!$H$5:$H$3004,'Mouvements stock'!$I$5:$I$3004,$A771,'Mouvements stock'!$C$5:$C$3004,"Sortie")-SUMIFS('Mouvements stock'!$H$5:$H$3004,'Mouvements stock'!$I$5:$I$3004,$A771,'Mouvements stock'!$C$5:$C$3004,"Retour"))</f>
        <v/>
      </c>
      <c r="X771" s="66" t="n">
        <v>0</v>
      </c>
      <c r="Y771" s="66" t="n">
        <v>0</v>
      </c>
      <c r="Z771" s="7" t="n"/>
      <c r="AA771" s="70">
        <f>IF($A771="","",N(V771)+N(W771)+N(X771)+N(Y771))</f>
        <v/>
      </c>
      <c r="AB771" s="70">
        <f>IF($A771="","",N(S771)*'Paramètres'!$AA$9*IFERROR(INDEX('Paramètres'!$O$5:$O$7,MATCH(G771,'Paramètres'!$N$5:$N$7,0)),0))</f>
        <v/>
      </c>
      <c r="AC771" s="7" t="inlineStr">
        <is>
          <t>Clôturé</t>
        </is>
      </c>
      <c r="AD771" s="69">
        <f>IF(OR($A771="",Q771=""),"",(Q771-B771)*24)</f>
        <v/>
      </c>
      <c r="AE771" s="69">
        <f>IF(OR(Q771="",R771=""),"",(R771-Q771)*24)</f>
        <v/>
      </c>
      <c r="AF771" s="77">
        <f>IF(OR($A771="",B771=""),"",YEAR(B771))</f>
        <v/>
      </c>
      <c r="AG771" s="77">
        <f>IF(OR($A771="",B771=""),"",MONTH(B771))</f>
        <v/>
      </c>
    </row>
    <row r="772">
      <c r="A772" s="7" t="inlineStr">
        <is>
          <t>OT-2025-0768</t>
        </is>
      </c>
      <c r="B772" s="75" t="n">
        <v>45992.34375</v>
      </c>
      <c r="C772" s="7" t="inlineStr">
        <is>
          <t>Planning réglementaire</t>
        </is>
      </c>
      <c r="D772" s="7" t="n"/>
      <c r="E772" s="9">
        <f>IF(D772="","",IFERROR(INDEX('Équipements'!$B$5:$B$304,MATCH(D772,'Équipements'!$A$5:$A$304,0)),"Code inconnu"))</f>
        <v/>
      </c>
      <c r="F772" s="9">
        <f>IF(D772="","",IFERROR(INDEX('Équipements'!$D$5:$D$304,MATCH(D772,'Équipements'!$A$5:$A$304,0)),""))</f>
        <v/>
      </c>
      <c r="G772" s="9">
        <f>IF(D772="","",IFERROR(INDEX('Équipements'!$K$5:$K$304,MATCH(D772,'Équipements'!$A$5:$A$304,0)),""))</f>
        <v/>
      </c>
      <c r="H772" s="7" t="inlineStr">
        <is>
          <t>Réglementaire</t>
        </is>
      </c>
      <c r="I772" s="7" t="inlineStr">
        <is>
          <t>CR-014</t>
        </is>
      </c>
      <c r="J772" s="7" t="inlineStr">
        <is>
          <t>Multi-technique</t>
        </is>
      </c>
      <c r="K772" s="7" t="inlineStr">
        <is>
          <t>P2 - Haute</t>
        </is>
      </c>
      <c r="L772" s="7" t="inlineStr">
        <is>
          <t>Thermographie infrarouge des armoires électriques</t>
        </is>
      </c>
      <c r="M772" s="7" t="n"/>
      <c r="N772" s="7" t="inlineStr">
        <is>
          <t>Contrôle réalisé - rapport reçu</t>
        </is>
      </c>
      <c r="O772" s="7" t="inlineStr">
        <is>
          <t>Marc Lefèvre</t>
        </is>
      </c>
      <c r="P772" s="65" t="n">
        <v>46013</v>
      </c>
      <c r="Q772" s="75" t="n">
        <v>46013.53472222222</v>
      </c>
      <c r="R772" s="75" t="n">
        <v>46013.65972222222</v>
      </c>
      <c r="S772" s="76" t="n">
        <v>0</v>
      </c>
      <c r="T772" s="76" t="n">
        <v>3</v>
      </c>
      <c r="U772" s="70">
        <f>IF($A772="","",IFERROR(INDEX('Techniciens'!$F$5:$F$44,MATCH(O772,'Techniciens'!$B$5:$B$44,0)),'Paramètres'!$AA$10))</f>
        <v/>
      </c>
      <c r="V772" s="70">
        <f>IF($A772="","",IF(OR(AC772="Demandé",AC772="Planifié",AC772="Annulé"),0,N(T772)*N(U772)))</f>
        <v/>
      </c>
      <c r="W772" s="70">
        <f>IF($A772="","",SUMIFS('Mouvements stock'!$H$5:$H$3004,'Mouvements stock'!$I$5:$I$3004,$A772,'Mouvements stock'!$C$5:$C$3004,"Sortie")-SUMIFS('Mouvements stock'!$H$5:$H$3004,'Mouvements stock'!$I$5:$I$3004,$A772,'Mouvements stock'!$C$5:$C$3004,"Retour"))</f>
        <v/>
      </c>
      <c r="X772" s="66" t="n">
        <v>0</v>
      </c>
      <c r="Y772" s="66" t="n">
        <v>910</v>
      </c>
      <c r="Z772" s="7" t="inlineStr">
        <is>
          <t>CONTROLIS (organisme fictif)</t>
        </is>
      </c>
      <c r="AA772" s="70">
        <f>IF($A772="","",N(V772)+N(W772)+N(X772)+N(Y772))</f>
        <v/>
      </c>
      <c r="AB772" s="70">
        <f>IF($A772="","",N(S772)*'Paramètres'!$AA$9*IFERROR(INDEX('Paramètres'!$O$5:$O$7,MATCH(G772,'Paramètres'!$N$5:$N$7,0)),0))</f>
        <v/>
      </c>
      <c r="AC772" s="7" t="inlineStr">
        <is>
          <t>Clôturé</t>
        </is>
      </c>
      <c r="AD772" s="69">
        <f>IF(OR($A772="",Q772=""),"",(Q772-B772)*24)</f>
        <v/>
      </c>
      <c r="AE772" s="69">
        <f>IF(OR(Q772="",R772=""),"",(R772-Q772)*24)</f>
        <v/>
      </c>
      <c r="AF772" s="77">
        <f>IF(OR($A772="",B772=""),"",YEAR(B772))</f>
        <v/>
      </c>
      <c r="AG772" s="77">
        <f>IF(OR($A772="",B772=""),"",MONTH(B772))</f>
        <v/>
      </c>
    </row>
    <row r="773">
      <c r="A773" s="7" t="inlineStr">
        <is>
          <t>OT-2025-0769</t>
        </is>
      </c>
      <c r="B773" s="75" t="n">
        <v>45992.3625</v>
      </c>
      <c r="C773" s="7" t="inlineStr">
        <is>
          <t>Sylvie Mathieu (resp. logistique)</t>
        </is>
      </c>
      <c r="D773" s="7" t="inlineStr">
        <is>
          <t>EQ-LOG-002</t>
        </is>
      </c>
      <c r="E773" s="9">
        <f>IF(D773="","",IFERROR(INDEX('Équipements'!$B$5:$B$304,MATCH(D773,'Équipements'!$A$5:$A$304,0)),"Code inconnu"))</f>
        <v/>
      </c>
      <c r="F773" s="9">
        <f>IF(D773="","",IFERROR(INDEX('Équipements'!$D$5:$D$304,MATCH(D773,'Équipements'!$A$5:$A$304,0)),""))</f>
        <v/>
      </c>
      <c r="G773" s="9">
        <f>IF(D773="","",IFERROR(INDEX('Équipements'!$K$5:$K$304,MATCH(D773,'Équipements'!$A$5:$A$304,0)),""))</f>
        <v/>
      </c>
      <c r="H773" s="7" t="inlineStr">
        <is>
          <t>Correctif</t>
        </is>
      </c>
      <c r="I773" s="7" t="n"/>
      <c r="J773" s="7" t="inlineStr">
        <is>
          <t>Mécanique</t>
        </is>
      </c>
      <c r="K773" s="7" t="inlineStr">
        <is>
          <t>P2 - Haute</t>
        </is>
      </c>
      <c r="L773" s="7" t="inlineStr">
        <is>
          <t>Bandage de roue usé / arraché</t>
        </is>
      </c>
      <c r="M773" s="7" t="inlineStr">
        <is>
          <t>Usure</t>
        </is>
      </c>
      <c r="N773" s="7" t="inlineStr">
        <is>
          <t>Remplacement bandage</t>
        </is>
      </c>
      <c r="O773" s="7" t="inlineStr">
        <is>
          <t>Lucas Fontaine</t>
        </is>
      </c>
      <c r="P773" s="65" t="n"/>
      <c r="Q773" s="75" t="n">
        <v>45992.43055555555</v>
      </c>
      <c r="R773" s="75" t="n">
        <v>45992.74305555555</v>
      </c>
      <c r="S773" s="76" t="n">
        <v>0</v>
      </c>
      <c r="T773" s="76" t="n">
        <v>7.5</v>
      </c>
      <c r="U773" s="70">
        <f>IF($A773="","",IFERROR(INDEX('Techniciens'!$F$5:$F$44,MATCH(O773,'Techniciens'!$B$5:$B$44,0)),'Paramètres'!$AA$10))</f>
        <v/>
      </c>
      <c r="V773" s="70">
        <f>IF($A773="","",IF(OR(AC773="Demandé",AC773="Planifié",AC773="Annulé"),0,N(T773)*N(U773)))</f>
        <v/>
      </c>
      <c r="W773" s="70">
        <f>IF($A773="","",SUMIFS('Mouvements stock'!$H$5:$H$3004,'Mouvements stock'!$I$5:$I$3004,$A773,'Mouvements stock'!$C$5:$C$3004,"Sortie")-SUMIFS('Mouvements stock'!$H$5:$H$3004,'Mouvements stock'!$I$5:$I$3004,$A773,'Mouvements stock'!$C$5:$C$3004,"Retour"))</f>
        <v/>
      </c>
      <c r="X773" s="66" t="n">
        <v>0</v>
      </c>
      <c r="Y773" s="66" t="n">
        <v>0</v>
      </c>
      <c r="Z773" s="7" t="n"/>
      <c r="AA773" s="70">
        <f>IF($A773="","",N(V773)+N(W773)+N(X773)+N(Y773))</f>
        <v/>
      </c>
      <c r="AB773" s="70">
        <f>IF($A773="","",N(S773)*'Paramètres'!$AA$9*IFERROR(INDEX('Paramètres'!$O$5:$O$7,MATCH(G773,'Paramètres'!$N$5:$N$7,0)),0))</f>
        <v/>
      </c>
      <c r="AC773" s="7" t="inlineStr">
        <is>
          <t>Clôturé</t>
        </is>
      </c>
      <c r="AD773" s="69">
        <f>IF(OR($A773="",Q773=""),"",(Q773-B773)*24)</f>
        <v/>
      </c>
      <c r="AE773" s="69">
        <f>IF(OR(Q773="",R773=""),"",(R773-Q773)*24)</f>
        <v/>
      </c>
      <c r="AF773" s="77">
        <f>IF(OR($A773="",B773=""),"",YEAR(B773))</f>
        <v/>
      </c>
      <c r="AG773" s="77">
        <f>IF(OR($A773="",B773=""),"",MONTH(B773))</f>
        <v/>
      </c>
    </row>
    <row r="774">
      <c r="A774" s="7" t="inlineStr">
        <is>
          <t>OT-2025-0770</t>
        </is>
      </c>
      <c r="B774" s="75" t="n">
        <v>45992.36805555555</v>
      </c>
      <c r="C774" s="7" t="inlineStr">
        <is>
          <t>Plan préventif</t>
        </is>
      </c>
      <c r="D774" s="7" t="inlineStr">
        <is>
          <t>EQ-UTI-009</t>
        </is>
      </c>
      <c r="E774" s="9">
        <f>IF(D774="","",IFERROR(INDEX('Équipements'!$B$5:$B$304,MATCH(D774,'Équipements'!$A$5:$A$304,0)),"Code inconnu"))</f>
        <v/>
      </c>
      <c r="F774" s="9">
        <f>IF(D774="","",IFERROR(INDEX('Équipements'!$D$5:$D$304,MATCH(D774,'Équipements'!$A$5:$A$304,0)),""))</f>
        <v/>
      </c>
      <c r="G774" s="9">
        <f>IF(D774="","",IFERROR(INDEX('Équipements'!$K$5:$K$304,MATCH(D774,'Équipements'!$A$5:$A$304,0)),""))</f>
        <v/>
      </c>
      <c r="H774" s="7" t="inlineStr">
        <is>
          <t>Préventif systématique</t>
        </is>
      </c>
      <c r="I774" s="7" t="inlineStr">
        <is>
          <t>GP-101</t>
        </is>
      </c>
      <c r="J774" s="7" t="inlineStr">
        <is>
          <t>Électrique</t>
        </is>
      </c>
      <c r="K774" s="7" t="inlineStr">
        <is>
          <t>P3 - Normale</t>
        </is>
      </c>
      <c r="L774" s="7" t="inlineStr">
        <is>
          <t>Étalonnage des sondes pH / redox</t>
        </is>
      </c>
      <c r="M774" s="7" t="n"/>
      <c r="N774" s="7" t="inlineStr">
        <is>
          <t>Gamme réalisée - RAS</t>
        </is>
      </c>
      <c r="O774" s="7" t="inlineStr">
        <is>
          <t>Thomas Petit</t>
        </is>
      </c>
      <c r="P774" s="65" t="n">
        <v>45999.375</v>
      </c>
      <c r="Q774" s="75" t="n">
        <v>45999.44444444445</v>
      </c>
      <c r="R774" s="75" t="n">
        <v>45999.49652777778</v>
      </c>
      <c r="S774" s="76" t="n">
        <v>0</v>
      </c>
      <c r="T774" s="76" t="n">
        <v>1.25</v>
      </c>
      <c r="U774" s="70">
        <f>IF($A774="","",IFERROR(INDEX('Techniciens'!$F$5:$F$44,MATCH(O774,'Techniciens'!$B$5:$B$44,0)),'Paramètres'!$AA$10))</f>
        <v/>
      </c>
      <c r="V774" s="70">
        <f>IF($A774="","",IF(OR(AC774="Demandé",AC774="Planifié",AC774="Annulé"),0,N(T774)*N(U774)))</f>
        <v/>
      </c>
      <c r="W774" s="70">
        <f>IF($A774="","",SUMIFS('Mouvements stock'!$H$5:$H$3004,'Mouvements stock'!$I$5:$I$3004,$A774,'Mouvements stock'!$C$5:$C$3004,"Sortie")-SUMIFS('Mouvements stock'!$H$5:$H$3004,'Mouvements stock'!$I$5:$I$3004,$A774,'Mouvements stock'!$C$5:$C$3004,"Retour"))</f>
        <v/>
      </c>
      <c r="X774" s="66" t="n">
        <v>0</v>
      </c>
      <c r="Y774" s="66" t="n">
        <v>0</v>
      </c>
      <c r="Z774" s="7" t="n"/>
      <c r="AA774" s="70">
        <f>IF($A774="","",N(V774)+N(W774)+N(X774)+N(Y774))</f>
        <v/>
      </c>
      <c r="AB774" s="70">
        <f>IF($A774="","",N(S774)*'Paramètres'!$AA$9*IFERROR(INDEX('Paramètres'!$O$5:$O$7,MATCH(G774,'Paramètres'!$N$5:$N$7,0)),0))</f>
        <v/>
      </c>
      <c r="AC774" s="7" t="inlineStr">
        <is>
          <t>Clôturé</t>
        </is>
      </c>
      <c r="AD774" s="69">
        <f>IF(OR($A774="",Q774=""),"",(Q774-B774)*24)</f>
        <v/>
      </c>
      <c r="AE774" s="69">
        <f>IF(OR(Q774="",R774=""),"",(R774-Q774)*24)</f>
        <v/>
      </c>
      <c r="AF774" s="77">
        <f>IF(OR($A774="",B774=""),"",YEAR(B774))</f>
        <v/>
      </c>
      <c r="AG774" s="77">
        <f>IF(OR($A774="",B774=""),"",MONTH(B774))</f>
        <v/>
      </c>
    </row>
    <row r="775">
      <c r="A775" s="7" t="inlineStr">
        <is>
          <t>OT-2025-0771</t>
        </is>
      </c>
      <c r="B775" s="75" t="n">
        <v>45992.40625</v>
      </c>
      <c r="C775" s="7" t="inlineStr">
        <is>
          <t>Plan préventif</t>
        </is>
      </c>
      <c r="D775" s="7" t="inlineStr">
        <is>
          <t>EQ-TOL-005</t>
        </is>
      </c>
      <c r="E775" s="9">
        <f>IF(D775="","",IFERROR(INDEX('Équipements'!$B$5:$B$304,MATCH(D775,'Équipements'!$A$5:$A$304,0)),"Code inconnu"))</f>
        <v/>
      </c>
      <c r="F775" s="9">
        <f>IF(D775="","",IFERROR(INDEX('Équipements'!$D$5:$D$304,MATCH(D775,'Équipements'!$A$5:$A$304,0)),""))</f>
        <v/>
      </c>
      <c r="G775" s="9">
        <f>IF(D775="","",IFERROR(INDEX('Équipements'!$K$5:$K$304,MATCH(D775,'Équipements'!$A$5:$A$304,0)),""))</f>
        <v/>
      </c>
      <c r="H775" s="7" t="inlineStr">
        <is>
          <t>Préventif systématique</t>
        </is>
      </c>
      <c r="I775" s="7" t="inlineStr">
        <is>
          <t>GP-052</t>
        </is>
      </c>
      <c r="J775" s="7" t="inlineStr">
        <is>
          <t>Électrique</t>
        </is>
      </c>
      <c r="K775" s="7" t="inlineStr">
        <is>
          <t>P3 - Normale</t>
        </is>
      </c>
      <c r="L775" s="7" t="inlineStr">
        <is>
          <t>Contrôle des sécurités (barrages, AU, pédale)</t>
        </is>
      </c>
      <c r="M775" s="7" t="n"/>
      <c r="N775" s="7" t="inlineStr">
        <is>
          <t>Gamme réalisée - serrages repris</t>
        </is>
      </c>
      <c r="O775" s="7" t="inlineStr">
        <is>
          <t>Julien Moreau</t>
        </is>
      </c>
      <c r="P775" s="65" t="n">
        <v>45999.625</v>
      </c>
      <c r="Q775" s="75" t="n">
        <v>45999.42361111111</v>
      </c>
      <c r="R775" s="75" t="n">
        <v>45999.49652777778</v>
      </c>
      <c r="S775" s="76" t="n">
        <v>0.9</v>
      </c>
      <c r="T775" s="76" t="n">
        <v>1.75</v>
      </c>
      <c r="U775" s="70">
        <f>IF($A775="","",IFERROR(INDEX('Techniciens'!$F$5:$F$44,MATCH(O775,'Techniciens'!$B$5:$B$44,0)),'Paramètres'!$AA$10))</f>
        <v/>
      </c>
      <c r="V775" s="70">
        <f>IF($A775="","",IF(OR(AC775="Demandé",AC775="Planifié",AC775="Annulé"),0,N(T775)*N(U775)))</f>
        <v/>
      </c>
      <c r="W775" s="70">
        <f>IF($A775="","",SUMIFS('Mouvements stock'!$H$5:$H$3004,'Mouvements stock'!$I$5:$I$3004,$A775,'Mouvements stock'!$C$5:$C$3004,"Sortie")-SUMIFS('Mouvements stock'!$H$5:$H$3004,'Mouvements stock'!$I$5:$I$3004,$A775,'Mouvements stock'!$C$5:$C$3004,"Retour"))</f>
        <v/>
      </c>
      <c r="X775" s="66" t="n">
        <v>0</v>
      </c>
      <c r="Y775" s="66" t="n">
        <v>0</v>
      </c>
      <c r="Z775" s="7" t="n"/>
      <c r="AA775" s="70">
        <f>IF($A775="","",N(V775)+N(W775)+N(X775)+N(Y775))</f>
        <v/>
      </c>
      <c r="AB775" s="70">
        <f>IF($A775="","",N(S775)*'Paramètres'!$AA$9*IFERROR(INDEX('Paramètres'!$O$5:$O$7,MATCH(G775,'Paramètres'!$N$5:$N$7,0)),0))</f>
        <v/>
      </c>
      <c r="AC775" s="7" t="inlineStr">
        <is>
          <t>Clôturé</t>
        </is>
      </c>
      <c r="AD775" s="69">
        <f>IF(OR($A775="",Q775=""),"",(Q775-B775)*24)</f>
        <v/>
      </c>
      <c r="AE775" s="69">
        <f>IF(OR(Q775="",R775=""),"",(R775-Q775)*24)</f>
        <v/>
      </c>
      <c r="AF775" s="77">
        <f>IF(OR($A775="",B775=""),"",YEAR(B775))</f>
        <v/>
      </c>
      <c r="AG775" s="77">
        <f>IF(OR($A775="",B775=""),"",MONTH(B775))</f>
        <v/>
      </c>
    </row>
    <row r="776">
      <c r="A776" s="7" t="inlineStr">
        <is>
          <t>OT-2025-0772</t>
        </is>
      </c>
      <c r="B776" s="75" t="n">
        <v>45992.45138888889</v>
      </c>
      <c r="C776" s="7" t="inlineStr">
        <is>
          <t>Plan préventif</t>
        </is>
      </c>
      <c r="D776" s="7" t="inlineStr">
        <is>
          <t>EQ-TOL-001</t>
        </is>
      </c>
      <c r="E776" s="9">
        <f>IF(D776="","",IFERROR(INDEX('Équipements'!$B$5:$B$304,MATCH(D776,'Équipements'!$A$5:$A$304,0)),"Code inconnu"))</f>
        <v/>
      </c>
      <c r="F776" s="9">
        <f>IF(D776="","",IFERROR(INDEX('Équipements'!$D$5:$D$304,MATCH(D776,'Équipements'!$A$5:$A$304,0)),""))</f>
        <v/>
      </c>
      <c r="G776" s="9">
        <f>IF(D776="","",IFERROR(INDEX('Équipements'!$K$5:$K$304,MATCH(D776,'Équipements'!$A$5:$A$304,0)),""))</f>
        <v/>
      </c>
      <c r="H776" s="7" t="inlineStr">
        <is>
          <t>Préventif systématique</t>
        </is>
      </c>
      <c r="I776" s="7" t="inlineStr">
        <is>
          <t>GP-038</t>
        </is>
      </c>
      <c r="J776" s="7" t="inlineStr">
        <is>
          <t>Mécanique</t>
        </is>
      </c>
      <c r="K776" s="7" t="inlineStr">
        <is>
          <t>P3 - Normale</t>
        </is>
      </c>
      <c r="L776" s="7" t="inlineStr">
        <is>
          <t>Nettoyage optique, contrôle buse et lentille</t>
        </is>
      </c>
      <c r="M776" s="7" t="n"/>
      <c r="N776" s="7" t="inlineStr">
        <is>
          <t>Gamme réalisée - RAS</t>
        </is>
      </c>
      <c r="O776" s="7" t="inlineStr">
        <is>
          <t>Karim Benali</t>
        </is>
      </c>
      <c r="P776" s="65" t="n">
        <v>45999.33333333334</v>
      </c>
      <c r="Q776" s="75" t="n">
        <v>45999.32638888889</v>
      </c>
      <c r="R776" s="75" t="n">
        <v>45999.44097222222</v>
      </c>
      <c r="S776" s="76" t="n">
        <v>2.8</v>
      </c>
      <c r="T776" s="76" t="n">
        <v>2.75</v>
      </c>
      <c r="U776" s="70">
        <f>IF($A776="","",IFERROR(INDEX('Techniciens'!$F$5:$F$44,MATCH(O776,'Techniciens'!$B$5:$B$44,0)),'Paramètres'!$AA$10))</f>
        <v/>
      </c>
      <c r="V776" s="70">
        <f>IF($A776="","",IF(OR(AC776="Demandé",AC776="Planifié",AC776="Annulé"),0,N(T776)*N(U776)))</f>
        <v/>
      </c>
      <c r="W776" s="70">
        <f>IF($A776="","",SUMIFS('Mouvements stock'!$H$5:$H$3004,'Mouvements stock'!$I$5:$I$3004,$A776,'Mouvements stock'!$C$5:$C$3004,"Sortie")-SUMIFS('Mouvements stock'!$H$5:$H$3004,'Mouvements stock'!$I$5:$I$3004,$A776,'Mouvements stock'!$C$5:$C$3004,"Retour"))</f>
        <v/>
      </c>
      <c r="X776" s="66" t="n">
        <v>0</v>
      </c>
      <c r="Y776" s="66" t="n">
        <v>0</v>
      </c>
      <c r="Z776" s="7" t="n"/>
      <c r="AA776" s="70">
        <f>IF($A776="","",N(V776)+N(W776)+N(X776)+N(Y776))</f>
        <v/>
      </c>
      <c r="AB776" s="70">
        <f>IF($A776="","",N(S776)*'Paramètres'!$AA$9*IFERROR(INDEX('Paramètres'!$O$5:$O$7,MATCH(G776,'Paramètres'!$N$5:$N$7,0)),0))</f>
        <v/>
      </c>
      <c r="AC776" s="7" t="inlineStr">
        <is>
          <t>Clôturé</t>
        </is>
      </c>
      <c r="AD776" s="69">
        <f>IF(OR($A776="",Q776=""),"",(Q776-B776)*24)</f>
        <v/>
      </c>
      <c r="AE776" s="69">
        <f>IF(OR(Q776="",R776=""),"",(R776-Q776)*24)</f>
        <v/>
      </c>
      <c r="AF776" s="77">
        <f>IF(OR($A776="",B776=""),"",YEAR(B776))</f>
        <v/>
      </c>
      <c r="AG776" s="77">
        <f>IF(OR($A776="",B776=""),"",MONTH(B776))</f>
        <v/>
      </c>
    </row>
    <row r="777">
      <c r="A777" s="7" t="inlineStr">
        <is>
          <t>OT-2025-0773</t>
        </is>
      </c>
      <c r="B777" s="75" t="n">
        <v>45992.81388888889</v>
      </c>
      <c r="C777" s="7" t="inlineStr">
        <is>
          <t>Opérateur peinture</t>
        </is>
      </c>
      <c r="D777" s="7" t="inlineStr">
        <is>
          <t>EQ-PEI-005</t>
        </is>
      </c>
      <c r="E777" s="9">
        <f>IF(D777="","",IFERROR(INDEX('Équipements'!$B$5:$B$304,MATCH(D777,'Équipements'!$A$5:$A$304,0)),"Code inconnu"))</f>
        <v/>
      </c>
      <c r="F777" s="9">
        <f>IF(D777="","",IFERROR(INDEX('Équipements'!$D$5:$D$304,MATCH(D777,'Équipements'!$A$5:$A$304,0)),""))</f>
        <v/>
      </c>
      <c r="G777" s="9">
        <f>IF(D777="","",IFERROR(INDEX('Équipements'!$K$5:$K$304,MATCH(D777,'Équipements'!$A$5:$A$304,0)),""))</f>
        <v/>
      </c>
      <c r="H777" s="7" t="inlineStr">
        <is>
          <t>Correctif</t>
        </is>
      </c>
      <c r="I777" s="7" t="n"/>
      <c r="J777" s="7" t="inlineStr">
        <is>
          <t>Électrique</t>
        </is>
      </c>
      <c r="K777" s="7" t="inlineStr">
        <is>
          <t>P4 - Basse</t>
        </is>
      </c>
      <c r="L777" s="7" t="inlineStr">
        <is>
          <t>Ventilateur d'extraction en défaut</t>
        </is>
      </c>
      <c r="M777" s="7" t="inlineStr">
        <is>
          <t>Défaut électrique</t>
        </is>
      </c>
      <c r="N777" s="7" t="inlineStr">
        <is>
          <t>Remplacement contacteur et courroie</t>
        </is>
      </c>
      <c r="O777" s="7" t="inlineStr">
        <is>
          <t>Antoine Mercier</t>
        </is>
      </c>
      <c r="P777" s="65" t="n"/>
      <c r="Q777" s="75" t="n">
        <v>45996.36111111111</v>
      </c>
      <c r="R777" s="75" t="n">
        <v>45996.39236111111</v>
      </c>
      <c r="S777" s="76" t="n">
        <v>0</v>
      </c>
      <c r="T777" s="76" t="n">
        <v>0.75</v>
      </c>
      <c r="U777" s="70">
        <f>IF($A777="","",IFERROR(INDEX('Techniciens'!$F$5:$F$44,MATCH(O777,'Techniciens'!$B$5:$B$44,0)),'Paramètres'!$AA$10))</f>
        <v/>
      </c>
      <c r="V777" s="70">
        <f>IF($A777="","",IF(OR(AC777="Demandé",AC777="Planifié",AC777="Annulé"),0,N(T777)*N(U777)))</f>
        <v/>
      </c>
      <c r="W777" s="70">
        <f>IF($A777="","",SUMIFS('Mouvements stock'!$H$5:$H$3004,'Mouvements stock'!$I$5:$I$3004,$A777,'Mouvements stock'!$C$5:$C$3004,"Sortie")-SUMIFS('Mouvements stock'!$H$5:$H$3004,'Mouvements stock'!$I$5:$I$3004,$A777,'Mouvements stock'!$C$5:$C$3004,"Retour"))</f>
        <v/>
      </c>
      <c r="X777" s="66" t="n">
        <v>0</v>
      </c>
      <c r="Y777" s="66" t="n">
        <v>0</v>
      </c>
      <c r="Z777" s="7" t="n"/>
      <c r="AA777" s="70">
        <f>IF($A777="","",N(V777)+N(W777)+N(X777)+N(Y777))</f>
        <v/>
      </c>
      <c r="AB777" s="70">
        <f>IF($A777="","",N(S777)*'Paramètres'!$AA$9*IFERROR(INDEX('Paramètres'!$O$5:$O$7,MATCH(G777,'Paramètres'!$N$5:$N$7,0)),0))</f>
        <v/>
      </c>
      <c r="AC777" s="7" t="inlineStr">
        <is>
          <t>Clôturé</t>
        </is>
      </c>
      <c r="AD777" s="69">
        <f>IF(OR($A777="",Q777=""),"",(Q777-B777)*24)</f>
        <v/>
      </c>
      <c r="AE777" s="69">
        <f>IF(OR(Q777="",R777=""),"",(R777-Q777)*24)</f>
        <v/>
      </c>
      <c r="AF777" s="77">
        <f>IF(OR($A777="",B777=""),"",YEAR(B777))</f>
        <v/>
      </c>
      <c r="AG777" s="77">
        <f>IF(OR($A777="",B777=""),"",MONTH(B777))</f>
        <v/>
      </c>
    </row>
    <row r="778">
      <c r="A778" s="7" t="inlineStr">
        <is>
          <t>OT-2025-0774</t>
        </is>
      </c>
      <c r="B778" s="75" t="n">
        <v>45993.42361111111</v>
      </c>
      <c r="C778" s="7" t="inlineStr">
        <is>
          <t>Plan préventif</t>
        </is>
      </c>
      <c r="D778" s="7" t="inlineStr">
        <is>
          <t>EQ-PEI-001</t>
        </is>
      </c>
      <c r="E778" s="9">
        <f>IF(D778="","",IFERROR(INDEX('Équipements'!$B$5:$B$304,MATCH(D778,'Équipements'!$A$5:$A$304,0)),"Code inconnu"))</f>
        <v/>
      </c>
      <c r="F778" s="9">
        <f>IF(D778="","",IFERROR(INDEX('Équipements'!$D$5:$D$304,MATCH(D778,'Équipements'!$A$5:$A$304,0)),""))</f>
        <v/>
      </c>
      <c r="G778" s="9">
        <f>IF(D778="","",IFERROR(INDEX('Équipements'!$K$5:$K$304,MATCH(D778,'Équipements'!$A$5:$A$304,0)),""))</f>
        <v/>
      </c>
      <c r="H778" s="7" t="inlineStr">
        <is>
          <t>Préventif systématique</t>
        </is>
      </c>
      <c r="I778" s="7" t="inlineStr">
        <is>
          <t>GP-066</t>
        </is>
      </c>
      <c r="J778" s="7" t="inlineStr">
        <is>
          <t>Mécanique</t>
        </is>
      </c>
      <c r="K778" s="7" t="inlineStr">
        <is>
          <t>P3 - Normale</t>
        </is>
      </c>
      <c r="L778" s="7" t="inlineStr">
        <is>
          <t>Nettoyage et remplacement des filtres</t>
        </is>
      </c>
      <c r="M778" s="7" t="n"/>
      <c r="N778" s="7" t="inlineStr">
        <is>
          <t>Gamme réalisée - RAS</t>
        </is>
      </c>
      <c r="O778" s="7" t="inlineStr">
        <is>
          <t>Lucas Fontaine</t>
        </is>
      </c>
      <c r="P778" s="65" t="n">
        <v>46000.45833333334</v>
      </c>
      <c r="Q778" s="75" t="n">
        <v>46000.59027777778</v>
      </c>
      <c r="R778" s="75" t="n">
        <v>46000.71527777778</v>
      </c>
      <c r="S778" s="76" t="n">
        <v>1.5</v>
      </c>
      <c r="T778" s="76" t="n">
        <v>3</v>
      </c>
      <c r="U778" s="70">
        <f>IF($A778="","",IFERROR(INDEX('Techniciens'!$F$5:$F$44,MATCH(O778,'Techniciens'!$B$5:$B$44,0)),'Paramètres'!$AA$10))</f>
        <v/>
      </c>
      <c r="V778" s="70">
        <f>IF($A778="","",IF(OR(AC778="Demandé",AC778="Planifié",AC778="Annulé"),0,N(T778)*N(U778)))</f>
        <v/>
      </c>
      <c r="W778" s="70">
        <f>IF($A778="","",SUMIFS('Mouvements stock'!$H$5:$H$3004,'Mouvements stock'!$I$5:$I$3004,$A778,'Mouvements stock'!$C$5:$C$3004,"Sortie")-SUMIFS('Mouvements stock'!$H$5:$H$3004,'Mouvements stock'!$I$5:$I$3004,$A778,'Mouvements stock'!$C$5:$C$3004,"Retour"))</f>
        <v/>
      </c>
      <c r="X778" s="66" t="n">
        <v>0</v>
      </c>
      <c r="Y778" s="66" t="n">
        <v>0</v>
      </c>
      <c r="Z778" s="7" t="n"/>
      <c r="AA778" s="70">
        <f>IF($A778="","",N(V778)+N(W778)+N(X778)+N(Y778))</f>
        <v/>
      </c>
      <c r="AB778" s="70">
        <f>IF($A778="","",N(S778)*'Paramètres'!$AA$9*IFERROR(INDEX('Paramètres'!$O$5:$O$7,MATCH(G778,'Paramètres'!$N$5:$N$7,0)),0))</f>
        <v/>
      </c>
      <c r="AC778" s="7" t="inlineStr">
        <is>
          <t>Clôturé</t>
        </is>
      </c>
      <c r="AD778" s="69">
        <f>IF(OR($A778="",Q778=""),"",(Q778-B778)*24)</f>
        <v/>
      </c>
      <c r="AE778" s="69">
        <f>IF(OR(Q778="",R778=""),"",(R778-Q778)*24)</f>
        <v/>
      </c>
      <c r="AF778" s="77">
        <f>IF(OR($A778="",B778=""),"",YEAR(B778))</f>
        <v/>
      </c>
      <c r="AG778" s="77">
        <f>IF(OR($A778="",B778=""),"",MONTH(B778))</f>
        <v/>
      </c>
    </row>
    <row r="779">
      <c r="A779" s="7" t="inlineStr">
        <is>
          <t>OT-2025-0775</t>
        </is>
      </c>
      <c r="B779" s="75" t="n">
        <v>45994.34722222222</v>
      </c>
      <c r="C779" s="7" t="inlineStr">
        <is>
          <t>Plan préventif</t>
        </is>
      </c>
      <c r="D779" s="7" t="inlineStr">
        <is>
          <t>EQ-TOL-006</t>
        </is>
      </c>
      <c r="E779" s="9">
        <f>IF(D779="","",IFERROR(INDEX('Équipements'!$B$5:$B$304,MATCH(D779,'Équipements'!$A$5:$A$304,0)),"Code inconnu"))</f>
        <v/>
      </c>
      <c r="F779" s="9">
        <f>IF(D779="","",IFERROR(INDEX('Équipements'!$D$5:$D$304,MATCH(D779,'Équipements'!$A$5:$A$304,0)),""))</f>
        <v/>
      </c>
      <c r="G779" s="9">
        <f>IF(D779="","",IFERROR(INDEX('Équipements'!$K$5:$K$304,MATCH(D779,'Équipements'!$A$5:$A$304,0)),""))</f>
        <v/>
      </c>
      <c r="H779" s="7" t="inlineStr">
        <is>
          <t>Préventif systématique</t>
        </is>
      </c>
      <c r="I779" s="7" t="inlineStr">
        <is>
          <t>GP-053</t>
        </is>
      </c>
      <c r="J779" s="7" t="inlineStr">
        <is>
          <t>Hydraulique</t>
        </is>
      </c>
      <c r="K779" s="7" t="inlineStr">
        <is>
          <t>P3 - Normale</t>
        </is>
      </c>
      <c r="L779" s="7" t="inlineStr">
        <is>
          <t>Contrôle hydraulique : fuites, niveaux, pressions</t>
        </is>
      </c>
      <c r="M779" s="7" t="n"/>
      <c r="N779" s="7" t="inlineStr">
        <is>
          <t>Gamme réalisée - RAS</t>
        </is>
      </c>
      <c r="O779" s="7" t="inlineStr">
        <is>
          <t>Antoine Mercier</t>
        </is>
      </c>
      <c r="P779" s="65" t="n">
        <v>46001.35763888889</v>
      </c>
      <c r="Q779" s="75" t="n">
        <v>46001.58333333334</v>
      </c>
      <c r="R779" s="75" t="n">
        <v>46001.69791666666</v>
      </c>
      <c r="S779" s="76" t="n">
        <v>2.8</v>
      </c>
      <c r="T779" s="76" t="n">
        <v>2.75</v>
      </c>
      <c r="U779" s="70">
        <f>IF($A779="","",IFERROR(INDEX('Techniciens'!$F$5:$F$44,MATCH(O779,'Techniciens'!$B$5:$B$44,0)),'Paramètres'!$AA$10))</f>
        <v/>
      </c>
      <c r="V779" s="70">
        <f>IF($A779="","",IF(OR(AC779="Demandé",AC779="Planifié",AC779="Annulé"),0,N(T779)*N(U779)))</f>
        <v/>
      </c>
      <c r="W779" s="70">
        <f>IF($A779="","",SUMIFS('Mouvements stock'!$H$5:$H$3004,'Mouvements stock'!$I$5:$I$3004,$A779,'Mouvements stock'!$C$5:$C$3004,"Sortie")-SUMIFS('Mouvements stock'!$H$5:$H$3004,'Mouvements stock'!$I$5:$I$3004,$A779,'Mouvements stock'!$C$5:$C$3004,"Retour"))</f>
        <v/>
      </c>
      <c r="X779" s="66" t="n">
        <v>0</v>
      </c>
      <c r="Y779" s="66" t="n">
        <v>0</v>
      </c>
      <c r="Z779" s="7" t="n"/>
      <c r="AA779" s="70">
        <f>IF($A779="","",N(V779)+N(W779)+N(X779)+N(Y779))</f>
        <v/>
      </c>
      <c r="AB779" s="70">
        <f>IF($A779="","",N(S779)*'Paramètres'!$AA$9*IFERROR(INDEX('Paramètres'!$O$5:$O$7,MATCH(G779,'Paramètres'!$N$5:$N$7,0)),0))</f>
        <v/>
      </c>
      <c r="AC779" s="7" t="inlineStr">
        <is>
          <t>Clôturé</t>
        </is>
      </c>
      <c r="AD779" s="69">
        <f>IF(OR($A779="",Q779=""),"",(Q779-B779)*24)</f>
        <v/>
      </c>
      <c r="AE779" s="69">
        <f>IF(OR(Q779="",R779=""),"",(R779-Q779)*24)</f>
        <v/>
      </c>
      <c r="AF779" s="77">
        <f>IF(OR($A779="",B779=""),"",YEAR(B779))</f>
        <v/>
      </c>
      <c r="AG779" s="77">
        <f>IF(OR($A779="",B779=""),"",MONTH(B779))</f>
        <v/>
      </c>
    </row>
    <row r="780">
      <c r="A780" s="7" t="inlineStr">
        <is>
          <t>OT-2025-0776</t>
        </is>
      </c>
      <c r="B780" s="75" t="n">
        <v>45994.39930555555</v>
      </c>
      <c r="C780" s="7" t="inlineStr">
        <is>
          <t>Opérateur soudure</t>
        </is>
      </c>
      <c r="D780" s="7" t="inlineStr">
        <is>
          <t>EQ-SOU-005</t>
        </is>
      </c>
      <c r="E780" s="9">
        <f>IF(D780="","",IFERROR(INDEX('Équipements'!$B$5:$B$304,MATCH(D780,'Équipements'!$A$5:$A$304,0)),"Code inconnu"))</f>
        <v/>
      </c>
      <c r="F780" s="9">
        <f>IF(D780="","",IFERROR(INDEX('Équipements'!$D$5:$D$304,MATCH(D780,'Équipements'!$A$5:$A$304,0)),""))</f>
        <v/>
      </c>
      <c r="G780" s="9">
        <f>IF(D780="","",IFERROR(INDEX('Équipements'!$K$5:$K$304,MATCH(D780,'Équipements'!$A$5:$A$304,0)),""))</f>
        <v/>
      </c>
      <c r="H780" s="7" t="inlineStr">
        <is>
          <t>Correctif</t>
        </is>
      </c>
      <c r="I780" s="7" t="n"/>
      <c r="J780" s="7" t="inlineStr">
        <is>
          <t>Électrique</t>
        </is>
      </c>
      <c r="K780" s="7" t="inlineStr">
        <is>
          <t>P1 - Urgent</t>
        </is>
      </c>
      <c r="L780" s="7" t="inlineStr">
        <is>
          <t>Mise en sécurité (défaut allumage)</t>
        </is>
      </c>
      <c r="M780" s="7" t="inlineStr">
        <is>
          <t>Défaut capteur</t>
        </is>
      </c>
      <c r="N780" s="7" t="inlineStr">
        <is>
          <t>Remplacement sonde, réglage combustion</t>
        </is>
      </c>
      <c r="O780" s="7" t="inlineStr">
        <is>
          <t>Julien Moreau</t>
        </is>
      </c>
      <c r="P780" s="65" t="n"/>
      <c r="Q780" s="75" t="n">
        <v>45994.43333333333</v>
      </c>
      <c r="R780" s="75" t="n">
        <v>45994.475</v>
      </c>
      <c r="S780" s="76" t="n">
        <v>1.8</v>
      </c>
      <c r="T780" s="76" t="n">
        <v>1</v>
      </c>
      <c r="U780" s="70">
        <f>IF($A780="","",IFERROR(INDEX('Techniciens'!$F$5:$F$44,MATCH(O780,'Techniciens'!$B$5:$B$44,0)),'Paramètres'!$AA$10))</f>
        <v/>
      </c>
      <c r="V780" s="70">
        <f>IF($A780="","",IF(OR(AC780="Demandé",AC780="Planifié",AC780="Annulé"),0,N(T780)*N(U780)))</f>
        <v/>
      </c>
      <c r="W780" s="70">
        <f>IF($A780="","",SUMIFS('Mouvements stock'!$H$5:$H$3004,'Mouvements stock'!$I$5:$I$3004,$A780,'Mouvements stock'!$C$5:$C$3004,"Sortie")-SUMIFS('Mouvements stock'!$H$5:$H$3004,'Mouvements stock'!$I$5:$I$3004,$A780,'Mouvements stock'!$C$5:$C$3004,"Retour"))</f>
        <v/>
      </c>
      <c r="X780" s="66" t="n">
        <v>0</v>
      </c>
      <c r="Y780" s="66" t="n">
        <v>440</v>
      </c>
      <c r="Z780" s="7" t="inlineStr">
        <is>
          <t>Thermique &amp; Clim Services</t>
        </is>
      </c>
      <c r="AA780" s="70">
        <f>IF($A780="","",N(V780)+N(W780)+N(X780)+N(Y780))</f>
        <v/>
      </c>
      <c r="AB780" s="70">
        <f>IF($A780="","",N(S780)*'Paramètres'!$AA$9*IFERROR(INDEX('Paramètres'!$O$5:$O$7,MATCH(G780,'Paramètres'!$N$5:$N$7,0)),0))</f>
        <v/>
      </c>
      <c r="AC780" s="7" t="inlineStr">
        <is>
          <t>Clôturé</t>
        </is>
      </c>
      <c r="AD780" s="69">
        <f>IF(OR($A780="",Q780=""),"",(Q780-B780)*24)</f>
        <v/>
      </c>
      <c r="AE780" s="69">
        <f>IF(OR(Q780="",R780=""),"",(R780-Q780)*24)</f>
        <v/>
      </c>
      <c r="AF780" s="77">
        <f>IF(OR($A780="",B780=""),"",YEAR(B780))</f>
        <v/>
      </c>
      <c r="AG780" s="77">
        <f>IF(OR($A780="",B780=""),"",MONTH(B780))</f>
        <v/>
      </c>
    </row>
    <row r="781">
      <c r="A781" s="7" t="inlineStr">
        <is>
          <t>OT-2025-0777</t>
        </is>
      </c>
      <c r="B781" s="75" t="n">
        <v>45994.42361111111</v>
      </c>
      <c r="C781" s="7" t="inlineStr">
        <is>
          <t>Plan préventif</t>
        </is>
      </c>
      <c r="D781" s="7" t="inlineStr">
        <is>
          <t>EQ-SOU-001</t>
        </is>
      </c>
      <c r="E781" s="9">
        <f>IF(D781="","",IFERROR(INDEX('Équipements'!$B$5:$B$304,MATCH(D781,'Équipements'!$A$5:$A$304,0)),"Code inconnu"))</f>
        <v/>
      </c>
      <c r="F781" s="9">
        <f>IF(D781="","",IFERROR(INDEX('Équipements'!$D$5:$D$304,MATCH(D781,'Équipements'!$A$5:$A$304,0)),""))</f>
        <v/>
      </c>
      <c r="G781" s="9">
        <f>IF(D781="","",IFERROR(INDEX('Équipements'!$K$5:$K$304,MATCH(D781,'Équipements'!$A$5:$A$304,0)),""))</f>
        <v/>
      </c>
      <c r="H781" s="7" t="inlineStr">
        <is>
          <t>Préventif systématique</t>
        </is>
      </c>
      <c r="I781" s="7" t="inlineStr">
        <is>
          <t>GP-058</t>
        </is>
      </c>
      <c r="J781" s="7" t="inlineStr">
        <is>
          <t>Mécanique</t>
        </is>
      </c>
      <c r="K781" s="7" t="inlineStr">
        <is>
          <t>P3 - Normale</t>
        </is>
      </c>
      <c r="L781" s="7" t="inlineStr">
        <is>
          <t>Nettoyage torche et contrôle faisceau</t>
        </is>
      </c>
      <c r="M781" s="7" t="n"/>
      <c r="N781" s="7" t="inlineStr">
        <is>
          <t>Gamme réalisée - RAS</t>
        </is>
      </c>
      <c r="O781" s="7" t="inlineStr">
        <is>
          <t>Lucas Fontaine</t>
        </is>
      </c>
      <c r="P781" s="65" t="n">
        <v>46001.29166666666</v>
      </c>
      <c r="Q781" s="75" t="n">
        <v>46001.41666666666</v>
      </c>
      <c r="R781" s="75" t="n">
        <v>46001.44791666666</v>
      </c>
      <c r="S781" s="76" t="n">
        <v>0.4</v>
      </c>
      <c r="T781" s="76" t="n">
        <v>0.75</v>
      </c>
      <c r="U781" s="70">
        <f>IF($A781="","",IFERROR(INDEX('Techniciens'!$F$5:$F$44,MATCH(O781,'Techniciens'!$B$5:$B$44,0)),'Paramètres'!$AA$10))</f>
        <v/>
      </c>
      <c r="V781" s="70">
        <f>IF($A781="","",IF(OR(AC781="Demandé",AC781="Planifié",AC781="Annulé"),0,N(T781)*N(U781)))</f>
        <v/>
      </c>
      <c r="W781" s="70">
        <f>IF($A781="","",SUMIFS('Mouvements stock'!$H$5:$H$3004,'Mouvements stock'!$I$5:$I$3004,$A781,'Mouvements stock'!$C$5:$C$3004,"Sortie")-SUMIFS('Mouvements stock'!$H$5:$H$3004,'Mouvements stock'!$I$5:$I$3004,$A781,'Mouvements stock'!$C$5:$C$3004,"Retour"))</f>
        <v/>
      </c>
      <c r="X781" s="66" t="n">
        <v>0</v>
      </c>
      <c r="Y781" s="66" t="n">
        <v>0</v>
      </c>
      <c r="Z781" s="7" t="n"/>
      <c r="AA781" s="70">
        <f>IF($A781="","",N(V781)+N(W781)+N(X781)+N(Y781))</f>
        <v/>
      </c>
      <c r="AB781" s="70">
        <f>IF($A781="","",N(S781)*'Paramètres'!$AA$9*IFERROR(INDEX('Paramètres'!$O$5:$O$7,MATCH(G781,'Paramètres'!$N$5:$N$7,0)),0))</f>
        <v/>
      </c>
      <c r="AC781" s="7" t="inlineStr">
        <is>
          <t>Clôturé</t>
        </is>
      </c>
      <c r="AD781" s="69">
        <f>IF(OR($A781="",Q781=""),"",(Q781-B781)*24)</f>
        <v/>
      </c>
      <c r="AE781" s="69">
        <f>IF(OR(Q781="",R781=""),"",(R781-Q781)*24)</f>
        <v/>
      </c>
      <c r="AF781" s="77">
        <f>IF(OR($A781="",B781=""),"",YEAR(B781))</f>
        <v/>
      </c>
      <c r="AG781" s="77">
        <f>IF(OR($A781="",B781=""),"",MONTH(B781))</f>
        <v/>
      </c>
    </row>
    <row r="782">
      <c r="A782" s="7" t="inlineStr">
        <is>
          <t>OT-2025-0778</t>
        </is>
      </c>
      <c r="B782" s="75" t="n">
        <v>45994.44444444445</v>
      </c>
      <c r="C782" s="7" t="inlineStr">
        <is>
          <t>Plan préventif</t>
        </is>
      </c>
      <c r="D782" s="7" t="inlineStr">
        <is>
          <t>EQ-PEI-003</t>
        </is>
      </c>
      <c r="E782" s="9">
        <f>IF(D782="","",IFERROR(INDEX('Équipements'!$B$5:$B$304,MATCH(D782,'Équipements'!$A$5:$A$304,0)),"Code inconnu"))</f>
        <v/>
      </c>
      <c r="F782" s="9">
        <f>IF(D782="","",IFERROR(INDEX('Équipements'!$D$5:$D$304,MATCH(D782,'Équipements'!$A$5:$A$304,0)),""))</f>
        <v/>
      </c>
      <c r="G782" s="9">
        <f>IF(D782="","",IFERROR(INDEX('Équipements'!$K$5:$K$304,MATCH(D782,'Équipements'!$A$5:$A$304,0)),""))</f>
        <v/>
      </c>
      <c r="H782" s="7" t="inlineStr">
        <is>
          <t>Préventif systématique</t>
        </is>
      </c>
      <c r="I782" s="7" t="inlineStr">
        <is>
          <t>GP-070</t>
        </is>
      </c>
      <c r="J782" s="7" t="inlineStr">
        <is>
          <t>Mécanique</t>
        </is>
      </c>
      <c r="K782" s="7" t="inlineStr">
        <is>
          <t>P3 - Normale</t>
        </is>
      </c>
      <c r="L782" s="7" t="inlineStr">
        <is>
          <t>Nettoyage et remplacement des filtres</t>
        </is>
      </c>
      <c r="M782" s="7" t="n"/>
      <c r="N782" s="7" t="inlineStr">
        <is>
          <t>Gamme réalisée - RAS</t>
        </is>
      </c>
      <c r="O782" s="7" t="inlineStr">
        <is>
          <t>Antoine Mercier</t>
        </is>
      </c>
      <c r="P782" s="65" t="n">
        <v>46001.73958333334</v>
      </c>
      <c r="Q782" s="75" t="n">
        <v>46001.5625</v>
      </c>
      <c r="R782" s="75" t="n">
        <v>46001.6875</v>
      </c>
      <c r="S782" s="76" t="n">
        <v>3</v>
      </c>
      <c r="T782" s="76" t="n">
        <v>3</v>
      </c>
      <c r="U782" s="70">
        <f>IF($A782="","",IFERROR(INDEX('Techniciens'!$F$5:$F$44,MATCH(O782,'Techniciens'!$B$5:$B$44,0)),'Paramètres'!$AA$10))</f>
        <v/>
      </c>
      <c r="V782" s="70">
        <f>IF($A782="","",IF(OR(AC782="Demandé",AC782="Planifié",AC782="Annulé"),0,N(T782)*N(U782)))</f>
        <v/>
      </c>
      <c r="W782" s="70">
        <f>IF($A782="","",SUMIFS('Mouvements stock'!$H$5:$H$3004,'Mouvements stock'!$I$5:$I$3004,$A782,'Mouvements stock'!$C$5:$C$3004,"Sortie")-SUMIFS('Mouvements stock'!$H$5:$H$3004,'Mouvements stock'!$I$5:$I$3004,$A782,'Mouvements stock'!$C$5:$C$3004,"Retour"))</f>
        <v/>
      </c>
      <c r="X782" s="66" t="n">
        <v>0</v>
      </c>
      <c r="Y782" s="66" t="n">
        <v>0</v>
      </c>
      <c r="Z782" s="7" t="n"/>
      <c r="AA782" s="70">
        <f>IF($A782="","",N(V782)+N(W782)+N(X782)+N(Y782))</f>
        <v/>
      </c>
      <c r="AB782" s="70">
        <f>IF($A782="","",N(S782)*'Paramètres'!$AA$9*IFERROR(INDEX('Paramètres'!$O$5:$O$7,MATCH(G782,'Paramètres'!$N$5:$N$7,0)),0))</f>
        <v/>
      </c>
      <c r="AC782" s="7" t="inlineStr">
        <is>
          <t>Clôturé</t>
        </is>
      </c>
      <c r="AD782" s="69">
        <f>IF(OR($A782="",Q782=""),"",(Q782-B782)*24)</f>
        <v/>
      </c>
      <c r="AE782" s="69">
        <f>IF(OR(Q782="",R782=""),"",(R782-Q782)*24)</f>
        <v/>
      </c>
      <c r="AF782" s="77">
        <f>IF(OR($A782="",B782=""),"",YEAR(B782))</f>
        <v/>
      </c>
      <c r="AG782" s="77">
        <f>IF(OR($A782="",B782=""),"",MONTH(B782))</f>
        <v/>
      </c>
    </row>
    <row r="783">
      <c r="A783" s="7" t="inlineStr">
        <is>
          <t>OT-2025-0779</t>
        </is>
      </c>
      <c r="B783" s="75" t="n">
        <v>45994.44791666666</v>
      </c>
      <c r="C783" s="7" t="inlineStr">
        <is>
          <t>Plan préventif</t>
        </is>
      </c>
      <c r="D783" s="7" t="inlineStr">
        <is>
          <t>EQ-TOL-002</t>
        </is>
      </c>
      <c r="E783" s="9">
        <f>IF(D783="","",IFERROR(INDEX('Équipements'!$B$5:$B$304,MATCH(D783,'Équipements'!$A$5:$A$304,0)),"Code inconnu"))</f>
        <v/>
      </c>
      <c r="F783" s="9">
        <f>IF(D783="","",IFERROR(INDEX('Équipements'!$D$5:$D$304,MATCH(D783,'Équipements'!$A$5:$A$304,0)),""))</f>
        <v/>
      </c>
      <c r="G783" s="9">
        <f>IF(D783="","",IFERROR(INDEX('Équipements'!$K$5:$K$304,MATCH(D783,'Équipements'!$A$5:$A$304,0)),""))</f>
        <v/>
      </c>
      <c r="H783" s="7" t="inlineStr">
        <is>
          <t>Préventif conditionnel</t>
        </is>
      </c>
      <c r="I783" s="7" t="inlineStr">
        <is>
          <t>GP-042</t>
        </is>
      </c>
      <c r="J783" s="7" t="inlineStr">
        <is>
          <t>Hydraulique</t>
        </is>
      </c>
      <c r="K783" s="7" t="inlineStr">
        <is>
          <t>P3 - Normale</t>
        </is>
      </c>
      <c r="L783" s="7" t="inlineStr">
        <is>
          <t>Vidange huile hydraulique et filtres</t>
        </is>
      </c>
      <c r="M783" s="7" t="n"/>
      <c r="N783" s="7" t="inlineStr">
        <is>
          <t>Gamme réalisée - RAS</t>
        </is>
      </c>
      <c r="O783" s="7" t="inlineStr">
        <is>
          <t>Antoine Mercier</t>
        </is>
      </c>
      <c r="P783" s="65" t="n">
        <v>46001</v>
      </c>
      <c r="Q783" s="75" t="n">
        <v>46001.40972222222</v>
      </c>
      <c r="R783" s="75" t="n">
        <v>46001.65972222222</v>
      </c>
      <c r="S783" s="76" t="n">
        <v>3</v>
      </c>
      <c r="T783" s="76" t="n">
        <v>6</v>
      </c>
      <c r="U783" s="70">
        <f>IF($A783="","",IFERROR(INDEX('Techniciens'!$F$5:$F$44,MATCH(O783,'Techniciens'!$B$5:$B$44,0)),'Paramètres'!$AA$10))</f>
        <v/>
      </c>
      <c r="V783" s="70">
        <f>IF($A783="","",IF(OR(AC783="Demandé",AC783="Planifié",AC783="Annulé"),0,N(T783)*N(U783)))</f>
        <v/>
      </c>
      <c r="W783" s="70">
        <f>IF($A783="","",SUMIFS('Mouvements stock'!$H$5:$H$3004,'Mouvements stock'!$I$5:$I$3004,$A783,'Mouvements stock'!$C$5:$C$3004,"Sortie")-SUMIFS('Mouvements stock'!$H$5:$H$3004,'Mouvements stock'!$I$5:$I$3004,$A783,'Mouvements stock'!$C$5:$C$3004,"Retour"))</f>
        <v/>
      </c>
      <c r="X783" s="66" t="n">
        <v>0</v>
      </c>
      <c r="Y783" s="66" t="n">
        <v>0</v>
      </c>
      <c r="Z783" s="7" t="n"/>
      <c r="AA783" s="70">
        <f>IF($A783="","",N(V783)+N(W783)+N(X783)+N(Y783))</f>
        <v/>
      </c>
      <c r="AB783" s="70">
        <f>IF($A783="","",N(S783)*'Paramètres'!$AA$9*IFERROR(INDEX('Paramètres'!$O$5:$O$7,MATCH(G783,'Paramètres'!$N$5:$N$7,0)),0))</f>
        <v/>
      </c>
      <c r="AC783" s="7" t="inlineStr">
        <is>
          <t>Clôturé</t>
        </is>
      </c>
      <c r="AD783" s="69">
        <f>IF(OR($A783="",Q783=""),"",(Q783-B783)*24)</f>
        <v/>
      </c>
      <c r="AE783" s="69">
        <f>IF(OR(Q783="",R783=""),"",(R783-Q783)*24)</f>
        <v/>
      </c>
      <c r="AF783" s="77">
        <f>IF(OR($A783="",B783=""),"",YEAR(B783))</f>
        <v/>
      </c>
      <c r="AG783" s="77">
        <f>IF(OR($A783="",B783=""),"",MONTH(B783))</f>
        <v/>
      </c>
    </row>
    <row r="784">
      <c r="A784" s="7" t="inlineStr">
        <is>
          <t>OT-2025-0780</t>
        </is>
      </c>
      <c r="B784" s="75" t="n">
        <v>45994.46527777778</v>
      </c>
      <c r="C784" s="7" t="inlineStr">
        <is>
          <t>Plan préventif</t>
        </is>
      </c>
      <c r="D784" s="7" t="inlineStr">
        <is>
          <t>EQ-PEI-002</t>
        </is>
      </c>
      <c r="E784" s="9">
        <f>IF(D784="","",IFERROR(INDEX('Équipements'!$B$5:$B$304,MATCH(D784,'Équipements'!$A$5:$A$304,0)),"Code inconnu"))</f>
        <v/>
      </c>
      <c r="F784" s="9">
        <f>IF(D784="","",IFERROR(INDEX('Équipements'!$D$5:$D$304,MATCH(D784,'Équipements'!$A$5:$A$304,0)),""))</f>
        <v/>
      </c>
      <c r="G784" s="9">
        <f>IF(D784="","",IFERROR(INDEX('Équipements'!$K$5:$K$304,MATCH(D784,'Équipements'!$A$5:$A$304,0)),""))</f>
        <v/>
      </c>
      <c r="H784" s="7" t="inlineStr">
        <is>
          <t>Préventif systématique</t>
        </is>
      </c>
      <c r="I784" s="7" t="inlineStr">
        <is>
          <t>GP-068</t>
        </is>
      </c>
      <c r="J784" s="7" t="inlineStr">
        <is>
          <t>Mécanique</t>
        </is>
      </c>
      <c r="K784" s="7" t="inlineStr">
        <is>
          <t>P3 - Normale</t>
        </is>
      </c>
      <c r="L784" s="7" t="inlineStr">
        <is>
          <t>Nettoyage et remplacement des filtres</t>
        </is>
      </c>
      <c r="M784" s="7" t="n"/>
      <c r="N784" s="7" t="inlineStr">
        <is>
          <t>Gamme réalisée - RAS</t>
        </is>
      </c>
      <c r="O784" s="7" t="inlineStr">
        <is>
          <t>Karim Benali</t>
        </is>
      </c>
      <c r="P784" s="65" t="n">
        <v>46001.50694444445</v>
      </c>
      <c r="Q784" s="75" t="n">
        <v>46001.40277777778</v>
      </c>
      <c r="R784" s="75" t="n">
        <v>46001.52777777778</v>
      </c>
      <c r="S784" s="76" t="n">
        <v>3</v>
      </c>
      <c r="T784" s="76" t="n">
        <v>3</v>
      </c>
      <c r="U784" s="70">
        <f>IF($A784="","",IFERROR(INDEX('Techniciens'!$F$5:$F$44,MATCH(O784,'Techniciens'!$B$5:$B$44,0)),'Paramètres'!$AA$10))</f>
        <v/>
      </c>
      <c r="V784" s="70">
        <f>IF($A784="","",IF(OR(AC784="Demandé",AC784="Planifié",AC784="Annulé"),0,N(T784)*N(U784)))</f>
        <v/>
      </c>
      <c r="W784" s="70">
        <f>IF($A784="","",SUMIFS('Mouvements stock'!$H$5:$H$3004,'Mouvements stock'!$I$5:$I$3004,$A784,'Mouvements stock'!$C$5:$C$3004,"Sortie")-SUMIFS('Mouvements stock'!$H$5:$H$3004,'Mouvements stock'!$I$5:$I$3004,$A784,'Mouvements stock'!$C$5:$C$3004,"Retour"))</f>
        <v/>
      </c>
      <c r="X784" s="66" t="n">
        <v>0</v>
      </c>
      <c r="Y784" s="66" t="n">
        <v>0</v>
      </c>
      <c r="Z784" s="7" t="n"/>
      <c r="AA784" s="70">
        <f>IF($A784="","",N(V784)+N(W784)+N(X784)+N(Y784))</f>
        <v/>
      </c>
      <c r="AB784" s="70">
        <f>IF($A784="","",N(S784)*'Paramètres'!$AA$9*IFERROR(INDEX('Paramètres'!$O$5:$O$7,MATCH(G784,'Paramètres'!$N$5:$N$7,0)),0))</f>
        <v/>
      </c>
      <c r="AC784" s="7" t="inlineStr">
        <is>
          <t>Clôturé</t>
        </is>
      </c>
      <c r="AD784" s="69">
        <f>IF(OR($A784="",Q784=""),"",(Q784-B784)*24)</f>
        <v/>
      </c>
      <c r="AE784" s="69">
        <f>IF(OR(Q784="",R784=""),"",(R784-Q784)*24)</f>
        <v/>
      </c>
      <c r="AF784" s="77">
        <f>IF(OR($A784="",B784=""),"",YEAR(B784))</f>
        <v/>
      </c>
      <c r="AG784" s="77">
        <f>IF(OR($A784="",B784=""),"",MONTH(B784))</f>
        <v/>
      </c>
    </row>
    <row r="785">
      <c r="A785" s="7" t="inlineStr">
        <is>
          <t>OT-2025-0781</t>
        </is>
      </c>
      <c r="B785" s="75" t="n">
        <v>45995.48958333334</v>
      </c>
      <c r="C785" s="7" t="inlineStr">
        <is>
          <t>Plan préventif</t>
        </is>
      </c>
      <c r="D785" s="7" t="inlineStr">
        <is>
          <t>EQ-USI-001</t>
        </is>
      </c>
      <c r="E785" s="9">
        <f>IF(D785="","",IFERROR(INDEX('Équipements'!$B$5:$B$304,MATCH(D785,'Équipements'!$A$5:$A$304,0)),"Code inconnu"))</f>
        <v/>
      </c>
      <c r="F785" s="9">
        <f>IF(D785="","",IFERROR(INDEX('Équipements'!$D$5:$D$304,MATCH(D785,'Équipements'!$A$5:$A$304,0)),""))</f>
        <v/>
      </c>
      <c r="G785" s="9">
        <f>IF(D785="","",IFERROR(INDEX('Équipements'!$K$5:$K$304,MATCH(D785,'Équipements'!$A$5:$A$304,0)),""))</f>
        <v/>
      </c>
      <c r="H785" s="7" t="inlineStr">
        <is>
          <t>Préventif systématique</t>
        </is>
      </c>
      <c r="I785" s="7" t="inlineStr">
        <is>
          <t>GP-001</t>
        </is>
      </c>
      <c r="J785" s="7" t="inlineStr">
        <is>
          <t>Mécanique</t>
        </is>
      </c>
      <c r="K785" s="7" t="inlineStr">
        <is>
          <t>P3 - Normale</t>
        </is>
      </c>
      <c r="L785" s="7" t="inlineStr">
        <is>
          <t>Contrôle niveaux, nettoyage filtres et bac à copeaux</t>
        </is>
      </c>
      <c r="M785" s="7" t="n"/>
      <c r="N785" s="7" t="inlineStr">
        <is>
          <t>Gamme réalisée - RAS</t>
        </is>
      </c>
      <c r="O785" s="7" t="inlineStr">
        <is>
          <t>Antoine Mercier</t>
        </is>
      </c>
      <c r="P785" s="65" t="n">
        <v>46002.52083333334</v>
      </c>
      <c r="Q785" s="75" t="n">
        <v>46002.54861111111</v>
      </c>
      <c r="R785" s="75" t="n">
        <v>46002.62152777778</v>
      </c>
      <c r="S785" s="76" t="n">
        <v>1.8</v>
      </c>
      <c r="T785" s="76" t="n">
        <v>1.75</v>
      </c>
      <c r="U785" s="70">
        <f>IF($A785="","",IFERROR(INDEX('Techniciens'!$F$5:$F$44,MATCH(O785,'Techniciens'!$B$5:$B$44,0)),'Paramètres'!$AA$10))</f>
        <v/>
      </c>
      <c r="V785" s="70">
        <f>IF($A785="","",IF(OR(AC785="Demandé",AC785="Planifié",AC785="Annulé"),0,N(T785)*N(U785)))</f>
        <v/>
      </c>
      <c r="W785" s="70">
        <f>IF($A785="","",SUMIFS('Mouvements stock'!$H$5:$H$3004,'Mouvements stock'!$I$5:$I$3004,$A785,'Mouvements stock'!$C$5:$C$3004,"Sortie")-SUMIFS('Mouvements stock'!$H$5:$H$3004,'Mouvements stock'!$I$5:$I$3004,$A785,'Mouvements stock'!$C$5:$C$3004,"Retour"))</f>
        <v/>
      </c>
      <c r="X785" s="66" t="n">
        <v>0</v>
      </c>
      <c r="Y785" s="66" t="n">
        <v>0</v>
      </c>
      <c r="Z785" s="7" t="n"/>
      <c r="AA785" s="70">
        <f>IF($A785="","",N(V785)+N(W785)+N(X785)+N(Y785))</f>
        <v/>
      </c>
      <c r="AB785" s="70">
        <f>IF($A785="","",N(S785)*'Paramètres'!$AA$9*IFERROR(INDEX('Paramètres'!$O$5:$O$7,MATCH(G785,'Paramètres'!$N$5:$N$7,0)),0))</f>
        <v/>
      </c>
      <c r="AC785" s="7" t="inlineStr">
        <is>
          <t>Clôturé</t>
        </is>
      </c>
      <c r="AD785" s="69">
        <f>IF(OR($A785="",Q785=""),"",(Q785-B785)*24)</f>
        <v/>
      </c>
      <c r="AE785" s="69">
        <f>IF(OR(Q785="",R785=""),"",(R785-Q785)*24)</f>
        <v/>
      </c>
      <c r="AF785" s="77">
        <f>IF(OR($A785="",B785=""),"",YEAR(B785))</f>
        <v/>
      </c>
      <c r="AG785" s="77">
        <f>IF(OR($A785="",B785=""),"",MONTH(B785))</f>
        <v/>
      </c>
    </row>
    <row r="786">
      <c r="A786" s="7" t="inlineStr">
        <is>
          <t>OT-2025-0782</t>
        </is>
      </c>
      <c r="B786" s="75" t="n">
        <v>45996.36458333334</v>
      </c>
      <c r="C786" s="7" t="inlineStr">
        <is>
          <t>Plan préventif</t>
        </is>
      </c>
      <c r="D786" s="7" t="inlineStr">
        <is>
          <t>EQ-USI-001</t>
        </is>
      </c>
      <c r="E786" s="9">
        <f>IF(D786="","",IFERROR(INDEX('Équipements'!$B$5:$B$304,MATCH(D786,'Équipements'!$A$5:$A$304,0)),"Code inconnu"))</f>
        <v/>
      </c>
      <c r="F786" s="9">
        <f>IF(D786="","",IFERROR(INDEX('Équipements'!$D$5:$D$304,MATCH(D786,'Équipements'!$A$5:$A$304,0)),""))</f>
        <v/>
      </c>
      <c r="G786" s="9">
        <f>IF(D786="","",IFERROR(INDEX('Équipements'!$K$5:$K$304,MATCH(D786,'Équipements'!$A$5:$A$304,0)),""))</f>
        <v/>
      </c>
      <c r="H786" s="7" t="inlineStr">
        <is>
          <t>Préventif systématique</t>
        </is>
      </c>
      <c r="I786" s="7" t="inlineStr">
        <is>
          <t>GP-004</t>
        </is>
      </c>
      <c r="J786" s="7" t="inlineStr">
        <is>
          <t>Électrique</t>
        </is>
      </c>
      <c r="K786" s="7" t="inlineStr">
        <is>
          <t>P3 - Normale</t>
        </is>
      </c>
      <c r="L786" s="7" t="inlineStr">
        <is>
          <t>Contrôle armoire électrique (ventilation, serrages)</t>
        </is>
      </c>
      <c r="M786" s="7" t="n"/>
      <c r="N786" s="7" t="inlineStr">
        <is>
          <t>Gamme réalisée - RAS</t>
        </is>
      </c>
      <c r="O786" s="7" t="inlineStr">
        <is>
          <t>Julien Moreau</t>
        </is>
      </c>
      <c r="P786" s="65" t="n">
        <v>46003</v>
      </c>
      <c r="Q786" s="75" t="n">
        <v>46003.49305555555</v>
      </c>
      <c r="R786" s="75" t="n">
        <v>46003.63888888889</v>
      </c>
      <c r="S786" s="76" t="n">
        <v>3.5</v>
      </c>
      <c r="T786" s="76" t="n">
        <v>3.5</v>
      </c>
      <c r="U786" s="70">
        <f>IF($A786="","",IFERROR(INDEX('Techniciens'!$F$5:$F$44,MATCH(O786,'Techniciens'!$B$5:$B$44,0)),'Paramètres'!$AA$10))</f>
        <v/>
      </c>
      <c r="V786" s="70">
        <f>IF($A786="","",IF(OR(AC786="Demandé",AC786="Planifié",AC786="Annulé"),0,N(T786)*N(U786)))</f>
        <v/>
      </c>
      <c r="W786" s="70">
        <f>IF($A786="","",SUMIFS('Mouvements stock'!$H$5:$H$3004,'Mouvements stock'!$I$5:$I$3004,$A786,'Mouvements stock'!$C$5:$C$3004,"Sortie")-SUMIFS('Mouvements stock'!$H$5:$H$3004,'Mouvements stock'!$I$5:$I$3004,$A786,'Mouvements stock'!$C$5:$C$3004,"Retour"))</f>
        <v/>
      </c>
      <c r="X786" s="66" t="n">
        <v>0</v>
      </c>
      <c r="Y786" s="66" t="n">
        <v>0</v>
      </c>
      <c r="Z786" s="7" t="n"/>
      <c r="AA786" s="70">
        <f>IF($A786="","",N(V786)+N(W786)+N(X786)+N(Y786))</f>
        <v/>
      </c>
      <c r="AB786" s="70">
        <f>IF($A786="","",N(S786)*'Paramètres'!$AA$9*IFERROR(INDEX('Paramètres'!$O$5:$O$7,MATCH(G786,'Paramètres'!$N$5:$N$7,0)),0))</f>
        <v/>
      </c>
      <c r="AC786" s="7" t="inlineStr">
        <is>
          <t>Clôturé</t>
        </is>
      </c>
      <c r="AD786" s="69">
        <f>IF(OR($A786="",Q786=""),"",(Q786-B786)*24)</f>
        <v/>
      </c>
      <c r="AE786" s="69">
        <f>IF(OR(Q786="",R786=""),"",(R786-Q786)*24)</f>
        <v/>
      </c>
      <c r="AF786" s="77">
        <f>IF(OR($A786="",B786=""),"",YEAR(B786))</f>
        <v/>
      </c>
      <c r="AG786" s="77">
        <f>IF(OR($A786="",B786=""),"",MONTH(B786))</f>
        <v/>
      </c>
    </row>
    <row r="787">
      <c r="A787" s="7" t="inlineStr">
        <is>
          <t>OT-2025-0783</t>
        </is>
      </c>
      <c r="B787" s="75" t="n">
        <v>45999.26805555556</v>
      </c>
      <c r="C787" s="7" t="inlineStr">
        <is>
          <t>Opérateur tôlerie</t>
        </is>
      </c>
      <c r="D787" s="7" t="inlineStr">
        <is>
          <t>EQ-TOL-002</t>
        </is>
      </c>
      <c r="E787" s="9">
        <f>IF(D787="","",IFERROR(INDEX('Équipements'!$B$5:$B$304,MATCH(D787,'Équipements'!$A$5:$A$304,0)),"Code inconnu"))</f>
        <v/>
      </c>
      <c r="F787" s="9">
        <f>IF(D787="","",IFERROR(INDEX('Équipements'!$D$5:$D$304,MATCH(D787,'Équipements'!$A$5:$A$304,0)),""))</f>
        <v/>
      </c>
      <c r="G787" s="9">
        <f>IF(D787="","",IFERROR(INDEX('Équipements'!$K$5:$K$304,MATCH(D787,'Équipements'!$A$5:$A$304,0)),""))</f>
        <v/>
      </c>
      <c r="H787" s="7" t="inlineStr">
        <is>
          <t>Correctif</t>
        </is>
      </c>
      <c r="I787" s="7" t="n"/>
      <c r="J787" s="7" t="inlineStr">
        <is>
          <t>Hydraulique</t>
        </is>
      </c>
      <c r="K787" s="7" t="inlineStr">
        <is>
          <t>P2 - Haute</t>
        </is>
      </c>
      <c r="L787" s="7" t="inlineStr">
        <is>
          <t>Pompe hydraulique bruyante</t>
        </is>
      </c>
      <c r="M787" s="7" t="inlineStr">
        <is>
          <t>Usure</t>
        </is>
      </c>
      <c r="N787" s="7" t="inlineStr">
        <is>
          <t>Remplacement accouplement, contrôle débit pompe</t>
        </is>
      </c>
      <c r="O787" s="7" t="inlineStr">
        <is>
          <t>Antoine Mercier</t>
        </is>
      </c>
      <c r="P787" s="65" t="n"/>
      <c r="Q787" s="75" t="n">
        <v>45999.39861111111</v>
      </c>
      <c r="R787" s="75" t="n">
        <v>45999.47152777778</v>
      </c>
      <c r="S787" s="76" t="n">
        <v>0</v>
      </c>
      <c r="T787" s="76" t="n">
        <v>1.75</v>
      </c>
      <c r="U787" s="70">
        <f>IF($A787="","",IFERROR(INDEX('Techniciens'!$F$5:$F$44,MATCH(O787,'Techniciens'!$B$5:$B$44,0)),'Paramètres'!$AA$10))</f>
        <v/>
      </c>
      <c r="V787" s="70">
        <f>IF($A787="","",IF(OR(AC787="Demandé",AC787="Planifié",AC787="Annulé"),0,N(T787)*N(U787)))</f>
        <v/>
      </c>
      <c r="W787" s="70">
        <f>IF($A787="","",SUMIFS('Mouvements stock'!$H$5:$H$3004,'Mouvements stock'!$I$5:$I$3004,$A787,'Mouvements stock'!$C$5:$C$3004,"Sortie")-SUMIFS('Mouvements stock'!$H$5:$H$3004,'Mouvements stock'!$I$5:$I$3004,$A787,'Mouvements stock'!$C$5:$C$3004,"Retour"))</f>
        <v/>
      </c>
      <c r="X787" s="66" t="n">
        <v>157</v>
      </c>
      <c r="Y787" s="66" t="n">
        <v>780</v>
      </c>
      <c r="Z787" s="7" t="inlineStr">
        <is>
          <t>HydroFluid Services</t>
        </is>
      </c>
      <c r="AA787" s="70">
        <f>IF($A787="","",N(V787)+N(W787)+N(X787)+N(Y787))</f>
        <v/>
      </c>
      <c r="AB787" s="70">
        <f>IF($A787="","",N(S787)*'Paramètres'!$AA$9*IFERROR(INDEX('Paramètres'!$O$5:$O$7,MATCH(G787,'Paramètres'!$N$5:$N$7,0)),0))</f>
        <v/>
      </c>
      <c r="AC787" s="7" t="inlineStr">
        <is>
          <t>Clôturé</t>
        </is>
      </c>
      <c r="AD787" s="69">
        <f>IF(OR($A787="",Q787=""),"",(Q787-B787)*24)</f>
        <v/>
      </c>
      <c r="AE787" s="69">
        <f>IF(OR(Q787="",R787=""),"",(R787-Q787)*24)</f>
        <v/>
      </c>
      <c r="AF787" s="77">
        <f>IF(OR($A787="",B787=""),"",YEAR(B787))</f>
        <v/>
      </c>
      <c r="AG787" s="77">
        <f>IF(OR($A787="",B787=""),"",MONTH(B787))</f>
        <v/>
      </c>
    </row>
    <row r="788">
      <c r="A788" s="7" t="inlineStr">
        <is>
          <t>OT-2025-0784</t>
        </is>
      </c>
      <c r="B788" s="75" t="n">
        <v>45999.34027777778</v>
      </c>
      <c r="C788" s="7" t="inlineStr">
        <is>
          <t>Plan préventif</t>
        </is>
      </c>
      <c r="D788" s="7" t="inlineStr">
        <is>
          <t>EQ-PEI-001</t>
        </is>
      </c>
      <c r="E788" s="9">
        <f>IF(D788="","",IFERROR(INDEX('Équipements'!$B$5:$B$304,MATCH(D788,'Équipements'!$A$5:$A$304,0)),"Code inconnu"))</f>
        <v/>
      </c>
      <c r="F788" s="9">
        <f>IF(D788="","",IFERROR(INDEX('Équipements'!$D$5:$D$304,MATCH(D788,'Équipements'!$A$5:$A$304,0)),""))</f>
        <v/>
      </c>
      <c r="G788" s="9">
        <f>IF(D788="","",IFERROR(INDEX('Équipements'!$K$5:$K$304,MATCH(D788,'Équipements'!$A$5:$A$304,0)),""))</f>
        <v/>
      </c>
      <c r="H788" s="7" t="inlineStr">
        <is>
          <t>Préventif systématique</t>
        </is>
      </c>
      <c r="I788" s="7" t="inlineStr">
        <is>
          <t>GP-067</t>
        </is>
      </c>
      <c r="J788" s="7" t="inlineStr">
        <is>
          <t>Multi-technique</t>
        </is>
      </c>
      <c r="K788" s="7" t="inlineStr">
        <is>
          <t>P3 - Normale</t>
        </is>
      </c>
      <c r="L788" s="7" t="inlineStr">
        <is>
          <t>Contrôle ventilation, brûleurs, pompes et sécurités</t>
        </is>
      </c>
      <c r="M788" s="7" t="n"/>
      <c r="N788" s="7" t="inlineStr">
        <is>
          <t>Gamme réalisée - RAS</t>
        </is>
      </c>
      <c r="O788" s="7" t="inlineStr">
        <is>
          <t>Antoine Mercier</t>
        </is>
      </c>
      <c r="P788" s="65" t="n">
        <v>46006.85416666666</v>
      </c>
      <c r="Q788" s="75" t="n">
        <v>46006.54166666666</v>
      </c>
      <c r="R788" s="75" t="n">
        <v>46006.76041666666</v>
      </c>
      <c r="S788" s="76" t="n">
        <v>2.6</v>
      </c>
      <c r="T788" s="76" t="n">
        <v>5.25</v>
      </c>
      <c r="U788" s="70">
        <f>IF($A788="","",IFERROR(INDEX('Techniciens'!$F$5:$F$44,MATCH(O788,'Techniciens'!$B$5:$B$44,0)),'Paramètres'!$AA$10))</f>
        <v/>
      </c>
      <c r="V788" s="70">
        <f>IF($A788="","",IF(OR(AC788="Demandé",AC788="Planifié",AC788="Annulé"),0,N(T788)*N(U788)))</f>
        <v/>
      </c>
      <c r="W788" s="70">
        <f>IF($A788="","",SUMIFS('Mouvements stock'!$H$5:$H$3004,'Mouvements stock'!$I$5:$I$3004,$A788,'Mouvements stock'!$C$5:$C$3004,"Sortie")-SUMIFS('Mouvements stock'!$H$5:$H$3004,'Mouvements stock'!$I$5:$I$3004,$A788,'Mouvements stock'!$C$5:$C$3004,"Retour"))</f>
        <v/>
      </c>
      <c r="X788" s="66" t="n">
        <v>0</v>
      </c>
      <c r="Y788" s="66" t="n">
        <v>0</v>
      </c>
      <c r="Z788" s="7" t="n"/>
      <c r="AA788" s="70">
        <f>IF($A788="","",N(V788)+N(W788)+N(X788)+N(Y788))</f>
        <v/>
      </c>
      <c r="AB788" s="70">
        <f>IF($A788="","",N(S788)*'Paramètres'!$AA$9*IFERROR(INDEX('Paramètres'!$O$5:$O$7,MATCH(G788,'Paramètres'!$N$5:$N$7,0)),0))</f>
        <v/>
      </c>
      <c r="AC788" s="7" t="inlineStr">
        <is>
          <t>Clôturé</t>
        </is>
      </c>
      <c r="AD788" s="69">
        <f>IF(OR($A788="",Q788=""),"",(Q788-B788)*24)</f>
        <v/>
      </c>
      <c r="AE788" s="69">
        <f>IF(OR(Q788="",R788=""),"",(R788-Q788)*24)</f>
        <v/>
      </c>
      <c r="AF788" s="77">
        <f>IF(OR($A788="",B788=""),"",YEAR(B788))</f>
        <v/>
      </c>
      <c r="AG788" s="77">
        <f>IF(OR($A788="",B788=""),"",MONTH(B788))</f>
        <v/>
      </c>
    </row>
    <row r="789">
      <c r="A789" s="7" t="inlineStr">
        <is>
          <t>OT-2025-0785</t>
        </is>
      </c>
      <c r="B789" s="75" t="n">
        <v>45999.36458333334</v>
      </c>
      <c r="C789" s="7" t="inlineStr">
        <is>
          <t>Plan préventif</t>
        </is>
      </c>
      <c r="D789" s="7" t="inlineStr">
        <is>
          <t>EQ-ASS-006</t>
        </is>
      </c>
      <c r="E789" s="9">
        <f>IF(D789="","",IFERROR(INDEX('Équipements'!$B$5:$B$304,MATCH(D789,'Équipements'!$A$5:$A$304,0)),"Code inconnu"))</f>
        <v/>
      </c>
      <c r="F789" s="9">
        <f>IF(D789="","",IFERROR(INDEX('Équipements'!$D$5:$D$304,MATCH(D789,'Équipements'!$A$5:$A$304,0)),""))</f>
        <v/>
      </c>
      <c r="G789" s="9">
        <f>IF(D789="","",IFERROR(INDEX('Équipements'!$K$5:$K$304,MATCH(D789,'Équipements'!$A$5:$A$304,0)),""))</f>
        <v/>
      </c>
      <c r="H789" s="7" t="inlineStr">
        <is>
          <t>Préventif systématique</t>
        </is>
      </c>
      <c r="I789" s="7" t="inlineStr">
        <is>
          <t>GP-085</t>
        </is>
      </c>
      <c r="J789" s="7" t="inlineStr">
        <is>
          <t>Mécanique</t>
        </is>
      </c>
      <c r="K789" s="7" t="inlineStr">
        <is>
          <t>P3 - Normale</t>
        </is>
      </c>
      <c r="L789" s="7" t="inlineStr">
        <is>
          <t>Graissage chaîne / galets et contrôle tension</t>
        </is>
      </c>
      <c r="M789" s="7" t="n"/>
      <c r="N789" s="7" t="inlineStr">
        <is>
          <t>Gamme réalisée - RAS</t>
        </is>
      </c>
      <c r="O789" s="7" t="inlineStr">
        <is>
          <t>Lucas Fontaine</t>
        </is>
      </c>
      <c r="P789" s="65" t="n">
        <v>46006.63888888889</v>
      </c>
      <c r="Q789" s="75" t="n">
        <v>46006.28472222222</v>
      </c>
      <c r="R789" s="75" t="n">
        <v>46006.36805555555</v>
      </c>
      <c r="S789" s="76" t="n">
        <v>1</v>
      </c>
      <c r="T789" s="76" t="n">
        <v>2</v>
      </c>
      <c r="U789" s="70">
        <f>IF($A789="","",IFERROR(INDEX('Techniciens'!$F$5:$F$44,MATCH(O789,'Techniciens'!$B$5:$B$44,0)),'Paramètres'!$AA$10))</f>
        <v/>
      </c>
      <c r="V789" s="70">
        <f>IF($A789="","",IF(OR(AC789="Demandé",AC789="Planifié",AC789="Annulé"),0,N(T789)*N(U789)))</f>
        <v/>
      </c>
      <c r="W789" s="70">
        <f>IF($A789="","",SUMIFS('Mouvements stock'!$H$5:$H$3004,'Mouvements stock'!$I$5:$I$3004,$A789,'Mouvements stock'!$C$5:$C$3004,"Sortie")-SUMIFS('Mouvements stock'!$H$5:$H$3004,'Mouvements stock'!$I$5:$I$3004,$A789,'Mouvements stock'!$C$5:$C$3004,"Retour"))</f>
        <v/>
      </c>
      <c r="X789" s="66" t="n">
        <v>0</v>
      </c>
      <c r="Y789" s="66" t="n">
        <v>0</v>
      </c>
      <c r="Z789" s="7" t="n"/>
      <c r="AA789" s="70">
        <f>IF($A789="","",N(V789)+N(W789)+N(X789)+N(Y789))</f>
        <v/>
      </c>
      <c r="AB789" s="70">
        <f>IF($A789="","",N(S789)*'Paramètres'!$AA$9*IFERROR(INDEX('Paramètres'!$O$5:$O$7,MATCH(G789,'Paramètres'!$N$5:$N$7,0)),0))</f>
        <v/>
      </c>
      <c r="AC789" s="7" t="inlineStr">
        <is>
          <t>Clôturé</t>
        </is>
      </c>
      <c r="AD789" s="69">
        <f>IF(OR($A789="",Q789=""),"",(Q789-B789)*24)</f>
        <v/>
      </c>
      <c r="AE789" s="69">
        <f>IF(OR(Q789="",R789=""),"",(R789-Q789)*24)</f>
        <v/>
      </c>
      <c r="AF789" s="77">
        <f>IF(OR($A789="",B789=""),"",YEAR(B789))</f>
        <v/>
      </c>
      <c r="AG789" s="77">
        <f>IF(OR($A789="",B789=""),"",MONTH(B789))</f>
        <v/>
      </c>
    </row>
    <row r="790">
      <c r="A790" s="7" t="inlineStr">
        <is>
          <t>OT-2025-0786</t>
        </is>
      </c>
      <c r="B790" s="75" t="n">
        <v>45999.38541666666</v>
      </c>
      <c r="C790" s="7" t="inlineStr">
        <is>
          <t>Planning réglementaire</t>
        </is>
      </c>
      <c r="D790" s="7" t="inlineStr">
        <is>
          <t>EQ-BAT-004</t>
        </is>
      </c>
      <c r="E790" s="9">
        <f>IF(D790="","",IFERROR(INDEX('Équipements'!$B$5:$B$304,MATCH(D790,'Équipements'!$A$5:$A$304,0)),"Code inconnu"))</f>
        <v/>
      </c>
      <c r="F790" s="9">
        <f>IF(D790="","",IFERROR(INDEX('Équipements'!$D$5:$D$304,MATCH(D790,'Équipements'!$A$5:$A$304,0)),""))</f>
        <v/>
      </c>
      <c r="G790" s="9">
        <f>IF(D790="","",IFERROR(INDEX('Équipements'!$K$5:$K$304,MATCH(D790,'Équipements'!$A$5:$A$304,0)),""))</f>
        <v/>
      </c>
      <c r="H790" s="7" t="inlineStr">
        <is>
          <t>Réglementaire</t>
        </is>
      </c>
      <c r="I790" s="7" t="inlineStr">
        <is>
          <t>CR-018</t>
        </is>
      </c>
      <c r="J790" s="7" t="inlineStr">
        <is>
          <t>Multi-technique</t>
        </is>
      </c>
      <c r="K790" s="7" t="inlineStr">
        <is>
          <t>P2 - Haute</t>
        </is>
      </c>
      <c r="L790" s="7" t="inlineStr">
        <is>
          <t>Vérification semestrielle installation sprinklers</t>
        </is>
      </c>
      <c r="M790" s="7" t="n"/>
      <c r="N790" s="7" t="inlineStr">
        <is>
          <t>Contrôle réalisé - aucune observation</t>
        </is>
      </c>
      <c r="O790" s="7" t="inlineStr">
        <is>
          <t>Nadia Rousseau</t>
        </is>
      </c>
      <c r="P790" s="65" t="n">
        <v>46020</v>
      </c>
      <c r="Q790" s="75" t="n">
        <v>46020.54166666666</v>
      </c>
      <c r="R790" s="75" t="n">
        <v>46020.57291666666</v>
      </c>
      <c r="S790" s="76" t="n">
        <v>0</v>
      </c>
      <c r="T790" s="76" t="n">
        <v>0.75</v>
      </c>
      <c r="U790" s="70">
        <f>IF($A790="","",IFERROR(INDEX('Techniciens'!$F$5:$F$44,MATCH(O790,'Techniciens'!$B$5:$B$44,0)),'Paramètres'!$AA$10))</f>
        <v/>
      </c>
      <c r="V790" s="70">
        <f>IF($A790="","",IF(OR(AC790="Demandé",AC790="Planifié",AC790="Annulé"),0,N(T790)*N(U790)))</f>
        <v/>
      </c>
      <c r="W790" s="70">
        <f>IF($A790="","",SUMIFS('Mouvements stock'!$H$5:$H$3004,'Mouvements stock'!$I$5:$I$3004,$A790,'Mouvements stock'!$C$5:$C$3004,"Sortie")-SUMIFS('Mouvements stock'!$H$5:$H$3004,'Mouvements stock'!$I$5:$I$3004,$A790,'Mouvements stock'!$C$5:$C$3004,"Retour"))</f>
        <v/>
      </c>
      <c r="X790" s="66" t="n">
        <v>0</v>
      </c>
      <c r="Y790" s="66" t="n">
        <v>930</v>
      </c>
      <c r="Z790" s="7" t="inlineStr">
        <is>
          <t>Sécurité Incendie Ouest</t>
        </is>
      </c>
      <c r="AA790" s="70">
        <f>IF($A790="","",N(V790)+N(W790)+N(X790)+N(Y790))</f>
        <v/>
      </c>
      <c r="AB790" s="70">
        <f>IF($A790="","",N(S790)*'Paramètres'!$AA$9*IFERROR(INDEX('Paramètres'!$O$5:$O$7,MATCH(G790,'Paramètres'!$N$5:$N$7,0)),0))</f>
        <v/>
      </c>
      <c r="AC790" s="7" t="inlineStr">
        <is>
          <t>Clôturé</t>
        </is>
      </c>
      <c r="AD790" s="69">
        <f>IF(OR($A790="",Q790=""),"",(Q790-B790)*24)</f>
        <v/>
      </c>
      <c r="AE790" s="69">
        <f>IF(OR(Q790="",R790=""),"",(R790-Q790)*24)</f>
        <v/>
      </c>
      <c r="AF790" s="77">
        <f>IF(OR($A790="",B790=""),"",YEAR(B790))</f>
        <v/>
      </c>
      <c r="AG790" s="77">
        <f>IF(OR($A790="",B790=""),"",MONTH(B790))</f>
        <v/>
      </c>
    </row>
    <row r="791">
      <c r="A791" s="7" t="inlineStr">
        <is>
          <t>OT-2025-0787</t>
        </is>
      </c>
      <c r="B791" s="75" t="n">
        <v>45999.40347222222</v>
      </c>
      <c r="C791" s="7" t="inlineStr">
        <is>
          <t>Cariste</t>
        </is>
      </c>
      <c r="D791" s="7" t="inlineStr">
        <is>
          <t>EQ-LOG-007</t>
        </is>
      </c>
      <c r="E791" s="9">
        <f>IF(D791="","",IFERROR(INDEX('Équipements'!$B$5:$B$304,MATCH(D791,'Équipements'!$A$5:$A$304,0)),"Code inconnu"))</f>
        <v/>
      </c>
      <c r="F791" s="9">
        <f>IF(D791="","",IFERROR(INDEX('Équipements'!$D$5:$D$304,MATCH(D791,'Équipements'!$A$5:$A$304,0)),""))</f>
        <v/>
      </c>
      <c r="G791" s="9">
        <f>IF(D791="","",IFERROR(INDEX('Équipements'!$K$5:$K$304,MATCH(D791,'Équipements'!$A$5:$A$304,0)),""))</f>
        <v/>
      </c>
      <c r="H791" s="7" t="inlineStr">
        <is>
          <t>Correctif</t>
        </is>
      </c>
      <c r="I791" s="7" t="n"/>
      <c r="J791" s="7" t="inlineStr">
        <is>
          <t>Mécanique</t>
        </is>
      </c>
      <c r="K791" s="7" t="inlineStr">
        <is>
          <t>P2 - Haute</t>
        </is>
      </c>
      <c r="L791" s="7" t="inlineStr">
        <is>
          <t>Frein de levée bruyant</t>
        </is>
      </c>
      <c r="M791" s="7" t="inlineStr">
        <is>
          <t>Usure</t>
        </is>
      </c>
      <c r="N791" s="7" t="inlineStr">
        <is>
          <t>Réglage et remplacement garnitures</t>
        </is>
      </c>
      <c r="O791" s="7" t="inlineStr">
        <is>
          <t>Karim Benali</t>
        </is>
      </c>
      <c r="P791" s="65" t="n"/>
      <c r="Q791" s="75" t="n">
        <v>45999.63125</v>
      </c>
      <c r="R791" s="75" t="n">
        <v>45999.79791666667</v>
      </c>
      <c r="S791" s="76" t="n">
        <v>9.5</v>
      </c>
      <c r="T791" s="76" t="n">
        <v>4</v>
      </c>
      <c r="U791" s="70">
        <f>IF($A791="","",IFERROR(INDEX('Techniciens'!$F$5:$F$44,MATCH(O791,'Techniciens'!$B$5:$B$44,0)),'Paramètres'!$AA$10))</f>
        <v/>
      </c>
      <c r="V791" s="70">
        <f>IF($A791="","",IF(OR(AC791="Demandé",AC791="Planifié",AC791="Annulé"),0,N(T791)*N(U791)))</f>
        <v/>
      </c>
      <c r="W791" s="70">
        <f>IF($A791="","",SUMIFS('Mouvements stock'!$H$5:$H$3004,'Mouvements stock'!$I$5:$I$3004,$A791,'Mouvements stock'!$C$5:$C$3004,"Sortie")-SUMIFS('Mouvements stock'!$H$5:$H$3004,'Mouvements stock'!$I$5:$I$3004,$A791,'Mouvements stock'!$C$5:$C$3004,"Retour"))</f>
        <v/>
      </c>
      <c r="X791" s="66" t="n">
        <v>0</v>
      </c>
      <c r="Y791" s="66" t="n">
        <v>0</v>
      </c>
      <c r="Z791" s="7" t="n"/>
      <c r="AA791" s="70">
        <f>IF($A791="","",N(V791)+N(W791)+N(X791)+N(Y791))</f>
        <v/>
      </c>
      <c r="AB791" s="70">
        <f>IF($A791="","",N(S791)*'Paramètres'!$AA$9*IFERROR(INDEX('Paramètres'!$O$5:$O$7,MATCH(G791,'Paramètres'!$N$5:$N$7,0)),0))</f>
        <v/>
      </c>
      <c r="AC791" s="7" t="inlineStr">
        <is>
          <t>Clôturé</t>
        </is>
      </c>
      <c r="AD791" s="69">
        <f>IF(OR($A791="",Q791=""),"",(Q791-B791)*24)</f>
        <v/>
      </c>
      <c r="AE791" s="69">
        <f>IF(OR(Q791="",R791=""),"",(R791-Q791)*24)</f>
        <v/>
      </c>
      <c r="AF791" s="77">
        <f>IF(OR($A791="",B791=""),"",YEAR(B791))</f>
        <v/>
      </c>
      <c r="AG791" s="77">
        <f>IF(OR($A791="",B791=""),"",MONTH(B791))</f>
        <v/>
      </c>
    </row>
    <row r="792">
      <c r="A792" s="7" t="inlineStr">
        <is>
          <t>OT-2025-0788</t>
        </is>
      </c>
      <c r="B792" s="75" t="n">
        <v>45999.4375</v>
      </c>
      <c r="C792" s="7" t="inlineStr">
        <is>
          <t>Plan préventif</t>
        </is>
      </c>
      <c r="D792" s="7" t="inlineStr">
        <is>
          <t>EQ-USI-012</t>
        </is>
      </c>
      <c r="E792" s="9">
        <f>IF(D792="","",IFERROR(INDEX('Équipements'!$B$5:$B$304,MATCH(D792,'Équipements'!$A$5:$A$304,0)),"Code inconnu"))</f>
        <v/>
      </c>
      <c r="F792" s="9">
        <f>IF(D792="","",IFERROR(INDEX('Équipements'!$D$5:$D$304,MATCH(D792,'Équipements'!$A$5:$A$304,0)),""))</f>
        <v/>
      </c>
      <c r="G792" s="9">
        <f>IF(D792="","",IFERROR(INDEX('Équipements'!$K$5:$K$304,MATCH(D792,'Équipements'!$A$5:$A$304,0)),""))</f>
        <v/>
      </c>
      <c r="H792" s="7" t="inlineStr">
        <is>
          <t>Préventif systématique</t>
        </is>
      </c>
      <c r="I792" s="7" t="inlineStr">
        <is>
          <t>GP-036</t>
        </is>
      </c>
      <c r="J792" s="7" t="inlineStr">
        <is>
          <t>Mécanique</t>
        </is>
      </c>
      <c r="K792" s="7" t="inlineStr">
        <is>
          <t>P3 - Normale</t>
        </is>
      </c>
      <c r="L792" s="7" t="inlineStr">
        <is>
          <t>Graissage réducteurs et contrôle câblage</t>
        </is>
      </c>
      <c r="M792" s="7" t="n"/>
      <c r="N792" s="7" t="inlineStr">
        <is>
          <t>Gamme réalisée - RAS</t>
        </is>
      </c>
      <c r="O792" s="7" t="inlineStr">
        <is>
          <t>Lucas Fontaine</t>
        </is>
      </c>
      <c r="P792" s="65" t="n">
        <v>46006</v>
      </c>
      <c r="Q792" s="75" t="n">
        <v>46006.36805555555</v>
      </c>
      <c r="R792" s="75" t="n">
        <v>46006.54513888889</v>
      </c>
      <c r="S792" s="76" t="n">
        <v>4.2</v>
      </c>
      <c r="T792" s="76" t="n">
        <v>4.25</v>
      </c>
      <c r="U792" s="70">
        <f>IF($A792="","",IFERROR(INDEX('Techniciens'!$F$5:$F$44,MATCH(O792,'Techniciens'!$B$5:$B$44,0)),'Paramètres'!$AA$10))</f>
        <v/>
      </c>
      <c r="V792" s="70">
        <f>IF($A792="","",IF(OR(AC792="Demandé",AC792="Planifié",AC792="Annulé"),0,N(T792)*N(U792)))</f>
        <v/>
      </c>
      <c r="W792" s="70">
        <f>IF($A792="","",SUMIFS('Mouvements stock'!$H$5:$H$3004,'Mouvements stock'!$I$5:$I$3004,$A792,'Mouvements stock'!$C$5:$C$3004,"Sortie")-SUMIFS('Mouvements stock'!$H$5:$H$3004,'Mouvements stock'!$I$5:$I$3004,$A792,'Mouvements stock'!$C$5:$C$3004,"Retour"))</f>
        <v/>
      </c>
      <c r="X792" s="66" t="n">
        <v>0</v>
      </c>
      <c r="Y792" s="66" t="n">
        <v>0</v>
      </c>
      <c r="Z792" s="7" t="n"/>
      <c r="AA792" s="70">
        <f>IF($A792="","",N(V792)+N(W792)+N(X792)+N(Y792))</f>
        <v/>
      </c>
      <c r="AB792" s="70">
        <f>IF($A792="","",N(S792)*'Paramètres'!$AA$9*IFERROR(INDEX('Paramètres'!$O$5:$O$7,MATCH(G792,'Paramètres'!$N$5:$N$7,0)),0))</f>
        <v/>
      </c>
      <c r="AC792" s="7" t="inlineStr">
        <is>
          <t>Clôturé</t>
        </is>
      </c>
      <c r="AD792" s="69">
        <f>IF(OR($A792="",Q792=""),"",(Q792-B792)*24)</f>
        <v/>
      </c>
      <c r="AE792" s="69">
        <f>IF(OR(Q792="",R792=""),"",(R792-Q792)*24)</f>
        <v/>
      </c>
      <c r="AF792" s="77">
        <f>IF(OR($A792="",B792=""),"",YEAR(B792))</f>
        <v/>
      </c>
      <c r="AG792" s="77">
        <f>IF(OR($A792="",B792=""),"",MONTH(B792))</f>
        <v/>
      </c>
    </row>
    <row r="793">
      <c r="A793" s="7" t="inlineStr">
        <is>
          <t>OT-2025-0789</t>
        </is>
      </c>
      <c r="B793" s="75" t="n">
        <v>45999.45833333334</v>
      </c>
      <c r="C793" s="7" t="inlineStr">
        <is>
          <t>Plan préventif</t>
        </is>
      </c>
      <c r="D793" s="7" t="inlineStr">
        <is>
          <t>EQ-UTI-002</t>
        </is>
      </c>
      <c r="E793" s="9">
        <f>IF(D793="","",IFERROR(INDEX('Équipements'!$B$5:$B$304,MATCH(D793,'Équipements'!$A$5:$A$304,0)),"Code inconnu"))</f>
        <v/>
      </c>
      <c r="F793" s="9">
        <f>IF(D793="","",IFERROR(INDEX('Équipements'!$D$5:$D$304,MATCH(D793,'Équipements'!$A$5:$A$304,0)),""))</f>
        <v/>
      </c>
      <c r="G793" s="9">
        <f>IF(D793="","",IFERROR(INDEX('Équipements'!$K$5:$K$304,MATCH(D793,'Équipements'!$A$5:$A$304,0)),""))</f>
        <v/>
      </c>
      <c r="H793" s="7" t="inlineStr">
        <is>
          <t>Préventif systématique</t>
        </is>
      </c>
      <c r="I793" s="7" t="inlineStr">
        <is>
          <t>GP-090</t>
        </is>
      </c>
      <c r="J793" s="7" t="inlineStr">
        <is>
          <t>Pneumatique</t>
        </is>
      </c>
      <c r="K793" s="7" t="inlineStr">
        <is>
          <t>P3 - Normale</t>
        </is>
      </c>
      <c r="L793" s="7" t="inlineStr">
        <is>
          <t>Purge, contrôle fuites et point de rosée</t>
        </is>
      </c>
      <c r="M793" s="7" t="n"/>
      <c r="N793" s="7" t="inlineStr">
        <is>
          <t>Gamme réalisée - RAS</t>
        </is>
      </c>
      <c r="O793" s="7" t="inlineStr">
        <is>
          <t>Lucas Fontaine</t>
        </is>
      </c>
      <c r="P793" s="65" t="n">
        <v>46006.53125</v>
      </c>
      <c r="Q793" s="75" t="n">
        <v>46006.34027777778</v>
      </c>
      <c r="R793" s="75" t="n">
        <v>46006.39236111111</v>
      </c>
      <c r="S793" s="76" t="n">
        <v>0</v>
      </c>
      <c r="T793" s="76" t="n">
        <v>1.25</v>
      </c>
      <c r="U793" s="70">
        <f>IF($A793="","",IFERROR(INDEX('Techniciens'!$F$5:$F$44,MATCH(O793,'Techniciens'!$B$5:$B$44,0)),'Paramètres'!$AA$10))</f>
        <v/>
      </c>
      <c r="V793" s="70">
        <f>IF($A793="","",IF(OR(AC793="Demandé",AC793="Planifié",AC793="Annulé"),0,N(T793)*N(U793)))</f>
        <v/>
      </c>
      <c r="W793" s="70">
        <f>IF($A793="","",SUMIFS('Mouvements stock'!$H$5:$H$3004,'Mouvements stock'!$I$5:$I$3004,$A793,'Mouvements stock'!$C$5:$C$3004,"Sortie")-SUMIFS('Mouvements stock'!$H$5:$H$3004,'Mouvements stock'!$I$5:$I$3004,$A793,'Mouvements stock'!$C$5:$C$3004,"Retour"))</f>
        <v/>
      </c>
      <c r="X793" s="66" t="n">
        <v>0</v>
      </c>
      <c r="Y793" s="66" t="n">
        <v>0</v>
      </c>
      <c r="Z793" s="7" t="n"/>
      <c r="AA793" s="70">
        <f>IF($A793="","",N(V793)+N(W793)+N(X793)+N(Y793))</f>
        <v/>
      </c>
      <c r="AB793" s="70">
        <f>IF($A793="","",N(S793)*'Paramètres'!$AA$9*IFERROR(INDEX('Paramètres'!$O$5:$O$7,MATCH(G793,'Paramètres'!$N$5:$N$7,0)),0))</f>
        <v/>
      </c>
      <c r="AC793" s="7" t="inlineStr">
        <is>
          <t>Clôturé</t>
        </is>
      </c>
      <c r="AD793" s="69">
        <f>IF(OR($A793="",Q793=""),"",(Q793-B793)*24)</f>
        <v/>
      </c>
      <c r="AE793" s="69">
        <f>IF(OR(Q793="",R793=""),"",(R793-Q793)*24)</f>
        <v/>
      </c>
      <c r="AF793" s="77">
        <f>IF(OR($A793="",B793=""),"",YEAR(B793))</f>
        <v/>
      </c>
      <c r="AG793" s="77">
        <f>IF(OR($A793="",B793=""),"",MONTH(B793))</f>
        <v/>
      </c>
    </row>
    <row r="794">
      <c r="A794" s="7" t="inlineStr">
        <is>
          <t>OT-2025-0790</t>
        </is>
      </c>
      <c r="B794" s="75" t="n">
        <v>45999.52569444444</v>
      </c>
      <c r="C794" s="7" t="inlineStr">
        <is>
          <t>Opérateur tôlerie</t>
        </is>
      </c>
      <c r="D794" s="7" t="inlineStr">
        <is>
          <t>EQ-TOL-007</t>
        </is>
      </c>
      <c r="E794" s="9">
        <f>IF(D794="","",IFERROR(INDEX('Équipements'!$B$5:$B$304,MATCH(D794,'Équipements'!$A$5:$A$304,0)),"Code inconnu"))</f>
        <v/>
      </c>
      <c r="F794" s="9">
        <f>IF(D794="","",IFERROR(INDEX('Équipements'!$D$5:$D$304,MATCH(D794,'Équipements'!$A$5:$A$304,0)),""))</f>
        <v/>
      </c>
      <c r="G794" s="9">
        <f>IF(D794="","",IFERROR(INDEX('Équipements'!$K$5:$K$304,MATCH(D794,'Équipements'!$A$5:$A$304,0)),""))</f>
        <v/>
      </c>
      <c r="H794" s="7" t="inlineStr">
        <is>
          <t>Correctif</t>
        </is>
      </c>
      <c r="I794" s="7" t="n"/>
      <c r="J794" s="7" t="inlineStr">
        <is>
          <t>Mécanique</t>
        </is>
      </c>
      <c r="K794" s="7" t="inlineStr">
        <is>
          <t>P3 - Normale</t>
        </is>
      </c>
      <c r="L794" s="7" t="inlineStr">
        <is>
          <t>Rupture / saut de chaîne</t>
        </is>
      </c>
      <c r="M794" s="7" t="inlineStr">
        <is>
          <t>Usure</t>
        </is>
      </c>
      <c r="N794" s="7" t="inlineStr">
        <is>
          <t>Remplacement maillons et galets, retension</t>
        </is>
      </c>
      <c r="O794" s="7" t="inlineStr">
        <is>
          <t>Lucas Fontaine</t>
        </is>
      </c>
      <c r="P794" s="65" t="n"/>
      <c r="Q794" s="75" t="n">
        <v>46000.91458333333</v>
      </c>
      <c r="R794" s="75" t="n">
        <v>46001.1125</v>
      </c>
      <c r="S794" s="76" t="n">
        <v>0</v>
      </c>
      <c r="T794" s="76" t="n">
        <v>4.75</v>
      </c>
      <c r="U794" s="70">
        <f>IF($A794="","",IFERROR(INDEX('Techniciens'!$F$5:$F$44,MATCH(O794,'Techniciens'!$B$5:$B$44,0)),'Paramètres'!$AA$10))</f>
        <v/>
      </c>
      <c r="V794" s="70">
        <f>IF($A794="","",IF(OR(AC794="Demandé",AC794="Planifié",AC794="Annulé"),0,N(T794)*N(U794)))</f>
        <v/>
      </c>
      <c r="W794" s="70">
        <f>IF($A794="","",SUMIFS('Mouvements stock'!$H$5:$H$3004,'Mouvements stock'!$I$5:$I$3004,$A794,'Mouvements stock'!$C$5:$C$3004,"Sortie")-SUMIFS('Mouvements stock'!$H$5:$H$3004,'Mouvements stock'!$I$5:$I$3004,$A794,'Mouvements stock'!$C$5:$C$3004,"Retour"))</f>
        <v/>
      </c>
      <c r="X794" s="66" t="n">
        <v>0</v>
      </c>
      <c r="Y794" s="66" t="n">
        <v>0</v>
      </c>
      <c r="Z794" s="7" t="n"/>
      <c r="AA794" s="70">
        <f>IF($A794="","",N(V794)+N(W794)+N(X794)+N(Y794))</f>
        <v/>
      </c>
      <c r="AB794" s="70">
        <f>IF($A794="","",N(S794)*'Paramètres'!$AA$9*IFERROR(INDEX('Paramètres'!$O$5:$O$7,MATCH(G794,'Paramètres'!$N$5:$N$7,0)),0))</f>
        <v/>
      </c>
      <c r="AC794" s="7" t="inlineStr">
        <is>
          <t>Clôturé</t>
        </is>
      </c>
      <c r="AD794" s="69">
        <f>IF(OR($A794="",Q794=""),"",(Q794-B794)*24)</f>
        <v/>
      </c>
      <c r="AE794" s="69">
        <f>IF(OR(Q794="",R794=""),"",(R794-Q794)*24)</f>
        <v/>
      </c>
      <c r="AF794" s="77">
        <f>IF(OR($A794="",B794=""),"",YEAR(B794))</f>
        <v/>
      </c>
      <c r="AG794" s="77">
        <f>IF(OR($A794="",B794=""),"",MONTH(B794))</f>
        <v/>
      </c>
    </row>
    <row r="795">
      <c r="A795" s="7" t="inlineStr">
        <is>
          <t>OT-2025-0791</t>
        </is>
      </c>
      <c r="B795" s="75" t="n">
        <v>45999.58055555556</v>
      </c>
      <c r="C795" s="7" t="inlineStr">
        <is>
          <t>Opérateur peinture</t>
        </is>
      </c>
      <c r="D795" s="7" t="inlineStr">
        <is>
          <t>EQ-PEI-001</t>
        </is>
      </c>
      <c r="E795" s="9">
        <f>IF(D795="","",IFERROR(INDEX('Équipements'!$B$5:$B$304,MATCH(D795,'Équipements'!$A$5:$A$304,0)),"Code inconnu"))</f>
        <v/>
      </c>
      <c r="F795" s="9">
        <f>IF(D795="","",IFERROR(INDEX('Équipements'!$D$5:$D$304,MATCH(D795,'Équipements'!$A$5:$A$304,0)),""))</f>
        <v/>
      </c>
      <c r="G795" s="9">
        <f>IF(D795="","",IFERROR(INDEX('Équipements'!$K$5:$K$304,MATCH(D795,'Équipements'!$A$5:$A$304,0)),""))</f>
        <v/>
      </c>
      <c r="H795" s="7" t="inlineStr">
        <is>
          <t>Correctif</t>
        </is>
      </c>
      <c r="I795" s="7" t="n"/>
      <c r="J795" s="7" t="inlineStr">
        <is>
          <t>Mécanique</t>
        </is>
      </c>
      <c r="K795" s="7" t="inlineStr">
        <is>
          <t>P1 - Urgent</t>
        </is>
      </c>
      <c r="L795" s="7" t="inlineStr">
        <is>
          <t>Colmatage des filtres cabine</t>
        </is>
      </c>
      <c r="M795" s="7" t="inlineStr">
        <is>
          <t>Encrassement</t>
        </is>
      </c>
      <c r="N795" s="7" t="inlineStr">
        <is>
          <t>Remplacement filtres et nettoyage cabine</t>
        </is>
      </c>
      <c r="O795" s="7" t="inlineStr">
        <is>
          <t>Antoine Mercier</t>
        </is>
      </c>
      <c r="P795" s="65" t="n"/>
      <c r="Q795" s="75" t="n">
        <v>45999.62152777778</v>
      </c>
      <c r="R795" s="75" t="n">
        <v>45999.69444444445</v>
      </c>
      <c r="S795" s="76" t="n">
        <v>2.7</v>
      </c>
      <c r="T795" s="76" t="n">
        <v>1.75</v>
      </c>
      <c r="U795" s="70">
        <f>IF($A795="","",IFERROR(INDEX('Techniciens'!$F$5:$F$44,MATCH(O795,'Techniciens'!$B$5:$B$44,0)),'Paramètres'!$AA$10))</f>
        <v/>
      </c>
      <c r="V795" s="70">
        <f>IF($A795="","",IF(OR(AC795="Demandé",AC795="Planifié",AC795="Annulé"),0,N(T795)*N(U795)))</f>
        <v/>
      </c>
      <c r="W795" s="70">
        <f>IF($A795="","",SUMIFS('Mouvements stock'!$H$5:$H$3004,'Mouvements stock'!$I$5:$I$3004,$A795,'Mouvements stock'!$C$5:$C$3004,"Sortie")-SUMIFS('Mouvements stock'!$H$5:$H$3004,'Mouvements stock'!$I$5:$I$3004,$A795,'Mouvements stock'!$C$5:$C$3004,"Retour"))</f>
        <v/>
      </c>
      <c r="X795" s="66" t="n">
        <v>0</v>
      </c>
      <c r="Y795" s="66" t="n">
        <v>0</v>
      </c>
      <c r="Z795" s="7" t="n"/>
      <c r="AA795" s="70">
        <f>IF($A795="","",N(V795)+N(W795)+N(X795)+N(Y795))</f>
        <v/>
      </c>
      <c r="AB795" s="70">
        <f>IF($A795="","",N(S795)*'Paramètres'!$AA$9*IFERROR(INDEX('Paramètres'!$O$5:$O$7,MATCH(G795,'Paramètres'!$N$5:$N$7,0)),0))</f>
        <v/>
      </c>
      <c r="AC795" s="7" t="inlineStr">
        <is>
          <t>Clôturé</t>
        </is>
      </c>
      <c r="AD795" s="69">
        <f>IF(OR($A795="",Q795=""),"",(Q795-B795)*24)</f>
        <v/>
      </c>
      <c r="AE795" s="69">
        <f>IF(OR(Q795="",R795=""),"",(R795-Q795)*24)</f>
        <v/>
      </c>
      <c r="AF795" s="77">
        <f>IF(OR($A795="",B795=""),"",YEAR(B795))</f>
        <v/>
      </c>
      <c r="AG795" s="77">
        <f>IF(OR($A795="",B795=""),"",MONTH(B795))</f>
        <v/>
      </c>
    </row>
    <row r="796">
      <c r="A796" s="7" t="inlineStr">
        <is>
          <t>OT-2025-0792</t>
        </is>
      </c>
      <c r="B796" s="75" t="n">
        <v>46000.36805555555</v>
      </c>
      <c r="C796" s="7" t="inlineStr">
        <is>
          <t>Plan préventif</t>
        </is>
      </c>
      <c r="D796" s="7" t="inlineStr">
        <is>
          <t>EQ-UTI-010</t>
        </is>
      </c>
      <c r="E796" s="9">
        <f>IF(D796="","",IFERROR(INDEX('Équipements'!$B$5:$B$304,MATCH(D796,'Équipements'!$A$5:$A$304,0)),"Code inconnu"))</f>
        <v/>
      </c>
      <c r="F796" s="9">
        <f>IF(D796="","",IFERROR(INDEX('Équipements'!$D$5:$D$304,MATCH(D796,'Équipements'!$A$5:$A$304,0)),""))</f>
        <v/>
      </c>
      <c r="G796" s="9">
        <f>IF(D796="","",IFERROR(INDEX('Équipements'!$K$5:$K$304,MATCH(D796,'Équipements'!$A$5:$A$304,0)),""))</f>
        <v/>
      </c>
      <c r="H796" s="7" t="inlineStr">
        <is>
          <t>Préventif systématique</t>
        </is>
      </c>
      <c r="I796" s="7" t="inlineStr">
        <is>
          <t>GP-103</t>
        </is>
      </c>
      <c r="J796" s="7" t="inlineStr">
        <is>
          <t>Électrique</t>
        </is>
      </c>
      <c r="K796" s="7" t="inlineStr">
        <is>
          <t>P3 - Normale</t>
        </is>
      </c>
      <c r="L796" s="7" t="inlineStr">
        <is>
          <t>Inspection, nettoyage et resserrage des connexions</t>
        </is>
      </c>
      <c r="M796" s="7" t="n"/>
      <c r="N796" s="7" t="inlineStr">
        <is>
          <t>Gamme réalisée - RAS</t>
        </is>
      </c>
      <c r="O796" s="7" t="inlineStr">
        <is>
          <t>Thomas Petit</t>
        </is>
      </c>
      <c r="P796" s="65" t="n">
        <v>46007</v>
      </c>
      <c r="Q796" s="75" t="n">
        <v>46007.34722222222</v>
      </c>
      <c r="R796" s="75" t="n">
        <v>46007.64930555555</v>
      </c>
      <c r="S796" s="76" t="n">
        <v>0</v>
      </c>
      <c r="T796" s="76" t="n">
        <v>7.25</v>
      </c>
      <c r="U796" s="70">
        <f>IF($A796="","",IFERROR(INDEX('Techniciens'!$F$5:$F$44,MATCH(O796,'Techniciens'!$B$5:$B$44,0)),'Paramètres'!$AA$10))</f>
        <v/>
      </c>
      <c r="V796" s="70">
        <f>IF($A796="","",IF(OR(AC796="Demandé",AC796="Planifié",AC796="Annulé"),0,N(T796)*N(U796)))</f>
        <v/>
      </c>
      <c r="W796" s="70">
        <f>IF($A796="","",SUMIFS('Mouvements stock'!$H$5:$H$3004,'Mouvements stock'!$I$5:$I$3004,$A796,'Mouvements stock'!$C$5:$C$3004,"Sortie")-SUMIFS('Mouvements stock'!$H$5:$H$3004,'Mouvements stock'!$I$5:$I$3004,$A796,'Mouvements stock'!$C$5:$C$3004,"Retour"))</f>
        <v/>
      </c>
      <c r="X796" s="66" t="n">
        <v>0</v>
      </c>
      <c r="Y796" s="66" t="n">
        <v>0</v>
      </c>
      <c r="Z796" s="7" t="n"/>
      <c r="AA796" s="70">
        <f>IF($A796="","",N(V796)+N(W796)+N(X796)+N(Y796))</f>
        <v/>
      </c>
      <c r="AB796" s="70">
        <f>IF($A796="","",N(S796)*'Paramètres'!$AA$9*IFERROR(INDEX('Paramètres'!$O$5:$O$7,MATCH(G796,'Paramètres'!$N$5:$N$7,0)),0))</f>
        <v/>
      </c>
      <c r="AC796" s="7" t="inlineStr">
        <is>
          <t>Clôturé</t>
        </is>
      </c>
      <c r="AD796" s="69">
        <f>IF(OR($A796="",Q796=""),"",(Q796-B796)*24)</f>
        <v/>
      </c>
      <c r="AE796" s="69">
        <f>IF(OR(Q796="",R796=""),"",(R796-Q796)*24)</f>
        <v/>
      </c>
      <c r="AF796" s="77">
        <f>IF(OR($A796="",B796=""),"",YEAR(B796))</f>
        <v/>
      </c>
      <c r="AG796" s="77">
        <f>IF(OR($A796="",B796=""),"",MONTH(B796))</f>
        <v/>
      </c>
    </row>
    <row r="797">
      <c r="A797" s="7" t="inlineStr">
        <is>
          <t>OT-2025-0793</t>
        </is>
      </c>
      <c r="B797" s="75" t="n">
        <v>46000.72361111111</v>
      </c>
      <c r="C797" s="7" t="inlineStr">
        <is>
          <t>Cariste</t>
        </is>
      </c>
      <c r="D797" s="7" t="inlineStr">
        <is>
          <t>EQ-LOG-007</t>
        </is>
      </c>
      <c r="E797" s="9">
        <f>IF(D797="","",IFERROR(INDEX('Équipements'!$B$5:$B$304,MATCH(D797,'Équipements'!$A$5:$A$304,0)),"Code inconnu"))</f>
        <v/>
      </c>
      <c r="F797" s="9">
        <f>IF(D797="","",IFERROR(INDEX('Équipements'!$D$5:$D$304,MATCH(D797,'Équipements'!$A$5:$A$304,0)),""))</f>
        <v/>
      </c>
      <c r="G797" s="9">
        <f>IF(D797="","",IFERROR(INDEX('Équipements'!$K$5:$K$304,MATCH(D797,'Équipements'!$A$5:$A$304,0)),""))</f>
        <v/>
      </c>
      <c r="H797" s="7" t="inlineStr">
        <is>
          <t>Correctif</t>
        </is>
      </c>
      <c r="I797" s="7" t="n"/>
      <c r="J797" s="7" t="inlineStr">
        <is>
          <t>Électrique</t>
        </is>
      </c>
      <c r="K797" s="7" t="inlineStr">
        <is>
          <t>P1 - Urgent</t>
        </is>
      </c>
      <c r="L797" s="7" t="inlineStr">
        <is>
          <t>Défaut boîte à boutons de commande</t>
        </is>
      </c>
      <c r="M797" s="7" t="inlineStr">
        <is>
          <t>Défaut électrique</t>
        </is>
      </c>
      <c r="N797" s="7" t="inlineStr">
        <is>
          <t>Remplacement contacteur de boîte à boutons</t>
        </is>
      </c>
      <c r="O797" s="7" t="inlineStr">
        <is>
          <t>Thomas Petit</t>
        </is>
      </c>
      <c r="P797" s="65" t="n"/>
      <c r="Q797" s="75" t="n">
        <v>46000.75208333333</v>
      </c>
      <c r="R797" s="75" t="n">
        <v>46000.8875</v>
      </c>
      <c r="S797" s="76" t="n">
        <v>3.9</v>
      </c>
      <c r="T797" s="76" t="n">
        <v>3.25</v>
      </c>
      <c r="U797" s="70">
        <f>IF($A797="","",IFERROR(INDEX('Techniciens'!$F$5:$F$44,MATCH(O797,'Techniciens'!$B$5:$B$44,0)),'Paramètres'!$AA$10))</f>
        <v/>
      </c>
      <c r="V797" s="70">
        <f>IF($A797="","",IF(OR(AC797="Demandé",AC797="Planifié",AC797="Annulé"),0,N(T797)*N(U797)))</f>
        <v/>
      </c>
      <c r="W797" s="70">
        <f>IF($A797="","",SUMIFS('Mouvements stock'!$H$5:$H$3004,'Mouvements stock'!$I$5:$I$3004,$A797,'Mouvements stock'!$C$5:$C$3004,"Sortie")-SUMIFS('Mouvements stock'!$H$5:$H$3004,'Mouvements stock'!$I$5:$I$3004,$A797,'Mouvements stock'!$C$5:$C$3004,"Retour"))</f>
        <v/>
      </c>
      <c r="X797" s="66" t="n">
        <v>872</v>
      </c>
      <c r="Y797" s="66" t="n">
        <v>0</v>
      </c>
      <c r="Z797" s="7" t="n"/>
      <c r="AA797" s="70">
        <f>IF($A797="","",N(V797)+N(W797)+N(X797)+N(Y797))</f>
        <v/>
      </c>
      <c r="AB797" s="70">
        <f>IF($A797="","",N(S797)*'Paramètres'!$AA$9*IFERROR(INDEX('Paramètres'!$O$5:$O$7,MATCH(G797,'Paramètres'!$N$5:$N$7,0)),0))</f>
        <v/>
      </c>
      <c r="AC797" s="7" t="inlineStr">
        <is>
          <t>Clôturé</t>
        </is>
      </c>
      <c r="AD797" s="69">
        <f>IF(OR($A797="",Q797=""),"",(Q797-B797)*24)</f>
        <v/>
      </c>
      <c r="AE797" s="69">
        <f>IF(OR(Q797="",R797=""),"",(R797-Q797)*24)</f>
        <v/>
      </c>
      <c r="AF797" s="77">
        <f>IF(OR($A797="",B797=""),"",YEAR(B797))</f>
        <v/>
      </c>
      <c r="AG797" s="77">
        <f>IF(OR($A797="",B797=""),"",MONTH(B797))</f>
        <v/>
      </c>
    </row>
    <row r="798">
      <c r="A798" s="7" t="inlineStr">
        <is>
          <t>OT-2025-0794</t>
        </is>
      </c>
      <c r="B798" s="75" t="n">
        <v>46002.38888888889</v>
      </c>
      <c r="C798" s="7" t="inlineStr">
        <is>
          <t>Plan préventif</t>
        </is>
      </c>
      <c r="D798" s="7" t="inlineStr">
        <is>
          <t>EQ-UTI-003</t>
        </is>
      </c>
      <c r="E798" s="9">
        <f>IF(D798="","",IFERROR(INDEX('Équipements'!$B$5:$B$304,MATCH(D798,'Équipements'!$A$5:$A$304,0)),"Code inconnu"))</f>
        <v/>
      </c>
      <c r="F798" s="9">
        <f>IF(D798="","",IFERROR(INDEX('Équipements'!$D$5:$D$304,MATCH(D798,'Équipements'!$A$5:$A$304,0)),""))</f>
        <v/>
      </c>
      <c r="G798" s="9">
        <f>IF(D798="","",IFERROR(INDEX('Équipements'!$K$5:$K$304,MATCH(D798,'Équipements'!$A$5:$A$304,0)),""))</f>
        <v/>
      </c>
      <c r="H798" s="7" t="inlineStr">
        <is>
          <t>Préventif conditionnel</t>
        </is>
      </c>
      <c r="I798" s="7" t="inlineStr">
        <is>
          <t>GP-091</t>
        </is>
      </c>
      <c r="J798" s="7" t="inlineStr">
        <is>
          <t>Mécanique</t>
        </is>
      </c>
      <c r="K798" s="7" t="inlineStr">
        <is>
          <t>P3 - Normale</t>
        </is>
      </c>
      <c r="L798" s="7" t="inlineStr">
        <is>
          <t>Entretien 2000 h : filtres air/huile, séparateur</t>
        </is>
      </c>
      <c r="M798" s="7" t="n"/>
      <c r="N798" s="7" t="inlineStr">
        <is>
          <t>Gamme réalisée - RAS</t>
        </is>
      </c>
      <c r="O798" s="7" t="inlineStr">
        <is>
          <t>Karim Benali</t>
        </is>
      </c>
      <c r="P798" s="65" t="n">
        <v>46009.46527777778</v>
      </c>
      <c r="Q798" s="75" t="n">
        <v>46009.28125</v>
      </c>
      <c r="R798" s="75" t="n">
        <v>46009.40625</v>
      </c>
      <c r="S798" s="76" t="n">
        <v>0</v>
      </c>
      <c r="T798" s="76" t="n">
        <v>3</v>
      </c>
      <c r="U798" s="70">
        <f>IF($A798="","",IFERROR(INDEX('Techniciens'!$F$5:$F$44,MATCH(O798,'Techniciens'!$B$5:$B$44,0)),'Paramètres'!$AA$10))</f>
        <v/>
      </c>
      <c r="V798" s="70">
        <f>IF($A798="","",IF(OR(AC798="Demandé",AC798="Planifié",AC798="Annulé"),0,N(T798)*N(U798)))</f>
        <v/>
      </c>
      <c r="W798" s="70">
        <f>IF($A798="","",SUMIFS('Mouvements stock'!$H$5:$H$3004,'Mouvements stock'!$I$5:$I$3004,$A798,'Mouvements stock'!$C$5:$C$3004,"Sortie")-SUMIFS('Mouvements stock'!$H$5:$H$3004,'Mouvements stock'!$I$5:$I$3004,$A798,'Mouvements stock'!$C$5:$C$3004,"Retour"))</f>
        <v/>
      </c>
      <c r="X798" s="66" t="n">
        <v>0</v>
      </c>
      <c r="Y798" s="66" t="n">
        <v>0</v>
      </c>
      <c r="Z798" s="7" t="n"/>
      <c r="AA798" s="70">
        <f>IF($A798="","",N(V798)+N(W798)+N(X798)+N(Y798))</f>
        <v/>
      </c>
      <c r="AB798" s="70">
        <f>IF($A798="","",N(S798)*'Paramètres'!$AA$9*IFERROR(INDEX('Paramètres'!$O$5:$O$7,MATCH(G798,'Paramètres'!$N$5:$N$7,0)),0))</f>
        <v/>
      </c>
      <c r="AC798" s="7" t="inlineStr">
        <is>
          <t>Clôturé</t>
        </is>
      </c>
      <c r="AD798" s="69">
        <f>IF(OR($A798="",Q798=""),"",(Q798-B798)*24)</f>
        <v/>
      </c>
      <c r="AE798" s="69">
        <f>IF(OR(Q798="",R798=""),"",(R798-Q798)*24)</f>
        <v/>
      </c>
      <c r="AF798" s="77">
        <f>IF(OR($A798="",B798=""),"",YEAR(B798))</f>
        <v/>
      </c>
      <c r="AG798" s="77">
        <f>IF(OR($A798="",B798=""),"",MONTH(B798))</f>
        <v/>
      </c>
    </row>
    <row r="799">
      <c r="A799" s="7" t="inlineStr">
        <is>
          <t>OT-2025-0795</t>
        </is>
      </c>
      <c r="B799" s="75" t="n">
        <v>46002.40277777778</v>
      </c>
      <c r="C799" s="7" t="inlineStr">
        <is>
          <t>Plan préventif</t>
        </is>
      </c>
      <c r="D799" s="7" t="inlineStr">
        <is>
          <t>EQ-UTI-003</t>
        </is>
      </c>
      <c r="E799" s="9">
        <f>IF(D799="","",IFERROR(INDEX('Équipements'!$B$5:$B$304,MATCH(D799,'Équipements'!$A$5:$A$304,0)),"Code inconnu"))</f>
        <v/>
      </c>
      <c r="F799" s="9">
        <f>IF(D799="","",IFERROR(INDEX('Équipements'!$D$5:$D$304,MATCH(D799,'Équipements'!$A$5:$A$304,0)),""))</f>
        <v/>
      </c>
      <c r="G799" s="9">
        <f>IF(D799="","",IFERROR(INDEX('Équipements'!$K$5:$K$304,MATCH(D799,'Équipements'!$A$5:$A$304,0)),""))</f>
        <v/>
      </c>
      <c r="H799" s="7" t="inlineStr">
        <is>
          <t>Préventif systématique</t>
        </is>
      </c>
      <c r="I799" s="7" t="inlineStr">
        <is>
          <t>GP-092</t>
        </is>
      </c>
      <c r="J799" s="7" t="inlineStr">
        <is>
          <t>Pneumatique</t>
        </is>
      </c>
      <c r="K799" s="7" t="inlineStr">
        <is>
          <t>P3 - Normale</t>
        </is>
      </c>
      <c r="L799" s="7" t="inlineStr">
        <is>
          <t>Purge, contrôle fuites et point de rosée</t>
        </is>
      </c>
      <c r="M799" s="7" t="n"/>
      <c r="N799" s="7" t="inlineStr">
        <is>
          <t>Gamme réalisée - RAS</t>
        </is>
      </c>
      <c r="O799" s="7" t="inlineStr">
        <is>
          <t>Julien Moreau</t>
        </is>
      </c>
      <c r="P799" s="65" t="n">
        <v>46009.40972222222</v>
      </c>
      <c r="Q799" s="75" t="n">
        <v>46009.34722222222</v>
      </c>
      <c r="R799" s="75" t="n">
        <v>46009.43055555555</v>
      </c>
      <c r="S799" s="76" t="n">
        <v>0</v>
      </c>
      <c r="T799" s="76" t="n">
        <v>2</v>
      </c>
      <c r="U799" s="70">
        <f>IF($A799="","",IFERROR(INDEX('Techniciens'!$F$5:$F$44,MATCH(O799,'Techniciens'!$B$5:$B$44,0)),'Paramètres'!$AA$10))</f>
        <v/>
      </c>
      <c r="V799" s="70">
        <f>IF($A799="","",IF(OR(AC799="Demandé",AC799="Planifié",AC799="Annulé"),0,N(T799)*N(U799)))</f>
        <v/>
      </c>
      <c r="W799" s="70">
        <f>IF($A799="","",SUMIFS('Mouvements stock'!$H$5:$H$3004,'Mouvements stock'!$I$5:$I$3004,$A799,'Mouvements stock'!$C$5:$C$3004,"Sortie")-SUMIFS('Mouvements stock'!$H$5:$H$3004,'Mouvements stock'!$I$5:$I$3004,$A799,'Mouvements stock'!$C$5:$C$3004,"Retour"))</f>
        <v/>
      </c>
      <c r="X799" s="66" t="n">
        <v>0</v>
      </c>
      <c r="Y799" s="66" t="n">
        <v>0</v>
      </c>
      <c r="Z799" s="7" t="n"/>
      <c r="AA799" s="70">
        <f>IF($A799="","",N(V799)+N(W799)+N(X799)+N(Y799))</f>
        <v/>
      </c>
      <c r="AB799" s="70">
        <f>IF($A799="","",N(S799)*'Paramètres'!$AA$9*IFERROR(INDEX('Paramètres'!$O$5:$O$7,MATCH(G799,'Paramètres'!$N$5:$N$7,0)),0))</f>
        <v/>
      </c>
      <c r="AC799" s="7" t="inlineStr">
        <is>
          <t>Clôturé</t>
        </is>
      </c>
      <c r="AD799" s="69">
        <f>IF(OR($A799="",Q799=""),"",(Q799-B799)*24)</f>
        <v/>
      </c>
      <c r="AE799" s="69">
        <f>IF(OR(Q799="",R799=""),"",(R799-Q799)*24)</f>
        <v/>
      </c>
      <c r="AF799" s="77">
        <f>IF(OR($A799="",B799=""),"",YEAR(B799))</f>
        <v/>
      </c>
      <c r="AG799" s="77">
        <f>IF(OR($A799="",B799=""),"",MONTH(B799))</f>
        <v/>
      </c>
    </row>
    <row r="800">
      <c r="A800" s="7" t="inlineStr">
        <is>
          <t>OT-2025-0796</t>
        </is>
      </c>
      <c r="B800" s="75" t="n">
        <v>46003.33125</v>
      </c>
      <c r="C800" s="7" t="inlineStr">
        <is>
          <t>Céline Morel (cheffe d'atelier)</t>
        </is>
      </c>
      <c r="D800" s="7" t="inlineStr">
        <is>
          <t>EQ-TOL-003</t>
        </is>
      </c>
      <c r="E800" s="9">
        <f>IF(D800="","",IFERROR(INDEX('Équipements'!$B$5:$B$304,MATCH(D800,'Équipements'!$A$5:$A$304,0)),"Code inconnu"))</f>
        <v/>
      </c>
      <c r="F800" s="9">
        <f>IF(D800="","",IFERROR(INDEX('Équipements'!$D$5:$D$304,MATCH(D800,'Équipements'!$A$5:$A$304,0)),""))</f>
        <v/>
      </c>
      <c r="G800" s="9">
        <f>IF(D800="","",IFERROR(INDEX('Équipements'!$K$5:$K$304,MATCH(D800,'Équipements'!$A$5:$A$304,0)),""))</f>
        <v/>
      </c>
      <c r="H800" s="7" t="inlineStr">
        <is>
          <t>Correctif</t>
        </is>
      </c>
      <c r="I800" s="7" t="n"/>
      <c r="J800" s="7" t="inlineStr">
        <is>
          <t>Électrique</t>
        </is>
      </c>
      <c r="K800" s="7" t="inlineStr">
        <is>
          <t>P2 - Haute</t>
        </is>
      </c>
      <c r="L800" s="7" t="inlineStr">
        <is>
          <t>Défaut barrage immatériel</t>
        </is>
      </c>
      <c r="M800" s="7" t="inlineStr">
        <is>
          <t>Défaut capteur</t>
        </is>
      </c>
      <c r="N800" s="7" t="inlineStr">
        <is>
          <t>Nettoyage / réalignement, remplacement émetteur</t>
        </is>
      </c>
      <c r="O800" s="7" t="inlineStr">
        <is>
          <t>Julien Moreau</t>
        </is>
      </c>
      <c r="P800" s="65" t="n"/>
      <c r="Q800" s="75" t="n">
        <v>46003.38611111111</v>
      </c>
      <c r="R800" s="75" t="n">
        <v>46003.57361111111</v>
      </c>
      <c r="S800" s="76" t="n">
        <v>5.8</v>
      </c>
      <c r="T800" s="76" t="n">
        <v>4.5</v>
      </c>
      <c r="U800" s="70">
        <f>IF($A800="","",IFERROR(INDEX('Techniciens'!$F$5:$F$44,MATCH(O800,'Techniciens'!$B$5:$B$44,0)),'Paramètres'!$AA$10))</f>
        <v/>
      </c>
      <c r="V800" s="70">
        <f>IF($A800="","",IF(OR(AC800="Demandé",AC800="Planifié",AC800="Annulé"),0,N(T800)*N(U800)))</f>
        <v/>
      </c>
      <c r="W800" s="70">
        <f>IF($A800="","",SUMIFS('Mouvements stock'!$H$5:$H$3004,'Mouvements stock'!$I$5:$I$3004,$A800,'Mouvements stock'!$C$5:$C$3004,"Sortie")-SUMIFS('Mouvements stock'!$H$5:$H$3004,'Mouvements stock'!$I$5:$I$3004,$A800,'Mouvements stock'!$C$5:$C$3004,"Retour"))</f>
        <v/>
      </c>
      <c r="X800" s="66" t="n">
        <v>0</v>
      </c>
      <c r="Y800" s="66" t="n">
        <v>0</v>
      </c>
      <c r="Z800" s="7" t="n"/>
      <c r="AA800" s="70">
        <f>IF($A800="","",N(V800)+N(W800)+N(X800)+N(Y800))</f>
        <v/>
      </c>
      <c r="AB800" s="70">
        <f>IF($A800="","",N(S800)*'Paramètres'!$AA$9*IFERROR(INDEX('Paramètres'!$O$5:$O$7,MATCH(G800,'Paramètres'!$N$5:$N$7,0)),0))</f>
        <v/>
      </c>
      <c r="AC800" s="7" t="inlineStr">
        <is>
          <t>Clôturé</t>
        </is>
      </c>
      <c r="AD800" s="69">
        <f>IF(OR($A800="",Q800=""),"",(Q800-B800)*24)</f>
        <v/>
      </c>
      <c r="AE800" s="69">
        <f>IF(OR(Q800="",R800=""),"",(R800-Q800)*24)</f>
        <v/>
      </c>
      <c r="AF800" s="77">
        <f>IF(OR($A800="",B800=""),"",YEAR(B800))</f>
        <v/>
      </c>
      <c r="AG800" s="77">
        <f>IF(OR($A800="",B800=""),"",MONTH(B800))</f>
        <v/>
      </c>
    </row>
    <row r="801">
      <c r="A801" s="7" t="inlineStr">
        <is>
          <t>OT-2025-0797</t>
        </is>
      </c>
      <c r="B801" s="75" t="n">
        <v>46003.34375</v>
      </c>
      <c r="C801" s="7" t="inlineStr">
        <is>
          <t>Planning réglementaire</t>
        </is>
      </c>
      <c r="D801" s="7" t="inlineStr">
        <is>
          <t>EQ-TOL-002</t>
        </is>
      </c>
      <c r="E801" s="9">
        <f>IF(D801="","",IFERROR(INDEX('Équipements'!$B$5:$B$304,MATCH(D801,'Équipements'!$A$5:$A$304,0)),"Code inconnu"))</f>
        <v/>
      </c>
      <c r="F801" s="9">
        <f>IF(D801="","",IFERROR(INDEX('Équipements'!$D$5:$D$304,MATCH(D801,'Équipements'!$A$5:$A$304,0)),""))</f>
        <v/>
      </c>
      <c r="G801" s="9">
        <f>IF(D801="","",IFERROR(INDEX('Équipements'!$K$5:$K$304,MATCH(D801,'Équipements'!$A$5:$A$304,0)),""))</f>
        <v/>
      </c>
      <c r="H801" s="7" t="inlineStr">
        <is>
          <t>Réglementaire</t>
        </is>
      </c>
      <c r="I801" s="7" t="inlineStr">
        <is>
          <t>CR-010</t>
        </is>
      </c>
      <c r="J801" s="7" t="inlineStr">
        <is>
          <t>Multi-technique</t>
        </is>
      </c>
      <c r="K801" s="7" t="inlineStr">
        <is>
          <t>P2 - Haute</t>
        </is>
      </c>
      <c r="L801" s="7" t="inlineStr">
        <is>
          <t>Vérification périodique presse plieuse</t>
        </is>
      </c>
      <c r="M801" s="7" t="n"/>
      <c r="N801" s="7" t="inlineStr">
        <is>
          <t>Contrôle réalisé - rapport reçu</t>
        </is>
      </c>
      <c r="O801" s="7" t="inlineStr">
        <is>
          <t>Marc Lefèvre</t>
        </is>
      </c>
      <c r="P801" s="65" t="n">
        <v>46024</v>
      </c>
      <c r="Q801" s="75" t="n">
        <v>46024.52777777778</v>
      </c>
      <c r="R801" s="75" t="n">
        <v>46024.64236111111</v>
      </c>
      <c r="S801" s="76" t="n">
        <v>1</v>
      </c>
      <c r="T801" s="76" t="n">
        <v>2.75</v>
      </c>
      <c r="U801" s="70">
        <f>IF($A801="","",IFERROR(INDEX('Techniciens'!$F$5:$F$44,MATCH(O801,'Techniciens'!$B$5:$B$44,0)),'Paramètres'!$AA$10))</f>
        <v/>
      </c>
      <c r="V801" s="70">
        <f>IF($A801="","",IF(OR(AC801="Demandé",AC801="Planifié",AC801="Annulé"),0,N(T801)*N(U801)))</f>
        <v/>
      </c>
      <c r="W801" s="70">
        <f>IF($A801="","",SUMIFS('Mouvements stock'!$H$5:$H$3004,'Mouvements stock'!$I$5:$I$3004,$A801,'Mouvements stock'!$C$5:$C$3004,"Sortie")-SUMIFS('Mouvements stock'!$H$5:$H$3004,'Mouvements stock'!$I$5:$I$3004,$A801,'Mouvements stock'!$C$5:$C$3004,"Retour"))</f>
        <v/>
      </c>
      <c r="X801" s="66" t="n">
        <v>0</v>
      </c>
      <c r="Y801" s="66" t="n">
        <v>230</v>
      </c>
      <c r="Z801" s="7" t="inlineStr">
        <is>
          <t>CONTROLIS (organisme fictif)</t>
        </is>
      </c>
      <c r="AA801" s="70">
        <f>IF($A801="","",N(V801)+N(W801)+N(X801)+N(Y801))</f>
        <v/>
      </c>
      <c r="AB801" s="70">
        <f>IF($A801="","",N(S801)*'Paramètres'!$AA$9*IFERROR(INDEX('Paramètres'!$O$5:$O$7,MATCH(G801,'Paramètres'!$N$5:$N$7,0)),0))</f>
        <v/>
      </c>
      <c r="AC801" s="7" t="inlineStr">
        <is>
          <t>Clôturé</t>
        </is>
      </c>
      <c r="AD801" s="69">
        <f>IF(OR($A801="",Q801=""),"",(Q801-B801)*24)</f>
        <v/>
      </c>
      <c r="AE801" s="69">
        <f>IF(OR(Q801="",R801=""),"",(R801-Q801)*24)</f>
        <v/>
      </c>
      <c r="AF801" s="77">
        <f>IF(OR($A801="",B801=""),"",YEAR(B801))</f>
        <v/>
      </c>
      <c r="AG801" s="77">
        <f>IF(OR($A801="",B801=""),"",MONTH(B801))</f>
        <v/>
      </c>
    </row>
    <row r="802">
      <c r="A802" s="7" t="inlineStr">
        <is>
          <t>OT-2025-0798</t>
        </is>
      </c>
      <c r="B802" s="75" t="n">
        <v>46003.38541666666</v>
      </c>
      <c r="C802" s="7" t="inlineStr">
        <is>
          <t>Plan préventif</t>
        </is>
      </c>
      <c r="D802" s="7" t="inlineStr">
        <is>
          <t>EQ-ASS-002</t>
        </is>
      </c>
      <c r="E802" s="9">
        <f>IF(D802="","",IFERROR(INDEX('Équipements'!$B$5:$B$304,MATCH(D802,'Équipements'!$A$5:$A$304,0)),"Code inconnu"))</f>
        <v/>
      </c>
      <c r="F802" s="9">
        <f>IF(D802="","",IFERROR(INDEX('Équipements'!$D$5:$D$304,MATCH(D802,'Équipements'!$A$5:$A$304,0)),""))</f>
        <v/>
      </c>
      <c r="G802" s="9">
        <f>IF(D802="","",IFERROR(INDEX('Équipements'!$K$5:$K$304,MATCH(D802,'Équipements'!$A$5:$A$304,0)),""))</f>
        <v/>
      </c>
      <c r="H802" s="7" t="inlineStr">
        <is>
          <t>Préventif systématique</t>
        </is>
      </c>
      <c r="I802" s="7" t="inlineStr">
        <is>
          <t>GP-080</t>
        </is>
      </c>
      <c r="J802" s="7" t="inlineStr">
        <is>
          <t>Électrique</t>
        </is>
      </c>
      <c r="K802" s="7" t="inlineStr">
        <is>
          <t>P3 - Normale</t>
        </is>
      </c>
      <c r="L802" s="7" t="inlineStr">
        <is>
          <t>Contrôle des sécurités (barrages, AU, pédale)</t>
        </is>
      </c>
      <c r="M802" s="7" t="n"/>
      <c r="N802" s="7" t="inlineStr">
        <is>
          <t>Gamme réalisée - RAS</t>
        </is>
      </c>
      <c r="O802" s="7" t="inlineStr">
        <is>
          <t>Thomas Petit</t>
        </is>
      </c>
      <c r="P802" s="65" t="n">
        <v>46010.48611111111</v>
      </c>
      <c r="Q802" s="75" t="n">
        <v>46010.30208333334</v>
      </c>
      <c r="R802" s="75" t="n">
        <v>46010.38541666666</v>
      </c>
      <c r="S802" s="76" t="n">
        <v>2</v>
      </c>
      <c r="T802" s="76" t="n">
        <v>2</v>
      </c>
      <c r="U802" s="70">
        <f>IF($A802="","",IFERROR(INDEX('Techniciens'!$F$5:$F$44,MATCH(O802,'Techniciens'!$B$5:$B$44,0)),'Paramètres'!$AA$10))</f>
        <v/>
      </c>
      <c r="V802" s="70">
        <f>IF($A802="","",IF(OR(AC802="Demandé",AC802="Planifié",AC802="Annulé"),0,N(T802)*N(U802)))</f>
        <v/>
      </c>
      <c r="W802" s="70">
        <f>IF($A802="","",SUMIFS('Mouvements stock'!$H$5:$H$3004,'Mouvements stock'!$I$5:$I$3004,$A802,'Mouvements stock'!$C$5:$C$3004,"Sortie")-SUMIFS('Mouvements stock'!$H$5:$H$3004,'Mouvements stock'!$I$5:$I$3004,$A802,'Mouvements stock'!$C$5:$C$3004,"Retour"))</f>
        <v/>
      </c>
      <c r="X802" s="66" t="n">
        <v>0</v>
      </c>
      <c r="Y802" s="66" t="n">
        <v>0</v>
      </c>
      <c r="Z802" s="7" t="n"/>
      <c r="AA802" s="70">
        <f>IF($A802="","",N(V802)+N(W802)+N(X802)+N(Y802))</f>
        <v/>
      </c>
      <c r="AB802" s="70">
        <f>IF($A802="","",N(S802)*'Paramètres'!$AA$9*IFERROR(INDEX('Paramètres'!$O$5:$O$7,MATCH(G802,'Paramètres'!$N$5:$N$7,0)),0))</f>
        <v/>
      </c>
      <c r="AC802" s="7" t="inlineStr">
        <is>
          <t>Clôturé</t>
        </is>
      </c>
      <c r="AD802" s="69">
        <f>IF(OR($A802="",Q802=""),"",(Q802-B802)*24)</f>
        <v/>
      </c>
      <c r="AE802" s="69">
        <f>IF(OR(Q802="",R802=""),"",(R802-Q802)*24)</f>
        <v/>
      </c>
      <c r="AF802" s="77">
        <f>IF(OR($A802="",B802=""),"",YEAR(B802))</f>
        <v/>
      </c>
      <c r="AG802" s="77">
        <f>IF(OR($A802="",B802=""),"",MONTH(B802))</f>
        <v/>
      </c>
    </row>
    <row r="803">
      <c r="A803" s="7" t="inlineStr">
        <is>
          <t>OT-2025-0799</t>
        </is>
      </c>
      <c r="B803" s="75" t="n">
        <v>46003.46388888889</v>
      </c>
      <c r="C803" s="7" t="inlineStr">
        <is>
          <t>Opérateur usinage</t>
        </is>
      </c>
      <c r="D803" s="7" t="inlineStr">
        <is>
          <t>EQ-USI-010</t>
        </is>
      </c>
      <c r="E803" s="9">
        <f>IF(D803="","",IFERROR(INDEX('Équipements'!$B$5:$B$304,MATCH(D803,'Équipements'!$A$5:$A$304,0)),"Code inconnu"))</f>
        <v/>
      </c>
      <c r="F803" s="9">
        <f>IF(D803="","",IFERROR(INDEX('Équipements'!$D$5:$D$304,MATCH(D803,'Équipements'!$A$5:$A$304,0)),""))</f>
        <v/>
      </c>
      <c r="G803" s="9">
        <f>IF(D803="","",IFERROR(INDEX('Équipements'!$K$5:$K$304,MATCH(D803,'Équipements'!$A$5:$A$304,0)),""))</f>
        <v/>
      </c>
      <c r="H803" s="7" t="inlineStr">
        <is>
          <t>Correctif</t>
        </is>
      </c>
      <c r="I803" s="7" t="n"/>
      <c r="J803" s="7" t="inlineStr">
        <is>
          <t>Électrique</t>
        </is>
      </c>
      <c r="K803" s="7" t="inlineStr">
        <is>
          <t>P3 - Normale</t>
        </is>
      </c>
      <c r="L803" s="7" t="inlineStr">
        <is>
          <t>Mesures incohérentes / défaut palpeur</t>
        </is>
      </c>
      <c r="M803" s="7" t="n"/>
      <c r="N803" s="7" t="inlineStr">
        <is>
          <t>Doublon de demande - annulé</t>
        </is>
      </c>
      <c r="O803" s="7" t="inlineStr">
        <is>
          <t>Julien Moreau</t>
        </is>
      </c>
      <c r="P803" s="65" t="n"/>
      <c r="Q803" s="75" t="n"/>
      <c r="R803" s="75" t="n"/>
      <c r="S803" s="76" t="n">
        <v>0</v>
      </c>
      <c r="T803" s="76" t="n">
        <v>0</v>
      </c>
      <c r="U803" s="70">
        <f>IF($A803="","",IFERROR(INDEX('Techniciens'!$F$5:$F$44,MATCH(O803,'Techniciens'!$B$5:$B$44,0)),'Paramètres'!$AA$10))</f>
        <v/>
      </c>
      <c r="V803" s="70">
        <f>IF($A803="","",IF(OR(AC803="Demandé",AC803="Planifié",AC803="Annulé"),0,N(T803)*N(U803)))</f>
        <v/>
      </c>
      <c r="W803" s="70">
        <f>IF($A803="","",SUMIFS('Mouvements stock'!$H$5:$H$3004,'Mouvements stock'!$I$5:$I$3004,$A803,'Mouvements stock'!$C$5:$C$3004,"Sortie")-SUMIFS('Mouvements stock'!$H$5:$H$3004,'Mouvements stock'!$I$5:$I$3004,$A803,'Mouvements stock'!$C$5:$C$3004,"Retour"))</f>
        <v/>
      </c>
      <c r="X803" s="66" t="n">
        <v>0</v>
      </c>
      <c r="Y803" s="66" t="n">
        <v>0</v>
      </c>
      <c r="Z803" s="7" t="n"/>
      <c r="AA803" s="70">
        <f>IF($A803="","",N(V803)+N(W803)+N(X803)+N(Y803))</f>
        <v/>
      </c>
      <c r="AB803" s="70">
        <f>IF($A803="","",N(S803)*'Paramètres'!$AA$9*IFERROR(INDEX('Paramètres'!$O$5:$O$7,MATCH(G803,'Paramètres'!$N$5:$N$7,0)),0))</f>
        <v/>
      </c>
      <c r="AC803" s="7" t="inlineStr">
        <is>
          <t>Annulé</t>
        </is>
      </c>
      <c r="AD803" s="69">
        <f>IF(OR($A803="",Q803=""),"",(Q803-B803)*24)</f>
        <v/>
      </c>
      <c r="AE803" s="69">
        <f>IF(OR(Q803="",R803=""),"",(R803-Q803)*24)</f>
        <v/>
      </c>
      <c r="AF803" s="77">
        <f>IF(OR($A803="",B803=""),"",YEAR(B803))</f>
        <v/>
      </c>
      <c r="AG803" s="77">
        <f>IF(OR($A803="",B803=""),"",MONTH(B803))</f>
        <v/>
      </c>
    </row>
    <row r="804">
      <c r="A804" s="7" t="inlineStr">
        <is>
          <t>OT-2025-0800</t>
        </is>
      </c>
      <c r="B804" s="75" t="n">
        <v>46006.21041666667</v>
      </c>
      <c r="C804" s="7" t="inlineStr">
        <is>
          <t>Cariste</t>
        </is>
      </c>
      <c r="D804" s="7" t="inlineStr">
        <is>
          <t>EQ-LOG-006</t>
        </is>
      </c>
      <c r="E804" s="9">
        <f>IF(D804="","",IFERROR(INDEX('Équipements'!$B$5:$B$304,MATCH(D804,'Équipements'!$A$5:$A$304,0)),"Code inconnu"))</f>
        <v/>
      </c>
      <c r="F804" s="9">
        <f>IF(D804="","",IFERROR(INDEX('Équipements'!$D$5:$D$304,MATCH(D804,'Équipements'!$A$5:$A$304,0)),""))</f>
        <v/>
      </c>
      <c r="G804" s="9">
        <f>IF(D804="","",IFERROR(INDEX('Équipements'!$K$5:$K$304,MATCH(D804,'Équipements'!$A$5:$A$304,0)),""))</f>
        <v/>
      </c>
      <c r="H804" s="7" t="inlineStr">
        <is>
          <t>Correctif</t>
        </is>
      </c>
      <c r="I804" s="7" t="n"/>
      <c r="J804" s="7" t="inlineStr">
        <is>
          <t>Mécanique</t>
        </is>
      </c>
      <c r="K804" s="7" t="inlineStr">
        <is>
          <t>P3 - Normale</t>
        </is>
      </c>
      <c r="L804" s="7" t="inlineStr">
        <is>
          <t>Câble de levage effiloché (réserve VGP)</t>
        </is>
      </c>
      <c r="M804" s="7" t="inlineStr">
        <is>
          <t>Usure</t>
        </is>
      </c>
      <c r="N804" s="7" t="inlineStr">
        <is>
          <t>Remplacement câble de levage</t>
        </is>
      </c>
      <c r="O804" s="7" t="inlineStr">
        <is>
          <t>Antoine Mercier</t>
        </is>
      </c>
      <c r="P804" s="65" t="n"/>
      <c r="Q804" s="75" t="n">
        <v>46007.83541666667</v>
      </c>
      <c r="R804" s="75" t="n">
        <v>46010.19057371328</v>
      </c>
      <c r="S804" s="76" t="n">
        <v>0</v>
      </c>
      <c r="T804" s="76" t="n">
        <v>4.5</v>
      </c>
      <c r="U804" s="70">
        <f>IF($A804="","",IFERROR(INDEX('Techniciens'!$F$5:$F$44,MATCH(O804,'Techniciens'!$B$5:$B$44,0)),'Paramètres'!$AA$10))</f>
        <v/>
      </c>
      <c r="V804" s="70">
        <f>IF($A804="","",IF(OR(AC804="Demandé",AC804="Planifié",AC804="Annulé"),0,N(T804)*N(U804)))</f>
        <v/>
      </c>
      <c r="W804" s="70">
        <f>IF($A804="","",SUMIFS('Mouvements stock'!$H$5:$H$3004,'Mouvements stock'!$I$5:$I$3004,$A804,'Mouvements stock'!$C$5:$C$3004,"Sortie")-SUMIFS('Mouvements stock'!$H$5:$H$3004,'Mouvements stock'!$I$5:$I$3004,$A804,'Mouvements stock'!$C$5:$C$3004,"Retour"))</f>
        <v/>
      </c>
      <c r="X804" s="66" t="n">
        <v>0</v>
      </c>
      <c r="Y804" s="66" t="n">
        <v>1320</v>
      </c>
      <c r="Z804" s="7" t="inlineStr">
        <is>
          <t>Levage Expertise Ouest</t>
        </is>
      </c>
      <c r="AA804" s="70">
        <f>IF($A804="","",N(V804)+N(W804)+N(X804)+N(Y804))</f>
        <v/>
      </c>
      <c r="AB804" s="70">
        <f>IF($A804="","",N(S804)*'Paramètres'!$AA$9*IFERROR(INDEX('Paramètres'!$O$5:$O$7,MATCH(G804,'Paramètres'!$N$5:$N$7,0)),0))</f>
        <v/>
      </c>
      <c r="AC804" s="7" t="inlineStr">
        <is>
          <t>Clôturé</t>
        </is>
      </c>
      <c r="AD804" s="69">
        <f>IF(OR($A804="",Q804=""),"",(Q804-B804)*24)</f>
        <v/>
      </c>
      <c r="AE804" s="69">
        <f>IF(OR(Q804="",R804=""),"",(R804-Q804)*24)</f>
        <v/>
      </c>
      <c r="AF804" s="77">
        <f>IF(OR($A804="",B804=""),"",YEAR(B804))</f>
        <v/>
      </c>
      <c r="AG804" s="77">
        <f>IF(OR($A804="",B804=""),"",MONTH(B804))</f>
        <v/>
      </c>
    </row>
    <row r="805">
      <c r="A805" s="7" t="inlineStr">
        <is>
          <t>OT-2025-0801</t>
        </is>
      </c>
      <c r="B805" s="75" t="n">
        <v>46006.30763888889</v>
      </c>
      <c r="C805" s="7" t="inlineStr">
        <is>
          <t>Opérateur peinture</t>
        </is>
      </c>
      <c r="D805" s="7" t="inlineStr">
        <is>
          <t>EQ-PEI-001</t>
        </is>
      </c>
      <c r="E805" s="9">
        <f>IF(D805="","",IFERROR(INDEX('Équipements'!$B$5:$B$304,MATCH(D805,'Équipements'!$A$5:$A$304,0)),"Code inconnu"))</f>
        <v/>
      </c>
      <c r="F805" s="9">
        <f>IF(D805="","",IFERROR(INDEX('Équipements'!$D$5:$D$304,MATCH(D805,'Équipements'!$A$5:$A$304,0)),""))</f>
        <v/>
      </c>
      <c r="G805" s="9">
        <f>IF(D805="","",IFERROR(INDEX('Équipements'!$K$5:$K$304,MATCH(D805,'Équipements'!$A$5:$A$304,0)),""))</f>
        <v/>
      </c>
      <c r="H805" s="7" t="inlineStr">
        <is>
          <t>Correctif</t>
        </is>
      </c>
      <c r="I805" s="7" t="n"/>
      <c r="J805" s="7" t="inlineStr">
        <is>
          <t>Mécanique</t>
        </is>
      </c>
      <c r="K805" s="7" t="inlineStr">
        <is>
          <t>P2 - Haute</t>
        </is>
      </c>
      <c r="L805" s="7" t="inlineStr">
        <is>
          <t>Pompe de bain en défaut</t>
        </is>
      </c>
      <c r="M805" s="7" t="inlineStr">
        <is>
          <t>Usure</t>
        </is>
      </c>
      <c r="N805" s="7" t="inlineStr">
        <is>
          <t>Remplacement pompe</t>
        </is>
      </c>
      <c r="O805" s="7" t="inlineStr">
        <is>
          <t>Lucas Fontaine</t>
        </is>
      </c>
      <c r="P805" s="65" t="n"/>
      <c r="Q805" s="75" t="n">
        <v>46006.53611111111</v>
      </c>
      <c r="R805" s="75" t="n">
        <v>46006.91111111111</v>
      </c>
      <c r="S805" s="76" t="n">
        <v>14.5</v>
      </c>
      <c r="T805" s="76" t="n">
        <v>9</v>
      </c>
      <c r="U805" s="70">
        <f>IF($A805="","",IFERROR(INDEX('Techniciens'!$F$5:$F$44,MATCH(O805,'Techniciens'!$B$5:$B$44,0)),'Paramètres'!$AA$10))</f>
        <v/>
      </c>
      <c r="V805" s="70">
        <f>IF($A805="","",IF(OR(AC805="Demandé",AC805="Planifié",AC805="Annulé"),0,N(T805)*N(U805)))</f>
        <v/>
      </c>
      <c r="W805" s="70">
        <f>IF($A805="","",SUMIFS('Mouvements stock'!$H$5:$H$3004,'Mouvements stock'!$I$5:$I$3004,$A805,'Mouvements stock'!$C$5:$C$3004,"Sortie")-SUMIFS('Mouvements stock'!$H$5:$H$3004,'Mouvements stock'!$I$5:$I$3004,$A805,'Mouvements stock'!$C$5:$C$3004,"Retour"))</f>
        <v/>
      </c>
      <c r="X805" s="66" t="n">
        <v>0</v>
      </c>
      <c r="Y805" s="66" t="n">
        <v>0</v>
      </c>
      <c r="Z805" s="7" t="n"/>
      <c r="AA805" s="70">
        <f>IF($A805="","",N(V805)+N(W805)+N(X805)+N(Y805))</f>
        <v/>
      </c>
      <c r="AB805" s="70">
        <f>IF($A805="","",N(S805)*'Paramètres'!$AA$9*IFERROR(INDEX('Paramètres'!$O$5:$O$7,MATCH(G805,'Paramètres'!$N$5:$N$7,0)),0))</f>
        <v/>
      </c>
      <c r="AC805" s="7" t="inlineStr">
        <is>
          <t>Clôturé</t>
        </is>
      </c>
      <c r="AD805" s="69">
        <f>IF(OR($A805="",Q805=""),"",(Q805-B805)*24)</f>
        <v/>
      </c>
      <c r="AE805" s="69">
        <f>IF(OR(Q805="",R805=""),"",(R805-Q805)*24)</f>
        <v/>
      </c>
      <c r="AF805" s="77">
        <f>IF(OR($A805="",B805=""),"",YEAR(B805))</f>
        <v/>
      </c>
      <c r="AG805" s="77">
        <f>IF(OR($A805="",B805=""),"",MONTH(B805))</f>
        <v/>
      </c>
    </row>
    <row r="806">
      <c r="A806" s="7" t="inlineStr">
        <is>
          <t>OT-2025-0802</t>
        </is>
      </c>
      <c r="B806" s="75" t="n">
        <v>46006.33333333334</v>
      </c>
      <c r="C806" s="7" t="inlineStr">
        <is>
          <t>Plan préventif</t>
        </is>
      </c>
      <c r="D806" s="7" t="inlineStr">
        <is>
          <t>EQ-TOL-002</t>
        </is>
      </c>
      <c r="E806" s="9">
        <f>IF(D806="","",IFERROR(INDEX('Équipements'!$B$5:$B$304,MATCH(D806,'Équipements'!$A$5:$A$304,0)),"Code inconnu"))</f>
        <v/>
      </c>
      <c r="F806" s="9">
        <f>IF(D806="","",IFERROR(INDEX('Équipements'!$D$5:$D$304,MATCH(D806,'Équipements'!$A$5:$A$304,0)),""))</f>
        <v/>
      </c>
      <c r="G806" s="9">
        <f>IF(D806="","",IFERROR(INDEX('Équipements'!$K$5:$K$304,MATCH(D806,'Équipements'!$A$5:$A$304,0)),""))</f>
        <v/>
      </c>
      <c r="H806" s="7" t="inlineStr">
        <is>
          <t>Préventif systématique</t>
        </is>
      </c>
      <c r="I806" s="7" t="inlineStr">
        <is>
          <t>GP-043</t>
        </is>
      </c>
      <c r="J806" s="7" t="inlineStr">
        <is>
          <t>Électrique</t>
        </is>
      </c>
      <c r="K806" s="7" t="inlineStr">
        <is>
          <t>P3 - Normale</t>
        </is>
      </c>
      <c r="L806" s="7" t="inlineStr">
        <is>
          <t>Contrôle des sécurités (barrages, AU, pédale)</t>
        </is>
      </c>
      <c r="M806" s="7" t="n"/>
      <c r="N806" s="7" t="inlineStr">
        <is>
          <t>Gamme réalisée - RAS</t>
        </is>
      </c>
      <c r="O806" s="7" t="inlineStr">
        <is>
          <t>Julien Moreau</t>
        </is>
      </c>
      <c r="P806" s="65" t="n">
        <v>46013.57986111111</v>
      </c>
      <c r="Q806" s="75" t="n">
        <v>46013.59027777778</v>
      </c>
      <c r="R806" s="75" t="n">
        <v>46013.65277777778</v>
      </c>
      <c r="S806" s="76" t="n">
        <v>1.5</v>
      </c>
      <c r="T806" s="76" t="n">
        <v>1.5</v>
      </c>
      <c r="U806" s="70">
        <f>IF($A806="","",IFERROR(INDEX('Techniciens'!$F$5:$F$44,MATCH(O806,'Techniciens'!$B$5:$B$44,0)),'Paramètres'!$AA$10))</f>
        <v/>
      </c>
      <c r="V806" s="70">
        <f>IF($A806="","",IF(OR(AC806="Demandé",AC806="Planifié",AC806="Annulé"),0,N(T806)*N(U806)))</f>
        <v/>
      </c>
      <c r="W806" s="70">
        <f>IF($A806="","",SUMIFS('Mouvements stock'!$H$5:$H$3004,'Mouvements stock'!$I$5:$I$3004,$A806,'Mouvements stock'!$C$5:$C$3004,"Sortie")-SUMIFS('Mouvements stock'!$H$5:$H$3004,'Mouvements stock'!$I$5:$I$3004,$A806,'Mouvements stock'!$C$5:$C$3004,"Retour"))</f>
        <v/>
      </c>
      <c r="X806" s="66" t="n">
        <v>0</v>
      </c>
      <c r="Y806" s="66" t="n">
        <v>0</v>
      </c>
      <c r="Z806" s="7" t="n"/>
      <c r="AA806" s="70">
        <f>IF($A806="","",N(V806)+N(W806)+N(X806)+N(Y806))</f>
        <v/>
      </c>
      <c r="AB806" s="70">
        <f>IF($A806="","",N(S806)*'Paramètres'!$AA$9*IFERROR(INDEX('Paramètres'!$O$5:$O$7,MATCH(G806,'Paramètres'!$N$5:$N$7,0)),0))</f>
        <v/>
      </c>
      <c r="AC806" s="7" t="inlineStr">
        <is>
          <t>Clôturé</t>
        </is>
      </c>
      <c r="AD806" s="69">
        <f>IF(OR($A806="",Q806=""),"",(Q806-B806)*24)</f>
        <v/>
      </c>
      <c r="AE806" s="69">
        <f>IF(OR(Q806="",R806=""),"",(R806-Q806)*24)</f>
        <v/>
      </c>
      <c r="AF806" s="77">
        <f>IF(OR($A806="",B806=""),"",YEAR(B806))</f>
        <v/>
      </c>
      <c r="AG806" s="77">
        <f>IF(OR($A806="",B806=""),"",MONTH(B806))</f>
        <v/>
      </c>
    </row>
    <row r="807">
      <c r="A807" s="7" t="inlineStr">
        <is>
          <t>OT-2025-0803</t>
        </is>
      </c>
      <c r="B807" s="75" t="n">
        <v>46006.43055555555</v>
      </c>
      <c r="C807" s="7" t="inlineStr">
        <is>
          <t>Plan préventif</t>
        </is>
      </c>
      <c r="D807" s="7" t="inlineStr">
        <is>
          <t>EQ-UTI-010</t>
        </is>
      </c>
      <c r="E807" s="9">
        <f>IF(D807="","",IFERROR(INDEX('Équipements'!$B$5:$B$304,MATCH(D807,'Équipements'!$A$5:$A$304,0)),"Code inconnu"))</f>
        <v/>
      </c>
      <c r="F807" s="9">
        <f>IF(D807="","",IFERROR(INDEX('Équipements'!$D$5:$D$304,MATCH(D807,'Équipements'!$A$5:$A$304,0)),""))</f>
        <v/>
      </c>
      <c r="G807" s="9">
        <f>IF(D807="","",IFERROR(INDEX('Équipements'!$K$5:$K$304,MATCH(D807,'Équipements'!$A$5:$A$304,0)),""))</f>
        <v/>
      </c>
      <c r="H807" s="7" t="inlineStr">
        <is>
          <t>Préventif systématique</t>
        </is>
      </c>
      <c r="I807" s="7" t="inlineStr">
        <is>
          <t>GP-104</t>
        </is>
      </c>
      <c r="J807" s="7" t="inlineStr">
        <is>
          <t>Électrique</t>
        </is>
      </c>
      <c r="K807" s="7" t="inlineStr">
        <is>
          <t>P3 - Normale</t>
        </is>
      </c>
      <c r="L807" s="7" t="inlineStr">
        <is>
          <t>Essai mensuel à charge du groupe électrogène</t>
        </is>
      </c>
      <c r="M807" s="7" t="n"/>
      <c r="N807" s="7" t="inlineStr">
        <is>
          <t>Gamme réalisée - RAS</t>
        </is>
      </c>
      <c r="O807" s="7" t="inlineStr">
        <is>
          <t>Julien Moreau</t>
        </is>
      </c>
      <c r="P807" s="65" t="n">
        <v>46013.65625</v>
      </c>
      <c r="Q807" s="75" t="n">
        <v>46013.27083333334</v>
      </c>
      <c r="R807" s="75" t="n">
        <v>46013.33333333334</v>
      </c>
      <c r="S807" s="76" t="n">
        <v>0</v>
      </c>
      <c r="T807" s="76" t="n">
        <v>1.5</v>
      </c>
      <c r="U807" s="70">
        <f>IF($A807="","",IFERROR(INDEX('Techniciens'!$F$5:$F$44,MATCH(O807,'Techniciens'!$B$5:$B$44,0)),'Paramètres'!$AA$10))</f>
        <v/>
      </c>
      <c r="V807" s="70">
        <f>IF($A807="","",IF(OR(AC807="Demandé",AC807="Planifié",AC807="Annulé"),0,N(T807)*N(U807)))</f>
        <v/>
      </c>
      <c r="W807" s="70">
        <f>IF($A807="","",SUMIFS('Mouvements stock'!$H$5:$H$3004,'Mouvements stock'!$I$5:$I$3004,$A807,'Mouvements stock'!$C$5:$C$3004,"Sortie")-SUMIFS('Mouvements stock'!$H$5:$H$3004,'Mouvements stock'!$I$5:$I$3004,$A807,'Mouvements stock'!$C$5:$C$3004,"Retour"))</f>
        <v/>
      </c>
      <c r="X807" s="66" t="n">
        <v>0</v>
      </c>
      <c r="Y807" s="66" t="n">
        <v>0</v>
      </c>
      <c r="Z807" s="7" t="n"/>
      <c r="AA807" s="70">
        <f>IF($A807="","",N(V807)+N(W807)+N(X807)+N(Y807))</f>
        <v/>
      </c>
      <c r="AB807" s="70">
        <f>IF($A807="","",N(S807)*'Paramètres'!$AA$9*IFERROR(INDEX('Paramètres'!$O$5:$O$7,MATCH(G807,'Paramètres'!$N$5:$N$7,0)),0))</f>
        <v/>
      </c>
      <c r="AC807" s="7" t="inlineStr">
        <is>
          <t>Clôturé</t>
        </is>
      </c>
      <c r="AD807" s="69">
        <f>IF(OR($A807="",Q807=""),"",(Q807-B807)*24)</f>
        <v/>
      </c>
      <c r="AE807" s="69">
        <f>IF(OR(Q807="",R807=""),"",(R807-Q807)*24)</f>
        <v/>
      </c>
      <c r="AF807" s="77">
        <f>IF(OR($A807="",B807=""),"",YEAR(B807))</f>
        <v/>
      </c>
      <c r="AG807" s="77">
        <f>IF(OR($A807="",B807=""),"",MONTH(B807))</f>
        <v/>
      </c>
    </row>
    <row r="808">
      <c r="A808" s="7" t="inlineStr">
        <is>
          <t>OT-2025-0804</t>
        </is>
      </c>
      <c r="B808" s="75" t="n">
        <v>46006.44513888889</v>
      </c>
      <c r="C808" s="7" t="inlineStr">
        <is>
          <t>Marc Lefèvre</t>
        </is>
      </c>
      <c r="D808" s="7" t="inlineStr">
        <is>
          <t>EQ-BAT-002</t>
        </is>
      </c>
      <c r="E808" s="9">
        <f>IF(D808="","",IFERROR(INDEX('Équipements'!$B$5:$B$304,MATCH(D808,'Équipements'!$A$5:$A$304,0)),"Code inconnu"))</f>
        <v/>
      </c>
      <c r="F808" s="9">
        <f>IF(D808="","",IFERROR(INDEX('Équipements'!$D$5:$D$304,MATCH(D808,'Équipements'!$A$5:$A$304,0)),""))</f>
        <v/>
      </c>
      <c r="G808" s="9">
        <f>IF(D808="","",IFERROR(INDEX('Équipements'!$K$5:$K$304,MATCH(D808,'Équipements'!$A$5:$A$304,0)),""))</f>
        <v/>
      </c>
      <c r="H808" s="7" t="inlineStr">
        <is>
          <t>Correctif</t>
        </is>
      </c>
      <c r="I808" s="7" t="n"/>
      <c r="J808" s="7" t="inlineStr">
        <is>
          <t>Électrique</t>
        </is>
      </c>
      <c r="K808" s="7" t="inlineStr">
        <is>
          <t>P3 - Normale</t>
        </is>
      </c>
      <c r="L808" s="7" t="inlineStr">
        <is>
          <t>Cellule photoélectrique HS</t>
        </is>
      </c>
      <c r="M808" s="7" t="inlineStr">
        <is>
          <t>Défaut capteur</t>
        </is>
      </c>
      <c r="N808" s="7" t="inlineStr">
        <is>
          <t>Remplacement cellule</t>
        </is>
      </c>
      <c r="O808" s="7" t="inlineStr">
        <is>
          <t>Thomas Petit</t>
        </is>
      </c>
      <c r="P808" s="65" t="n"/>
      <c r="Q808" s="75" t="n">
        <v>46007.99513888889</v>
      </c>
      <c r="R808" s="75" t="n">
        <v>46008.18263888889</v>
      </c>
      <c r="S808" s="76" t="n">
        <v>0</v>
      </c>
      <c r="T808" s="76" t="n">
        <v>4.5</v>
      </c>
      <c r="U808" s="70">
        <f>IF($A808="","",IFERROR(INDEX('Techniciens'!$F$5:$F$44,MATCH(O808,'Techniciens'!$B$5:$B$44,0)),'Paramètres'!$AA$10))</f>
        <v/>
      </c>
      <c r="V808" s="70">
        <f>IF($A808="","",IF(OR(AC808="Demandé",AC808="Planifié",AC808="Annulé"),0,N(T808)*N(U808)))</f>
        <v/>
      </c>
      <c r="W808" s="70">
        <f>IF($A808="","",SUMIFS('Mouvements stock'!$H$5:$H$3004,'Mouvements stock'!$I$5:$I$3004,$A808,'Mouvements stock'!$C$5:$C$3004,"Sortie")-SUMIFS('Mouvements stock'!$H$5:$H$3004,'Mouvements stock'!$I$5:$I$3004,$A808,'Mouvements stock'!$C$5:$C$3004,"Retour"))</f>
        <v/>
      </c>
      <c r="X808" s="66" t="n">
        <v>0</v>
      </c>
      <c r="Y808" s="66" t="n">
        <v>0</v>
      </c>
      <c r="Z808" s="7" t="n"/>
      <c r="AA808" s="70">
        <f>IF($A808="","",N(V808)+N(W808)+N(X808)+N(Y808))</f>
        <v/>
      </c>
      <c r="AB808" s="70">
        <f>IF($A808="","",N(S808)*'Paramètres'!$AA$9*IFERROR(INDEX('Paramètres'!$O$5:$O$7,MATCH(G808,'Paramètres'!$N$5:$N$7,0)),0))</f>
        <v/>
      </c>
      <c r="AC808" s="7" t="inlineStr">
        <is>
          <t>Clôturé</t>
        </is>
      </c>
      <c r="AD808" s="69">
        <f>IF(OR($A808="",Q808=""),"",(Q808-B808)*24)</f>
        <v/>
      </c>
      <c r="AE808" s="69">
        <f>IF(OR(Q808="",R808=""),"",(R808-Q808)*24)</f>
        <v/>
      </c>
      <c r="AF808" s="77">
        <f>IF(OR($A808="",B808=""),"",YEAR(B808))</f>
        <v/>
      </c>
      <c r="AG808" s="77">
        <f>IF(OR($A808="",B808=""),"",MONTH(B808))</f>
        <v/>
      </c>
    </row>
    <row r="809">
      <c r="A809" s="7" t="inlineStr">
        <is>
          <t>OT-2025-0805</t>
        </is>
      </c>
      <c r="B809" s="75" t="n">
        <v>46006.48611111111</v>
      </c>
      <c r="C809" s="7" t="inlineStr">
        <is>
          <t>Plan préventif</t>
        </is>
      </c>
      <c r="D809" s="7" t="inlineStr">
        <is>
          <t>EQ-TOL-004</t>
        </is>
      </c>
      <c r="E809" s="9">
        <f>IF(D809="","",IFERROR(INDEX('Équipements'!$B$5:$B$304,MATCH(D809,'Équipements'!$A$5:$A$304,0)),"Code inconnu"))</f>
        <v/>
      </c>
      <c r="F809" s="9">
        <f>IF(D809="","",IFERROR(INDEX('Équipements'!$D$5:$D$304,MATCH(D809,'Équipements'!$A$5:$A$304,0)),""))</f>
        <v/>
      </c>
      <c r="G809" s="9">
        <f>IF(D809="","",IFERROR(INDEX('Équipements'!$K$5:$K$304,MATCH(D809,'Équipements'!$A$5:$A$304,0)),""))</f>
        <v/>
      </c>
      <c r="H809" s="7" t="inlineStr">
        <is>
          <t>Préventif systématique</t>
        </is>
      </c>
      <c r="I809" s="7" t="inlineStr">
        <is>
          <t>GP-049</t>
        </is>
      </c>
      <c r="J809" s="7" t="inlineStr">
        <is>
          <t>Électrique</t>
        </is>
      </c>
      <c r="K809" s="7" t="inlineStr">
        <is>
          <t>P3 - Normale</t>
        </is>
      </c>
      <c r="L809" s="7" t="inlineStr">
        <is>
          <t>Contrôle des sécurités (barrages, AU, pédale)</t>
        </is>
      </c>
      <c r="M809" s="7" t="n"/>
      <c r="N809" s="7" t="inlineStr">
        <is>
          <t>Gamme réalisée - petite fuite corrigée</t>
        </is>
      </c>
      <c r="O809" s="7" t="inlineStr">
        <is>
          <t>Antoine Mercier</t>
        </is>
      </c>
      <c r="P809" s="65" t="n">
        <v>46013.56944444445</v>
      </c>
      <c r="Q809" s="75" t="n">
        <v>46013.61805555555</v>
      </c>
      <c r="R809" s="75" t="n">
        <v>46013.69097222222</v>
      </c>
      <c r="S809" s="76" t="n">
        <v>0.9</v>
      </c>
      <c r="T809" s="76" t="n">
        <v>1.75</v>
      </c>
      <c r="U809" s="70">
        <f>IF($A809="","",IFERROR(INDEX('Techniciens'!$F$5:$F$44,MATCH(O809,'Techniciens'!$B$5:$B$44,0)),'Paramètres'!$AA$10))</f>
        <v/>
      </c>
      <c r="V809" s="70">
        <f>IF($A809="","",IF(OR(AC809="Demandé",AC809="Planifié",AC809="Annulé"),0,N(T809)*N(U809)))</f>
        <v/>
      </c>
      <c r="W809" s="70">
        <f>IF($A809="","",SUMIFS('Mouvements stock'!$H$5:$H$3004,'Mouvements stock'!$I$5:$I$3004,$A809,'Mouvements stock'!$C$5:$C$3004,"Sortie")-SUMIFS('Mouvements stock'!$H$5:$H$3004,'Mouvements stock'!$I$5:$I$3004,$A809,'Mouvements stock'!$C$5:$C$3004,"Retour"))</f>
        <v/>
      </c>
      <c r="X809" s="66" t="n">
        <v>0</v>
      </c>
      <c r="Y809" s="66" t="n">
        <v>0</v>
      </c>
      <c r="Z809" s="7" t="n"/>
      <c r="AA809" s="70">
        <f>IF($A809="","",N(V809)+N(W809)+N(X809)+N(Y809))</f>
        <v/>
      </c>
      <c r="AB809" s="70">
        <f>IF($A809="","",N(S809)*'Paramètres'!$AA$9*IFERROR(INDEX('Paramètres'!$O$5:$O$7,MATCH(G809,'Paramètres'!$N$5:$N$7,0)),0))</f>
        <v/>
      </c>
      <c r="AC809" s="7" t="inlineStr">
        <is>
          <t>Clôturé</t>
        </is>
      </c>
      <c r="AD809" s="69">
        <f>IF(OR($A809="",Q809=""),"",(Q809-B809)*24)</f>
        <v/>
      </c>
      <c r="AE809" s="69">
        <f>IF(OR(Q809="",R809=""),"",(R809-Q809)*24)</f>
        <v/>
      </c>
      <c r="AF809" s="77">
        <f>IF(OR($A809="",B809=""),"",YEAR(B809))</f>
        <v/>
      </c>
      <c r="AG809" s="77">
        <f>IF(OR($A809="",B809=""),"",MONTH(B809))</f>
        <v/>
      </c>
    </row>
    <row r="810">
      <c r="A810" s="7" t="inlineStr">
        <is>
          <t>OT-2025-0806</t>
        </is>
      </c>
      <c r="B810" s="75" t="n">
        <v>46006.58125</v>
      </c>
      <c r="C810" s="7" t="inlineStr">
        <is>
          <t>Opérateur soudure</t>
        </is>
      </c>
      <c r="D810" s="7" t="inlineStr">
        <is>
          <t>EQ-SOU-001</t>
        </is>
      </c>
      <c r="E810" s="9">
        <f>IF(D810="","",IFERROR(INDEX('Équipements'!$B$5:$B$304,MATCH(D810,'Équipements'!$A$5:$A$304,0)),"Code inconnu"))</f>
        <v/>
      </c>
      <c r="F810" s="9">
        <f>IF(D810="","",IFERROR(INDEX('Équipements'!$D$5:$D$304,MATCH(D810,'Équipements'!$A$5:$A$304,0)),""))</f>
        <v/>
      </c>
      <c r="G810" s="9">
        <f>IF(D810="","",IFERROR(INDEX('Équipements'!$K$5:$K$304,MATCH(D810,'Équipements'!$A$5:$A$304,0)),""))</f>
        <v/>
      </c>
      <c r="H810" s="7" t="inlineStr">
        <is>
          <t>Correctif</t>
        </is>
      </c>
      <c r="I810" s="7" t="n"/>
      <c r="J810" s="7" t="inlineStr">
        <is>
          <t>Automatisme</t>
        </is>
      </c>
      <c r="K810" s="7" t="inlineStr">
        <is>
          <t>P2 - Haute</t>
        </is>
      </c>
      <c r="L810" s="7" t="inlineStr">
        <is>
          <t>Perte de communication automate / robot</t>
        </is>
      </c>
      <c r="M810" s="7" t="inlineStr">
        <is>
          <t>Défaut logiciel/automate</t>
        </is>
      </c>
      <c r="N810" s="7" t="inlineStr">
        <is>
          <t>Remplacement câble réseau, redémarrage, sauvegarde</t>
        </is>
      </c>
      <c r="O810" s="7" t="inlineStr">
        <is>
          <t>Julien Moreau</t>
        </is>
      </c>
      <c r="P810" s="65" t="n"/>
      <c r="Q810" s="75" t="n">
        <v>46006.71458333333</v>
      </c>
      <c r="R810" s="75" t="n">
        <v>46006.80833333333</v>
      </c>
      <c r="S810" s="76" t="n">
        <v>5.5</v>
      </c>
      <c r="T810" s="76" t="n">
        <v>2.25</v>
      </c>
      <c r="U810" s="70">
        <f>IF($A810="","",IFERROR(INDEX('Techniciens'!$F$5:$F$44,MATCH(O810,'Techniciens'!$B$5:$B$44,0)),'Paramètres'!$AA$10))</f>
        <v/>
      </c>
      <c r="V810" s="70">
        <f>IF($A810="","",IF(OR(AC810="Demandé",AC810="Planifié",AC810="Annulé"),0,N(T810)*N(U810)))</f>
        <v/>
      </c>
      <c r="W810" s="70">
        <f>IF($A810="","",SUMIFS('Mouvements stock'!$H$5:$H$3004,'Mouvements stock'!$I$5:$I$3004,$A810,'Mouvements stock'!$C$5:$C$3004,"Sortie")-SUMIFS('Mouvements stock'!$H$5:$H$3004,'Mouvements stock'!$I$5:$I$3004,$A810,'Mouvements stock'!$C$5:$C$3004,"Retour"))</f>
        <v/>
      </c>
      <c r="X810" s="66" t="n">
        <v>0</v>
      </c>
      <c r="Y810" s="66" t="n">
        <v>0</v>
      </c>
      <c r="Z810" s="7" t="n"/>
      <c r="AA810" s="70">
        <f>IF($A810="","",N(V810)+N(W810)+N(X810)+N(Y810))</f>
        <v/>
      </c>
      <c r="AB810" s="70">
        <f>IF($A810="","",N(S810)*'Paramètres'!$AA$9*IFERROR(INDEX('Paramètres'!$O$5:$O$7,MATCH(G810,'Paramètres'!$N$5:$N$7,0)),0))</f>
        <v/>
      </c>
      <c r="AC810" s="7" t="inlineStr">
        <is>
          <t>Clôturé</t>
        </is>
      </c>
      <c r="AD810" s="69">
        <f>IF(OR($A810="",Q810=""),"",(Q810-B810)*24)</f>
        <v/>
      </c>
      <c r="AE810" s="69">
        <f>IF(OR(Q810="",R810=""),"",(R810-Q810)*24)</f>
        <v/>
      </c>
      <c r="AF810" s="77">
        <f>IF(OR($A810="",B810=""),"",YEAR(B810))</f>
        <v/>
      </c>
      <c r="AG810" s="77">
        <f>IF(OR($A810="",B810=""),"",MONTH(B810))</f>
        <v/>
      </c>
    </row>
    <row r="811">
      <c r="A811" s="7" t="inlineStr">
        <is>
          <t>OT-2025-0807</t>
        </is>
      </c>
      <c r="B811" s="75" t="n">
        <v>46006.64861111111</v>
      </c>
      <c r="C811" s="7" t="inlineStr">
        <is>
          <t>Céline Morel (cheffe d'atelier)</t>
        </is>
      </c>
      <c r="D811" s="7" t="inlineStr">
        <is>
          <t>EQ-TOL-003</t>
        </is>
      </c>
      <c r="E811" s="9">
        <f>IF(D811="","",IFERROR(INDEX('Équipements'!$B$5:$B$304,MATCH(D811,'Équipements'!$A$5:$A$304,0)),"Code inconnu"))</f>
        <v/>
      </c>
      <c r="F811" s="9">
        <f>IF(D811="","",IFERROR(INDEX('Équipements'!$D$5:$D$304,MATCH(D811,'Équipements'!$A$5:$A$304,0)),""))</f>
        <v/>
      </c>
      <c r="G811" s="9">
        <f>IF(D811="","",IFERROR(INDEX('Équipements'!$K$5:$K$304,MATCH(D811,'Équipements'!$A$5:$A$304,0)),""))</f>
        <v/>
      </c>
      <c r="H811" s="7" t="inlineStr">
        <is>
          <t>Correctif</t>
        </is>
      </c>
      <c r="I811" s="7" t="n"/>
      <c r="J811" s="7" t="inlineStr">
        <is>
          <t>Électrique</t>
        </is>
      </c>
      <c r="K811" s="7" t="inlineStr">
        <is>
          <t>P2 - Haute</t>
        </is>
      </c>
      <c r="L811" s="7" t="inlineStr">
        <is>
          <t>Pédale de commande défectueuse</t>
        </is>
      </c>
      <c r="M811" s="7" t="inlineStr">
        <is>
          <t>Usure</t>
        </is>
      </c>
      <c r="N811" s="7" t="inlineStr">
        <is>
          <t>Remplacement contacts de pédale</t>
        </is>
      </c>
      <c r="O811" s="7" t="inlineStr">
        <is>
          <t>Antoine Mercier</t>
        </is>
      </c>
      <c r="P811" s="65" t="n"/>
      <c r="Q811" s="75" t="n">
        <v>46006.70277777778</v>
      </c>
      <c r="R811" s="75" t="n">
        <v>46006.78611111111</v>
      </c>
      <c r="S811" s="76" t="n">
        <v>0</v>
      </c>
      <c r="T811" s="76" t="n">
        <v>2</v>
      </c>
      <c r="U811" s="70">
        <f>IF($A811="","",IFERROR(INDEX('Techniciens'!$F$5:$F$44,MATCH(O811,'Techniciens'!$B$5:$B$44,0)),'Paramètres'!$AA$10))</f>
        <v/>
      </c>
      <c r="V811" s="70">
        <f>IF($A811="","",IF(OR(AC811="Demandé",AC811="Planifié",AC811="Annulé"),0,N(T811)*N(U811)))</f>
        <v/>
      </c>
      <c r="W811" s="70">
        <f>IF($A811="","",SUMIFS('Mouvements stock'!$H$5:$H$3004,'Mouvements stock'!$I$5:$I$3004,$A811,'Mouvements stock'!$C$5:$C$3004,"Sortie")-SUMIFS('Mouvements stock'!$H$5:$H$3004,'Mouvements stock'!$I$5:$I$3004,$A811,'Mouvements stock'!$C$5:$C$3004,"Retour"))</f>
        <v/>
      </c>
      <c r="X811" s="66" t="n">
        <v>0</v>
      </c>
      <c r="Y811" s="66" t="n">
        <v>0</v>
      </c>
      <c r="Z811" s="7" t="n"/>
      <c r="AA811" s="70">
        <f>IF($A811="","",N(V811)+N(W811)+N(X811)+N(Y811))</f>
        <v/>
      </c>
      <c r="AB811" s="70">
        <f>IF($A811="","",N(S811)*'Paramètres'!$AA$9*IFERROR(INDEX('Paramètres'!$O$5:$O$7,MATCH(G811,'Paramètres'!$N$5:$N$7,0)),0))</f>
        <v/>
      </c>
      <c r="AC811" s="7" t="inlineStr">
        <is>
          <t>Clôturé</t>
        </is>
      </c>
      <c r="AD811" s="69">
        <f>IF(OR($A811="",Q811=""),"",(Q811-B811)*24)</f>
        <v/>
      </c>
      <c r="AE811" s="69">
        <f>IF(OR(Q811="",R811=""),"",(R811-Q811)*24)</f>
        <v/>
      </c>
      <c r="AF811" s="77">
        <f>IF(OR($A811="",B811=""),"",YEAR(B811))</f>
        <v/>
      </c>
      <c r="AG811" s="77">
        <f>IF(OR($A811="",B811=""),"",MONTH(B811))</f>
        <v/>
      </c>
    </row>
    <row r="812">
      <c r="A812" s="7" t="inlineStr">
        <is>
          <t>OT-2025-0808</t>
        </is>
      </c>
      <c r="B812" s="75" t="n">
        <v>46006.68819444445</v>
      </c>
      <c r="C812" s="7" t="inlineStr">
        <is>
          <t>Céline Morel (cheffe d'atelier)</t>
        </is>
      </c>
      <c r="D812" s="7" t="inlineStr">
        <is>
          <t>EQ-TOL-004</t>
        </is>
      </c>
      <c r="E812" s="9">
        <f>IF(D812="","",IFERROR(INDEX('Équipements'!$B$5:$B$304,MATCH(D812,'Équipements'!$A$5:$A$304,0)),"Code inconnu"))</f>
        <v/>
      </c>
      <c r="F812" s="9">
        <f>IF(D812="","",IFERROR(INDEX('Équipements'!$D$5:$D$304,MATCH(D812,'Équipements'!$A$5:$A$304,0)),""))</f>
        <v/>
      </c>
      <c r="G812" s="9">
        <f>IF(D812="","",IFERROR(INDEX('Équipements'!$K$5:$K$304,MATCH(D812,'Équipements'!$A$5:$A$304,0)),""))</f>
        <v/>
      </c>
      <c r="H812" s="7" t="inlineStr">
        <is>
          <t>Correctif</t>
        </is>
      </c>
      <c r="I812" s="7" t="n"/>
      <c r="J812" s="7" t="inlineStr">
        <is>
          <t>Hydraulique</t>
        </is>
      </c>
      <c r="K812" s="7" t="inlineStr">
        <is>
          <t>P3 - Normale</t>
        </is>
      </c>
      <c r="L812" s="7" t="inlineStr">
        <is>
          <t>Pompe hydraulique bruyante</t>
        </is>
      </c>
      <c r="M812" s="7" t="inlineStr">
        <is>
          <t>Usure</t>
        </is>
      </c>
      <c r="N812" s="7" t="inlineStr">
        <is>
          <t>Remplacement accouplement, contrôle débit pompe</t>
        </is>
      </c>
      <c r="O812" s="7" t="inlineStr">
        <is>
          <t>Karim Benali</t>
        </is>
      </c>
      <c r="P812" s="65" t="n"/>
      <c r="Q812" s="75" t="n">
        <v>46007.29166666666</v>
      </c>
      <c r="R812" s="75" t="n">
        <v>46008.54795857711</v>
      </c>
      <c r="S812" s="76" t="n">
        <v>0</v>
      </c>
      <c r="T812" s="76" t="n">
        <v>4.75</v>
      </c>
      <c r="U812" s="70">
        <f>IF($A812="","",IFERROR(INDEX('Techniciens'!$F$5:$F$44,MATCH(O812,'Techniciens'!$B$5:$B$44,0)),'Paramètres'!$AA$10))</f>
        <v/>
      </c>
      <c r="V812" s="70">
        <f>IF($A812="","",IF(OR(AC812="Demandé",AC812="Planifié",AC812="Annulé"),0,N(T812)*N(U812)))</f>
        <v/>
      </c>
      <c r="W812" s="70">
        <f>IF($A812="","",SUMIFS('Mouvements stock'!$H$5:$H$3004,'Mouvements stock'!$I$5:$I$3004,$A812,'Mouvements stock'!$C$5:$C$3004,"Sortie")-SUMIFS('Mouvements stock'!$H$5:$H$3004,'Mouvements stock'!$I$5:$I$3004,$A812,'Mouvements stock'!$C$5:$C$3004,"Retour"))</f>
        <v/>
      </c>
      <c r="X812" s="66" t="n">
        <v>0</v>
      </c>
      <c r="Y812" s="66" t="n">
        <v>0</v>
      </c>
      <c r="Z812" s="7" t="n"/>
      <c r="AA812" s="70">
        <f>IF($A812="","",N(V812)+N(W812)+N(X812)+N(Y812))</f>
        <v/>
      </c>
      <c r="AB812" s="70">
        <f>IF($A812="","",N(S812)*'Paramètres'!$AA$9*IFERROR(INDEX('Paramètres'!$O$5:$O$7,MATCH(G812,'Paramètres'!$N$5:$N$7,0)),0))</f>
        <v/>
      </c>
      <c r="AC812" s="7" t="inlineStr">
        <is>
          <t>Clôturé</t>
        </is>
      </c>
      <c r="AD812" s="69">
        <f>IF(OR($A812="",Q812=""),"",(Q812-B812)*24)</f>
        <v/>
      </c>
      <c r="AE812" s="69">
        <f>IF(OR(Q812="",R812=""),"",(R812-Q812)*24)</f>
        <v/>
      </c>
      <c r="AF812" s="77">
        <f>IF(OR($A812="",B812=""),"",YEAR(B812))</f>
        <v/>
      </c>
      <c r="AG812" s="77">
        <f>IF(OR($A812="",B812=""),"",MONTH(B812))</f>
        <v/>
      </c>
    </row>
    <row r="813">
      <c r="A813" s="7" t="inlineStr">
        <is>
          <t>OT-2025-0809</t>
        </is>
      </c>
      <c r="B813" s="75" t="n">
        <v>46006.72569444445</v>
      </c>
      <c r="C813" s="7" t="inlineStr">
        <is>
          <t>Opérateur assemblage</t>
        </is>
      </c>
      <c r="D813" s="7" t="inlineStr">
        <is>
          <t>EQ-ASS-002</t>
        </is>
      </c>
      <c r="E813" s="9">
        <f>IF(D813="","",IFERROR(INDEX('Équipements'!$B$5:$B$304,MATCH(D813,'Équipements'!$A$5:$A$304,0)),"Code inconnu"))</f>
        <v/>
      </c>
      <c r="F813" s="9">
        <f>IF(D813="","",IFERROR(INDEX('Équipements'!$D$5:$D$304,MATCH(D813,'Équipements'!$A$5:$A$304,0)),""))</f>
        <v/>
      </c>
      <c r="G813" s="9">
        <f>IF(D813="","",IFERROR(INDEX('Équipements'!$K$5:$K$304,MATCH(D813,'Équipements'!$A$5:$A$304,0)),""))</f>
        <v/>
      </c>
      <c r="H813" s="7" t="inlineStr">
        <is>
          <t>Correctif</t>
        </is>
      </c>
      <c r="I813" s="7" t="n"/>
      <c r="J813" s="7" t="inlineStr">
        <is>
          <t>Mécanique</t>
        </is>
      </c>
      <c r="K813" s="7" t="inlineStr">
        <is>
          <t>P2 - Haute</t>
        </is>
      </c>
      <c r="L813" s="7" t="inlineStr">
        <is>
          <t>Butée arrière bloquée</t>
        </is>
      </c>
      <c r="M813" s="7" t="inlineStr">
        <is>
          <t>Casse mécanique</t>
        </is>
      </c>
      <c r="N813" s="7" t="inlineStr">
        <is>
          <t>Remplacement courroie et réglage butée</t>
        </is>
      </c>
      <c r="O813" s="7" t="inlineStr">
        <is>
          <t>Lucas Fontaine</t>
        </is>
      </c>
      <c r="P813" s="65" t="n"/>
      <c r="Q813" s="75" t="n">
        <v>46006.79652777778</v>
      </c>
      <c r="R813" s="75" t="n">
        <v>46006.91111111111</v>
      </c>
      <c r="S813" s="76" t="n">
        <v>0</v>
      </c>
      <c r="T813" s="76" t="n">
        <v>2.75</v>
      </c>
      <c r="U813" s="70">
        <f>IF($A813="","",IFERROR(INDEX('Techniciens'!$F$5:$F$44,MATCH(O813,'Techniciens'!$B$5:$B$44,0)),'Paramètres'!$AA$10))</f>
        <v/>
      </c>
      <c r="V813" s="70">
        <f>IF($A813="","",IF(OR(AC813="Demandé",AC813="Planifié",AC813="Annulé"),0,N(T813)*N(U813)))</f>
        <v/>
      </c>
      <c r="W813" s="70">
        <f>IF($A813="","",SUMIFS('Mouvements stock'!$H$5:$H$3004,'Mouvements stock'!$I$5:$I$3004,$A813,'Mouvements stock'!$C$5:$C$3004,"Sortie")-SUMIFS('Mouvements stock'!$H$5:$H$3004,'Mouvements stock'!$I$5:$I$3004,$A813,'Mouvements stock'!$C$5:$C$3004,"Retour"))</f>
        <v/>
      </c>
      <c r="X813" s="66" t="n">
        <v>0</v>
      </c>
      <c r="Y813" s="66" t="n">
        <v>830</v>
      </c>
      <c r="Z813" s="7" t="inlineStr">
        <is>
          <t>HydroFluid Services</t>
        </is>
      </c>
      <c r="AA813" s="70">
        <f>IF($A813="","",N(V813)+N(W813)+N(X813)+N(Y813))</f>
        <v/>
      </c>
      <c r="AB813" s="70">
        <f>IF($A813="","",N(S813)*'Paramètres'!$AA$9*IFERROR(INDEX('Paramètres'!$O$5:$O$7,MATCH(G813,'Paramètres'!$N$5:$N$7,0)),0))</f>
        <v/>
      </c>
      <c r="AC813" s="7" t="inlineStr">
        <is>
          <t>Clôturé</t>
        </is>
      </c>
      <c r="AD813" s="69">
        <f>IF(OR($A813="",Q813=""),"",(Q813-B813)*24)</f>
        <v/>
      </c>
      <c r="AE813" s="69">
        <f>IF(OR(Q813="",R813=""),"",(R813-Q813)*24)</f>
        <v/>
      </c>
      <c r="AF813" s="77">
        <f>IF(OR($A813="",B813=""),"",YEAR(B813))</f>
        <v/>
      </c>
      <c r="AG813" s="77">
        <f>IF(OR($A813="",B813=""),"",MONTH(B813))</f>
        <v/>
      </c>
    </row>
    <row r="814">
      <c r="A814" s="7" t="inlineStr">
        <is>
          <t>OT-2025-0810</t>
        </is>
      </c>
      <c r="B814" s="75" t="n">
        <v>46007.36111111111</v>
      </c>
      <c r="C814" s="7" t="inlineStr">
        <is>
          <t>Plan préventif</t>
        </is>
      </c>
      <c r="D814" s="7" t="inlineStr">
        <is>
          <t>EQ-PEI-004</t>
        </is>
      </c>
      <c r="E814" s="9">
        <f>IF(D814="","",IFERROR(INDEX('Équipements'!$B$5:$B$304,MATCH(D814,'Équipements'!$A$5:$A$304,0)),"Code inconnu"))</f>
        <v/>
      </c>
      <c r="F814" s="9">
        <f>IF(D814="","",IFERROR(INDEX('Équipements'!$D$5:$D$304,MATCH(D814,'Équipements'!$A$5:$A$304,0)),""))</f>
        <v/>
      </c>
      <c r="G814" s="9">
        <f>IF(D814="","",IFERROR(INDEX('Équipements'!$K$5:$K$304,MATCH(D814,'Équipements'!$A$5:$A$304,0)),""))</f>
        <v/>
      </c>
      <c r="H814" s="7" t="inlineStr">
        <is>
          <t>Préventif systématique</t>
        </is>
      </c>
      <c r="I814" s="7" t="inlineStr">
        <is>
          <t>GP-073</t>
        </is>
      </c>
      <c r="J814" s="7" t="inlineStr">
        <is>
          <t>Mécanique</t>
        </is>
      </c>
      <c r="K814" s="7" t="inlineStr">
        <is>
          <t>P3 - Normale</t>
        </is>
      </c>
      <c r="L814" s="7" t="inlineStr">
        <is>
          <t>Contrôle motoréducteurs et usure</t>
        </is>
      </c>
      <c r="M814" s="7" t="n"/>
      <c r="N814" s="7" t="inlineStr">
        <is>
          <t>Gamme réalisée - RAS</t>
        </is>
      </c>
      <c r="O814" s="7" t="inlineStr">
        <is>
          <t>Antoine Mercier</t>
        </is>
      </c>
      <c r="P814" s="65" t="n">
        <v>46014.82638888889</v>
      </c>
      <c r="Q814" s="75" t="n">
        <v>46014.47222222222</v>
      </c>
      <c r="R814" s="75" t="n">
        <v>46014.70138888889</v>
      </c>
      <c r="S814" s="76" t="n">
        <v>2.8</v>
      </c>
      <c r="T814" s="76" t="n">
        <v>5.5</v>
      </c>
      <c r="U814" s="70">
        <f>IF($A814="","",IFERROR(INDEX('Techniciens'!$F$5:$F$44,MATCH(O814,'Techniciens'!$B$5:$B$44,0)),'Paramètres'!$AA$10))</f>
        <v/>
      </c>
      <c r="V814" s="70">
        <f>IF($A814="","",IF(OR(AC814="Demandé",AC814="Planifié",AC814="Annulé"),0,N(T814)*N(U814)))</f>
        <v/>
      </c>
      <c r="W814" s="70">
        <f>IF($A814="","",SUMIFS('Mouvements stock'!$H$5:$H$3004,'Mouvements stock'!$I$5:$I$3004,$A814,'Mouvements stock'!$C$5:$C$3004,"Sortie")-SUMIFS('Mouvements stock'!$H$5:$H$3004,'Mouvements stock'!$I$5:$I$3004,$A814,'Mouvements stock'!$C$5:$C$3004,"Retour"))</f>
        <v/>
      </c>
      <c r="X814" s="66" t="n">
        <v>0</v>
      </c>
      <c r="Y814" s="66" t="n">
        <v>0</v>
      </c>
      <c r="Z814" s="7" t="n"/>
      <c r="AA814" s="70">
        <f>IF($A814="","",N(V814)+N(W814)+N(X814)+N(Y814))</f>
        <v/>
      </c>
      <c r="AB814" s="70">
        <f>IF($A814="","",N(S814)*'Paramètres'!$AA$9*IFERROR(INDEX('Paramètres'!$O$5:$O$7,MATCH(G814,'Paramètres'!$N$5:$N$7,0)),0))</f>
        <v/>
      </c>
      <c r="AC814" s="7" t="inlineStr">
        <is>
          <t>Clôturé</t>
        </is>
      </c>
      <c r="AD814" s="69">
        <f>IF(OR($A814="",Q814=""),"",(Q814-B814)*24)</f>
        <v/>
      </c>
      <c r="AE814" s="69">
        <f>IF(OR(Q814="",R814=""),"",(R814-Q814)*24)</f>
        <v/>
      </c>
      <c r="AF814" s="77">
        <f>IF(OR($A814="",B814=""),"",YEAR(B814))</f>
        <v/>
      </c>
      <c r="AG814" s="77">
        <f>IF(OR($A814="",B814=""),"",MONTH(B814))</f>
        <v/>
      </c>
    </row>
    <row r="815">
      <c r="A815" s="7" t="inlineStr">
        <is>
          <t>OT-2025-0811</t>
        </is>
      </c>
      <c r="B815" s="75" t="n">
        <v>46007.55069444444</v>
      </c>
      <c r="C815" s="7" t="inlineStr">
        <is>
          <t>Sylvie Mathieu (resp. logistique)</t>
        </is>
      </c>
      <c r="D815" s="7" t="inlineStr">
        <is>
          <t>EQ-LOG-001</t>
        </is>
      </c>
      <c r="E815" s="9">
        <f>IF(D815="","",IFERROR(INDEX('Équipements'!$B$5:$B$304,MATCH(D815,'Équipements'!$A$5:$A$304,0)),"Code inconnu"))</f>
        <v/>
      </c>
      <c r="F815" s="9">
        <f>IF(D815="","",IFERROR(INDEX('Équipements'!$D$5:$D$304,MATCH(D815,'Équipements'!$A$5:$A$304,0)),""))</f>
        <v/>
      </c>
      <c r="G815" s="9">
        <f>IF(D815="","",IFERROR(INDEX('Équipements'!$K$5:$K$304,MATCH(D815,'Équipements'!$A$5:$A$304,0)),""))</f>
        <v/>
      </c>
      <c r="H815" s="7" t="inlineStr">
        <is>
          <t>Correctif</t>
        </is>
      </c>
      <c r="I815" s="7" t="n"/>
      <c r="J815" s="7" t="inlineStr">
        <is>
          <t>Mécanique</t>
        </is>
      </c>
      <c r="K815" s="7" t="inlineStr">
        <is>
          <t>P3 - Normale</t>
        </is>
      </c>
      <c r="L815" s="7" t="inlineStr">
        <is>
          <t>Bandage de roue usé / arraché</t>
        </is>
      </c>
      <c r="M815" s="7" t="inlineStr">
        <is>
          <t>Usure</t>
        </is>
      </c>
      <c r="N815" s="7" t="inlineStr">
        <is>
          <t>Remplacement bandage</t>
        </is>
      </c>
      <c r="O815" s="7" t="inlineStr">
        <is>
          <t>Lucas Fontaine</t>
        </is>
      </c>
      <c r="P815" s="65" t="n"/>
      <c r="Q815" s="75" t="n">
        <v>46008.98402777778</v>
      </c>
      <c r="R815" s="75" t="n">
        <v>46009.20277777778</v>
      </c>
      <c r="S815" s="76" t="n">
        <v>0</v>
      </c>
      <c r="T815" s="76" t="n">
        <v>5.25</v>
      </c>
      <c r="U815" s="70">
        <f>IF($A815="","",IFERROR(INDEX('Techniciens'!$F$5:$F$44,MATCH(O815,'Techniciens'!$B$5:$B$44,0)),'Paramètres'!$AA$10))</f>
        <v/>
      </c>
      <c r="V815" s="70">
        <f>IF($A815="","",IF(OR(AC815="Demandé",AC815="Planifié",AC815="Annulé"),0,N(T815)*N(U815)))</f>
        <v/>
      </c>
      <c r="W815" s="70">
        <f>IF($A815="","",SUMIFS('Mouvements stock'!$H$5:$H$3004,'Mouvements stock'!$I$5:$I$3004,$A815,'Mouvements stock'!$C$5:$C$3004,"Sortie")-SUMIFS('Mouvements stock'!$H$5:$H$3004,'Mouvements stock'!$I$5:$I$3004,$A815,'Mouvements stock'!$C$5:$C$3004,"Retour"))</f>
        <v/>
      </c>
      <c r="X815" s="66" t="n">
        <v>0</v>
      </c>
      <c r="Y815" s="66" t="n">
        <v>0</v>
      </c>
      <c r="Z815" s="7" t="n"/>
      <c r="AA815" s="70">
        <f>IF($A815="","",N(V815)+N(W815)+N(X815)+N(Y815))</f>
        <v/>
      </c>
      <c r="AB815" s="70">
        <f>IF($A815="","",N(S815)*'Paramètres'!$AA$9*IFERROR(INDEX('Paramètres'!$O$5:$O$7,MATCH(G815,'Paramètres'!$N$5:$N$7,0)),0))</f>
        <v/>
      </c>
      <c r="AC815" s="7" t="inlineStr">
        <is>
          <t>Clôturé</t>
        </is>
      </c>
      <c r="AD815" s="69">
        <f>IF(OR($A815="",Q815=""),"",(Q815-B815)*24)</f>
        <v/>
      </c>
      <c r="AE815" s="69">
        <f>IF(OR(Q815="",R815=""),"",(R815-Q815)*24)</f>
        <v/>
      </c>
      <c r="AF815" s="77">
        <f>IF(OR($A815="",B815=""),"",YEAR(B815))</f>
        <v/>
      </c>
      <c r="AG815" s="77">
        <f>IF(OR($A815="",B815=""),"",MONTH(B815))</f>
        <v/>
      </c>
    </row>
    <row r="816">
      <c r="A816" s="7" t="inlineStr">
        <is>
          <t>OT-2025-0812</t>
        </is>
      </c>
      <c r="B816" s="75" t="n">
        <v>46008.44444444445</v>
      </c>
      <c r="C816" s="7" t="inlineStr">
        <is>
          <t>Plan préventif</t>
        </is>
      </c>
      <c r="D816" s="7" t="inlineStr">
        <is>
          <t>EQ-PEI-004</t>
        </is>
      </c>
      <c r="E816" s="9">
        <f>IF(D816="","",IFERROR(INDEX('Équipements'!$B$5:$B$304,MATCH(D816,'Équipements'!$A$5:$A$304,0)),"Code inconnu"))</f>
        <v/>
      </c>
      <c r="F816" s="9">
        <f>IF(D816="","",IFERROR(INDEX('Équipements'!$D$5:$D$304,MATCH(D816,'Équipements'!$A$5:$A$304,0)),""))</f>
        <v/>
      </c>
      <c r="G816" s="9">
        <f>IF(D816="","",IFERROR(INDEX('Équipements'!$K$5:$K$304,MATCH(D816,'Équipements'!$A$5:$A$304,0)),""))</f>
        <v/>
      </c>
      <c r="H816" s="7" t="inlineStr">
        <is>
          <t>Préventif systématique</t>
        </is>
      </c>
      <c r="I816" s="7" t="inlineStr">
        <is>
          <t>GP-072</t>
        </is>
      </c>
      <c r="J816" s="7" t="inlineStr">
        <is>
          <t>Mécanique</t>
        </is>
      </c>
      <c r="K816" s="7" t="inlineStr">
        <is>
          <t>P3 - Normale</t>
        </is>
      </c>
      <c r="L816" s="7" t="inlineStr">
        <is>
          <t>Graissage chaîne / galets et contrôle tension</t>
        </is>
      </c>
      <c r="M816" s="7" t="n"/>
      <c r="N816" s="7" t="inlineStr">
        <is>
          <t>Gamme réalisée - RAS</t>
        </is>
      </c>
      <c r="O816" s="7" t="inlineStr">
        <is>
          <t>Karim Benali</t>
        </is>
      </c>
      <c r="P816" s="65" t="n">
        <v>46015.69791666666</v>
      </c>
      <c r="Q816" s="75" t="n">
        <v>46015.38541666666</v>
      </c>
      <c r="R816" s="75" t="n">
        <v>46015.5</v>
      </c>
      <c r="S816" s="76" t="n">
        <v>1.4</v>
      </c>
      <c r="T816" s="76" t="n">
        <v>2.75</v>
      </c>
      <c r="U816" s="70">
        <f>IF($A816="","",IFERROR(INDEX('Techniciens'!$F$5:$F$44,MATCH(O816,'Techniciens'!$B$5:$B$44,0)),'Paramètres'!$AA$10))</f>
        <v/>
      </c>
      <c r="V816" s="70">
        <f>IF($A816="","",IF(OR(AC816="Demandé",AC816="Planifié",AC816="Annulé"),0,N(T816)*N(U816)))</f>
        <v/>
      </c>
      <c r="W816" s="70">
        <f>IF($A816="","",SUMIFS('Mouvements stock'!$H$5:$H$3004,'Mouvements stock'!$I$5:$I$3004,$A816,'Mouvements stock'!$C$5:$C$3004,"Sortie")-SUMIFS('Mouvements stock'!$H$5:$H$3004,'Mouvements stock'!$I$5:$I$3004,$A816,'Mouvements stock'!$C$5:$C$3004,"Retour"))</f>
        <v/>
      </c>
      <c r="X816" s="66" t="n">
        <v>0</v>
      </c>
      <c r="Y816" s="66" t="n">
        <v>0</v>
      </c>
      <c r="Z816" s="7" t="n"/>
      <c r="AA816" s="70">
        <f>IF($A816="","",N(V816)+N(W816)+N(X816)+N(Y816))</f>
        <v/>
      </c>
      <c r="AB816" s="70">
        <f>IF($A816="","",N(S816)*'Paramètres'!$AA$9*IFERROR(INDEX('Paramètres'!$O$5:$O$7,MATCH(G816,'Paramètres'!$N$5:$N$7,0)),0))</f>
        <v/>
      </c>
      <c r="AC816" s="7" t="inlineStr">
        <is>
          <t>Clôturé</t>
        </is>
      </c>
      <c r="AD816" s="69">
        <f>IF(OR($A816="",Q816=""),"",(Q816-B816)*24)</f>
        <v/>
      </c>
      <c r="AE816" s="69">
        <f>IF(OR(Q816="",R816=""),"",(R816-Q816)*24)</f>
        <v/>
      </c>
      <c r="AF816" s="77">
        <f>IF(OR($A816="",B816=""),"",YEAR(B816))</f>
        <v/>
      </c>
      <c r="AG816" s="77">
        <f>IF(OR($A816="",B816=""),"",MONTH(B816))</f>
        <v/>
      </c>
    </row>
    <row r="817">
      <c r="A817" s="7" t="inlineStr">
        <is>
          <t>OT-2025-0813</t>
        </is>
      </c>
      <c r="B817" s="75" t="n">
        <v>46008.44791666666</v>
      </c>
      <c r="C817" s="7" t="inlineStr">
        <is>
          <t>Plan préventif</t>
        </is>
      </c>
      <c r="D817" s="7" t="inlineStr">
        <is>
          <t>EQ-USI-012</t>
        </is>
      </c>
      <c r="E817" s="9">
        <f>IF(D817="","",IFERROR(INDEX('Équipements'!$B$5:$B$304,MATCH(D817,'Équipements'!$A$5:$A$304,0)),"Code inconnu"))</f>
        <v/>
      </c>
      <c r="F817" s="9">
        <f>IF(D817="","",IFERROR(INDEX('Équipements'!$D$5:$D$304,MATCH(D817,'Équipements'!$A$5:$A$304,0)),""))</f>
        <v/>
      </c>
      <c r="G817" s="9">
        <f>IF(D817="","",IFERROR(INDEX('Équipements'!$K$5:$K$304,MATCH(D817,'Équipements'!$A$5:$A$304,0)),""))</f>
        <v/>
      </c>
      <c r="H817" s="7" t="inlineStr">
        <is>
          <t>Préventif systématique</t>
        </is>
      </c>
      <c r="I817" s="7" t="inlineStr">
        <is>
          <t>GP-035</t>
        </is>
      </c>
      <c r="J817" s="7" t="inlineStr">
        <is>
          <t>Mécanique</t>
        </is>
      </c>
      <c r="K817" s="7" t="inlineStr">
        <is>
          <t>P3 - Normale</t>
        </is>
      </c>
      <c r="L817" s="7" t="inlineStr">
        <is>
          <t>Nettoyage torche et contrôle faisceau</t>
        </is>
      </c>
      <c r="M817" s="7" t="n"/>
      <c r="N817" s="7" t="inlineStr">
        <is>
          <t>Gamme réalisée - RAS</t>
        </is>
      </c>
      <c r="O817" s="7" t="inlineStr">
        <is>
          <t>Lucas Fontaine</t>
        </is>
      </c>
      <c r="P817" s="65" t="n">
        <v>46015.44444444445</v>
      </c>
      <c r="Q817" s="75" t="n">
        <v>46015.5625</v>
      </c>
      <c r="R817" s="75" t="n">
        <v>46015.59375</v>
      </c>
      <c r="S817" s="76" t="n">
        <v>0</v>
      </c>
      <c r="T817" s="76" t="n">
        <v>0.75</v>
      </c>
      <c r="U817" s="70">
        <f>IF($A817="","",IFERROR(INDEX('Techniciens'!$F$5:$F$44,MATCH(O817,'Techniciens'!$B$5:$B$44,0)),'Paramètres'!$AA$10))</f>
        <v/>
      </c>
      <c r="V817" s="70">
        <f>IF($A817="","",IF(OR(AC817="Demandé",AC817="Planifié",AC817="Annulé"),0,N(T817)*N(U817)))</f>
        <v/>
      </c>
      <c r="W817" s="70">
        <f>IF($A817="","",SUMIFS('Mouvements stock'!$H$5:$H$3004,'Mouvements stock'!$I$5:$I$3004,$A817,'Mouvements stock'!$C$5:$C$3004,"Sortie")-SUMIFS('Mouvements stock'!$H$5:$H$3004,'Mouvements stock'!$I$5:$I$3004,$A817,'Mouvements stock'!$C$5:$C$3004,"Retour"))</f>
        <v/>
      </c>
      <c r="X817" s="66" t="n">
        <v>0</v>
      </c>
      <c r="Y817" s="66" t="n">
        <v>0</v>
      </c>
      <c r="Z817" s="7" t="n"/>
      <c r="AA817" s="70">
        <f>IF($A817="","",N(V817)+N(W817)+N(X817)+N(Y817))</f>
        <v/>
      </c>
      <c r="AB817" s="70">
        <f>IF($A817="","",N(S817)*'Paramètres'!$AA$9*IFERROR(INDEX('Paramètres'!$O$5:$O$7,MATCH(G817,'Paramètres'!$N$5:$N$7,0)),0))</f>
        <v/>
      </c>
      <c r="AC817" s="7" t="inlineStr">
        <is>
          <t>Clôturé</t>
        </is>
      </c>
      <c r="AD817" s="69">
        <f>IF(OR($A817="",Q817=""),"",(Q817-B817)*24)</f>
        <v/>
      </c>
      <c r="AE817" s="69">
        <f>IF(OR(Q817="",R817=""),"",(R817-Q817)*24)</f>
        <v/>
      </c>
      <c r="AF817" s="77">
        <f>IF(OR($A817="",B817=""),"",YEAR(B817))</f>
        <v/>
      </c>
      <c r="AG817" s="77">
        <f>IF(OR($A817="",B817=""),"",MONTH(B817))</f>
        <v/>
      </c>
    </row>
    <row r="818">
      <c r="A818" s="7" t="inlineStr">
        <is>
          <t>OT-2025-0814</t>
        </is>
      </c>
      <c r="B818" s="75" t="n">
        <v>46008.47222222222</v>
      </c>
      <c r="C818" s="7" t="inlineStr">
        <is>
          <t>Plan préventif</t>
        </is>
      </c>
      <c r="D818" s="7" t="inlineStr">
        <is>
          <t>EQ-USI-001</t>
        </is>
      </c>
      <c r="E818" s="9">
        <f>IF(D818="","",IFERROR(INDEX('Équipements'!$B$5:$B$304,MATCH(D818,'Équipements'!$A$5:$A$304,0)),"Code inconnu"))</f>
        <v/>
      </c>
      <c r="F818" s="9">
        <f>IF(D818="","",IFERROR(INDEX('Équipements'!$D$5:$D$304,MATCH(D818,'Équipements'!$A$5:$A$304,0)),""))</f>
        <v/>
      </c>
      <c r="G818" s="9">
        <f>IF(D818="","",IFERROR(INDEX('Équipements'!$K$5:$K$304,MATCH(D818,'Équipements'!$A$5:$A$304,0)),""))</f>
        <v/>
      </c>
      <c r="H818" s="7" t="inlineStr">
        <is>
          <t>Préventif systématique</t>
        </is>
      </c>
      <c r="I818" s="7" t="inlineStr">
        <is>
          <t>GP-003</t>
        </is>
      </c>
      <c r="J818" s="7" t="inlineStr">
        <is>
          <t>Hydraulique</t>
        </is>
      </c>
      <c r="K818" s="7" t="inlineStr">
        <is>
          <t>P3 - Normale</t>
        </is>
      </c>
      <c r="L818" s="7" t="inlineStr">
        <is>
          <t>Vidange groupe hydraulique et remplacement filtres</t>
        </is>
      </c>
      <c r="M818" s="7" t="n"/>
      <c r="N818" s="7" t="inlineStr">
        <is>
          <t>Gamme réalisée - RAS</t>
        </is>
      </c>
      <c r="O818" s="7" t="inlineStr">
        <is>
          <t>Antoine Mercier</t>
        </is>
      </c>
      <c r="P818" s="65" t="n">
        <v>46015</v>
      </c>
      <c r="Q818" s="75" t="n">
        <v>46015.44444444445</v>
      </c>
      <c r="R818" s="75" t="n">
        <v>46015.62152777778</v>
      </c>
      <c r="S818" s="76" t="n">
        <v>0</v>
      </c>
      <c r="T818" s="76" t="n">
        <v>4.25</v>
      </c>
      <c r="U818" s="70">
        <f>IF($A818="","",IFERROR(INDEX('Techniciens'!$F$5:$F$44,MATCH(O818,'Techniciens'!$B$5:$B$44,0)),'Paramètres'!$AA$10))</f>
        <v/>
      </c>
      <c r="V818" s="70">
        <f>IF($A818="","",IF(OR(AC818="Demandé",AC818="Planifié",AC818="Annulé"),0,N(T818)*N(U818)))</f>
        <v/>
      </c>
      <c r="W818" s="70">
        <f>IF($A818="","",SUMIFS('Mouvements stock'!$H$5:$H$3004,'Mouvements stock'!$I$5:$I$3004,$A818,'Mouvements stock'!$C$5:$C$3004,"Sortie")-SUMIFS('Mouvements stock'!$H$5:$H$3004,'Mouvements stock'!$I$5:$I$3004,$A818,'Mouvements stock'!$C$5:$C$3004,"Retour"))</f>
        <v/>
      </c>
      <c r="X818" s="66" t="n">
        <v>0</v>
      </c>
      <c r="Y818" s="66" t="n">
        <v>0</v>
      </c>
      <c r="Z818" s="7" t="n"/>
      <c r="AA818" s="70">
        <f>IF($A818="","",N(V818)+N(W818)+N(X818)+N(Y818))</f>
        <v/>
      </c>
      <c r="AB818" s="70">
        <f>IF($A818="","",N(S818)*'Paramètres'!$AA$9*IFERROR(INDEX('Paramètres'!$O$5:$O$7,MATCH(G818,'Paramètres'!$N$5:$N$7,0)),0))</f>
        <v/>
      </c>
      <c r="AC818" s="7" t="inlineStr">
        <is>
          <t>Clôturé</t>
        </is>
      </c>
      <c r="AD818" s="69">
        <f>IF(OR($A818="",Q818=""),"",(Q818-B818)*24)</f>
        <v/>
      </c>
      <c r="AE818" s="69">
        <f>IF(OR(Q818="",R818=""),"",(R818-Q818)*24)</f>
        <v/>
      </c>
      <c r="AF818" s="77">
        <f>IF(OR($A818="",B818=""),"",YEAR(B818))</f>
        <v/>
      </c>
      <c r="AG818" s="77">
        <f>IF(OR($A818="",B818=""),"",MONTH(B818))</f>
        <v/>
      </c>
    </row>
    <row r="819">
      <c r="A819" s="7" t="inlineStr">
        <is>
          <t>OT-2025-0815</t>
        </is>
      </c>
      <c r="B819" s="75" t="n">
        <v>46008.47777777778</v>
      </c>
      <c r="C819" s="7" t="inlineStr">
        <is>
          <t>Inès Girard (cheffe d'équipe)</t>
        </is>
      </c>
      <c r="D819" s="7" t="inlineStr">
        <is>
          <t>EQ-PEI-004</t>
        </is>
      </c>
      <c r="E819" s="9">
        <f>IF(D819="","",IFERROR(INDEX('Équipements'!$B$5:$B$304,MATCH(D819,'Équipements'!$A$5:$A$304,0)),"Code inconnu"))</f>
        <v/>
      </c>
      <c r="F819" s="9">
        <f>IF(D819="","",IFERROR(INDEX('Équipements'!$D$5:$D$304,MATCH(D819,'Équipements'!$A$5:$A$304,0)),""))</f>
        <v/>
      </c>
      <c r="G819" s="9">
        <f>IF(D819="","",IFERROR(INDEX('Équipements'!$K$5:$K$304,MATCH(D819,'Équipements'!$A$5:$A$304,0)),""))</f>
        <v/>
      </c>
      <c r="H819" s="7" t="inlineStr">
        <is>
          <t>Correctif</t>
        </is>
      </c>
      <c r="I819" s="7" t="n"/>
      <c r="J819" s="7" t="inlineStr">
        <is>
          <t>Mécanique</t>
        </is>
      </c>
      <c r="K819" s="7" t="inlineStr">
        <is>
          <t>P1 - Urgent</t>
        </is>
      </c>
      <c r="L819" s="7" t="inlineStr">
        <is>
          <t>Roulement de tambour bruyant</t>
        </is>
      </c>
      <c r="M819" s="7" t="inlineStr">
        <is>
          <t>Usure</t>
        </is>
      </c>
      <c r="N819" s="7" t="inlineStr">
        <is>
          <t>Remplacement roulements et palier</t>
        </is>
      </c>
      <c r="O819" s="7" t="inlineStr">
        <is>
          <t>Lucas Fontaine</t>
        </is>
      </c>
      <c r="P819" s="65" t="n"/>
      <c r="Q819" s="75" t="n">
        <v>46008.49027777778</v>
      </c>
      <c r="R819" s="75" t="n">
        <v>46010.21575250071</v>
      </c>
      <c r="S819" s="76" t="n">
        <v>0</v>
      </c>
      <c r="T819" s="76" t="n">
        <v>6.25</v>
      </c>
      <c r="U819" s="70">
        <f>IF($A819="","",IFERROR(INDEX('Techniciens'!$F$5:$F$44,MATCH(O819,'Techniciens'!$B$5:$B$44,0)),'Paramètres'!$AA$10))</f>
        <v/>
      </c>
      <c r="V819" s="70">
        <f>IF($A819="","",IF(OR(AC819="Demandé",AC819="Planifié",AC819="Annulé"),0,N(T819)*N(U819)))</f>
        <v/>
      </c>
      <c r="W819" s="70">
        <f>IF($A819="","",SUMIFS('Mouvements stock'!$H$5:$H$3004,'Mouvements stock'!$I$5:$I$3004,$A819,'Mouvements stock'!$C$5:$C$3004,"Sortie")-SUMIFS('Mouvements stock'!$H$5:$H$3004,'Mouvements stock'!$I$5:$I$3004,$A819,'Mouvements stock'!$C$5:$C$3004,"Retour"))</f>
        <v/>
      </c>
      <c r="X819" s="66" t="n">
        <v>713</v>
      </c>
      <c r="Y819" s="66" t="n">
        <v>0</v>
      </c>
      <c r="Z819" s="7" t="n"/>
      <c r="AA819" s="70">
        <f>IF($A819="","",N(V819)+N(W819)+N(X819)+N(Y819))</f>
        <v/>
      </c>
      <c r="AB819" s="70">
        <f>IF($A819="","",N(S819)*'Paramètres'!$AA$9*IFERROR(INDEX('Paramètres'!$O$5:$O$7,MATCH(G819,'Paramètres'!$N$5:$N$7,0)),0))</f>
        <v/>
      </c>
      <c r="AC819" s="7" t="inlineStr">
        <is>
          <t>Clôturé</t>
        </is>
      </c>
      <c r="AD819" s="69">
        <f>IF(OR($A819="",Q819=""),"",(Q819-B819)*24)</f>
        <v/>
      </c>
      <c r="AE819" s="69">
        <f>IF(OR(Q819="",R819=""),"",(R819-Q819)*24)</f>
        <v/>
      </c>
      <c r="AF819" s="77">
        <f>IF(OR($A819="",B819=""),"",YEAR(B819))</f>
        <v/>
      </c>
      <c r="AG819" s="77">
        <f>IF(OR($A819="",B819=""),"",MONTH(B819))</f>
        <v/>
      </c>
    </row>
    <row r="820">
      <c r="A820" s="7" t="inlineStr">
        <is>
          <t>OT-2025-0816</t>
        </is>
      </c>
      <c r="B820" s="75" t="n">
        <v>46008.61458333334</v>
      </c>
      <c r="C820" s="7" t="inlineStr">
        <is>
          <t>Sylvie Mathieu (resp. logistique)</t>
        </is>
      </c>
      <c r="D820" s="7" t="inlineStr">
        <is>
          <t>EQ-LOG-007</t>
        </is>
      </c>
      <c r="E820" s="9">
        <f>IF(D820="","",IFERROR(INDEX('Équipements'!$B$5:$B$304,MATCH(D820,'Équipements'!$A$5:$A$304,0)),"Code inconnu"))</f>
        <v/>
      </c>
      <c r="F820" s="9">
        <f>IF(D820="","",IFERROR(INDEX('Équipements'!$D$5:$D$304,MATCH(D820,'Équipements'!$A$5:$A$304,0)),""))</f>
        <v/>
      </c>
      <c r="G820" s="9">
        <f>IF(D820="","",IFERROR(INDEX('Équipements'!$K$5:$K$304,MATCH(D820,'Équipements'!$A$5:$A$304,0)),""))</f>
        <v/>
      </c>
      <c r="H820" s="7" t="inlineStr">
        <is>
          <t>Correctif</t>
        </is>
      </c>
      <c r="I820" s="7" t="n"/>
      <c r="J820" s="7" t="inlineStr">
        <is>
          <t>Électrique</t>
        </is>
      </c>
      <c r="K820" s="7" t="inlineStr">
        <is>
          <t>P1 - Urgent</t>
        </is>
      </c>
      <c r="L820" s="7" t="inlineStr">
        <is>
          <t>Défaut boîte à boutons de commande</t>
        </is>
      </c>
      <c r="M820" s="7" t="inlineStr">
        <is>
          <t>Défaut électrique</t>
        </is>
      </c>
      <c r="N820" s="7" t="inlineStr">
        <is>
          <t>Remplacement contacteur de boîte à boutons</t>
        </is>
      </c>
      <c r="O820" s="7" t="inlineStr">
        <is>
          <t>Julien Moreau</t>
        </is>
      </c>
      <c r="P820" s="65" t="n"/>
      <c r="Q820" s="75" t="n">
        <v>46008.65555555555</v>
      </c>
      <c r="R820" s="75" t="n">
        <v>46008.94722222222</v>
      </c>
      <c r="S820" s="76" t="n">
        <v>8</v>
      </c>
      <c r="T820" s="76" t="n">
        <v>7</v>
      </c>
      <c r="U820" s="70">
        <f>IF($A820="","",IFERROR(INDEX('Techniciens'!$F$5:$F$44,MATCH(O820,'Techniciens'!$B$5:$B$44,0)),'Paramètres'!$AA$10))</f>
        <v/>
      </c>
      <c r="V820" s="70">
        <f>IF($A820="","",IF(OR(AC820="Demandé",AC820="Planifié",AC820="Annulé"),0,N(T820)*N(U820)))</f>
        <v/>
      </c>
      <c r="W820" s="70">
        <f>IF($A820="","",SUMIFS('Mouvements stock'!$H$5:$H$3004,'Mouvements stock'!$I$5:$I$3004,$A820,'Mouvements stock'!$C$5:$C$3004,"Sortie")-SUMIFS('Mouvements stock'!$H$5:$H$3004,'Mouvements stock'!$I$5:$I$3004,$A820,'Mouvements stock'!$C$5:$C$3004,"Retour"))</f>
        <v/>
      </c>
      <c r="X820" s="66" t="n">
        <v>0</v>
      </c>
      <c r="Y820" s="66" t="n">
        <v>0</v>
      </c>
      <c r="Z820" s="7" t="n"/>
      <c r="AA820" s="70">
        <f>IF($A820="","",N(V820)+N(W820)+N(X820)+N(Y820))</f>
        <v/>
      </c>
      <c r="AB820" s="70">
        <f>IF($A820="","",N(S820)*'Paramètres'!$AA$9*IFERROR(INDEX('Paramètres'!$O$5:$O$7,MATCH(G820,'Paramètres'!$N$5:$N$7,0)),0))</f>
        <v/>
      </c>
      <c r="AC820" s="7" t="inlineStr">
        <is>
          <t>Clôturé</t>
        </is>
      </c>
      <c r="AD820" s="69">
        <f>IF(OR($A820="",Q820=""),"",(Q820-B820)*24)</f>
        <v/>
      </c>
      <c r="AE820" s="69">
        <f>IF(OR(Q820="",R820=""),"",(R820-Q820)*24)</f>
        <v/>
      </c>
      <c r="AF820" s="77">
        <f>IF(OR($A820="",B820=""),"",YEAR(B820))</f>
        <v/>
      </c>
      <c r="AG820" s="77">
        <f>IF(OR($A820="",B820=""),"",MONTH(B820))</f>
        <v/>
      </c>
    </row>
    <row r="821">
      <c r="A821" s="7" t="inlineStr">
        <is>
          <t>OT-2025-0817</t>
        </is>
      </c>
      <c r="B821" s="75" t="n">
        <v>46008.88194444445</v>
      </c>
      <c r="C821" s="7" t="inlineStr">
        <is>
          <t>Céline Morel (cheffe d'atelier)</t>
        </is>
      </c>
      <c r="D821" s="7" t="inlineStr">
        <is>
          <t>EQ-TOL-001</t>
        </is>
      </c>
      <c r="E821" s="9">
        <f>IF(D821="","",IFERROR(INDEX('Équipements'!$B$5:$B$304,MATCH(D821,'Équipements'!$A$5:$A$304,0)),"Code inconnu"))</f>
        <v/>
      </c>
      <c r="F821" s="9">
        <f>IF(D821="","",IFERROR(INDEX('Équipements'!$D$5:$D$304,MATCH(D821,'Équipements'!$A$5:$A$304,0)),""))</f>
        <v/>
      </c>
      <c r="G821" s="9">
        <f>IF(D821="","",IFERROR(INDEX('Équipements'!$K$5:$K$304,MATCH(D821,'Équipements'!$A$5:$A$304,0)),""))</f>
        <v/>
      </c>
      <c r="H821" s="7" t="inlineStr">
        <is>
          <t>Correctif</t>
        </is>
      </c>
      <c r="I821" s="7" t="n"/>
      <c r="J821" s="7" t="inlineStr">
        <is>
          <t>Pneumatique</t>
        </is>
      </c>
      <c r="K821" s="7" t="inlineStr">
        <is>
          <t>P1 - Urgent</t>
        </is>
      </c>
      <c r="L821" s="7" t="inlineStr">
        <is>
          <t>Défaut pression gaz d'assistance azote</t>
        </is>
      </c>
      <c r="M821" s="7" t="inlineStr">
        <is>
          <t>Fuite</t>
        </is>
      </c>
      <c r="N821" s="7" t="inlineStr">
        <is>
          <t>Remplacement électrovanne et raccords</t>
        </is>
      </c>
      <c r="O821" s="7" t="inlineStr">
        <is>
          <t>Julien Moreau</t>
        </is>
      </c>
      <c r="P821" s="65" t="n"/>
      <c r="Q821" s="75" t="n">
        <v>46008.89722222222</v>
      </c>
      <c r="R821" s="75" t="n">
        <v>46009.14722222222</v>
      </c>
      <c r="S821" s="76" t="n">
        <v>6.4</v>
      </c>
      <c r="T821" s="76" t="n">
        <v>6</v>
      </c>
      <c r="U821" s="70">
        <f>IF($A821="","",IFERROR(INDEX('Techniciens'!$F$5:$F$44,MATCH(O821,'Techniciens'!$B$5:$B$44,0)),'Paramètres'!$AA$10))</f>
        <v/>
      </c>
      <c r="V821" s="70">
        <f>IF($A821="","",IF(OR(AC821="Demandé",AC821="Planifié",AC821="Annulé"),0,N(T821)*N(U821)))</f>
        <v/>
      </c>
      <c r="W821" s="70">
        <f>IF($A821="","",SUMIFS('Mouvements stock'!$H$5:$H$3004,'Mouvements stock'!$I$5:$I$3004,$A821,'Mouvements stock'!$C$5:$C$3004,"Sortie")-SUMIFS('Mouvements stock'!$H$5:$H$3004,'Mouvements stock'!$I$5:$I$3004,$A821,'Mouvements stock'!$C$5:$C$3004,"Retour"))</f>
        <v/>
      </c>
      <c r="X821" s="66" t="n">
        <v>0</v>
      </c>
      <c r="Y821" s="66" t="n">
        <v>0</v>
      </c>
      <c r="Z821" s="7" t="n"/>
      <c r="AA821" s="70">
        <f>IF($A821="","",N(V821)+N(W821)+N(X821)+N(Y821))</f>
        <v/>
      </c>
      <c r="AB821" s="70">
        <f>IF($A821="","",N(S821)*'Paramètres'!$AA$9*IFERROR(INDEX('Paramètres'!$O$5:$O$7,MATCH(G821,'Paramètres'!$N$5:$N$7,0)),0))</f>
        <v/>
      </c>
      <c r="AC821" s="7" t="inlineStr">
        <is>
          <t>Clôturé</t>
        </is>
      </c>
      <c r="AD821" s="69">
        <f>IF(OR($A821="",Q821=""),"",(Q821-B821)*24)</f>
        <v/>
      </c>
      <c r="AE821" s="69">
        <f>IF(OR(Q821="",R821=""),"",(R821-Q821)*24)</f>
        <v/>
      </c>
      <c r="AF821" s="77">
        <f>IF(OR($A821="",B821=""),"",YEAR(B821))</f>
        <v/>
      </c>
      <c r="AG821" s="77">
        <f>IF(OR($A821="",B821=""),"",MONTH(B821))</f>
        <v/>
      </c>
    </row>
    <row r="822">
      <c r="A822" s="7" t="inlineStr">
        <is>
          <t>OT-2025-0818</t>
        </is>
      </c>
      <c r="B822" s="75" t="n">
        <v>46010.34722222222</v>
      </c>
      <c r="C822" s="7" t="inlineStr">
        <is>
          <t>Plan préventif</t>
        </is>
      </c>
      <c r="D822" s="7" t="inlineStr">
        <is>
          <t>EQ-UTI-006</t>
        </is>
      </c>
      <c r="E822" s="9">
        <f>IF(D822="","",IFERROR(INDEX('Équipements'!$B$5:$B$304,MATCH(D822,'Équipements'!$A$5:$A$304,0)),"Code inconnu"))</f>
        <v/>
      </c>
      <c r="F822" s="9">
        <f>IF(D822="","",IFERROR(INDEX('Équipements'!$D$5:$D$304,MATCH(D822,'Équipements'!$A$5:$A$304,0)),""))</f>
        <v/>
      </c>
      <c r="G822" s="9">
        <f>IF(D822="","",IFERROR(INDEX('Équipements'!$K$5:$K$304,MATCH(D822,'Équipements'!$A$5:$A$304,0)),""))</f>
        <v/>
      </c>
      <c r="H822" s="7" t="inlineStr">
        <is>
          <t>Préventif systématique</t>
        </is>
      </c>
      <c r="I822" s="7" t="inlineStr">
        <is>
          <t>GP-095</t>
        </is>
      </c>
      <c r="J822" s="7" t="inlineStr">
        <is>
          <t>Mécanique</t>
        </is>
      </c>
      <c r="K822" s="7" t="inlineStr">
        <is>
          <t>P3 - Normale</t>
        </is>
      </c>
      <c r="L822" s="7" t="inlineStr">
        <is>
          <t>Remplacement filtres et nettoyage batteries</t>
        </is>
      </c>
      <c r="M822" s="7" t="n"/>
      <c r="N822" s="7" t="inlineStr">
        <is>
          <t>Gamme réalisée - RAS</t>
        </is>
      </c>
      <c r="O822" s="7" t="inlineStr">
        <is>
          <t>Karim Benali</t>
        </is>
      </c>
      <c r="P822" s="65" t="n">
        <v>46017.67361111111</v>
      </c>
      <c r="Q822" s="75" t="n">
        <v>46017.27777777778</v>
      </c>
      <c r="R822" s="75" t="n">
        <v>46017.39236111111</v>
      </c>
      <c r="S822" s="76" t="n">
        <v>0</v>
      </c>
      <c r="T822" s="76" t="n">
        <v>2.75</v>
      </c>
      <c r="U822" s="70">
        <f>IF($A822="","",IFERROR(INDEX('Techniciens'!$F$5:$F$44,MATCH(O822,'Techniciens'!$B$5:$B$44,0)),'Paramètres'!$AA$10))</f>
        <v/>
      </c>
      <c r="V822" s="70">
        <f>IF($A822="","",IF(OR(AC822="Demandé",AC822="Planifié",AC822="Annulé"),0,N(T822)*N(U822)))</f>
        <v/>
      </c>
      <c r="W822" s="70">
        <f>IF($A822="","",SUMIFS('Mouvements stock'!$H$5:$H$3004,'Mouvements stock'!$I$5:$I$3004,$A822,'Mouvements stock'!$C$5:$C$3004,"Sortie")-SUMIFS('Mouvements stock'!$H$5:$H$3004,'Mouvements stock'!$I$5:$I$3004,$A822,'Mouvements stock'!$C$5:$C$3004,"Retour"))</f>
        <v/>
      </c>
      <c r="X822" s="66" t="n">
        <v>0</v>
      </c>
      <c r="Y822" s="66" t="n">
        <v>0</v>
      </c>
      <c r="Z822" s="7" t="n"/>
      <c r="AA822" s="70">
        <f>IF($A822="","",N(V822)+N(W822)+N(X822)+N(Y822))</f>
        <v/>
      </c>
      <c r="AB822" s="70">
        <f>IF($A822="","",N(S822)*'Paramètres'!$AA$9*IFERROR(INDEX('Paramètres'!$O$5:$O$7,MATCH(G822,'Paramètres'!$N$5:$N$7,0)),0))</f>
        <v/>
      </c>
      <c r="AC822" s="7" t="inlineStr">
        <is>
          <t>Clôturé</t>
        </is>
      </c>
      <c r="AD822" s="69">
        <f>IF(OR($A822="",Q822=""),"",(Q822-B822)*24)</f>
        <v/>
      </c>
      <c r="AE822" s="69">
        <f>IF(OR(Q822="",R822=""),"",(R822-Q822)*24)</f>
        <v/>
      </c>
      <c r="AF822" s="77">
        <f>IF(OR($A822="",B822=""),"",YEAR(B822))</f>
        <v/>
      </c>
      <c r="AG822" s="77">
        <f>IF(OR($A822="",B822=""),"",MONTH(B822))</f>
        <v/>
      </c>
    </row>
    <row r="823">
      <c r="A823" s="7" t="inlineStr">
        <is>
          <t>OT-2025-0819</t>
        </is>
      </c>
      <c r="B823" s="75" t="n">
        <v>46010.38194444445</v>
      </c>
      <c r="C823" s="7" t="inlineStr">
        <is>
          <t>Plan préventif</t>
        </is>
      </c>
      <c r="D823" s="7" t="inlineStr">
        <is>
          <t>EQ-USI-002</t>
        </is>
      </c>
      <c r="E823" s="9">
        <f>IF(D823="","",IFERROR(INDEX('Équipements'!$B$5:$B$304,MATCH(D823,'Équipements'!$A$5:$A$304,0)),"Code inconnu"))</f>
        <v/>
      </c>
      <c r="F823" s="9">
        <f>IF(D823="","",IFERROR(INDEX('Équipements'!$D$5:$D$304,MATCH(D823,'Équipements'!$A$5:$A$304,0)),""))</f>
        <v/>
      </c>
      <c r="G823" s="9">
        <f>IF(D823="","",IFERROR(INDEX('Équipements'!$K$5:$K$304,MATCH(D823,'Équipements'!$A$5:$A$304,0)),""))</f>
        <v/>
      </c>
      <c r="H823" s="7" t="inlineStr">
        <is>
          <t>Préventif systématique</t>
        </is>
      </c>
      <c r="I823" s="7" t="inlineStr">
        <is>
          <t>GP-005</t>
        </is>
      </c>
      <c r="J823" s="7" t="inlineStr">
        <is>
          <t>Mécanique</t>
        </is>
      </c>
      <c r="K823" s="7" t="inlineStr">
        <is>
          <t>P3 - Normale</t>
        </is>
      </c>
      <c r="L823" s="7" t="inlineStr">
        <is>
          <t>Contrôle niveaux, nettoyage filtres et bac à copeaux</t>
        </is>
      </c>
      <c r="M823" s="7" t="n"/>
      <c r="N823" s="7" t="inlineStr">
        <is>
          <t>Gamme réalisée - RAS</t>
        </is>
      </c>
      <c r="O823" s="7" t="inlineStr">
        <is>
          <t>Antoine Mercier</t>
        </is>
      </c>
      <c r="P823" s="65" t="n">
        <v>46017.63541666666</v>
      </c>
      <c r="Q823" s="75" t="n">
        <v>46017.5625</v>
      </c>
      <c r="R823" s="75" t="n">
        <v>46017.63541666666</v>
      </c>
      <c r="S823" s="76" t="n">
        <v>0</v>
      </c>
      <c r="T823" s="76" t="n">
        <v>1.75</v>
      </c>
      <c r="U823" s="70">
        <f>IF($A823="","",IFERROR(INDEX('Techniciens'!$F$5:$F$44,MATCH(O823,'Techniciens'!$B$5:$B$44,0)),'Paramètres'!$AA$10))</f>
        <v/>
      </c>
      <c r="V823" s="70">
        <f>IF($A823="","",IF(OR(AC823="Demandé",AC823="Planifié",AC823="Annulé"),0,N(T823)*N(U823)))</f>
        <v/>
      </c>
      <c r="W823" s="70">
        <f>IF($A823="","",SUMIFS('Mouvements stock'!$H$5:$H$3004,'Mouvements stock'!$I$5:$I$3004,$A823,'Mouvements stock'!$C$5:$C$3004,"Sortie")-SUMIFS('Mouvements stock'!$H$5:$H$3004,'Mouvements stock'!$I$5:$I$3004,$A823,'Mouvements stock'!$C$5:$C$3004,"Retour"))</f>
        <v/>
      </c>
      <c r="X823" s="66" t="n">
        <v>0</v>
      </c>
      <c r="Y823" s="66" t="n">
        <v>0</v>
      </c>
      <c r="Z823" s="7" t="n"/>
      <c r="AA823" s="70">
        <f>IF($A823="","",N(V823)+N(W823)+N(X823)+N(Y823))</f>
        <v/>
      </c>
      <c r="AB823" s="70">
        <f>IF($A823="","",N(S823)*'Paramètres'!$AA$9*IFERROR(INDEX('Paramètres'!$O$5:$O$7,MATCH(G823,'Paramètres'!$N$5:$N$7,0)),0))</f>
        <v/>
      </c>
      <c r="AC823" s="7" t="inlineStr">
        <is>
          <t>Clôturé</t>
        </is>
      </c>
      <c r="AD823" s="69">
        <f>IF(OR($A823="",Q823=""),"",(Q823-B823)*24)</f>
        <v/>
      </c>
      <c r="AE823" s="69">
        <f>IF(OR(Q823="",R823=""),"",(R823-Q823)*24)</f>
        <v/>
      </c>
      <c r="AF823" s="77">
        <f>IF(OR($A823="",B823=""),"",YEAR(B823))</f>
        <v/>
      </c>
      <c r="AG823" s="77">
        <f>IF(OR($A823="",B823=""),"",MONTH(B823))</f>
        <v/>
      </c>
    </row>
    <row r="824">
      <c r="A824" s="7" t="inlineStr">
        <is>
          <t>OT-2025-0820</t>
        </is>
      </c>
      <c r="B824" s="75" t="n">
        <v>46010.41666666666</v>
      </c>
      <c r="C824" s="7" t="inlineStr">
        <is>
          <t>Plan préventif</t>
        </is>
      </c>
      <c r="D824" s="7" t="inlineStr">
        <is>
          <t>EQ-SOU-002</t>
        </is>
      </c>
      <c r="E824" s="9">
        <f>IF(D824="","",IFERROR(INDEX('Équipements'!$B$5:$B$304,MATCH(D824,'Équipements'!$A$5:$A$304,0)),"Code inconnu"))</f>
        <v/>
      </c>
      <c r="F824" s="9">
        <f>IF(D824="","",IFERROR(INDEX('Équipements'!$D$5:$D$304,MATCH(D824,'Équipements'!$A$5:$A$304,0)),""))</f>
        <v/>
      </c>
      <c r="G824" s="9">
        <f>IF(D824="","",IFERROR(INDEX('Équipements'!$K$5:$K$304,MATCH(D824,'Équipements'!$A$5:$A$304,0)),""))</f>
        <v/>
      </c>
      <c r="H824" s="7" t="inlineStr">
        <is>
          <t>Préventif systématique</t>
        </is>
      </c>
      <c r="I824" s="7" t="inlineStr">
        <is>
          <t>GP-061</t>
        </is>
      </c>
      <c r="J824" s="7" t="inlineStr">
        <is>
          <t>Électrique</t>
        </is>
      </c>
      <c r="K824" s="7" t="inlineStr">
        <is>
          <t>P3 - Normale</t>
        </is>
      </c>
      <c r="L824" s="7" t="inlineStr">
        <is>
          <t>Contrôle et nettoyage poste, dévidoir, câbles</t>
        </is>
      </c>
      <c r="M824" s="7" t="n"/>
      <c r="N824" s="7" t="inlineStr">
        <is>
          <t>Gamme réalisée - RAS</t>
        </is>
      </c>
      <c r="O824" s="7" t="inlineStr">
        <is>
          <t>Julien Moreau</t>
        </is>
      </c>
      <c r="P824" s="65" t="n">
        <v>46017.65277777778</v>
      </c>
      <c r="Q824" s="75" t="n">
        <v>46017.61805555555</v>
      </c>
      <c r="R824" s="75" t="n">
        <v>46017.68055555555</v>
      </c>
      <c r="S824" s="76" t="n">
        <v>0</v>
      </c>
      <c r="T824" s="76" t="n">
        <v>1.5</v>
      </c>
      <c r="U824" s="70">
        <f>IF($A824="","",IFERROR(INDEX('Techniciens'!$F$5:$F$44,MATCH(O824,'Techniciens'!$B$5:$B$44,0)),'Paramètres'!$AA$10))</f>
        <v/>
      </c>
      <c r="V824" s="70">
        <f>IF($A824="","",IF(OR(AC824="Demandé",AC824="Planifié",AC824="Annulé"),0,N(T824)*N(U824)))</f>
        <v/>
      </c>
      <c r="W824" s="70">
        <f>IF($A824="","",SUMIFS('Mouvements stock'!$H$5:$H$3004,'Mouvements stock'!$I$5:$I$3004,$A824,'Mouvements stock'!$C$5:$C$3004,"Sortie")-SUMIFS('Mouvements stock'!$H$5:$H$3004,'Mouvements stock'!$I$5:$I$3004,$A824,'Mouvements stock'!$C$5:$C$3004,"Retour"))</f>
        <v/>
      </c>
      <c r="X824" s="66" t="n">
        <v>0</v>
      </c>
      <c r="Y824" s="66" t="n">
        <v>0</v>
      </c>
      <c r="Z824" s="7" t="n"/>
      <c r="AA824" s="70">
        <f>IF($A824="","",N(V824)+N(W824)+N(X824)+N(Y824))</f>
        <v/>
      </c>
      <c r="AB824" s="70">
        <f>IF($A824="","",N(S824)*'Paramètres'!$AA$9*IFERROR(INDEX('Paramètres'!$O$5:$O$7,MATCH(G824,'Paramètres'!$N$5:$N$7,0)),0))</f>
        <v/>
      </c>
      <c r="AC824" s="7" t="inlineStr">
        <is>
          <t>Clôturé</t>
        </is>
      </c>
      <c r="AD824" s="69">
        <f>IF(OR($A824="",Q824=""),"",(Q824-B824)*24)</f>
        <v/>
      </c>
      <c r="AE824" s="69">
        <f>IF(OR(Q824="",R824=""),"",(R824-Q824)*24)</f>
        <v/>
      </c>
      <c r="AF824" s="77">
        <f>IF(OR($A824="",B824=""),"",YEAR(B824))</f>
        <v/>
      </c>
      <c r="AG824" s="77">
        <f>IF(OR($A824="",B824=""),"",MONTH(B824))</f>
        <v/>
      </c>
    </row>
    <row r="825">
      <c r="A825" s="7" t="inlineStr">
        <is>
          <t>OT-2025-0821</t>
        </is>
      </c>
      <c r="B825" s="75" t="n">
        <v>46013.34722222222</v>
      </c>
      <c r="C825" s="7" t="inlineStr">
        <is>
          <t>Plan préventif</t>
        </is>
      </c>
      <c r="D825" s="7" t="inlineStr">
        <is>
          <t>EQ-UTI-001</t>
        </is>
      </c>
      <c r="E825" s="9">
        <f>IF(D825="","",IFERROR(INDEX('Équipements'!$B$5:$B$304,MATCH(D825,'Équipements'!$A$5:$A$304,0)),"Code inconnu"))</f>
        <v/>
      </c>
      <c r="F825" s="9">
        <f>IF(D825="","",IFERROR(INDEX('Équipements'!$D$5:$D$304,MATCH(D825,'Équipements'!$A$5:$A$304,0)),""))</f>
        <v/>
      </c>
      <c r="G825" s="9">
        <f>IF(D825="","",IFERROR(INDEX('Équipements'!$K$5:$K$304,MATCH(D825,'Équipements'!$A$5:$A$304,0)),""))</f>
        <v/>
      </c>
      <c r="H825" s="7" t="inlineStr">
        <is>
          <t>Préventif conditionnel</t>
        </is>
      </c>
      <c r="I825" s="7" t="inlineStr">
        <is>
          <t>GP-087</t>
        </is>
      </c>
      <c r="J825" s="7" t="inlineStr">
        <is>
          <t>Mécanique</t>
        </is>
      </c>
      <c r="K825" s="7" t="inlineStr">
        <is>
          <t>P3 - Normale</t>
        </is>
      </c>
      <c r="L825" s="7" t="inlineStr">
        <is>
          <t>Entretien 2000 h : filtres air/huile, séparateur</t>
        </is>
      </c>
      <c r="M825" s="7" t="n"/>
      <c r="N825" s="7" t="inlineStr">
        <is>
          <t>Gamme réalisée - RAS</t>
        </is>
      </c>
      <c r="O825" s="7" t="inlineStr">
        <is>
          <t>Lucas Fontaine</t>
        </is>
      </c>
      <c r="P825" s="65" t="n">
        <v>46020.57291666666</v>
      </c>
      <c r="Q825" s="75" t="n">
        <v>46020.46527777778</v>
      </c>
      <c r="R825" s="75" t="n">
        <v>46020.62152777778</v>
      </c>
      <c r="S825" s="76" t="n">
        <v>0</v>
      </c>
      <c r="T825" s="76" t="n">
        <v>3.75</v>
      </c>
      <c r="U825" s="70">
        <f>IF($A825="","",IFERROR(INDEX('Techniciens'!$F$5:$F$44,MATCH(O825,'Techniciens'!$B$5:$B$44,0)),'Paramètres'!$AA$10))</f>
        <v/>
      </c>
      <c r="V825" s="70">
        <f>IF($A825="","",IF(OR(AC825="Demandé",AC825="Planifié",AC825="Annulé"),0,N(T825)*N(U825)))</f>
        <v/>
      </c>
      <c r="W825" s="70">
        <f>IF($A825="","",SUMIFS('Mouvements stock'!$H$5:$H$3004,'Mouvements stock'!$I$5:$I$3004,$A825,'Mouvements stock'!$C$5:$C$3004,"Sortie")-SUMIFS('Mouvements stock'!$H$5:$H$3004,'Mouvements stock'!$I$5:$I$3004,$A825,'Mouvements stock'!$C$5:$C$3004,"Retour"))</f>
        <v/>
      </c>
      <c r="X825" s="66" t="n">
        <v>0</v>
      </c>
      <c r="Y825" s="66" t="n">
        <v>0</v>
      </c>
      <c r="Z825" s="7" t="n"/>
      <c r="AA825" s="70">
        <f>IF($A825="","",N(V825)+N(W825)+N(X825)+N(Y825))</f>
        <v/>
      </c>
      <c r="AB825" s="70">
        <f>IF($A825="","",N(S825)*'Paramètres'!$AA$9*IFERROR(INDEX('Paramètres'!$O$5:$O$7,MATCH(G825,'Paramètres'!$N$5:$N$7,0)),0))</f>
        <v/>
      </c>
      <c r="AC825" s="7" t="inlineStr">
        <is>
          <t>Clôturé</t>
        </is>
      </c>
      <c r="AD825" s="69">
        <f>IF(OR($A825="",Q825=""),"",(Q825-B825)*24)</f>
        <v/>
      </c>
      <c r="AE825" s="69">
        <f>IF(OR(Q825="",R825=""),"",(R825-Q825)*24)</f>
        <v/>
      </c>
      <c r="AF825" s="77">
        <f>IF(OR($A825="",B825=""),"",YEAR(B825))</f>
        <v/>
      </c>
      <c r="AG825" s="77">
        <f>IF(OR($A825="",B825=""),"",MONTH(B825))</f>
        <v/>
      </c>
    </row>
    <row r="826">
      <c r="A826" s="7" t="inlineStr">
        <is>
          <t>OT-2025-0822</t>
        </is>
      </c>
      <c r="B826" s="75" t="n">
        <v>46013.36111111111</v>
      </c>
      <c r="C826" s="7" t="inlineStr">
        <is>
          <t>Plan préventif</t>
        </is>
      </c>
      <c r="D826" s="7" t="inlineStr">
        <is>
          <t>EQ-PEI-002</t>
        </is>
      </c>
      <c r="E826" s="9">
        <f>IF(D826="","",IFERROR(INDEX('Équipements'!$B$5:$B$304,MATCH(D826,'Équipements'!$A$5:$A$304,0)),"Code inconnu"))</f>
        <v/>
      </c>
      <c r="F826" s="9">
        <f>IF(D826="","",IFERROR(INDEX('Équipements'!$D$5:$D$304,MATCH(D826,'Équipements'!$A$5:$A$304,0)),""))</f>
        <v/>
      </c>
      <c r="G826" s="9">
        <f>IF(D826="","",IFERROR(INDEX('Équipements'!$K$5:$K$304,MATCH(D826,'Équipements'!$A$5:$A$304,0)),""))</f>
        <v/>
      </c>
      <c r="H826" s="7" t="inlineStr">
        <is>
          <t>Préventif systématique</t>
        </is>
      </c>
      <c r="I826" s="7" t="inlineStr">
        <is>
          <t>GP-069</t>
        </is>
      </c>
      <c r="J826" s="7" t="inlineStr">
        <is>
          <t>Multi-technique</t>
        </is>
      </c>
      <c r="K826" s="7" t="inlineStr">
        <is>
          <t>P3 - Normale</t>
        </is>
      </c>
      <c r="L826" s="7" t="inlineStr">
        <is>
          <t>Contrôle ventilation, brûleurs, pompes et sécurités</t>
        </is>
      </c>
      <c r="M826" s="7" t="n"/>
      <c r="N826" s="7" t="inlineStr">
        <is>
          <t>Gamme réalisée - RAS</t>
        </is>
      </c>
      <c r="O826" s="7" t="inlineStr">
        <is>
          <t>Antoine Mercier</t>
        </is>
      </c>
      <c r="P826" s="65" t="n">
        <v>46020.76736111111</v>
      </c>
      <c r="Q826" s="75" t="n">
        <v>46020.54861111111</v>
      </c>
      <c r="R826" s="75" t="n">
        <v>46020.75694444445</v>
      </c>
      <c r="S826" s="76" t="n">
        <v>0</v>
      </c>
      <c r="T826" s="76" t="n">
        <v>5</v>
      </c>
      <c r="U826" s="70">
        <f>IF($A826="","",IFERROR(INDEX('Techniciens'!$F$5:$F$44,MATCH(O826,'Techniciens'!$B$5:$B$44,0)),'Paramètres'!$AA$10))</f>
        <v/>
      </c>
      <c r="V826" s="70">
        <f>IF($A826="","",IF(OR(AC826="Demandé",AC826="Planifié",AC826="Annulé"),0,N(T826)*N(U826)))</f>
        <v/>
      </c>
      <c r="W826" s="70">
        <f>IF($A826="","",SUMIFS('Mouvements stock'!$H$5:$H$3004,'Mouvements stock'!$I$5:$I$3004,$A826,'Mouvements stock'!$C$5:$C$3004,"Sortie")-SUMIFS('Mouvements stock'!$H$5:$H$3004,'Mouvements stock'!$I$5:$I$3004,$A826,'Mouvements stock'!$C$5:$C$3004,"Retour"))</f>
        <v/>
      </c>
      <c r="X826" s="66" t="n">
        <v>0</v>
      </c>
      <c r="Y826" s="66" t="n">
        <v>0</v>
      </c>
      <c r="Z826" s="7" t="n"/>
      <c r="AA826" s="70">
        <f>IF($A826="","",N(V826)+N(W826)+N(X826)+N(Y826))</f>
        <v/>
      </c>
      <c r="AB826" s="70">
        <f>IF($A826="","",N(S826)*'Paramètres'!$AA$9*IFERROR(INDEX('Paramètres'!$O$5:$O$7,MATCH(G826,'Paramètres'!$N$5:$N$7,0)),0))</f>
        <v/>
      </c>
      <c r="AC826" s="7" t="inlineStr">
        <is>
          <t>Clôturé</t>
        </is>
      </c>
      <c r="AD826" s="69">
        <f>IF(OR($A826="",Q826=""),"",(Q826-B826)*24)</f>
        <v/>
      </c>
      <c r="AE826" s="69">
        <f>IF(OR(Q826="",R826=""),"",(R826-Q826)*24)</f>
        <v/>
      </c>
      <c r="AF826" s="77">
        <f>IF(OR($A826="",B826=""),"",YEAR(B826))</f>
        <v/>
      </c>
      <c r="AG826" s="77">
        <f>IF(OR($A826="",B826=""),"",MONTH(B826))</f>
        <v/>
      </c>
    </row>
    <row r="827">
      <c r="A827" s="7" t="inlineStr">
        <is>
          <t>OT-2025-0823</t>
        </is>
      </c>
      <c r="B827" s="75" t="n">
        <v>46013.38541666666</v>
      </c>
      <c r="C827" s="7" t="inlineStr">
        <is>
          <t>Plan préventif</t>
        </is>
      </c>
      <c r="D827" s="7" t="inlineStr">
        <is>
          <t>EQ-USI-004</t>
        </is>
      </c>
      <c r="E827" s="9">
        <f>IF(D827="","",IFERROR(INDEX('Équipements'!$B$5:$B$304,MATCH(D827,'Équipements'!$A$5:$A$304,0)),"Code inconnu"))</f>
        <v/>
      </c>
      <c r="F827" s="9">
        <f>IF(D827="","",IFERROR(INDEX('Équipements'!$D$5:$D$304,MATCH(D827,'Équipements'!$A$5:$A$304,0)),""))</f>
        <v/>
      </c>
      <c r="G827" s="9">
        <f>IF(D827="","",IFERROR(INDEX('Équipements'!$K$5:$K$304,MATCH(D827,'Équipements'!$A$5:$A$304,0)),""))</f>
        <v/>
      </c>
      <c r="H827" s="7" t="inlineStr">
        <is>
          <t>Préventif systématique</t>
        </is>
      </c>
      <c r="I827" s="7" t="inlineStr">
        <is>
          <t>GP-013</t>
        </is>
      </c>
      <c r="J827" s="7" t="inlineStr">
        <is>
          <t>Mécanique</t>
        </is>
      </c>
      <c r="K827" s="7" t="inlineStr">
        <is>
          <t>P3 - Normale</t>
        </is>
      </c>
      <c r="L827" s="7" t="inlineStr">
        <is>
          <t>Contrôle niveaux, nettoyage filtres et bac à copeaux</t>
        </is>
      </c>
      <c r="M827" s="7" t="n"/>
      <c r="N827" s="7" t="inlineStr">
        <is>
          <t>Gamme réalisée - RAS</t>
        </is>
      </c>
      <c r="O827" s="7" t="inlineStr">
        <is>
          <t>Lucas Fontaine</t>
        </is>
      </c>
      <c r="P827" s="65" t="n">
        <v>46020.39583333334</v>
      </c>
      <c r="Q827" s="75" t="n">
        <v>46020.41666666666</v>
      </c>
      <c r="R827" s="75" t="n">
        <v>46020.48958333334</v>
      </c>
      <c r="S827" s="76" t="n">
        <v>0.9</v>
      </c>
      <c r="T827" s="76" t="n">
        <v>1.75</v>
      </c>
      <c r="U827" s="70">
        <f>IF($A827="","",IFERROR(INDEX('Techniciens'!$F$5:$F$44,MATCH(O827,'Techniciens'!$B$5:$B$44,0)),'Paramètres'!$AA$10))</f>
        <v/>
      </c>
      <c r="V827" s="70">
        <f>IF($A827="","",IF(OR(AC827="Demandé",AC827="Planifié",AC827="Annulé"),0,N(T827)*N(U827)))</f>
        <v/>
      </c>
      <c r="W827" s="70">
        <f>IF($A827="","",SUMIFS('Mouvements stock'!$H$5:$H$3004,'Mouvements stock'!$I$5:$I$3004,$A827,'Mouvements stock'!$C$5:$C$3004,"Sortie")-SUMIFS('Mouvements stock'!$H$5:$H$3004,'Mouvements stock'!$I$5:$I$3004,$A827,'Mouvements stock'!$C$5:$C$3004,"Retour"))</f>
        <v/>
      </c>
      <c r="X827" s="66" t="n">
        <v>0</v>
      </c>
      <c r="Y827" s="66" t="n">
        <v>0</v>
      </c>
      <c r="Z827" s="7" t="n"/>
      <c r="AA827" s="70">
        <f>IF($A827="","",N(V827)+N(W827)+N(X827)+N(Y827))</f>
        <v/>
      </c>
      <c r="AB827" s="70">
        <f>IF($A827="","",N(S827)*'Paramètres'!$AA$9*IFERROR(INDEX('Paramètres'!$O$5:$O$7,MATCH(G827,'Paramètres'!$N$5:$N$7,0)),0))</f>
        <v/>
      </c>
      <c r="AC827" s="7" t="inlineStr">
        <is>
          <t>Clôturé</t>
        </is>
      </c>
      <c r="AD827" s="69">
        <f>IF(OR($A827="",Q827=""),"",(Q827-B827)*24)</f>
        <v/>
      </c>
      <c r="AE827" s="69">
        <f>IF(OR(Q827="",R827=""),"",(R827-Q827)*24)</f>
        <v/>
      </c>
      <c r="AF827" s="77">
        <f>IF(OR($A827="",B827=""),"",YEAR(B827))</f>
        <v/>
      </c>
      <c r="AG827" s="77">
        <f>IF(OR($A827="",B827=""),"",MONTH(B827))</f>
        <v/>
      </c>
    </row>
    <row r="828">
      <c r="A828" s="7" t="inlineStr">
        <is>
          <t>OT-2025-0824</t>
        </is>
      </c>
      <c r="B828" s="75" t="n">
        <v>46013.76805555556</v>
      </c>
      <c r="C828" s="7" t="inlineStr">
        <is>
          <t>Inès Girard (cheffe d'équipe)</t>
        </is>
      </c>
      <c r="D828" s="7" t="inlineStr">
        <is>
          <t>EQ-PEI-005</t>
        </is>
      </c>
      <c r="E828" s="9">
        <f>IF(D828="","",IFERROR(INDEX('Équipements'!$B$5:$B$304,MATCH(D828,'Équipements'!$A$5:$A$304,0)),"Code inconnu"))</f>
        <v/>
      </c>
      <c r="F828" s="9">
        <f>IF(D828="","",IFERROR(INDEX('Équipements'!$D$5:$D$304,MATCH(D828,'Équipements'!$A$5:$A$304,0)),""))</f>
        <v/>
      </c>
      <c r="G828" s="9">
        <f>IF(D828="","",IFERROR(INDEX('Équipements'!$K$5:$K$304,MATCH(D828,'Équipements'!$A$5:$A$304,0)),""))</f>
        <v/>
      </c>
      <c r="H828" s="7" t="inlineStr">
        <is>
          <t>Correctif</t>
        </is>
      </c>
      <c r="I828" s="7" t="n"/>
      <c r="J828" s="7" t="inlineStr">
        <is>
          <t>Électrique</t>
        </is>
      </c>
      <c r="K828" s="7" t="inlineStr">
        <is>
          <t>P3 - Normale</t>
        </is>
      </c>
      <c r="L828" s="7" t="inlineStr">
        <is>
          <t>Ventilateur d'extraction en défaut</t>
        </is>
      </c>
      <c r="M828" s="7" t="inlineStr">
        <is>
          <t>Défaut électrique</t>
        </is>
      </c>
      <c r="N828" s="7" t="inlineStr">
        <is>
          <t>Remplacement contacteur et courroie</t>
        </is>
      </c>
      <c r="O828" s="7" t="inlineStr">
        <is>
          <t>Julien Moreau</t>
        </is>
      </c>
      <c r="P828" s="65" t="n"/>
      <c r="Q828" s="75" t="n">
        <v>46014.34166666667</v>
      </c>
      <c r="R828" s="75" t="n">
        <v>46014.41458333333</v>
      </c>
      <c r="S828" s="76" t="n">
        <v>0</v>
      </c>
      <c r="T828" s="76" t="n">
        <v>1.75</v>
      </c>
      <c r="U828" s="70">
        <f>IF($A828="","",IFERROR(INDEX('Techniciens'!$F$5:$F$44,MATCH(O828,'Techniciens'!$B$5:$B$44,0)),'Paramètres'!$AA$10))</f>
        <v/>
      </c>
      <c r="V828" s="70">
        <f>IF($A828="","",IF(OR(AC828="Demandé",AC828="Planifié",AC828="Annulé"),0,N(T828)*N(U828)))</f>
        <v/>
      </c>
      <c r="W828" s="70">
        <f>IF($A828="","",SUMIFS('Mouvements stock'!$H$5:$H$3004,'Mouvements stock'!$I$5:$I$3004,$A828,'Mouvements stock'!$C$5:$C$3004,"Sortie")-SUMIFS('Mouvements stock'!$H$5:$H$3004,'Mouvements stock'!$I$5:$I$3004,$A828,'Mouvements stock'!$C$5:$C$3004,"Retour"))</f>
        <v/>
      </c>
      <c r="X828" s="66" t="n">
        <v>0</v>
      </c>
      <c r="Y828" s="66" t="n">
        <v>0</v>
      </c>
      <c r="Z828" s="7" t="n"/>
      <c r="AA828" s="70">
        <f>IF($A828="","",N(V828)+N(W828)+N(X828)+N(Y828))</f>
        <v/>
      </c>
      <c r="AB828" s="70">
        <f>IF($A828="","",N(S828)*'Paramètres'!$AA$9*IFERROR(INDEX('Paramètres'!$O$5:$O$7,MATCH(G828,'Paramètres'!$N$5:$N$7,0)),0))</f>
        <v/>
      </c>
      <c r="AC828" s="7" t="inlineStr">
        <is>
          <t>Clôturé</t>
        </is>
      </c>
      <c r="AD828" s="69">
        <f>IF(OR($A828="",Q828=""),"",(Q828-B828)*24)</f>
        <v/>
      </c>
      <c r="AE828" s="69">
        <f>IF(OR(Q828="",R828=""),"",(R828-Q828)*24)</f>
        <v/>
      </c>
      <c r="AF828" s="77">
        <f>IF(OR($A828="",B828=""),"",YEAR(B828))</f>
        <v/>
      </c>
      <c r="AG828" s="77">
        <f>IF(OR($A828="",B828=""),"",MONTH(B828))</f>
        <v/>
      </c>
    </row>
    <row r="829">
      <c r="A829" s="7" t="inlineStr">
        <is>
          <t>OT-2025-0825</t>
        </is>
      </c>
      <c r="B829" s="75" t="n">
        <v>46014.34375</v>
      </c>
      <c r="C829" s="7" t="inlineStr">
        <is>
          <t>Plan préventif</t>
        </is>
      </c>
      <c r="D829" s="7" t="inlineStr">
        <is>
          <t>EQ-USI-005</t>
        </is>
      </c>
      <c r="E829" s="9">
        <f>IF(D829="","",IFERROR(INDEX('Équipements'!$B$5:$B$304,MATCH(D829,'Équipements'!$A$5:$A$304,0)),"Code inconnu"))</f>
        <v/>
      </c>
      <c r="F829" s="9">
        <f>IF(D829="","",IFERROR(INDEX('Équipements'!$D$5:$D$304,MATCH(D829,'Équipements'!$A$5:$A$304,0)),""))</f>
        <v/>
      </c>
      <c r="G829" s="9">
        <f>IF(D829="","",IFERROR(INDEX('Équipements'!$K$5:$K$304,MATCH(D829,'Équipements'!$A$5:$A$304,0)),""))</f>
        <v/>
      </c>
      <c r="H829" s="7" t="inlineStr">
        <is>
          <t>Préventif systématique</t>
        </is>
      </c>
      <c r="I829" s="7" t="inlineStr">
        <is>
          <t>GP-017</t>
        </is>
      </c>
      <c r="J829" s="7" t="inlineStr">
        <is>
          <t>Mécanique</t>
        </is>
      </c>
      <c r="K829" s="7" t="inlineStr">
        <is>
          <t>P3 - Normale</t>
        </is>
      </c>
      <c r="L829" s="7" t="inlineStr">
        <is>
          <t>Contrôle niveaux, nettoyage filtres et bac à copeaux</t>
        </is>
      </c>
      <c r="M829" s="7" t="n"/>
      <c r="N829" s="7" t="inlineStr">
        <is>
          <t>Gamme réalisée - RAS</t>
        </is>
      </c>
      <c r="O829" s="7" t="inlineStr">
        <is>
          <t>Karim Benali</t>
        </is>
      </c>
      <c r="P829" s="65" t="n">
        <v>46021.33680555555</v>
      </c>
      <c r="Q829" s="75" t="n">
        <v>46021.51388888889</v>
      </c>
      <c r="R829" s="75" t="n">
        <v>46021.59722222222</v>
      </c>
      <c r="S829" s="76" t="n">
        <v>2</v>
      </c>
      <c r="T829" s="76" t="n">
        <v>2</v>
      </c>
      <c r="U829" s="70">
        <f>IF($A829="","",IFERROR(INDEX('Techniciens'!$F$5:$F$44,MATCH(O829,'Techniciens'!$B$5:$B$44,0)),'Paramètres'!$AA$10))</f>
        <v/>
      </c>
      <c r="V829" s="70">
        <f>IF($A829="","",IF(OR(AC829="Demandé",AC829="Planifié",AC829="Annulé"),0,N(T829)*N(U829)))</f>
        <v/>
      </c>
      <c r="W829" s="70">
        <f>IF($A829="","",SUMIFS('Mouvements stock'!$H$5:$H$3004,'Mouvements stock'!$I$5:$I$3004,$A829,'Mouvements stock'!$C$5:$C$3004,"Sortie")-SUMIFS('Mouvements stock'!$H$5:$H$3004,'Mouvements stock'!$I$5:$I$3004,$A829,'Mouvements stock'!$C$5:$C$3004,"Retour"))</f>
        <v/>
      </c>
      <c r="X829" s="66" t="n">
        <v>0</v>
      </c>
      <c r="Y829" s="66" t="n">
        <v>0</v>
      </c>
      <c r="Z829" s="7" t="n"/>
      <c r="AA829" s="70">
        <f>IF($A829="","",N(V829)+N(W829)+N(X829)+N(Y829))</f>
        <v/>
      </c>
      <c r="AB829" s="70">
        <f>IF($A829="","",N(S829)*'Paramètres'!$AA$9*IFERROR(INDEX('Paramètres'!$O$5:$O$7,MATCH(G829,'Paramètres'!$N$5:$N$7,0)),0))</f>
        <v/>
      </c>
      <c r="AC829" s="7" t="inlineStr">
        <is>
          <t>Clôturé</t>
        </is>
      </c>
      <c r="AD829" s="69">
        <f>IF(OR($A829="",Q829=""),"",(Q829-B829)*24)</f>
        <v/>
      </c>
      <c r="AE829" s="69">
        <f>IF(OR(Q829="",R829=""),"",(R829-Q829)*24)</f>
        <v/>
      </c>
      <c r="AF829" s="77">
        <f>IF(OR($A829="",B829=""),"",YEAR(B829))</f>
        <v/>
      </c>
      <c r="AG829" s="77">
        <f>IF(OR($A829="",B829=""),"",MONTH(B829))</f>
        <v/>
      </c>
    </row>
    <row r="830">
      <c r="A830" s="7" t="inlineStr">
        <is>
          <t>OT-2025-0826</t>
        </is>
      </c>
      <c r="B830" s="75" t="n">
        <v>46014.45833333334</v>
      </c>
      <c r="C830" s="7" t="inlineStr">
        <is>
          <t>Plan préventif</t>
        </is>
      </c>
      <c r="D830" s="7" t="inlineStr">
        <is>
          <t>EQ-SOU-001</t>
        </is>
      </c>
      <c r="E830" s="9">
        <f>IF(D830="","",IFERROR(INDEX('Équipements'!$B$5:$B$304,MATCH(D830,'Équipements'!$A$5:$A$304,0)),"Code inconnu"))</f>
        <v/>
      </c>
      <c r="F830" s="9">
        <f>IF(D830="","",IFERROR(INDEX('Équipements'!$D$5:$D$304,MATCH(D830,'Équipements'!$A$5:$A$304,0)),""))</f>
        <v/>
      </c>
      <c r="G830" s="9">
        <f>IF(D830="","",IFERROR(INDEX('Équipements'!$K$5:$K$304,MATCH(D830,'Équipements'!$A$5:$A$304,0)),""))</f>
        <v/>
      </c>
      <c r="H830" s="7" t="inlineStr">
        <is>
          <t>Préventif systématique</t>
        </is>
      </c>
      <c r="I830" s="7" t="inlineStr">
        <is>
          <t>GP-059</t>
        </is>
      </c>
      <c r="J830" s="7" t="inlineStr">
        <is>
          <t>Mécanique</t>
        </is>
      </c>
      <c r="K830" s="7" t="inlineStr">
        <is>
          <t>P3 - Normale</t>
        </is>
      </c>
      <c r="L830" s="7" t="inlineStr">
        <is>
          <t>Graissage réducteurs et contrôle câblage</t>
        </is>
      </c>
      <c r="M830" s="7" t="n"/>
      <c r="N830" s="7" t="inlineStr">
        <is>
          <t>Gamme réalisée - RAS</t>
        </is>
      </c>
      <c r="O830" s="7" t="inlineStr">
        <is>
          <t>Karim Benali</t>
        </is>
      </c>
      <c r="P830" s="65" t="n">
        <v>46021.61805555555</v>
      </c>
      <c r="Q830" s="75" t="n">
        <v>46021.52083333334</v>
      </c>
      <c r="R830" s="75" t="n">
        <v>46021.75</v>
      </c>
      <c r="S830" s="76" t="n">
        <v>0</v>
      </c>
      <c r="T830" s="76" t="n">
        <v>5.5</v>
      </c>
      <c r="U830" s="70">
        <f>IF($A830="","",IFERROR(INDEX('Techniciens'!$F$5:$F$44,MATCH(O830,'Techniciens'!$B$5:$B$44,0)),'Paramètres'!$AA$10))</f>
        <v/>
      </c>
      <c r="V830" s="70">
        <f>IF($A830="","",IF(OR(AC830="Demandé",AC830="Planifié",AC830="Annulé"),0,N(T830)*N(U830)))</f>
        <v/>
      </c>
      <c r="W830" s="70">
        <f>IF($A830="","",SUMIFS('Mouvements stock'!$H$5:$H$3004,'Mouvements stock'!$I$5:$I$3004,$A830,'Mouvements stock'!$C$5:$C$3004,"Sortie")-SUMIFS('Mouvements stock'!$H$5:$H$3004,'Mouvements stock'!$I$5:$I$3004,$A830,'Mouvements stock'!$C$5:$C$3004,"Retour"))</f>
        <v/>
      </c>
      <c r="X830" s="66" t="n">
        <v>0</v>
      </c>
      <c r="Y830" s="66" t="n">
        <v>0</v>
      </c>
      <c r="Z830" s="7" t="n"/>
      <c r="AA830" s="70">
        <f>IF($A830="","",N(V830)+N(W830)+N(X830)+N(Y830))</f>
        <v/>
      </c>
      <c r="AB830" s="70">
        <f>IF($A830="","",N(S830)*'Paramètres'!$AA$9*IFERROR(INDEX('Paramètres'!$O$5:$O$7,MATCH(G830,'Paramètres'!$N$5:$N$7,0)),0))</f>
        <v/>
      </c>
      <c r="AC830" s="7" t="inlineStr">
        <is>
          <t>Clôturé</t>
        </is>
      </c>
      <c r="AD830" s="69">
        <f>IF(OR($A830="",Q830=""),"",(Q830-B830)*24)</f>
        <v/>
      </c>
      <c r="AE830" s="69">
        <f>IF(OR(Q830="",R830=""),"",(R830-Q830)*24)</f>
        <v/>
      </c>
      <c r="AF830" s="77">
        <f>IF(OR($A830="",B830=""),"",YEAR(B830))</f>
        <v/>
      </c>
      <c r="AG830" s="77">
        <f>IF(OR($A830="",B830=""),"",MONTH(B830))</f>
        <v/>
      </c>
    </row>
    <row r="831">
      <c r="A831" s="7" t="inlineStr">
        <is>
          <t>OT-2025-0827</t>
        </is>
      </c>
      <c r="B831" s="75" t="n">
        <v>46014.78958333333</v>
      </c>
      <c r="C831" s="7" t="inlineStr">
        <is>
          <t>Cariste</t>
        </is>
      </c>
      <c r="D831" s="7" t="inlineStr">
        <is>
          <t>EQ-LOG-006</t>
        </is>
      </c>
      <c r="E831" s="9">
        <f>IF(D831="","",IFERROR(INDEX('Équipements'!$B$5:$B$304,MATCH(D831,'Équipements'!$A$5:$A$304,0)),"Code inconnu"))</f>
        <v/>
      </c>
      <c r="F831" s="9">
        <f>IF(D831="","",IFERROR(INDEX('Équipements'!$D$5:$D$304,MATCH(D831,'Équipements'!$A$5:$A$304,0)),""))</f>
        <v/>
      </c>
      <c r="G831" s="9">
        <f>IF(D831="","",IFERROR(INDEX('Équipements'!$K$5:$K$304,MATCH(D831,'Équipements'!$A$5:$A$304,0)),""))</f>
        <v/>
      </c>
      <c r="H831" s="7" t="inlineStr">
        <is>
          <t>Correctif</t>
        </is>
      </c>
      <c r="I831" s="7" t="n"/>
      <c r="J831" s="7" t="inlineStr">
        <is>
          <t>Mécanique</t>
        </is>
      </c>
      <c r="K831" s="7" t="inlineStr">
        <is>
          <t>P1 - Urgent</t>
        </is>
      </c>
      <c r="L831" s="7" t="inlineStr">
        <is>
          <t>Câble de levage effiloché (réserve VGP)</t>
        </is>
      </c>
      <c r="M831" s="7" t="inlineStr">
        <is>
          <t>Usure</t>
        </is>
      </c>
      <c r="N831" s="7" t="inlineStr">
        <is>
          <t>Remplacement câble de levage</t>
        </is>
      </c>
      <c r="O831" s="7" t="inlineStr">
        <is>
          <t>Karim Benali</t>
        </is>
      </c>
      <c r="P831" s="65" t="n"/>
      <c r="Q831" s="75" t="n">
        <v>46014.82916666667</v>
      </c>
      <c r="R831" s="75" t="n">
        <v>46015.11041666667</v>
      </c>
      <c r="S831" s="76" t="n">
        <v>7.7</v>
      </c>
      <c r="T831" s="76" t="n">
        <v>6.75</v>
      </c>
      <c r="U831" s="70">
        <f>IF($A831="","",IFERROR(INDEX('Techniciens'!$F$5:$F$44,MATCH(O831,'Techniciens'!$B$5:$B$44,0)),'Paramètres'!$AA$10))</f>
        <v/>
      </c>
      <c r="V831" s="70">
        <f>IF($A831="","",IF(OR(AC831="Demandé",AC831="Planifié",AC831="Annulé"),0,N(T831)*N(U831)))</f>
        <v/>
      </c>
      <c r="W831" s="70">
        <f>IF($A831="","",SUMIFS('Mouvements stock'!$H$5:$H$3004,'Mouvements stock'!$I$5:$I$3004,$A831,'Mouvements stock'!$C$5:$C$3004,"Sortie")-SUMIFS('Mouvements stock'!$H$5:$H$3004,'Mouvements stock'!$I$5:$I$3004,$A831,'Mouvements stock'!$C$5:$C$3004,"Retour"))</f>
        <v/>
      </c>
      <c r="X831" s="66" t="n">
        <v>0</v>
      </c>
      <c r="Y831" s="66" t="n">
        <v>1550</v>
      </c>
      <c r="Z831" s="7" t="inlineStr">
        <is>
          <t>Levage Expertise Ouest</t>
        </is>
      </c>
      <c r="AA831" s="70">
        <f>IF($A831="","",N(V831)+N(W831)+N(X831)+N(Y831))</f>
        <v/>
      </c>
      <c r="AB831" s="70">
        <f>IF($A831="","",N(S831)*'Paramètres'!$AA$9*IFERROR(INDEX('Paramètres'!$O$5:$O$7,MATCH(G831,'Paramètres'!$N$5:$N$7,0)),0))</f>
        <v/>
      </c>
      <c r="AC831" s="7" t="inlineStr">
        <is>
          <t>Clôturé</t>
        </is>
      </c>
      <c r="AD831" s="69">
        <f>IF(OR($A831="",Q831=""),"",(Q831-B831)*24)</f>
        <v/>
      </c>
      <c r="AE831" s="69">
        <f>IF(OR(Q831="",R831=""),"",(R831-Q831)*24)</f>
        <v/>
      </c>
      <c r="AF831" s="77">
        <f>IF(OR($A831="",B831=""),"",YEAR(B831))</f>
        <v/>
      </c>
      <c r="AG831" s="77">
        <f>IF(OR($A831="",B831=""),"",MONTH(B831))</f>
        <v/>
      </c>
    </row>
    <row r="832">
      <c r="A832" s="7" t="inlineStr">
        <is>
          <t>OT-2025-0828</t>
        </is>
      </c>
      <c r="B832" s="75" t="n">
        <v>46015.43055555555</v>
      </c>
      <c r="C832" s="7" t="inlineStr">
        <is>
          <t>Plan préventif</t>
        </is>
      </c>
      <c r="D832" s="7" t="inlineStr">
        <is>
          <t>EQ-ASS-001</t>
        </is>
      </c>
      <c r="E832" s="9">
        <f>IF(D832="","",IFERROR(INDEX('Équipements'!$B$5:$B$304,MATCH(D832,'Équipements'!$A$5:$A$304,0)),"Code inconnu"))</f>
        <v/>
      </c>
      <c r="F832" s="9">
        <f>IF(D832="","",IFERROR(INDEX('Équipements'!$D$5:$D$304,MATCH(D832,'Équipements'!$A$5:$A$304,0)),""))</f>
        <v/>
      </c>
      <c r="G832" s="9">
        <f>IF(D832="","",IFERROR(INDEX('Équipements'!$K$5:$K$304,MATCH(D832,'Équipements'!$A$5:$A$304,0)),""))</f>
        <v/>
      </c>
      <c r="H832" s="7" t="inlineStr">
        <is>
          <t>Préventif systématique</t>
        </is>
      </c>
      <c r="I832" s="7" t="inlineStr">
        <is>
          <t>GP-076</t>
        </is>
      </c>
      <c r="J832" s="7" t="inlineStr">
        <is>
          <t>Mécanique</t>
        </is>
      </c>
      <c r="K832" s="7" t="inlineStr">
        <is>
          <t>P3 - Normale</t>
        </is>
      </c>
      <c r="L832" s="7" t="inlineStr">
        <is>
          <t>Graissage chaîne / galets et contrôle tension</t>
        </is>
      </c>
      <c r="M832" s="7" t="n"/>
      <c r="N832" s="7" t="inlineStr">
        <is>
          <t>Gamme réalisée - petite fuite corrigée</t>
        </is>
      </c>
      <c r="O832" s="7" t="inlineStr">
        <is>
          <t>Lucas Fontaine</t>
        </is>
      </c>
      <c r="P832" s="65" t="n">
        <v>46022.38194444445</v>
      </c>
      <c r="Q832" s="75" t="n">
        <v>46022.51041666666</v>
      </c>
      <c r="R832" s="75" t="n">
        <v>46022.59375</v>
      </c>
      <c r="S832" s="76" t="n">
        <v>0</v>
      </c>
      <c r="T832" s="76" t="n">
        <v>2</v>
      </c>
      <c r="U832" s="70">
        <f>IF($A832="","",IFERROR(INDEX('Techniciens'!$F$5:$F$44,MATCH(O832,'Techniciens'!$B$5:$B$44,0)),'Paramètres'!$AA$10))</f>
        <v/>
      </c>
      <c r="V832" s="70">
        <f>IF($A832="","",IF(OR(AC832="Demandé",AC832="Planifié",AC832="Annulé"),0,N(T832)*N(U832)))</f>
        <v/>
      </c>
      <c r="W832" s="70">
        <f>IF($A832="","",SUMIFS('Mouvements stock'!$H$5:$H$3004,'Mouvements stock'!$I$5:$I$3004,$A832,'Mouvements stock'!$C$5:$C$3004,"Sortie")-SUMIFS('Mouvements stock'!$H$5:$H$3004,'Mouvements stock'!$I$5:$I$3004,$A832,'Mouvements stock'!$C$5:$C$3004,"Retour"))</f>
        <v/>
      </c>
      <c r="X832" s="66" t="n">
        <v>0</v>
      </c>
      <c r="Y832" s="66" t="n">
        <v>0</v>
      </c>
      <c r="Z832" s="7" t="n"/>
      <c r="AA832" s="70">
        <f>IF($A832="","",N(V832)+N(W832)+N(X832)+N(Y832))</f>
        <v/>
      </c>
      <c r="AB832" s="70">
        <f>IF($A832="","",N(S832)*'Paramètres'!$AA$9*IFERROR(INDEX('Paramètres'!$O$5:$O$7,MATCH(G832,'Paramètres'!$N$5:$N$7,0)),0))</f>
        <v/>
      </c>
      <c r="AC832" s="7" t="inlineStr">
        <is>
          <t>Clôturé</t>
        </is>
      </c>
      <c r="AD832" s="69">
        <f>IF(OR($A832="",Q832=""),"",(Q832-B832)*24)</f>
        <v/>
      </c>
      <c r="AE832" s="69">
        <f>IF(OR(Q832="",R832=""),"",(R832-Q832)*24)</f>
        <v/>
      </c>
      <c r="AF832" s="77">
        <f>IF(OR($A832="",B832=""),"",YEAR(B832))</f>
        <v/>
      </c>
      <c r="AG832" s="77">
        <f>IF(OR($A832="",B832=""),"",MONTH(B832))</f>
        <v/>
      </c>
    </row>
    <row r="833">
      <c r="A833" s="7" t="inlineStr">
        <is>
          <t>OT-2025-0829</t>
        </is>
      </c>
      <c r="B833" s="75" t="n">
        <v>46015.46527777778</v>
      </c>
      <c r="C833" s="7" t="inlineStr">
        <is>
          <t>Plan préventif</t>
        </is>
      </c>
      <c r="D833" s="7" t="inlineStr">
        <is>
          <t>EQ-LOG-001</t>
        </is>
      </c>
      <c r="E833" s="9">
        <f>IF(D833="","",IFERROR(INDEX('Équipements'!$B$5:$B$304,MATCH(D833,'Équipements'!$A$5:$A$304,0)),"Code inconnu"))</f>
        <v/>
      </c>
      <c r="F833" s="9">
        <f>IF(D833="","",IFERROR(INDEX('Équipements'!$D$5:$D$304,MATCH(D833,'Équipements'!$A$5:$A$304,0)),""))</f>
        <v/>
      </c>
      <c r="G833" s="9">
        <f>IF(D833="","",IFERROR(INDEX('Équipements'!$K$5:$K$304,MATCH(D833,'Équipements'!$A$5:$A$304,0)),""))</f>
        <v/>
      </c>
      <c r="H833" s="7" t="inlineStr">
        <is>
          <t>Préventif systématique</t>
        </is>
      </c>
      <c r="I833" s="7" t="inlineStr">
        <is>
          <t>GP-105</t>
        </is>
      </c>
      <c r="J833" s="7" t="inlineStr">
        <is>
          <t>Multi-technique</t>
        </is>
      </c>
      <c r="K833" s="7" t="inlineStr">
        <is>
          <t>P3 - Normale</t>
        </is>
      </c>
      <c r="L833" s="7" t="inlineStr">
        <is>
          <t>Entretien périodique constructeur</t>
        </is>
      </c>
      <c r="M833" s="7" t="n"/>
      <c r="N833" s="7" t="inlineStr">
        <is>
          <t>Gamme réalisée - RAS</t>
        </is>
      </c>
      <c r="O833" s="7" t="inlineStr">
        <is>
          <t>Antoine Mercier</t>
        </is>
      </c>
      <c r="P833" s="65" t="n">
        <v>46022.72569444445</v>
      </c>
      <c r="Q833" s="75" t="n">
        <v>46022.50694444445</v>
      </c>
      <c r="R833" s="75" t="n">
        <v>46022.69444444445</v>
      </c>
      <c r="S833" s="76" t="n">
        <v>0</v>
      </c>
      <c r="T833" s="76" t="n">
        <v>2</v>
      </c>
      <c r="U833" s="70">
        <f>IF($A833="","",IFERROR(INDEX('Techniciens'!$F$5:$F$44,MATCH(O833,'Techniciens'!$B$5:$B$44,0)),'Paramètres'!$AA$10))</f>
        <v/>
      </c>
      <c r="V833" s="70">
        <f>IF($A833="","",IF(OR(AC833="Demandé",AC833="Planifié",AC833="Annulé"),0,N(T833)*N(U833)))</f>
        <v/>
      </c>
      <c r="W833" s="70">
        <f>IF($A833="","",SUMIFS('Mouvements stock'!$H$5:$H$3004,'Mouvements stock'!$I$5:$I$3004,$A833,'Mouvements stock'!$C$5:$C$3004,"Sortie")-SUMIFS('Mouvements stock'!$H$5:$H$3004,'Mouvements stock'!$I$5:$I$3004,$A833,'Mouvements stock'!$C$5:$C$3004,"Retour"))</f>
        <v/>
      </c>
      <c r="X833" s="66" t="n">
        <v>0</v>
      </c>
      <c r="Y833" s="66" t="n">
        <v>410</v>
      </c>
      <c r="Z833" s="7" t="inlineStr">
        <is>
          <t>Manutention Services 44</t>
        </is>
      </c>
      <c r="AA833" s="70">
        <f>IF($A833="","",N(V833)+N(W833)+N(X833)+N(Y833))</f>
        <v/>
      </c>
      <c r="AB833" s="70">
        <f>IF($A833="","",N(S833)*'Paramètres'!$AA$9*IFERROR(INDEX('Paramètres'!$O$5:$O$7,MATCH(G833,'Paramètres'!$N$5:$N$7,0)),0))</f>
        <v/>
      </c>
      <c r="AC833" s="7" t="inlineStr">
        <is>
          <t>Clôturé</t>
        </is>
      </c>
      <c r="AD833" s="69">
        <f>IF(OR($A833="",Q833=""),"",(Q833-B833)*24)</f>
        <v/>
      </c>
      <c r="AE833" s="69">
        <f>IF(OR(Q833="",R833=""),"",(R833-Q833)*24)</f>
        <v/>
      </c>
      <c r="AF833" s="77">
        <f>IF(OR($A833="",B833=""),"",YEAR(B833))</f>
        <v/>
      </c>
      <c r="AG833" s="77">
        <f>IF(OR($A833="",B833=""),"",MONTH(B833))</f>
        <v/>
      </c>
    </row>
    <row r="834">
      <c r="A834" s="7" t="inlineStr">
        <is>
          <t>OT-2025-0830</t>
        </is>
      </c>
      <c r="B834" s="75" t="n">
        <v>46016.35416666666</v>
      </c>
      <c r="C834" s="7" t="inlineStr">
        <is>
          <t>Plan préventif</t>
        </is>
      </c>
      <c r="D834" s="7" t="inlineStr">
        <is>
          <t>EQ-USI-002</t>
        </is>
      </c>
      <c r="E834" s="9">
        <f>IF(D834="","",IFERROR(INDEX('Équipements'!$B$5:$B$304,MATCH(D834,'Équipements'!$A$5:$A$304,0)),"Code inconnu"))</f>
        <v/>
      </c>
      <c r="F834" s="9">
        <f>IF(D834="","",IFERROR(INDEX('Équipements'!$D$5:$D$304,MATCH(D834,'Équipements'!$A$5:$A$304,0)),""))</f>
        <v/>
      </c>
      <c r="G834" s="9">
        <f>IF(D834="","",IFERROR(INDEX('Équipements'!$K$5:$K$304,MATCH(D834,'Équipements'!$A$5:$A$304,0)),""))</f>
        <v/>
      </c>
      <c r="H834" s="7" t="inlineStr">
        <is>
          <t>Préventif systématique</t>
        </is>
      </c>
      <c r="I834" s="7" t="inlineStr">
        <is>
          <t>GP-007</t>
        </is>
      </c>
      <c r="J834" s="7" t="inlineStr">
        <is>
          <t>Hydraulique</t>
        </is>
      </c>
      <c r="K834" s="7" t="inlineStr">
        <is>
          <t>P3 - Normale</t>
        </is>
      </c>
      <c r="L834" s="7" t="inlineStr">
        <is>
          <t>Vidange groupe hydraulique et remplacement filtres</t>
        </is>
      </c>
      <c r="M834" s="7" t="n"/>
      <c r="N834" s="7" t="inlineStr">
        <is>
          <t>Gamme réalisée - usure constatée, à surveiller</t>
        </is>
      </c>
      <c r="O834" s="7" t="inlineStr">
        <is>
          <t>Antoine Mercier</t>
        </is>
      </c>
      <c r="P834" s="65" t="n">
        <v>46023.53472222222</v>
      </c>
      <c r="Q834" s="75" t="n">
        <v>46023.26388888889</v>
      </c>
      <c r="R834" s="75" t="n">
        <v>46023.48263888889</v>
      </c>
      <c r="S834" s="76" t="n">
        <v>0</v>
      </c>
      <c r="T834" s="76" t="n">
        <v>5.25</v>
      </c>
      <c r="U834" s="70">
        <f>IF($A834="","",IFERROR(INDEX('Techniciens'!$F$5:$F$44,MATCH(O834,'Techniciens'!$B$5:$B$44,0)),'Paramètres'!$AA$10))</f>
        <v/>
      </c>
      <c r="V834" s="70">
        <f>IF($A834="","",IF(OR(AC834="Demandé",AC834="Planifié",AC834="Annulé"),0,N(T834)*N(U834)))</f>
        <v/>
      </c>
      <c r="W834" s="70">
        <f>IF($A834="","",SUMIFS('Mouvements stock'!$H$5:$H$3004,'Mouvements stock'!$I$5:$I$3004,$A834,'Mouvements stock'!$C$5:$C$3004,"Sortie")-SUMIFS('Mouvements stock'!$H$5:$H$3004,'Mouvements stock'!$I$5:$I$3004,$A834,'Mouvements stock'!$C$5:$C$3004,"Retour"))</f>
        <v/>
      </c>
      <c r="X834" s="66" t="n">
        <v>0</v>
      </c>
      <c r="Y834" s="66" t="n">
        <v>0</v>
      </c>
      <c r="Z834" s="7" t="n"/>
      <c r="AA834" s="70">
        <f>IF($A834="","",N(V834)+N(W834)+N(X834)+N(Y834))</f>
        <v/>
      </c>
      <c r="AB834" s="70">
        <f>IF($A834="","",N(S834)*'Paramètres'!$AA$9*IFERROR(INDEX('Paramètres'!$O$5:$O$7,MATCH(G834,'Paramètres'!$N$5:$N$7,0)),0))</f>
        <v/>
      </c>
      <c r="AC834" s="7" t="inlineStr">
        <is>
          <t>Clôturé</t>
        </is>
      </c>
      <c r="AD834" s="69">
        <f>IF(OR($A834="",Q834=""),"",(Q834-B834)*24)</f>
        <v/>
      </c>
      <c r="AE834" s="69">
        <f>IF(OR(Q834="",R834=""),"",(R834-Q834)*24)</f>
        <v/>
      </c>
      <c r="AF834" s="77">
        <f>IF(OR($A834="",B834=""),"",YEAR(B834))</f>
        <v/>
      </c>
      <c r="AG834" s="77">
        <f>IF(OR($A834="",B834=""),"",MONTH(B834))</f>
        <v/>
      </c>
    </row>
    <row r="835">
      <c r="A835" s="7" t="inlineStr">
        <is>
          <t>OT-2025-0831</t>
        </is>
      </c>
      <c r="B835" s="75" t="n">
        <v>46016.36111111111</v>
      </c>
      <c r="C835" s="7" t="inlineStr">
        <is>
          <t>Plan préventif</t>
        </is>
      </c>
      <c r="D835" s="7" t="inlineStr">
        <is>
          <t>EQ-TOL-003</t>
        </is>
      </c>
      <c r="E835" s="9">
        <f>IF(D835="","",IFERROR(INDEX('Équipements'!$B$5:$B$304,MATCH(D835,'Équipements'!$A$5:$A$304,0)),"Code inconnu"))</f>
        <v/>
      </c>
      <c r="F835" s="9">
        <f>IF(D835="","",IFERROR(INDEX('Équipements'!$D$5:$D$304,MATCH(D835,'Équipements'!$A$5:$A$304,0)),""))</f>
        <v/>
      </c>
      <c r="G835" s="9">
        <f>IF(D835="","",IFERROR(INDEX('Équipements'!$K$5:$K$304,MATCH(D835,'Équipements'!$A$5:$A$304,0)),""))</f>
        <v/>
      </c>
      <c r="H835" s="7" t="inlineStr">
        <is>
          <t>Préventif systématique</t>
        </is>
      </c>
      <c r="I835" s="7" t="inlineStr">
        <is>
          <t>GP-044</t>
        </is>
      </c>
      <c r="J835" s="7" t="inlineStr">
        <is>
          <t>Hydraulique</t>
        </is>
      </c>
      <c r="K835" s="7" t="inlineStr">
        <is>
          <t>P3 - Normale</t>
        </is>
      </c>
      <c r="L835" s="7" t="inlineStr">
        <is>
          <t>Contrôle hydraulique : fuites, niveaux, pressions</t>
        </is>
      </c>
      <c r="M835" s="7" t="n"/>
      <c r="N835" s="7" t="inlineStr">
        <is>
          <t>Gamme réalisée - RAS</t>
        </is>
      </c>
      <c r="O835" s="7" t="inlineStr">
        <is>
          <t>Karim Benali</t>
        </is>
      </c>
      <c r="P835" s="65" t="n">
        <v>46023.48611111111</v>
      </c>
      <c r="Q835" s="75" t="n">
        <v>46023.54166666666</v>
      </c>
      <c r="R835" s="75" t="n">
        <v>46023.63541666666</v>
      </c>
      <c r="S835" s="76" t="n">
        <v>2.2</v>
      </c>
      <c r="T835" s="76" t="n">
        <v>2.25</v>
      </c>
      <c r="U835" s="70">
        <f>IF($A835="","",IFERROR(INDEX('Techniciens'!$F$5:$F$44,MATCH(O835,'Techniciens'!$B$5:$B$44,0)),'Paramètres'!$AA$10))</f>
        <v/>
      </c>
      <c r="V835" s="70">
        <f>IF($A835="","",IF(OR(AC835="Demandé",AC835="Planifié",AC835="Annulé"),0,N(T835)*N(U835)))</f>
        <v/>
      </c>
      <c r="W835" s="70">
        <f>IF($A835="","",SUMIFS('Mouvements stock'!$H$5:$H$3004,'Mouvements stock'!$I$5:$I$3004,$A835,'Mouvements stock'!$C$5:$C$3004,"Sortie")-SUMIFS('Mouvements stock'!$H$5:$H$3004,'Mouvements stock'!$I$5:$I$3004,$A835,'Mouvements stock'!$C$5:$C$3004,"Retour"))</f>
        <v/>
      </c>
      <c r="X835" s="66" t="n">
        <v>0</v>
      </c>
      <c r="Y835" s="66" t="n">
        <v>0</v>
      </c>
      <c r="Z835" s="7" t="n"/>
      <c r="AA835" s="70">
        <f>IF($A835="","",N(V835)+N(W835)+N(X835)+N(Y835))</f>
        <v/>
      </c>
      <c r="AB835" s="70">
        <f>IF($A835="","",N(S835)*'Paramètres'!$AA$9*IFERROR(INDEX('Paramètres'!$O$5:$O$7,MATCH(G835,'Paramètres'!$N$5:$N$7,0)),0))</f>
        <v/>
      </c>
      <c r="AC835" s="7" t="inlineStr">
        <is>
          <t>Clôturé</t>
        </is>
      </c>
      <c r="AD835" s="69">
        <f>IF(OR($A835="",Q835=""),"",(Q835-B835)*24)</f>
        <v/>
      </c>
      <c r="AE835" s="69">
        <f>IF(OR(Q835="",R835=""),"",(R835-Q835)*24)</f>
        <v/>
      </c>
      <c r="AF835" s="77">
        <f>IF(OR($A835="",B835=""),"",YEAR(B835))</f>
        <v/>
      </c>
      <c r="AG835" s="77">
        <f>IF(OR($A835="",B835=""),"",MONTH(B835))</f>
        <v/>
      </c>
    </row>
    <row r="836">
      <c r="A836" s="7" t="inlineStr">
        <is>
          <t>OT-2025-0832</t>
        </is>
      </c>
      <c r="B836" s="75" t="n">
        <v>46017.42708333334</v>
      </c>
      <c r="C836" s="7" t="inlineStr">
        <is>
          <t>Plan préventif</t>
        </is>
      </c>
      <c r="D836" s="7" t="inlineStr">
        <is>
          <t>EQ-ASS-006</t>
        </is>
      </c>
      <c r="E836" s="9">
        <f>IF(D836="","",IFERROR(INDEX('Équipements'!$B$5:$B$304,MATCH(D836,'Équipements'!$A$5:$A$304,0)),"Code inconnu"))</f>
        <v/>
      </c>
      <c r="F836" s="9">
        <f>IF(D836="","",IFERROR(INDEX('Équipements'!$D$5:$D$304,MATCH(D836,'Équipements'!$A$5:$A$304,0)),""))</f>
        <v/>
      </c>
      <c r="G836" s="9">
        <f>IF(D836="","",IFERROR(INDEX('Équipements'!$K$5:$K$304,MATCH(D836,'Équipements'!$A$5:$A$304,0)),""))</f>
        <v/>
      </c>
      <c r="H836" s="7" t="inlineStr">
        <is>
          <t>Préventif systématique</t>
        </is>
      </c>
      <c r="I836" s="7" t="inlineStr">
        <is>
          <t>GP-086</t>
        </is>
      </c>
      <c r="J836" s="7" t="inlineStr">
        <is>
          <t>Mécanique</t>
        </is>
      </c>
      <c r="K836" s="7" t="inlineStr">
        <is>
          <t>P3 - Normale</t>
        </is>
      </c>
      <c r="L836" s="7" t="inlineStr">
        <is>
          <t>Contrôle motoréducteurs et usure</t>
        </is>
      </c>
      <c r="M836" s="7" t="n"/>
      <c r="N836" s="7" t="inlineStr">
        <is>
          <t>Gamme réalisée - RAS</t>
        </is>
      </c>
      <c r="O836" s="7" t="inlineStr">
        <is>
          <t>Karim Benali</t>
        </is>
      </c>
      <c r="P836" s="65" t="n">
        <v>46024.5625</v>
      </c>
      <c r="Q836" s="75" t="n">
        <v>46024.54861111111</v>
      </c>
      <c r="R836" s="75" t="n">
        <v>46024.74652777778</v>
      </c>
      <c r="S836" s="76" t="n">
        <v>4.8</v>
      </c>
      <c r="T836" s="76" t="n">
        <v>4.75</v>
      </c>
      <c r="U836" s="70">
        <f>IF($A836="","",IFERROR(INDEX('Techniciens'!$F$5:$F$44,MATCH(O836,'Techniciens'!$B$5:$B$44,0)),'Paramètres'!$AA$10))</f>
        <v/>
      </c>
      <c r="V836" s="70">
        <f>IF($A836="","",IF(OR(AC836="Demandé",AC836="Planifié",AC836="Annulé"),0,N(T836)*N(U836)))</f>
        <v/>
      </c>
      <c r="W836" s="70">
        <f>IF($A836="","",SUMIFS('Mouvements stock'!$H$5:$H$3004,'Mouvements stock'!$I$5:$I$3004,$A836,'Mouvements stock'!$C$5:$C$3004,"Sortie")-SUMIFS('Mouvements stock'!$H$5:$H$3004,'Mouvements stock'!$I$5:$I$3004,$A836,'Mouvements stock'!$C$5:$C$3004,"Retour"))</f>
        <v/>
      </c>
      <c r="X836" s="66" t="n">
        <v>0</v>
      </c>
      <c r="Y836" s="66" t="n">
        <v>0</v>
      </c>
      <c r="Z836" s="7" t="n"/>
      <c r="AA836" s="70">
        <f>IF($A836="","",N(V836)+N(W836)+N(X836)+N(Y836))</f>
        <v/>
      </c>
      <c r="AB836" s="70">
        <f>IF($A836="","",N(S836)*'Paramètres'!$AA$9*IFERROR(INDEX('Paramètres'!$O$5:$O$7,MATCH(G836,'Paramètres'!$N$5:$N$7,0)),0))</f>
        <v/>
      </c>
      <c r="AC836" s="7" t="inlineStr">
        <is>
          <t>Clôturé</t>
        </is>
      </c>
      <c r="AD836" s="69">
        <f>IF(OR($A836="",Q836=""),"",(Q836-B836)*24)</f>
        <v/>
      </c>
      <c r="AE836" s="69">
        <f>IF(OR(Q836="",R836=""),"",(R836-Q836)*24)</f>
        <v/>
      </c>
      <c r="AF836" s="77">
        <f>IF(OR($A836="",B836=""),"",YEAR(B836))</f>
        <v/>
      </c>
      <c r="AG836" s="77">
        <f>IF(OR($A836="",B836=""),"",MONTH(B836))</f>
        <v/>
      </c>
    </row>
    <row r="837">
      <c r="A837" s="7" t="inlineStr">
        <is>
          <t>OT-2025-0833</t>
        </is>
      </c>
      <c r="B837" s="75" t="n">
        <v>46017.44791666666</v>
      </c>
      <c r="C837" s="7" t="inlineStr">
        <is>
          <t>Plan préventif</t>
        </is>
      </c>
      <c r="D837" s="7" t="inlineStr">
        <is>
          <t>EQ-USI-009</t>
        </is>
      </c>
      <c r="E837" s="9">
        <f>IF(D837="","",IFERROR(INDEX('Équipements'!$B$5:$B$304,MATCH(D837,'Équipements'!$A$5:$A$304,0)),"Code inconnu"))</f>
        <v/>
      </c>
      <c r="F837" s="9">
        <f>IF(D837="","",IFERROR(INDEX('Équipements'!$D$5:$D$304,MATCH(D837,'Équipements'!$A$5:$A$304,0)),""))</f>
        <v/>
      </c>
      <c r="G837" s="9">
        <f>IF(D837="","",IFERROR(INDEX('Équipements'!$K$5:$K$304,MATCH(D837,'Équipements'!$A$5:$A$304,0)),""))</f>
        <v/>
      </c>
      <c r="H837" s="7" t="inlineStr">
        <is>
          <t>Préventif systématique</t>
        </is>
      </c>
      <c r="I837" s="7" t="inlineStr">
        <is>
          <t>GP-030</t>
        </is>
      </c>
      <c r="J837" s="7" t="inlineStr">
        <is>
          <t>Mécanique</t>
        </is>
      </c>
      <c r="K837" s="7" t="inlineStr">
        <is>
          <t>P3 - Normale</t>
        </is>
      </c>
      <c r="L837" s="7" t="inlineStr">
        <is>
          <t>Contrôle lame, guides et liquide de coupe</t>
        </is>
      </c>
      <c r="M837" s="7" t="n"/>
      <c r="N837" s="7" t="inlineStr">
        <is>
          <t>Gamme réalisée - serrages repris</t>
        </is>
      </c>
      <c r="O837" s="7" t="inlineStr">
        <is>
          <t>Karim Benali</t>
        </is>
      </c>
      <c r="P837" s="65" t="n">
        <v>46024.60069444445</v>
      </c>
      <c r="Q837" s="75" t="n">
        <v>46024.4375</v>
      </c>
      <c r="R837" s="75" t="n">
        <v>46024.46875</v>
      </c>
      <c r="S837" s="76" t="n">
        <v>0.4</v>
      </c>
      <c r="T837" s="76" t="n">
        <v>0.75</v>
      </c>
      <c r="U837" s="70">
        <f>IF($A837="","",IFERROR(INDEX('Techniciens'!$F$5:$F$44,MATCH(O837,'Techniciens'!$B$5:$B$44,0)),'Paramètres'!$AA$10))</f>
        <v/>
      </c>
      <c r="V837" s="70">
        <f>IF($A837="","",IF(OR(AC837="Demandé",AC837="Planifié",AC837="Annulé"),0,N(T837)*N(U837)))</f>
        <v/>
      </c>
      <c r="W837" s="70">
        <f>IF($A837="","",SUMIFS('Mouvements stock'!$H$5:$H$3004,'Mouvements stock'!$I$5:$I$3004,$A837,'Mouvements stock'!$C$5:$C$3004,"Sortie")-SUMIFS('Mouvements stock'!$H$5:$H$3004,'Mouvements stock'!$I$5:$I$3004,$A837,'Mouvements stock'!$C$5:$C$3004,"Retour"))</f>
        <v/>
      </c>
      <c r="X837" s="66" t="n">
        <v>0</v>
      </c>
      <c r="Y837" s="66" t="n">
        <v>0</v>
      </c>
      <c r="Z837" s="7" t="n"/>
      <c r="AA837" s="70">
        <f>IF($A837="","",N(V837)+N(W837)+N(X837)+N(Y837))</f>
        <v/>
      </c>
      <c r="AB837" s="70">
        <f>IF($A837="","",N(S837)*'Paramètres'!$AA$9*IFERROR(INDEX('Paramètres'!$O$5:$O$7,MATCH(G837,'Paramètres'!$N$5:$N$7,0)),0))</f>
        <v/>
      </c>
      <c r="AC837" s="7" t="inlineStr">
        <is>
          <t>Clôturé</t>
        </is>
      </c>
      <c r="AD837" s="69">
        <f>IF(OR($A837="",Q837=""),"",(Q837-B837)*24)</f>
        <v/>
      </c>
      <c r="AE837" s="69">
        <f>IF(OR(Q837="",R837=""),"",(R837-Q837)*24)</f>
        <v/>
      </c>
      <c r="AF837" s="77">
        <f>IF(OR($A837="",B837=""),"",YEAR(B837))</f>
        <v/>
      </c>
      <c r="AG837" s="77">
        <f>IF(OR($A837="",B837=""),"",MONTH(B837))</f>
        <v/>
      </c>
    </row>
    <row r="838">
      <c r="A838" s="7" t="inlineStr">
        <is>
          <t>OT-2025-0834</t>
        </is>
      </c>
      <c r="B838" s="75" t="n">
        <v>46017.45833333334</v>
      </c>
      <c r="C838" s="7" t="inlineStr">
        <is>
          <t>Nadia Rousseau</t>
        </is>
      </c>
      <c r="D838" s="7" t="inlineStr">
        <is>
          <t>EQ-PEI-003</t>
        </is>
      </c>
      <c r="E838" s="9">
        <f>IF(D838="","",IFERROR(INDEX('Équipements'!$B$5:$B$304,MATCH(D838,'Équipements'!$A$5:$A$304,0)),"Code inconnu"))</f>
        <v/>
      </c>
      <c r="F838" s="9">
        <f>IF(D838="","",IFERROR(INDEX('Équipements'!$D$5:$D$304,MATCH(D838,'Équipements'!$A$5:$A$304,0)),""))</f>
        <v/>
      </c>
      <c r="G838" s="9">
        <f>IF(D838="","",IFERROR(INDEX('Équipements'!$K$5:$K$304,MATCH(D838,'Équipements'!$A$5:$A$304,0)),""))</f>
        <v/>
      </c>
      <c r="H838" s="7" t="inlineStr">
        <is>
          <t>Amélioratif</t>
        </is>
      </c>
      <c r="I838" s="7" t="n"/>
      <c r="J838" s="7" t="inlineStr">
        <is>
          <t>Mécanique</t>
        </is>
      </c>
      <c r="K838" s="7" t="inlineStr">
        <is>
          <t>P4 - Basse</t>
        </is>
      </c>
      <c r="L838" s="7" t="inlineStr">
        <is>
          <t>Calorifugeage porte du four (économies gaz)</t>
        </is>
      </c>
      <c r="M838" s="7" t="n"/>
      <c r="N838" s="7" t="inlineStr">
        <is>
          <t>Réalisé conformément au devis / dossier technique</t>
        </is>
      </c>
      <c r="O838" s="7" t="inlineStr">
        <is>
          <t>Antoine Mercier</t>
        </is>
      </c>
      <c r="P838" s="65" t="n">
        <v>46044</v>
      </c>
      <c r="Q838" s="75" t="n">
        <v>46044.35416666666</v>
      </c>
      <c r="R838" s="75" t="n">
        <v>46044.9375</v>
      </c>
      <c r="S838" s="76" t="n">
        <v>5</v>
      </c>
      <c r="T838" s="76" t="n">
        <v>10</v>
      </c>
      <c r="U838" s="70">
        <f>IF($A838="","",IFERROR(INDEX('Techniciens'!$F$5:$F$44,MATCH(O838,'Techniciens'!$B$5:$B$44,0)),'Paramètres'!$AA$10))</f>
        <v/>
      </c>
      <c r="V838" s="70">
        <f>IF($A838="","",IF(OR(AC838="Demandé",AC838="Planifié",AC838="Annulé"),0,N(T838)*N(U838)))</f>
        <v/>
      </c>
      <c r="W838" s="70">
        <f>IF($A838="","",SUMIFS('Mouvements stock'!$H$5:$H$3004,'Mouvements stock'!$I$5:$I$3004,$A838,'Mouvements stock'!$C$5:$C$3004,"Sortie")-SUMIFS('Mouvements stock'!$H$5:$H$3004,'Mouvements stock'!$I$5:$I$3004,$A838,'Mouvements stock'!$C$5:$C$3004,"Retour"))</f>
        <v/>
      </c>
      <c r="X838" s="66" t="n">
        <v>2100</v>
      </c>
      <c r="Y838" s="66" t="n">
        <v>0</v>
      </c>
      <c r="Z838" s="7" t="n"/>
      <c r="AA838" s="70">
        <f>IF($A838="","",N(V838)+N(W838)+N(X838)+N(Y838))</f>
        <v/>
      </c>
      <c r="AB838" s="70">
        <f>IF($A838="","",N(S838)*'Paramètres'!$AA$9*IFERROR(INDEX('Paramètres'!$O$5:$O$7,MATCH(G838,'Paramètres'!$N$5:$N$7,0)),0))</f>
        <v/>
      </c>
      <c r="AC838" s="7" t="inlineStr">
        <is>
          <t>Clôturé</t>
        </is>
      </c>
      <c r="AD838" s="69">
        <f>IF(OR($A838="",Q838=""),"",(Q838-B838)*24)</f>
        <v/>
      </c>
      <c r="AE838" s="69">
        <f>IF(OR(Q838="",R838=""),"",(R838-Q838)*24)</f>
        <v/>
      </c>
      <c r="AF838" s="77">
        <f>IF(OR($A838="",B838=""),"",YEAR(B838))</f>
        <v/>
      </c>
      <c r="AG838" s="77">
        <f>IF(OR($A838="",B838=""),"",MONTH(B838))</f>
        <v/>
      </c>
    </row>
    <row r="839">
      <c r="A839" s="7" t="inlineStr">
        <is>
          <t>OT-2025-0835</t>
        </is>
      </c>
      <c r="B839" s="75" t="n">
        <v>46018.72222222222</v>
      </c>
      <c r="C839" s="7" t="inlineStr">
        <is>
          <t>Opérateur peinture</t>
        </is>
      </c>
      <c r="D839" s="7" t="inlineStr">
        <is>
          <t>EQ-PEI-003</t>
        </is>
      </c>
      <c r="E839" s="9">
        <f>IF(D839="","",IFERROR(INDEX('Équipements'!$B$5:$B$304,MATCH(D839,'Équipements'!$A$5:$A$304,0)),"Code inconnu"))</f>
        <v/>
      </c>
      <c r="F839" s="9">
        <f>IF(D839="","",IFERROR(INDEX('Équipements'!$D$5:$D$304,MATCH(D839,'Équipements'!$A$5:$A$304,0)),""))</f>
        <v/>
      </c>
      <c r="G839" s="9">
        <f>IF(D839="","",IFERROR(INDEX('Équipements'!$K$5:$K$304,MATCH(D839,'Équipements'!$A$5:$A$304,0)),""))</f>
        <v/>
      </c>
      <c r="H839" s="7" t="inlineStr">
        <is>
          <t>Correctif</t>
        </is>
      </c>
      <c r="I839" s="7" t="n"/>
      <c r="J839" s="7" t="inlineStr">
        <is>
          <t>Mécanique</t>
        </is>
      </c>
      <c r="K839" s="7" t="inlineStr">
        <is>
          <t>P1 - Urgent</t>
        </is>
      </c>
      <c r="L839" s="7" t="inlineStr">
        <is>
          <t>Pompe de bain en défaut</t>
        </is>
      </c>
      <c r="M839" s="7" t="inlineStr">
        <is>
          <t>Usure</t>
        </is>
      </c>
      <c r="N839" s="7" t="inlineStr">
        <is>
          <t>Remplacement pompe</t>
        </is>
      </c>
      <c r="O839" s="7" t="inlineStr">
        <is>
          <t>Karim Benali</t>
        </is>
      </c>
      <c r="P839" s="65" t="n"/>
      <c r="Q839" s="75" t="n">
        <v>46018.74513888889</v>
      </c>
      <c r="R839" s="75" t="n">
        <v>46018.87013888889</v>
      </c>
      <c r="S839" s="76" t="n">
        <v>3.6</v>
      </c>
      <c r="T839" s="76" t="n">
        <v>3</v>
      </c>
      <c r="U839" s="70">
        <f>IF($A839="","",IFERROR(INDEX('Techniciens'!$F$5:$F$44,MATCH(O839,'Techniciens'!$B$5:$B$44,0)),'Paramètres'!$AA$10))</f>
        <v/>
      </c>
      <c r="V839" s="70">
        <f>IF($A839="","",IF(OR(AC839="Demandé",AC839="Planifié",AC839="Annulé"),0,N(T839)*N(U839)))</f>
        <v/>
      </c>
      <c r="W839" s="70">
        <f>IF($A839="","",SUMIFS('Mouvements stock'!$H$5:$H$3004,'Mouvements stock'!$I$5:$I$3004,$A839,'Mouvements stock'!$C$5:$C$3004,"Sortie")-SUMIFS('Mouvements stock'!$H$5:$H$3004,'Mouvements stock'!$I$5:$I$3004,$A839,'Mouvements stock'!$C$5:$C$3004,"Retour"))</f>
        <v/>
      </c>
      <c r="X839" s="66" t="n">
        <v>0</v>
      </c>
      <c r="Y839" s="66" t="n">
        <v>0</v>
      </c>
      <c r="Z839" s="7" t="n"/>
      <c r="AA839" s="70">
        <f>IF($A839="","",N(V839)+N(W839)+N(X839)+N(Y839))</f>
        <v/>
      </c>
      <c r="AB839" s="70">
        <f>IF($A839="","",N(S839)*'Paramètres'!$AA$9*IFERROR(INDEX('Paramètres'!$O$5:$O$7,MATCH(G839,'Paramètres'!$N$5:$N$7,0)),0))</f>
        <v/>
      </c>
      <c r="AC839" s="7" t="inlineStr">
        <is>
          <t>Clôturé</t>
        </is>
      </c>
      <c r="AD839" s="69">
        <f>IF(OR($A839="",Q839=""),"",(Q839-B839)*24)</f>
        <v/>
      </c>
      <c r="AE839" s="69">
        <f>IF(OR(Q839="",R839=""),"",(R839-Q839)*24)</f>
        <v/>
      </c>
      <c r="AF839" s="77">
        <f>IF(OR($A839="",B839=""),"",YEAR(B839))</f>
        <v/>
      </c>
      <c r="AG839" s="77">
        <f>IF(OR($A839="",B839=""),"",MONTH(B839))</f>
        <v/>
      </c>
    </row>
    <row r="840">
      <c r="A840" s="7" t="inlineStr">
        <is>
          <t>OT-2025-0836</t>
        </is>
      </c>
      <c r="B840" s="75" t="n">
        <v>46020.27083333334</v>
      </c>
      <c r="C840" s="7" t="inlineStr">
        <is>
          <t>Marc Lefèvre</t>
        </is>
      </c>
      <c r="D840" s="7" t="inlineStr">
        <is>
          <t>EQ-UTI-002</t>
        </is>
      </c>
      <c r="E840" s="9">
        <f>IF(D840="","",IFERROR(INDEX('Équipements'!$B$5:$B$304,MATCH(D840,'Équipements'!$A$5:$A$304,0)),"Code inconnu"))</f>
        <v/>
      </c>
      <c r="F840" s="9">
        <f>IF(D840="","",IFERROR(INDEX('Équipements'!$D$5:$D$304,MATCH(D840,'Équipements'!$A$5:$A$304,0)),""))</f>
        <v/>
      </c>
      <c r="G840" s="9">
        <f>IF(D840="","",IFERROR(INDEX('Équipements'!$K$5:$K$304,MATCH(D840,'Équipements'!$A$5:$A$304,0)),""))</f>
        <v/>
      </c>
      <c r="H840" s="7" t="inlineStr">
        <is>
          <t>Correctif</t>
        </is>
      </c>
      <c r="I840" s="7" t="n"/>
      <c r="J840" s="7" t="inlineStr">
        <is>
          <t>Pneumatique</t>
        </is>
      </c>
      <c r="K840" s="7" t="inlineStr">
        <is>
          <t>P2 - Haute</t>
        </is>
      </c>
      <c r="L840" s="7" t="inlineStr">
        <is>
          <t>Purgeur de condensats bloqué</t>
        </is>
      </c>
      <c r="M840" s="7" t="inlineStr">
        <is>
          <t>Encrassement</t>
        </is>
      </c>
      <c r="N840" s="7" t="inlineStr">
        <is>
          <t>Remplacement purgeur électronique</t>
        </is>
      </c>
      <c r="O840" s="7" t="inlineStr">
        <is>
          <t>Lucas Fontaine</t>
        </is>
      </c>
      <c r="P840" s="65" t="n"/>
      <c r="Q840" s="75" t="n">
        <v>46020.34791666667</v>
      </c>
      <c r="R840" s="75" t="n">
        <v>46020.41041666667</v>
      </c>
      <c r="S840" s="76" t="n">
        <v>0</v>
      </c>
      <c r="T840" s="76" t="n">
        <v>1.5</v>
      </c>
      <c r="U840" s="70">
        <f>IF($A840="","",IFERROR(INDEX('Techniciens'!$F$5:$F$44,MATCH(O840,'Techniciens'!$B$5:$B$44,0)),'Paramètres'!$AA$10))</f>
        <v/>
      </c>
      <c r="V840" s="70">
        <f>IF($A840="","",IF(OR(AC840="Demandé",AC840="Planifié",AC840="Annulé"),0,N(T840)*N(U840)))</f>
        <v/>
      </c>
      <c r="W840" s="70">
        <f>IF($A840="","",SUMIFS('Mouvements stock'!$H$5:$H$3004,'Mouvements stock'!$I$5:$I$3004,$A840,'Mouvements stock'!$C$5:$C$3004,"Sortie")-SUMIFS('Mouvements stock'!$H$5:$H$3004,'Mouvements stock'!$I$5:$I$3004,$A840,'Mouvements stock'!$C$5:$C$3004,"Retour"))</f>
        <v/>
      </c>
      <c r="X840" s="66" t="n">
        <v>0</v>
      </c>
      <c r="Y840" s="66" t="n">
        <v>0</v>
      </c>
      <c r="Z840" s="7" t="n"/>
      <c r="AA840" s="70">
        <f>IF($A840="","",N(V840)+N(W840)+N(X840)+N(Y840))</f>
        <v/>
      </c>
      <c r="AB840" s="70">
        <f>IF($A840="","",N(S840)*'Paramètres'!$AA$9*IFERROR(INDEX('Paramètres'!$O$5:$O$7,MATCH(G840,'Paramètres'!$N$5:$N$7,0)),0))</f>
        <v/>
      </c>
      <c r="AC840" s="7" t="inlineStr">
        <is>
          <t>Clôturé</t>
        </is>
      </c>
      <c r="AD840" s="69">
        <f>IF(OR($A840="",Q840=""),"",(Q840-B840)*24)</f>
        <v/>
      </c>
      <c r="AE840" s="69">
        <f>IF(OR(Q840="",R840=""),"",(R840-Q840)*24)</f>
        <v/>
      </c>
      <c r="AF840" s="77">
        <f>IF(OR($A840="",B840=""),"",YEAR(B840))</f>
        <v/>
      </c>
      <c r="AG840" s="77">
        <f>IF(OR($A840="",B840=""),"",MONTH(B840))</f>
        <v/>
      </c>
    </row>
    <row r="841">
      <c r="A841" s="7" t="inlineStr">
        <is>
          <t>OT-2025-0837</t>
        </is>
      </c>
      <c r="B841" s="75" t="n">
        <v>46020.34722222222</v>
      </c>
      <c r="C841" s="7" t="inlineStr">
        <is>
          <t>Plan préventif</t>
        </is>
      </c>
      <c r="D841" s="7" t="inlineStr">
        <is>
          <t>EQ-LOG-004</t>
        </is>
      </c>
      <c r="E841" s="9">
        <f>IF(D841="","",IFERROR(INDEX('Équipements'!$B$5:$B$304,MATCH(D841,'Équipements'!$A$5:$A$304,0)),"Code inconnu"))</f>
        <v/>
      </c>
      <c r="F841" s="9">
        <f>IF(D841="","",IFERROR(INDEX('Équipements'!$D$5:$D$304,MATCH(D841,'Équipements'!$A$5:$A$304,0)),""))</f>
        <v/>
      </c>
      <c r="G841" s="9">
        <f>IF(D841="","",IFERROR(INDEX('Équipements'!$K$5:$K$304,MATCH(D841,'Équipements'!$A$5:$A$304,0)),""))</f>
        <v/>
      </c>
      <c r="H841" s="7" t="inlineStr">
        <is>
          <t>Préventif systématique</t>
        </is>
      </c>
      <c r="I841" s="7" t="inlineStr">
        <is>
          <t>GP-112</t>
        </is>
      </c>
      <c r="J841" s="7" t="inlineStr">
        <is>
          <t>Mécanique</t>
        </is>
      </c>
      <c r="K841" s="7" t="inlineStr">
        <is>
          <t>P3 - Normale</t>
        </is>
      </c>
      <c r="L841" s="7" t="inlineStr">
        <is>
          <t>Contrôle batterie, niveaux et bandages</t>
        </is>
      </c>
      <c r="M841" s="7" t="n"/>
      <c r="N841" s="7" t="inlineStr">
        <is>
          <t>Gamme réalisée - RAS</t>
        </is>
      </c>
      <c r="O841" s="7" t="inlineStr">
        <is>
          <t>Karim Benali</t>
        </is>
      </c>
      <c r="P841" s="65" t="n">
        <v>46027.52083333334</v>
      </c>
      <c r="Q841" s="75" t="n">
        <v>46027.49305555555</v>
      </c>
      <c r="R841" s="75" t="n">
        <v>46027.52430555555</v>
      </c>
      <c r="S841" s="76" t="n">
        <v>0.8</v>
      </c>
      <c r="T841" s="76" t="n">
        <v>0.75</v>
      </c>
      <c r="U841" s="70">
        <f>IF($A841="","",IFERROR(INDEX('Techniciens'!$F$5:$F$44,MATCH(O841,'Techniciens'!$B$5:$B$44,0)),'Paramètres'!$AA$10))</f>
        <v/>
      </c>
      <c r="V841" s="70">
        <f>IF($A841="","",IF(OR(AC841="Demandé",AC841="Planifié",AC841="Annulé"),0,N(T841)*N(U841)))</f>
        <v/>
      </c>
      <c r="W841" s="70">
        <f>IF($A841="","",SUMIFS('Mouvements stock'!$H$5:$H$3004,'Mouvements stock'!$I$5:$I$3004,$A841,'Mouvements stock'!$C$5:$C$3004,"Sortie")-SUMIFS('Mouvements stock'!$H$5:$H$3004,'Mouvements stock'!$I$5:$I$3004,$A841,'Mouvements stock'!$C$5:$C$3004,"Retour"))</f>
        <v/>
      </c>
      <c r="X841" s="66" t="n">
        <v>0</v>
      </c>
      <c r="Y841" s="66" t="n">
        <v>0</v>
      </c>
      <c r="Z841" s="7" t="n"/>
      <c r="AA841" s="70">
        <f>IF($A841="","",N(V841)+N(W841)+N(X841)+N(Y841))</f>
        <v/>
      </c>
      <c r="AB841" s="70">
        <f>IF($A841="","",N(S841)*'Paramètres'!$AA$9*IFERROR(INDEX('Paramètres'!$O$5:$O$7,MATCH(G841,'Paramètres'!$N$5:$N$7,0)),0))</f>
        <v/>
      </c>
      <c r="AC841" s="7" t="inlineStr">
        <is>
          <t>Clôturé</t>
        </is>
      </c>
      <c r="AD841" s="69">
        <f>IF(OR($A841="",Q841=""),"",(Q841-B841)*24)</f>
        <v/>
      </c>
      <c r="AE841" s="69">
        <f>IF(OR(Q841="",R841=""),"",(R841-Q841)*24)</f>
        <v/>
      </c>
      <c r="AF841" s="77">
        <f>IF(OR($A841="",B841=""),"",YEAR(B841))</f>
        <v/>
      </c>
      <c r="AG841" s="77">
        <f>IF(OR($A841="",B841=""),"",MONTH(B841))</f>
        <v/>
      </c>
    </row>
    <row r="842">
      <c r="A842" s="7" t="inlineStr">
        <is>
          <t>OT-2025-0838</t>
        </is>
      </c>
      <c r="B842" s="75" t="n">
        <v>46020.34722222222</v>
      </c>
      <c r="C842" s="7" t="inlineStr">
        <is>
          <t>Planning réglementaire</t>
        </is>
      </c>
      <c r="D842" s="7" t="inlineStr">
        <is>
          <t>EQ-ASS-002</t>
        </is>
      </c>
      <c r="E842" s="9">
        <f>IF(D842="","",IFERROR(INDEX('Équipements'!$B$5:$B$304,MATCH(D842,'Équipements'!$A$5:$A$304,0)),"Code inconnu"))</f>
        <v/>
      </c>
      <c r="F842" s="9">
        <f>IF(D842="","",IFERROR(INDEX('Équipements'!$D$5:$D$304,MATCH(D842,'Équipements'!$A$5:$A$304,0)),""))</f>
        <v/>
      </c>
      <c r="G842" s="9">
        <f>IF(D842="","",IFERROR(INDEX('Équipements'!$K$5:$K$304,MATCH(D842,'Équipements'!$A$5:$A$304,0)),""))</f>
        <v/>
      </c>
      <c r="H842" s="7" t="inlineStr">
        <is>
          <t>Réglementaire</t>
        </is>
      </c>
      <c r="I842" s="7" t="inlineStr">
        <is>
          <t>CR-012</t>
        </is>
      </c>
      <c r="J842" s="7" t="inlineStr">
        <is>
          <t>Multi-technique</t>
        </is>
      </c>
      <c r="K842" s="7" t="inlineStr">
        <is>
          <t>P2 - Haute</t>
        </is>
      </c>
      <c r="L842" s="7" t="inlineStr">
        <is>
          <t>Vérification périodique presse hydraulique</t>
        </is>
      </c>
      <c r="M842" s="7" t="n"/>
      <c r="N842" s="7" t="inlineStr">
        <is>
          <t>Contrôle réalisé - aucune observation</t>
        </is>
      </c>
      <c r="O842" s="7" t="inlineStr">
        <is>
          <t>Nadia Rousseau</t>
        </is>
      </c>
      <c r="P842" s="65" t="n">
        <v>46041</v>
      </c>
      <c r="Q842" s="75" t="n">
        <v>46041.50694444445</v>
      </c>
      <c r="R842" s="75" t="n">
        <v>46041.57986111111</v>
      </c>
      <c r="S842" s="76" t="n">
        <v>1</v>
      </c>
      <c r="T842" s="76" t="n">
        <v>1.75</v>
      </c>
      <c r="U842" s="70">
        <f>IF($A842="","",IFERROR(INDEX('Techniciens'!$F$5:$F$44,MATCH(O842,'Techniciens'!$B$5:$B$44,0)),'Paramètres'!$AA$10))</f>
        <v/>
      </c>
      <c r="V842" s="70">
        <f>IF($A842="","",IF(OR(AC842="Demandé",AC842="Planifié",AC842="Annulé"),0,N(T842)*N(U842)))</f>
        <v/>
      </c>
      <c r="W842" s="70">
        <f>IF($A842="","",SUMIFS('Mouvements stock'!$H$5:$H$3004,'Mouvements stock'!$I$5:$I$3004,$A842,'Mouvements stock'!$C$5:$C$3004,"Sortie")-SUMIFS('Mouvements stock'!$H$5:$H$3004,'Mouvements stock'!$I$5:$I$3004,$A842,'Mouvements stock'!$C$5:$C$3004,"Retour"))</f>
        <v/>
      </c>
      <c r="X842" s="66" t="n">
        <v>0</v>
      </c>
      <c r="Y842" s="66" t="n">
        <v>190</v>
      </c>
      <c r="Z842" s="7" t="inlineStr">
        <is>
          <t>CONTROLIS (organisme fictif)</t>
        </is>
      </c>
      <c r="AA842" s="70">
        <f>IF($A842="","",N(V842)+N(W842)+N(X842)+N(Y842))</f>
        <v/>
      </c>
      <c r="AB842" s="70">
        <f>IF($A842="","",N(S842)*'Paramètres'!$AA$9*IFERROR(INDEX('Paramètres'!$O$5:$O$7,MATCH(G842,'Paramètres'!$N$5:$N$7,0)),0))</f>
        <v/>
      </c>
      <c r="AC842" s="7" t="inlineStr">
        <is>
          <t>Clôturé</t>
        </is>
      </c>
      <c r="AD842" s="69">
        <f>IF(OR($A842="",Q842=""),"",(Q842-B842)*24)</f>
        <v/>
      </c>
      <c r="AE842" s="69">
        <f>IF(OR(Q842="",R842=""),"",(R842-Q842)*24)</f>
        <v/>
      </c>
      <c r="AF842" s="77">
        <f>IF(OR($A842="",B842=""),"",YEAR(B842))</f>
        <v/>
      </c>
      <c r="AG842" s="77">
        <f>IF(OR($A842="",B842=""),"",MONTH(B842))</f>
        <v/>
      </c>
    </row>
    <row r="843">
      <c r="A843" s="7" t="inlineStr">
        <is>
          <t>OT-2025-0839</t>
        </is>
      </c>
      <c r="B843" s="75" t="n">
        <v>46020.38194444445</v>
      </c>
      <c r="C843" s="7" t="inlineStr">
        <is>
          <t>Plan préventif</t>
        </is>
      </c>
      <c r="D843" s="7" t="inlineStr">
        <is>
          <t>EQ-PEI-001</t>
        </is>
      </c>
      <c r="E843" s="9">
        <f>IF(D843="","",IFERROR(INDEX('Équipements'!$B$5:$B$304,MATCH(D843,'Équipements'!$A$5:$A$304,0)),"Code inconnu"))</f>
        <v/>
      </c>
      <c r="F843" s="9">
        <f>IF(D843="","",IFERROR(INDEX('Équipements'!$D$5:$D$304,MATCH(D843,'Équipements'!$A$5:$A$304,0)),""))</f>
        <v/>
      </c>
      <c r="G843" s="9">
        <f>IF(D843="","",IFERROR(INDEX('Équipements'!$K$5:$K$304,MATCH(D843,'Équipements'!$A$5:$A$304,0)),""))</f>
        <v/>
      </c>
      <c r="H843" s="7" t="inlineStr">
        <is>
          <t>Préventif systématique</t>
        </is>
      </c>
      <c r="I843" s="7" t="inlineStr">
        <is>
          <t>GP-066</t>
        </is>
      </c>
      <c r="J843" s="7" t="inlineStr">
        <is>
          <t>Mécanique</t>
        </is>
      </c>
      <c r="K843" s="7" t="inlineStr">
        <is>
          <t>P3 - Normale</t>
        </is>
      </c>
      <c r="L843" s="7" t="inlineStr">
        <is>
          <t>Nettoyage et remplacement des filtres</t>
        </is>
      </c>
      <c r="M843" s="7" t="n"/>
      <c r="N843" s="7" t="inlineStr">
        <is>
          <t>Gamme réalisée - RAS</t>
        </is>
      </c>
      <c r="O843" s="7" t="inlineStr">
        <is>
          <t>Lucas Fontaine</t>
        </is>
      </c>
      <c r="P843" s="65" t="n">
        <v>46027.71527777778</v>
      </c>
      <c r="Q843" s="75" t="n">
        <v>46027.36458333334</v>
      </c>
      <c r="R843" s="75" t="n">
        <v>46027.52083333334</v>
      </c>
      <c r="S843" s="76" t="n">
        <v>1.9</v>
      </c>
      <c r="T843" s="76" t="n">
        <v>3.75</v>
      </c>
      <c r="U843" s="70">
        <f>IF($A843="","",IFERROR(INDEX('Techniciens'!$F$5:$F$44,MATCH(O843,'Techniciens'!$B$5:$B$44,0)),'Paramètres'!$AA$10))</f>
        <v/>
      </c>
      <c r="V843" s="70">
        <f>IF($A843="","",IF(OR(AC843="Demandé",AC843="Planifié",AC843="Annulé"),0,N(T843)*N(U843)))</f>
        <v/>
      </c>
      <c r="W843" s="70">
        <f>IF($A843="","",SUMIFS('Mouvements stock'!$H$5:$H$3004,'Mouvements stock'!$I$5:$I$3004,$A843,'Mouvements stock'!$C$5:$C$3004,"Sortie")-SUMIFS('Mouvements stock'!$H$5:$H$3004,'Mouvements stock'!$I$5:$I$3004,$A843,'Mouvements stock'!$C$5:$C$3004,"Retour"))</f>
        <v/>
      </c>
      <c r="X843" s="66" t="n">
        <v>0</v>
      </c>
      <c r="Y843" s="66" t="n">
        <v>0</v>
      </c>
      <c r="Z843" s="7" t="n"/>
      <c r="AA843" s="70">
        <f>IF($A843="","",N(V843)+N(W843)+N(X843)+N(Y843))</f>
        <v/>
      </c>
      <c r="AB843" s="70">
        <f>IF($A843="","",N(S843)*'Paramètres'!$AA$9*IFERROR(INDEX('Paramètres'!$O$5:$O$7,MATCH(G843,'Paramètres'!$N$5:$N$7,0)),0))</f>
        <v/>
      </c>
      <c r="AC843" s="7" t="inlineStr">
        <is>
          <t>Clôturé</t>
        </is>
      </c>
      <c r="AD843" s="69">
        <f>IF(OR($A843="",Q843=""),"",(Q843-B843)*24)</f>
        <v/>
      </c>
      <c r="AE843" s="69">
        <f>IF(OR(Q843="",R843=""),"",(R843-Q843)*24)</f>
        <v/>
      </c>
      <c r="AF843" s="77">
        <f>IF(OR($A843="",B843=""),"",YEAR(B843))</f>
        <v/>
      </c>
      <c r="AG843" s="77">
        <f>IF(OR($A843="",B843=""),"",MONTH(B843))</f>
        <v/>
      </c>
    </row>
    <row r="844">
      <c r="A844" s="7" t="inlineStr">
        <is>
          <t>OT-2025-0840</t>
        </is>
      </c>
      <c r="B844" s="75" t="n">
        <v>46020.38541666666</v>
      </c>
      <c r="C844" s="7" t="inlineStr">
        <is>
          <t>Plan préventif</t>
        </is>
      </c>
      <c r="D844" s="7" t="inlineStr">
        <is>
          <t>EQ-PEI-005</t>
        </is>
      </c>
      <c r="E844" s="9">
        <f>IF(D844="","",IFERROR(INDEX('Équipements'!$B$5:$B$304,MATCH(D844,'Équipements'!$A$5:$A$304,0)),"Code inconnu"))</f>
        <v/>
      </c>
      <c r="F844" s="9">
        <f>IF(D844="","",IFERROR(INDEX('Équipements'!$D$5:$D$304,MATCH(D844,'Équipements'!$A$5:$A$304,0)),""))</f>
        <v/>
      </c>
      <c r="G844" s="9">
        <f>IF(D844="","",IFERROR(INDEX('Équipements'!$K$5:$K$304,MATCH(D844,'Équipements'!$A$5:$A$304,0)),""))</f>
        <v/>
      </c>
      <c r="H844" s="7" t="inlineStr">
        <is>
          <t>Préventif systématique</t>
        </is>
      </c>
      <c r="I844" s="7" t="inlineStr">
        <is>
          <t>GP-074</t>
        </is>
      </c>
      <c r="J844" s="7" t="inlineStr">
        <is>
          <t>Mécanique</t>
        </is>
      </c>
      <c r="K844" s="7" t="inlineStr">
        <is>
          <t>P3 - Normale</t>
        </is>
      </c>
      <c r="L844" s="7" t="inlineStr">
        <is>
          <t>Nettoyage et remplacement des filtres</t>
        </is>
      </c>
      <c r="M844" s="7" t="n"/>
      <c r="N844" s="7" t="inlineStr">
        <is>
          <t>Gamme réalisée - RAS</t>
        </is>
      </c>
      <c r="O844" s="7" t="inlineStr">
        <is>
          <t>Lucas Fontaine</t>
        </is>
      </c>
      <c r="P844" s="65" t="n">
        <v>46027.40625</v>
      </c>
      <c r="Q844" s="75" t="n">
        <v>46027.59027777778</v>
      </c>
      <c r="R844" s="75" t="n">
        <v>46027.74652777778</v>
      </c>
      <c r="S844" s="76" t="n">
        <v>1.9</v>
      </c>
      <c r="T844" s="76" t="n">
        <v>3.75</v>
      </c>
      <c r="U844" s="70">
        <f>IF($A844="","",IFERROR(INDEX('Techniciens'!$F$5:$F$44,MATCH(O844,'Techniciens'!$B$5:$B$44,0)),'Paramètres'!$AA$10))</f>
        <v/>
      </c>
      <c r="V844" s="70">
        <f>IF($A844="","",IF(OR(AC844="Demandé",AC844="Planifié",AC844="Annulé"),0,N(T844)*N(U844)))</f>
        <v/>
      </c>
      <c r="W844" s="70">
        <f>IF($A844="","",SUMIFS('Mouvements stock'!$H$5:$H$3004,'Mouvements stock'!$I$5:$I$3004,$A844,'Mouvements stock'!$C$5:$C$3004,"Sortie")-SUMIFS('Mouvements stock'!$H$5:$H$3004,'Mouvements stock'!$I$5:$I$3004,$A844,'Mouvements stock'!$C$5:$C$3004,"Retour"))</f>
        <v/>
      </c>
      <c r="X844" s="66" t="n">
        <v>0</v>
      </c>
      <c r="Y844" s="66" t="n">
        <v>0</v>
      </c>
      <c r="Z844" s="7" t="n"/>
      <c r="AA844" s="70">
        <f>IF($A844="","",N(V844)+N(W844)+N(X844)+N(Y844))</f>
        <v/>
      </c>
      <c r="AB844" s="70">
        <f>IF($A844="","",N(S844)*'Paramètres'!$AA$9*IFERROR(INDEX('Paramètres'!$O$5:$O$7,MATCH(G844,'Paramètres'!$N$5:$N$7,0)),0))</f>
        <v/>
      </c>
      <c r="AC844" s="7" t="inlineStr">
        <is>
          <t>Clôturé</t>
        </is>
      </c>
      <c r="AD844" s="69">
        <f>IF(OR($A844="",Q844=""),"",(Q844-B844)*24)</f>
        <v/>
      </c>
      <c r="AE844" s="69">
        <f>IF(OR(Q844="",R844=""),"",(R844-Q844)*24)</f>
        <v/>
      </c>
      <c r="AF844" s="77">
        <f>IF(OR($A844="",B844=""),"",YEAR(B844))</f>
        <v/>
      </c>
      <c r="AG844" s="77">
        <f>IF(OR($A844="",B844=""),"",MONTH(B844))</f>
        <v/>
      </c>
    </row>
    <row r="845">
      <c r="A845" s="7" t="inlineStr">
        <is>
          <t>OT-2025-0841</t>
        </is>
      </c>
      <c r="B845" s="75" t="n">
        <v>46020.40625</v>
      </c>
      <c r="C845" s="7" t="inlineStr">
        <is>
          <t>Plan préventif</t>
        </is>
      </c>
      <c r="D845" s="7" t="inlineStr">
        <is>
          <t>EQ-USI-007</t>
        </is>
      </c>
      <c r="E845" s="9">
        <f>IF(D845="","",IFERROR(INDEX('Équipements'!$B$5:$B$304,MATCH(D845,'Équipements'!$A$5:$A$304,0)),"Code inconnu"))</f>
        <v/>
      </c>
      <c r="F845" s="9">
        <f>IF(D845="","",IFERROR(INDEX('Équipements'!$D$5:$D$304,MATCH(D845,'Équipements'!$A$5:$A$304,0)),""))</f>
        <v/>
      </c>
      <c r="G845" s="9">
        <f>IF(D845="","",IFERROR(INDEX('Équipements'!$K$5:$K$304,MATCH(D845,'Équipements'!$A$5:$A$304,0)),""))</f>
        <v/>
      </c>
      <c r="H845" s="7" t="inlineStr">
        <is>
          <t>Préventif systématique</t>
        </is>
      </c>
      <c r="I845" s="7" t="inlineStr">
        <is>
          <t>GP-026</t>
        </is>
      </c>
      <c r="J845" s="7" t="inlineStr">
        <is>
          <t>Mécanique</t>
        </is>
      </c>
      <c r="K845" s="7" t="inlineStr">
        <is>
          <t>P3 - Normale</t>
        </is>
      </c>
      <c r="L845" s="7" t="inlineStr">
        <is>
          <t>Contrôle géométrie, jeux et graissage des axes</t>
        </is>
      </c>
      <c r="M845" s="7" t="n"/>
      <c r="N845" s="7" t="inlineStr">
        <is>
          <t>Gamme réalisée - RAS</t>
        </is>
      </c>
      <c r="O845" s="7" t="inlineStr">
        <is>
          <t>Karim Benali</t>
        </is>
      </c>
      <c r="P845" s="65" t="n">
        <v>46027.84722222222</v>
      </c>
      <c r="Q845" s="75" t="n">
        <v>46027.52777777778</v>
      </c>
      <c r="R845" s="75" t="n">
        <v>46027.78819444445</v>
      </c>
      <c r="S845" s="76" t="n">
        <v>6.2</v>
      </c>
      <c r="T845" s="76" t="n">
        <v>6.25</v>
      </c>
      <c r="U845" s="70">
        <f>IF($A845="","",IFERROR(INDEX('Techniciens'!$F$5:$F$44,MATCH(O845,'Techniciens'!$B$5:$B$44,0)),'Paramètres'!$AA$10))</f>
        <v/>
      </c>
      <c r="V845" s="70">
        <f>IF($A845="","",IF(OR(AC845="Demandé",AC845="Planifié",AC845="Annulé"),0,N(T845)*N(U845)))</f>
        <v/>
      </c>
      <c r="W845" s="70">
        <f>IF($A845="","",SUMIFS('Mouvements stock'!$H$5:$H$3004,'Mouvements stock'!$I$5:$I$3004,$A845,'Mouvements stock'!$C$5:$C$3004,"Sortie")-SUMIFS('Mouvements stock'!$H$5:$H$3004,'Mouvements stock'!$I$5:$I$3004,$A845,'Mouvements stock'!$C$5:$C$3004,"Retour"))</f>
        <v/>
      </c>
      <c r="X845" s="66" t="n">
        <v>0</v>
      </c>
      <c r="Y845" s="66" t="n">
        <v>0</v>
      </c>
      <c r="Z845" s="7" t="n"/>
      <c r="AA845" s="70">
        <f>IF($A845="","",N(V845)+N(W845)+N(X845)+N(Y845))</f>
        <v/>
      </c>
      <c r="AB845" s="70">
        <f>IF($A845="","",N(S845)*'Paramètres'!$AA$9*IFERROR(INDEX('Paramètres'!$O$5:$O$7,MATCH(G845,'Paramètres'!$N$5:$N$7,0)),0))</f>
        <v/>
      </c>
      <c r="AC845" s="7" t="inlineStr">
        <is>
          <t>Clôturé</t>
        </is>
      </c>
      <c r="AD845" s="69">
        <f>IF(OR($A845="",Q845=""),"",(Q845-B845)*24)</f>
        <v/>
      </c>
      <c r="AE845" s="69">
        <f>IF(OR(Q845="",R845=""),"",(R845-Q845)*24)</f>
        <v/>
      </c>
      <c r="AF845" s="77">
        <f>IF(OR($A845="",B845=""),"",YEAR(B845))</f>
        <v/>
      </c>
      <c r="AG845" s="77">
        <f>IF(OR($A845="",B845=""),"",MONTH(B845))</f>
        <v/>
      </c>
    </row>
    <row r="846">
      <c r="A846" s="7" t="inlineStr">
        <is>
          <t>OT-2025-0842</t>
        </is>
      </c>
      <c r="B846" s="75" t="n">
        <v>46020.45138888889</v>
      </c>
      <c r="C846" s="7" t="inlineStr">
        <is>
          <t>Plan préventif</t>
        </is>
      </c>
      <c r="D846" s="7" t="inlineStr">
        <is>
          <t>EQ-USI-003</t>
        </is>
      </c>
      <c r="E846" s="9">
        <f>IF(D846="","",IFERROR(INDEX('Équipements'!$B$5:$B$304,MATCH(D846,'Équipements'!$A$5:$A$304,0)),"Code inconnu"))</f>
        <v/>
      </c>
      <c r="F846" s="9">
        <f>IF(D846="","",IFERROR(INDEX('Équipements'!$D$5:$D$304,MATCH(D846,'Équipements'!$A$5:$A$304,0)),""))</f>
        <v/>
      </c>
      <c r="G846" s="9">
        <f>IF(D846="","",IFERROR(INDEX('Équipements'!$K$5:$K$304,MATCH(D846,'Équipements'!$A$5:$A$304,0)),""))</f>
        <v/>
      </c>
      <c r="H846" s="7" t="inlineStr">
        <is>
          <t>Préventif systématique</t>
        </is>
      </c>
      <c r="I846" s="7" t="inlineStr">
        <is>
          <t>GP-011</t>
        </is>
      </c>
      <c r="J846" s="7" t="inlineStr">
        <is>
          <t>Hydraulique</t>
        </is>
      </c>
      <c r="K846" s="7" t="inlineStr">
        <is>
          <t>P3 - Normale</t>
        </is>
      </c>
      <c r="L846" s="7" t="inlineStr">
        <is>
          <t>Vidange groupe hydraulique et remplacement filtres</t>
        </is>
      </c>
      <c r="M846" s="7" t="n"/>
      <c r="N846" s="7" t="inlineStr">
        <is>
          <t>Gamme réalisée - RAS</t>
        </is>
      </c>
      <c r="O846" s="7" t="inlineStr">
        <is>
          <t>Antoine Mercier</t>
        </is>
      </c>
      <c r="P846" s="65" t="n">
        <v>46027.72222222222</v>
      </c>
      <c r="Q846" s="75" t="n">
        <v>46027.52083333334</v>
      </c>
      <c r="R846" s="75" t="n">
        <v>46027.69791666666</v>
      </c>
      <c r="S846" s="76" t="n">
        <v>2.1</v>
      </c>
      <c r="T846" s="76" t="n">
        <v>4.25</v>
      </c>
      <c r="U846" s="70">
        <f>IF($A846="","",IFERROR(INDEX('Techniciens'!$F$5:$F$44,MATCH(O846,'Techniciens'!$B$5:$B$44,0)),'Paramètres'!$AA$10))</f>
        <v/>
      </c>
      <c r="V846" s="70">
        <f>IF($A846="","",IF(OR(AC846="Demandé",AC846="Planifié",AC846="Annulé"),0,N(T846)*N(U846)))</f>
        <v/>
      </c>
      <c r="W846" s="70">
        <f>IF($A846="","",SUMIFS('Mouvements stock'!$H$5:$H$3004,'Mouvements stock'!$I$5:$I$3004,$A846,'Mouvements stock'!$C$5:$C$3004,"Sortie")-SUMIFS('Mouvements stock'!$H$5:$H$3004,'Mouvements stock'!$I$5:$I$3004,$A846,'Mouvements stock'!$C$5:$C$3004,"Retour"))</f>
        <v/>
      </c>
      <c r="X846" s="66" t="n">
        <v>0</v>
      </c>
      <c r="Y846" s="66" t="n">
        <v>0</v>
      </c>
      <c r="Z846" s="7" t="n"/>
      <c r="AA846" s="70">
        <f>IF($A846="","",N(V846)+N(W846)+N(X846)+N(Y846))</f>
        <v/>
      </c>
      <c r="AB846" s="70">
        <f>IF($A846="","",N(S846)*'Paramètres'!$AA$9*IFERROR(INDEX('Paramètres'!$O$5:$O$7,MATCH(G846,'Paramètres'!$N$5:$N$7,0)),0))</f>
        <v/>
      </c>
      <c r="AC846" s="7" t="inlineStr">
        <is>
          <t>Clôturé</t>
        </is>
      </c>
      <c r="AD846" s="69">
        <f>IF(OR($A846="",Q846=""),"",(Q846-B846)*24)</f>
        <v/>
      </c>
      <c r="AE846" s="69">
        <f>IF(OR(Q846="",R846=""),"",(R846-Q846)*24)</f>
        <v/>
      </c>
      <c r="AF846" s="77">
        <f>IF(OR($A846="",B846=""),"",YEAR(B846))</f>
        <v/>
      </c>
      <c r="AG846" s="77">
        <f>IF(OR($A846="",B846=""),"",MONTH(B846))</f>
        <v/>
      </c>
    </row>
    <row r="847">
      <c r="A847" s="7" t="inlineStr">
        <is>
          <t>OT-2025-0843</t>
        </is>
      </c>
      <c r="B847" s="75" t="n">
        <v>46020.45833333334</v>
      </c>
      <c r="C847" s="7" t="inlineStr">
        <is>
          <t>Plan préventif</t>
        </is>
      </c>
      <c r="D847" s="7" t="inlineStr">
        <is>
          <t>EQ-PEI-003</t>
        </is>
      </c>
      <c r="E847" s="9">
        <f>IF(D847="","",IFERROR(INDEX('Équipements'!$B$5:$B$304,MATCH(D847,'Équipements'!$A$5:$A$304,0)),"Code inconnu"))</f>
        <v/>
      </c>
      <c r="F847" s="9">
        <f>IF(D847="","",IFERROR(INDEX('Équipements'!$D$5:$D$304,MATCH(D847,'Équipements'!$A$5:$A$304,0)),""))</f>
        <v/>
      </c>
      <c r="G847" s="9">
        <f>IF(D847="","",IFERROR(INDEX('Équipements'!$K$5:$K$304,MATCH(D847,'Équipements'!$A$5:$A$304,0)),""))</f>
        <v/>
      </c>
      <c r="H847" s="7" t="inlineStr">
        <is>
          <t>Préventif systématique</t>
        </is>
      </c>
      <c r="I847" s="7" t="inlineStr">
        <is>
          <t>GP-070</t>
        </is>
      </c>
      <c r="J847" s="7" t="inlineStr">
        <is>
          <t>Mécanique</t>
        </is>
      </c>
      <c r="K847" s="7" t="inlineStr">
        <is>
          <t>P3 - Normale</t>
        </is>
      </c>
      <c r="L847" s="7" t="inlineStr">
        <is>
          <t>Nettoyage et remplacement des filtres</t>
        </is>
      </c>
      <c r="M847" s="7" t="n"/>
      <c r="N847" s="7" t="inlineStr">
        <is>
          <t>Gamme réalisée - RAS</t>
        </is>
      </c>
      <c r="O847" s="7" t="inlineStr">
        <is>
          <t>Antoine Mercier</t>
        </is>
      </c>
      <c r="P847" s="65" t="n">
        <v>46027.6875</v>
      </c>
      <c r="Q847" s="75" t="n">
        <v>46027.58333333334</v>
      </c>
      <c r="R847" s="75" t="n">
        <v>46027.72916666666</v>
      </c>
      <c r="S847" s="76" t="n">
        <v>3.5</v>
      </c>
      <c r="T847" s="76" t="n">
        <v>3.5</v>
      </c>
      <c r="U847" s="70">
        <f>IF($A847="","",IFERROR(INDEX('Techniciens'!$F$5:$F$44,MATCH(O847,'Techniciens'!$B$5:$B$44,0)),'Paramètres'!$AA$10))</f>
        <v/>
      </c>
      <c r="V847" s="70">
        <f>IF($A847="","",IF(OR(AC847="Demandé",AC847="Planifié",AC847="Annulé"),0,N(T847)*N(U847)))</f>
        <v/>
      </c>
      <c r="W847" s="70">
        <f>IF($A847="","",SUMIFS('Mouvements stock'!$H$5:$H$3004,'Mouvements stock'!$I$5:$I$3004,$A847,'Mouvements stock'!$C$5:$C$3004,"Sortie")-SUMIFS('Mouvements stock'!$H$5:$H$3004,'Mouvements stock'!$I$5:$I$3004,$A847,'Mouvements stock'!$C$5:$C$3004,"Retour"))</f>
        <v/>
      </c>
      <c r="X847" s="66" t="n">
        <v>0</v>
      </c>
      <c r="Y847" s="66" t="n">
        <v>0</v>
      </c>
      <c r="Z847" s="7" t="n"/>
      <c r="AA847" s="70">
        <f>IF($A847="","",N(V847)+N(W847)+N(X847)+N(Y847))</f>
        <v/>
      </c>
      <c r="AB847" s="70">
        <f>IF($A847="","",N(S847)*'Paramètres'!$AA$9*IFERROR(INDEX('Paramètres'!$O$5:$O$7,MATCH(G847,'Paramètres'!$N$5:$N$7,0)),0))</f>
        <v/>
      </c>
      <c r="AC847" s="7" t="inlineStr">
        <is>
          <t>Clôturé</t>
        </is>
      </c>
      <c r="AD847" s="69">
        <f>IF(OR($A847="",Q847=""),"",(Q847-B847)*24)</f>
        <v/>
      </c>
      <c r="AE847" s="69">
        <f>IF(OR(Q847="",R847=""),"",(R847-Q847)*24)</f>
        <v/>
      </c>
      <c r="AF847" s="77">
        <f>IF(OR($A847="",B847=""),"",YEAR(B847))</f>
        <v/>
      </c>
      <c r="AG847" s="77">
        <f>IF(OR($A847="",B847=""),"",MONTH(B847))</f>
        <v/>
      </c>
    </row>
    <row r="848">
      <c r="A848" s="7" t="inlineStr">
        <is>
          <t>OT-2025-0844</t>
        </is>
      </c>
      <c r="B848" s="75" t="n">
        <v>46020.45833333334</v>
      </c>
      <c r="C848" s="7" t="inlineStr">
        <is>
          <t>Plan préventif</t>
        </is>
      </c>
      <c r="D848" s="7" t="inlineStr">
        <is>
          <t>EQ-UTI-009</t>
        </is>
      </c>
      <c r="E848" s="9">
        <f>IF(D848="","",IFERROR(INDEX('Équipements'!$B$5:$B$304,MATCH(D848,'Équipements'!$A$5:$A$304,0)),"Code inconnu"))</f>
        <v/>
      </c>
      <c r="F848" s="9">
        <f>IF(D848="","",IFERROR(INDEX('Équipements'!$D$5:$D$304,MATCH(D848,'Équipements'!$A$5:$A$304,0)),""))</f>
        <v/>
      </c>
      <c r="G848" s="9">
        <f>IF(D848="","",IFERROR(INDEX('Équipements'!$K$5:$K$304,MATCH(D848,'Équipements'!$A$5:$A$304,0)),""))</f>
        <v/>
      </c>
      <c r="H848" s="7" t="inlineStr">
        <is>
          <t>Préventif systématique</t>
        </is>
      </c>
      <c r="I848" s="7" t="inlineStr">
        <is>
          <t>GP-101</t>
        </is>
      </c>
      <c r="J848" s="7" t="inlineStr">
        <is>
          <t>Électrique</t>
        </is>
      </c>
      <c r="K848" s="7" t="inlineStr">
        <is>
          <t>P3 - Normale</t>
        </is>
      </c>
      <c r="L848" s="7" t="inlineStr">
        <is>
          <t>Étalonnage des sondes pH / redox</t>
        </is>
      </c>
      <c r="M848" s="7" t="n"/>
      <c r="N848" s="7" t="inlineStr">
        <is>
          <t>Gamme réalisée - RAS</t>
        </is>
      </c>
      <c r="O848" s="7" t="inlineStr">
        <is>
          <t>Thomas Petit</t>
        </is>
      </c>
      <c r="P848" s="65" t="n">
        <v>46027.49652777778</v>
      </c>
      <c r="Q848" s="75" t="n">
        <v>46027.25694444445</v>
      </c>
      <c r="R848" s="75" t="n">
        <v>46027.31944444445</v>
      </c>
      <c r="S848" s="76" t="n">
        <v>0</v>
      </c>
      <c r="T848" s="76" t="n">
        <v>1.5</v>
      </c>
      <c r="U848" s="70">
        <f>IF($A848="","",IFERROR(INDEX('Techniciens'!$F$5:$F$44,MATCH(O848,'Techniciens'!$B$5:$B$44,0)),'Paramètres'!$AA$10))</f>
        <v/>
      </c>
      <c r="V848" s="70">
        <f>IF($A848="","",IF(OR(AC848="Demandé",AC848="Planifié",AC848="Annulé"),0,N(T848)*N(U848)))</f>
        <v/>
      </c>
      <c r="W848" s="70">
        <f>IF($A848="","",SUMIFS('Mouvements stock'!$H$5:$H$3004,'Mouvements stock'!$I$5:$I$3004,$A848,'Mouvements stock'!$C$5:$C$3004,"Sortie")-SUMIFS('Mouvements stock'!$H$5:$H$3004,'Mouvements stock'!$I$5:$I$3004,$A848,'Mouvements stock'!$C$5:$C$3004,"Retour"))</f>
        <v/>
      </c>
      <c r="X848" s="66" t="n">
        <v>0</v>
      </c>
      <c r="Y848" s="66" t="n">
        <v>0</v>
      </c>
      <c r="Z848" s="7" t="n"/>
      <c r="AA848" s="70">
        <f>IF($A848="","",N(V848)+N(W848)+N(X848)+N(Y848))</f>
        <v/>
      </c>
      <c r="AB848" s="70">
        <f>IF($A848="","",N(S848)*'Paramètres'!$AA$9*IFERROR(INDEX('Paramètres'!$O$5:$O$7,MATCH(G848,'Paramètres'!$N$5:$N$7,0)),0))</f>
        <v/>
      </c>
      <c r="AC848" s="7" t="inlineStr">
        <is>
          <t>Clôturé</t>
        </is>
      </c>
      <c r="AD848" s="69">
        <f>IF(OR($A848="",Q848=""),"",(Q848-B848)*24)</f>
        <v/>
      </c>
      <c r="AE848" s="69">
        <f>IF(OR(Q848="",R848=""),"",(R848-Q848)*24)</f>
        <v/>
      </c>
      <c r="AF848" s="77">
        <f>IF(OR($A848="",B848=""),"",YEAR(B848))</f>
        <v/>
      </c>
      <c r="AG848" s="77">
        <f>IF(OR($A848="",B848=""),"",MONTH(B848))</f>
        <v/>
      </c>
    </row>
    <row r="849">
      <c r="A849" s="7" t="inlineStr">
        <is>
          <t>OT-2025-0845</t>
        </is>
      </c>
      <c r="B849" s="75" t="n">
        <v>46020.47916666666</v>
      </c>
      <c r="C849" s="7" t="inlineStr">
        <is>
          <t>Plan préventif</t>
        </is>
      </c>
      <c r="D849" s="7" t="inlineStr">
        <is>
          <t>EQ-SOU-001</t>
        </is>
      </c>
      <c r="E849" s="9">
        <f>IF(D849="","",IFERROR(INDEX('Équipements'!$B$5:$B$304,MATCH(D849,'Équipements'!$A$5:$A$304,0)),"Code inconnu"))</f>
        <v/>
      </c>
      <c r="F849" s="9">
        <f>IF(D849="","",IFERROR(INDEX('Équipements'!$D$5:$D$304,MATCH(D849,'Équipements'!$A$5:$A$304,0)),""))</f>
        <v/>
      </c>
      <c r="G849" s="9">
        <f>IF(D849="","",IFERROR(INDEX('Équipements'!$K$5:$K$304,MATCH(D849,'Équipements'!$A$5:$A$304,0)),""))</f>
        <v/>
      </c>
      <c r="H849" s="7" t="inlineStr">
        <is>
          <t>Préventif systématique</t>
        </is>
      </c>
      <c r="I849" s="7" t="inlineStr">
        <is>
          <t>GP-058</t>
        </is>
      </c>
      <c r="J849" s="7" t="inlineStr">
        <is>
          <t>Mécanique</t>
        </is>
      </c>
      <c r="K849" s="7" t="inlineStr">
        <is>
          <t>P3 - Normale</t>
        </is>
      </c>
      <c r="L849" s="7" t="inlineStr">
        <is>
          <t>Nettoyage torche et contrôle faisceau</t>
        </is>
      </c>
      <c r="M849" s="7" t="n"/>
      <c r="N849" s="7" t="inlineStr">
        <is>
          <t>Gamme réalisée - RAS</t>
        </is>
      </c>
      <c r="O849" s="7" t="inlineStr">
        <is>
          <t>Lucas Fontaine</t>
        </is>
      </c>
      <c r="P849" s="65" t="n">
        <v>46027.44791666666</v>
      </c>
      <c r="Q849" s="75" t="n">
        <v>46027.52777777778</v>
      </c>
      <c r="R849" s="75" t="n">
        <v>46027.55902777778</v>
      </c>
      <c r="S849" s="76" t="n">
        <v>0.8</v>
      </c>
      <c r="T849" s="76" t="n">
        <v>0.75</v>
      </c>
      <c r="U849" s="70">
        <f>IF($A849="","",IFERROR(INDEX('Techniciens'!$F$5:$F$44,MATCH(O849,'Techniciens'!$B$5:$B$44,0)),'Paramètres'!$AA$10))</f>
        <v/>
      </c>
      <c r="V849" s="70">
        <f>IF($A849="","",IF(OR(AC849="Demandé",AC849="Planifié",AC849="Annulé"),0,N(T849)*N(U849)))</f>
        <v/>
      </c>
      <c r="W849" s="70">
        <f>IF($A849="","",SUMIFS('Mouvements stock'!$H$5:$H$3004,'Mouvements stock'!$I$5:$I$3004,$A849,'Mouvements stock'!$C$5:$C$3004,"Sortie")-SUMIFS('Mouvements stock'!$H$5:$H$3004,'Mouvements stock'!$I$5:$I$3004,$A849,'Mouvements stock'!$C$5:$C$3004,"Retour"))</f>
        <v/>
      </c>
      <c r="X849" s="66" t="n">
        <v>0</v>
      </c>
      <c r="Y849" s="66" t="n">
        <v>0</v>
      </c>
      <c r="Z849" s="7" t="n"/>
      <c r="AA849" s="70">
        <f>IF($A849="","",N(V849)+N(W849)+N(X849)+N(Y849))</f>
        <v/>
      </c>
      <c r="AB849" s="70">
        <f>IF($A849="","",N(S849)*'Paramètres'!$AA$9*IFERROR(INDEX('Paramètres'!$O$5:$O$7,MATCH(G849,'Paramètres'!$N$5:$N$7,0)),0))</f>
        <v/>
      </c>
      <c r="AC849" s="7" t="inlineStr">
        <is>
          <t>Clôturé</t>
        </is>
      </c>
      <c r="AD849" s="69">
        <f>IF(OR($A849="",Q849=""),"",(Q849-B849)*24)</f>
        <v/>
      </c>
      <c r="AE849" s="69">
        <f>IF(OR(Q849="",R849=""),"",(R849-Q849)*24)</f>
        <v/>
      </c>
      <c r="AF849" s="77">
        <f>IF(OR($A849="",B849=""),"",YEAR(B849))</f>
        <v/>
      </c>
      <c r="AG849" s="77">
        <f>IF(OR($A849="",B849=""),"",MONTH(B849))</f>
        <v/>
      </c>
    </row>
    <row r="850">
      <c r="A850" s="7" t="inlineStr">
        <is>
          <t>OT-2025-0846</t>
        </is>
      </c>
      <c r="B850" s="75" t="n">
        <v>46020.49305555555</v>
      </c>
      <c r="C850" s="7" t="inlineStr">
        <is>
          <t>Plan préventif</t>
        </is>
      </c>
      <c r="D850" s="7" t="inlineStr">
        <is>
          <t>EQ-UTI-001</t>
        </is>
      </c>
      <c r="E850" s="9">
        <f>IF(D850="","",IFERROR(INDEX('Équipements'!$B$5:$B$304,MATCH(D850,'Équipements'!$A$5:$A$304,0)),"Code inconnu"))</f>
        <v/>
      </c>
      <c r="F850" s="9">
        <f>IF(D850="","",IFERROR(INDEX('Équipements'!$D$5:$D$304,MATCH(D850,'Équipements'!$A$5:$A$304,0)),""))</f>
        <v/>
      </c>
      <c r="G850" s="9">
        <f>IF(D850="","",IFERROR(INDEX('Équipements'!$K$5:$K$304,MATCH(D850,'Équipements'!$A$5:$A$304,0)),""))</f>
        <v/>
      </c>
      <c r="H850" s="7" t="inlineStr">
        <is>
          <t>Préventif systématique</t>
        </is>
      </c>
      <c r="I850" s="7" t="inlineStr">
        <is>
          <t>GP-088</t>
        </is>
      </c>
      <c r="J850" s="7" t="inlineStr">
        <is>
          <t>Pneumatique</t>
        </is>
      </c>
      <c r="K850" s="7" t="inlineStr">
        <is>
          <t>P3 - Normale</t>
        </is>
      </c>
      <c r="L850" s="7" t="inlineStr">
        <is>
          <t>Purge, contrôle fuites et point de rosée</t>
        </is>
      </c>
      <c r="M850" s="7" t="n"/>
      <c r="N850" s="7" t="inlineStr">
        <is>
          <t>Gamme réalisée - RAS</t>
        </is>
      </c>
      <c r="O850" s="7" t="inlineStr">
        <is>
          <t>Julien Moreau</t>
        </is>
      </c>
      <c r="P850" s="65" t="n">
        <v>46027.49305555555</v>
      </c>
      <c r="Q850" s="75" t="n">
        <v>46027.56944444445</v>
      </c>
      <c r="R850" s="75" t="n">
        <v>46027.62152777778</v>
      </c>
      <c r="S850" s="76" t="n">
        <v>0</v>
      </c>
      <c r="T850" s="76" t="n">
        <v>1.25</v>
      </c>
      <c r="U850" s="70">
        <f>IF($A850="","",IFERROR(INDEX('Techniciens'!$F$5:$F$44,MATCH(O850,'Techniciens'!$B$5:$B$44,0)),'Paramètres'!$AA$10))</f>
        <v/>
      </c>
      <c r="V850" s="70">
        <f>IF($A850="","",IF(OR(AC850="Demandé",AC850="Planifié",AC850="Annulé"),0,N(T850)*N(U850)))</f>
        <v/>
      </c>
      <c r="W850" s="70">
        <f>IF($A850="","",SUMIFS('Mouvements stock'!$H$5:$H$3004,'Mouvements stock'!$I$5:$I$3004,$A850,'Mouvements stock'!$C$5:$C$3004,"Sortie")-SUMIFS('Mouvements stock'!$H$5:$H$3004,'Mouvements stock'!$I$5:$I$3004,$A850,'Mouvements stock'!$C$5:$C$3004,"Retour"))</f>
        <v/>
      </c>
      <c r="X850" s="66" t="n">
        <v>0</v>
      </c>
      <c r="Y850" s="66" t="n">
        <v>0</v>
      </c>
      <c r="Z850" s="7" t="n"/>
      <c r="AA850" s="70">
        <f>IF($A850="","",N(V850)+N(W850)+N(X850)+N(Y850))</f>
        <v/>
      </c>
      <c r="AB850" s="70">
        <f>IF($A850="","",N(S850)*'Paramètres'!$AA$9*IFERROR(INDEX('Paramètres'!$O$5:$O$7,MATCH(G850,'Paramètres'!$N$5:$N$7,0)),0))</f>
        <v/>
      </c>
      <c r="AC850" s="7" t="inlineStr">
        <is>
          <t>Clôturé</t>
        </is>
      </c>
      <c r="AD850" s="69">
        <f>IF(OR($A850="",Q850=""),"",(Q850-B850)*24)</f>
        <v/>
      </c>
      <c r="AE850" s="69">
        <f>IF(OR(Q850="",R850=""),"",(R850-Q850)*24)</f>
        <v/>
      </c>
      <c r="AF850" s="77">
        <f>IF(OR($A850="",B850=""),"",YEAR(B850))</f>
        <v/>
      </c>
      <c r="AG850" s="77">
        <f>IF(OR($A850="",B850=""),"",MONTH(B850))</f>
        <v/>
      </c>
    </row>
    <row r="851">
      <c r="A851" s="7" t="inlineStr">
        <is>
          <t>OT-2025-0847</t>
        </is>
      </c>
      <c r="B851" s="75" t="n">
        <v>46021.34375</v>
      </c>
      <c r="C851" s="7" t="inlineStr">
        <is>
          <t>Plan préventif</t>
        </is>
      </c>
      <c r="D851" s="7" t="inlineStr">
        <is>
          <t>EQ-PEI-002</t>
        </is>
      </c>
      <c r="E851" s="9">
        <f>IF(D851="","",IFERROR(INDEX('Équipements'!$B$5:$B$304,MATCH(D851,'Équipements'!$A$5:$A$304,0)),"Code inconnu"))</f>
        <v/>
      </c>
      <c r="F851" s="9">
        <f>IF(D851="","",IFERROR(INDEX('Équipements'!$D$5:$D$304,MATCH(D851,'Équipements'!$A$5:$A$304,0)),""))</f>
        <v/>
      </c>
      <c r="G851" s="9">
        <f>IF(D851="","",IFERROR(INDEX('Équipements'!$K$5:$K$304,MATCH(D851,'Équipements'!$A$5:$A$304,0)),""))</f>
        <v/>
      </c>
      <c r="H851" s="7" t="inlineStr">
        <is>
          <t>Préventif systématique</t>
        </is>
      </c>
      <c r="I851" s="7" t="inlineStr">
        <is>
          <t>GP-068</t>
        </is>
      </c>
      <c r="J851" s="7" t="inlineStr">
        <is>
          <t>Mécanique</t>
        </is>
      </c>
      <c r="K851" s="7" t="inlineStr">
        <is>
          <t>P3 - Normale</t>
        </is>
      </c>
      <c r="L851" s="7" t="inlineStr">
        <is>
          <t>Nettoyage et remplacement des filtres</t>
        </is>
      </c>
      <c r="M851" s="7" t="n"/>
      <c r="N851" s="7" t="inlineStr">
        <is>
          <t>Gamme réalisée - RAS</t>
        </is>
      </c>
      <c r="O851" s="7" t="inlineStr">
        <is>
          <t>Karim Benali</t>
        </is>
      </c>
      <c r="P851" s="65" t="n">
        <v>46028.52777777778</v>
      </c>
      <c r="Q851" s="75" t="n">
        <v>46028.51388888889</v>
      </c>
      <c r="R851" s="75" t="n">
        <v>46028.62847222222</v>
      </c>
      <c r="S851" s="76" t="n">
        <v>1.4</v>
      </c>
      <c r="T851" s="76" t="n">
        <v>2.75</v>
      </c>
      <c r="U851" s="70">
        <f>IF($A851="","",IFERROR(INDEX('Techniciens'!$F$5:$F$44,MATCH(O851,'Techniciens'!$B$5:$B$44,0)),'Paramètres'!$AA$10))</f>
        <v/>
      </c>
      <c r="V851" s="70">
        <f>IF($A851="","",IF(OR(AC851="Demandé",AC851="Planifié",AC851="Annulé"),0,N(T851)*N(U851)))</f>
        <v/>
      </c>
      <c r="W851" s="70">
        <f>IF($A851="","",SUMIFS('Mouvements stock'!$H$5:$H$3004,'Mouvements stock'!$I$5:$I$3004,$A851,'Mouvements stock'!$C$5:$C$3004,"Sortie")-SUMIFS('Mouvements stock'!$H$5:$H$3004,'Mouvements stock'!$I$5:$I$3004,$A851,'Mouvements stock'!$C$5:$C$3004,"Retour"))</f>
        <v/>
      </c>
      <c r="X851" s="66" t="n">
        <v>0</v>
      </c>
      <c r="Y851" s="66" t="n">
        <v>0</v>
      </c>
      <c r="Z851" s="7" t="n"/>
      <c r="AA851" s="70">
        <f>IF($A851="","",N(V851)+N(W851)+N(X851)+N(Y851))</f>
        <v/>
      </c>
      <c r="AB851" s="70">
        <f>IF($A851="","",N(S851)*'Paramètres'!$AA$9*IFERROR(INDEX('Paramètres'!$O$5:$O$7,MATCH(G851,'Paramètres'!$N$5:$N$7,0)),0))</f>
        <v/>
      </c>
      <c r="AC851" s="7" t="inlineStr">
        <is>
          <t>Clôturé</t>
        </is>
      </c>
      <c r="AD851" s="69">
        <f>IF(OR($A851="",Q851=""),"",(Q851-B851)*24)</f>
        <v/>
      </c>
      <c r="AE851" s="69">
        <f>IF(OR(Q851="",R851=""),"",(R851-Q851)*24)</f>
        <v/>
      </c>
      <c r="AF851" s="77">
        <f>IF(OR($A851="",B851=""),"",YEAR(B851))</f>
        <v/>
      </c>
      <c r="AG851" s="77">
        <f>IF(OR($A851="",B851=""),"",MONTH(B851))</f>
        <v/>
      </c>
    </row>
    <row r="852">
      <c r="A852" s="7" t="inlineStr">
        <is>
          <t>OT-2025-0848</t>
        </is>
      </c>
      <c r="B852" s="75" t="n">
        <v>46021.47916666666</v>
      </c>
      <c r="C852" s="7" t="inlineStr">
        <is>
          <t>Plan préventif</t>
        </is>
      </c>
      <c r="D852" s="7" t="inlineStr">
        <is>
          <t>EQ-TOL-002</t>
        </is>
      </c>
      <c r="E852" s="9">
        <f>IF(D852="","",IFERROR(INDEX('Équipements'!$B$5:$B$304,MATCH(D852,'Équipements'!$A$5:$A$304,0)),"Code inconnu"))</f>
        <v/>
      </c>
      <c r="F852" s="9">
        <f>IF(D852="","",IFERROR(INDEX('Équipements'!$D$5:$D$304,MATCH(D852,'Équipements'!$A$5:$A$304,0)),""))</f>
        <v/>
      </c>
      <c r="G852" s="9">
        <f>IF(D852="","",IFERROR(INDEX('Équipements'!$K$5:$K$304,MATCH(D852,'Équipements'!$A$5:$A$304,0)),""))</f>
        <v/>
      </c>
      <c r="H852" s="7" t="inlineStr">
        <is>
          <t>Préventif systématique</t>
        </is>
      </c>
      <c r="I852" s="7" t="inlineStr">
        <is>
          <t>GP-041</t>
        </is>
      </c>
      <c r="J852" s="7" t="inlineStr">
        <is>
          <t>Hydraulique</t>
        </is>
      </c>
      <c r="K852" s="7" t="inlineStr">
        <is>
          <t>P3 - Normale</t>
        </is>
      </c>
      <c r="L852" s="7" t="inlineStr">
        <is>
          <t>Contrôle hydraulique : fuites, niveaux, pressions</t>
        </is>
      </c>
      <c r="M852" s="7" t="n"/>
      <c r="N852" s="7" t="inlineStr">
        <is>
          <t>Gamme réalisée - RAS</t>
        </is>
      </c>
      <c r="O852" s="7" t="inlineStr">
        <is>
          <t>Antoine Mercier</t>
        </is>
      </c>
      <c r="P852" s="65" t="n">
        <v>46028.46875</v>
      </c>
      <c r="Q852" s="75" t="n">
        <v>46028.36458333334</v>
      </c>
      <c r="R852" s="75" t="n">
        <v>46028.44791666666</v>
      </c>
      <c r="S852" s="76" t="n">
        <v>0</v>
      </c>
      <c r="T852" s="76" t="n">
        <v>2</v>
      </c>
      <c r="U852" s="70">
        <f>IF($A852="","",IFERROR(INDEX('Techniciens'!$F$5:$F$44,MATCH(O852,'Techniciens'!$B$5:$B$44,0)),'Paramètres'!$AA$10))</f>
        <v/>
      </c>
      <c r="V852" s="70">
        <f>IF($A852="","",IF(OR(AC852="Demandé",AC852="Planifié",AC852="Annulé"),0,N(T852)*N(U852)))</f>
        <v/>
      </c>
      <c r="W852" s="70">
        <f>IF($A852="","",SUMIFS('Mouvements stock'!$H$5:$H$3004,'Mouvements stock'!$I$5:$I$3004,$A852,'Mouvements stock'!$C$5:$C$3004,"Sortie")-SUMIFS('Mouvements stock'!$H$5:$H$3004,'Mouvements stock'!$I$5:$I$3004,$A852,'Mouvements stock'!$C$5:$C$3004,"Retour"))</f>
        <v/>
      </c>
      <c r="X852" s="66" t="n">
        <v>0</v>
      </c>
      <c r="Y852" s="66" t="n">
        <v>0</v>
      </c>
      <c r="Z852" s="7" t="n"/>
      <c r="AA852" s="70">
        <f>IF($A852="","",N(V852)+N(W852)+N(X852)+N(Y852))</f>
        <v/>
      </c>
      <c r="AB852" s="70">
        <f>IF($A852="","",N(S852)*'Paramètres'!$AA$9*IFERROR(INDEX('Paramètres'!$O$5:$O$7,MATCH(G852,'Paramètres'!$N$5:$N$7,0)),0))</f>
        <v/>
      </c>
      <c r="AC852" s="7" t="inlineStr">
        <is>
          <t>Clôturé</t>
        </is>
      </c>
      <c r="AD852" s="69">
        <f>IF(OR($A852="",Q852=""),"",(Q852-B852)*24)</f>
        <v/>
      </c>
      <c r="AE852" s="69">
        <f>IF(OR(Q852="",R852=""),"",(R852-Q852)*24)</f>
        <v/>
      </c>
      <c r="AF852" s="77">
        <f>IF(OR($A852="",B852=""),"",YEAR(B852))</f>
        <v/>
      </c>
      <c r="AG852" s="77">
        <f>IF(OR($A852="",B852=""),"",MONTH(B852))</f>
        <v/>
      </c>
    </row>
    <row r="853">
      <c r="A853" s="7" t="inlineStr">
        <is>
          <t>OT-2025-0849</t>
        </is>
      </c>
      <c r="B853" s="75" t="n">
        <v>46021.48611111111</v>
      </c>
      <c r="C853" s="7" t="inlineStr">
        <is>
          <t>Plan préventif</t>
        </is>
      </c>
      <c r="D853" s="7" t="inlineStr">
        <is>
          <t>EQ-TOL-007</t>
        </is>
      </c>
      <c r="E853" s="9">
        <f>IF(D853="","",IFERROR(INDEX('Équipements'!$B$5:$B$304,MATCH(D853,'Équipements'!$A$5:$A$304,0)),"Code inconnu"))</f>
        <v/>
      </c>
      <c r="F853" s="9">
        <f>IF(D853="","",IFERROR(INDEX('Équipements'!$D$5:$D$304,MATCH(D853,'Équipements'!$A$5:$A$304,0)),""))</f>
        <v/>
      </c>
      <c r="G853" s="9">
        <f>IF(D853="","",IFERROR(INDEX('Équipements'!$K$5:$K$304,MATCH(D853,'Équipements'!$A$5:$A$304,0)),""))</f>
        <v/>
      </c>
      <c r="H853" s="7" t="inlineStr">
        <is>
          <t>Préventif systématique</t>
        </is>
      </c>
      <c r="I853" s="7" t="inlineStr">
        <is>
          <t>GP-056</t>
        </is>
      </c>
      <c r="J853" s="7" t="inlineStr">
        <is>
          <t>Mécanique</t>
        </is>
      </c>
      <c r="K853" s="7" t="inlineStr">
        <is>
          <t>P3 - Normale</t>
        </is>
      </c>
      <c r="L853" s="7" t="inlineStr">
        <is>
          <t>Graissage chaîne / galets et contrôle tension</t>
        </is>
      </c>
      <c r="M853" s="7" t="n"/>
      <c r="N853" s="7" t="inlineStr">
        <is>
          <t>Gamme réalisée - usure constatée, à surveiller</t>
        </is>
      </c>
      <c r="O853" s="7" t="inlineStr">
        <is>
          <t>Antoine Mercier</t>
        </is>
      </c>
      <c r="P853" s="65" t="n">
        <v>46028.48611111111</v>
      </c>
      <c r="Q853" s="75" t="n">
        <v>46028.5625</v>
      </c>
      <c r="R853" s="75" t="n">
        <v>46028.64583333334</v>
      </c>
      <c r="S853" s="76" t="n">
        <v>2</v>
      </c>
      <c r="T853" s="76" t="n">
        <v>2</v>
      </c>
      <c r="U853" s="70">
        <f>IF($A853="","",IFERROR(INDEX('Techniciens'!$F$5:$F$44,MATCH(O853,'Techniciens'!$B$5:$B$44,0)),'Paramètres'!$AA$10))</f>
        <v/>
      </c>
      <c r="V853" s="70">
        <f>IF($A853="","",IF(OR(AC853="Demandé",AC853="Planifié",AC853="Annulé"),0,N(T853)*N(U853)))</f>
        <v/>
      </c>
      <c r="W853" s="70">
        <f>IF($A853="","",SUMIFS('Mouvements stock'!$H$5:$H$3004,'Mouvements stock'!$I$5:$I$3004,$A853,'Mouvements stock'!$C$5:$C$3004,"Sortie")-SUMIFS('Mouvements stock'!$H$5:$H$3004,'Mouvements stock'!$I$5:$I$3004,$A853,'Mouvements stock'!$C$5:$C$3004,"Retour"))</f>
        <v/>
      </c>
      <c r="X853" s="66" t="n">
        <v>0</v>
      </c>
      <c r="Y853" s="66" t="n">
        <v>0</v>
      </c>
      <c r="Z853" s="7" t="n"/>
      <c r="AA853" s="70">
        <f>IF($A853="","",N(V853)+N(W853)+N(X853)+N(Y853))</f>
        <v/>
      </c>
      <c r="AB853" s="70">
        <f>IF($A853="","",N(S853)*'Paramètres'!$AA$9*IFERROR(INDEX('Paramètres'!$O$5:$O$7,MATCH(G853,'Paramètres'!$N$5:$N$7,0)),0))</f>
        <v/>
      </c>
      <c r="AC853" s="7" t="inlineStr">
        <is>
          <t>Clôturé</t>
        </is>
      </c>
      <c r="AD853" s="69">
        <f>IF(OR($A853="",Q853=""),"",(Q853-B853)*24)</f>
        <v/>
      </c>
      <c r="AE853" s="69">
        <f>IF(OR(Q853="",R853=""),"",(R853-Q853)*24)</f>
        <v/>
      </c>
      <c r="AF853" s="77">
        <f>IF(OR($A853="",B853=""),"",YEAR(B853))</f>
        <v/>
      </c>
      <c r="AG853" s="77">
        <f>IF(OR($A853="",B853=""),"",MONTH(B853))</f>
        <v/>
      </c>
    </row>
    <row r="854">
      <c r="A854" s="7" t="inlineStr">
        <is>
          <t>OT-2025-0850</t>
        </is>
      </c>
      <c r="B854" s="75" t="n">
        <v>46022.66388888889</v>
      </c>
      <c r="C854" s="7" t="inlineStr">
        <is>
          <t>Opérateur usinage</t>
        </is>
      </c>
      <c r="D854" s="7" t="inlineStr">
        <is>
          <t>EQ-USI-007</t>
        </is>
      </c>
      <c r="E854" s="9">
        <f>IF(D854="","",IFERROR(INDEX('Équipements'!$B$5:$B$304,MATCH(D854,'Équipements'!$A$5:$A$304,0)),"Code inconnu"))</f>
        <v/>
      </c>
      <c r="F854" s="9">
        <f>IF(D854="","",IFERROR(INDEX('Équipements'!$D$5:$D$304,MATCH(D854,'Équipements'!$A$5:$A$304,0)),""))</f>
        <v/>
      </c>
      <c r="G854" s="9">
        <f>IF(D854="","",IFERROR(INDEX('Équipements'!$K$5:$K$304,MATCH(D854,'Équipements'!$A$5:$A$304,0)),""))</f>
        <v/>
      </c>
      <c r="H854" s="7" t="inlineStr">
        <is>
          <t>Correctif</t>
        </is>
      </c>
      <c r="I854" s="7" t="n"/>
      <c r="J854" s="7" t="inlineStr">
        <is>
          <t>Mécanique</t>
        </is>
      </c>
      <c r="K854" s="7" t="inlineStr">
        <is>
          <t>P3 - Normale</t>
        </is>
      </c>
      <c r="L854" s="7" t="inlineStr">
        <is>
          <t>Broche bruyante / vibrations anormales</t>
        </is>
      </c>
      <c r="M854" s="7" t="inlineStr">
        <is>
          <t>Usure</t>
        </is>
      </c>
      <c r="N854" s="7" t="inlineStr">
        <is>
          <t>Analyse vibratoire puis remplacement roulements de broche</t>
        </is>
      </c>
      <c r="O854" s="7" t="inlineStr">
        <is>
          <t>Karim Benali</t>
        </is>
      </c>
      <c r="P854" s="65" t="n"/>
      <c r="Q854" s="75" t="n">
        <v>46024.04375</v>
      </c>
      <c r="R854" s="75" t="n">
        <v>46024.28333333333</v>
      </c>
      <c r="S854" s="76" t="n">
        <v>0</v>
      </c>
      <c r="T854" s="76" t="n">
        <v>5.75</v>
      </c>
      <c r="U854" s="70">
        <f>IF($A854="","",IFERROR(INDEX('Techniciens'!$F$5:$F$44,MATCH(O854,'Techniciens'!$B$5:$B$44,0)),'Paramètres'!$AA$10))</f>
        <v/>
      </c>
      <c r="V854" s="70">
        <f>IF($A854="","",IF(OR(AC854="Demandé",AC854="Planifié",AC854="Annulé"),0,N(T854)*N(U854)))</f>
        <v/>
      </c>
      <c r="W854" s="70">
        <f>IF($A854="","",SUMIFS('Mouvements stock'!$H$5:$H$3004,'Mouvements stock'!$I$5:$I$3004,$A854,'Mouvements stock'!$C$5:$C$3004,"Sortie")-SUMIFS('Mouvements stock'!$H$5:$H$3004,'Mouvements stock'!$I$5:$I$3004,$A854,'Mouvements stock'!$C$5:$C$3004,"Retour"))</f>
        <v/>
      </c>
      <c r="X854" s="66" t="n">
        <v>0</v>
      </c>
      <c r="Y854" s="66" t="n">
        <v>0</v>
      </c>
      <c r="Z854" s="7" t="n"/>
      <c r="AA854" s="70">
        <f>IF($A854="","",N(V854)+N(W854)+N(X854)+N(Y854))</f>
        <v/>
      </c>
      <c r="AB854" s="70">
        <f>IF($A854="","",N(S854)*'Paramètres'!$AA$9*IFERROR(INDEX('Paramètres'!$O$5:$O$7,MATCH(G854,'Paramètres'!$N$5:$N$7,0)),0))</f>
        <v/>
      </c>
      <c r="AC854" s="7" t="inlineStr">
        <is>
          <t>Clôturé</t>
        </is>
      </c>
      <c r="AD854" s="69">
        <f>IF(OR($A854="",Q854=""),"",(Q854-B854)*24)</f>
        <v/>
      </c>
      <c r="AE854" s="69">
        <f>IF(OR(Q854="",R854=""),"",(R854-Q854)*24)</f>
        <v/>
      </c>
      <c r="AF854" s="77">
        <f>IF(OR($A854="",B854=""),"",YEAR(B854))</f>
        <v/>
      </c>
      <c r="AG854" s="77">
        <f>IF(OR($A854="",B854=""),"",MONTH(B854))</f>
        <v/>
      </c>
    </row>
    <row r="855">
      <c r="A855" s="7" t="inlineStr">
        <is>
          <t>OT-2025-0851</t>
        </is>
      </c>
      <c r="B855" s="75" t="n">
        <v>46022.79444444444</v>
      </c>
      <c r="C855" s="7" t="inlineStr">
        <is>
          <t>Éric Laurent (chef d'atelier)</t>
        </is>
      </c>
      <c r="D855" s="7" t="inlineStr">
        <is>
          <t>EQ-USI-006</t>
        </is>
      </c>
      <c r="E855" s="9">
        <f>IF(D855="","",IFERROR(INDEX('Équipements'!$B$5:$B$304,MATCH(D855,'Équipements'!$A$5:$A$304,0)),"Code inconnu"))</f>
        <v/>
      </c>
      <c r="F855" s="9">
        <f>IF(D855="","",IFERROR(INDEX('Équipements'!$D$5:$D$304,MATCH(D855,'Équipements'!$A$5:$A$304,0)),""))</f>
        <v/>
      </c>
      <c r="G855" s="9">
        <f>IF(D855="","",IFERROR(INDEX('Équipements'!$K$5:$K$304,MATCH(D855,'Équipements'!$A$5:$A$304,0)),""))</f>
        <v/>
      </c>
      <c r="H855" s="7" t="inlineStr">
        <is>
          <t>Correctif</t>
        </is>
      </c>
      <c r="I855" s="7" t="n"/>
      <c r="J855" s="7" t="inlineStr">
        <is>
          <t>Hydraulique</t>
        </is>
      </c>
      <c r="K855" s="7" t="inlineStr">
        <is>
          <t>P2 - Haute</t>
        </is>
      </c>
      <c r="L855" s="7" t="inlineStr">
        <is>
          <t>Fuite d'huile hydraulique sous la table</t>
        </is>
      </c>
      <c r="M855" s="7" t="n"/>
      <c r="N855" s="7" t="inlineStr">
        <is>
          <t>Doublon de demande - annulé</t>
        </is>
      </c>
      <c r="O855" s="7" t="inlineStr">
        <is>
          <t>Karim Benali</t>
        </is>
      </c>
      <c r="P855" s="65" t="n"/>
      <c r="Q855" s="75" t="n"/>
      <c r="R855" s="75" t="n"/>
      <c r="S855" s="76" t="n">
        <v>0</v>
      </c>
      <c r="T855" s="76" t="n">
        <v>0</v>
      </c>
      <c r="U855" s="70">
        <f>IF($A855="","",IFERROR(INDEX('Techniciens'!$F$5:$F$44,MATCH(O855,'Techniciens'!$B$5:$B$44,0)),'Paramètres'!$AA$10))</f>
        <v/>
      </c>
      <c r="V855" s="70">
        <f>IF($A855="","",IF(OR(AC855="Demandé",AC855="Planifié",AC855="Annulé"),0,N(T855)*N(U855)))</f>
        <v/>
      </c>
      <c r="W855" s="70">
        <f>IF($A855="","",SUMIFS('Mouvements stock'!$H$5:$H$3004,'Mouvements stock'!$I$5:$I$3004,$A855,'Mouvements stock'!$C$5:$C$3004,"Sortie")-SUMIFS('Mouvements stock'!$H$5:$H$3004,'Mouvements stock'!$I$5:$I$3004,$A855,'Mouvements stock'!$C$5:$C$3004,"Retour"))</f>
        <v/>
      </c>
      <c r="X855" s="66" t="n">
        <v>0</v>
      </c>
      <c r="Y855" s="66" t="n">
        <v>0</v>
      </c>
      <c r="Z855" s="7" t="n"/>
      <c r="AA855" s="70">
        <f>IF($A855="","",N(V855)+N(W855)+N(X855)+N(Y855))</f>
        <v/>
      </c>
      <c r="AB855" s="70">
        <f>IF($A855="","",N(S855)*'Paramètres'!$AA$9*IFERROR(INDEX('Paramètres'!$O$5:$O$7,MATCH(G855,'Paramètres'!$N$5:$N$7,0)),0))</f>
        <v/>
      </c>
      <c r="AC855" s="7" t="inlineStr">
        <is>
          <t>Annulé</t>
        </is>
      </c>
      <c r="AD855" s="69">
        <f>IF(OR($A855="",Q855=""),"",(Q855-B855)*24)</f>
        <v/>
      </c>
      <c r="AE855" s="69">
        <f>IF(OR(Q855="",R855=""),"",(R855-Q855)*24)</f>
        <v/>
      </c>
      <c r="AF855" s="77">
        <f>IF(OR($A855="",B855=""),"",YEAR(B855))</f>
        <v/>
      </c>
      <c r="AG855" s="77">
        <f>IF(OR($A855="",B855=""),"",MONTH(B855))</f>
        <v/>
      </c>
    </row>
    <row r="856">
      <c r="A856" s="7" t="inlineStr">
        <is>
          <t>OT-2026-0001</t>
        </is>
      </c>
      <c r="B856" s="75" t="n">
        <v>46023.40277777778</v>
      </c>
      <c r="C856" s="7" t="inlineStr">
        <is>
          <t>Plan préventif</t>
        </is>
      </c>
      <c r="D856" s="7" t="inlineStr">
        <is>
          <t>EQ-BAT-003</t>
        </is>
      </c>
      <c r="E856" s="9">
        <f>IF(D856="","",IFERROR(INDEX('Équipements'!$B$5:$B$304,MATCH(D856,'Équipements'!$A$5:$A$304,0)),"Code inconnu"))</f>
        <v/>
      </c>
      <c r="F856" s="9">
        <f>IF(D856="","",IFERROR(INDEX('Équipements'!$D$5:$D$304,MATCH(D856,'Équipements'!$A$5:$A$304,0)),""))</f>
        <v/>
      </c>
      <c r="G856" s="9">
        <f>IF(D856="","",IFERROR(INDEX('Équipements'!$K$5:$K$304,MATCH(D856,'Équipements'!$A$5:$A$304,0)),""))</f>
        <v/>
      </c>
      <c r="H856" s="7" t="inlineStr">
        <is>
          <t>Préventif systématique</t>
        </is>
      </c>
      <c r="I856" s="7" t="inlineStr">
        <is>
          <t>GP-124</t>
        </is>
      </c>
      <c r="J856" s="7" t="inlineStr">
        <is>
          <t>Mécanique</t>
        </is>
      </c>
      <c r="K856" s="7" t="inlineStr">
        <is>
          <t>P3 - Normale</t>
        </is>
      </c>
      <c r="L856" s="7" t="inlineStr">
        <is>
          <t>Remplacement filtres et nettoyage batteries</t>
        </is>
      </c>
      <c r="M856" s="7" t="n"/>
      <c r="N856" s="7" t="inlineStr">
        <is>
          <t>Gamme réalisée - RAS</t>
        </is>
      </c>
      <c r="O856" s="7" t="inlineStr">
        <is>
          <t>Lucas Fontaine</t>
        </is>
      </c>
      <c r="P856" s="65" t="n">
        <v>46030.68402777778</v>
      </c>
      <c r="Q856" s="75" t="n">
        <v>46030.50694444445</v>
      </c>
      <c r="R856" s="75" t="n">
        <v>46030.60069444445</v>
      </c>
      <c r="S856" s="76" t="n">
        <v>0</v>
      </c>
      <c r="T856" s="76" t="n">
        <v>2.25</v>
      </c>
      <c r="U856" s="70">
        <f>IF($A856="","",IFERROR(INDEX('Techniciens'!$F$5:$F$44,MATCH(O856,'Techniciens'!$B$5:$B$44,0)),'Paramètres'!$AA$10))</f>
        <v/>
      </c>
      <c r="V856" s="70">
        <f>IF($A856="","",IF(OR(AC856="Demandé",AC856="Planifié",AC856="Annulé"),0,N(T856)*N(U856)))</f>
        <v/>
      </c>
      <c r="W856" s="70">
        <f>IF($A856="","",SUMIFS('Mouvements stock'!$H$5:$H$3004,'Mouvements stock'!$I$5:$I$3004,$A856,'Mouvements stock'!$C$5:$C$3004,"Sortie")-SUMIFS('Mouvements stock'!$H$5:$H$3004,'Mouvements stock'!$I$5:$I$3004,$A856,'Mouvements stock'!$C$5:$C$3004,"Retour"))</f>
        <v/>
      </c>
      <c r="X856" s="66" t="n">
        <v>0</v>
      </c>
      <c r="Y856" s="66" t="n">
        <v>0</v>
      </c>
      <c r="Z856" s="7" t="n"/>
      <c r="AA856" s="70">
        <f>IF($A856="","",N(V856)+N(W856)+N(X856)+N(Y856))</f>
        <v/>
      </c>
      <c r="AB856" s="70">
        <f>IF($A856="","",N(S856)*'Paramètres'!$AA$9*IFERROR(INDEX('Paramètres'!$O$5:$O$7,MATCH(G856,'Paramètres'!$N$5:$N$7,0)),0))</f>
        <v/>
      </c>
      <c r="AC856" s="7" t="inlineStr">
        <is>
          <t>Clôturé</t>
        </is>
      </c>
      <c r="AD856" s="69">
        <f>IF(OR($A856="",Q856=""),"",(Q856-B856)*24)</f>
        <v/>
      </c>
      <c r="AE856" s="69">
        <f>IF(OR(Q856="",R856=""),"",(R856-Q856)*24)</f>
        <v/>
      </c>
      <c r="AF856" s="77">
        <f>IF(OR($A856="",B856=""),"",YEAR(B856))</f>
        <v/>
      </c>
      <c r="AG856" s="77">
        <f>IF(OR($A856="",B856=""),"",MONTH(B856))</f>
        <v/>
      </c>
    </row>
    <row r="857">
      <c r="A857" s="7" t="inlineStr">
        <is>
          <t>OT-2026-0002</t>
        </is>
      </c>
      <c r="B857" s="75" t="n">
        <v>46023.79166666666</v>
      </c>
      <c r="C857" s="7" t="inlineStr">
        <is>
          <t>Opérateur assemblage</t>
        </is>
      </c>
      <c r="D857" s="7" t="inlineStr">
        <is>
          <t>EQ-ASS-002</t>
        </is>
      </c>
      <c r="E857" s="9">
        <f>IF(D857="","",IFERROR(INDEX('Équipements'!$B$5:$B$304,MATCH(D857,'Équipements'!$A$5:$A$304,0)),"Code inconnu"))</f>
        <v/>
      </c>
      <c r="F857" s="9">
        <f>IF(D857="","",IFERROR(INDEX('Équipements'!$D$5:$D$304,MATCH(D857,'Équipements'!$A$5:$A$304,0)),""))</f>
        <v/>
      </c>
      <c r="G857" s="9">
        <f>IF(D857="","",IFERROR(INDEX('Équipements'!$K$5:$K$304,MATCH(D857,'Équipements'!$A$5:$A$304,0)),""))</f>
        <v/>
      </c>
      <c r="H857" s="7" t="inlineStr">
        <is>
          <t>Correctif</t>
        </is>
      </c>
      <c r="I857" s="7" t="n"/>
      <c r="J857" s="7" t="inlineStr">
        <is>
          <t>Électrique</t>
        </is>
      </c>
      <c r="K857" s="7" t="inlineStr">
        <is>
          <t>P3 - Normale</t>
        </is>
      </c>
      <c r="L857" s="7" t="inlineStr">
        <is>
          <t>Pédale de commande défectueuse</t>
        </is>
      </c>
      <c r="M857" s="7" t="inlineStr">
        <is>
          <t>Usure</t>
        </is>
      </c>
      <c r="N857" s="7" t="inlineStr">
        <is>
          <t>Remplacement contacts de pédale</t>
        </is>
      </c>
      <c r="O857" s="7" t="inlineStr">
        <is>
          <t>Thomas Petit</t>
        </is>
      </c>
      <c r="P857" s="65" t="n"/>
      <c r="Q857" s="75" t="n">
        <v>46024.68402777778</v>
      </c>
      <c r="R857" s="75" t="n">
        <v>46025.18402777778</v>
      </c>
      <c r="S857" s="76" t="n">
        <v>0</v>
      </c>
      <c r="T857" s="76" t="n">
        <v>12</v>
      </c>
      <c r="U857" s="70">
        <f>IF($A857="","",IFERROR(INDEX('Techniciens'!$F$5:$F$44,MATCH(O857,'Techniciens'!$B$5:$B$44,0)),'Paramètres'!$AA$10))</f>
        <v/>
      </c>
      <c r="V857" s="70">
        <f>IF($A857="","",IF(OR(AC857="Demandé",AC857="Planifié",AC857="Annulé"),0,N(T857)*N(U857)))</f>
        <v/>
      </c>
      <c r="W857" s="70">
        <f>IF($A857="","",SUMIFS('Mouvements stock'!$H$5:$H$3004,'Mouvements stock'!$I$5:$I$3004,$A857,'Mouvements stock'!$C$5:$C$3004,"Sortie")-SUMIFS('Mouvements stock'!$H$5:$H$3004,'Mouvements stock'!$I$5:$I$3004,$A857,'Mouvements stock'!$C$5:$C$3004,"Retour"))</f>
        <v/>
      </c>
      <c r="X857" s="66" t="n">
        <v>0</v>
      </c>
      <c r="Y857" s="66" t="n">
        <v>0</v>
      </c>
      <c r="Z857" s="7" t="n"/>
      <c r="AA857" s="70">
        <f>IF($A857="","",N(V857)+N(W857)+N(X857)+N(Y857))</f>
        <v/>
      </c>
      <c r="AB857" s="70">
        <f>IF($A857="","",N(S857)*'Paramètres'!$AA$9*IFERROR(INDEX('Paramètres'!$O$5:$O$7,MATCH(G857,'Paramètres'!$N$5:$N$7,0)),0))</f>
        <v/>
      </c>
      <c r="AC857" s="7" t="inlineStr">
        <is>
          <t>Clôturé</t>
        </is>
      </c>
      <c r="AD857" s="69">
        <f>IF(OR($A857="",Q857=""),"",(Q857-B857)*24)</f>
        <v/>
      </c>
      <c r="AE857" s="69">
        <f>IF(OR(Q857="",R857=""),"",(R857-Q857)*24)</f>
        <v/>
      </c>
      <c r="AF857" s="77">
        <f>IF(OR($A857="",B857=""),"",YEAR(B857))</f>
        <v/>
      </c>
      <c r="AG857" s="77">
        <f>IF(OR($A857="",B857=""),"",MONTH(B857))</f>
        <v/>
      </c>
    </row>
    <row r="858">
      <c r="A858" s="7" t="inlineStr">
        <is>
          <t>OT-2026-0003</t>
        </is>
      </c>
      <c r="B858" s="75" t="n">
        <v>46024.34722222222</v>
      </c>
      <c r="C858" s="7" t="inlineStr">
        <is>
          <t>Plan préventif</t>
        </is>
      </c>
      <c r="D858" s="7" t="inlineStr">
        <is>
          <t>EQ-USI-006</t>
        </is>
      </c>
      <c r="E858" s="9">
        <f>IF(D858="","",IFERROR(INDEX('Équipements'!$B$5:$B$304,MATCH(D858,'Équipements'!$A$5:$A$304,0)),"Code inconnu"))</f>
        <v/>
      </c>
      <c r="F858" s="9">
        <f>IF(D858="","",IFERROR(INDEX('Équipements'!$D$5:$D$304,MATCH(D858,'Équipements'!$A$5:$A$304,0)),""))</f>
        <v/>
      </c>
      <c r="G858" s="9">
        <f>IF(D858="","",IFERROR(INDEX('Équipements'!$K$5:$K$304,MATCH(D858,'Équipements'!$A$5:$A$304,0)),""))</f>
        <v/>
      </c>
      <c r="H858" s="7" t="inlineStr">
        <is>
          <t>Préventif systématique</t>
        </is>
      </c>
      <c r="I858" s="7" t="inlineStr">
        <is>
          <t>GP-021</t>
        </is>
      </c>
      <c r="J858" s="7" t="inlineStr">
        <is>
          <t>Mécanique</t>
        </is>
      </c>
      <c r="K858" s="7" t="inlineStr">
        <is>
          <t>P3 - Normale</t>
        </is>
      </c>
      <c r="L858" s="7" t="inlineStr">
        <is>
          <t>Contrôle niveaux, nettoyage filtres et bac à copeaux</t>
        </is>
      </c>
      <c r="M858" s="7" t="n"/>
      <c r="N858" s="7" t="inlineStr">
        <is>
          <t>Gamme réalisée - RAS</t>
        </is>
      </c>
      <c r="O858" s="7" t="inlineStr">
        <is>
          <t>Lucas Fontaine</t>
        </is>
      </c>
      <c r="P858" s="65" t="n">
        <v>46031.57291666666</v>
      </c>
      <c r="Q858" s="75" t="n">
        <v>46031.34722222222</v>
      </c>
      <c r="R858" s="75" t="n">
        <v>46031.40972222222</v>
      </c>
      <c r="S858" s="76" t="n">
        <v>1.5</v>
      </c>
      <c r="T858" s="76" t="n">
        <v>1.5</v>
      </c>
      <c r="U858" s="70">
        <f>IF($A858="","",IFERROR(INDEX('Techniciens'!$F$5:$F$44,MATCH(O858,'Techniciens'!$B$5:$B$44,0)),'Paramètres'!$AA$10))</f>
        <v/>
      </c>
      <c r="V858" s="70">
        <f>IF($A858="","",IF(OR(AC858="Demandé",AC858="Planifié",AC858="Annulé"),0,N(T858)*N(U858)))</f>
        <v/>
      </c>
      <c r="W858" s="70">
        <f>IF($A858="","",SUMIFS('Mouvements stock'!$H$5:$H$3004,'Mouvements stock'!$I$5:$I$3004,$A858,'Mouvements stock'!$C$5:$C$3004,"Sortie")-SUMIFS('Mouvements stock'!$H$5:$H$3004,'Mouvements stock'!$I$5:$I$3004,$A858,'Mouvements stock'!$C$5:$C$3004,"Retour"))</f>
        <v/>
      </c>
      <c r="X858" s="66" t="n">
        <v>0</v>
      </c>
      <c r="Y858" s="66" t="n">
        <v>0</v>
      </c>
      <c r="Z858" s="7" t="n"/>
      <c r="AA858" s="70">
        <f>IF($A858="","",N(V858)+N(W858)+N(X858)+N(Y858))</f>
        <v/>
      </c>
      <c r="AB858" s="70">
        <f>IF($A858="","",N(S858)*'Paramètres'!$AA$9*IFERROR(INDEX('Paramètres'!$O$5:$O$7,MATCH(G858,'Paramètres'!$N$5:$N$7,0)),0))</f>
        <v/>
      </c>
      <c r="AC858" s="7" t="inlineStr">
        <is>
          <t>Clôturé</t>
        </is>
      </c>
      <c r="AD858" s="69">
        <f>IF(OR($A858="",Q858=""),"",(Q858-B858)*24)</f>
        <v/>
      </c>
      <c r="AE858" s="69">
        <f>IF(OR(Q858="",R858=""),"",(R858-Q858)*24)</f>
        <v/>
      </c>
      <c r="AF858" s="77">
        <f>IF(OR($A858="",B858=""),"",YEAR(B858))</f>
        <v/>
      </c>
      <c r="AG858" s="77">
        <f>IF(OR($A858="",B858=""),"",MONTH(B858))</f>
        <v/>
      </c>
    </row>
    <row r="859">
      <c r="A859" s="7" t="inlineStr">
        <is>
          <t>OT-2026-0004</t>
        </is>
      </c>
      <c r="B859" s="75" t="n">
        <v>46024.37777777778</v>
      </c>
      <c r="C859" s="7" t="inlineStr">
        <is>
          <t>Hugo Blanc (chef d'équipe)</t>
        </is>
      </c>
      <c r="D859" s="7" t="inlineStr">
        <is>
          <t>EQ-SOU-001</t>
        </is>
      </c>
      <c r="E859" s="9">
        <f>IF(D859="","",IFERROR(INDEX('Équipements'!$B$5:$B$304,MATCH(D859,'Équipements'!$A$5:$A$304,0)),"Code inconnu"))</f>
        <v/>
      </c>
      <c r="F859" s="9">
        <f>IF(D859="","",IFERROR(INDEX('Équipements'!$D$5:$D$304,MATCH(D859,'Équipements'!$A$5:$A$304,0)),""))</f>
        <v/>
      </c>
      <c r="G859" s="9">
        <f>IF(D859="","",IFERROR(INDEX('Équipements'!$K$5:$K$304,MATCH(D859,'Équipements'!$A$5:$A$304,0)),""))</f>
        <v/>
      </c>
      <c r="H859" s="7" t="inlineStr">
        <is>
          <t>Correctif</t>
        </is>
      </c>
      <c r="I859" s="7" t="n"/>
      <c r="J859" s="7" t="inlineStr">
        <is>
          <t>Automatisme</t>
        </is>
      </c>
      <c r="K859" s="7" t="inlineStr">
        <is>
          <t>P2 - Haute</t>
        </is>
      </c>
      <c r="L859" s="7" t="inlineStr">
        <is>
          <t>Défaut collision robot</t>
        </is>
      </c>
      <c r="M859" s="7" t="inlineStr">
        <is>
          <t>Erreur opérateur</t>
        </is>
      </c>
      <c r="N859" s="7" t="inlineStr">
        <is>
          <t>Recalage TCP, remplacement buse et tube contact</t>
        </is>
      </c>
      <c r="O859" s="7" t="inlineStr">
        <is>
          <t>Julien Moreau</t>
        </is>
      </c>
      <c r="P859" s="65" t="n"/>
      <c r="Q859" s="75" t="n">
        <v>46024.42013888889</v>
      </c>
      <c r="R859" s="75" t="n">
        <v>46024.53472222222</v>
      </c>
      <c r="S859" s="76" t="n">
        <v>3.8</v>
      </c>
      <c r="T859" s="76" t="n">
        <v>2.75</v>
      </c>
      <c r="U859" s="70">
        <f>IF($A859="","",IFERROR(INDEX('Techniciens'!$F$5:$F$44,MATCH(O859,'Techniciens'!$B$5:$B$44,0)),'Paramètres'!$AA$10))</f>
        <v/>
      </c>
      <c r="V859" s="70">
        <f>IF($A859="","",IF(OR(AC859="Demandé",AC859="Planifié",AC859="Annulé"),0,N(T859)*N(U859)))</f>
        <v/>
      </c>
      <c r="W859" s="70">
        <f>IF($A859="","",SUMIFS('Mouvements stock'!$H$5:$H$3004,'Mouvements stock'!$I$5:$I$3004,$A859,'Mouvements stock'!$C$5:$C$3004,"Sortie")-SUMIFS('Mouvements stock'!$H$5:$H$3004,'Mouvements stock'!$I$5:$I$3004,$A859,'Mouvements stock'!$C$5:$C$3004,"Retour"))</f>
        <v/>
      </c>
      <c r="X859" s="66" t="n">
        <v>0</v>
      </c>
      <c r="Y859" s="66" t="n">
        <v>0</v>
      </c>
      <c r="Z859" s="7" t="n"/>
      <c r="AA859" s="70">
        <f>IF($A859="","",N(V859)+N(W859)+N(X859)+N(Y859))</f>
        <v/>
      </c>
      <c r="AB859" s="70">
        <f>IF($A859="","",N(S859)*'Paramètres'!$AA$9*IFERROR(INDEX('Paramètres'!$O$5:$O$7,MATCH(G859,'Paramètres'!$N$5:$N$7,0)),0))</f>
        <v/>
      </c>
      <c r="AC859" s="7" t="inlineStr">
        <is>
          <t>Clôturé</t>
        </is>
      </c>
      <c r="AD859" s="69">
        <f>IF(OR($A859="",Q859=""),"",(Q859-B859)*24)</f>
        <v/>
      </c>
      <c r="AE859" s="69">
        <f>IF(OR(Q859="",R859=""),"",(R859-Q859)*24)</f>
        <v/>
      </c>
      <c r="AF859" s="77">
        <f>IF(OR($A859="",B859=""),"",YEAR(B859))</f>
        <v/>
      </c>
      <c r="AG859" s="77">
        <f>IF(OR($A859="",B859=""),"",MONTH(B859))</f>
        <v/>
      </c>
    </row>
    <row r="860">
      <c r="A860" s="7" t="inlineStr">
        <is>
          <t>OT-2026-0005</t>
        </is>
      </c>
      <c r="B860" s="75" t="n">
        <v>46024.56736111111</v>
      </c>
      <c r="C860" s="7" t="inlineStr">
        <is>
          <t>Inès Girard (cheffe d'équipe)</t>
        </is>
      </c>
      <c r="D860" s="7" t="inlineStr">
        <is>
          <t>EQ-PEI-004</t>
        </is>
      </c>
      <c r="E860" s="9">
        <f>IF(D860="","",IFERROR(INDEX('Équipements'!$B$5:$B$304,MATCH(D860,'Équipements'!$A$5:$A$304,0)),"Code inconnu"))</f>
        <v/>
      </c>
      <c r="F860" s="9">
        <f>IF(D860="","",IFERROR(INDEX('Équipements'!$D$5:$D$304,MATCH(D860,'Équipements'!$A$5:$A$304,0)),""))</f>
        <v/>
      </c>
      <c r="G860" s="9">
        <f>IF(D860="","",IFERROR(INDEX('Équipements'!$K$5:$K$304,MATCH(D860,'Équipements'!$A$5:$A$304,0)),""))</f>
        <v/>
      </c>
      <c r="H860" s="7" t="inlineStr">
        <is>
          <t>Correctif</t>
        </is>
      </c>
      <c r="I860" s="7" t="n"/>
      <c r="J860" s="7" t="inlineStr">
        <is>
          <t>Électrique</t>
        </is>
      </c>
      <c r="K860" s="7" t="inlineStr">
        <is>
          <t>P1 - Urgent</t>
        </is>
      </c>
      <c r="L860" s="7" t="inlineStr">
        <is>
          <t>Moteur d'entraînement en défaut thermique</t>
        </is>
      </c>
      <c r="M860" s="7" t="inlineStr">
        <is>
          <t>Défaut électrique</t>
        </is>
      </c>
      <c r="N860" s="7" t="inlineStr">
        <is>
          <t>Remplacement motoréducteur / disjoncteur moteur</t>
        </is>
      </c>
      <c r="O860" s="7" t="inlineStr">
        <is>
          <t>Julien Moreau</t>
        </is>
      </c>
      <c r="P860" s="65" t="n"/>
      <c r="Q860" s="75" t="n">
        <v>46024.59513888889</v>
      </c>
      <c r="R860" s="75" t="n">
        <v>46025.28263888889</v>
      </c>
      <c r="S860" s="76" t="n">
        <v>17.2</v>
      </c>
      <c r="T860" s="76" t="n">
        <v>16.5</v>
      </c>
      <c r="U860" s="70">
        <f>IF($A860="","",IFERROR(INDEX('Techniciens'!$F$5:$F$44,MATCH(O860,'Techniciens'!$B$5:$B$44,0)),'Paramètres'!$AA$10))</f>
        <v/>
      </c>
      <c r="V860" s="70">
        <f>IF($A860="","",IF(OR(AC860="Demandé",AC860="Planifié",AC860="Annulé"),0,N(T860)*N(U860)))</f>
        <v/>
      </c>
      <c r="W860" s="70">
        <f>IF($A860="","",SUMIFS('Mouvements stock'!$H$5:$H$3004,'Mouvements stock'!$I$5:$I$3004,$A860,'Mouvements stock'!$C$5:$C$3004,"Sortie")-SUMIFS('Mouvements stock'!$H$5:$H$3004,'Mouvements stock'!$I$5:$I$3004,$A860,'Mouvements stock'!$C$5:$C$3004,"Retour"))</f>
        <v/>
      </c>
      <c r="X860" s="66" t="n">
        <v>0</v>
      </c>
      <c r="Y860" s="66" t="n">
        <v>0</v>
      </c>
      <c r="Z860" s="7" t="n"/>
      <c r="AA860" s="70">
        <f>IF($A860="","",N(V860)+N(W860)+N(X860)+N(Y860))</f>
        <v/>
      </c>
      <c r="AB860" s="70">
        <f>IF($A860="","",N(S860)*'Paramètres'!$AA$9*IFERROR(INDEX('Paramètres'!$O$5:$O$7,MATCH(G860,'Paramètres'!$N$5:$N$7,0)),0))</f>
        <v/>
      </c>
      <c r="AC860" s="7" t="inlineStr">
        <is>
          <t>Clôturé</t>
        </is>
      </c>
      <c r="AD860" s="69">
        <f>IF(OR($A860="",Q860=""),"",(Q860-B860)*24)</f>
        <v/>
      </c>
      <c r="AE860" s="69">
        <f>IF(OR(Q860="",R860=""),"",(R860-Q860)*24)</f>
        <v/>
      </c>
      <c r="AF860" s="77">
        <f>IF(OR($A860="",B860=""),"",YEAR(B860))</f>
        <v/>
      </c>
      <c r="AG860" s="77">
        <f>IF(OR($A860="",B860=""),"",MONTH(B860))</f>
        <v/>
      </c>
    </row>
    <row r="861">
      <c r="A861" s="7" t="inlineStr">
        <is>
          <t>OT-2026-0006</t>
        </is>
      </c>
      <c r="B861" s="75" t="n">
        <v>46024.76805555556</v>
      </c>
      <c r="C861" s="7" t="inlineStr">
        <is>
          <t>Cariste</t>
        </is>
      </c>
      <c r="D861" s="7" t="inlineStr">
        <is>
          <t>EQ-LOG-001</t>
        </is>
      </c>
      <c r="E861" s="9">
        <f>IF(D861="","",IFERROR(INDEX('Équipements'!$B$5:$B$304,MATCH(D861,'Équipements'!$A$5:$A$304,0)),"Code inconnu"))</f>
        <v/>
      </c>
      <c r="F861" s="9">
        <f>IF(D861="","",IFERROR(INDEX('Équipements'!$D$5:$D$304,MATCH(D861,'Équipements'!$A$5:$A$304,0)),""))</f>
        <v/>
      </c>
      <c r="G861" s="9">
        <f>IF(D861="","",IFERROR(INDEX('Équipements'!$K$5:$K$304,MATCH(D861,'Équipements'!$A$5:$A$304,0)),""))</f>
        <v/>
      </c>
      <c r="H861" s="7" t="inlineStr">
        <is>
          <t>Correctif</t>
        </is>
      </c>
      <c r="I861" s="7" t="n"/>
      <c r="J861" s="7" t="inlineStr">
        <is>
          <t>Électrique</t>
        </is>
      </c>
      <c r="K861" s="7" t="inlineStr">
        <is>
          <t>P3 - Normale</t>
        </is>
      </c>
      <c r="L861" s="7" t="inlineStr">
        <is>
          <t>Avertisseur / feux défectueux</t>
        </is>
      </c>
      <c r="M861" s="7" t="inlineStr">
        <is>
          <t>Défaut électrique</t>
        </is>
      </c>
      <c r="N861" s="7" t="inlineStr">
        <is>
          <t>Remplacement contacteur</t>
        </is>
      </c>
      <c r="O861" s="7" t="inlineStr">
        <is>
          <t>Thomas Petit</t>
        </is>
      </c>
      <c r="P861" s="65" t="n"/>
      <c r="Q861" s="75" t="n">
        <v>46026.53125</v>
      </c>
      <c r="R861" s="75" t="n">
        <v>46026.6875</v>
      </c>
      <c r="S861" s="76" t="n">
        <v>0</v>
      </c>
      <c r="T861" s="76" t="n">
        <v>3.75</v>
      </c>
      <c r="U861" s="70">
        <f>IF($A861="","",IFERROR(INDEX('Techniciens'!$F$5:$F$44,MATCH(O861,'Techniciens'!$B$5:$B$44,0)),'Paramètres'!$AA$10))</f>
        <v/>
      </c>
      <c r="V861" s="70">
        <f>IF($A861="","",IF(OR(AC861="Demandé",AC861="Planifié",AC861="Annulé"),0,N(T861)*N(U861)))</f>
        <v/>
      </c>
      <c r="W861" s="70">
        <f>IF($A861="","",SUMIFS('Mouvements stock'!$H$5:$H$3004,'Mouvements stock'!$I$5:$I$3004,$A861,'Mouvements stock'!$C$5:$C$3004,"Sortie")-SUMIFS('Mouvements stock'!$H$5:$H$3004,'Mouvements stock'!$I$5:$I$3004,$A861,'Mouvements stock'!$C$5:$C$3004,"Retour"))</f>
        <v/>
      </c>
      <c r="X861" s="66" t="n">
        <v>0</v>
      </c>
      <c r="Y861" s="66" t="n">
        <v>0</v>
      </c>
      <c r="Z861" s="7" t="n"/>
      <c r="AA861" s="70">
        <f>IF($A861="","",N(V861)+N(W861)+N(X861)+N(Y861))</f>
        <v/>
      </c>
      <c r="AB861" s="70">
        <f>IF($A861="","",N(S861)*'Paramètres'!$AA$9*IFERROR(INDEX('Paramètres'!$O$5:$O$7,MATCH(G861,'Paramètres'!$N$5:$N$7,0)),0))</f>
        <v/>
      </c>
      <c r="AC861" s="7" t="inlineStr">
        <is>
          <t>Clôturé</t>
        </is>
      </c>
      <c r="AD861" s="69">
        <f>IF(OR($A861="",Q861=""),"",(Q861-B861)*24)</f>
        <v/>
      </c>
      <c r="AE861" s="69">
        <f>IF(OR(Q861="",R861=""),"",(R861-Q861)*24)</f>
        <v/>
      </c>
      <c r="AF861" s="77">
        <f>IF(OR($A861="",B861=""),"",YEAR(B861))</f>
        <v/>
      </c>
      <c r="AG861" s="77">
        <f>IF(OR($A861="",B861=""),"",MONTH(B861))</f>
        <v/>
      </c>
    </row>
    <row r="862">
      <c r="A862" s="7" t="inlineStr">
        <is>
          <t>OT-2026-0007</t>
        </is>
      </c>
      <c r="B862" s="75" t="n">
        <v>46025.72013888889</v>
      </c>
      <c r="C862" s="7" t="inlineStr">
        <is>
          <t>Opérateur usinage</t>
        </is>
      </c>
      <c r="D862" s="7" t="inlineStr">
        <is>
          <t>EQ-USI-007</t>
        </is>
      </c>
      <c r="E862" s="9">
        <f>IF(D862="","",IFERROR(INDEX('Équipements'!$B$5:$B$304,MATCH(D862,'Équipements'!$A$5:$A$304,0)),"Code inconnu"))</f>
        <v/>
      </c>
      <c r="F862" s="9">
        <f>IF(D862="","",IFERROR(INDEX('Équipements'!$D$5:$D$304,MATCH(D862,'Équipements'!$A$5:$A$304,0)),""))</f>
        <v/>
      </c>
      <c r="G862" s="9">
        <f>IF(D862="","",IFERROR(INDEX('Équipements'!$K$5:$K$304,MATCH(D862,'Équipements'!$A$5:$A$304,0)),""))</f>
        <v/>
      </c>
      <c r="H862" s="7" t="inlineStr">
        <is>
          <t>Correctif</t>
        </is>
      </c>
      <c r="I862" s="7" t="n"/>
      <c r="J862" s="7" t="inlineStr">
        <is>
          <t>Automatisme</t>
        </is>
      </c>
      <c r="K862" s="7" t="inlineStr">
        <is>
          <t>P3 - Normale</t>
        </is>
      </c>
      <c r="L862" s="7" t="inlineStr">
        <is>
          <t>Perte des origines machine après coupure</t>
        </is>
      </c>
      <c r="M862" s="7" t="inlineStr">
        <is>
          <t>Défaut logiciel/automate</t>
        </is>
      </c>
      <c r="N862" s="7" t="inlineStr">
        <is>
          <t>Reprise des origines, remplacement pile de sauvegarde CN</t>
        </is>
      </c>
      <c r="O862" s="7" t="inlineStr">
        <is>
          <t>Sophie Garnier</t>
        </is>
      </c>
      <c r="P862" s="65" t="n"/>
      <c r="Q862" s="75" t="n">
        <v>46026.22083333333</v>
      </c>
      <c r="R862" s="75" t="n">
        <v>46026.29375</v>
      </c>
      <c r="S862" s="76" t="n">
        <v>1.8</v>
      </c>
      <c r="T862" s="76" t="n">
        <v>1.75</v>
      </c>
      <c r="U862" s="70">
        <f>IF($A862="","",IFERROR(INDEX('Techniciens'!$F$5:$F$44,MATCH(O862,'Techniciens'!$B$5:$B$44,0)),'Paramètres'!$AA$10))</f>
        <v/>
      </c>
      <c r="V862" s="70">
        <f>IF($A862="","",IF(OR(AC862="Demandé",AC862="Planifié",AC862="Annulé"),0,N(T862)*N(U862)))</f>
        <v/>
      </c>
      <c r="W862" s="70">
        <f>IF($A862="","",SUMIFS('Mouvements stock'!$H$5:$H$3004,'Mouvements stock'!$I$5:$I$3004,$A862,'Mouvements stock'!$C$5:$C$3004,"Sortie")-SUMIFS('Mouvements stock'!$H$5:$H$3004,'Mouvements stock'!$I$5:$I$3004,$A862,'Mouvements stock'!$C$5:$C$3004,"Retour"))</f>
        <v/>
      </c>
      <c r="X862" s="66" t="n">
        <v>0</v>
      </c>
      <c r="Y862" s="66" t="n">
        <v>350</v>
      </c>
      <c r="Z862" s="7" t="inlineStr">
        <is>
          <t>SAV Machines-Outils Atlantique</t>
        </is>
      </c>
      <c r="AA862" s="70">
        <f>IF($A862="","",N(V862)+N(W862)+N(X862)+N(Y862))</f>
        <v/>
      </c>
      <c r="AB862" s="70">
        <f>IF($A862="","",N(S862)*'Paramètres'!$AA$9*IFERROR(INDEX('Paramètres'!$O$5:$O$7,MATCH(G862,'Paramètres'!$N$5:$N$7,0)),0))</f>
        <v/>
      </c>
      <c r="AC862" s="7" t="inlineStr">
        <is>
          <t>Clôturé</t>
        </is>
      </c>
      <c r="AD862" s="69">
        <f>IF(OR($A862="",Q862=""),"",(Q862-B862)*24)</f>
        <v/>
      </c>
      <c r="AE862" s="69">
        <f>IF(OR(Q862="",R862=""),"",(R862-Q862)*24)</f>
        <v/>
      </c>
      <c r="AF862" s="77">
        <f>IF(OR($A862="",B862=""),"",YEAR(B862))</f>
        <v/>
      </c>
      <c r="AG862" s="77">
        <f>IF(OR($A862="",B862=""),"",MONTH(B862))</f>
        <v/>
      </c>
    </row>
    <row r="863">
      <c r="A863" s="7" t="inlineStr">
        <is>
          <t>OT-2026-0008</t>
        </is>
      </c>
      <c r="B863" s="75" t="n">
        <v>46025.74166666667</v>
      </c>
      <c r="C863" s="7" t="inlineStr">
        <is>
          <t>Sylvie Mathieu (resp. logistique)</t>
        </is>
      </c>
      <c r="D863" s="7" t="inlineStr">
        <is>
          <t>EQ-LOG-003</t>
        </is>
      </c>
      <c r="E863" s="9">
        <f>IF(D863="","",IFERROR(INDEX('Équipements'!$B$5:$B$304,MATCH(D863,'Équipements'!$A$5:$A$304,0)),"Code inconnu"))</f>
        <v/>
      </c>
      <c r="F863" s="9">
        <f>IF(D863="","",IFERROR(INDEX('Équipements'!$D$5:$D$304,MATCH(D863,'Équipements'!$A$5:$A$304,0)),""))</f>
        <v/>
      </c>
      <c r="G863" s="9">
        <f>IF(D863="","",IFERROR(INDEX('Équipements'!$K$5:$K$304,MATCH(D863,'Équipements'!$A$5:$A$304,0)),""))</f>
        <v/>
      </c>
      <c r="H863" s="7" t="inlineStr">
        <is>
          <t>Correctif</t>
        </is>
      </c>
      <c r="I863" s="7" t="n"/>
      <c r="J863" s="7" t="inlineStr">
        <is>
          <t>Électrique</t>
        </is>
      </c>
      <c r="K863" s="7" t="inlineStr">
        <is>
          <t>P4 - Basse</t>
        </is>
      </c>
      <c r="L863" s="7" t="inlineStr">
        <is>
          <t>Avertisseur / feux défectueux</t>
        </is>
      </c>
      <c r="M863" s="7" t="inlineStr">
        <is>
          <t>Défaut électrique</t>
        </is>
      </c>
      <c r="N863" s="7" t="inlineStr">
        <is>
          <t>Remplacement contacteur</t>
        </is>
      </c>
      <c r="O863" s="7" t="inlineStr">
        <is>
          <t>Thomas Petit</t>
        </is>
      </c>
      <c r="P863" s="65" t="n"/>
      <c r="Q863" s="75" t="n">
        <v>46029.525</v>
      </c>
      <c r="R863" s="75" t="n">
        <v>46029.61875</v>
      </c>
      <c r="S863" s="76" t="n">
        <v>0</v>
      </c>
      <c r="T863" s="76" t="n">
        <v>2.25</v>
      </c>
      <c r="U863" s="70">
        <f>IF($A863="","",IFERROR(INDEX('Techniciens'!$F$5:$F$44,MATCH(O863,'Techniciens'!$B$5:$B$44,0)),'Paramètres'!$AA$10))</f>
        <v/>
      </c>
      <c r="V863" s="70">
        <f>IF($A863="","",IF(OR(AC863="Demandé",AC863="Planifié",AC863="Annulé"),0,N(T863)*N(U863)))</f>
        <v/>
      </c>
      <c r="W863" s="70">
        <f>IF($A863="","",SUMIFS('Mouvements stock'!$H$5:$H$3004,'Mouvements stock'!$I$5:$I$3004,$A863,'Mouvements stock'!$C$5:$C$3004,"Sortie")-SUMIFS('Mouvements stock'!$H$5:$H$3004,'Mouvements stock'!$I$5:$I$3004,$A863,'Mouvements stock'!$C$5:$C$3004,"Retour"))</f>
        <v/>
      </c>
      <c r="X863" s="66" t="n">
        <v>0</v>
      </c>
      <c r="Y863" s="66" t="n">
        <v>0</v>
      </c>
      <c r="Z863" s="7" t="n"/>
      <c r="AA863" s="70">
        <f>IF($A863="","",N(V863)+N(W863)+N(X863)+N(Y863))</f>
        <v/>
      </c>
      <c r="AB863" s="70">
        <f>IF($A863="","",N(S863)*'Paramètres'!$AA$9*IFERROR(INDEX('Paramètres'!$O$5:$O$7,MATCH(G863,'Paramètres'!$N$5:$N$7,0)),0))</f>
        <v/>
      </c>
      <c r="AC863" s="7" t="inlineStr">
        <is>
          <t>Clôturé</t>
        </is>
      </c>
      <c r="AD863" s="69">
        <f>IF(OR($A863="",Q863=""),"",(Q863-B863)*24)</f>
        <v/>
      </c>
      <c r="AE863" s="69">
        <f>IF(OR(Q863="",R863=""),"",(R863-Q863)*24)</f>
        <v/>
      </c>
      <c r="AF863" s="77">
        <f>IF(OR($A863="",B863=""),"",YEAR(B863))</f>
        <v/>
      </c>
      <c r="AG863" s="77">
        <f>IF(OR($A863="",B863=""),"",MONTH(B863))</f>
        <v/>
      </c>
    </row>
    <row r="864">
      <c r="A864" s="7" t="inlineStr">
        <is>
          <t>OT-2026-0009</t>
        </is>
      </c>
      <c r="B864" s="75" t="n">
        <v>46027.36805555555</v>
      </c>
      <c r="C864" s="7" t="inlineStr">
        <is>
          <t>Plan préventif</t>
        </is>
      </c>
      <c r="D864" s="7" t="inlineStr">
        <is>
          <t>EQ-USI-003</t>
        </is>
      </c>
      <c r="E864" s="9">
        <f>IF(D864="","",IFERROR(INDEX('Équipements'!$B$5:$B$304,MATCH(D864,'Équipements'!$A$5:$A$304,0)),"Code inconnu"))</f>
        <v/>
      </c>
      <c r="F864" s="9">
        <f>IF(D864="","",IFERROR(INDEX('Équipements'!$D$5:$D$304,MATCH(D864,'Équipements'!$A$5:$A$304,0)),""))</f>
        <v/>
      </c>
      <c r="G864" s="9">
        <f>IF(D864="","",IFERROR(INDEX('Équipements'!$K$5:$K$304,MATCH(D864,'Équipements'!$A$5:$A$304,0)),""))</f>
        <v/>
      </c>
      <c r="H864" s="7" t="inlineStr">
        <is>
          <t>Préventif systématique</t>
        </is>
      </c>
      <c r="I864" s="7" t="inlineStr">
        <is>
          <t>GP-009</t>
        </is>
      </c>
      <c r="J864" s="7" t="inlineStr">
        <is>
          <t>Mécanique</t>
        </is>
      </c>
      <c r="K864" s="7" t="inlineStr">
        <is>
          <t>P3 - Normale</t>
        </is>
      </c>
      <c r="L864" s="7" t="inlineStr">
        <is>
          <t>Contrôle niveaux, nettoyage filtres et bac à copeaux</t>
        </is>
      </c>
      <c r="M864" s="7" t="n"/>
      <c r="N864" s="7" t="inlineStr">
        <is>
          <t>Gamme réalisée - RAS</t>
        </is>
      </c>
      <c r="O864" s="7" t="inlineStr">
        <is>
          <t>Lucas Fontaine</t>
        </is>
      </c>
      <c r="P864" s="65" t="n">
        <v>46034.5625</v>
      </c>
      <c r="Q864" s="75" t="n">
        <v>46034.38541666666</v>
      </c>
      <c r="R864" s="75" t="n">
        <v>46034.45833333334</v>
      </c>
      <c r="S864" s="76" t="n">
        <v>0.9</v>
      </c>
      <c r="T864" s="76" t="n">
        <v>1.75</v>
      </c>
      <c r="U864" s="70">
        <f>IF($A864="","",IFERROR(INDEX('Techniciens'!$F$5:$F$44,MATCH(O864,'Techniciens'!$B$5:$B$44,0)),'Paramètres'!$AA$10))</f>
        <v/>
      </c>
      <c r="V864" s="70">
        <f>IF($A864="","",IF(OR(AC864="Demandé",AC864="Planifié",AC864="Annulé"),0,N(T864)*N(U864)))</f>
        <v/>
      </c>
      <c r="W864" s="70">
        <f>IF($A864="","",SUMIFS('Mouvements stock'!$H$5:$H$3004,'Mouvements stock'!$I$5:$I$3004,$A864,'Mouvements stock'!$C$5:$C$3004,"Sortie")-SUMIFS('Mouvements stock'!$H$5:$H$3004,'Mouvements stock'!$I$5:$I$3004,$A864,'Mouvements stock'!$C$5:$C$3004,"Retour"))</f>
        <v/>
      </c>
      <c r="X864" s="66" t="n">
        <v>0</v>
      </c>
      <c r="Y864" s="66" t="n">
        <v>0</v>
      </c>
      <c r="Z864" s="7" t="n"/>
      <c r="AA864" s="70">
        <f>IF($A864="","",N(V864)+N(W864)+N(X864)+N(Y864))</f>
        <v/>
      </c>
      <c r="AB864" s="70">
        <f>IF($A864="","",N(S864)*'Paramètres'!$AA$9*IFERROR(INDEX('Paramètres'!$O$5:$O$7,MATCH(G864,'Paramètres'!$N$5:$N$7,0)),0))</f>
        <v/>
      </c>
      <c r="AC864" s="7" t="inlineStr">
        <is>
          <t>Clôturé</t>
        </is>
      </c>
      <c r="AD864" s="69">
        <f>IF(OR($A864="",Q864=""),"",(Q864-B864)*24)</f>
        <v/>
      </c>
      <c r="AE864" s="69">
        <f>IF(OR(Q864="",R864=""),"",(R864-Q864)*24)</f>
        <v/>
      </c>
      <c r="AF864" s="77">
        <f>IF(OR($A864="",B864=""),"",YEAR(B864))</f>
        <v/>
      </c>
      <c r="AG864" s="77">
        <f>IF(OR($A864="",B864=""),"",MONTH(B864))</f>
        <v/>
      </c>
    </row>
    <row r="865">
      <c r="A865" s="7" t="inlineStr">
        <is>
          <t>OT-2026-0010</t>
        </is>
      </c>
      <c r="B865" s="75" t="n">
        <v>46027.38194444445</v>
      </c>
      <c r="C865" s="7" t="inlineStr">
        <is>
          <t>Plan préventif</t>
        </is>
      </c>
      <c r="D865" s="7" t="inlineStr">
        <is>
          <t>EQ-ASS-006</t>
        </is>
      </c>
      <c r="E865" s="9">
        <f>IF(D865="","",IFERROR(INDEX('Équipements'!$B$5:$B$304,MATCH(D865,'Équipements'!$A$5:$A$304,0)),"Code inconnu"))</f>
        <v/>
      </c>
      <c r="F865" s="9">
        <f>IF(D865="","",IFERROR(INDEX('Équipements'!$D$5:$D$304,MATCH(D865,'Équipements'!$A$5:$A$304,0)),""))</f>
        <v/>
      </c>
      <c r="G865" s="9">
        <f>IF(D865="","",IFERROR(INDEX('Équipements'!$K$5:$K$304,MATCH(D865,'Équipements'!$A$5:$A$304,0)),""))</f>
        <v/>
      </c>
      <c r="H865" s="7" t="inlineStr">
        <is>
          <t>Préventif systématique</t>
        </is>
      </c>
      <c r="I865" s="7" t="inlineStr">
        <is>
          <t>GP-085</t>
        </is>
      </c>
      <c r="J865" s="7" t="inlineStr">
        <is>
          <t>Mécanique</t>
        </is>
      </c>
      <c r="K865" s="7" t="inlineStr">
        <is>
          <t>P3 - Normale</t>
        </is>
      </c>
      <c r="L865" s="7" t="inlineStr">
        <is>
          <t>Graissage chaîne / galets et contrôle tension</t>
        </is>
      </c>
      <c r="M865" s="7" t="n"/>
      <c r="N865" s="7" t="inlineStr">
        <is>
          <t>Gamme réalisée - RAS</t>
        </is>
      </c>
      <c r="O865" s="7" t="inlineStr">
        <is>
          <t>Lucas Fontaine</t>
        </is>
      </c>
      <c r="P865" s="65" t="n">
        <v>46034.36805555555</v>
      </c>
      <c r="Q865" s="75" t="n">
        <v>46034.40277777778</v>
      </c>
      <c r="R865" s="75" t="n">
        <v>46034.50694444445</v>
      </c>
      <c r="S865" s="76" t="n">
        <v>2.5</v>
      </c>
      <c r="T865" s="76" t="n">
        <v>2.5</v>
      </c>
      <c r="U865" s="70">
        <f>IF($A865="","",IFERROR(INDEX('Techniciens'!$F$5:$F$44,MATCH(O865,'Techniciens'!$B$5:$B$44,0)),'Paramètres'!$AA$10))</f>
        <v/>
      </c>
      <c r="V865" s="70">
        <f>IF($A865="","",IF(OR(AC865="Demandé",AC865="Planifié",AC865="Annulé"),0,N(T865)*N(U865)))</f>
        <v/>
      </c>
      <c r="W865" s="70">
        <f>IF($A865="","",SUMIFS('Mouvements stock'!$H$5:$H$3004,'Mouvements stock'!$I$5:$I$3004,$A865,'Mouvements stock'!$C$5:$C$3004,"Sortie")-SUMIFS('Mouvements stock'!$H$5:$H$3004,'Mouvements stock'!$I$5:$I$3004,$A865,'Mouvements stock'!$C$5:$C$3004,"Retour"))</f>
        <v/>
      </c>
      <c r="X865" s="66" t="n">
        <v>0</v>
      </c>
      <c r="Y865" s="66" t="n">
        <v>0</v>
      </c>
      <c r="Z865" s="7" t="n"/>
      <c r="AA865" s="70">
        <f>IF($A865="","",N(V865)+N(W865)+N(X865)+N(Y865))</f>
        <v/>
      </c>
      <c r="AB865" s="70">
        <f>IF($A865="","",N(S865)*'Paramètres'!$AA$9*IFERROR(INDEX('Paramètres'!$O$5:$O$7,MATCH(G865,'Paramètres'!$N$5:$N$7,0)),0))</f>
        <v/>
      </c>
      <c r="AC865" s="7" t="inlineStr">
        <is>
          <t>Clôturé</t>
        </is>
      </c>
      <c r="AD865" s="69">
        <f>IF(OR($A865="",Q865=""),"",(Q865-B865)*24)</f>
        <v/>
      </c>
      <c r="AE865" s="69">
        <f>IF(OR(Q865="",R865=""),"",(R865-Q865)*24)</f>
        <v/>
      </c>
      <c r="AF865" s="77">
        <f>IF(OR($A865="",B865=""),"",YEAR(B865))</f>
        <v/>
      </c>
      <c r="AG865" s="77">
        <f>IF(OR($A865="",B865=""),"",MONTH(B865))</f>
        <v/>
      </c>
    </row>
    <row r="866">
      <c r="A866" s="7" t="inlineStr">
        <is>
          <t>OT-2026-0011</t>
        </is>
      </c>
      <c r="B866" s="75" t="n">
        <v>46027.40625</v>
      </c>
      <c r="C866" s="7" t="inlineStr">
        <is>
          <t>Céline Morel (cheffe d'atelier)</t>
        </is>
      </c>
      <c r="D866" s="7" t="inlineStr">
        <is>
          <t>EQ-TOL-005</t>
        </is>
      </c>
      <c r="E866" s="9">
        <f>IF(D866="","",IFERROR(INDEX('Équipements'!$B$5:$B$304,MATCH(D866,'Équipements'!$A$5:$A$304,0)),"Code inconnu"))</f>
        <v/>
      </c>
      <c r="F866" s="9">
        <f>IF(D866="","",IFERROR(INDEX('Équipements'!$D$5:$D$304,MATCH(D866,'Équipements'!$A$5:$A$304,0)),""))</f>
        <v/>
      </c>
      <c r="G866" s="9">
        <f>IF(D866="","",IFERROR(INDEX('Équipements'!$K$5:$K$304,MATCH(D866,'Équipements'!$A$5:$A$304,0)),""))</f>
        <v/>
      </c>
      <c r="H866" s="7" t="inlineStr">
        <is>
          <t>Correctif</t>
        </is>
      </c>
      <c r="I866" s="7" t="n"/>
      <c r="J866" s="7" t="inlineStr">
        <is>
          <t>Hydraulique</t>
        </is>
      </c>
      <c r="K866" s="7" t="inlineStr">
        <is>
          <t>P1 - Urgent</t>
        </is>
      </c>
      <c r="L866" s="7" t="inlineStr">
        <is>
          <t>Fuite d'huile vérin principal</t>
        </is>
      </c>
      <c r="M866" s="7" t="inlineStr">
        <is>
          <t>Fuite</t>
        </is>
      </c>
      <c r="N866" s="7" t="inlineStr">
        <is>
          <t>Remplacement kit joints vérin</t>
        </is>
      </c>
      <c r="O866" s="7" t="inlineStr">
        <is>
          <t>Karim Benali</t>
        </is>
      </c>
      <c r="P866" s="65" t="n"/>
      <c r="Q866" s="75" t="n">
        <v>46027.42013888889</v>
      </c>
      <c r="R866" s="75" t="n">
        <v>46027.50347222222</v>
      </c>
      <c r="S866" s="76" t="n">
        <v>2.3</v>
      </c>
      <c r="T866" s="76" t="n">
        <v>2</v>
      </c>
      <c r="U866" s="70">
        <f>IF($A866="","",IFERROR(INDEX('Techniciens'!$F$5:$F$44,MATCH(O866,'Techniciens'!$B$5:$B$44,0)),'Paramètres'!$AA$10))</f>
        <v/>
      </c>
      <c r="V866" s="70">
        <f>IF($A866="","",IF(OR(AC866="Demandé",AC866="Planifié",AC866="Annulé"),0,N(T866)*N(U866)))</f>
        <v/>
      </c>
      <c r="W866" s="70">
        <f>IF($A866="","",SUMIFS('Mouvements stock'!$H$5:$H$3004,'Mouvements stock'!$I$5:$I$3004,$A866,'Mouvements stock'!$C$5:$C$3004,"Sortie")-SUMIFS('Mouvements stock'!$H$5:$H$3004,'Mouvements stock'!$I$5:$I$3004,$A866,'Mouvements stock'!$C$5:$C$3004,"Retour"))</f>
        <v/>
      </c>
      <c r="X866" s="66" t="n">
        <v>223</v>
      </c>
      <c r="Y866" s="66" t="n">
        <v>0</v>
      </c>
      <c r="Z866" s="7" t="n"/>
      <c r="AA866" s="70">
        <f>IF($A866="","",N(V866)+N(W866)+N(X866)+N(Y866))</f>
        <v/>
      </c>
      <c r="AB866" s="70">
        <f>IF($A866="","",N(S866)*'Paramètres'!$AA$9*IFERROR(INDEX('Paramètres'!$O$5:$O$7,MATCH(G866,'Paramètres'!$N$5:$N$7,0)),0))</f>
        <v/>
      </c>
      <c r="AC866" s="7" t="inlineStr">
        <is>
          <t>Clôturé</t>
        </is>
      </c>
      <c r="AD866" s="69">
        <f>IF(OR($A866="",Q866=""),"",(Q866-B866)*24)</f>
        <v/>
      </c>
      <c r="AE866" s="69">
        <f>IF(OR(Q866="",R866=""),"",(R866-Q866)*24)</f>
        <v/>
      </c>
      <c r="AF866" s="77">
        <f>IF(OR($A866="",B866=""),"",YEAR(B866))</f>
        <v/>
      </c>
      <c r="AG866" s="77">
        <f>IF(OR($A866="",B866=""),"",MONTH(B866))</f>
        <v/>
      </c>
    </row>
    <row r="867">
      <c r="A867" s="7" t="inlineStr">
        <is>
          <t>OT-2026-0012</t>
        </is>
      </c>
      <c r="B867" s="75" t="n">
        <v>46027.47916666666</v>
      </c>
      <c r="C867" s="7" t="inlineStr">
        <is>
          <t>Plan préventif</t>
        </is>
      </c>
      <c r="D867" s="7" t="inlineStr">
        <is>
          <t>EQ-TOL-001</t>
        </is>
      </c>
      <c r="E867" s="9">
        <f>IF(D867="","",IFERROR(INDEX('Équipements'!$B$5:$B$304,MATCH(D867,'Équipements'!$A$5:$A$304,0)),"Code inconnu"))</f>
        <v/>
      </c>
      <c r="F867" s="9">
        <f>IF(D867="","",IFERROR(INDEX('Équipements'!$D$5:$D$304,MATCH(D867,'Équipements'!$A$5:$A$304,0)),""))</f>
        <v/>
      </c>
      <c r="G867" s="9">
        <f>IF(D867="","",IFERROR(INDEX('Équipements'!$K$5:$K$304,MATCH(D867,'Équipements'!$A$5:$A$304,0)),""))</f>
        <v/>
      </c>
      <c r="H867" s="7" t="inlineStr">
        <is>
          <t>Préventif systématique</t>
        </is>
      </c>
      <c r="I867" s="7" t="inlineStr">
        <is>
          <t>GP-038</t>
        </is>
      </c>
      <c r="J867" s="7" t="inlineStr">
        <is>
          <t>Mécanique</t>
        </is>
      </c>
      <c r="K867" s="7" t="inlineStr">
        <is>
          <t>P3 - Normale</t>
        </is>
      </c>
      <c r="L867" s="7" t="inlineStr">
        <is>
          <t>Nettoyage optique, contrôle buse et lentille</t>
        </is>
      </c>
      <c r="M867" s="7" t="n"/>
      <c r="N867" s="7" t="inlineStr">
        <is>
          <t>Gamme réalisée - RAS</t>
        </is>
      </c>
      <c r="O867" s="7" t="inlineStr">
        <is>
          <t>Karim Benali</t>
        </is>
      </c>
      <c r="P867" s="65" t="n">
        <v>46034.44097222222</v>
      </c>
      <c r="Q867" s="75" t="n">
        <v>46034.31944444445</v>
      </c>
      <c r="R867" s="75" t="n">
        <v>46034.40277777778</v>
      </c>
      <c r="S867" s="76" t="n">
        <v>2</v>
      </c>
      <c r="T867" s="76" t="n">
        <v>2</v>
      </c>
      <c r="U867" s="70">
        <f>IF($A867="","",IFERROR(INDEX('Techniciens'!$F$5:$F$44,MATCH(O867,'Techniciens'!$B$5:$B$44,0)),'Paramètres'!$AA$10))</f>
        <v/>
      </c>
      <c r="V867" s="70">
        <f>IF($A867="","",IF(OR(AC867="Demandé",AC867="Planifié",AC867="Annulé"),0,N(T867)*N(U867)))</f>
        <v/>
      </c>
      <c r="W867" s="70">
        <f>IF($A867="","",SUMIFS('Mouvements stock'!$H$5:$H$3004,'Mouvements stock'!$I$5:$I$3004,$A867,'Mouvements stock'!$C$5:$C$3004,"Sortie")-SUMIFS('Mouvements stock'!$H$5:$H$3004,'Mouvements stock'!$I$5:$I$3004,$A867,'Mouvements stock'!$C$5:$C$3004,"Retour"))</f>
        <v/>
      </c>
      <c r="X867" s="66" t="n">
        <v>0</v>
      </c>
      <c r="Y867" s="66" t="n">
        <v>0</v>
      </c>
      <c r="Z867" s="7" t="n"/>
      <c r="AA867" s="70">
        <f>IF($A867="","",N(V867)+N(W867)+N(X867)+N(Y867))</f>
        <v/>
      </c>
      <c r="AB867" s="70">
        <f>IF($A867="","",N(S867)*'Paramètres'!$AA$9*IFERROR(INDEX('Paramètres'!$O$5:$O$7,MATCH(G867,'Paramètres'!$N$5:$N$7,0)),0))</f>
        <v/>
      </c>
      <c r="AC867" s="7" t="inlineStr">
        <is>
          <t>Clôturé</t>
        </is>
      </c>
      <c r="AD867" s="69">
        <f>IF(OR($A867="",Q867=""),"",(Q867-B867)*24)</f>
        <v/>
      </c>
      <c r="AE867" s="69">
        <f>IF(OR(Q867="",R867=""),"",(R867-Q867)*24)</f>
        <v/>
      </c>
      <c r="AF867" s="77">
        <f>IF(OR($A867="",B867=""),"",YEAR(B867))</f>
        <v/>
      </c>
      <c r="AG867" s="77">
        <f>IF(OR($A867="",B867=""),"",MONTH(B867))</f>
        <v/>
      </c>
    </row>
    <row r="868">
      <c r="A868" s="7" t="inlineStr">
        <is>
          <t>OT-2026-0013</t>
        </is>
      </c>
      <c r="B868" s="75" t="n">
        <v>46027.64097222222</v>
      </c>
      <c r="C868" s="7" t="inlineStr">
        <is>
          <t>Opérateur peinture</t>
        </is>
      </c>
      <c r="D868" s="7" t="inlineStr">
        <is>
          <t>EQ-PEI-004</t>
        </is>
      </c>
      <c r="E868" s="9">
        <f>IF(D868="","",IFERROR(INDEX('Équipements'!$B$5:$B$304,MATCH(D868,'Équipements'!$A$5:$A$304,0)),"Code inconnu"))</f>
        <v/>
      </c>
      <c r="F868" s="9">
        <f>IF(D868="","",IFERROR(INDEX('Équipements'!$D$5:$D$304,MATCH(D868,'Équipements'!$A$5:$A$304,0)),""))</f>
        <v/>
      </c>
      <c r="G868" s="9">
        <f>IF(D868="","",IFERROR(INDEX('Équipements'!$K$5:$K$304,MATCH(D868,'Équipements'!$A$5:$A$304,0)),""))</f>
        <v/>
      </c>
      <c r="H868" s="7" t="inlineStr">
        <is>
          <t>Correctif</t>
        </is>
      </c>
      <c r="I868" s="7" t="n"/>
      <c r="J868" s="7" t="inlineStr">
        <is>
          <t>Mécanique</t>
        </is>
      </c>
      <c r="K868" s="7" t="inlineStr">
        <is>
          <t>P2 - Haute</t>
        </is>
      </c>
      <c r="L868" s="7" t="inlineStr">
        <is>
          <t>Roulement de tambour bruyant</t>
        </is>
      </c>
      <c r="M868" s="7" t="inlineStr">
        <is>
          <t>Usure</t>
        </is>
      </c>
      <c r="N868" s="7" t="inlineStr">
        <is>
          <t>Remplacement roulements et palier</t>
        </is>
      </c>
      <c r="O868" s="7" t="inlineStr">
        <is>
          <t>Antoine Mercier</t>
        </is>
      </c>
      <c r="P868" s="65" t="n"/>
      <c r="Q868" s="75" t="n">
        <v>46027.71805555555</v>
      </c>
      <c r="R868" s="75" t="n">
        <v>46027.94722222222</v>
      </c>
      <c r="S868" s="76" t="n">
        <v>7.4</v>
      </c>
      <c r="T868" s="76" t="n">
        <v>5.5</v>
      </c>
      <c r="U868" s="70">
        <f>IF($A868="","",IFERROR(INDEX('Techniciens'!$F$5:$F$44,MATCH(O868,'Techniciens'!$B$5:$B$44,0)),'Paramètres'!$AA$10))</f>
        <v/>
      </c>
      <c r="V868" s="70">
        <f>IF($A868="","",IF(OR(AC868="Demandé",AC868="Planifié",AC868="Annulé"),0,N(T868)*N(U868)))</f>
        <v/>
      </c>
      <c r="W868" s="70">
        <f>IF($A868="","",SUMIFS('Mouvements stock'!$H$5:$H$3004,'Mouvements stock'!$I$5:$I$3004,$A868,'Mouvements stock'!$C$5:$C$3004,"Sortie")-SUMIFS('Mouvements stock'!$H$5:$H$3004,'Mouvements stock'!$I$5:$I$3004,$A868,'Mouvements stock'!$C$5:$C$3004,"Retour"))</f>
        <v/>
      </c>
      <c r="X868" s="66" t="n">
        <v>0</v>
      </c>
      <c r="Y868" s="66" t="n">
        <v>0</v>
      </c>
      <c r="Z868" s="7" t="n"/>
      <c r="AA868" s="70">
        <f>IF($A868="","",N(V868)+N(W868)+N(X868)+N(Y868))</f>
        <v/>
      </c>
      <c r="AB868" s="70">
        <f>IF($A868="","",N(S868)*'Paramètres'!$AA$9*IFERROR(INDEX('Paramètres'!$O$5:$O$7,MATCH(G868,'Paramètres'!$N$5:$N$7,0)),0))</f>
        <v/>
      </c>
      <c r="AC868" s="7" t="inlineStr">
        <is>
          <t>Clôturé</t>
        </is>
      </c>
      <c r="AD868" s="69">
        <f>IF(OR($A868="",Q868=""),"",(Q868-B868)*24)</f>
        <v/>
      </c>
      <c r="AE868" s="69">
        <f>IF(OR(Q868="",R868=""),"",(R868-Q868)*24)</f>
        <v/>
      </c>
      <c r="AF868" s="77">
        <f>IF(OR($A868="",B868=""),"",YEAR(B868))</f>
        <v/>
      </c>
      <c r="AG868" s="77">
        <f>IF(OR($A868="",B868=""),"",MONTH(B868))</f>
        <v/>
      </c>
    </row>
    <row r="869">
      <c r="A869" s="7" t="inlineStr">
        <is>
          <t>OT-2026-0014</t>
        </is>
      </c>
      <c r="B869" s="75" t="n">
        <v>46029.36111111111</v>
      </c>
      <c r="C869" s="7" t="inlineStr">
        <is>
          <t>Plan préventif</t>
        </is>
      </c>
      <c r="D869" s="7" t="inlineStr">
        <is>
          <t>EQ-LOG-008</t>
        </is>
      </c>
      <c r="E869" s="9">
        <f>IF(D869="","",IFERROR(INDEX('Équipements'!$B$5:$B$304,MATCH(D869,'Équipements'!$A$5:$A$304,0)),"Code inconnu"))</f>
        <v/>
      </c>
      <c r="F869" s="9">
        <f>IF(D869="","",IFERROR(INDEX('Équipements'!$D$5:$D$304,MATCH(D869,'Équipements'!$A$5:$A$304,0)),""))</f>
        <v/>
      </c>
      <c r="G869" s="9">
        <f>IF(D869="","",IFERROR(INDEX('Équipements'!$K$5:$K$304,MATCH(D869,'Équipements'!$A$5:$A$304,0)),""))</f>
        <v/>
      </c>
      <c r="H869" s="7" t="inlineStr">
        <is>
          <t>Préventif systématique</t>
        </is>
      </c>
      <c r="I869" s="7" t="inlineStr">
        <is>
          <t>GP-119</t>
        </is>
      </c>
      <c r="J869" s="7" t="inlineStr">
        <is>
          <t>Mécanique</t>
        </is>
      </c>
      <c r="K869" s="7" t="inlineStr">
        <is>
          <t>P3 - Normale</t>
        </is>
      </c>
      <c r="L869" s="7" t="inlineStr">
        <is>
          <t>Contrôle câbles, crochets, freins et fins de course</t>
        </is>
      </c>
      <c r="M869" s="7" t="n"/>
      <c r="N869" s="7" t="inlineStr">
        <is>
          <t>Gamme réalisée - RAS</t>
        </is>
      </c>
      <c r="O869" s="7" t="inlineStr">
        <is>
          <t>Karim Benali</t>
        </is>
      </c>
      <c r="P869" s="65" t="n">
        <v>46036.46527777778</v>
      </c>
      <c r="Q869" s="75" t="n">
        <v>46036.44444444445</v>
      </c>
      <c r="R869" s="75" t="n">
        <v>46036.60069444445</v>
      </c>
      <c r="S869" s="76" t="n">
        <v>3.8</v>
      </c>
      <c r="T869" s="76" t="n">
        <v>3.75</v>
      </c>
      <c r="U869" s="70">
        <f>IF($A869="","",IFERROR(INDEX('Techniciens'!$F$5:$F$44,MATCH(O869,'Techniciens'!$B$5:$B$44,0)),'Paramètres'!$AA$10))</f>
        <v/>
      </c>
      <c r="V869" s="70">
        <f>IF($A869="","",IF(OR(AC869="Demandé",AC869="Planifié",AC869="Annulé"),0,N(T869)*N(U869)))</f>
        <v/>
      </c>
      <c r="W869" s="70">
        <f>IF($A869="","",SUMIFS('Mouvements stock'!$H$5:$H$3004,'Mouvements stock'!$I$5:$I$3004,$A869,'Mouvements stock'!$C$5:$C$3004,"Sortie")-SUMIFS('Mouvements stock'!$H$5:$H$3004,'Mouvements stock'!$I$5:$I$3004,$A869,'Mouvements stock'!$C$5:$C$3004,"Retour"))</f>
        <v/>
      </c>
      <c r="X869" s="66" t="n">
        <v>0</v>
      </c>
      <c r="Y869" s="66" t="n">
        <v>0</v>
      </c>
      <c r="Z869" s="7" t="n"/>
      <c r="AA869" s="70">
        <f>IF($A869="","",N(V869)+N(W869)+N(X869)+N(Y869))</f>
        <v/>
      </c>
      <c r="AB869" s="70">
        <f>IF($A869="","",N(S869)*'Paramètres'!$AA$9*IFERROR(INDEX('Paramètres'!$O$5:$O$7,MATCH(G869,'Paramètres'!$N$5:$N$7,0)),0))</f>
        <v/>
      </c>
      <c r="AC869" s="7" t="inlineStr">
        <is>
          <t>Clôturé</t>
        </is>
      </c>
      <c r="AD869" s="69">
        <f>IF(OR($A869="",Q869=""),"",(Q869-B869)*24)</f>
        <v/>
      </c>
      <c r="AE869" s="69">
        <f>IF(OR(Q869="",R869=""),"",(R869-Q869)*24)</f>
        <v/>
      </c>
      <c r="AF869" s="77">
        <f>IF(OR($A869="",B869=""),"",YEAR(B869))</f>
        <v/>
      </c>
      <c r="AG869" s="77">
        <f>IF(OR($A869="",B869=""),"",MONTH(B869))</f>
        <v/>
      </c>
    </row>
    <row r="870">
      <c r="A870" s="7" t="inlineStr">
        <is>
          <t>OT-2026-0015</t>
        </is>
      </c>
      <c r="B870" s="75" t="n">
        <v>46029.375</v>
      </c>
      <c r="C870" s="7" t="inlineStr">
        <is>
          <t>Plan préventif</t>
        </is>
      </c>
      <c r="D870" s="7" t="inlineStr">
        <is>
          <t>EQ-LOG-002</t>
        </is>
      </c>
      <c r="E870" s="9">
        <f>IF(D870="","",IFERROR(INDEX('Équipements'!$B$5:$B$304,MATCH(D870,'Équipements'!$A$5:$A$304,0)),"Code inconnu"))</f>
        <v/>
      </c>
      <c r="F870" s="9">
        <f>IF(D870="","",IFERROR(INDEX('Équipements'!$D$5:$D$304,MATCH(D870,'Équipements'!$A$5:$A$304,0)),""))</f>
        <v/>
      </c>
      <c r="G870" s="9">
        <f>IF(D870="","",IFERROR(INDEX('Équipements'!$K$5:$K$304,MATCH(D870,'Équipements'!$A$5:$A$304,0)),""))</f>
        <v/>
      </c>
      <c r="H870" s="7" t="inlineStr">
        <is>
          <t>Préventif systématique</t>
        </is>
      </c>
      <c r="I870" s="7" t="inlineStr">
        <is>
          <t>GP-107</t>
        </is>
      </c>
      <c r="J870" s="7" t="inlineStr">
        <is>
          <t>Multi-technique</t>
        </is>
      </c>
      <c r="K870" s="7" t="inlineStr">
        <is>
          <t>P3 - Normale</t>
        </is>
      </c>
      <c r="L870" s="7" t="inlineStr">
        <is>
          <t>Entretien périodique constructeur</t>
        </is>
      </c>
      <c r="M870" s="7" t="n"/>
      <c r="N870" s="7" t="inlineStr">
        <is>
          <t>Gamme réalisée - RAS</t>
        </is>
      </c>
      <c r="O870" s="7" t="inlineStr">
        <is>
          <t>Antoine Mercier</t>
        </is>
      </c>
      <c r="P870" s="65" t="n">
        <v>46036.44791666666</v>
      </c>
      <c r="Q870" s="75" t="n">
        <v>46036.51388888889</v>
      </c>
      <c r="R870" s="75" t="n">
        <v>46036.64930555555</v>
      </c>
      <c r="S870" s="76" t="n">
        <v>1.6</v>
      </c>
      <c r="T870" s="76" t="n">
        <v>2</v>
      </c>
      <c r="U870" s="70">
        <f>IF($A870="","",IFERROR(INDEX('Techniciens'!$F$5:$F$44,MATCH(O870,'Techniciens'!$B$5:$B$44,0)),'Paramètres'!$AA$10))</f>
        <v/>
      </c>
      <c r="V870" s="70">
        <f>IF($A870="","",IF(OR(AC870="Demandé",AC870="Planifié",AC870="Annulé"),0,N(T870)*N(U870)))</f>
        <v/>
      </c>
      <c r="W870" s="70">
        <f>IF($A870="","",SUMIFS('Mouvements stock'!$H$5:$H$3004,'Mouvements stock'!$I$5:$I$3004,$A870,'Mouvements stock'!$C$5:$C$3004,"Sortie")-SUMIFS('Mouvements stock'!$H$5:$H$3004,'Mouvements stock'!$I$5:$I$3004,$A870,'Mouvements stock'!$C$5:$C$3004,"Retour"))</f>
        <v/>
      </c>
      <c r="X870" s="66" t="n">
        <v>0</v>
      </c>
      <c r="Y870" s="66" t="n">
        <v>440</v>
      </c>
      <c r="Z870" s="7" t="inlineStr">
        <is>
          <t>Manutention Services 44</t>
        </is>
      </c>
      <c r="AA870" s="70">
        <f>IF($A870="","",N(V870)+N(W870)+N(X870)+N(Y870))</f>
        <v/>
      </c>
      <c r="AB870" s="70">
        <f>IF($A870="","",N(S870)*'Paramètres'!$AA$9*IFERROR(INDEX('Paramètres'!$O$5:$O$7,MATCH(G870,'Paramètres'!$N$5:$N$7,0)),0))</f>
        <v/>
      </c>
      <c r="AC870" s="7" t="inlineStr">
        <is>
          <t>Clôturé</t>
        </is>
      </c>
      <c r="AD870" s="69">
        <f>IF(OR($A870="",Q870=""),"",(Q870-B870)*24)</f>
        <v/>
      </c>
      <c r="AE870" s="69">
        <f>IF(OR(Q870="",R870=""),"",(R870-Q870)*24)</f>
        <v/>
      </c>
      <c r="AF870" s="77">
        <f>IF(OR($A870="",B870=""),"",YEAR(B870))</f>
        <v/>
      </c>
      <c r="AG870" s="77">
        <f>IF(OR($A870="",B870=""),"",MONTH(B870))</f>
        <v/>
      </c>
    </row>
    <row r="871">
      <c r="A871" s="7" t="inlineStr">
        <is>
          <t>OT-2026-0016</t>
        </is>
      </c>
      <c r="B871" s="75" t="n">
        <v>46029.46875</v>
      </c>
      <c r="C871" s="7" t="inlineStr">
        <is>
          <t>Plan préventif</t>
        </is>
      </c>
      <c r="D871" s="7" t="inlineStr">
        <is>
          <t>EQ-ASS-002</t>
        </is>
      </c>
      <c r="E871" s="9">
        <f>IF(D871="","",IFERROR(INDEX('Équipements'!$B$5:$B$304,MATCH(D871,'Équipements'!$A$5:$A$304,0)),"Code inconnu"))</f>
        <v/>
      </c>
      <c r="F871" s="9">
        <f>IF(D871="","",IFERROR(INDEX('Équipements'!$D$5:$D$304,MATCH(D871,'Équipements'!$A$5:$A$304,0)),""))</f>
        <v/>
      </c>
      <c r="G871" s="9">
        <f>IF(D871="","",IFERROR(INDEX('Équipements'!$K$5:$K$304,MATCH(D871,'Équipements'!$A$5:$A$304,0)),""))</f>
        <v/>
      </c>
      <c r="H871" s="7" t="inlineStr">
        <is>
          <t>Préventif systématique</t>
        </is>
      </c>
      <c r="I871" s="7" t="inlineStr">
        <is>
          <t>GP-078</t>
        </is>
      </c>
      <c r="J871" s="7" t="inlineStr">
        <is>
          <t>Hydraulique</t>
        </is>
      </c>
      <c r="K871" s="7" t="inlineStr">
        <is>
          <t>P3 - Normale</t>
        </is>
      </c>
      <c r="L871" s="7" t="inlineStr">
        <is>
          <t>Contrôle hydraulique : fuites, niveaux, pressions</t>
        </is>
      </c>
      <c r="M871" s="7" t="n"/>
      <c r="N871" s="7" t="inlineStr">
        <is>
          <t>Gamme réalisée - RAS</t>
        </is>
      </c>
      <c r="O871" s="7" t="inlineStr">
        <is>
          <t>Karim Benali</t>
        </is>
      </c>
      <c r="P871" s="65" t="n">
        <v>46036.51388888889</v>
      </c>
      <c r="Q871" s="75" t="n">
        <v>46036.25694444445</v>
      </c>
      <c r="R871" s="75" t="n">
        <v>46036.35069444445</v>
      </c>
      <c r="S871" s="76" t="n">
        <v>2.2</v>
      </c>
      <c r="T871" s="76" t="n">
        <v>2.25</v>
      </c>
      <c r="U871" s="70">
        <f>IF($A871="","",IFERROR(INDEX('Techniciens'!$F$5:$F$44,MATCH(O871,'Techniciens'!$B$5:$B$44,0)),'Paramètres'!$AA$10))</f>
        <v/>
      </c>
      <c r="V871" s="70">
        <f>IF($A871="","",IF(OR(AC871="Demandé",AC871="Planifié",AC871="Annulé"),0,N(T871)*N(U871)))</f>
        <v/>
      </c>
      <c r="W871" s="70">
        <f>IF($A871="","",SUMIFS('Mouvements stock'!$H$5:$H$3004,'Mouvements stock'!$I$5:$I$3004,$A871,'Mouvements stock'!$C$5:$C$3004,"Sortie")-SUMIFS('Mouvements stock'!$H$5:$H$3004,'Mouvements stock'!$I$5:$I$3004,$A871,'Mouvements stock'!$C$5:$C$3004,"Retour"))</f>
        <v/>
      </c>
      <c r="X871" s="66" t="n">
        <v>0</v>
      </c>
      <c r="Y871" s="66" t="n">
        <v>0</v>
      </c>
      <c r="Z871" s="7" t="n"/>
      <c r="AA871" s="70">
        <f>IF($A871="","",N(V871)+N(W871)+N(X871)+N(Y871))</f>
        <v/>
      </c>
      <c r="AB871" s="70">
        <f>IF($A871="","",N(S871)*'Paramètres'!$AA$9*IFERROR(INDEX('Paramètres'!$O$5:$O$7,MATCH(G871,'Paramètres'!$N$5:$N$7,0)),0))</f>
        <v/>
      </c>
      <c r="AC871" s="7" t="inlineStr">
        <is>
          <t>Clôturé</t>
        </is>
      </c>
      <c r="AD871" s="69">
        <f>IF(OR($A871="",Q871=""),"",(Q871-B871)*24)</f>
        <v/>
      </c>
      <c r="AE871" s="69">
        <f>IF(OR(Q871="",R871=""),"",(R871-Q871)*24)</f>
        <v/>
      </c>
      <c r="AF871" s="77">
        <f>IF(OR($A871="",B871=""),"",YEAR(B871))</f>
        <v/>
      </c>
      <c r="AG871" s="77">
        <f>IF(OR($A871="",B871=""),"",MONTH(B871))</f>
        <v/>
      </c>
    </row>
    <row r="872">
      <c r="A872" s="7" t="inlineStr">
        <is>
          <t>OT-2026-0017</t>
        </is>
      </c>
      <c r="B872" s="75" t="n">
        <v>46031.36805555555</v>
      </c>
      <c r="C872" s="7" t="inlineStr">
        <is>
          <t>Planning réglementaire</t>
        </is>
      </c>
      <c r="D872" s="7" t="inlineStr">
        <is>
          <t>EQ-LOG-005</t>
        </is>
      </c>
      <c r="E872" s="9">
        <f>IF(D872="","",IFERROR(INDEX('Équipements'!$B$5:$B$304,MATCH(D872,'Équipements'!$A$5:$A$304,0)),"Code inconnu"))</f>
        <v/>
      </c>
      <c r="F872" s="9">
        <f>IF(D872="","",IFERROR(INDEX('Équipements'!$D$5:$D$304,MATCH(D872,'Équipements'!$A$5:$A$304,0)),""))</f>
        <v/>
      </c>
      <c r="G872" s="9">
        <f>IF(D872="","",IFERROR(INDEX('Équipements'!$K$5:$K$304,MATCH(D872,'Équipements'!$A$5:$A$304,0)),""))</f>
        <v/>
      </c>
      <c r="H872" s="7" t="inlineStr">
        <is>
          <t>Réglementaire</t>
        </is>
      </c>
      <c r="I872" s="7" t="inlineStr">
        <is>
          <t>CR-008</t>
        </is>
      </c>
      <c r="J872" s="7" t="inlineStr">
        <is>
          <t>Multi-technique</t>
        </is>
      </c>
      <c r="K872" s="7" t="inlineStr">
        <is>
          <t>P2 - Haute</t>
        </is>
      </c>
      <c r="L872" s="7" t="inlineStr">
        <is>
          <t>VGP plateforme élévatrice mobile de personnes</t>
        </is>
      </c>
      <c r="M872" s="7" t="n"/>
      <c r="N872" s="7" t="inlineStr">
        <is>
          <t>Contrôle réalisé - rapport reçu</t>
        </is>
      </c>
      <c r="O872" s="7" t="inlineStr">
        <is>
          <t>Marc Lefèvre</t>
        </is>
      </c>
      <c r="P872" s="65" t="n">
        <v>46052</v>
      </c>
      <c r="Q872" s="75" t="n">
        <v>46052.5</v>
      </c>
      <c r="R872" s="75" t="n">
        <v>46052.52083333334</v>
      </c>
      <c r="S872" s="76" t="n">
        <v>0</v>
      </c>
      <c r="T872" s="76" t="n">
        <v>0.5</v>
      </c>
      <c r="U872" s="70">
        <f>IF($A872="","",IFERROR(INDEX('Techniciens'!$F$5:$F$44,MATCH(O872,'Techniciens'!$B$5:$B$44,0)),'Paramètres'!$AA$10))</f>
        <v/>
      </c>
      <c r="V872" s="70">
        <f>IF($A872="","",IF(OR(AC872="Demandé",AC872="Planifié",AC872="Annulé"),0,N(T872)*N(U872)))</f>
        <v/>
      </c>
      <c r="W872" s="70">
        <f>IF($A872="","",SUMIFS('Mouvements stock'!$H$5:$H$3004,'Mouvements stock'!$I$5:$I$3004,$A872,'Mouvements stock'!$C$5:$C$3004,"Sortie")-SUMIFS('Mouvements stock'!$H$5:$H$3004,'Mouvements stock'!$I$5:$I$3004,$A872,'Mouvements stock'!$C$5:$C$3004,"Retour"))</f>
        <v/>
      </c>
      <c r="X872" s="66" t="n">
        <v>0</v>
      </c>
      <c r="Y872" s="66" t="n">
        <v>150</v>
      </c>
      <c r="Z872" s="7" t="inlineStr">
        <is>
          <t>CONTROLIS (organisme fictif)</t>
        </is>
      </c>
      <c r="AA872" s="70">
        <f>IF($A872="","",N(V872)+N(W872)+N(X872)+N(Y872))</f>
        <v/>
      </c>
      <c r="AB872" s="70">
        <f>IF($A872="","",N(S872)*'Paramètres'!$AA$9*IFERROR(INDEX('Paramètres'!$O$5:$O$7,MATCH(G872,'Paramètres'!$N$5:$N$7,0)),0))</f>
        <v/>
      </c>
      <c r="AC872" s="7" t="inlineStr">
        <is>
          <t>Clôturé</t>
        </is>
      </c>
      <c r="AD872" s="69">
        <f>IF(OR($A872="",Q872=""),"",(Q872-B872)*24)</f>
        <v/>
      </c>
      <c r="AE872" s="69">
        <f>IF(OR(Q872="",R872=""),"",(R872-Q872)*24)</f>
        <v/>
      </c>
      <c r="AF872" s="77">
        <f>IF(OR($A872="",B872=""),"",YEAR(B872))</f>
        <v/>
      </c>
      <c r="AG872" s="77">
        <f>IF(OR($A872="",B872=""),"",MONTH(B872))</f>
        <v/>
      </c>
    </row>
    <row r="873">
      <c r="A873" s="7" t="inlineStr">
        <is>
          <t>OT-2026-0018</t>
        </is>
      </c>
      <c r="B873" s="75" t="n">
        <v>46031.38055555556</v>
      </c>
      <c r="C873" s="7" t="inlineStr">
        <is>
          <t>Éric Laurent (chef d'atelier)</t>
        </is>
      </c>
      <c r="D873" s="7" t="inlineStr">
        <is>
          <t>EQ-USI-009</t>
        </is>
      </c>
      <c r="E873" s="9">
        <f>IF(D873="","",IFERROR(INDEX('Équipements'!$B$5:$B$304,MATCH(D873,'Équipements'!$A$5:$A$304,0)),"Code inconnu"))</f>
        <v/>
      </c>
      <c r="F873" s="9">
        <f>IF(D873="","",IFERROR(INDEX('Équipements'!$D$5:$D$304,MATCH(D873,'Équipements'!$A$5:$A$304,0)),""))</f>
        <v/>
      </c>
      <c r="G873" s="9">
        <f>IF(D873="","",IFERROR(INDEX('Équipements'!$K$5:$K$304,MATCH(D873,'Équipements'!$A$5:$A$304,0)),""))</f>
        <v/>
      </c>
      <c r="H873" s="7" t="inlineStr">
        <is>
          <t>Correctif</t>
        </is>
      </c>
      <c r="I873" s="7" t="n"/>
      <c r="J873" s="7" t="inlineStr">
        <is>
          <t>Hydraulique</t>
        </is>
      </c>
      <c r="K873" s="7" t="inlineStr">
        <is>
          <t>P3 - Normale</t>
        </is>
      </c>
      <c r="L873" s="7" t="inlineStr">
        <is>
          <t>Défaut avance hydraulique</t>
        </is>
      </c>
      <c r="M873" s="7" t="inlineStr">
        <is>
          <t>Fuite</t>
        </is>
      </c>
      <c r="N873" s="7" t="inlineStr">
        <is>
          <t>Remplacement joint et flexible</t>
        </is>
      </c>
      <c r="O873" s="7" t="inlineStr">
        <is>
          <t>Karim Benali</t>
        </is>
      </c>
      <c r="P873" s="65" t="n"/>
      <c r="Q873" s="75" t="n">
        <v>46031.83472222222</v>
      </c>
      <c r="R873" s="75" t="n">
        <v>46032.03263888889</v>
      </c>
      <c r="S873" s="76" t="n">
        <v>0</v>
      </c>
      <c r="T873" s="76" t="n">
        <v>4.75</v>
      </c>
      <c r="U873" s="70">
        <f>IF($A873="","",IFERROR(INDEX('Techniciens'!$F$5:$F$44,MATCH(O873,'Techniciens'!$B$5:$B$44,0)),'Paramètres'!$AA$10))</f>
        <v/>
      </c>
      <c r="V873" s="70">
        <f>IF($A873="","",IF(OR(AC873="Demandé",AC873="Planifié",AC873="Annulé"),0,N(T873)*N(U873)))</f>
        <v/>
      </c>
      <c r="W873" s="70">
        <f>IF($A873="","",SUMIFS('Mouvements stock'!$H$5:$H$3004,'Mouvements stock'!$I$5:$I$3004,$A873,'Mouvements stock'!$C$5:$C$3004,"Sortie")-SUMIFS('Mouvements stock'!$H$5:$H$3004,'Mouvements stock'!$I$5:$I$3004,$A873,'Mouvements stock'!$C$5:$C$3004,"Retour"))</f>
        <v/>
      </c>
      <c r="X873" s="66" t="n">
        <v>0</v>
      </c>
      <c r="Y873" s="66" t="n">
        <v>0</v>
      </c>
      <c r="Z873" s="7" t="n"/>
      <c r="AA873" s="70">
        <f>IF($A873="","",N(V873)+N(W873)+N(X873)+N(Y873))</f>
        <v/>
      </c>
      <c r="AB873" s="70">
        <f>IF($A873="","",N(S873)*'Paramètres'!$AA$9*IFERROR(INDEX('Paramètres'!$O$5:$O$7,MATCH(G873,'Paramètres'!$N$5:$N$7,0)),0))</f>
        <v/>
      </c>
      <c r="AC873" s="7" t="inlineStr">
        <is>
          <t>Clôturé</t>
        </is>
      </c>
      <c r="AD873" s="69">
        <f>IF(OR($A873="",Q873=""),"",(Q873-B873)*24)</f>
        <v/>
      </c>
      <c r="AE873" s="69">
        <f>IF(OR(Q873="",R873=""),"",(R873-Q873)*24)</f>
        <v/>
      </c>
      <c r="AF873" s="77">
        <f>IF(OR($A873="",B873=""),"",YEAR(B873))</f>
        <v/>
      </c>
      <c r="AG873" s="77">
        <f>IF(OR($A873="",B873=""),"",MONTH(B873))</f>
        <v/>
      </c>
    </row>
    <row r="874">
      <c r="A874" s="7" t="inlineStr">
        <is>
          <t>OT-2026-0019</t>
        </is>
      </c>
      <c r="B874" s="75" t="n">
        <v>46031.4375</v>
      </c>
      <c r="C874" s="7" t="inlineStr">
        <is>
          <t>Plan préventif</t>
        </is>
      </c>
      <c r="D874" s="7" t="inlineStr">
        <is>
          <t>EQ-USI-001</t>
        </is>
      </c>
      <c r="E874" s="9">
        <f>IF(D874="","",IFERROR(INDEX('Équipements'!$B$5:$B$304,MATCH(D874,'Équipements'!$A$5:$A$304,0)),"Code inconnu"))</f>
        <v/>
      </c>
      <c r="F874" s="9">
        <f>IF(D874="","",IFERROR(INDEX('Équipements'!$D$5:$D$304,MATCH(D874,'Équipements'!$A$5:$A$304,0)),""))</f>
        <v/>
      </c>
      <c r="G874" s="9">
        <f>IF(D874="","",IFERROR(INDEX('Équipements'!$K$5:$K$304,MATCH(D874,'Équipements'!$A$5:$A$304,0)),""))</f>
        <v/>
      </c>
      <c r="H874" s="7" t="inlineStr">
        <is>
          <t>Préventif systématique</t>
        </is>
      </c>
      <c r="I874" s="7" t="inlineStr">
        <is>
          <t>GP-001</t>
        </is>
      </c>
      <c r="J874" s="7" t="inlineStr">
        <is>
          <t>Mécanique</t>
        </is>
      </c>
      <c r="K874" s="7" t="inlineStr">
        <is>
          <t>P3 - Normale</t>
        </is>
      </c>
      <c r="L874" s="7" t="inlineStr">
        <is>
          <t>Contrôle niveaux, nettoyage filtres et bac à copeaux</t>
        </is>
      </c>
      <c r="M874" s="7" t="n"/>
      <c r="N874" s="7" t="inlineStr">
        <is>
          <t>Gamme réalisée - RAS</t>
        </is>
      </c>
      <c r="O874" s="7" t="inlineStr">
        <is>
          <t>Antoine Mercier</t>
        </is>
      </c>
      <c r="P874" s="65" t="n">
        <v>46038.62152777778</v>
      </c>
      <c r="Q874" s="75" t="n">
        <v>46038.45833333334</v>
      </c>
      <c r="R874" s="75" t="n">
        <v>46038.51041666666</v>
      </c>
      <c r="S874" s="76" t="n">
        <v>0</v>
      </c>
      <c r="T874" s="76" t="n">
        <v>1.25</v>
      </c>
      <c r="U874" s="70">
        <f>IF($A874="","",IFERROR(INDEX('Techniciens'!$F$5:$F$44,MATCH(O874,'Techniciens'!$B$5:$B$44,0)),'Paramètres'!$AA$10))</f>
        <v/>
      </c>
      <c r="V874" s="70">
        <f>IF($A874="","",IF(OR(AC874="Demandé",AC874="Planifié",AC874="Annulé"),0,N(T874)*N(U874)))</f>
        <v/>
      </c>
      <c r="W874" s="70">
        <f>IF($A874="","",SUMIFS('Mouvements stock'!$H$5:$H$3004,'Mouvements stock'!$I$5:$I$3004,$A874,'Mouvements stock'!$C$5:$C$3004,"Sortie")-SUMIFS('Mouvements stock'!$H$5:$H$3004,'Mouvements stock'!$I$5:$I$3004,$A874,'Mouvements stock'!$C$5:$C$3004,"Retour"))</f>
        <v/>
      </c>
      <c r="X874" s="66" t="n">
        <v>0</v>
      </c>
      <c r="Y874" s="66" t="n">
        <v>0</v>
      </c>
      <c r="Z874" s="7" t="n"/>
      <c r="AA874" s="70">
        <f>IF($A874="","",N(V874)+N(W874)+N(X874)+N(Y874))</f>
        <v/>
      </c>
      <c r="AB874" s="70">
        <f>IF($A874="","",N(S874)*'Paramètres'!$AA$9*IFERROR(INDEX('Paramètres'!$O$5:$O$7,MATCH(G874,'Paramètres'!$N$5:$N$7,0)),0))</f>
        <v/>
      </c>
      <c r="AC874" s="7" t="inlineStr">
        <is>
          <t>Clôturé</t>
        </is>
      </c>
      <c r="AD874" s="69">
        <f>IF(OR($A874="",Q874=""),"",(Q874-B874)*24)</f>
        <v/>
      </c>
      <c r="AE874" s="69">
        <f>IF(OR(Q874="",R874=""),"",(R874-Q874)*24)</f>
        <v/>
      </c>
      <c r="AF874" s="77">
        <f>IF(OR($A874="",B874=""),"",YEAR(B874))</f>
        <v/>
      </c>
      <c r="AG874" s="77">
        <f>IF(OR($A874="",B874=""),"",MONTH(B874))</f>
        <v/>
      </c>
    </row>
    <row r="875">
      <c r="A875" s="7" t="inlineStr">
        <is>
          <t>OT-2026-0020</t>
        </is>
      </c>
      <c r="B875" s="75" t="n">
        <v>46031.78819444445</v>
      </c>
      <c r="C875" s="7" t="inlineStr">
        <is>
          <t>Opérateur peinture</t>
        </is>
      </c>
      <c r="D875" s="7" t="inlineStr">
        <is>
          <t>EQ-PEI-004</t>
        </is>
      </c>
      <c r="E875" s="9">
        <f>IF(D875="","",IFERROR(INDEX('Équipements'!$B$5:$B$304,MATCH(D875,'Équipements'!$A$5:$A$304,0)),"Code inconnu"))</f>
        <v/>
      </c>
      <c r="F875" s="9">
        <f>IF(D875="","",IFERROR(INDEX('Équipements'!$D$5:$D$304,MATCH(D875,'Équipements'!$A$5:$A$304,0)),""))</f>
        <v/>
      </c>
      <c r="G875" s="9">
        <f>IF(D875="","",IFERROR(INDEX('Équipements'!$K$5:$K$304,MATCH(D875,'Équipements'!$A$5:$A$304,0)),""))</f>
        <v/>
      </c>
      <c r="H875" s="7" t="inlineStr">
        <is>
          <t>Correctif</t>
        </is>
      </c>
      <c r="I875" s="7" t="n"/>
      <c r="J875" s="7" t="inlineStr">
        <is>
          <t>Électrique</t>
        </is>
      </c>
      <c r="K875" s="7" t="inlineStr">
        <is>
          <t>P2 - Haute</t>
        </is>
      </c>
      <c r="L875" s="7" t="inlineStr">
        <is>
          <t>Détecteur de présence HS</t>
        </is>
      </c>
      <c r="M875" s="7" t="inlineStr">
        <is>
          <t>Défaut capteur</t>
        </is>
      </c>
      <c r="N875" s="7" t="inlineStr">
        <is>
          <t>Remplacement détecteur</t>
        </is>
      </c>
      <c r="O875" s="7" t="inlineStr">
        <is>
          <t>Thomas Petit</t>
        </is>
      </c>
      <c r="P875" s="65" t="n"/>
      <c r="Q875" s="75" t="n">
        <v>46031.87777777778</v>
      </c>
      <c r="R875" s="75" t="n">
        <v>46032.00277777778</v>
      </c>
      <c r="S875" s="76" t="n">
        <v>5.2</v>
      </c>
      <c r="T875" s="76" t="n">
        <v>3</v>
      </c>
      <c r="U875" s="70">
        <f>IF($A875="","",IFERROR(INDEX('Techniciens'!$F$5:$F$44,MATCH(O875,'Techniciens'!$B$5:$B$44,0)),'Paramètres'!$AA$10))</f>
        <v/>
      </c>
      <c r="V875" s="70">
        <f>IF($A875="","",IF(OR(AC875="Demandé",AC875="Planifié",AC875="Annulé"),0,N(T875)*N(U875)))</f>
        <v/>
      </c>
      <c r="W875" s="70">
        <f>IF($A875="","",SUMIFS('Mouvements stock'!$H$5:$H$3004,'Mouvements stock'!$I$5:$I$3004,$A875,'Mouvements stock'!$C$5:$C$3004,"Sortie")-SUMIFS('Mouvements stock'!$H$5:$H$3004,'Mouvements stock'!$I$5:$I$3004,$A875,'Mouvements stock'!$C$5:$C$3004,"Retour"))</f>
        <v/>
      </c>
      <c r="X875" s="66" t="n">
        <v>0</v>
      </c>
      <c r="Y875" s="66" t="n">
        <v>0</v>
      </c>
      <c r="Z875" s="7" t="n"/>
      <c r="AA875" s="70">
        <f>IF($A875="","",N(V875)+N(W875)+N(X875)+N(Y875))</f>
        <v/>
      </c>
      <c r="AB875" s="70">
        <f>IF($A875="","",N(S875)*'Paramètres'!$AA$9*IFERROR(INDEX('Paramètres'!$O$5:$O$7,MATCH(G875,'Paramètres'!$N$5:$N$7,0)),0))</f>
        <v/>
      </c>
      <c r="AC875" s="7" t="inlineStr">
        <is>
          <t>Clôturé</t>
        </is>
      </c>
      <c r="AD875" s="69">
        <f>IF(OR($A875="",Q875=""),"",(Q875-B875)*24)</f>
        <v/>
      </c>
      <c r="AE875" s="69">
        <f>IF(OR(Q875="",R875=""),"",(R875-Q875)*24)</f>
        <v/>
      </c>
      <c r="AF875" s="77">
        <f>IF(OR($A875="",B875=""),"",YEAR(B875))</f>
        <v/>
      </c>
      <c r="AG875" s="77">
        <f>IF(OR($A875="",B875=""),"",MONTH(B875))</f>
        <v/>
      </c>
    </row>
    <row r="876">
      <c r="A876" s="7" t="inlineStr">
        <is>
          <t>OT-2026-0021</t>
        </is>
      </c>
      <c r="B876" s="75" t="n">
        <v>46032.56458333333</v>
      </c>
      <c r="C876" s="7" t="inlineStr">
        <is>
          <t>Opérateur peinture</t>
        </is>
      </c>
      <c r="D876" s="7" t="inlineStr">
        <is>
          <t>EQ-PEI-005</t>
        </is>
      </c>
      <c r="E876" s="9">
        <f>IF(D876="","",IFERROR(INDEX('Équipements'!$B$5:$B$304,MATCH(D876,'Équipements'!$A$5:$A$304,0)),"Code inconnu"))</f>
        <v/>
      </c>
      <c r="F876" s="9">
        <f>IF(D876="","",IFERROR(INDEX('Équipements'!$D$5:$D$304,MATCH(D876,'Équipements'!$A$5:$A$304,0)),""))</f>
        <v/>
      </c>
      <c r="G876" s="9">
        <f>IF(D876="","",IFERROR(INDEX('Équipements'!$K$5:$K$304,MATCH(D876,'Équipements'!$A$5:$A$304,0)),""))</f>
        <v/>
      </c>
      <c r="H876" s="7" t="inlineStr">
        <is>
          <t>Correctif</t>
        </is>
      </c>
      <c r="I876" s="7" t="n"/>
      <c r="J876" s="7" t="inlineStr">
        <is>
          <t>Électrique</t>
        </is>
      </c>
      <c r="K876" s="7" t="inlineStr">
        <is>
          <t>P3 - Normale</t>
        </is>
      </c>
      <c r="L876" s="7" t="inlineStr">
        <is>
          <t>Ventilateur d'extraction en défaut</t>
        </is>
      </c>
      <c r="M876" s="7" t="inlineStr">
        <is>
          <t>Défaut électrique</t>
        </is>
      </c>
      <c r="N876" s="7" t="inlineStr">
        <is>
          <t>Remplacement contacteur et courroie</t>
        </is>
      </c>
      <c r="O876" s="7" t="inlineStr">
        <is>
          <t>Julien Moreau</t>
        </is>
      </c>
      <c r="P876" s="65" t="n"/>
      <c r="Q876" s="75" t="n">
        <v>46032.8625</v>
      </c>
      <c r="R876" s="75" t="n">
        <v>46033.07083333333</v>
      </c>
      <c r="S876" s="76" t="n">
        <v>0</v>
      </c>
      <c r="T876" s="76" t="n">
        <v>5</v>
      </c>
      <c r="U876" s="70">
        <f>IF($A876="","",IFERROR(INDEX('Techniciens'!$F$5:$F$44,MATCH(O876,'Techniciens'!$B$5:$B$44,0)),'Paramètres'!$AA$10))</f>
        <v/>
      </c>
      <c r="V876" s="70">
        <f>IF($A876="","",IF(OR(AC876="Demandé",AC876="Planifié",AC876="Annulé"),0,N(T876)*N(U876)))</f>
        <v/>
      </c>
      <c r="W876" s="70">
        <f>IF($A876="","",SUMIFS('Mouvements stock'!$H$5:$H$3004,'Mouvements stock'!$I$5:$I$3004,$A876,'Mouvements stock'!$C$5:$C$3004,"Sortie")-SUMIFS('Mouvements stock'!$H$5:$H$3004,'Mouvements stock'!$I$5:$I$3004,$A876,'Mouvements stock'!$C$5:$C$3004,"Retour"))</f>
        <v/>
      </c>
      <c r="X876" s="66" t="n">
        <v>0</v>
      </c>
      <c r="Y876" s="66" t="n">
        <v>0</v>
      </c>
      <c r="Z876" s="7" t="n"/>
      <c r="AA876" s="70">
        <f>IF($A876="","",N(V876)+N(W876)+N(X876)+N(Y876))</f>
        <v/>
      </c>
      <c r="AB876" s="70">
        <f>IF($A876="","",N(S876)*'Paramètres'!$AA$9*IFERROR(INDEX('Paramètres'!$O$5:$O$7,MATCH(G876,'Paramètres'!$N$5:$N$7,0)),0))</f>
        <v/>
      </c>
      <c r="AC876" s="7" t="inlineStr">
        <is>
          <t>Clôturé</t>
        </is>
      </c>
      <c r="AD876" s="69">
        <f>IF(OR($A876="",Q876=""),"",(Q876-B876)*24)</f>
        <v/>
      </c>
      <c r="AE876" s="69">
        <f>IF(OR(Q876="",R876=""),"",(R876-Q876)*24)</f>
        <v/>
      </c>
      <c r="AF876" s="77">
        <f>IF(OR($A876="",B876=""),"",YEAR(B876))</f>
        <v/>
      </c>
      <c r="AG876" s="77">
        <f>IF(OR($A876="",B876=""),"",MONTH(B876))</f>
        <v/>
      </c>
    </row>
    <row r="877">
      <c r="A877" s="7" t="inlineStr">
        <is>
          <t>OT-2026-0022</t>
        </is>
      </c>
      <c r="B877" s="75" t="n">
        <v>46032.86180555556</v>
      </c>
      <c r="C877" s="7" t="inlineStr">
        <is>
          <t>Marc Lefèvre</t>
        </is>
      </c>
      <c r="D877" s="7" t="inlineStr">
        <is>
          <t>EQ-UTI-008</t>
        </is>
      </c>
      <c r="E877" s="9">
        <f>IF(D877="","",IFERROR(INDEX('Équipements'!$B$5:$B$304,MATCH(D877,'Équipements'!$A$5:$A$304,0)),"Code inconnu"))</f>
        <v/>
      </c>
      <c r="F877" s="9">
        <f>IF(D877="","",IFERROR(INDEX('Équipements'!$D$5:$D$304,MATCH(D877,'Équipements'!$A$5:$A$304,0)),""))</f>
        <v/>
      </c>
      <c r="G877" s="9">
        <f>IF(D877="","",IFERROR(INDEX('Équipements'!$K$5:$K$304,MATCH(D877,'Équipements'!$A$5:$A$304,0)),""))</f>
        <v/>
      </c>
      <c r="H877" s="7" t="inlineStr">
        <is>
          <t>Correctif</t>
        </is>
      </c>
      <c r="I877" s="7" t="n"/>
      <c r="J877" s="7" t="inlineStr">
        <is>
          <t>Électrique</t>
        </is>
      </c>
      <c r="K877" s="7" t="inlineStr">
        <is>
          <t>P2 - Haute</t>
        </is>
      </c>
      <c r="L877" s="7" t="inlineStr">
        <is>
          <t>Défaut démarrage groupe / batterie</t>
        </is>
      </c>
      <c r="M877" s="7" t="inlineStr">
        <is>
          <t>Usure</t>
        </is>
      </c>
      <c r="N877" s="7" t="inlineStr">
        <is>
          <t>Remplacement batterie de démarrage</t>
        </is>
      </c>
      <c r="O877" s="7" t="inlineStr">
        <is>
          <t>Julien Moreau</t>
        </is>
      </c>
      <c r="P877" s="65" t="n"/>
      <c r="Q877" s="75" t="n">
        <v>46033.01805555556</v>
      </c>
      <c r="R877" s="75" t="n">
        <v>46033.38263888889</v>
      </c>
      <c r="S877" s="76" t="n">
        <v>12.5</v>
      </c>
      <c r="T877" s="76" t="n">
        <v>8.75</v>
      </c>
      <c r="U877" s="70">
        <f>IF($A877="","",IFERROR(INDEX('Techniciens'!$F$5:$F$44,MATCH(O877,'Techniciens'!$B$5:$B$44,0)),'Paramètres'!$AA$10))</f>
        <v/>
      </c>
      <c r="V877" s="70">
        <f>IF($A877="","",IF(OR(AC877="Demandé",AC877="Planifié",AC877="Annulé"),0,N(T877)*N(U877)))</f>
        <v/>
      </c>
      <c r="W877" s="70">
        <f>IF($A877="","",SUMIFS('Mouvements stock'!$H$5:$H$3004,'Mouvements stock'!$I$5:$I$3004,$A877,'Mouvements stock'!$C$5:$C$3004,"Sortie")-SUMIFS('Mouvements stock'!$H$5:$H$3004,'Mouvements stock'!$I$5:$I$3004,$A877,'Mouvements stock'!$C$5:$C$3004,"Retour"))</f>
        <v/>
      </c>
      <c r="X877" s="66" t="n">
        <v>0</v>
      </c>
      <c r="Y877" s="66" t="n">
        <v>0</v>
      </c>
      <c r="Z877" s="7" t="n"/>
      <c r="AA877" s="70">
        <f>IF($A877="","",N(V877)+N(W877)+N(X877)+N(Y877))</f>
        <v/>
      </c>
      <c r="AB877" s="70">
        <f>IF($A877="","",N(S877)*'Paramètres'!$AA$9*IFERROR(INDEX('Paramètres'!$O$5:$O$7,MATCH(G877,'Paramètres'!$N$5:$N$7,0)),0))</f>
        <v/>
      </c>
      <c r="AC877" s="7" t="inlineStr">
        <is>
          <t>Clôturé</t>
        </is>
      </c>
      <c r="AD877" s="69">
        <f>IF(OR($A877="",Q877=""),"",(Q877-B877)*24)</f>
        <v/>
      </c>
      <c r="AE877" s="69">
        <f>IF(OR(Q877="",R877=""),"",(R877-Q877)*24)</f>
        <v/>
      </c>
      <c r="AF877" s="77">
        <f>IF(OR($A877="",B877=""),"",YEAR(B877))</f>
        <v/>
      </c>
      <c r="AG877" s="77">
        <f>IF(OR($A877="",B877=""),"",MONTH(B877))</f>
        <v/>
      </c>
    </row>
    <row r="878">
      <c r="A878" s="7" t="inlineStr">
        <is>
          <t>OT-2026-0023</t>
        </is>
      </c>
      <c r="B878" s="75" t="n">
        <v>46034.36805555555</v>
      </c>
      <c r="C878" s="7" t="inlineStr">
        <is>
          <t>Plan préventif</t>
        </is>
      </c>
      <c r="D878" s="7" t="inlineStr">
        <is>
          <t>EQ-UTI-002</t>
        </is>
      </c>
      <c r="E878" s="9">
        <f>IF(D878="","",IFERROR(INDEX('Équipements'!$B$5:$B$304,MATCH(D878,'Équipements'!$A$5:$A$304,0)),"Code inconnu"))</f>
        <v/>
      </c>
      <c r="F878" s="9">
        <f>IF(D878="","",IFERROR(INDEX('Équipements'!$D$5:$D$304,MATCH(D878,'Équipements'!$A$5:$A$304,0)),""))</f>
        <v/>
      </c>
      <c r="G878" s="9">
        <f>IF(D878="","",IFERROR(INDEX('Équipements'!$K$5:$K$304,MATCH(D878,'Équipements'!$A$5:$A$304,0)),""))</f>
        <v/>
      </c>
      <c r="H878" s="7" t="inlineStr">
        <is>
          <t>Préventif systématique</t>
        </is>
      </c>
      <c r="I878" s="7" t="inlineStr">
        <is>
          <t>GP-090</t>
        </is>
      </c>
      <c r="J878" s="7" t="inlineStr">
        <is>
          <t>Pneumatique</t>
        </is>
      </c>
      <c r="K878" s="7" t="inlineStr">
        <is>
          <t>P3 - Normale</t>
        </is>
      </c>
      <c r="L878" s="7" t="inlineStr">
        <is>
          <t>Purge, contrôle fuites et point de rosée</t>
        </is>
      </c>
      <c r="M878" s="7" t="n"/>
      <c r="N878" s="7" t="inlineStr">
        <is>
          <t>Gamme réalisée - RAS</t>
        </is>
      </c>
      <c r="O878" s="7" t="inlineStr">
        <is>
          <t>Lucas Fontaine</t>
        </is>
      </c>
      <c r="P878" s="65" t="n">
        <v>46041.39236111111</v>
      </c>
      <c r="Q878" s="75" t="n">
        <v>46041.34027777778</v>
      </c>
      <c r="R878" s="75" t="n">
        <v>46041.39236111111</v>
      </c>
      <c r="S878" s="76" t="n">
        <v>0</v>
      </c>
      <c r="T878" s="76" t="n">
        <v>1.25</v>
      </c>
      <c r="U878" s="70">
        <f>IF($A878="","",IFERROR(INDEX('Techniciens'!$F$5:$F$44,MATCH(O878,'Techniciens'!$B$5:$B$44,0)),'Paramètres'!$AA$10))</f>
        <v/>
      </c>
      <c r="V878" s="70">
        <f>IF($A878="","",IF(OR(AC878="Demandé",AC878="Planifié",AC878="Annulé"),0,N(T878)*N(U878)))</f>
        <v/>
      </c>
      <c r="W878" s="70">
        <f>IF($A878="","",SUMIFS('Mouvements stock'!$H$5:$H$3004,'Mouvements stock'!$I$5:$I$3004,$A878,'Mouvements stock'!$C$5:$C$3004,"Sortie")-SUMIFS('Mouvements stock'!$H$5:$H$3004,'Mouvements stock'!$I$5:$I$3004,$A878,'Mouvements stock'!$C$5:$C$3004,"Retour"))</f>
        <v/>
      </c>
      <c r="X878" s="66" t="n">
        <v>0</v>
      </c>
      <c r="Y878" s="66" t="n">
        <v>0</v>
      </c>
      <c r="Z878" s="7" t="n"/>
      <c r="AA878" s="70">
        <f>IF($A878="","",N(V878)+N(W878)+N(X878)+N(Y878))</f>
        <v/>
      </c>
      <c r="AB878" s="70">
        <f>IF($A878="","",N(S878)*'Paramètres'!$AA$9*IFERROR(INDEX('Paramètres'!$O$5:$O$7,MATCH(G878,'Paramètres'!$N$5:$N$7,0)),0))</f>
        <v/>
      </c>
      <c r="AC878" s="7" t="inlineStr">
        <is>
          <t>Clôturé</t>
        </is>
      </c>
      <c r="AD878" s="69">
        <f>IF(OR($A878="",Q878=""),"",(Q878-B878)*24)</f>
        <v/>
      </c>
      <c r="AE878" s="69">
        <f>IF(OR(Q878="",R878=""),"",(R878-Q878)*24)</f>
        <v/>
      </c>
      <c r="AF878" s="77">
        <f>IF(OR($A878="",B878=""),"",YEAR(B878))</f>
        <v/>
      </c>
      <c r="AG878" s="77">
        <f>IF(OR($A878="",B878=""),"",MONTH(B878))</f>
        <v/>
      </c>
    </row>
    <row r="879">
      <c r="A879" s="7" t="inlineStr">
        <is>
          <t>OT-2026-0024</t>
        </is>
      </c>
      <c r="B879" s="75" t="n">
        <v>46034.39583333334</v>
      </c>
      <c r="C879" s="7" t="inlineStr">
        <is>
          <t>Plan préventif</t>
        </is>
      </c>
      <c r="D879" s="7" t="inlineStr">
        <is>
          <t>EQ-USI-005</t>
        </is>
      </c>
      <c r="E879" s="9">
        <f>IF(D879="","",IFERROR(INDEX('Équipements'!$B$5:$B$304,MATCH(D879,'Équipements'!$A$5:$A$304,0)),"Code inconnu"))</f>
        <v/>
      </c>
      <c r="F879" s="9">
        <f>IF(D879="","",IFERROR(INDEX('Équipements'!$D$5:$D$304,MATCH(D879,'Équipements'!$A$5:$A$304,0)),""))</f>
        <v/>
      </c>
      <c r="G879" s="9">
        <f>IF(D879="","",IFERROR(INDEX('Équipements'!$K$5:$K$304,MATCH(D879,'Équipements'!$A$5:$A$304,0)),""))</f>
        <v/>
      </c>
      <c r="H879" s="7" t="inlineStr">
        <is>
          <t>Préventif systématique</t>
        </is>
      </c>
      <c r="I879" s="7" t="inlineStr">
        <is>
          <t>GP-019</t>
        </is>
      </c>
      <c r="J879" s="7" t="inlineStr">
        <is>
          <t>Hydraulique</t>
        </is>
      </c>
      <c r="K879" s="7" t="inlineStr">
        <is>
          <t>P3 - Normale</t>
        </is>
      </c>
      <c r="L879" s="7" t="inlineStr">
        <is>
          <t>Vidange groupe hydraulique et remplacement filtres</t>
        </is>
      </c>
      <c r="M879" s="7" t="n"/>
      <c r="N879" s="7" t="inlineStr">
        <is>
          <t>Gamme réalisée - RAS</t>
        </is>
      </c>
      <c r="O879" s="7" t="inlineStr">
        <is>
          <t>Antoine Mercier</t>
        </is>
      </c>
      <c r="P879" s="65" t="n">
        <v>46041.80208333334</v>
      </c>
      <c r="Q879" s="75" t="n">
        <v>46041.54166666666</v>
      </c>
      <c r="R879" s="75" t="n">
        <v>46041.75</v>
      </c>
      <c r="S879" s="76" t="n">
        <v>5</v>
      </c>
      <c r="T879" s="76" t="n">
        <v>5</v>
      </c>
      <c r="U879" s="70">
        <f>IF($A879="","",IFERROR(INDEX('Techniciens'!$F$5:$F$44,MATCH(O879,'Techniciens'!$B$5:$B$44,0)),'Paramètres'!$AA$10))</f>
        <v/>
      </c>
      <c r="V879" s="70">
        <f>IF($A879="","",IF(OR(AC879="Demandé",AC879="Planifié",AC879="Annulé"),0,N(T879)*N(U879)))</f>
        <v/>
      </c>
      <c r="W879" s="70">
        <f>IF($A879="","",SUMIFS('Mouvements stock'!$H$5:$H$3004,'Mouvements stock'!$I$5:$I$3004,$A879,'Mouvements stock'!$C$5:$C$3004,"Sortie")-SUMIFS('Mouvements stock'!$H$5:$H$3004,'Mouvements stock'!$I$5:$I$3004,$A879,'Mouvements stock'!$C$5:$C$3004,"Retour"))</f>
        <v/>
      </c>
      <c r="X879" s="66" t="n">
        <v>0</v>
      </c>
      <c r="Y879" s="66" t="n">
        <v>0</v>
      </c>
      <c r="Z879" s="7" t="n"/>
      <c r="AA879" s="70">
        <f>IF($A879="","",N(V879)+N(W879)+N(X879)+N(Y879))</f>
        <v/>
      </c>
      <c r="AB879" s="70">
        <f>IF($A879="","",N(S879)*'Paramètres'!$AA$9*IFERROR(INDEX('Paramètres'!$O$5:$O$7,MATCH(G879,'Paramètres'!$N$5:$N$7,0)),0))</f>
        <v/>
      </c>
      <c r="AC879" s="7" t="inlineStr">
        <is>
          <t>Clôturé</t>
        </is>
      </c>
      <c r="AD879" s="69">
        <f>IF(OR($A879="",Q879=""),"",(Q879-B879)*24)</f>
        <v/>
      </c>
      <c r="AE879" s="69">
        <f>IF(OR(Q879="",R879=""),"",(R879-Q879)*24)</f>
        <v/>
      </c>
      <c r="AF879" s="77">
        <f>IF(OR($A879="",B879=""),"",YEAR(B879))</f>
        <v/>
      </c>
      <c r="AG879" s="77">
        <f>IF(OR($A879="",B879=""),"",MONTH(B879))</f>
        <v/>
      </c>
    </row>
    <row r="880">
      <c r="A880" s="7" t="inlineStr">
        <is>
          <t>OT-2026-0025</t>
        </is>
      </c>
      <c r="B880" s="75" t="n">
        <v>46034.42708333334</v>
      </c>
      <c r="C880" s="7" t="inlineStr">
        <is>
          <t>Plan préventif</t>
        </is>
      </c>
      <c r="D880" s="7" t="inlineStr">
        <is>
          <t>EQ-UTI-003</t>
        </is>
      </c>
      <c r="E880" s="9">
        <f>IF(D880="","",IFERROR(INDEX('Équipements'!$B$5:$B$304,MATCH(D880,'Équipements'!$A$5:$A$304,0)),"Code inconnu"))</f>
        <v/>
      </c>
      <c r="F880" s="9">
        <f>IF(D880="","",IFERROR(INDEX('Équipements'!$D$5:$D$304,MATCH(D880,'Équipements'!$A$5:$A$304,0)),""))</f>
        <v/>
      </c>
      <c r="G880" s="9">
        <f>IF(D880="","",IFERROR(INDEX('Équipements'!$K$5:$K$304,MATCH(D880,'Équipements'!$A$5:$A$304,0)),""))</f>
        <v/>
      </c>
      <c r="H880" s="7" t="inlineStr">
        <is>
          <t>Préventif systématique</t>
        </is>
      </c>
      <c r="I880" s="7" t="inlineStr">
        <is>
          <t>GP-092</t>
        </is>
      </c>
      <c r="J880" s="7" t="inlineStr">
        <is>
          <t>Pneumatique</t>
        </is>
      </c>
      <c r="K880" s="7" t="inlineStr">
        <is>
          <t>P3 - Normale</t>
        </is>
      </c>
      <c r="L880" s="7" t="inlineStr">
        <is>
          <t>Purge, contrôle fuites et point de rosée</t>
        </is>
      </c>
      <c r="M880" s="7" t="n"/>
      <c r="N880" s="7" t="inlineStr">
        <is>
          <t>Gamme réalisée - RAS</t>
        </is>
      </c>
      <c r="O880" s="7" t="inlineStr">
        <is>
          <t>Julien Moreau</t>
        </is>
      </c>
      <c r="P880" s="65" t="n">
        <v>46041.43055555555</v>
      </c>
      <c r="Q880" s="75" t="n">
        <v>46041.56944444445</v>
      </c>
      <c r="R880" s="75" t="n">
        <v>46041.62152777778</v>
      </c>
      <c r="S880" s="76" t="n">
        <v>0</v>
      </c>
      <c r="T880" s="76" t="n">
        <v>1.25</v>
      </c>
      <c r="U880" s="70">
        <f>IF($A880="","",IFERROR(INDEX('Techniciens'!$F$5:$F$44,MATCH(O880,'Techniciens'!$B$5:$B$44,0)),'Paramètres'!$AA$10))</f>
        <v/>
      </c>
      <c r="V880" s="70">
        <f>IF($A880="","",IF(OR(AC880="Demandé",AC880="Planifié",AC880="Annulé"),0,N(T880)*N(U880)))</f>
        <v/>
      </c>
      <c r="W880" s="70">
        <f>IF($A880="","",SUMIFS('Mouvements stock'!$H$5:$H$3004,'Mouvements stock'!$I$5:$I$3004,$A880,'Mouvements stock'!$C$5:$C$3004,"Sortie")-SUMIFS('Mouvements stock'!$H$5:$H$3004,'Mouvements stock'!$I$5:$I$3004,$A880,'Mouvements stock'!$C$5:$C$3004,"Retour"))</f>
        <v/>
      </c>
      <c r="X880" s="66" t="n">
        <v>0</v>
      </c>
      <c r="Y880" s="66" t="n">
        <v>0</v>
      </c>
      <c r="Z880" s="7" t="n"/>
      <c r="AA880" s="70">
        <f>IF($A880="","",N(V880)+N(W880)+N(X880)+N(Y880))</f>
        <v/>
      </c>
      <c r="AB880" s="70">
        <f>IF($A880="","",N(S880)*'Paramètres'!$AA$9*IFERROR(INDEX('Paramètres'!$O$5:$O$7,MATCH(G880,'Paramètres'!$N$5:$N$7,0)),0))</f>
        <v/>
      </c>
      <c r="AC880" s="7" t="inlineStr">
        <is>
          <t>Clôturé</t>
        </is>
      </c>
      <c r="AD880" s="69">
        <f>IF(OR($A880="",Q880=""),"",(Q880-B880)*24)</f>
        <v/>
      </c>
      <c r="AE880" s="69">
        <f>IF(OR(Q880="",R880=""),"",(R880-Q880)*24)</f>
        <v/>
      </c>
      <c r="AF880" s="77">
        <f>IF(OR($A880="",B880=""),"",YEAR(B880))</f>
        <v/>
      </c>
      <c r="AG880" s="77">
        <f>IF(OR($A880="",B880=""),"",MONTH(B880))</f>
        <v/>
      </c>
    </row>
    <row r="881">
      <c r="A881" s="7" t="inlineStr">
        <is>
          <t>OT-2026-0026</t>
        </is>
      </c>
      <c r="B881" s="75" t="n">
        <v>46034.46875</v>
      </c>
      <c r="C881" s="7" t="inlineStr">
        <is>
          <t>Plan préventif</t>
        </is>
      </c>
      <c r="D881" s="7" t="inlineStr">
        <is>
          <t>EQ-PEI-004</t>
        </is>
      </c>
      <c r="E881" s="9">
        <f>IF(D881="","",IFERROR(INDEX('Équipements'!$B$5:$B$304,MATCH(D881,'Équipements'!$A$5:$A$304,0)),"Code inconnu"))</f>
        <v/>
      </c>
      <c r="F881" s="9">
        <f>IF(D881="","",IFERROR(INDEX('Équipements'!$D$5:$D$304,MATCH(D881,'Équipements'!$A$5:$A$304,0)),""))</f>
        <v/>
      </c>
      <c r="G881" s="9">
        <f>IF(D881="","",IFERROR(INDEX('Équipements'!$K$5:$K$304,MATCH(D881,'Équipements'!$A$5:$A$304,0)),""))</f>
        <v/>
      </c>
      <c r="H881" s="7" t="inlineStr">
        <is>
          <t>Préventif systématique</t>
        </is>
      </c>
      <c r="I881" s="7" t="inlineStr">
        <is>
          <t>GP-072</t>
        </is>
      </c>
      <c r="J881" s="7" t="inlineStr">
        <is>
          <t>Mécanique</t>
        </is>
      </c>
      <c r="K881" s="7" t="inlineStr">
        <is>
          <t>P3 - Normale</t>
        </is>
      </c>
      <c r="L881" s="7" t="inlineStr">
        <is>
          <t>Graissage chaîne / galets et contrôle tension</t>
        </is>
      </c>
      <c r="M881" s="7" t="n"/>
      <c r="N881" s="7" t="inlineStr">
        <is>
          <t>Gamme réalisée - RAS</t>
        </is>
      </c>
      <c r="O881" s="7" t="inlineStr">
        <is>
          <t>Karim Benali</t>
        </is>
      </c>
      <c r="P881" s="65" t="n">
        <v>46041.5</v>
      </c>
      <c r="Q881" s="75" t="n">
        <v>46041.375</v>
      </c>
      <c r="R881" s="75" t="n">
        <v>46041.44791666666</v>
      </c>
      <c r="S881" s="76" t="n">
        <v>1.8</v>
      </c>
      <c r="T881" s="76" t="n">
        <v>1.75</v>
      </c>
      <c r="U881" s="70">
        <f>IF($A881="","",IFERROR(INDEX('Techniciens'!$F$5:$F$44,MATCH(O881,'Techniciens'!$B$5:$B$44,0)),'Paramètres'!$AA$10))</f>
        <v/>
      </c>
      <c r="V881" s="70">
        <f>IF($A881="","",IF(OR(AC881="Demandé",AC881="Planifié",AC881="Annulé"),0,N(T881)*N(U881)))</f>
        <v/>
      </c>
      <c r="W881" s="70">
        <f>IF($A881="","",SUMIFS('Mouvements stock'!$H$5:$H$3004,'Mouvements stock'!$I$5:$I$3004,$A881,'Mouvements stock'!$C$5:$C$3004,"Sortie")-SUMIFS('Mouvements stock'!$H$5:$H$3004,'Mouvements stock'!$I$5:$I$3004,$A881,'Mouvements stock'!$C$5:$C$3004,"Retour"))</f>
        <v/>
      </c>
      <c r="X881" s="66" t="n">
        <v>0</v>
      </c>
      <c r="Y881" s="66" t="n">
        <v>0</v>
      </c>
      <c r="Z881" s="7" t="n"/>
      <c r="AA881" s="70">
        <f>IF($A881="","",N(V881)+N(W881)+N(X881)+N(Y881))</f>
        <v/>
      </c>
      <c r="AB881" s="70">
        <f>IF($A881="","",N(S881)*'Paramètres'!$AA$9*IFERROR(INDEX('Paramètres'!$O$5:$O$7,MATCH(G881,'Paramètres'!$N$5:$N$7,0)),0))</f>
        <v/>
      </c>
      <c r="AC881" s="7" t="inlineStr">
        <is>
          <t>Clôturé</t>
        </is>
      </c>
      <c r="AD881" s="69">
        <f>IF(OR($A881="",Q881=""),"",(Q881-B881)*24)</f>
        <v/>
      </c>
      <c r="AE881" s="69">
        <f>IF(OR(Q881="",R881=""),"",(R881-Q881)*24)</f>
        <v/>
      </c>
      <c r="AF881" s="77">
        <f>IF(OR($A881="",B881=""),"",YEAR(B881))</f>
        <v/>
      </c>
      <c r="AG881" s="77">
        <f>IF(OR($A881="",B881=""),"",MONTH(B881))</f>
        <v/>
      </c>
    </row>
    <row r="882">
      <c r="A882" s="7" t="inlineStr">
        <is>
          <t>OT-2026-0027</t>
        </is>
      </c>
      <c r="B882" s="75" t="n">
        <v>46035.35625</v>
      </c>
      <c r="C882" s="7" t="inlineStr">
        <is>
          <t>Sylvie Mathieu (resp. logistique)</t>
        </is>
      </c>
      <c r="D882" s="7" t="inlineStr">
        <is>
          <t>EQ-LOG-006</t>
        </is>
      </c>
      <c r="E882" s="9">
        <f>IF(D882="","",IFERROR(INDEX('Équipements'!$B$5:$B$304,MATCH(D882,'Équipements'!$A$5:$A$304,0)),"Code inconnu"))</f>
        <v/>
      </c>
      <c r="F882" s="9">
        <f>IF(D882="","",IFERROR(INDEX('Équipements'!$D$5:$D$304,MATCH(D882,'Équipements'!$A$5:$A$304,0)),""))</f>
        <v/>
      </c>
      <c r="G882" s="9">
        <f>IF(D882="","",IFERROR(INDEX('Équipements'!$K$5:$K$304,MATCH(D882,'Équipements'!$A$5:$A$304,0)),""))</f>
        <v/>
      </c>
      <c r="H882" s="7" t="inlineStr">
        <is>
          <t>Correctif</t>
        </is>
      </c>
      <c r="I882" s="7" t="n"/>
      <c r="J882" s="7" t="inlineStr">
        <is>
          <t>Mécanique</t>
        </is>
      </c>
      <c r="K882" s="7" t="inlineStr">
        <is>
          <t>P3 - Normale</t>
        </is>
      </c>
      <c r="L882" s="7" t="inlineStr">
        <is>
          <t>Câble de levage effiloché (réserve VGP)</t>
        </is>
      </c>
      <c r="M882" s="7" t="inlineStr">
        <is>
          <t>Usure</t>
        </is>
      </c>
      <c r="N882" s="7" t="inlineStr">
        <is>
          <t>Remplacement câble de levage</t>
        </is>
      </c>
      <c r="O882" s="7" t="inlineStr">
        <is>
          <t>Antoine Mercier</t>
        </is>
      </c>
      <c r="P882" s="65" t="n"/>
      <c r="Q882" s="75" t="n">
        <v>46035.54930555556</v>
      </c>
      <c r="R882" s="75" t="n">
        <v>46035.73680555556</v>
      </c>
      <c r="S882" s="76" t="n">
        <v>4.5</v>
      </c>
      <c r="T882" s="76" t="n">
        <v>4.5</v>
      </c>
      <c r="U882" s="70">
        <f>IF($A882="","",IFERROR(INDEX('Techniciens'!$F$5:$F$44,MATCH(O882,'Techniciens'!$B$5:$B$44,0)),'Paramètres'!$AA$10))</f>
        <v/>
      </c>
      <c r="V882" s="70">
        <f>IF($A882="","",IF(OR(AC882="Demandé",AC882="Planifié",AC882="Annulé"),0,N(T882)*N(U882)))</f>
        <v/>
      </c>
      <c r="W882" s="70">
        <f>IF($A882="","",SUMIFS('Mouvements stock'!$H$5:$H$3004,'Mouvements stock'!$I$5:$I$3004,$A882,'Mouvements stock'!$C$5:$C$3004,"Sortie")-SUMIFS('Mouvements stock'!$H$5:$H$3004,'Mouvements stock'!$I$5:$I$3004,$A882,'Mouvements stock'!$C$5:$C$3004,"Retour"))</f>
        <v/>
      </c>
      <c r="X882" s="66" t="n">
        <v>0</v>
      </c>
      <c r="Y882" s="66" t="n">
        <v>1470</v>
      </c>
      <c r="Z882" s="7" t="inlineStr">
        <is>
          <t>Levage Expertise Ouest</t>
        </is>
      </c>
      <c r="AA882" s="70">
        <f>IF($A882="","",N(V882)+N(W882)+N(X882)+N(Y882))</f>
        <v/>
      </c>
      <c r="AB882" s="70">
        <f>IF($A882="","",N(S882)*'Paramètres'!$AA$9*IFERROR(INDEX('Paramètres'!$O$5:$O$7,MATCH(G882,'Paramètres'!$N$5:$N$7,0)),0))</f>
        <v/>
      </c>
      <c r="AC882" s="7" t="inlineStr">
        <is>
          <t>Clôturé</t>
        </is>
      </c>
      <c r="AD882" s="69">
        <f>IF(OR($A882="",Q882=""),"",(Q882-B882)*24)</f>
        <v/>
      </c>
      <c r="AE882" s="69">
        <f>IF(OR(Q882="",R882=""),"",(R882-Q882)*24)</f>
        <v/>
      </c>
      <c r="AF882" s="77">
        <f>IF(OR($A882="",B882=""),"",YEAR(B882))</f>
        <v/>
      </c>
      <c r="AG882" s="77">
        <f>IF(OR($A882="",B882=""),"",MONTH(B882))</f>
        <v/>
      </c>
    </row>
    <row r="883">
      <c r="A883" s="7" t="inlineStr">
        <is>
          <t>OT-2026-0028</t>
        </is>
      </c>
      <c r="B883" s="75" t="n">
        <v>46035.36458333334</v>
      </c>
      <c r="C883" s="7" t="inlineStr">
        <is>
          <t>Plan préventif</t>
        </is>
      </c>
      <c r="D883" s="7" t="inlineStr">
        <is>
          <t>EQ-TOL-001</t>
        </is>
      </c>
      <c r="E883" s="9">
        <f>IF(D883="","",IFERROR(INDEX('Équipements'!$B$5:$B$304,MATCH(D883,'Équipements'!$A$5:$A$304,0)),"Code inconnu"))</f>
        <v/>
      </c>
      <c r="F883" s="9">
        <f>IF(D883="","",IFERROR(INDEX('Équipements'!$D$5:$D$304,MATCH(D883,'Équipements'!$A$5:$A$304,0)),""))</f>
        <v/>
      </c>
      <c r="G883" s="9">
        <f>IF(D883="","",IFERROR(INDEX('Équipements'!$K$5:$K$304,MATCH(D883,'Équipements'!$A$5:$A$304,0)),""))</f>
        <v/>
      </c>
      <c r="H883" s="7" t="inlineStr">
        <is>
          <t>Préventif systématique</t>
        </is>
      </c>
      <c r="I883" s="7" t="inlineStr">
        <is>
          <t>GP-039</t>
        </is>
      </c>
      <c r="J883" s="7" t="inlineStr">
        <is>
          <t>Mécanique</t>
        </is>
      </c>
      <c r="K883" s="7" t="inlineStr">
        <is>
          <t>P3 - Normale</t>
        </is>
      </c>
      <c r="L883" s="7" t="inlineStr">
        <is>
          <t>Maintenance groupe froid laser (filtres, eau)</t>
        </is>
      </c>
      <c r="M883" s="7" t="n"/>
      <c r="N883" s="7" t="inlineStr">
        <is>
          <t>Gamme réalisée - RAS</t>
        </is>
      </c>
      <c r="O883" s="7" t="inlineStr">
        <is>
          <t>Antoine Mercier</t>
        </is>
      </c>
      <c r="P883" s="65" t="n">
        <v>46042.42708333334</v>
      </c>
      <c r="Q883" s="75" t="n">
        <v>46042.60416666666</v>
      </c>
      <c r="R883" s="75" t="n">
        <v>46042.75</v>
      </c>
      <c r="S883" s="76" t="n">
        <v>3.5</v>
      </c>
      <c r="T883" s="76" t="n">
        <v>3.5</v>
      </c>
      <c r="U883" s="70">
        <f>IF($A883="","",IFERROR(INDEX('Techniciens'!$F$5:$F$44,MATCH(O883,'Techniciens'!$B$5:$B$44,0)),'Paramètres'!$AA$10))</f>
        <v/>
      </c>
      <c r="V883" s="70">
        <f>IF($A883="","",IF(OR(AC883="Demandé",AC883="Planifié",AC883="Annulé"),0,N(T883)*N(U883)))</f>
        <v/>
      </c>
      <c r="W883" s="70">
        <f>IF($A883="","",SUMIFS('Mouvements stock'!$H$5:$H$3004,'Mouvements stock'!$I$5:$I$3004,$A883,'Mouvements stock'!$C$5:$C$3004,"Sortie")-SUMIFS('Mouvements stock'!$H$5:$H$3004,'Mouvements stock'!$I$5:$I$3004,$A883,'Mouvements stock'!$C$5:$C$3004,"Retour"))</f>
        <v/>
      </c>
      <c r="X883" s="66" t="n">
        <v>0</v>
      </c>
      <c r="Y883" s="66" t="n">
        <v>0</v>
      </c>
      <c r="Z883" s="7" t="n"/>
      <c r="AA883" s="70">
        <f>IF($A883="","",N(V883)+N(W883)+N(X883)+N(Y883))</f>
        <v/>
      </c>
      <c r="AB883" s="70">
        <f>IF($A883="","",N(S883)*'Paramètres'!$AA$9*IFERROR(INDEX('Paramètres'!$O$5:$O$7,MATCH(G883,'Paramètres'!$N$5:$N$7,0)),0))</f>
        <v/>
      </c>
      <c r="AC883" s="7" t="inlineStr">
        <is>
          <t>Clôturé</t>
        </is>
      </c>
      <c r="AD883" s="69">
        <f>IF(OR($A883="",Q883=""),"",(Q883-B883)*24)</f>
        <v/>
      </c>
      <c r="AE883" s="69">
        <f>IF(OR(Q883="",R883=""),"",(R883-Q883)*24)</f>
        <v/>
      </c>
      <c r="AF883" s="77">
        <f>IF(OR($A883="",B883=""),"",YEAR(B883))</f>
        <v/>
      </c>
      <c r="AG883" s="77">
        <f>IF(OR($A883="",B883=""),"",MONTH(B883))</f>
        <v/>
      </c>
    </row>
    <row r="884">
      <c r="A884" s="7" t="inlineStr">
        <is>
          <t>OT-2026-0029</t>
        </is>
      </c>
      <c r="B884" s="75" t="n">
        <v>46035.65486111111</v>
      </c>
      <c r="C884" s="7" t="inlineStr">
        <is>
          <t>Inès Girard (cheffe d'équipe)</t>
        </is>
      </c>
      <c r="D884" s="7" t="inlineStr">
        <is>
          <t>EQ-PEI-004</t>
        </is>
      </c>
      <c r="E884" s="9">
        <f>IF(D884="","",IFERROR(INDEX('Équipements'!$B$5:$B$304,MATCH(D884,'Équipements'!$A$5:$A$304,0)),"Code inconnu"))</f>
        <v/>
      </c>
      <c r="F884" s="9">
        <f>IF(D884="","",IFERROR(INDEX('Équipements'!$D$5:$D$304,MATCH(D884,'Équipements'!$A$5:$A$304,0)),""))</f>
        <v/>
      </c>
      <c r="G884" s="9">
        <f>IF(D884="","",IFERROR(INDEX('Équipements'!$K$5:$K$304,MATCH(D884,'Équipements'!$A$5:$A$304,0)),""))</f>
        <v/>
      </c>
      <c r="H884" s="7" t="inlineStr">
        <is>
          <t>Correctif</t>
        </is>
      </c>
      <c r="I884" s="7" t="n"/>
      <c r="J884" s="7" t="inlineStr">
        <is>
          <t>Mécanique</t>
        </is>
      </c>
      <c r="K884" s="7" t="inlineStr">
        <is>
          <t>P1 - Urgent</t>
        </is>
      </c>
      <c r="L884" s="7" t="inlineStr">
        <is>
          <t>Galets bloqués / bruit anormal</t>
        </is>
      </c>
      <c r="M884" s="7" t="inlineStr">
        <is>
          <t>Défaut lubrification</t>
        </is>
      </c>
      <c r="N884" s="7" t="inlineStr">
        <is>
          <t>Graissage et remplacement galets</t>
        </is>
      </c>
      <c r="O884" s="7" t="inlineStr">
        <is>
          <t>Lucas Fontaine</t>
        </is>
      </c>
      <c r="P884" s="65" t="n"/>
      <c r="Q884" s="75" t="n">
        <v>46035.68125</v>
      </c>
      <c r="R884" s="75" t="n">
        <v>46035.76458333333</v>
      </c>
      <c r="S884" s="76" t="n">
        <v>2.6</v>
      </c>
      <c r="T884" s="76" t="n">
        <v>2</v>
      </c>
      <c r="U884" s="70">
        <f>IF($A884="","",IFERROR(INDEX('Techniciens'!$F$5:$F$44,MATCH(O884,'Techniciens'!$B$5:$B$44,0)),'Paramètres'!$AA$10))</f>
        <v/>
      </c>
      <c r="V884" s="70">
        <f>IF($A884="","",IF(OR(AC884="Demandé",AC884="Planifié",AC884="Annulé"),0,N(T884)*N(U884)))</f>
        <v/>
      </c>
      <c r="W884" s="70">
        <f>IF($A884="","",SUMIFS('Mouvements stock'!$H$5:$H$3004,'Mouvements stock'!$I$5:$I$3004,$A884,'Mouvements stock'!$C$5:$C$3004,"Sortie")-SUMIFS('Mouvements stock'!$H$5:$H$3004,'Mouvements stock'!$I$5:$I$3004,$A884,'Mouvements stock'!$C$5:$C$3004,"Retour"))</f>
        <v/>
      </c>
      <c r="X884" s="66" t="n">
        <v>0</v>
      </c>
      <c r="Y884" s="66" t="n">
        <v>0</v>
      </c>
      <c r="Z884" s="7" t="n"/>
      <c r="AA884" s="70">
        <f>IF($A884="","",N(V884)+N(W884)+N(X884)+N(Y884))</f>
        <v/>
      </c>
      <c r="AB884" s="70">
        <f>IF($A884="","",N(S884)*'Paramètres'!$AA$9*IFERROR(INDEX('Paramètres'!$O$5:$O$7,MATCH(G884,'Paramètres'!$N$5:$N$7,0)),0))</f>
        <v/>
      </c>
      <c r="AC884" s="7" t="inlineStr">
        <is>
          <t>Clôturé</t>
        </is>
      </c>
      <c r="AD884" s="69">
        <f>IF(OR($A884="",Q884=""),"",(Q884-B884)*24)</f>
        <v/>
      </c>
      <c r="AE884" s="69">
        <f>IF(OR(Q884="",R884=""),"",(R884-Q884)*24)</f>
        <v/>
      </c>
      <c r="AF884" s="77">
        <f>IF(OR($A884="",B884=""),"",YEAR(B884))</f>
        <v/>
      </c>
      <c r="AG884" s="77">
        <f>IF(OR($A884="",B884=""),"",MONTH(B884))</f>
        <v/>
      </c>
    </row>
    <row r="885">
      <c r="A885" s="7" t="inlineStr">
        <is>
          <t>OT-2026-0030</t>
        </is>
      </c>
      <c r="B885" s="75" t="n">
        <v>46036.31597222222</v>
      </c>
      <c r="C885" s="7" t="inlineStr">
        <is>
          <t>Marc Lefèvre</t>
        </is>
      </c>
      <c r="D885" s="7" t="inlineStr">
        <is>
          <t>EQ-UTI-009</t>
        </is>
      </c>
      <c r="E885" s="9">
        <f>IF(D885="","",IFERROR(INDEX('Équipements'!$B$5:$B$304,MATCH(D885,'Équipements'!$A$5:$A$304,0)),"Code inconnu"))</f>
        <v/>
      </c>
      <c r="F885" s="9">
        <f>IF(D885="","",IFERROR(INDEX('Équipements'!$D$5:$D$304,MATCH(D885,'Équipements'!$A$5:$A$304,0)),""))</f>
        <v/>
      </c>
      <c r="G885" s="9">
        <f>IF(D885="","",IFERROR(INDEX('Équipements'!$K$5:$K$304,MATCH(D885,'Équipements'!$A$5:$A$304,0)),""))</f>
        <v/>
      </c>
      <c r="H885" s="7" t="inlineStr">
        <is>
          <t>Correctif</t>
        </is>
      </c>
      <c r="I885" s="7" t="n"/>
      <c r="J885" s="7" t="inlineStr">
        <is>
          <t>Électrique</t>
        </is>
      </c>
      <c r="K885" s="7" t="inlineStr">
        <is>
          <t>P4 - Basse</t>
        </is>
      </c>
      <c r="L885" s="7" t="inlineStr">
        <is>
          <t>Dérive de la mesure pH</t>
        </is>
      </c>
      <c r="M885" s="7" t="inlineStr">
        <is>
          <t>Défaut capteur</t>
        </is>
      </c>
      <c r="N885" s="7" t="inlineStr">
        <is>
          <t>Remplacement sonde pH, étalonnage</t>
        </is>
      </c>
      <c r="O885" s="7" t="inlineStr">
        <is>
          <t>Antoine Mercier</t>
        </is>
      </c>
      <c r="P885" s="65" t="n"/>
      <c r="Q885" s="75" t="n">
        <v>46039.18125</v>
      </c>
      <c r="R885" s="75" t="n">
        <v>46040.51746911187</v>
      </c>
      <c r="S885" s="76" t="n">
        <v>0</v>
      </c>
      <c r="T885" s="76" t="n">
        <v>2.75</v>
      </c>
      <c r="U885" s="70">
        <f>IF($A885="","",IFERROR(INDEX('Techniciens'!$F$5:$F$44,MATCH(O885,'Techniciens'!$B$5:$B$44,0)),'Paramètres'!$AA$10))</f>
        <v/>
      </c>
      <c r="V885" s="70">
        <f>IF($A885="","",IF(OR(AC885="Demandé",AC885="Planifié",AC885="Annulé"),0,N(T885)*N(U885)))</f>
        <v/>
      </c>
      <c r="W885" s="70">
        <f>IF($A885="","",SUMIFS('Mouvements stock'!$H$5:$H$3004,'Mouvements stock'!$I$5:$I$3004,$A885,'Mouvements stock'!$C$5:$C$3004,"Sortie")-SUMIFS('Mouvements stock'!$H$5:$H$3004,'Mouvements stock'!$I$5:$I$3004,$A885,'Mouvements stock'!$C$5:$C$3004,"Retour"))</f>
        <v/>
      </c>
      <c r="X885" s="66" t="n">
        <v>661</v>
      </c>
      <c r="Y885" s="66" t="n">
        <v>0</v>
      </c>
      <c r="Z885" s="7" t="n"/>
      <c r="AA885" s="70">
        <f>IF($A885="","",N(V885)+N(W885)+N(X885)+N(Y885))</f>
        <v/>
      </c>
      <c r="AB885" s="70">
        <f>IF($A885="","",N(S885)*'Paramètres'!$AA$9*IFERROR(INDEX('Paramètres'!$O$5:$O$7,MATCH(G885,'Paramètres'!$N$5:$N$7,0)),0))</f>
        <v/>
      </c>
      <c r="AC885" s="7" t="inlineStr">
        <is>
          <t>Clôturé</t>
        </is>
      </c>
      <c r="AD885" s="69">
        <f>IF(OR($A885="",Q885=""),"",(Q885-B885)*24)</f>
        <v/>
      </c>
      <c r="AE885" s="69">
        <f>IF(OR(Q885="",R885=""),"",(R885-Q885)*24)</f>
        <v/>
      </c>
      <c r="AF885" s="77">
        <f>IF(OR($A885="",B885=""),"",YEAR(B885))</f>
        <v/>
      </c>
      <c r="AG885" s="77">
        <f>IF(OR($A885="",B885=""),"",MONTH(B885))</f>
        <v/>
      </c>
    </row>
    <row r="886">
      <c r="A886" s="7" t="inlineStr">
        <is>
          <t>OT-2026-0031</t>
        </is>
      </c>
      <c r="B886" s="75" t="n">
        <v>46036.375</v>
      </c>
      <c r="C886" s="7" t="inlineStr">
        <is>
          <t>Plan préventif</t>
        </is>
      </c>
      <c r="D886" s="7" t="inlineStr">
        <is>
          <t>EQ-TOL-005</t>
        </is>
      </c>
      <c r="E886" s="9">
        <f>IF(D886="","",IFERROR(INDEX('Équipements'!$B$5:$B$304,MATCH(D886,'Équipements'!$A$5:$A$304,0)),"Code inconnu"))</f>
        <v/>
      </c>
      <c r="F886" s="9">
        <f>IF(D886="","",IFERROR(INDEX('Équipements'!$D$5:$D$304,MATCH(D886,'Équipements'!$A$5:$A$304,0)),""))</f>
        <v/>
      </c>
      <c r="G886" s="9">
        <f>IF(D886="","",IFERROR(INDEX('Équipements'!$K$5:$K$304,MATCH(D886,'Équipements'!$A$5:$A$304,0)),""))</f>
        <v/>
      </c>
      <c r="H886" s="7" t="inlineStr">
        <is>
          <t>Préventif conditionnel</t>
        </is>
      </c>
      <c r="I886" s="7" t="inlineStr">
        <is>
          <t>GP-051</t>
        </is>
      </c>
      <c r="J886" s="7" t="inlineStr">
        <is>
          <t>Hydraulique</t>
        </is>
      </c>
      <c r="K886" s="7" t="inlineStr">
        <is>
          <t>P3 - Normale</t>
        </is>
      </c>
      <c r="L886" s="7" t="inlineStr">
        <is>
          <t>Vidange huile hydraulique et filtres</t>
        </is>
      </c>
      <c r="M886" s="7" t="n"/>
      <c r="N886" s="7" t="inlineStr">
        <is>
          <t>Gamme réalisée - serrages repris</t>
        </is>
      </c>
      <c r="O886" s="7" t="inlineStr">
        <is>
          <t>Karim Benali</t>
        </is>
      </c>
      <c r="P886" s="65" t="n">
        <v>46043</v>
      </c>
      <c r="Q886" s="75" t="n">
        <v>46043.48611111111</v>
      </c>
      <c r="R886" s="75" t="n">
        <v>46043.69444444445</v>
      </c>
      <c r="S886" s="76" t="n">
        <v>5</v>
      </c>
      <c r="T886" s="76" t="n">
        <v>5</v>
      </c>
      <c r="U886" s="70">
        <f>IF($A886="","",IFERROR(INDEX('Techniciens'!$F$5:$F$44,MATCH(O886,'Techniciens'!$B$5:$B$44,0)),'Paramètres'!$AA$10))</f>
        <v/>
      </c>
      <c r="V886" s="70">
        <f>IF($A886="","",IF(OR(AC886="Demandé",AC886="Planifié",AC886="Annulé"),0,N(T886)*N(U886)))</f>
        <v/>
      </c>
      <c r="W886" s="70">
        <f>IF($A886="","",SUMIFS('Mouvements stock'!$H$5:$H$3004,'Mouvements stock'!$I$5:$I$3004,$A886,'Mouvements stock'!$C$5:$C$3004,"Sortie")-SUMIFS('Mouvements stock'!$H$5:$H$3004,'Mouvements stock'!$I$5:$I$3004,$A886,'Mouvements stock'!$C$5:$C$3004,"Retour"))</f>
        <v/>
      </c>
      <c r="X886" s="66" t="n">
        <v>0</v>
      </c>
      <c r="Y886" s="66" t="n">
        <v>0</v>
      </c>
      <c r="Z886" s="7" t="n"/>
      <c r="AA886" s="70">
        <f>IF($A886="","",N(V886)+N(W886)+N(X886)+N(Y886))</f>
        <v/>
      </c>
      <c r="AB886" s="70">
        <f>IF($A886="","",N(S886)*'Paramètres'!$AA$9*IFERROR(INDEX('Paramètres'!$O$5:$O$7,MATCH(G886,'Paramètres'!$N$5:$N$7,0)),0))</f>
        <v/>
      </c>
      <c r="AC886" s="7" t="inlineStr">
        <is>
          <t>Clôturé</t>
        </is>
      </c>
      <c r="AD886" s="69">
        <f>IF(OR($A886="",Q886=""),"",(Q886-B886)*24)</f>
        <v/>
      </c>
      <c r="AE886" s="69">
        <f>IF(OR(Q886="",R886=""),"",(R886-Q886)*24)</f>
        <v/>
      </c>
      <c r="AF886" s="77">
        <f>IF(OR($A886="",B886=""),"",YEAR(B886))</f>
        <v/>
      </c>
      <c r="AG886" s="77">
        <f>IF(OR($A886="",B886=""),"",MONTH(B886))</f>
        <v/>
      </c>
    </row>
    <row r="887">
      <c r="A887" s="7" t="inlineStr">
        <is>
          <t>OT-2026-0032</t>
        </is>
      </c>
      <c r="B887" s="75" t="n">
        <v>46036.46527777778</v>
      </c>
      <c r="C887" s="7" t="inlineStr">
        <is>
          <t>Plan préventif</t>
        </is>
      </c>
      <c r="D887" s="7" t="inlineStr">
        <is>
          <t>EQ-TOL-006</t>
        </is>
      </c>
      <c r="E887" s="9">
        <f>IF(D887="","",IFERROR(INDEX('Équipements'!$B$5:$B$304,MATCH(D887,'Équipements'!$A$5:$A$304,0)),"Code inconnu"))</f>
        <v/>
      </c>
      <c r="F887" s="9">
        <f>IF(D887="","",IFERROR(INDEX('Équipements'!$D$5:$D$304,MATCH(D887,'Équipements'!$A$5:$A$304,0)),""))</f>
        <v/>
      </c>
      <c r="G887" s="9">
        <f>IF(D887="","",IFERROR(INDEX('Équipements'!$K$5:$K$304,MATCH(D887,'Équipements'!$A$5:$A$304,0)),""))</f>
        <v/>
      </c>
      <c r="H887" s="7" t="inlineStr">
        <is>
          <t>Préventif systématique</t>
        </is>
      </c>
      <c r="I887" s="7" t="inlineStr">
        <is>
          <t>GP-055</t>
        </is>
      </c>
      <c r="J887" s="7" t="inlineStr">
        <is>
          <t>Électrique</t>
        </is>
      </c>
      <c r="K887" s="7" t="inlineStr">
        <is>
          <t>P3 - Normale</t>
        </is>
      </c>
      <c r="L887" s="7" t="inlineStr">
        <is>
          <t>Contrôle des sécurités (barrages, AU, pédale)</t>
        </is>
      </c>
      <c r="M887" s="7" t="n"/>
      <c r="N887" s="7" t="inlineStr">
        <is>
          <t>Gamme réalisée - RAS</t>
        </is>
      </c>
      <c r="O887" s="7" t="inlineStr">
        <is>
          <t>Thomas Petit</t>
        </is>
      </c>
      <c r="P887" s="65" t="n">
        <v>46043.53819444445</v>
      </c>
      <c r="Q887" s="75" t="n">
        <v>46043.375</v>
      </c>
      <c r="R887" s="75" t="n">
        <v>46043.42708333334</v>
      </c>
      <c r="S887" s="76" t="n">
        <v>0.6</v>
      </c>
      <c r="T887" s="76" t="n">
        <v>1.25</v>
      </c>
      <c r="U887" s="70">
        <f>IF($A887="","",IFERROR(INDEX('Techniciens'!$F$5:$F$44,MATCH(O887,'Techniciens'!$B$5:$B$44,0)),'Paramètres'!$AA$10))</f>
        <v/>
      </c>
      <c r="V887" s="70">
        <f>IF($A887="","",IF(OR(AC887="Demandé",AC887="Planifié",AC887="Annulé"),0,N(T887)*N(U887)))</f>
        <v/>
      </c>
      <c r="W887" s="70">
        <f>IF($A887="","",SUMIFS('Mouvements stock'!$H$5:$H$3004,'Mouvements stock'!$I$5:$I$3004,$A887,'Mouvements stock'!$C$5:$C$3004,"Sortie")-SUMIFS('Mouvements stock'!$H$5:$H$3004,'Mouvements stock'!$I$5:$I$3004,$A887,'Mouvements stock'!$C$5:$C$3004,"Retour"))</f>
        <v/>
      </c>
      <c r="X887" s="66" t="n">
        <v>0</v>
      </c>
      <c r="Y887" s="66" t="n">
        <v>0</v>
      </c>
      <c r="Z887" s="7" t="n"/>
      <c r="AA887" s="70">
        <f>IF($A887="","",N(V887)+N(W887)+N(X887)+N(Y887))</f>
        <v/>
      </c>
      <c r="AB887" s="70">
        <f>IF($A887="","",N(S887)*'Paramètres'!$AA$9*IFERROR(INDEX('Paramètres'!$O$5:$O$7,MATCH(G887,'Paramètres'!$N$5:$N$7,0)),0))</f>
        <v/>
      </c>
      <c r="AC887" s="7" t="inlineStr">
        <is>
          <t>Clôturé</t>
        </is>
      </c>
      <c r="AD887" s="69">
        <f>IF(OR($A887="",Q887=""),"",(Q887-B887)*24)</f>
        <v/>
      </c>
      <c r="AE887" s="69">
        <f>IF(OR(Q887="",R887=""),"",(R887-Q887)*24)</f>
        <v/>
      </c>
      <c r="AF887" s="77">
        <f>IF(OR($A887="",B887=""),"",YEAR(B887))</f>
        <v/>
      </c>
      <c r="AG887" s="77">
        <f>IF(OR($A887="",B887=""),"",MONTH(B887))</f>
        <v/>
      </c>
    </row>
    <row r="888">
      <c r="A888" s="7" t="inlineStr">
        <is>
          <t>OT-2026-0033</t>
        </is>
      </c>
      <c r="B888" s="75" t="n">
        <v>46037.42361111111</v>
      </c>
      <c r="C888" s="7" t="inlineStr">
        <is>
          <t>Planning réglementaire</t>
        </is>
      </c>
      <c r="D888" s="7" t="inlineStr">
        <is>
          <t>EQ-PEI-003</t>
        </is>
      </c>
      <c r="E888" s="9">
        <f>IF(D888="","",IFERROR(INDEX('Équipements'!$B$5:$B$304,MATCH(D888,'Équipements'!$A$5:$A$304,0)),"Code inconnu"))</f>
        <v/>
      </c>
      <c r="F888" s="9">
        <f>IF(D888="","",IFERROR(INDEX('Équipements'!$D$5:$D$304,MATCH(D888,'Équipements'!$A$5:$A$304,0)),""))</f>
        <v/>
      </c>
      <c r="G888" s="9">
        <f>IF(D888="","",IFERROR(INDEX('Équipements'!$K$5:$K$304,MATCH(D888,'Équipements'!$A$5:$A$304,0)),""))</f>
        <v/>
      </c>
      <c r="H888" s="7" t="inlineStr">
        <is>
          <t>Réglementaire</t>
        </is>
      </c>
      <c r="I888" s="7" t="inlineStr">
        <is>
          <t>CR-025</t>
        </is>
      </c>
      <c r="J888" s="7" t="inlineStr">
        <is>
          <t>Multi-technique</t>
        </is>
      </c>
      <c r="K888" s="7" t="inlineStr">
        <is>
          <t>P2 - Haute</t>
        </is>
      </c>
      <c r="L888" s="7" t="inlineStr">
        <is>
          <t>Contrôle installation gaz du four</t>
        </is>
      </c>
      <c r="M888" s="7" t="n"/>
      <c r="N888" s="7" t="inlineStr">
        <is>
          <t>Contrôle réalisé - observations mineures au rapport</t>
        </is>
      </c>
      <c r="O888" s="7" t="inlineStr">
        <is>
          <t>Marc Lefèvre</t>
        </is>
      </c>
      <c r="P888" s="65" t="n">
        <v>46058</v>
      </c>
      <c r="Q888" s="75" t="n">
        <v>46058.48611111111</v>
      </c>
      <c r="R888" s="75" t="n">
        <v>46058.61111111111</v>
      </c>
      <c r="S888" s="76" t="n">
        <v>3</v>
      </c>
      <c r="T888" s="76" t="n">
        <v>2.5</v>
      </c>
      <c r="U888" s="70">
        <f>IF($A888="","",IFERROR(INDEX('Techniciens'!$F$5:$F$44,MATCH(O888,'Techniciens'!$B$5:$B$44,0)),'Paramètres'!$AA$10))</f>
        <v/>
      </c>
      <c r="V888" s="70">
        <f>IF($A888="","",IF(OR(AC888="Demandé",AC888="Planifié",AC888="Annulé"),0,N(T888)*N(U888)))</f>
        <v/>
      </c>
      <c r="W888" s="70">
        <f>IF($A888="","",SUMIFS('Mouvements stock'!$H$5:$H$3004,'Mouvements stock'!$I$5:$I$3004,$A888,'Mouvements stock'!$C$5:$C$3004,"Sortie")-SUMIFS('Mouvements stock'!$H$5:$H$3004,'Mouvements stock'!$I$5:$I$3004,$A888,'Mouvements stock'!$C$5:$C$3004,"Retour"))</f>
        <v/>
      </c>
      <c r="X888" s="66" t="n">
        <v>0</v>
      </c>
      <c r="Y888" s="66" t="n">
        <v>480</v>
      </c>
      <c r="Z888" s="7" t="inlineStr">
        <is>
          <t>Thermique &amp; Clim Services</t>
        </is>
      </c>
      <c r="AA888" s="70">
        <f>IF($A888="","",N(V888)+N(W888)+N(X888)+N(Y888))</f>
        <v/>
      </c>
      <c r="AB888" s="70">
        <f>IF($A888="","",N(S888)*'Paramètres'!$AA$9*IFERROR(INDEX('Paramètres'!$O$5:$O$7,MATCH(G888,'Paramètres'!$N$5:$N$7,0)),0))</f>
        <v/>
      </c>
      <c r="AC888" s="7" t="inlineStr">
        <is>
          <t>Clôturé</t>
        </is>
      </c>
      <c r="AD888" s="69">
        <f>IF(OR($A888="",Q888=""),"",(Q888-B888)*24)</f>
        <v/>
      </c>
      <c r="AE888" s="69">
        <f>IF(OR(Q888="",R888=""),"",(R888-Q888)*24)</f>
        <v/>
      </c>
      <c r="AF888" s="77">
        <f>IF(OR($A888="",B888=""),"",YEAR(B888))</f>
        <v/>
      </c>
      <c r="AG888" s="77">
        <f>IF(OR($A888="",B888=""),"",MONTH(B888))</f>
        <v/>
      </c>
    </row>
    <row r="889">
      <c r="A889" s="7" t="inlineStr">
        <is>
          <t>OT-2026-0034</t>
        </is>
      </c>
      <c r="B889" s="75" t="n">
        <v>46037.45138888889</v>
      </c>
      <c r="C889" s="7" t="inlineStr">
        <is>
          <t>Plan préventif</t>
        </is>
      </c>
      <c r="D889" s="7" t="inlineStr">
        <is>
          <t>EQ-USI-002</t>
        </is>
      </c>
      <c r="E889" s="9">
        <f>IF(D889="","",IFERROR(INDEX('Équipements'!$B$5:$B$304,MATCH(D889,'Équipements'!$A$5:$A$304,0)),"Code inconnu"))</f>
        <v/>
      </c>
      <c r="F889" s="9">
        <f>IF(D889="","",IFERROR(INDEX('Équipements'!$D$5:$D$304,MATCH(D889,'Équipements'!$A$5:$A$304,0)),""))</f>
        <v/>
      </c>
      <c r="G889" s="9">
        <f>IF(D889="","",IFERROR(INDEX('Équipements'!$K$5:$K$304,MATCH(D889,'Équipements'!$A$5:$A$304,0)),""))</f>
        <v/>
      </c>
      <c r="H889" s="7" t="inlineStr">
        <is>
          <t>Préventif systématique</t>
        </is>
      </c>
      <c r="I889" s="7" t="inlineStr">
        <is>
          <t>GP-005</t>
        </is>
      </c>
      <c r="J889" s="7" t="inlineStr">
        <is>
          <t>Mécanique</t>
        </is>
      </c>
      <c r="K889" s="7" t="inlineStr">
        <is>
          <t>P3 - Normale</t>
        </is>
      </c>
      <c r="L889" s="7" t="inlineStr">
        <is>
          <t>Contrôle niveaux, nettoyage filtres et bac à copeaux</t>
        </is>
      </c>
      <c r="M889" s="7" t="n"/>
      <c r="N889" s="7" t="inlineStr">
        <is>
          <t>Gamme réalisée - RAS</t>
        </is>
      </c>
      <c r="O889" s="7" t="inlineStr">
        <is>
          <t>Antoine Mercier</t>
        </is>
      </c>
      <c r="P889" s="65" t="n">
        <v>46044.63541666666</v>
      </c>
      <c r="Q889" s="75" t="n">
        <v>46044.36111111111</v>
      </c>
      <c r="R889" s="75" t="n">
        <v>46044.42361111111</v>
      </c>
      <c r="S889" s="76" t="n">
        <v>0</v>
      </c>
      <c r="T889" s="76" t="n">
        <v>1.5</v>
      </c>
      <c r="U889" s="70">
        <f>IF($A889="","",IFERROR(INDEX('Techniciens'!$F$5:$F$44,MATCH(O889,'Techniciens'!$B$5:$B$44,0)),'Paramètres'!$AA$10))</f>
        <v/>
      </c>
      <c r="V889" s="70">
        <f>IF($A889="","",IF(OR(AC889="Demandé",AC889="Planifié",AC889="Annulé"),0,N(T889)*N(U889)))</f>
        <v/>
      </c>
      <c r="W889" s="70">
        <f>IF($A889="","",SUMIFS('Mouvements stock'!$H$5:$H$3004,'Mouvements stock'!$I$5:$I$3004,$A889,'Mouvements stock'!$C$5:$C$3004,"Sortie")-SUMIFS('Mouvements stock'!$H$5:$H$3004,'Mouvements stock'!$I$5:$I$3004,$A889,'Mouvements stock'!$C$5:$C$3004,"Retour"))</f>
        <v/>
      </c>
      <c r="X889" s="66" t="n">
        <v>0</v>
      </c>
      <c r="Y889" s="66" t="n">
        <v>0</v>
      </c>
      <c r="Z889" s="7" t="n"/>
      <c r="AA889" s="70">
        <f>IF($A889="","",N(V889)+N(W889)+N(X889)+N(Y889))</f>
        <v/>
      </c>
      <c r="AB889" s="70">
        <f>IF($A889="","",N(S889)*'Paramètres'!$AA$9*IFERROR(INDEX('Paramètres'!$O$5:$O$7,MATCH(G889,'Paramètres'!$N$5:$N$7,0)),0))</f>
        <v/>
      </c>
      <c r="AC889" s="7" t="inlineStr">
        <is>
          <t>Clôturé</t>
        </is>
      </c>
      <c r="AD889" s="69">
        <f>IF(OR($A889="",Q889=""),"",(Q889-B889)*24)</f>
        <v/>
      </c>
      <c r="AE889" s="69">
        <f>IF(OR(Q889="",R889=""),"",(R889-Q889)*24)</f>
        <v/>
      </c>
      <c r="AF889" s="77">
        <f>IF(OR($A889="",B889=""),"",YEAR(B889))</f>
        <v/>
      </c>
      <c r="AG889" s="77">
        <f>IF(OR($A889="",B889=""),"",MONTH(B889))</f>
        <v/>
      </c>
    </row>
    <row r="890">
      <c r="A890" s="7" t="inlineStr">
        <is>
          <t>OT-2026-0035</t>
        </is>
      </c>
      <c r="B890" s="75" t="n">
        <v>46041.36111111111</v>
      </c>
      <c r="C890" s="7" t="inlineStr">
        <is>
          <t>Plan préventif</t>
        </is>
      </c>
      <c r="D890" s="7" t="inlineStr">
        <is>
          <t>EQ-UTI-010</t>
        </is>
      </c>
      <c r="E890" s="9">
        <f>IF(D890="","",IFERROR(INDEX('Équipements'!$B$5:$B$304,MATCH(D890,'Équipements'!$A$5:$A$304,0)),"Code inconnu"))</f>
        <v/>
      </c>
      <c r="F890" s="9">
        <f>IF(D890="","",IFERROR(INDEX('Équipements'!$D$5:$D$304,MATCH(D890,'Équipements'!$A$5:$A$304,0)),""))</f>
        <v/>
      </c>
      <c r="G890" s="9">
        <f>IF(D890="","",IFERROR(INDEX('Équipements'!$K$5:$K$304,MATCH(D890,'Équipements'!$A$5:$A$304,0)),""))</f>
        <v/>
      </c>
      <c r="H890" s="7" t="inlineStr">
        <is>
          <t>Préventif systématique</t>
        </is>
      </c>
      <c r="I890" s="7" t="inlineStr">
        <is>
          <t>GP-104</t>
        </is>
      </c>
      <c r="J890" s="7" t="inlineStr">
        <is>
          <t>Électrique</t>
        </is>
      </c>
      <c r="K890" s="7" t="inlineStr">
        <is>
          <t>P3 - Normale</t>
        </is>
      </c>
      <c r="L890" s="7" t="inlineStr">
        <is>
          <t>Essai mensuel à charge du groupe électrogène</t>
        </is>
      </c>
      <c r="M890" s="7" t="n"/>
      <c r="N890" s="7" t="inlineStr">
        <is>
          <t>Gamme réalisée - RAS</t>
        </is>
      </c>
      <c r="O890" s="7" t="inlineStr">
        <is>
          <t>Julien Moreau</t>
        </is>
      </c>
      <c r="P890" s="65" t="n">
        <v>46048.33333333334</v>
      </c>
      <c r="Q890" s="75" t="n">
        <v>46048.28125</v>
      </c>
      <c r="R890" s="75" t="n">
        <v>46048.34375</v>
      </c>
      <c r="S890" s="76" t="n">
        <v>0</v>
      </c>
      <c r="T890" s="76" t="n">
        <v>1.5</v>
      </c>
      <c r="U890" s="70">
        <f>IF($A890="","",IFERROR(INDEX('Techniciens'!$F$5:$F$44,MATCH(O890,'Techniciens'!$B$5:$B$44,0)),'Paramètres'!$AA$10))</f>
        <v/>
      </c>
      <c r="V890" s="70">
        <f>IF($A890="","",IF(OR(AC890="Demandé",AC890="Planifié",AC890="Annulé"),0,N(T890)*N(U890)))</f>
        <v/>
      </c>
      <c r="W890" s="70">
        <f>IF($A890="","",SUMIFS('Mouvements stock'!$H$5:$H$3004,'Mouvements stock'!$I$5:$I$3004,$A890,'Mouvements stock'!$C$5:$C$3004,"Sortie")-SUMIFS('Mouvements stock'!$H$5:$H$3004,'Mouvements stock'!$I$5:$I$3004,$A890,'Mouvements stock'!$C$5:$C$3004,"Retour"))</f>
        <v/>
      </c>
      <c r="X890" s="66" t="n">
        <v>0</v>
      </c>
      <c r="Y890" s="66" t="n">
        <v>0</v>
      </c>
      <c r="Z890" s="7" t="n"/>
      <c r="AA890" s="70">
        <f>IF($A890="","",N(V890)+N(W890)+N(X890)+N(Y890))</f>
        <v/>
      </c>
      <c r="AB890" s="70">
        <f>IF($A890="","",N(S890)*'Paramètres'!$AA$9*IFERROR(INDEX('Paramètres'!$O$5:$O$7,MATCH(G890,'Paramètres'!$N$5:$N$7,0)),0))</f>
        <v/>
      </c>
      <c r="AC890" s="7" t="inlineStr">
        <is>
          <t>Clôturé</t>
        </is>
      </c>
      <c r="AD890" s="69">
        <f>IF(OR($A890="",Q890=""),"",(Q890-B890)*24)</f>
        <v/>
      </c>
      <c r="AE890" s="69">
        <f>IF(OR(Q890="",R890=""),"",(R890-Q890)*24)</f>
        <v/>
      </c>
      <c r="AF890" s="77">
        <f>IF(OR($A890="",B890=""),"",YEAR(B890))</f>
        <v/>
      </c>
      <c r="AG890" s="77">
        <f>IF(OR($A890="",B890=""),"",MONTH(B890))</f>
        <v/>
      </c>
    </row>
    <row r="891">
      <c r="A891" s="7" t="inlineStr">
        <is>
          <t>OT-2026-0036</t>
        </is>
      </c>
      <c r="B891" s="75" t="n">
        <v>46041.375</v>
      </c>
      <c r="C891" s="7" t="inlineStr">
        <is>
          <t>Plan préventif</t>
        </is>
      </c>
      <c r="D891" s="7" t="inlineStr">
        <is>
          <t>EQ-USI-012</t>
        </is>
      </c>
      <c r="E891" s="9">
        <f>IF(D891="","",IFERROR(INDEX('Équipements'!$B$5:$B$304,MATCH(D891,'Équipements'!$A$5:$A$304,0)),"Code inconnu"))</f>
        <v/>
      </c>
      <c r="F891" s="9">
        <f>IF(D891="","",IFERROR(INDEX('Équipements'!$D$5:$D$304,MATCH(D891,'Équipements'!$A$5:$A$304,0)),""))</f>
        <v/>
      </c>
      <c r="G891" s="9">
        <f>IF(D891="","",IFERROR(INDEX('Équipements'!$K$5:$K$304,MATCH(D891,'Équipements'!$A$5:$A$304,0)),""))</f>
        <v/>
      </c>
      <c r="H891" s="7" t="inlineStr">
        <is>
          <t>Préventif systématique</t>
        </is>
      </c>
      <c r="I891" s="7" t="inlineStr">
        <is>
          <t>GP-035</t>
        </is>
      </c>
      <c r="J891" s="7" t="inlineStr">
        <is>
          <t>Mécanique</t>
        </is>
      </c>
      <c r="K891" s="7" t="inlineStr">
        <is>
          <t>P3 - Normale</t>
        </is>
      </c>
      <c r="L891" s="7" t="inlineStr">
        <is>
          <t>Nettoyage torche et contrôle faisceau</t>
        </is>
      </c>
      <c r="M891" s="7" t="n"/>
      <c r="N891" s="7" t="inlineStr">
        <is>
          <t>Gamme réalisée - RAS</t>
        </is>
      </c>
      <c r="O891" s="7" t="inlineStr">
        <is>
          <t>Lucas Fontaine</t>
        </is>
      </c>
      <c r="P891" s="65" t="n">
        <v>46048.59375</v>
      </c>
      <c r="Q891" s="75" t="n">
        <v>46048.30208333334</v>
      </c>
      <c r="R891" s="75" t="n">
        <v>46048.33333333334</v>
      </c>
      <c r="S891" s="76" t="n">
        <v>0.8</v>
      </c>
      <c r="T891" s="76" t="n">
        <v>0.75</v>
      </c>
      <c r="U891" s="70">
        <f>IF($A891="","",IFERROR(INDEX('Techniciens'!$F$5:$F$44,MATCH(O891,'Techniciens'!$B$5:$B$44,0)),'Paramètres'!$AA$10))</f>
        <v/>
      </c>
      <c r="V891" s="70">
        <f>IF($A891="","",IF(OR(AC891="Demandé",AC891="Planifié",AC891="Annulé"),0,N(T891)*N(U891)))</f>
        <v/>
      </c>
      <c r="W891" s="70">
        <f>IF($A891="","",SUMIFS('Mouvements stock'!$H$5:$H$3004,'Mouvements stock'!$I$5:$I$3004,$A891,'Mouvements stock'!$C$5:$C$3004,"Sortie")-SUMIFS('Mouvements stock'!$H$5:$H$3004,'Mouvements stock'!$I$5:$I$3004,$A891,'Mouvements stock'!$C$5:$C$3004,"Retour"))</f>
        <v/>
      </c>
      <c r="X891" s="66" t="n">
        <v>0</v>
      </c>
      <c r="Y891" s="66" t="n">
        <v>0</v>
      </c>
      <c r="Z891" s="7" t="n"/>
      <c r="AA891" s="70">
        <f>IF($A891="","",N(V891)+N(W891)+N(X891)+N(Y891))</f>
        <v/>
      </c>
      <c r="AB891" s="70">
        <f>IF($A891="","",N(S891)*'Paramètres'!$AA$9*IFERROR(INDEX('Paramètres'!$O$5:$O$7,MATCH(G891,'Paramètres'!$N$5:$N$7,0)),0))</f>
        <v/>
      </c>
      <c r="AC891" s="7" t="inlineStr">
        <is>
          <t>Clôturé</t>
        </is>
      </c>
      <c r="AD891" s="69">
        <f>IF(OR($A891="",Q891=""),"",(Q891-B891)*24)</f>
        <v/>
      </c>
      <c r="AE891" s="69">
        <f>IF(OR(Q891="",R891=""),"",(R891-Q891)*24)</f>
        <v/>
      </c>
      <c r="AF891" s="77">
        <f>IF(OR($A891="",B891=""),"",YEAR(B891))</f>
        <v/>
      </c>
      <c r="AG891" s="77">
        <f>IF(OR($A891="",B891=""),"",MONTH(B891))</f>
        <v/>
      </c>
    </row>
    <row r="892">
      <c r="A892" s="7" t="inlineStr">
        <is>
          <t>OT-2026-0037</t>
        </is>
      </c>
      <c r="B892" s="75" t="n">
        <v>46041.39583333334</v>
      </c>
      <c r="C892" s="7" t="inlineStr">
        <is>
          <t>Plan préventif</t>
        </is>
      </c>
      <c r="D892" s="7" t="inlineStr">
        <is>
          <t>EQ-UTI-005</t>
        </is>
      </c>
      <c r="E892" s="9">
        <f>IF(D892="","",IFERROR(INDEX('Équipements'!$B$5:$B$304,MATCH(D892,'Équipements'!$A$5:$A$304,0)),"Code inconnu"))</f>
        <v/>
      </c>
      <c r="F892" s="9">
        <f>IF(D892="","",IFERROR(INDEX('Équipements'!$D$5:$D$304,MATCH(D892,'Équipements'!$A$5:$A$304,0)),""))</f>
        <v/>
      </c>
      <c r="G892" s="9">
        <f>IF(D892="","",IFERROR(INDEX('Équipements'!$K$5:$K$304,MATCH(D892,'Équipements'!$A$5:$A$304,0)),""))</f>
        <v/>
      </c>
      <c r="H892" s="7" t="inlineStr">
        <is>
          <t>Préventif systématique</t>
        </is>
      </c>
      <c r="I892" s="7" t="inlineStr">
        <is>
          <t>GP-093</t>
        </is>
      </c>
      <c r="J892" s="7" t="inlineStr">
        <is>
          <t>Mécanique</t>
        </is>
      </c>
      <c r="K892" s="7" t="inlineStr">
        <is>
          <t>P3 - Normale</t>
        </is>
      </c>
      <c r="L892" s="7" t="inlineStr">
        <is>
          <t>Remplacement filtres et nettoyage batteries</t>
        </is>
      </c>
      <c r="M892" s="7" t="n"/>
      <c r="N892" s="7" t="inlineStr">
        <is>
          <t>Gamme réalisée - RAS</t>
        </is>
      </c>
      <c r="O892" s="7" t="inlineStr">
        <is>
          <t>Lucas Fontaine</t>
        </is>
      </c>
      <c r="P892" s="65" t="n">
        <v>46048.61805555555</v>
      </c>
      <c r="Q892" s="75" t="n">
        <v>46048.43055555555</v>
      </c>
      <c r="R892" s="75" t="n">
        <v>46048.54513888889</v>
      </c>
      <c r="S892" s="76" t="n">
        <v>0</v>
      </c>
      <c r="T892" s="76" t="n">
        <v>2.75</v>
      </c>
      <c r="U892" s="70">
        <f>IF($A892="","",IFERROR(INDEX('Techniciens'!$F$5:$F$44,MATCH(O892,'Techniciens'!$B$5:$B$44,0)),'Paramètres'!$AA$10))</f>
        <v/>
      </c>
      <c r="V892" s="70">
        <f>IF($A892="","",IF(OR(AC892="Demandé",AC892="Planifié",AC892="Annulé"),0,N(T892)*N(U892)))</f>
        <v/>
      </c>
      <c r="W892" s="70">
        <f>IF($A892="","",SUMIFS('Mouvements stock'!$H$5:$H$3004,'Mouvements stock'!$I$5:$I$3004,$A892,'Mouvements stock'!$C$5:$C$3004,"Sortie")-SUMIFS('Mouvements stock'!$H$5:$H$3004,'Mouvements stock'!$I$5:$I$3004,$A892,'Mouvements stock'!$C$5:$C$3004,"Retour"))</f>
        <v/>
      </c>
      <c r="X892" s="66" t="n">
        <v>0</v>
      </c>
      <c r="Y892" s="66" t="n">
        <v>0</v>
      </c>
      <c r="Z892" s="7" t="n"/>
      <c r="AA892" s="70">
        <f>IF($A892="","",N(V892)+N(W892)+N(X892)+N(Y892))</f>
        <v/>
      </c>
      <c r="AB892" s="70">
        <f>IF($A892="","",N(S892)*'Paramètres'!$AA$9*IFERROR(INDEX('Paramètres'!$O$5:$O$7,MATCH(G892,'Paramètres'!$N$5:$N$7,0)),0))</f>
        <v/>
      </c>
      <c r="AC892" s="7" t="inlineStr">
        <is>
          <t>Clôturé</t>
        </is>
      </c>
      <c r="AD892" s="69">
        <f>IF(OR($A892="",Q892=""),"",(Q892-B892)*24)</f>
        <v/>
      </c>
      <c r="AE892" s="69">
        <f>IF(OR(Q892="",R892=""),"",(R892-Q892)*24)</f>
        <v/>
      </c>
      <c r="AF892" s="77">
        <f>IF(OR($A892="",B892=""),"",YEAR(B892))</f>
        <v/>
      </c>
      <c r="AG892" s="77">
        <f>IF(OR($A892="",B892=""),"",MONTH(B892))</f>
        <v/>
      </c>
    </row>
    <row r="893">
      <c r="A893" s="7" t="inlineStr">
        <is>
          <t>OT-2026-0038</t>
        </is>
      </c>
      <c r="B893" s="75" t="n">
        <v>46041.66111111111</v>
      </c>
      <c r="C893" s="7" t="inlineStr">
        <is>
          <t>Opérateur tôlerie</t>
        </is>
      </c>
      <c r="D893" s="7" t="inlineStr">
        <is>
          <t>EQ-TOL-001</t>
        </is>
      </c>
      <c r="E893" s="9">
        <f>IF(D893="","",IFERROR(INDEX('Équipements'!$B$5:$B$304,MATCH(D893,'Équipements'!$A$5:$A$304,0)),"Code inconnu"))</f>
        <v/>
      </c>
      <c r="F893" s="9">
        <f>IF(D893="","",IFERROR(INDEX('Équipements'!$D$5:$D$304,MATCH(D893,'Équipements'!$A$5:$A$304,0)),""))</f>
        <v/>
      </c>
      <c r="G893" s="9">
        <f>IF(D893="","",IFERROR(INDEX('Équipements'!$K$5:$K$304,MATCH(D893,'Équipements'!$A$5:$A$304,0)),""))</f>
        <v/>
      </c>
      <c r="H893" s="7" t="inlineStr">
        <is>
          <t>Correctif</t>
        </is>
      </c>
      <c r="I893" s="7" t="n"/>
      <c r="J893" s="7" t="inlineStr">
        <is>
          <t>Mécanique</t>
        </is>
      </c>
      <c r="K893" s="7" t="inlineStr">
        <is>
          <t>P1 - Urgent</t>
        </is>
      </c>
      <c r="L893" s="7" t="inlineStr">
        <is>
          <t>Qualité de coupe dégradée</t>
        </is>
      </c>
      <c r="M893" s="7" t="inlineStr">
        <is>
          <t>Encrassement</t>
        </is>
      </c>
      <c r="N893" s="7" t="inlineStr">
        <is>
          <t>Remplacement verre de protection et buse, centrage faisceau</t>
        </is>
      </c>
      <c r="O893" s="7" t="inlineStr">
        <is>
          <t>Karim Benali</t>
        </is>
      </c>
      <c r="P893" s="65" t="n"/>
      <c r="Q893" s="75" t="n">
        <v>46041.69444444445</v>
      </c>
      <c r="R893" s="75" t="n">
        <v>46041.86111111111</v>
      </c>
      <c r="S893" s="76" t="n">
        <v>4.8</v>
      </c>
      <c r="T893" s="76" t="n">
        <v>4</v>
      </c>
      <c r="U893" s="70">
        <f>IF($A893="","",IFERROR(INDEX('Techniciens'!$F$5:$F$44,MATCH(O893,'Techniciens'!$B$5:$B$44,0)),'Paramètres'!$AA$10))</f>
        <v/>
      </c>
      <c r="V893" s="70">
        <f>IF($A893="","",IF(OR(AC893="Demandé",AC893="Planifié",AC893="Annulé"),0,N(T893)*N(U893)))</f>
        <v/>
      </c>
      <c r="W893" s="70">
        <f>IF($A893="","",SUMIFS('Mouvements stock'!$H$5:$H$3004,'Mouvements stock'!$I$5:$I$3004,$A893,'Mouvements stock'!$C$5:$C$3004,"Sortie")-SUMIFS('Mouvements stock'!$H$5:$H$3004,'Mouvements stock'!$I$5:$I$3004,$A893,'Mouvements stock'!$C$5:$C$3004,"Retour"))</f>
        <v/>
      </c>
      <c r="X893" s="66" t="n">
        <v>0</v>
      </c>
      <c r="Y893" s="66" t="n">
        <v>0</v>
      </c>
      <c r="Z893" s="7" t="n"/>
      <c r="AA893" s="70">
        <f>IF($A893="","",N(V893)+N(W893)+N(X893)+N(Y893))</f>
        <v/>
      </c>
      <c r="AB893" s="70">
        <f>IF($A893="","",N(S893)*'Paramètres'!$AA$9*IFERROR(INDEX('Paramètres'!$O$5:$O$7,MATCH(G893,'Paramètres'!$N$5:$N$7,0)),0))</f>
        <v/>
      </c>
      <c r="AC893" s="7" t="inlineStr">
        <is>
          <t>Clôturé</t>
        </is>
      </c>
      <c r="AD893" s="69">
        <f>IF(OR($A893="",Q893=""),"",(Q893-B893)*24)</f>
        <v/>
      </c>
      <c r="AE893" s="69">
        <f>IF(OR(Q893="",R893=""),"",(R893-Q893)*24)</f>
        <v/>
      </c>
      <c r="AF893" s="77">
        <f>IF(OR($A893="",B893=""),"",YEAR(B893))</f>
        <v/>
      </c>
      <c r="AG893" s="77">
        <f>IF(OR($A893="",B893=""),"",MONTH(B893))</f>
        <v/>
      </c>
    </row>
    <row r="894">
      <c r="A894" s="7" t="inlineStr">
        <is>
          <t>OT-2026-0039</t>
        </is>
      </c>
      <c r="B894" s="75" t="n">
        <v>46043.34375</v>
      </c>
      <c r="C894" s="7" t="inlineStr">
        <is>
          <t>Plan préventif</t>
        </is>
      </c>
      <c r="D894" s="7" t="inlineStr">
        <is>
          <t>EQ-LOG-003</t>
        </is>
      </c>
      <c r="E894" s="9">
        <f>IF(D894="","",IFERROR(INDEX('Équipements'!$B$5:$B$304,MATCH(D894,'Équipements'!$A$5:$A$304,0)),"Code inconnu"))</f>
        <v/>
      </c>
      <c r="F894" s="9">
        <f>IF(D894="","",IFERROR(INDEX('Équipements'!$D$5:$D$304,MATCH(D894,'Équipements'!$A$5:$A$304,0)),""))</f>
        <v/>
      </c>
      <c r="G894" s="9">
        <f>IF(D894="","",IFERROR(INDEX('Équipements'!$K$5:$K$304,MATCH(D894,'Équipements'!$A$5:$A$304,0)),""))</f>
        <v/>
      </c>
      <c r="H894" s="7" t="inlineStr">
        <is>
          <t>Préventif systématique</t>
        </is>
      </c>
      <c r="I894" s="7" t="inlineStr">
        <is>
          <t>GP-109</t>
        </is>
      </c>
      <c r="J894" s="7" t="inlineStr">
        <is>
          <t>Multi-technique</t>
        </is>
      </c>
      <c r="K894" s="7" t="inlineStr">
        <is>
          <t>P3 - Normale</t>
        </is>
      </c>
      <c r="L894" s="7" t="inlineStr">
        <is>
          <t>Entretien périodique constructeur</t>
        </is>
      </c>
      <c r="M894" s="7" t="n"/>
      <c r="N894" s="7" t="inlineStr">
        <is>
          <t>Gamme réalisée - RAS</t>
        </is>
      </c>
      <c r="O894" s="7" t="inlineStr">
        <is>
          <t>Antoine Mercier</t>
        </is>
      </c>
      <c r="P894" s="65" t="n">
        <v>46050.4375</v>
      </c>
      <c r="Q894" s="75" t="n">
        <v>46050.51041666666</v>
      </c>
      <c r="R894" s="75" t="n">
        <v>46050.6875</v>
      </c>
      <c r="S894" s="76" t="n">
        <v>0</v>
      </c>
      <c r="T894" s="76" t="n">
        <v>2</v>
      </c>
      <c r="U894" s="70">
        <f>IF($A894="","",IFERROR(INDEX('Techniciens'!$F$5:$F$44,MATCH(O894,'Techniciens'!$B$5:$B$44,0)),'Paramètres'!$AA$10))</f>
        <v/>
      </c>
      <c r="V894" s="70">
        <f>IF($A894="","",IF(OR(AC894="Demandé",AC894="Planifié",AC894="Annulé"),0,N(T894)*N(U894)))</f>
        <v/>
      </c>
      <c r="W894" s="70">
        <f>IF($A894="","",SUMIFS('Mouvements stock'!$H$5:$H$3004,'Mouvements stock'!$I$5:$I$3004,$A894,'Mouvements stock'!$C$5:$C$3004,"Sortie")-SUMIFS('Mouvements stock'!$H$5:$H$3004,'Mouvements stock'!$I$5:$I$3004,$A894,'Mouvements stock'!$C$5:$C$3004,"Retour"))</f>
        <v/>
      </c>
      <c r="X894" s="66" t="n">
        <v>0</v>
      </c>
      <c r="Y894" s="66" t="n">
        <v>450</v>
      </c>
      <c r="Z894" s="7" t="inlineStr">
        <is>
          <t>Manutention Services 44</t>
        </is>
      </c>
      <c r="AA894" s="70">
        <f>IF($A894="","",N(V894)+N(W894)+N(X894)+N(Y894))</f>
        <v/>
      </c>
      <c r="AB894" s="70">
        <f>IF($A894="","",N(S894)*'Paramètres'!$AA$9*IFERROR(INDEX('Paramètres'!$O$5:$O$7,MATCH(G894,'Paramètres'!$N$5:$N$7,0)),0))</f>
        <v/>
      </c>
      <c r="AC894" s="7" t="inlineStr">
        <is>
          <t>Clôturé</t>
        </is>
      </c>
      <c r="AD894" s="69">
        <f>IF(OR($A894="",Q894=""),"",(Q894-B894)*24)</f>
        <v/>
      </c>
      <c r="AE894" s="69">
        <f>IF(OR(Q894="",R894=""),"",(R894-Q894)*24)</f>
        <v/>
      </c>
      <c r="AF894" s="77">
        <f>IF(OR($A894="",B894=""),"",YEAR(B894))</f>
        <v/>
      </c>
      <c r="AG894" s="77">
        <f>IF(OR($A894="",B894=""),"",MONTH(B894))</f>
        <v/>
      </c>
    </row>
    <row r="895">
      <c r="A895" s="7" t="inlineStr">
        <is>
          <t>OT-2026-0040</t>
        </is>
      </c>
      <c r="B895" s="75" t="n">
        <v>46043.36805555555</v>
      </c>
      <c r="C895" s="7" t="inlineStr">
        <is>
          <t>Plan préventif</t>
        </is>
      </c>
      <c r="D895" s="7" t="inlineStr">
        <is>
          <t>EQ-USI-004</t>
        </is>
      </c>
      <c r="E895" s="9">
        <f>IF(D895="","",IFERROR(INDEX('Équipements'!$B$5:$B$304,MATCH(D895,'Équipements'!$A$5:$A$304,0)),"Code inconnu"))</f>
        <v/>
      </c>
      <c r="F895" s="9">
        <f>IF(D895="","",IFERROR(INDEX('Équipements'!$D$5:$D$304,MATCH(D895,'Équipements'!$A$5:$A$304,0)),""))</f>
        <v/>
      </c>
      <c r="G895" s="9">
        <f>IF(D895="","",IFERROR(INDEX('Équipements'!$K$5:$K$304,MATCH(D895,'Équipements'!$A$5:$A$304,0)),""))</f>
        <v/>
      </c>
      <c r="H895" s="7" t="inlineStr">
        <is>
          <t>Préventif systématique</t>
        </is>
      </c>
      <c r="I895" s="7" t="inlineStr">
        <is>
          <t>GP-013</t>
        </is>
      </c>
      <c r="J895" s="7" t="inlineStr">
        <is>
          <t>Mécanique</t>
        </is>
      </c>
      <c r="K895" s="7" t="inlineStr">
        <is>
          <t>P3 - Normale</t>
        </is>
      </c>
      <c r="L895" s="7" t="inlineStr">
        <is>
          <t>Contrôle niveaux, nettoyage filtres et bac à copeaux</t>
        </is>
      </c>
      <c r="M895" s="7" t="n"/>
      <c r="N895" s="7" t="inlineStr">
        <is>
          <t>Gamme réalisée - RAS</t>
        </is>
      </c>
      <c r="O895" s="7" t="inlineStr">
        <is>
          <t>Lucas Fontaine</t>
        </is>
      </c>
      <c r="P895" s="65" t="n">
        <v>46050.48958333334</v>
      </c>
      <c r="Q895" s="75" t="n">
        <v>46050.31944444445</v>
      </c>
      <c r="R895" s="75" t="n">
        <v>46050.38194444445</v>
      </c>
      <c r="S895" s="76" t="n">
        <v>1.5</v>
      </c>
      <c r="T895" s="76" t="n">
        <v>1.5</v>
      </c>
      <c r="U895" s="70">
        <f>IF($A895="","",IFERROR(INDEX('Techniciens'!$F$5:$F$44,MATCH(O895,'Techniciens'!$B$5:$B$44,0)),'Paramètres'!$AA$10))</f>
        <v/>
      </c>
      <c r="V895" s="70">
        <f>IF($A895="","",IF(OR(AC895="Demandé",AC895="Planifié",AC895="Annulé"),0,N(T895)*N(U895)))</f>
        <v/>
      </c>
      <c r="W895" s="70">
        <f>IF($A895="","",SUMIFS('Mouvements stock'!$H$5:$H$3004,'Mouvements stock'!$I$5:$I$3004,$A895,'Mouvements stock'!$C$5:$C$3004,"Sortie")-SUMIFS('Mouvements stock'!$H$5:$H$3004,'Mouvements stock'!$I$5:$I$3004,$A895,'Mouvements stock'!$C$5:$C$3004,"Retour"))</f>
        <v/>
      </c>
      <c r="X895" s="66" t="n">
        <v>0</v>
      </c>
      <c r="Y895" s="66" t="n">
        <v>0</v>
      </c>
      <c r="Z895" s="7" t="n"/>
      <c r="AA895" s="70">
        <f>IF($A895="","",N(V895)+N(W895)+N(X895)+N(Y895))</f>
        <v/>
      </c>
      <c r="AB895" s="70">
        <f>IF($A895="","",N(S895)*'Paramètres'!$AA$9*IFERROR(INDEX('Paramètres'!$O$5:$O$7,MATCH(G895,'Paramètres'!$N$5:$N$7,0)),0))</f>
        <v/>
      </c>
      <c r="AC895" s="7" t="inlineStr">
        <is>
          <t>Clôturé</t>
        </is>
      </c>
      <c r="AD895" s="69">
        <f>IF(OR($A895="",Q895=""),"",(Q895-B895)*24)</f>
        <v/>
      </c>
      <c r="AE895" s="69">
        <f>IF(OR(Q895="",R895=""),"",(R895-Q895)*24)</f>
        <v/>
      </c>
      <c r="AF895" s="77">
        <f>IF(OR($A895="",B895=""),"",YEAR(B895))</f>
        <v/>
      </c>
      <c r="AG895" s="77">
        <f>IF(OR($A895="",B895=""),"",MONTH(B895))</f>
        <v/>
      </c>
    </row>
    <row r="896">
      <c r="A896" s="7" t="inlineStr">
        <is>
          <t>OT-2026-0041</t>
        </is>
      </c>
      <c r="B896" s="75" t="n">
        <v>46043.38194444445</v>
      </c>
      <c r="C896" s="7" t="inlineStr">
        <is>
          <t>Plan préventif</t>
        </is>
      </c>
      <c r="D896" s="7" t="inlineStr">
        <is>
          <t>EQ-USI-007</t>
        </is>
      </c>
      <c r="E896" s="9">
        <f>IF(D896="","",IFERROR(INDEX('Équipements'!$B$5:$B$304,MATCH(D896,'Équipements'!$A$5:$A$304,0)),"Code inconnu"))</f>
        <v/>
      </c>
      <c r="F896" s="9">
        <f>IF(D896="","",IFERROR(INDEX('Équipements'!$D$5:$D$304,MATCH(D896,'Équipements'!$A$5:$A$304,0)),""))</f>
        <v/>
      </c>
      <c r="G896" s="9">
        <f>IF(D896="","",IFERROR(INDEX('Équipements'!$K$5:$K$304,MATCH(D896,'Équipements'!$A$5:$A$304,0)),""))</f>
        <v/>
      </c>
      <c r="H896" s="7" t="inlineStr">
        <is>
          <t>Préventif systématique</t>
        </is>
      </c>
      <c r="I896" s="7" t="inlineStr">
        <is>
          <t>GP-025</t>
        </is>
      </c>
      <c r="J896" s="7" t="inlineStr">
        <is>
          <t>Mécanique</t>
        </is>
      </c>
      <c r="K896" s="7" t="inlineStr">
        <is>
          <t>P3 - Normale</t>
        </is>
      </c>
      <c r="L896" s="7" t="inlineStr">
        <is>
          <t>Contrôle niveaux, nettoyage filtres et bac à copeaux</t>
        </is>
      </c>
      <c r="M896" s="7" t="n"/>
      <c r="N896" s="7" t="inlineStr">
        <is>
          <t>Gamme réalisée - RAS</t>
        </is>
      </c>
      <c r="O896" s="7" t="inlineStr">
        <is>
          <t>Lucas Fontaine</t>
        </is>
      </c>
      <c r="P896" s="65" t="n">
        <v>46050.47916666666</v>
      </c>
      <c r="Q896" s="75" t="n">
        <v>46050.30555555555</v>
      </c>
      <c r="R896" s="75" t="n">
        <v>46050.36805555555</v>
      </c>
      <c r="S896" s="76" t="n">
        <v>0.8</v>
      </c>
      <c r="T896" s="76" t="n">
        <v>1.5</v>
      </c>
      <c r="U896" s="70">
        <f>IF($A896="","",IFERROR(INDEX('Techniciens'!$F$5:$F$44,MATCH(O896,'Techniciens'!$B$5:$B$44,0)),'Paramètres'!$AA$10))</f>
        <v/>
      </c>
      <c r="V896" s="70">
        <f>IF($A896="","",IF(OR(AC896="Demandé",AC896="Planifié",AC896="Annulé"),0,N(T896)*N(U896)))</f>
        <v/>
      </c>
      <c r="W896" s="70">
        <f>IF($A896="","",SUMIFS('Mouvements stock'!$H$5:$H$3004,'Mouvements stock'!$I$5:$I$3004,$A896,'Mouvements stock'!$C$5:$C$3004,"Sortie")-SUMIFS('Mouvements stock'!$H$5:$H$3004,'Mouvements stock'!$I$5:$I$3004,$A896,'Mouvements stock'!$C$5:$C$3004,"Retour"))</f>
        <v/>
      </c>
      <c r="X896" s="66" t="n">
        <v>0</v>
      </c>
      <c r="Y896" s="66" t="n">
        <v>0</v>
      </c>
      <c r="Z896" s="7" t="n"/>
      <c r="AA896" s="70">
        <f>IF($A896="","",N(V896)+N(W896)+N(X896)+N(Y896))</f>
        <v/>
      </c>
      <c r="AB896" s="70">
        <f>IF($A896="","",N(S896)*'Paramètres'!$AA$9*IFERROR(INDEX('Paramètres'!$O$5:$O$7,MATCH(G896,'Paramètres'!$N$5:$N$7,0)),0))</f>
        <v/>
      </c>
      <c r="AC896" s="7" t="inlineStr">
        <is>
          <t>Clôturé</t>
        </is>
      </c>
      <c r="AD896" s="69">
        <f>IF(OR($A896="",Q896=""),"",(Q896-B896)*24)</f>
        <v/>
      </c>
      <c r="AE896" s="69">
        <f>IF(OR(Q896="",R896=""),"",(R896-Q896)*24)</f>
        <v/>
      </c>
      <c r="AF896" s="77">
        <f>IF(OR($A896="",B896=""),"",YEAR(B896))</f>
        <v/>
      </c>
      <c r="AG896" s="77">
        <f>IF(OR($A896="",B896=""),"",MONTH(B896))</f>
        <v/>
      </c>
    </row>
    <row r="897">
      <c r="A897" s="7" t="inlineStr">
        <is>
          <t>OT-2026-0042</t>
        </is>
      </c>
      <c r="B897" s="75" t="n">
        <v>46043.39236111111</v>
      </c>
      <c r="C897" s="7" t="inlineStr">
        <is>
          <t>Inès Girard (cheffe d'équipe)</t>
        </is>
      </c>
      <c r="D897" s="7" t="inlineStr">
        <is>
          <t>EQ-PEI-004</t>
        </is>
      </c>
      <c r="E897" s="9">
        <f>IF(D897="","",IFERROR(INDEX('Équipements'!$B$5:$B$304,MATCH(D897,'Équipements'!$A$5:$A$304,0)),"Code inconnu"))</f>
        <v/>
      </c>
      <c r="F897" s="9">
        <f>IF(D897="","",IFERROR(INDEX('Équipements'!$D$5:$D$304,MATCH(D897,'Équipements'!$A$5:$A$304,0)),""))</f>
        <v/>
      </c>
      <c r="G897" s="9">
        <f>IF(D897="","",IFERROR(INDEX('Équipements'!$K$5:$K$304,MATCH(D897,'Équipements'!$A$5:$A$304,0)),""))</f>
        <v/>
      </c>
      <c r="H897" s="7" t="inlineStr">
        <is>
          <t>Correctif</t>
        </is>
      </c>
      <c r="I897" s="7" t="n"/>
      <c r="J897" s="7" t="inlineStr">
        <is>
          <t>Électrique</t>
        </is>
      </c>
      <c r="K897" s="7" t="inlineStr">
        <is>
          <t>P2 - Haute</t>
        </is>
      </c>
      <c r="L897" s="7" t="inlineStr">
        <is>
          <t>Moteur d'entraînement en défaut thermique</t>
        </is>
      </c>
      <c r="M897" s="7" t="inlineStr">
        <is>
          <t>Défaut électrique</t>
        </is>
      </c>
      <c r="N897" s="7" t="inlineStr">
        <is>
          <t>Remplacement motoréducteur / disjoncteur moteur</t>
        </is>
      </c>
      <c r="O897" s="7" t="inlineStr">
        <is>
          <t>Antoine Mercier</t>
        </is>
      </c>
      <c r="P897" s="65" t="n"/>
      <c r="Q897" s="75" t="n">
        <v>46043.46944444445</v>
      </c>
      <c r="R897" s="75" t="n">
        <v>46043.94861111111</v>
      </c>
      <c r="S897" s="76" t="n">
        <v>13.4</v>
      </c>
      <c r="T897" s="76" t="n">
        <v>11.5</v>
      </c>
      <c r="U897" s="70">
        <f>IF($A897="","",IFERROR(INDEX('Techniciens'!$F$5:$F$44,MATCH(O897,'Techniciens'!$B$5:$B$44,0)),'Paramètres'!$AA$10))</f>
        <v/>
      </c>
      <c r="V897" s="70">
        <f>IF($A897="","",IF(OR(AC897="Demandé",AC897="Planifié",AC897="Annulé"),0,N(T897)*N(U897)))</f>
        <v/>
      </c>
      <c r="W897" s="70">
        <f>IF($A897="","",SUMIFS('Mouvements stock'!$H$5:$H$3004,'Mouvements stock'!$I$5:$I$3004,$A897,'Mouvements stock'!$C$5:$C$3004,"Sortie")-SUMIFS('Mouvements stock'!$H$5:$H$3004,'Mouvements stock'!$I$5:$I$3004,$A897,'Mouvements stock'!$C$5:$C$3004,"Retour"))</f>
        <v/>
      </c>
      <c r="X897" s="66" t="n">
        <v>537</v>
      </c>
      <c r="Y897" s="66" t="n">
        <v>0</v>
      </c>
      <c r="Z897" s="7" t="n"/>
      <c r="AA897" s="70">
        <f>IF($A897="","",N(V897)+N(W897)+N(X897)+N(Y897))</f>
        <v/>
      </c>
      <c r="AB897" s="70">
        <f>IF($A897="","",N(S897)*'Paramètres'!$AA$9*IFERROR(INDEX('Paramètres'!$O$5:$O$7,MATCH(G897,'Paramètres'!$N$5:$N$7,0)),0))</f>
        <v/>
      </c>
      <c r="AC897" s="7" t="inlineStr">
        <is>
          <t>Clôturé</t>
        </is>
      </c>
      <c r="AD897" s="69">
        <f>IF(OR($A897="",Q897=""),"",(Q897-B897)*24)</f>
        <v/>
      </c>
      <c r="AE897" s="69">
        <f>IF(OR(Q897="",R897=""),"",(R897-Q897)*24)</f>
        <v/>
      </c>
      <c r="AF897" s="77">
        <f>IF(OR($A897="",B897=""),"",YEAR(B897))</f>
        <v/>
      </c>
      <c r="AG897" s="77">
        <f>IF(OR($A897="",B897=""),"",MONTH(B897))</f>
        <v/>
      </c>
    </row>
    <row r="898">
      <c r="A898" s="7" t="inlineStr">
        <is>
          <t>OT-2026-0043</t>
        </is>
      </c>
      <c r="B898" s="75" t="n">
        <v>46044.40277777778</v>
      </c>
      <c r="C898" s="7" t="inlineStr">
        <is>
          <t>Plan préventif</t>
        </is>
      </c>
      <c r="D898" s="7" t="inlineStr">
        <is>
          <t>EQ-USI-009</t>
        </is>
      </c>
      <c r="E898" s="9">
        <f>IF(D898="","",IFERROR(INDEX('Équipements'!$B$5:$B$304,MATCH(D898,'Équipements'!$A$5:$A$304,0)),"Code inconnu"))</f>
        <v/>
      </c>
      <c r="F898" s="9">
        <f>IF(D898="","",IFERROR(INDEX('Équipements'!$D$5:$D$304,MATCH(D898,'Équipements'!$A$5:$A$304,0)),""))</f>
        <v/>
      </c>
      <c r="G898" s="9">
        <f>IF(D898="","",IFERROR(INDEX('Équipements'!$K$5:$K$304,MATCH(D898,'Équipements'!$A$5:$A$304,0)),""))</f>
        <v/>
      </c>
      <c r="H898" s="7" t="inlineStr">
        <is>
          <t>Préventif systématique</t>
        </is>
      </c>
      <c r="I898" s="7" t="inlineStr">
        <is>
          <t>GP-030</t>
        </is>
      </c>
      <c r="J898" s="7" t="inlineStr">
        <is>
          <t>Mécanique</t>
        </is>
      </c>
      <c r="K898" s="7" t="inlineStr">
        <is>
          <t>P3 - Normale</t>
        </is>
      </c>
      <c r="L898" s="7" t="inlineStr">
        <is>
          <t>Contrôle lame, guides et liquide de coupe</t>
        </is>
      </c>
      <c r="M898" s="7" t="n"/>
      <c r="N898" s="7" t="inlineStr">
        <is>
          <t>Gamme réalisée - RAS</t>
        </is>
      </c>
      <c r="O898" s="7" t="inlineStr">
        <is>
          <t>Karim Benali</t>
        </is>
      </c>
      <c r="P898" s="65" t="n">
        <v>46051.46875</v>
      </c>
      <c r="Q898" s="75" t="n">
        <v>46051.44444444445</v>
      </c>
      <c r="R898" s="75" t="n">
        <v>46051.47569444445</v>
      </c>
      <c r="S898" s="76" t="n">
        <v>0.4</v>
      </c>
      <c r="T898" s="76" t="n">
        <v>0.75</v>
      </c>
      <c r="U898" s="70">
        <f>IF($A898="","",IFERROR(INDEX('Techniciens'!$F$5:$F$44,MATCH(O898,'Techniciens'!$B$5:$B$44,0)),'Paramètres'!$AA$10))</f>
        <v/>
      </c>
      <c r="V898" s="70">
        <f>IF($A898="","",IF(OR(AC898="Demandé",AC898="Planifié",AC898="Annulé"),0,N(T898)*N(U898)))</f>
        <v/>
      </c>
      <c r="W898" s="70">
        <f>IF($A898="","",SUMIFS('Mouvements stock'!$H$5:$H$3004,'Mouvements stock'!$I$5:$I$3004,$A898,'Mouvements stock'!$C$5:$C$3004,"Sortie")-SUMIFS('Mouvements stock'!$H$5:$H$3004,'Mouvements stock'!$I$5:$I$3004,$A898,'Mouvements stock'!$C$5:$C$3004,"Retour"))</f>
        <v/>
      </c>
      <c r="X898" s="66" t="n">
        <v>0</v>
      </c>
      <c r="Y898" s="66" t="n">
        <v>0</v>
      </c>
      <c r="Z898" s="7" t="n"/>
      <c r="AA898" s="70">
        <f>IF($A898="","",N(V898)+N(W898)+N(X898)+N(Y898))</f>
        <v/>
      </c>
      <c r="AB898" s="70">
        <f>IF($A898="","",N(S898)*'Paramètres'!$AA$9*IFERROR(INDEX('Paramètres'!$O$5:$O$7,MATCH(G898,'Paramètres'!$N$5:$N$7,0)),0))</f>
        <v/>
      </c>
      <c r="AC898" s="7" t="inlineStr">
        <is>
          <t>Clôturé</t>
        </is>
      </c>
      <c r="AD898" s="69">
        <f>IF(OR($A898="",Q898=""),"",(Q898-B898)*24)</f>
        <v/>
      </c>
      <c r="AE898" s="69">
        <f>IF(OR(Q898="",R898=""),"",(R898-Q898)*24)</f>
        <v/>
      </c>
      <c r="AF898" s="77">
        <f>IF(OR($A898="",B898=""),"",YEAR(B898))</f>
        <v/>
      </c>
      <c r="AG898" s="77">
        <f>IF(OR($A898="",B898=""),"",MONTH(B898))</f>
        <v/>
      </c>
    </row>
    <row r="899">
      <c r="A899" s="7" t="inlineStr">
        <is>
          <t>OT-2026-0044</t>
        </is>
      </c>
      <c r="B899" s="75" t="n">
        <v>46045.34375</v>
      </c>
      <c r="C899" s="7" t="inlineStr">
        <is>
          <t>Plan préventif</t>
        </is>
      </c>
      <c r="D899" s="7" t="inlineStr">
        <is>
          <t>EQ-ASS-001</t>
        </is>
      </c>
      <c r="E899" s="9">
        <f>IF(D899="","",IFERROR(INDEX('Équipements'!$B$5:$B$304,MATCH(D899,'Équipements'!$A$5:$A$304,0)),"Code inconnu"))</f>
        <v/>
      </c>
      <c r="F899" s="9">
        <f>IF(D899="","",IFERROR(INDEX('Équipements'!$D$5:$D$304,MATCH(D899,'Équipements'!$A$5:$A$304,0)),""))</f>
        <v/>
      </c>
      <c r="G899" s="9">
        <f>IF(D899="","",IFERROR(INDEX('Équipements'!$K$5:$K$304,MATCH(D899,'Équipements'!$A$5:$A$304,0)),""))</f>
        <v/>
      </c>
      <c r="H899" s="7" t="inlineStr">
        <is>
          <t>Préventif systématique</t>
        </is>
      </c>
      <c r="I899" s="7" t="inlineStr">
        <is>
          <t>GP-076</t>
        </is>
      </c>
      <c r="J899" s="7" t="inlineStr">
        <is>
          <t>Mécanique</t>
        </is>
      </c>
      <c r="K899" s="7" t="inlineStr">
        <is>
          <t>P3 - Normale</t>
        </is>
      </c>
      <c r="L899" s="7" t="inlineStr">
        <is>
          <t>Graissage chaîne / galets et contrôle tension</t>
        </is>
      </c>
      <c r="M899" s="7" t="n"/>
      <c r="N899" s="7" t="inlineStr">
        <is>
          <t>Gamme réalisée - RAS</t>
        </is>
      </c>
      <c r="O899" s="7" t="inlineStr">
        <is>
          <t>Lucas Fontaine</t>
        </is>
      </c>
      <c r="P899" s="65" t="n">
        <v>46052.59375</v>
      </c>
      <c r="Q899" s="75" t="n">
        <v>46052.26388888889</v>
      </c>
      <c r="R899" s="75" t="n">
        <v>46052.36805555555</v>
      </c>
      <c r="S899" s="76" t="n">
        <v>0</v>
      </c>
      <c r="T899" s="76" t="n">
        <v>2.5</v>
      </c>
      <c r="U899" s="70">
        <f>IF($A899="","",IFERROR(INDEX('Techniciens'!$F$5:$F$44,MATCH(O899,'Techniciens'!$B$5:$B$44,0)),'Paramètres'!$AA$10))</f>
        <v/>
      </c>
      <c r="V899" s="70">
        <f>IF($A899="","",IF(OR(AC899="Demandé",AC899="Planifié",AC899="Annulé"),0,N(T899)*N(U899)))</f>
        <v/>
      </c>
      <c r="W899" s="70">
        <f>IF($A899="","",SUMIFS('Mouvements stock'!$H$5:$H$3004,'Mouvements stock'!$I$5:$I$3004,$A899,'Mouvements stock'!$C$5:$C$3004,"Sortie")-SUMIFS('Mouvements stock'!$H$5:$H$3004,'Mouvements stock'!$I$5:$I$3004,$A899,'Mouvements stock'!$C$5:$C$3004,"Retour"))</f>
        <v/>
      </c>
      <c r="X899" s="66" t="n">
        <v>0</v>
      </c>
      <c r="Y899" s="66" t="n">
        <v>0</v>
      </c>
      <c r="Z899" s="7" t="n"/>
      <c r="AA899" s="70">
        <f>IF($A899="","",N(V899)+N(W899)+N(X899)+N(Y899))</f>
        <v/>
      </c>
      <c r="AB899" s="70">
        <f>IF($A899="","",N(S899)*'Paramètres'!$AA$9*IFERROR(INDEX('Paramètres'!$O$5:$O$7,MATCH(G899,'Paramètres'!$N$5:$N$7,0)),0))</f>
        <v/>
      </c>
      <c r="AC899" s="7" t="inlineStr">
        <is>
          <t>Clôturé</t>
        </is>
      </c>
      <c r="AD899" s="69">
        <f>IF(OR($A899="",Q899=""),"",(Q899-B899)*24)</f>
        <v/>
      </c>
      <c r="AE899" s="69">
        <f>IF(OR(Q899="",R899=""),"",(R899-Q899)*24)</f>
        <v/>
      </c>
      <c r="AF899" s="77">
        <f>IF(OR($A899="",B899=""),"",YEAR(B899))</f>
        <v/>
      </c>
      <c r="AG899" s="77">
        <f>IF(OR($A899="",B899=""),"",MONTH(B899))</f>
        <v/>
      </c>
    </row>
    <row r="900">
      <c r="A900" s="7" t="inlineStr">
        <is>
          <t>OT-2026-0045</t>
        </is>
      </c>
      <c r="B900" s="75" t="n">
        <v>46045.36458333334</v>
      </c>
      <c r="C900" s="7" t="inlineStr">
        <is>
          <t>Plan préventif</t>
        </is>
      </c>
      <c r="D900" s="7" t="inlineStr">
        <is>
          <t>EQ-LOG-005</t>
        </is>
      </c>
      <c r="E900" s="9">
        <f>IF(D900="","",IFERROR(INDEX('Équipements'!$B$5:$B$304,MATCH(D900,'Équipements'!$A$5:$A$304,0)),"Code inconnu"))</f>
        <v/>
      </c>
      <c r="F900" s="9">
        <f>IF(D900="","",IFERROR(INDEX('Équipements'!$D$5:$D$304,MATCH(D900,'Équipements'!$A$5:$A$304,0)),""))</f>
        <v/>
      </c>
      <c r="G900" s="9">
        <f>IF(D900="","",IFERROR(INDEX('Équipements'!$K$5:$K$304,MATCH(D900,'Équipements'!$A$5:$A$304,0)),""))</f>
        <v/>
      </c>
      <c r="H900" s="7" t="inlineStr">
        <is>
          <t>Préventif systématique</t>
        </is>
      </c>
      <c r="I900" s="7" t="inlineStr">
        <is>
          <t>GP-114</t>
        </is>
      </c>
      <c r="J900" s="7" t="inlineStr">
        <is>
          <t>Mécanique</t>
        </is>
      </c>
      <c r="K900" s="7" t="inlineStr">
        <is>
          <t>P3 - Normale</t>
        </is>
      </c>
      <c r="L900" s="7" t="inlineStr">
        <is>
          <t>Contrôle batterie, niveaux et bandages</t>
        </is>
      </c>
      <c r="M900" s="7" t="n"/>
      <c r="N900" s="7" t="inlineStr">
        <is>
          <t>Gamme réalisée - RAS</t>
        </is>
      </c>
      <c r="O900" s="7" t="inlineStr">
        <is>
          <t>Antoine Mercier</t>
        </is>
      </c>
      <c r="P900" s="65" t="n">
        <v>46052.32291666666</v>
      </c>
      <c r="Q900" s="75" t="n">
        <v>46052.44444444445</v>
      </c>
      <c r="R900" s="75" t="n">
        <v>46052.47569444445</v>
      </c>
      <c r="S900" s="76" t="n">
        <v>0.8</v>
      </c>
      <c r="T900" s="76" t="n">
        <v>0.75</v>
      </c>
      <c r="U900" s="70">
        <f>IF($A900="","",IFERROR(INDEX('Techniciens'!$F$5:$F$44,MATCH(O900,'Techniciens'!$B$5:$B$44,0)),'Paramètres'!$AA$10))</f>
        <v/>
      </c>
      <c r="V900" s="70">
        <f>IF($A900="","",IF(OR(AC900="Demandé",AC900="Planifié",AC900="Annulé"),0,N(T900)*N(U900)))</f>
        <v/>
      </c>
      <c r="W900" s="70">
        <f>IF($A900="","",SUMIFS('Mouvements stock'!$H$5:$H$3004,'Mouvements stock'!$I$5:$I$3004,$A900,'Mouvements stock'!$C$5:$C$3004,"Sortie")-SUMIFS('Mouvements stock'!$H$5:$H$3004,'Mouvements stock'!$I$5:$I$3004,$A900,'Mouvements stock'!$C$5:$C$3004,"Retour"))</f>
        <v/>
      </c>
      <c r="X900" s="66" t="n">
        <v>0</v>
      </c>
      <c r="Y900" s="66" t="n">
        <v>0</v>
      </c>
      <c r="Z900" s="7" t="n"/>
      <c r="AA900" s="70">
        <f>IF($A900="","",N(V900)+N(W900)+N(X900)+N(Y900))</f>
        <v/>
      </c>
      <c r="AB900" s="70">
        <f>IF($A900="","",N(S900)*'Paramètres'!$AA$9*IFERROR(INDEX('Paramètres'!$O$5:$O$7,MATCH(G900,'Paramètres'!$N$5:$N$7,0)),0))</f>
        <v/>
      </c>
      <c r="AC900" s="7" t="inlineStr">
        <is>
          <t>Clôturé</t>
        </is>
      </c>
      <c r="AD900" s="69">
        <f>IF(OR($A900="",Q900=""),"",(Q900-B900)*24)</f>
        <v/>
      </c>
      <c r="AE900" s="69">
        <f>IF(OR(Q900="",R900=""),"",(R900-Q900)*24)</f>
        <v/>
      </c>
      <c r="AF900" s="77">
        <f>IF(OR($A900="",B900=""),"",YEAR(B900))</f>
        <v/>
      </c>
      <c r="AG900" s="77">
        <f>IF(OR($A900="",B900=""),"",MONTH(B900))</f>
        <v/>
      </c>
    </row>
    <row r="901">
      <c r="A901" s="7" t="inlineStr">
        <is>
          <t>OT-2026-0046</t>
        </is>
      </c>
      <c r="B901" s="75" t="n">
        <v>46045.51458333333</v>
      </c>
      <c r="C901" s="7" t="inlineStr">
        <is>
          <t>Opérateur peinture</t>
        </is>
      </c>
      <c r="D901" s="7" t="inlineStr">
        <is>
          <t>EQ-PEI-001</t>
        </is>
      </c>
      <c r="E901" s="9">
        <f>IF(D901="","",IFERROR(INDEX('Équipements'!$B$5:$B$304,MATCH(D901,'Équipements'!$A$5:$A$304,0)),"Code inconnu"))</f>
        <v/>
      </c>
      <c r="F901" s="9">
        <f>IF(D901="","",IFERROR(INDEX('Équipements'!$D$5:$D$304,MATCH(D901,'Équipements'!$A$5:$A$304,0)),""))</f>
        <v/>
      </c>
      <c r="G901" s="9">
        <f>IF(D901="","",IFERROR(INDEX('Équipements'!$K$5:$K$304,MATCH(D901,'Équipements'!$A$5:$A$304,0)),""))</f>
        <v/>
      </c>
      <c r="H901" s="7" t="inlineStr">
        <is>
          <t>Correctif</t>
        </is>
      </c>
      <c r="I901" s="7" t="n"/>
      <c r="J901" s="7" t="inlineStr">
        <is>
          <t>Pneumatique</t>
        </is>
      </c>
      <c r="K901" s="7" t="inlineStr">
        <is>
          <t>P2 - Haute</t>
        </is>
      </c>
      <c r="L901" s="7" t="inlineStr">
        <is>
          <t>Pistolet poudre : débit irrégulier</t>
        </is>
      </c>
      <c r="M901" s="7" t="inlineStr">
        <is>
          <t>Usure</t>
        </is>
      </c>
      <c r="N901" s="7" t="inlineStr">
        <is>
          <t>Remplacement injecteur et buse</t>
        </is>
      </c>
      <c r="O901" s="7" t="inlineStr">
        <is>
          <t>Julien Moreau</t>
        </is>
      </c>
      <c r="P901" s="65" t="n"/>
      <c r="Q901" s="75" t="n">
        <v>46045.65833333333</v>
      </c>
      <c r="R901" s="75" t="n">
        <v>46045.90833333333</v>
      </c>
      <c r="S901" s="76" t="n">
        <v>9.5</v>
      </c>
      <c r="T901" s="76" t="n">
        <v>6</v>
      </c>
      <c r="U901" s="70">
        <f>IF($A901="","",IFERROR(INDEX('Techniciens'!$F$5:$F$44,MATCH(O901,'Techniciens'!$B$5:$B$44,0)),'Paramètres'!$AA$10))</f>
        <v/>
      </c>
      <c r="V901" s="70">
        <f>IF($A901="","",IF(OR(AC901="Demandé",AC901="Planifié",AC901="Annulé"),0,N(T901)*N(U901)))</f>
        <v/>
      </c>
      <c r="W901" s="70">
        <f>IF($A901="","",SUMIFS('Mouvements stock'!$H$5:$H$3004,'Mouvements stock'!$I$5:$I$3004,$A901,'Mouvements stock'!$C$5:$C$3004,"Sortie")-SUMIFS('Mouvements stock'!$H$5:$H$3004,'Mouvements stock'!$I$5:$I$3004,$A901,'Mouvements stock'!$C$5:$C$3004,"Retour"))</f>
        <v/>
      </c>
      <c r="X901" s="66" t="n">
        <v>0</v>
      </c>
      <c r="Y901" s="66" t="n">
        <v>0</v>
      </c>
      <c r="Z901" s="7" t="n"/>
      <c r="AA901" s="70">
        <f>IF($A901="","",N(V901)+N(W901)+N(X901)+N(Y901))</f>
        <v/>
      </c>
      <c r="AB901" s="70">
        <f>IF($A901="","",N(S901)*'Paramètres'!$AA$9*IFERROR(INDEX('Paramètres'!$O$5:$O$7,MATCH(G901,'Paramètres'!$N$5:$N$7,0)),0))</f>
        <v/>
      </c>
      <c r="AC901" s="7" t="inlineStr">
        <is>
          <t>Clôturé</t>
        </is>
      </c>
      <c r="AD901" s="69">
        <f>IF(OR($A901="",Q901=""),"",(Q901-B901)*24)</f>
        <v/>
      </c>
      <c r="AE901" s="69">
        <f>IF(OR(Q901="",R901=""),"",(R901-Q901)*24)</f>
        <v/>
      </c>
      <c r="AF901" s="77">
        <f>IF(OR($A901="",B901=""),"",YEAR(B901))</f>
        <v/>
      </c>
      <c r="AG901" s="77">
        <f>IF(OR($A901="",B901=""),"",MONTH(B901))</f>
        <v/>
      </c>
    </row>
    <row r="902">
      <c r="A902" s="7" t="inlineStr">
        <is>
          <t>OT-2026-0047</t>
        </is>
      </c>
      <c r="B902" s="75" t="n">
        <v>46048.22847222222</v>
      </c>
      <c r="C902" s="7" t="inlineStr">
        <is>
          <t>Opérateur tôlerie</t>
        </is>
      </c>
      <c r="D902" s="7" t="inlineStr">
        <is>
          <t>EQ-TOL-004</t>
        </is>
      </c>
      <c r="E902" s="9">
        <f>IF(D902="","",IFERROR(INDEX('Équipements'!$B$5:$B$304,MATCH(D902,'Équipements'!$A$5:$A$304,0)),"Code inconnu"))</f>
        <v/>
      </c>
      <c r="F902" s="9">
        <f>IF(D902="","",IFERROR(INDEX('Équipements'!$D$5:$D$304,MATCH(D902,'Équipements'!$A$5:$A$304,0)),""))</f>
        <v/>
      </c>
      <c r="G902" s="9">
        <f>IF(D902="","",IFERROR(INDEX('Équipements'!$K$5:$K$304,MATCH(D902,'Équipements'!$A$5:$A$304,0)),""))</f>
        <v/>
      </c>
      <c r="H902" s="7" t="inlineStr">
        <is>
          <t>Correctif</t>
        </is>
      </c>
      <c r="I902" s="7" t="n"/>
      <c r="J902" s="7" t="inlineStr">
        <is>
          <t>Hydraulique</t>
        </is>
      </c>
      <c r="K902" s="7" t="inlineStr">
        <is>
          <t>P2 - Haute</t>
        </is>
      </c>
      <c r="L902" s="7" t="inlineStr">
        <is>
          <t>Fuite d'huile vérin principal</t>
        </is>
      </c>
      <c r="M902" s="7" t="inlineStr">
        <is>
          <t>Fuite</t>
        </is>
      </c>
      <c r="N902" s="7" t="inlineStr">
        <is>
          <t>Remplacement kit joints vérin</t>
        </is>
      </c>
      <c r="O902" s="7" t="inlineStr">
        <is>
          <t>Antoine Mercier</t>
        </is>
      </c>
      <c r="P902" s="65" t="n"/>
      <c r="Q902" s="75" t="n">
        <v>46048.4375</v>
      </c>
      <c r="R902" s="75" t="n">
        <v>46048.66666666666</v>
      </c>
      <c r="S902" s="76" t="n">
        <v>10.5</v>
      </c>
      <c r="T902" s="76" t="n">
        <v>5.5</v>
      </c>
      <c r="U902" s="70">
        <f>IF($A902="","",IFERROR(INDEX('Techniciens'!$F$5:$F$44,MATCH(O902,'Techniciens'!$B$5:$B$44,0)),'Paramètres'!$AA$10))</f>
        <v/>
      </c>
      <c r="V902" s="70">
        <f>IF($A902="","",IF(OR(AC902="Demandé",AC902="Planifié",AC902="Annulé"),0,N(T902)*N(U902)))</f>
        <v/>
      </c>
      <c r="W902" s="70">
        <f>IF($A902="","",SUMIFS('Mouvements stock'!$H$5:$H$3004,'Mouvements stock'!$I$5:$I$3004,$A902,'Mouvements stock'!$C$5:$C$3004,"Sortie")-SUMIFS('Mouvements stock'!$H$5:$H$3004,'Mouvements stock'!$I$5:$I$3004,$A902,'Mouvements stock'!$C$5:$C$3004,"Retour"))</f>
        <v/>
      </c>
      <c r="X902" s="66" t="n">
        <v>0</v>
      </c>
      <c r="Y902" s="66" t="n">
        <v>0</v>
      </c>
      <c r="Z902" s="7" t="n"/>
      <c r="AA902" s="70">
        <f>IF($A902="","",N(V902)+N(W902)+N(X902)+N(Y902))</f>
        <v/>
      </c>
      <c r="AB902" s="70">
        <f>IF($A902="","",N(S902)*'Paramètres'!$AA$9*IFERROR(INDEX('Paramètres'!$O$5:$O$7,MATCH(G902,'Paramètres'!$N$5:$N$7,0)),0))</f>
        <v/>
      </c>
      <c r="AC902" s="7" t="inlineStr">
        <is>
          <t>Clôturé</t>
        </is>
      </c>
      <c r="AD902" s="69">
        <f>IF(OR($A902="",Q902=""),"",(Q902-B902)*24)</f>
        <v/>
      </c>
      <c r="AE902" s="69">
        <f>IF(OR(Q902="",R902=""),"",(R902-Q902)*24)</f>
        <v/>
      </c>
      <c r="AF902" s="77">
        <f>IF(OR($A902="",B902=""),"",YEAR(B902))</f>
        <v/>
      </c>
      <c r="AG902" s="77">
        <f>IF(OR($A902="",B902=""),"",MONTH(B902))</f>
        <v/>
      </c>
    </row>
    <row r="903">
      <c r="A903" s="7" t="inlineStr">
        <is>
          <t>OT-2026-0048</t>
        </is>
      </c>
      <c r="B903" s="75" t="n">
        <v>46048.36111111111</v>
      </c>
      <c r="C903" s="7" t="inlineStr">
        <is>
          <t>Plan préventif</t>
        </is>
      </c>
      <c r="D903" s="7" t="inlineStr">
        <is>
          <t>EQ-UTI-009</t>
        </is>
      </c>
      <c r="E903" s="9">
        <f>IF(D903="","",IFERROR(INDEX('Équipements'!$B$5:$B$304,MATCH(D903,'Équipements'!$A$5:$A$304,0)),"Code inconnu"))</f>
        <v/>
      </c>
      <c r="F903" s="9">
        <f>IF(D903="","",IFERROR(INDEX('Équipements'!$D$5:$D$304,MATCH(D903,'Équipements'!$A$5:$A$304,0)),""))</f>
        <v/>
      </c>
      <c r="G903" s="9">
        <f>IF(D903="","",IFERROR(INDEX('Équipements'!$K$5:$K$304,MATCH(D903,'Équipements'!$A$5:$A$304,0)),""))</f>
        <v/>
      </c>
      <c r="H903" s="7" t="inlineStr">
        <is>
          <t>Préventif systématique</t>
        </is>
      </c>
      <c r="I903" s="7" t="inlineStr">
        <is>
          <t>GP-101</t>
        </is>
      </c>
      <c r="J903" s="7" t="inlineStr">
        <is>
          <t>Électrique</t>
        </is>
      </c>
      <c r="K903" s="7" t="inlineStr">
        <is>
          <t>P3 - Normale</t>
        </is>
      </c>
      <c r="L903" s="7" t="inlineStr">
        <is>
          <t>Étalonnage des sondes pH / redox</t>
        </is>
      </c>
      <c r="M903" s="7" t="n"/>
      <c r="N903" s="7" t="inlineStr">
        <is>
          <t>Gamme réalisée - RAS</t>
        </is>
      </c>
      <c r="O903" s="7" t="inlineStr">
        <is>
          <t>Thomas Petit</t>
        </is>
      </c>
      <c r="P903" s="65" t="n">
        <v>46055.31944444445</v>
      </c>
      <c r="Q903" s="75" t="n">
        <v>46055.26388888889</v>
      </c>
      <c r="R903" s="75" t="n">
        <v>46055.34722222222</v>
      </c>
      <c r="S903" s="76" t="n">
        <v>0</v>
      </c>
      <c r="T903" s="76" t="n">
        <v>2</v>
      </c>
      <c r="U903" s="70">
        <f>IF($A903="","",IFERROR(INDEX('Techniciens'!$F$5:$F$44,MATCH(O903,'Techniciens'!$B$5:$B$44,0)),'Paramètres'!$AA$10))</f>
        <v/>
      </c>
      <c r="V903" s="70">
        <f>IF($A903="","",IF(OR(AC903="Demandé",AC903="Planifié",AC903="Annulé"),0,N(T903)*N(U903)))</f>
        <v/>
      </c>
      <c r="W903" s="70">
        <f>IF($A903="","",SUMIFS('Mouvements stock'!$H$5:$H$3004,'Mouvements stock'!$I$5:$I$3004,$A903,'Mouvements stock'!$C$5:$C$3004,"Sortie")-SUMIFS('Mouvements stock'!$H$5:$H$3004,'Mouvements stock'!$I$5:$I$3004,$A903,'Mouvements stock'!$C$5:$C$3004,"Retour"))</f>
        <v/>
      </c>
      <c r="X903" s="66" t="n">
        <v>0</v>
      </c>
      <c r="Y903" s="66" t="n">
        <v>0</v>
      </c>
      <c r="Z903" s="7" t="n"/>
      <c r="AA903" s="70">
        <f>IF($A903="","",N(V903)+N(W903)+N(X903)+N(Y903))</f>
        <v/>
      </c>
      <c r="AB903" s="70">
        <f>IF($A903="","",N(S903)*'Paramètres'!$AA$9*IFERROR(INDEX('Paramètres'!$O$5:$O$7,MATCH(G903,'Paramètres'!$N$5:$N$7,0)),0))</f>
        <v/>
      </c>
      <c r="AC903" s="7" t="inlineStr">
        <is>
          <t>Clôturé</t>
        </is>
      </c>
      <c r="AD903" s="69">
        <f>IF(OR($A903="",Q903=""),"",(Q903-B903)*24)</f>
        <v/>
      </c>
      <c r="AE903" s="69">
        <f>IF(OR(Q903="",R903=""),"",(R903-Q903)*24)</f>
        <v/>
      </c>
      <c r="AF903" s="77">
        <f>IF(OR($A903="",B903=""),"",YEAR(B903))</f>
        <v/>
      </c>
      <c r="AG903" s="77">
        <f>IF(OR($A903="",B903=""),"",MONTH(B903))</f>
        <v/>
      </c>
    </row>
    <row r="904">
      <c r="A904" s="7" t="inlineStr">
        <is>
          <t>OT-2026-0049</t>
        </is>
      </c>
      <c r="B904" s="75" t="n">
        <v>46048.36597222222</v>
      </c>
      <c r="C904" s="7" t="inlineStr">
        <is>
          <t>Inès Girard (cheffe d'équipe)</t>
        </is>
      </c>
      <c r="D904" s="7" t="inlineStr">
        <is>
          <t>EQ-PEI-004</t>
        </is>
      </c>
      <c r="E904" s="9">
        <f>IF(D904="","",IFERROR(INDEX('Équipements'!$B$5:$B$304,MATCH(D904,'Équipements'!$A$5:$A$304,0)),"Code inconnu"))</f>
        <v/>
      </c>
      <c r="F904" s="9">
        <f>IF(D904="","",IFERROR(INDEX('Équipements'!$D$5:$D$304,MATCH(D904,'Équipements'!$A$5:$A$304,0)),""))</f>
        <v/>
      </c>
      <c r="G904" s="9">
        <f>IF(D904="","",IFERROR(INDEX('Équipements'!$K$5:$K$304,MATCH(D904,'Équipements'!$A$5:$A$304,0)),""))</f>
        <v/>
      </c>
      <c r="H904" s="7" t="inlineStr">
        <is>
          <t>Correctif</t>
        </is>
      </c>
      <c r="I904" s="7" t="n"/>
      <c r="J904" s="7" t="inlineStr">
        <is>
          <t>Mécanique</t>
        </is>
      </c>
      <c r="K904" s="7" t="inlineStr">
        <is>
          <t>P1 - Urgent</t>
        </is>
      </c>
      <c r="L904" s="7" t="inlineStr">
        <is>
          <t>Galets bloqués / bruit anormal</t>
        </is>
      </c>
      <c r="M904" s="7" t="inlineStr">
        <is>
          <t>Défaut lubrification</t>
        </is>
      </c>
      <c r="N904" s="7" t="inlineStr">
        <is>
          <t>Graissage et remplacement galets</t>
        </is>
      </c>
      <c r="O904" s="7" t="inlineStr">
        <is>
          <t>Lucas Fontaine</t>
        </is>
      </c>
      <c r="P904" s="65" t="n"/>
      <c r="Q904" s="75" t="n">
        <v>46048.37361111111</v>
      </c>
      <c r="R904" s="75" t="n">
        <v>46048.59236111111</v>
      </c>
      <c r="S904" s="76" t="n">
        <v>5.4</v>
      </c>
      <c r="T904" s="76" t="n">
        <v>5.25</v>
      </c>
      <c r="U904" s="70">
        <f>IF($A904="","",IFERROR(INDEX('Techniciens'!$F$5:$F$44,MATCH(O904,'Techniciens'!$B$5:$B$44,0)),'Paramètres'!$AA$10))</f>
        <v/>
      </c>
      <c r="V904" s="70">
        <f>IF($A904="","",IF(OR(AC904="Demandé",AC904="Planifié",AC904="Annulé"),0,N(T904)*N(U904)))</f>
        <v/>
      </c>
      <c r="W904" s="70">
        <f>IF($A904="","",SUMIFS('Mouvements stock'!$H$5:$H$3004,'Mouvements stock'!$I$5:$I$3004,$A904,'Mouvements stock'!$C$5:$C$3004,"Sortie")-SUMIFS('Mouvements stock'!$H$5:$H$3004,'Mouvements stock'!$I$5:$I$3004,$A904,'Mouvements stock'!$C$5:$C$3004,"Retour"))</f>
        <v/>
      </c>
      <c r="X904" s="66" t="n">
        <v>0</v>
      </c>
      <c r="Y904" s="66" t="n">
        <v>0</v>
      </c>
      <c r="Z904" s="7" t="n"/>
      <c r="AA904" s="70">
        <f>IF($A904="","",N(V904)+N(W904)+N(X904)+N(Y904))</f>
        <v/>
      </c>
      <c r="AB904" s="70">
        <f>IF($A904="","",N(S904)*'Paramètres'!$AA$9*IFERROR(INDEX('Paramètres'!$O$5:$O$7,MATCH(G904,'Paramètres'!$N$5:$N$7,0)),0))</f>
        <v/>
      </c>
      <c r="AC904" s="7" t="inlineStr">
        <is>
          <t>Clôturé</t>
        </is>
      </c>
      <c r="AD904" s="69">
        <f>IF(OR($A904="",Q904=""),"",(Q904-B904)*24)</f>
        <v/>
      </c>
      <c r="AE904" s="69">
        <f>IF(OR(Q904="",R904=""),"",(R904-Q904)*24)</f>
        <v/>
      </c>
      <c r="AF904" s="77">
        <f>IF(OR($A904="",B904=""),"",YEAR(B904))</f>
        <v/>
      </c>
      <c r="AG904" s="77">
        <f>IF(OR($A904="",B904=""),"",MONTH(B904))</f>
        <v/>
      </c>
    </row>
    <row r="905">
      <c r="A905" s="7" t="inlineStr">
        <is>
          <t>OT-2026-0050</t>
        </is>
      </c>
      <c r="B905" s="75" t="n">
        <v>46048.41666666666</v>
      </c>
      <c r="C905" s="7" t="inlineStr">
        <is>
          <t>Planning réglementaire</t>
        </is>
      </c>
      <c r="D905" s="7" t="inlineStr">
        <is>
          <t>EQ-TOL-003</t>
        </is>
      </c>
      <c r="E905" s="9">
        <f>IF(D905="","",IFERROR(INDEX('Équipements'!$B$5:$B$304,MATCH(D905,'Équipements'!$A$5:$A$304,0)),"Code inconnu"))</f>
        <v/>
      </c>
      <c r="F905" s="9">
        <f>IF(D905="","",IFERROR(INDEX('Équipements'!$D$5:$D$304,MATCH(D905,'Équipements'!$A$5:$A$304,0)),""))</f>
        <v/>
      </c>
      <c r="G905" s="9">
        <f>IF(D905="","",IFERROR(INDEX('Équipements'!$K$5:$K$304,MATCH(D905,'Équipements'!$A$5:$A$304,0)),""))</f>
        <v/>
      </c>
      <c r="H905" s="7" t="inlineStr">
        <is>
          <t>Réglementaire</t>
        </is>
      </c>
      <c r="I905" s="7" t="inlineStr">
        <is>
          <t>CR-011</t>
        </is>
      </c>
      <c r="J905" s="7" t="inlineStr">
        <is>
          <t>Multi-technique</t>
        </is>
      </c>
      <c r="K905" s="7" t="inlineStr">
        <is>
          <t>P2 - Haute</t>
        </is>
      </c>
      <c r="L905" s="7" t="inlineStr">
        <is>
          <t>Vérification périodique presse plieuse</t>
        </is>
      </c>
      <c r="M905" s="7" t="n"/>
      <c r="N905" s="7" t="inlineStr">
        <is>
          <t>Contrôle réalisé - observations mineures au rapport</t>
        </is>
      </c>
      <c r="O905" s="7" t="inlineStr">
        <is>
          <t>Nadia Rousseau</t>
        </is>
      </c>
      <c r="P905" s="65" t="n">
        <v>46069</v>
      </c>
      <c r="Q905" s="75" t="n">
        <v>46069.34027777778</v>
      </c>
      <c r="R905" s="75" t="n">
        <v>46069.39236111111</v>
      </c>
      <c r="S905" s="76" t="n">
        <v>1</v>
      </c>
      <c r="T905" s="76" t="n">
        <v>1.25</v>
      </c>
      <c r="U905" s="70">
        <f>IF($A905="","",IFERROR(INDEX('Techniciens'!$F$5:$F$44,MATCH(O905,'Techniciens'!$B$5:$B$44,0)),'Paramètres'!$AA$10))</f>
        <v/>
      </c>
      <c r="V905" s="70">
        <f>IF($A905="","",IF(OR(AC905="Demandé",AC905="Planifié",AC905="Annulé"),0,N(T905)*N(U905)))</f>
        <v/>
      </c>
      <c r="W905" s="70">
        <f>IF($A905="","",SUMIFS('Mouvements stock'!$H$5:$H$3004,'Mouvements stock'!$I$5:$I$3004,$A905,'Mouvements stock'!$C$5:$C$3004,"Sortie")-SUMIFS('Mouvements stock'!$H$5:$H$3004,'Mouvements stock'!$I$5:$I$3004,$A905,'Mouvements stock'!$C$5:$C$3004,"Retour"))</f>
        <v/>
      </c>
      <c r="X905" s="66" t="n">
        <v>0</v>
      </c>
      <c r="Y905" s="66" t="n">
        <v>210</v>
      </c>
      <c r="Z905" s="7" t="inlineStr">
        <is>
          <t>CONTROLIS (organisme fictif)</t>
        </is>
      </c>
      <c r="AA905" s="70">
        <f>IF($A905="","",N(V905)+N(W905)+N(X905)+N(Y905))</f>
        <v/>
      </c>
      <c r="AB905" s="70">
        <f>IF($A905="","",N(S905)*'Paramètres'!$AA$9*IFERROR(INDEX('Paramètres'!$O$5:$O$7,MATCH(G905,'Paramètres'!$N$5:$N$7,0)),0))</f>
        <v/>
      </c>
      <c r="AC905" s="7" t="inlineStr">
        <is>
          <t>Clôturé</t>
        </is>
      </c>
      <c r="AD905" s="69">
        <f>IF(OR($A905="",Q905=""),"",(Q905-B905)*24)</f>
        <v/>
      </c>
      <c r="AE905" s="69">
        <f>IF(OR(Q905="",R905=""),"",(R905-Q905)*24)</f>
        <v/>
      </c>
      <c r="AF905" s="77">
        <f>IF(OR($A905="",B905=""),"",YEAR(B905))</f>
        <v/>
      </c>
      <c r="AG905" s="77">
        <f>IF(OR($A905="",B905=""),"",MONTH(B905))</f>
        <v/>
      </c>
    </row>
    <row r="906">
      <c r="A906" s="7" t="inlineStr">
        <is>
          <t>OT-2026-0051</t>
        </is>
      </c>
      <c r="B906" s="75" t="n">
        <v>46048.45138888889</v>
      </c>
      <c r="C906" s="7" t="inlineStr">
        <is>
          <t>Plan préventif</t>
        </is>
      </c>
      <c r="D906" s="7" t="inlineStr">
        <is>
          <t>EQ-PEI-003</t>
        </is>
      </c>
      <c r="E906" s="9">
        <f>IF(D906="","",IFERROR(INDEX('Équipements'!$B$5:$B$304,MATCH(D906,'Équipements'!$A$5:$A$304,0)),"Code inconnu"))</f>
        <v/>
      </c>
      <c r="F906" s="9">
        <f>IF(D906="","",IFERROR(INDEX('Équipements'!$D$5:$D$304,MATCH(D906,'Équipements'!$A$5:$A$304,0)),""))</f>
        <v/>
      </c>
      <c r="G906" s="9">
        <f>IF(D906="","",IFERROR(INDEX('Équipements'!$K$5:$K$304,MATCH(D906,'Équipements'!$A$5:$A$304,0)),""))</f>
        <v/>
      </c>
      <c r="H906" s="7" t="inlineStr">
        <is>
          <t>Préventif systématique</t>
        </is>
      </c>
      <c r="I906" s="7" t="inlineStr">
        <is>
          <t>GP-070</t>
        </is>
      </c>
      <c r="J906" s="7" t="inlineStr">
        <is>
          <t>Mécanique</t>
        </is>
      </c>
      <c r="K906" s="7" t="inlineStr">
        <is>
          <t>P3 - Normale</t>
        </is>
      </c>
      <c r="L906" s="7" t="inlineStr">
        <is>
          <t>Nettoyage et remplacement des filtres</t>
        </is>
      </c>
      <c r="M906" s="7" t="n"/>
      <c r="N906" s="7" t="inlineStr">
        <is>
          <t>Gamme réalisée - petite fuite corrigée</t>
        </is>
      </c>
      <c r="O906" s="7" t="inlineStr">
        <is>
          <t>Antoine Mercier</t>
        </is>
      </c>
      <c r="P906" s="65" t="n">
        <v>46055.72916666666</v>
      </c>
      <c r="Q906" s="75" t="n">
        <v>46055.58333333334</v>
      </c>
      <c r="R906" s="75" t="n">
        <v>46055.72916666666</v>
      </c>
      <c r="S906" s="76" t="n">
        <v>0</v>
      </c>
      <c r="T906" s="76" t="n">
        <v>3.5</v>
      </c>
      <c r="U906" s="70">
        <f>IF($A906="","",IFERROR(INDEX('Techniciens'!$F$5:$F$44,MATCH(O906,'Techniciens'!$B$5:$B$44,0)),'Paramètres'!$AA$10))</f>
        <v/>
      </c>
      <c r="V906" s="70">
        <f>IF($A906="","",IF(OR(AC906="Demandé",AC906="Planifié",AC906="Annulé"),0,N(T906)*N(U906)))</f>
        <v/>
      </c>
      <c r="W906" s="70">
        <f>IF($A906="","",SUMIFS('Mouvements stock'!$H$5:$H$3004,'Mouvements stock'!$I$5:$I$3004,$A906,'Mouvements stock'!$C$5:$C$3004,"Sortie")-SUMIFS('Mouvements stock'!$H$5:$H$3004,'Mouvements stock'!$I$5:$I$3004,$A906,'Mouvements stock'!$C$5:$C$3004,"Retour"))</f>
        <v/>
      </c>
      <c r="X906" s="66" t="n">
        <v>0</v>
      </c>
      <c r="Y906" s="66" t="n">
        <v>0</v>
      </c>
      <c r="Z906" s="7" t="n"/>
      <c r="AA906" s="70">
        <f>IF($A906="","",N(V906)+N(W906)+N(X906)+N(Y906))</f>
        <v/>
      </c>
      <c r="AB906" s="70">
        <f>IF($A906="","",N(S906)*'Paramètres'!$AA$9*IFERROR(INDEX('Paramètres'!$O$5:$O$7,MATCH(G906,'Paramètres'!$N$5:$N$7,0)),0))</f>
        <v/>
      </c>
      <c r="AC906" s="7" t="inlineStr">
        <is>
          <t>Clôturé</t>
        </is>
      </c>
      <c r="AD906" s="69">
        <f>IF(OR($A906="",Q906=""),"",(Q906-B906)*24)</f>
        <v/>
      </c>
      <c r="AE906" s="69">
        <f>IF(OR(Q906="",R906=""),"",(R906-Q906)*24)</f>
        <v/>
      </c>
      <c r="AF906" s="77">
        <f>IF(OR($A906="",B906=""),"",YEAR(B906))</f>
        <v/>
      </c>
      <c r="AG906" s="77">
        <f>IF(OR($A906="",B906=""),"",MONTH(B906))</f>
        <v/>
      </c>
    </row>
    <row r="907">
      <c r="A907" s="7" t="inlineStr">
        <is>
          <t>OT-2026-0052</t>
        </is>
      </c>
      <c r="B907" s="75" t="n">
        <v>46048.64722222222</v>
      </c>
      <c r="C907" s="7" t="inlineStr">
        <is>
          <t>Opérateur tôlerie</t>
        </is>
      </c>
      <c r="D907" s="7" t="inlineStr">
        <is>
          <t>EQ-TOL-002</t>
        </is>
      </c>
      <c r="E907" s="9">
        <f>IF(D907="","",IFERROR(INDEX('Équipements'!$B$5:$B$304,MATCH(D907,'Équipements'!$A$5:$A$304,0)),"Code inconnu"))</f>
        <v/>
      </c>
      <c r="F907" s="9">
        <f>IF(D907="","",IFERROR(INDEX('Équipements'!$D$5:$D$304,MATCH(D907,'Équipements'!$A$5:$A$304,0)),""))</f>
        <v/>
      </c>
      <c r="G907" s="9">
        <f>IF(D907="","",IFERROR(INDEX('Équipements'!$K$5:$K$304,MATCH(D907,'Équipements'!$A$5:$A$304,0)),""))</f>
        <v/>
      </c>
      <c r="H907" s="7" t="inlineStr">
        <is>
          <t>Correctif</t>
        </is>
      </c>
      <c r="I907" s="7" t="n"/>
      <c r="J907" s="7" t="inlineStr">
        <is>
          <t>Électrique</t>
        </is>
      </c>
      <c r="K907" s="7" t="inlineStr">
        <is>
          <t>P2 - Haute</t>
        </is>
      </c>
      <c r="L907" s="7" t="inlineStr">
        <is>
          <t>Défaut barrage immatériel</t>
        </is>
      </c>
      <c r="M907" s="7" t="inlineStr">
        <is>
          <t>Défaut capteur</t>
        </is>
      </c>
      <c r="N907" s="7" t="inlineStr">
        <is>
          <t>Nettoyage / réalignement, remplacement émetteur</t>
        </is>
      </c>
      <c r="O907" s="7" t="inlineStr">
        <is>
          <t>Thomas Petit</t>
        </is>
      </c>
      <c r="P907" s="65" t="n"/>
      <c r="Q907" s="75" t="n">
        <v>46048.70694444444</v>
      </c>
      <c r="R907" s="75" t="n">
        <v>46048.81111111111</v>
      </c>
      <c r="S907" s="76" t="n">
        <v>3.9</v>
      </c>
      <c r="T907" s="76" t="n">
        <v>2.5</v>
      </c>
      <c r="U907" s="70">
        <f>IF($A907="","",IFERROR(INDEX('Techniciens'!$F$5:$F$44,MATCH(O907,'Techniciens'!$B$5:$B$44,0)),'Paramètres'!$AA$10))</f>
        <v/>
      </c>
      <c r="V907" s="70">
        <f>IF($A907="","",IF(OR(AC907="Demandé",AC907="Planifié",AC907="Annulé"),0,N(T907)*N(U907)))</f>
        <v/>
      </c>
      <c r="W907" s="70">
        <f>IF($A907="","",SUMIFS('Mouvements stock'!$H$5:$H$3004,'Mouvements stock'!$I$5:$I$3004,$A907,'Mouvements stock'!$C$5:$C$3004,"Sortie")-SUMIFS('Mouvements stock'!$H$5:$H$3004,'Mouvements stock'!$I$5:$I$3004,$A907,'Mouvements stock'!$C$5:$C$3004,"Retour"))</f>
        <v/>
      </c>
      <c r="X907" s="66" t="n">
        <v>0</v>
      </c>
      <c r="Y907" s="66" t="n">
        <v>0</v>
      </c>
      <c r="Z907" s="7" t="n"/>
      <c r="AA907" s="70">
        <f>IF($A907="","",N(V907)+N(W907)+N(X907)+N(Y907))</f>
        <v/>
      </c>
      <c r="AB907" s="70">
        <f>IF($A907="","",N(S907)*'Paramètres'!$AA$9*IFERROR(INDEX('Paramètres'!$O$5:$O$7,MATCH(G907,'Paramètres'!$N$5:$N$7,0)),0))</f>
        <v/>
      </c>
      <c r="AC907" s="7" t="inlineStr">
        <is>
          <t>Clôturé</t>
        </is>
      </c>
      <c r="AD907" s="69">
        <f>IF(OR($A907="",Q907=""),"",(Q907-B907)*24)</f>
        <v/>
      </c>
      <c r="AE907" s="69">
        <f>IF(OR(Q907="",R907=""),"",(R907-Q907)*24)</f>
        <v/>
      </c>
      <c r="AF907" s="77">
        <f>IF(OR($A907="",B907=""),"",YEAR(B907))</f>
        <v/>
      </c>
      <c r="AG907" s="77">
        <f>IF(OR($A907="",B907=""),"",MONTH(B907))</f>
        <v/>
      </c>
    </row>
    <row r="908">
      <c r="A908" s="7" t="inlineStr">
        <is>
          <t>OT-2026-0053</t>
        </is>
      </c>
      <c r="B908" s="75" t="n">
        <v>46049.35416666666</v>
      </c>
      <c r="C908" s="7" t="inlineStr">
        <is>
          <t>Plan préventif</t>
        </is>
      </c>
      <c r="D908" s="7" t="inlineStr">
        <is>
          <t>EQ-UTI-001</t>
        </is>
      </c>
      <c r="E908" s="9">
        <f>IF(D908="","",IFERROR(INDEX('Équipements'!$B$5:$B$304,MATCH(D908,'Équipements'!$A$5:$A$304,0)),"Code inconnu"))</f>
        <v/>
      </c>
      <c r="F908" s="9">
        <f>IF(D908="","",IFERROR(INDEX('Équipements'!$D$5:$D$304,MATCH(D908,'Équipements'!$A$5:$A$304,0)),""))</f>
        <v/>
      </c>
      <c r="G908" s="9">
        <f>IF(D908="","",IFERROR(INDEX('Équipements'!$K$5:$K$304,MATCH(D908,'Équipements'!$A$5:$A$304,0)),""))</f>
        <v/>
      </c>
      <c r="H908" s="7" t="inlineStr">
        <is>
          <t>Préventif systématique</t>
        </is>
      </c>
      <c r="I908" s="7" t="inlineStr">
        <is>
          <t>GP-088</t>
        </is>
      </c>
      <c r="J908" s="7" t="inlineStr">
        <is>
          <t>Pneumatique</t>
        </is>
      </c>
      <c r="K908" s="7" t="inlineStr">
        <is>
          <t>P3 - Normale</t>
        </is>
      </c>
      <c r="L908" s="7" t="inlineStr">
        <is>
          <t>Purge, contrôle fuites et point de rosée</t>
        </is>
      </c>
      <c r="M908" s="7" t="n"/>
      <c r="N908" s="7" t="inlineStr">
        <is>
          <t>Gamme réalisée - RAS</t>
        </is>
      </c>
      <c r="O908" s="7" t="inlineStr">
        <is>
          <t>Julien Moreau</t>
        </is>
      </c>
      <c r="P908" s="65" t="n">
        <v>46056.62152777778</v>
      </c>
      <c r="Q908" s="75" t="n">
        <v>46056.40277777778</v>
      </c>
      <c r="R908" s="75" t="n">
        <v>46056.46527777778</v>
      </c>
      <c r="S908" s="76" t="n">
        <v>0</v>
      </c>
      <c r="T908" s="76" t="n">
        <v>1.5</v>
      </c>
      <c r="U908" s="70">
        <f>IF($A908="","",IFERROR(INDEX('Techniciens'!$F$5:$F$44,MATCH(O908,'Techniciens'!$B$5:$B$44,0)),'Paramètres'!$AA$10))</f>
        <v/>
      </c>
      <c r="V908" s="70">
        <f>IF($A908="","",IF(OR(AC908="Demandé",AC908="Planifié",AC908="Annulé"),0,N(T908)*N(U908)))</f>
        <v/>
      </c>
      <c r="W908" s="70">
        <f>IF($A908="","",SUMIFS('Mouvements stock'!$H$5:$H$3004,'Mouvements stock'!$I$5:$I$3004,$A908,'Mouvements stock'!$C$5:$C$3004,"Sortie")-SUMIFS('Mouvements stock'!$H$5:$H$3004,'Mouvements stock'!$I$5:$I$3004,$A908,'Mouvements stock'!$C$5:$C$3004,"Retour"))</f>
        <v/>
      </c>
      <c r="X908" s="66" t="n">
        <v>0</v>
      </c>
      <c r="Y908" s="66" t="n">
        <v>0</v>
      </c>
      <c r="Z908" s="7" t="n"/>
      <c r="AA908" s="70">
        <f>IF($A908="","",N(V908)+N(W908)+N(X908)+N(Y908))</f>
        <v/>
      </c>
      <c r="AB908" s="70">
        <f>IF($A908="","",N(S908)*'Paramètres'!$AA$9*IFERROR(INDEX('Paramètres'!$O$5:$O$7,MATCH(G908,'Paramètres'!$N$5:$N$7,0)),0))</f>
        <v/>
      </c>
      <c r="AC908" s="7" t="inlineStr">
        <is>
          <t>Clôturé</t>
        </is>
      </c>
      <c r="AD908" s="69">
        <f>IF(OR($A908="",Q908=""),"",(Q908-B908)*24)</f>
        <v/>
      </c>
      <c r="AE908" s="69">
        <f>IF(OR(Q908="",R908=""),"",(R908-Q908)*24)</f>
        <v/>
      </c>
      <c r="AF908" s="77">
        <f>IF(OR($A908="",B908=""),"",YEAR(B908))</f>
        <v/>
      </c>
      <c r="AG908" s="77">
        <f>IF(OR($A908="",B908=""),"",MONTH(B908))</f>
        <v/>
      </c>
    </row>
    <row r="909">
      <c r="A909" s="7" t="inlineStr">
        <is>
          <t>OT-2026-0054</t>
        </is>
      </c>
      <c r="B909" s="75" t="n">
        <v>46049.44791666666</v>
      </c>
      <c r="C909" s="7" t="inlineStr">
        <is>
          <t>Plan préventif</t>
        </is>
      </c>
      <c r="D909" s="7" t="inlineStr">
        <is>
          <t>EQ-PEI-001</t>
        </is>
      </c>
      <c r="E909" s="9">
        <f>IF(D909="","",IFERROR(INDEX('Équipements'!$B$5:$B$304,MATCH(D909,'Équipements'!$A$5:$A$304,0)),"Code inconnu"))</f>
        <v/>
      </c>
      <c r="F909" s="9">
        <f>IF(D909="","",IFERROR(INDEX('Équipements'!$D$5:$D$304,MATCH(D909,'Équipements'!$A$5:$A$304,0)),""))</f>
        <v/>
      </c>
      <c r="G909" s="9">
        <f>IF(D909="","",IFERROR(INDEX('Équipements'!$K$5:$K$304,MATCH(D909,'Équipements'!$A$5:$A$304,0)),""))</f>
        <v/>
      </c>
      <c r="H909" s="7" t="inlineStr">
        <is>
          <t>Préventif systématique</t>
        </is>
      </c>
      <c r="I909" s="7" t="inlineStr">
        <is>
          <t>GP-066</t>
        </is>
      </c>
      <c r="J909" s="7" t="inlineStr">
        <is>
          <t>Mécanique</t>
        </is>
      </c>
      <c r="K909" s="7" t="inlineStr">
        <is>
          <t>P3 - Normale</t>
        </is>
      </c>
      <c r="L909" s="7" t="inlineStr">
        <is>
          <t>Nettoyage et remplacement des filtres</t>
        </is>
      </c>
      <c r="M909" s="7" t="n"/>
      <c r="N909" s="7" t="inlineStr">
        <is>
          <t>Gamme réalisée - RAS</t>
        </is>
      </c>
      <c r="O909" s="7" t="inlineStr">
        <is>
          <t>Lucas Fontaine</t>
        </is>
      </c>
      <c r="P909" s="65" t="n">
        <v>46056.52083333334</v>
      </c>
      <c r="Q909" s="75" t="n">
        <v>46056.29166666666</v>
      </c>
      <c r="R909" s="75" t="n">
        <v>46056.39583333334</v>
      </c>
      <c r="S909" s="76" t="n">
        <v>0</v>
      </c>
      <c r="T909" s="76" t="n">
        <v>2.5</v>
      </c>
      <c r="U909" s="70">
        <f>IF($A909="","",IFERROR(INDEX('Techniciens'!$F$5:$F$44,MATCH(O909,'Techniciens'!$B$5:$B$44,0)),'Paramètres'!$AA$10))</f>
        <v/>
      </c>
      <c r="V909" s="70">
        <f>IF($A909="","",IF(OR(AC909="Demandé",AC909="Planifié",AC909="Annulé"),0,N(T909)*N(U909)))</f>
        <v/>
      </c>
      <c r="W909" s="70">
        <f>IF($A909="","",SUMIFS('Mouvements stock'!$H$5:$H$3004,'Mouvements stock'!$I$5:$I$3004,$A909,'Mouvements stock'!$C$5:$C$3004,"Sortie")-SUMIFS('Mouvements stock'!$H$5:$H$3004,'Mouvements stock'!$I$5:$I$3004,$A909,'Mouvements stock'!$C$5:$C$3004,"Retour"))</f>
        <v/>
      </c>
      <c r="X909" s="66" t="n">
        <v>0</v>
      </c>
      <c r="Y909" s="66" t="n">
        <v>0</v>
      </c>
      <c r="Z909" s="7" t="n"/>
      <c r="AA909" s="70">
        <f>IF($A909="","",N(V909)+N(W909)+N(X909)+N(Y909))</f>
        <v/>
      </c>
      <c r="AB909" s="70">
        <f>IF($A909="","",N(S909)*'Paramètres'!$AA$9*IFERROR(INDEX('Paramètres'!$O$5:$O$7,MATCH(G909,'Paramètres'!$N$5:$N$7,0)),0))</f>
        <v/>
      </c>
      <c r="AC909" s="7" t="inlineStr">
        <is>
          <t>Clôturé</t>
        </is>
      </c>
      <c r="AD909" s="69">
        <f>IF(OR($A909="",Q909=""),"",(Q909-B909)*24)</f>
        <v/>
      </c>
      <c r="AE909" s="69">
        <f>IF(OR(Q909="",R909=""),"",(R909-Q909)*24)</f>
        <v/>
      </c>
      <c r="AF909" s="77">
        <f>IF(OR($A909="",B909=""),"",YEAR(B909))</f>
        <v/>
      </c>
      <c r="AG909" s="77">
        <f>IF(OR($A909="",B909=""),"",MONTH(B909))</f>
        <v/>
      </c>
    </row>
    <row r="910">
      <c r="A910" s="7" t="inlineStr">
        <is>
          <t>OT-2026-0055</t>
        </is>
      </c>
      <c r="B910" s="75" t="n">
        <v>46049.46527777778</v>
      </c>
      <c r="C910" s="7" t="inlineStr">
        <is>
          <t>Plan préventif</t>
        </is>
      </c>
      <c r="D910" s="7" t="inlineStr">
        <is>
          <t>EQ-USI-005</t>
        </is>
      </c>
      <c r="E910" s="9">
        <f>IF(D910="","",IFERROR(INDEX('Équipements'!$B$5:$B$304,MATCH(D910,'Équipements'!$A$5:$A$304,0)),"Code inconnu"))</f>
        <v/>
      </c>
      <c r="F910" s="9">
        <f>IF(D910="","",IFERROR(INDEX('Équipements'!$D$5:$D$304,MATCH(D910,'Équipements'!$A$5:$A$304,0)),""))</f>
        <v/>
      </c>
      <c r="G910" s="9">
        <f>IF(D910="","",IFERROR(INDEX('Équipements'!$K$5:$K$304,MATCH(D910,'Équipements'!$A$5:$A$304,0)),""))</f>
        <v/>
      </c>
      <c r="H910" s="7" t="inlineStr">
        <is>
          <t>Préventif systématique</t>
        </is>
      </c>
      <c r="I910" s="7" t="inlineStr">
        <is>
          <t>GP-017</t>
        </is>
      </c>
      <c r="J910" s="7" t="inlineStr">
        <is>
          <t>Mécanique</t>
        </is>
      </c>
      <c r="K910" s="7" t="inlineStr">
        <is>
          <t>P3 - Normale</t>
        </is>
      </c>
      <c r="L910" s="7" t="inlineStr">
        <is>
          <t>Contrôle niveaux, nettoyage filtres et bac à copeaux</t>
        </is>
      </c>
      <c r="M910" s="7" t="n"/>
      <c r="N910" s="7" t="inlineStr">
        <is>
          <t>Gamme réalisée - RAS</t>
        </is>
      </c>
      <c r="O910" s="7" t="inlineStr">
        <is>
          <t>Karim Benali</t>
        </is>
      </c>
      <c r="P910" s="65" t="n">
        <v>46056.59722222222</v>
      </c>
      <c r="Q910" s="75" t="n">
        <v>46056.32638888889</v>
      </c>
      <c r="R910" s="75" t="n">
        <v>46056.38888888889</v>
      </c>
      <c r="S910" s="76" t="n">
        <v>1.5</v>
      </c>
      <c r="T910" s="76" t="n">
        <v>1.5</v>
      </c>
      <c r="U910" s="70">
        <f>IF($A910="","",IFERROR(INDEX('Techniciens'!$F$5:$F$44,MATCH(O910,'Techniciens'!$B$5:$B$44,0)),'Paramètres'!$AA$10))</f>
        <v/>
      </c>
      <c r="V910" s="70">
        <f>IF($A910="","",IF(OR(AC910="Demandé",AC910="Planifié",AC910="Annulé"),0,N(T910)*N(U910)))</f>
        <v/>
      </c>
      <c r="W910" s="70">
        <f>IF($A910="","",SUMIFS('Mouvements stock'!$H$5:$H$3004,'Mouvements stock'!$I$5:$I$3004,$A910,'Mouvements stock'!$C$5:$C$3004,"Sortie")-SUMIFS('Mouvements stock'!$H$5:$H$3004,'Mouvements stock'!$I$5:$I$3004,$A910,'Mouvements stock'!$C$5:$C$3004,"Retour"))</f>
        <v/>
      </c>
      <c r="X910" s="66" t="n">
        <v>0</v>
      </c>
      <c r="Y910" s="66" t="n">
        <v>0</v>
      </c>
      <c r="Z910" s="7" t="n"/>
      <c r="AA910" s="70">
        <f>IF($A910="","",N(V910)+N(W910)+N(X910)+N(Y910))</f>
        <v/>
      </c>
      <c r="AB910" s="70">
        <f>IF($A910="","",N(S910)*'Paramètres'!$AA$9*IFERROR(INDEX('Paramètres'!$O$5:$O$7,MATCH(G910,'Paramètres'!$N$5:$N$7,0)),0))</f>
        <v/>
      </c>
      <c r="AC910" s="7" t="inlineStr">
        <is>
          <t>Clôturé</t>
        </is>
      </c>
      <c r="AD910" s="69">
        <f>IF(OR($A910="",Q910=""),"",(Q910-B910)*24)</f>
        <v/>
      </c>
      <c r="AE910" s="69">
        <f>IF(OR(Q910="",R910=""),"",(R910-Q910)*24)</f>
        <v/>
      </c>
      <c r="AF910" s="77">
        <f>IF(OR($A910="",B910=""),"",YEAR(B910))</f>
        <v/>
      </c>
      <c r="AG910" s="77">
        <f>IF(OR($A910="",B910=""),"",MONTH(B910))</f>
        <v/>
      </c>
    </row>
    <row r="911">
      <c r="A911" s="7" t="inlineStr">
        <is>
          <t>OT-2026-0056</t>
        </is>
      </c>
      <c r="B911" s="75" t="n">
        <v>46049.46875</v>
      </c>
      <c r="C911" s="7" t="inlineStr">
        <is>
          <t>Plan préventif</t>
        </is>
      </c>
      <c r="D911" s="7" t="inlineStr">
        <is>
          <t>EQ-TOL-007</t>
        </is>
      </c>
      <c r="E911" s="9">
        <f>IF(D911="","",IFERROR(INDEX('Équipements'!$B$5:$B$304,MATCH(D911,'Équipements'!$A$5:$A$304,0)),"Code inconnu"))</f>
        <v/>
      </c>
      <c r="F911" s="9">
        <f>IF(D911="","",IFERROR(INDEX('Équipements'!$D$5:$D$304,MATCH(D911,'Équipements'!$A$5:$A$304,0)),""))</f>
        <v/>
      </c>
      <c r="G911" s="9">
        <f>IF(D911="","",IFERROR(INDEX('Équipements'!$K$5:$K$304,MATCH(D911,'Équipements'!$A$5:$A$304,0)),""))</f>
        <v/>
      </c>
      <c r="H911" s="7" t="inlineStr">
        <is>
          <t>Préventif systématique</t>
        </is>
      </c>
      <c r="I911" s="7" t="inlineStr">
        <is>
          <t>GP-056</t>
        </is>
      </c>
      <c r="J911" s="7" t="inlineStr">
        <is>
          <t>Mécanique</t>
        </is>
      </c>
      <c r="K911" s="7" t="inlineStr">
        <is>
          <t>P3 - Normale</t>
        </is>
      </c>
      <c r="L911" s="7" t="inlineStr">
        <is>
          <t>Graissage chaîne / galets et contrôle tension</t>
        </is>
      </c>
      <c r="M911" s="7" t="n"/>
      <c r="N911" s="7" t="inlineStr">
        <is>
          <t>Gamme réalisée - RAS</t>
        </is>
      </c>
      <c r="O911" s="7" t="inlineStr">
        <is>
          <t>Antoine Mercier</t>
        </is>
      </c>
      <c r="P911" s="65" t="n">
        <v>46056.64583333334</v>
      </c>
      <c r="Q911" s="75" t="n">
        <v>46056.34375</v>
      </c>
      <c r="R911" s="75" t="n">
        <v>46056.44791666666</v>
      </c>
      <c r="S911" s="76" t="n">
        <v>2.5</v>
      </c>
      <c r="T911" s="76" t="n">
        <v>2.5</v>
      </c>
      <c r="U911" s="70">
        <f>IF($A911="","",IFERROR(INDEX('Techniciens'!$F$5:$F$44,MATCH(O911,'Techniciens'!$B$5:$B$44,0)),'Paramètres'!$AA$10))</f>
        <v/>
      </c>
      <c r="V911" s="70">
        <f>IF($A911="","",IF(OR(AC911="Demandé",AC911="Planifié",AC911="Annulé"),0,N(T911)*N(U911)))</f>
        <v/>
      </c>
      <c r="W911" s="70">
        <f>IF($A911="","",SUMIFS('Mouvements stock'!$H$5:$H$3004,'Mouvements stock'!$I$5:$I$3004,$A911,'Mouvements stock'!$C$5:$C$3004,"Sortie")-SUMIFS('Mouvements stock'!$H$5:$H$3004,'Mouvements stock'!$I$5:$I$3004,$A911,'Mouvements stock'!$C$5:$C$3004,"Retour"))</f>
        <v/>
      </c>
      <c r="X911" s="66" t="n">
        <v>0</v>
      </c>
      <c r="Y911" s="66" t="n">
        <v>0</v>
      </c>
      <c r="Z911" s="7" t="n"/>
      <c r="AA911" s="70">
        <f>IF($A911="","",N(V911)+N(W911)+N(X911)+N(Y911))</f>
        <v/>
      </c>
      <c r="AB911" s="70">
        <f>IF($A911="","",N(S911)*'Paramètres'!$AA$9*IFERROR(INDEX('Paramètres'!$O$5:$O$7,MATCH(G911,'Paramètres'!$N$5:$N$7,0)),0))</f>
        <v/>
      </c>
      <c r="AC911" s="7" t="inlineStr">
        <is>
          <t>Clôturé</t>
        </is>
      </c>
      <c r="AD911" s="69">
        <f>IF(OR($A911="",Q911=""),"",(Q911-B911)*24)</f>
        <v/>
      </c>
      <c r="AE911" s="69">
        <f>IF(OR(Q911="",R911=""),"",(R911-Q911)*24)</f>
        <v/>
      </c>
      <c r="AF911" s="77">
        <f>IF(OR($A911="",B911=""),"",YEAR(B911))</f>
        <v/>
      </c>
      <c r="AG911" s="77">
        <f>IF(OR($A911="",B911=""),"",MONTH(B911))</f>
        <v/>
      </c>
    </row>
    <row r="912">
      <c r="A912" s="7" t="inlineStr">
        <is>
          <t>OT-2026-0057</t>
        </is>
      </c>
      <c r="B912" s="75" t="n">
        <v>46049.52430555555</v>
      </c>
      <c r="C912" s="7" t="inlineStr">
        <is>
          <t>Inès Girard (cheffe d'équipe)</t>
        </is>
      </c>
      <c r="D912" s="7" t="inlineStr">
        <is>
          <t>EQ-PEI-002</t>
        </is>
      </c>
      <c r="E912" s="9">
        <f>IF(D912="","",IFERROR(INDEX('Équipements'!$B$5:$B$304,MATCH(D912,'Équipements'!$A$5:$A$304,0)),"Code inconnu"))</f>
        <v/>
      </c>
      <c r="F912" s="9">
        <f>IF(D912="","",IFERROR(INDEX('Équipements'!$D$5:$D$304,MATCH(D912,'Équipements'!$A$5:$A$304,0)),""))</f>
        <v/>
      </c>
      <c r="G912" s="9">
        <f>IF(D912="","",IFERROR(INDEX('Équipements'!$K$5:$K$304,MATCH(D912,'Équipements'!$A$5:$A$304,0)),""))</f>
        <v/>
      </c>
      <c r="H912" s="7" t="inlineStr">
        <is>
          <t>Correctif</t>
        </is>
      </c>
      <c r="I912" s="7" t="n"/>
      <c r="J912" s="7" t="inlineStr">
        <is>
          <t>Pneumatique</t>
        </is>
      </c>
      <c r="K912" s="7" t="inlineStr">
        <is>
          <t>P2 - Haute</t>
        </is>
      </c>
      <c r="L912" s="7" t="inlineStr">
        <is>
          <t>Pistolet poudre : débit irrégulier</t>
        </is>
      </c>
      <c r="M912" s="7" t="inlineStr">
        <is>
          <t>Usure</t>
        </is>
      </c>
      <c r="N912" s="7" t="inlineStr">
        <is>
          <t>Remplacement injecteur et buse</t>
        </is>
      </c>
      <c r="O912" s="7" t="inlineStr">
        <is>
          <t>Lucas Fontaine</t>
        </is>
      </c>
      <c r="P912" s="65" t="n"/>
      <c r="Q912" s="75" t="n">
        <v>46049.66736111111</v>
      </c>
      <c r="R912" s="75" t="n">
        <v>46053.09373300572</v>
      </c>
      <c r="S912" s="76" t="n">
        <v>60.6</v>
      </c>
      <c r="T912" s="76" t="n">
        <v>32</v>
      </c>
      <c r="U912" s="70">
        <f>IF($A912="","",IFERROR(INDEX('Techniciens'!$F$5:$F$44,MATCH(O912,'Techniciens'!$B$5:$B$44,0)),'Paramètres'!$AA$10))</f>
        <v/>
      </c>
      <c r="V912" s="70">
        <f>IF($A912="","",IF(OR(AC912="Demandé",AC912="Planifié",AC912="Annulé"),0,N(T912)*N(U912)))</f>
        <v/>
      </c>
      <c r="W912" s="70">
        <f>IF($A912="","",SUMIFS('Mouvements stock'!$H$5:$H$3004,'Mouvements stock'!$I$5:$I$3004,$A912,'Mouvements stock'!$C$5:$C$3004,"Sortie")-SUMIFS('Mouvements stock'!$H$5:$H$3004,'Mouvements stock'!$I$5:$I$3004,$A912,'Mouvements stock'!$C$5:$C$3004,"Retour"))</f>
        <v/>
      </c>
      <c r="X912" s="66" t="n">
        <v>0</v>
      </c>
      <c r="Y912" s="66" t="n">
        <v>0</v>
      </c>
      <c r="Z912" s="7" t="n"/>
      <c r="AA912" s="70">
        <f>IF($A912="","",N(V912)+N(W912)+N(X912)+N(Y912))</f>
        <v/>
      </c>
      <c r="AB912" s="70">
        <f>IF($A912="","",N(S912)*'Paramètres'!$AA$9*IFERROR(INDEX('Paramètres'!$O$5:$O$7,MATCH(G912,'Paramètres'!$N$5:$N$7,0)),0))</f>
        <v/>
      </c>
      <c r="AC912" s="7" t="inlineStr">
        <is>
          <t>Clôturé</t>
        </is>
      </c>
      <c r="AD912" s="69">
        <f>IF(OR($A912="",Q912=""),"",(Q912-B912)*24)</f>
        <v/>
      </c>
      <c r="AE912" s="69">
        <f>IF(OR(Q912="",R912=""),"",(R912-Q912)*24)</f>
        <v/>
      </c>
      <c r="AF912" s="77">
        <f>IF(OR($A912="",B912=""),"",YEAR(B912))</f>
        <v/>
      </c>
      <c r="AG912" s="77">
        <f>IF(OR($A912="",B912=""),"",MONTH(B912))</f>
        <v/>
      </c>
    </row>
    <row r="913">
      <c r="A913" s="7" t="inlineStr">
        <is>
          <t>OT-2026-0058</t>
        </is>
      </c>
      <c r="B913" s="75" t="n">
        <v>46050.22777777778</v>
      </c>
      <c r="C913" s="7" t="inlineStr">
        <is>
          <t>Ronde maintenance</t>
        </is>
      </c>
      <c r="D913" s="7" t="inlineStr">
        <is>
          <t>EQ-UTI-009</t>
        </is>
      </c>
      <c r="E913" s="9">
        <f>IF(D913="","",IFERROR(INDEX('Équipements'!$B$5:$B$304,MATCH(D913,'Équipements'!$A$5:$A$304,0)),"Code inconnu"))</f>
        <v/>
      </c>
      <c r="F913" s="9">
        <f>IF(D913="","",IFERROR(INDEX('Équipements'!$D$5:$D$304,MATCH(D913,'Équipements'!$A$5:$A$304,0)),""))</f>
        <v/>
      </c>
      <c r="G913" s="9">
        <f>IF(D913="","",IFERROR(INDEX('Équipements'!$K$5:$K$304,MATCH(D913,'Équipements'!$A$5:$A$304,0)),""))</f>
        <v/>
      </c>
      <c r="H913" s="7" t="inlineStr">
        <is>
          <t>Correctif</t>
        </is>
      </c>
      <c r="I913" s="7" t="n"/>
      <c r="J913" s="7" t="inlineStr">
        <is>
          <t>Mécanique</t>
        </is>
      </c>
      <c r="K913" s="7" t="inlineStr">
        <is>
          <t>P2 - Haute</t>
        </is>
      </c>
      <c r="L913" s="7" t="inlineStr">
        <is>
          <t>Pompe doseuse en défaut</t>
        </is>
      </c>
      <c r="M913" s="7" t="inlineStr">
        <is>
          <t>Usure</t>
        </is>
      </c>
      <c r="N913" s="7" t="inlineStr">
        <is>
          <t>Remplacement pompe doseuse</t>
        </is>
      </c>
      <c r="O913" s="7" t="inlineStr">
        <is>
          <t>Karim Benali</t>
        </is>
      </c>
      <c r="P913" s="65" t="n"/>
      <c r="Q913" s="75" t="n">
        <v>46050.39027777778</v>
      </c>
      <c r="R913" s="75" t="n">
        <v>46050.45277777778</v>
      </c>
      <c r="S913" s="76" t="n">
        <v>5.4</v>
      </c>
      <c r="T913" s="76" t="n">
        <v>1.5</v>
      </c>
      <c r="U913" s="70">
        <f>IF($A913="","",IFERROR(INDEX('Techniciens'!$F$5:$F$44,MATCH(O913,'Techniciens'!$B$5:$B$44,0)),'Paramètres'!$AA$10))</f>
        <v/>
      </c>
      <c r="V913" s="70">
        <f>IF($A913="","",IF(OR(AC913="Demandé",AC913="Planifié",AC913="Annulé"),0,N(T913)*N(U913)))</f>
        <v/>
      </c>
      <c r="W913" s="70">
        <f>IF($A913="","",SUMIFS('Mouvements stock'!$H$5:$H$3004,'Mouvements stock'!$I$5:$I$3004,$A913,'Mouvements stock'!$C$5:$C$3004,"Sortie")-SUMIFS('Mouvements stock'!$H$5:$H$3004,'Mouvements stock'!$I$5:$I$3004,$A913,'Mouvements stock'!$C$5:$C$3004,"Retour"))</f>
        <v/>
      </c>
      <c r="X913" s="66" t="n">
        <v>0</v>
      </c>
      <c r="Y913" s="66" t="n">
        <v>0</v>
      </c>
      <c r="Z913" s="7" t="n"/>
      <c r="AA913" s="70">
        <f>IF($A913="","",N(V913)+N(W913)+N(X913)+N(Y913))</f>
        <v/>
      </c>
      <c r="AB913" s="70">
        <f>IF($A913="","",N(S913)*'Paramètres'!$AA$9*IFERROR(INDEX('Paramètres'!$O$5:$O$7,MATCH(G913,'Paramètres'!$N$5:$N$7,0)),0))</f>
        <v/>
      </c>
      <c r="AC913" s="7" t="inlineStr">
        <is>
          <t>Clôturé</t>
        </is>
      </c>
      <c r="AD913" s="69">
        <f>IF(OR($A913="",Q913=""),"",(Q913-B913)*24)</f>
        <v/>
      </c>
      <c r="AE913" s="69">
        <f>IF(OR(Q913="",R913=""),"",(R913-Q913)*24)</f>
        <v/>
      </c>
      <c r="AF913" s="77">
        <f>IF(OR($A913="",B913=""),"",YEAR(B913))</f>
        <v/>
      </c>
      <c r="AG913" s="77">
        <f>IF(OR($A913="",B913=""),"",MONTH(B913))</f>
        <v/>
      </c>
    </row>
    <row r="914">
      <c r="A914" s="7" t="inlineStr">
        <is>
          <t>OT-2026-0059</t>
        </is>
      </c>
      <c r="B914" s="75" t="n">
        <v>46050.77569444444</v>
      </c>
      <c r="C914" s="7" t="inlineStr">
        <is>
          <t>Hugo Blanc (chef d'équipe)</t>
        </is>
      </c>
      <c r="D914" s="7" t="inlineStr">
        <is>
          <t>EQ-SOU-001</t>
        </is>
      </c>
      <c r="E914" s="9">
        <f>IF(D914="","",IFERROR(INDEX('Équipements'!$B$5:$B$304,MATCH(D914,'Équipements'!$A$5:$A$304,0)),"Code inconnu"))</f>
        <v/>
      </c>
      <c r="F914" s="9">
        <f>IF(D914="","",IFERROR(INDEX('Équipements'!$D$5:$D$304,MATCH(D914,'Équipements'!$A$5:$A$304,0)),""))</f>
        <v/>
      </c>
      <c r="G914" s="9">
        <f>IF(D914="","",IFERROR(INDEX('Équipements'!$K$5:$K$304,MATCH(D914,'Équipements'!$A$5:$A$304,0)),""))</f>
        <v/>
      </c>
      <c r="H914" s="7" t="inlineStr">
        <is>
          <t>Correctif</t>
        </is>
      </c>
      <c r="I914" s="7" t="n"/>
      <c r="J914" s="7" t="inlineStr">
        <is>
          <t>Automatisme</t>
        </is>
      </c>
      <c r="K914" s="7" t="inlineStr">
        <is>
          <t>P1 - Urgent</t>
        </is>
      </c>
      <c r="L914" s="7" t="inlineStr">
        <is>
          <t>Défaut préhenseur / capteur de présence pièce</t>
        </is>
      </c>
      <c r="M914" s="7" t="inlineStr">
        <is>
          <t>Défaut capteur</t>
        </is>
      </c>
      <c r="N914" s="7" t="inlineStr">
        <is>
          <t>Remplacement détecteur, réglage préhenseur</t>
        </is>
      </c>
      <c r="O914" s="7" t="inlineStr">
        <is>
          <t>Sophie Garnier</t>
        </is>
      </c>
      <c r="P914" s="65" t="n"/>
      <c r="Q914" s="75" t="n">
        <v>46050.80069444444</v>
      </c>
      <c r="R914" s="75" t="n">
        <v>46051.04027777778</v>
      </c>
      <c r="S914" s="76" t="n">
        <v>6.4</v>
      </c>
      <c r="T914" s="76" t="n">
        <v>5.75</v>
      </c>
      <c r="U914" s="70">
        <f>IF($A914="","",IFERROR(INDEX('Techniciens'!$F$5:$F$44,MATCH(O914,'Techniciens'!$B$5:$B$44,0)),'Paramètres'!$AA$10))</f>
        <v/>
      </c>
      <c r="V914" s="70">
        <f>IF($A914="","",IF(OR(AC914="Demandé",AC914="Planifié",AC914="Annulé"),0,N(T914)*N(U914)))</f>
        <v/>
      </c>
      <c r="W914" s="70">
        <f>IF($A914="","",SUMIFS('Mouvements stock'!$H$5:$H$3004,'Mouvements stock'!$I$5:$I$3004,$A914,'Mouvements stock'!$C$5:$C$3004,"Sortie")-SUMIFS('Mouvements stock'!$H$5:$H$3004,'Mouvements stock'!$I$5:$I$3004,$A914,'Mouvements stock'!$C$5:$C$3004,"Retour"))</f>
        <v/>
      </c>
      <c r="X914" s="66" t="n">
        <v>289</v>
      </c>
      <c r="Y914" s="66" t="n">
        <v>0</v>
      </c>
      <c r="Z914" s="7" t="n"/>
      <c r="AA914" s="70">
        <f>IF($A914="","",N(V914)+N(W914)+N(X914)+N(Y914))</f>
        <v/>
      </c>
      <c r="AB914" s="70">
        <f>IF($A914="","",N(S914)*'Paramètres'!$AA$9*IFERROR(INDEX('Paramètres'!$O$5:$O$7,MATCH(G914,'Paramètres'!$N$5:$N$7,0)),0))</f>
        <v/>
      </c>
      <c r="AC914" s="7" t="inlineStr">
        <is>
          <t>Clôturé</t>
        </is>
      </c>
      <c r="AD914" s="69">
        <f>IF(OR($A914="",Q914=""),"",(Q914-B914)*24)</f>
        <v/>
      </c>
      <c r="AE914" s="69">
        <f>IF(OR(Q914="",R914=""),"",(R914-Q914)*24)</f>
        <v/>
      </c>
      <c r="AF914" s="77">
        <f>IF(OR($A914="",B914=""),"",YEAR(B914))</f>
        <v/>
      </c>
      <c r="AG914" s="77">
        <f>IF(OR($A914="",B914=""),"",MONTH(B914))</f>
        <v/>
      </c>
    </row>
    <row r="915">
      <c r="A915" s="7" t="inlineStr">
        <is>
          <t>OT-2026-0060</t>
        </is>
      </c>
      <c r="B915" s="75" t="n">
        <v>46051.35416666666</v>
      </c>
      <c r="C915" s="7" t="inlineStr">
        <is>
          <t>Plan préventif</t>
        </is>
      </c>
      <c r="D915" s="7" t="inlineStr">
        <is>
          <t>EQ-ASS-004</t>
        </is>
      </c>
      <c r="E915" s="9">
        <f>IF(D915="","",IFERROR(INDEX('Équipements'!$B$5:$B$304,MATCH(D915,'Équipements'!$A$5:$A$304,0)),"Code inconnu"))</f>
        <v/>
      </c>
      <c r="F915" s="9">
        <f>IF(D915="","",IFERROR(INDEX('Équipements'!$D$5:$D$304,MATCH(D915,'Équipements'!$A$5:$A$304,0)),""))</f>
        <v/>
      </c>
      <c r="G915" s="9">
        <f>IF(D915="","",IFERROR(INDEX('Équipements'!$K$5:$K$304,MATCH(D915,'Équipements'!$A$5:$A$304,0)),""))</f>
        <v/>
      </c>
      <c r="H915" s="7" t="inlineStr">
        <is>
          <t>Préventif systématique</t>
        </is>
      </c>
      <c r="I915" s="7" t="inlineStr">
        <is>
          <t>GP-083</t>
        </is>
      </c>
      <c r="J915" s="7" t="inlineStr">
        <is>
          <t>Mécanique</t>
        </is>
      </c>
      <c r="K915" s="7" t="inlineStr">
        <is>
          <t>P3 - Normale</t>
        </is>
      </c>
      <c r="L915" s="7" t="inlineStr">
        <is>
          <t>Nettoyage et contrôle général</t>
        </is>
      </c>
      <c r="M915" s="7" t="n"/>
      <c r="N915" s="7" t="inlineStr">
        <is>
          <t>Gamme réalisée - RAS</t>
        </is>
      </c>
      <c r="O915" s="7" t="inlineStr">
        <is>
          <t>Antoine Mercier</t>
        </is>
      </c>
      <c r="P915" s="65" t="n">
        <v>46058.54166666666</v>
      </c>
      <c r="Q915" s="75" t="n">
        <v>46058.51388888889</v>
      </c>
      <c r="R915" s="75" t="n">
        <v>46058.55555555555</v>
      </c>
      <c r="S915" s="76" t="n">
        <v>0</v>
      </c>
      <c r="T915" s="76" t="n">
        <v>1</v>
      </c>
      <c r="U915" s="70">
        <f>IF($A915="","",IFERROR(INDEX('Techniciens'!$F$5:$F$44,MATCH(O915,'Techniciens'!$B$5:$B$44,0)),'Paramètres'!$AA$10))</f>
        <v/>
      </c>
      <c r="V915" s="70">
        <f>IF($A915="","",IF(OR(AC915="Demandé",AC915="Planifié",AC915="Annulé"),0,N(T915)*N(U915)))</f>
        <v/>
      </c>
      <c r="W915" s="70">
        <f>IF($A915="","",SUMIFS('Mouvements stock'!$H$5:$H$3004,'Mouvements stock'!$I$5:$I$3004,$A915,'Mouvements stock'!$C$5:$C$3004,"Sortie")-SUMIFS('Mouvements stock'!$H$5:$H$3004,'Mouvements stock'!$I$5:$I$3004,$A915,'Mouvements stock'!$C$5:$C$3004,"Retour"))</f>
        <v/>
      </c>
      <c r="X915" s="66" t="n">
        <v>0</v>
      </c>
      <c r="Y915" s="66" t="n">
        <v>0</v>
      </c>
      <c r="Z915" s="7" t="n"/>
      <c r="AA915" s="70">
        <f>IF($A915="","",N(V915)+N(W915)+N(X915)+N(Y915))</f>
        <v/>
      </c>
      <c r="AB915" s="70">
        <f>IF($A915="","",N(S915)*'Paramètres'!$AA$9*IFERROR(INDEX('Paramètres'!$O$5:$O$7,MATCH(G915,'Paramètres'!$N$5:$N$7,0)),0))</f>
        <v/>
      </c>
      <c r="AC915" s="7" t="inlineStr">
        <is>
          <t>Clôturé</t>
        </is>
      </c>
      <c r="AD915" s="69">
        <f>IF(OR($A915="",Q915=""),"",(Q915-B915)*24)</f>
        <v/>
      </c>
      <c r="AE915" s="69">
        <f>IF(OR(Q915="",R915=""),"",(R915-Q915)*24)</f>
        <v/>
      </c>
      <c r="AF915" s="77">
        <f>IF(OR($A915="",B915=""),"",YEAR(B915))</f>
        <v/>
      </c>
      <c r="AG915" s="77">
        <f>IF(OR($A915="",B915=""),"",MONTH(B915))</f>
        <v/>
      </c>
    </row>
    <row r="916">
      <c r="A916" s="7" t="inlineStr">
        <is>
          <t>OT-2026-0061</t>
        </is>
      </c>
      <c r="B916" s="75" t="n">
        <v>46051.38888888889</v>
      </c>
      <c r="C916" s="7" t="inlineStr">
        <is>
          <t>Plan préventif</t>
        </is>
      </c>
      <c r="D916" s="7" t="inlineStr">
        <is>
          <t>EQ-LOG-008</t>
        </is>
      </c>
      <c r="E916" s="9">
        <f>IF(D916="","",IFERROR(INDEX('Équipements'!$B$5:$B$304,MATCH(D916,'Équipements'!$A$5:$A$304,0)),"Code inconnu"))</f>
        <v/>
      </c>
      <c r="F916" s="9">
        <f>IF(D916="","",IFERROR(INDEX('Équipements'!$D$5:$D$304,MATCH(D916,'Équipements'!$A$5:$A$304,0)),""))</f>
        <v/>
      </c>
      <c r="G916" s="9">
        <f>IF(D916="","",IFERROR(INDEX('Équipements'!$K$5:$K$304,MATCH(D916,'Équipements'!$A$5:$A$304,0)),""))</f>
        <v/>
      </c>
      <c r="H916" s="7" t="inlineStr">
        <is>
          <t>Préventif systématique</t>
        </is>
      </c>
      <c r="I916" s="7" t="inlineStr">
        <is>
          <t>GP-120</t>
        </is>
      </c>
      <c r="J916" s="7" t="inlineStr">
        <is>
          <t>Mécanique</t>
        </is>
      </c>
      <c r="K916" s="7" t="inlineStr">
        <is>
          <t>P3 - Normale</t>
        </is>
      </c>
      <c r="L916" s="7" t="inlineStr">
        <is>
          <t>Graissage et entretien annuel</t>
        </is>
      </c>
      <c r="M916" s="7" t="n"/>
      <c r="N916" s="7" t="inlineStr">
        <is>
          <t>Gamme réalisée - RAS</t>
        </is>
      </c>
      <c r="O916" s="7" t="inlineStr">
        <is>
          <t>Karim Benali</t>
        </is>
      </c>
      <c r="P916" s="65" t="n">
        <v>46058.74305555555</v>
      </c>
      <c r="Q916" s="75" t="n">
        <v>46058.38541666666</v>
      </c>
      <c r="R916" s="75" t="n">
        <v>46058.59375</v>
      </c>
      <c r="S916" s="76" t="n">
        <v>5</v>
      </c>
      <c r="T916" s="76" t="n">
        <v>2</v>
      </c>
      <c r="U916" s="70">
        <f>IF($A916="","",IFERROR(INDEX('Techniciens'!$F$5:$F$44,MATCH(O916,'Techniciens'!$B$5:$B$44,0)),'Paramètres'!$AA$10))</f>
        <v/>
      </c>
      <c r="V916" s="70">
        <f>IF($A916="","",IF(OR(AC916="Demandé",AC916="Planifié",AC916="Annulé"),0,N(T916)*N(U916)))</f>
        <v/>
      </c>
      <c r="W916" s="70">
        <f>IF($A916="","",SUMIFS('Mouvements stock'!$H$5:$H$3004,'Mouvements stock'!$I$5:$I$3004,$A916,'Mouvements stock'!$C$5:$C$3004,"Sortie")-SUMIFS('Mouvements stock'!$H$5:$H$3004,'Mouvements stock'!$I$5:$I$3004,$A916,'Mouvements stock'!$C$5:$C$3004,"Retour"))</f>
        <v/>
      </c>
      <c r="X916" s="66" t="n">
        <v>0</v>
      </c>
      <c r="Y916" s="66" t="n">
        <v>1000</v>
      </c>
      <c r="Z916" s="7" t="inlineStr">
        <is>
          <t>Levage Expertise Ouest</t>
        </is>
      </c>
      <c r="AA916" s="70">
        <f>IF($A916="","",N(V916)+N(W916)+N(X916)+N(Y916))</f>
        <v/>
      </c>
      <c r="AB916" s="70">
        <f>IF($A916="","",N(S916)*'Paramètres'!$AA$9*IFERROR(INDEX('Paramètres'!$O$5:$O$7,MATCH(G916,'Paramètres'!$N$5:$N$7,0)),0))</f>
        <v/>
      </c>
      <c r="AC916" s="7" t="inlineStr">
        <is>
          <t>Clôturé</t>
        </is>
      </c>
      <c r="AD916" s="69">
        <f>IF(OR($A916="",Q916=""),"",(Q916-B916)*24)</f>
        <v/>
      </c>
      <c r="AE916" s="69">
        <f>IF(OR(Q916="",R916=""),"",(R916-Q916)*24)</f>
        <v/>
      </c>
      <c r="AF916" s="77">
        <f>IF(OR($A916="",B916=""),"",YEAR(B916))</f>
        <v/>
      </c>
      <c r="AG916" s="77">
        <f>IF(OR($A916="",B916=""),"",MONTH(B916))</f>
        <v/>
      </c>
    </row>
    <row r="917">
      <c r="A917" s="7" t="inlineStr">
        <is>
          <t>OT-2026-0062</t>
        </is>
      </c>
      <c r="B917" s="75" t="n">
        <v>46051.43055555555</v>
      </c>
      <c r="C917" s="7" t="inlineStr">
        <is>
          <t>Plan préventif</t>
        </is>
      </c>
      <c r="D917" s="7" t="inlineStr">
        <is>
          <t>EQ-BAT-002</t>
        </is>
      </c>
      <c r="E917" s="9">
        <f>IF(D917="","",IFERROR(INDEX('Équipements'!$B$5:$B$304,MATCH(D917,'Équipements'!$A$5:$A$304,0)),"Code inconnu"))</f>
        <v/>
      </c>
      <c r="F917" s="9">
        <f>IF(D917="","",IFERROR(INDEX('Équipements'!$D$5:$D$304,MATCH(D917,'Équipements'!$A$5:$A$304,0)),""))</f>
        <v/>
      </c>
      <c r="G917" s="9">
        <f>IF(D917="","",IFERROR(INDEX('Équipements'!$K$5:$K$304,MATCH(D917,'Équipements'!$A$5:$A$304,0)),""))</f>
        <v/>
      </c>
      <c r="H917" s="7" t="inlineStr">
        <is>
          <t>Préventif systématique</t>
        </is>
      </c>
      <c r="I917" s="7" t="inlineStr">
        <is>
          <t>GP-123</t>
        </is>
      </c>
      <c r="J917" s="7" t="inlineStr">
        <is>
          <t>Bâtiment</t>
        </is>
      </c>
      <c r="K917" s="7" t="inlineStr">
        <is>
          <t>P3 - Normale</t>
        </is>
      </c>
      <c r="L917" s="7" t="inlineStr">
        <is>
          <t>Graissage et contrôle des sécurités</t>
        </is>
      </c>
      <c r="M917" s="7" t="n"/>
      <c r="N917" s="7" t="inlineStr">
        <is>
          <t>Gamme réalisée - RAS</t>
        </is>
      </c>
      <c r="O917" s="7" t="inlineStr">
        <is>
          <t>Lucas Fontaine</t>
        </is>
      </c>
      <c r="P917" s="65" t="n">
        <v>46058.67708333334</v>
      </c>
      <c r="Q917" s="75" t="n">
        <v>46058.59722222222</v>
      </c>
      <c r="R917" s="75" t="n">
        <v>46058.67013888889</v>
      </c>
      <c r="S917" s="76" t="n">
        <v>0</v>
      </c>
      <c r="T917" s="76" t="n">
        <v>1.75</v>
      </c>
      <c r="U917" s="70">
        <f>IF($A917="","",IFERROR(INDEX('Techniciens'!$F$5:$F$44,MATCH(O917,'Techniciens'!$B$5:$B$44,0)),'Paramètres'!$AA$10))</f>
        <v/>
      </c>
      <c r="V917" s="70">
        <f>IF($A917="","",IF(OR(AC917="Demandé",AC917="Planifié",AC917="Annulé"),0,N(T917)*N(U917)))</f>
        <v/>
      </c>
      <c r="W917" s="70">
        <f>IF($A917="","",SUMIFS('Mouvements stock'!$H$5:$H$3004,'Mouvements stock'!$I$5:$I$3004,$A917,'Mouvements stock'!$C$5:$C$3004,"Sortie")-SUMIFS('Mouvements stock'!$H$5:$H$3004,'Mouvements stock'!$I$5:$I$3004,$A917,'Mouvements stock'!$C$5:$C$3004,"Retour"))</f>
        <v/>
      </c>
      <c r="X917" s="66" t="n">
        <v>0</v>
      </c>
      <c r="Y917" s="66" t="n">
        <v>0</v>
      </c>
      <c r="Z917" s="7" t="n"/>
      <c r="AA917" s="70">
        <f>IF($A917="","",N(V917)+N(W917)+N(X917)+N(Y917))</f>
        <v/>
      </c>
      <c r="AB917" s="70">
        <f>IF($A917="","",N(S917)*'Paramètres'!$AA$9*IFERROR(INDEX('Paramètres'!$O$5:$O$7,MATCH(G917,'Paramètres'!$N$5:$N$7,0)),0))</f>
        <v/>
      </c>
      <c r="AC917" s="7" t="inlineStr">
        <is>
          <t>Clôturé</t>
        </is>
      </c>
      <c r="AD917" s="69">
        <f>IF(OR($A917="",Q917=""),"",(Q917-B917)*24)</f>
        <v/>
      </c>
      <c r="AE917" s="69">
        <f>IF(OR(Q917="",R917=""),"",(R917-Q917)*24)</f>
        <v/>
      </c>
      <c r="AF917" s="77">
        <f>IF(OR($A917="",B917=""),"",YEAR(B917))</f>
        <v/>
      </c>
      <c r="AG917" s="77">
        <f>IF(OR($A917="",B917=""),"",MONTH(B917))</f>
        <v/>
      </c>
    </row>
    <row r="918">
      <c r="A918" s="7" t="inlineStr">
        <is>
          <t>OT-2026-0063</t>
        </is>
      </c>
      <c r="B918" s="75" t="n">
        <v>46051.45138888889</v>
      </c>
      <c r="C918" s="7" t="inlineStr">
        <is>
          <t>Plan préventif</t>
        </is>
      </c>
      <c r="D918" s="7" t="inlineStr">
        <is>
          <t>EQ-LOG-002</t>
        </is>
      </c>
      <c r="E918" s="9">
        <f>IF(D918="","",IFERROR(INDEX('Équipements'!$B$5:$B$304,MATCH(D918,'Équipements'!$A$5:$A$304,0)),"Code inconnu"))</f>
        <v/>
      </c>
      <c r="F918" s="9">
        <f>IF(D918="","",IFERROR(INDEX('Équipements'!$D$5:$D$304,MATCH(D918,'Équipements'!$A$5:$A$304,0)),""))</f>
        <v/>
      </c>
      <c r="G918" s="9">
        <f>IF(D918="","",IFERROR(INDEX('Équipements'!$K$5:$K$304,MATCH(D918,'Équipements'!$A$5:$A$304,0)),""))</f>
        <v/>
      </c>
      <c r="H918" s="7" t="inlineStr">
        <is>
          <t>Préventif systématique</t>
        </is>
      </c>
      <c r="I918" s="7" t="inlineStr">
        <is>
          <t>GP-108</t>
        </is>
      </c>
      <c r="J918" s="7" t="inlineStr">
        <is>
          <t>Mécanique</t>
        </is>
      </c>
      <c r="K918" s="7" t="inlineStr">
        <is>
          <t>P3 - Normale</t>
        </is>
      </c>
      <c r="L918" s="7" t="inlineStr">
        <is>
          <t>Contrôle batterie, niveaux et bandages</t>
        </is>
      </c>
      <c r="M918" s="7" t="n"/>
      <c r="N918" s="7" t="inlineStr">
        <is>
          <t>Gamme réalisée - RAS</t>
        </is>
      </c>
      <c r="O918" s="7" t="inlineStr">
        <is>
          <t>Antoine Mercier</t>
        </is>
      </c>
      <c r="P918" s="65" t="n">
        <v>46058.59375</v>
      </c>
      <c r="Q918" s="75" t="n">
        <v>46058.34375</v>
      </c>
      <c r="R918" s="75" t="n">
        <v>46058.375</v>
      </c>
      <c r="S918" s="76" t="n">
        <v>0.4</v>
      </c>
      <c r="T918" s="76" t="n">
        <v>0.75</v>
      </c>
      <c r="U918" s="70">
        <f>IF($A918="","",IFERROR(INDEX('Techniciens'!$F$5:$F$44,MATCH(O918,'Techniciens'!$B$5:$B$44,0)),'Paramètres'!$AA$10))</f>
        <v/>
      </c>
      <c r="V918" s="70">
        <f>IF($A918="","",IF(OR(AC918="Demandé",AC918="Planifié",AC918="Annulé"),0,N(T918)*N(U918)))</f>
        <v/>
      </c>
      <c r="W918" s="70">
        <f>IF($A918="","",SUMIFS('Mouvements stock'!$H$5:$H$3004,'Mouvements stock'!$I$5:$I$3004,$A918,'Mouvements stock'!$C$5:$C$3004,"Sortie")-SUMIFS('Mouvements stock'!$H$5:$H$3004,'Mouvements stock'!$I$5:$I$3004,$A918,'Mouvements stock'!$C$5:$C$3004,"Retour"))</f>
        <v/>
      </c>
      <c r="X918" s="66" t="n">
        <v>0</v>
      </c>
      <c r="Y918" s="66" t="n">
        <v>0</v>
      </c>
      <c r="Z918" s="7" t="n"/>
      <c r="AA918" s="70">
        <f>IF($A918="","",N(V918)+N(W918)+N(X918)+N(Y918))</f>
        <v/>
      </c>
      <c r="AB918" s="70">
        <f>IF($A918="","",N(S918)*'Paramètres'!$AA$9*IFERROR(INDEX('Paramètres'!$O$5:$O$7,MATCH(G918,'Paramètres'!$N$5:$N$7,0)),0))</f>
        <v/>
      </c>
      <c r="AC918" s="7" t="inlineStr">
        <is>
          <t>Clôturé</t>
        </is>
      </c>
      <c r="AD918" s="69">
        <f>IF(OR($A918="",Q918=""),"",(Q918-B918)*24)</f>
        <v/>
      </c>
      <c r="AE918" s="69">
        <f>IF(OR(Q918="",R918=""),"",(R918-Q918)*24)</f>
        <v/>
      </c>
      <c r="AF918" s="77">
        <f>IF(OR($A918="",B918=""),"",YEAR(B918))</f>
        <v/>
      </c>
      <c r="AG918" s="77">
        <f>IF(OR($A918="",B918=""),"",MONTH(B918))</f>
        <v/>
      </c>
    </row>
    <row r="919">
      <c r="A919" s="7" t="inlineStr">
        <is>
          <t>OT-2026-0064</t>
        </is>
      </c>
      <c r="B919" s="75" t="n">
        <v>46051.45833333334</v>
      </c>
      <c r="C919" s="7" t="inlineStr">
        <is>
          <t>Plan préventif</t>
        </is>
      </c>
      <c r="D919" s="7" t="inlineStr">
        <is>
          <t>EQ-BAT-006</t>
        </is>
      </c>
      <c r="E919" s="9">
        <f>IF(D919="","",IFERROR(INDEX('Équipements'!$B$5:$B$304,MATCH(D919,'Équipements'!$A$5:$A$304,0)),"Code inconnu"))</f>
        <v/>
      </c>
      <c r="F919" s="9">
        <f>IF(D919="","",IFERROR(INDEX('Équipements'!$D$5:$D$304,MATCH(D919,'Équipements'!$A$5:$A$304,0)),""))</f>
        <v/>
      </c>
      <c r="G919" s="9">
        <f>IF(D919="","",IFERROR(INDEX('Équipements'!$K$5:$K$304,MATCH(D919,'Équipements'!$A$5:$A$304,0)),""))</f>
        <v/>
      </c>
      <c r="H919" s="7" t="inlineStr">
        <is>
          <t>Préventif systématique</t>
        </is>
      </c>
      <c r="I919" s="7" t="inlineStr">
        <is>
          <t>GP-127</t>
        </is>
      </c>
      <c r="J919" s="7" t="inlineStr">
        <is>
          <t>Électrique</t>
        </is>
      </c>
      <c r="K919" s="7" t="inlineStr">
        <is>
          <t>P3 - Normale</t>
        </is>
      </c>
      <c r="L919" s="7" t="inlineStr">
        <is>
          <t>Essai de fonctionnement / contrôle visuel</t>
        </is>
      </c>
      <c r="M919" s="7" t="n"/>
      <c r="N919" s="7" t="inlineStr">
        <is>
          <t>Gamme réalisée - RAS</t>
        </is>
      </c>
      <c r="O919" s="7" t="inlineStr">
        <is>
          <t>Julien Moreau</t>
        </is>
      </c>
      <c r="P919" s="65" t="n">
        <v>46058.32291666666</v>
      </c>
      <c r="Q919" s="75" t="n">
        <v>46058.5</v>
      </c>
      <c r="R919" s="75" t="n">
        <v>46058.58333333334</v>
      </c>
      <c r="S919" s="76" t="n">
        <v>0</v>
      </c>
      <c r="T919" s="76" t="n">
        <v>2</v>
      </c>
      <c r="U919" s="70">
        <f>IF($A919="","",IFERROR(INDEX('Techniciens'!$F$5:$F$44,MATCH(O919,'Techniciens'!$B$5:$B$44,0)),'Paramètres'!$AA$10))</f>
        <v/>
      </c>
      <c r="V919" s="70">
        <f>IF($A919="","",IF(OR(AC919="Demandé",AC919="Planifié",AC919="Annulé"),0,N(T919)*N(U919)))</f>
        <v/>
      </c>
      <c r="W919" s="70">
        <f>IF($A919="","",SUMIFS('Mouvements stock'!$H$5:$H$3004,'Mouvements stock'!$I$5:$I$3004,$A919,'Mouvements stock'!$C$5:$C$3004,"Sortie")-SUMIFS('Mouvements stock'!$H$5:$H$3004,'Mouvements stock'!$I$5:$I$3004,$A919,'Mouvements stock'!$C$5:$C$3004,"Retour"))</f>
        <v/>
      </c>
      <c r="X919" s="66" t="n">
        <v>0</v>
      </c>
      <c r="Y919" s="66" t="n">
        <v>0</v>
      </c>
      <c r="Z919" s="7" t="n"/>
      <c r="AA919" s="70">
        <f>IF($A919="","",N(V919)+N(W919)+N(X919)+N(Y919))</f>
        <v/>
      </c>
      <c r="AB919" s="70">
        <f>IF($A919="","",N(S919)*'Paramètres'!$AA$9*IFERROR(INDEX('Paramètres'!$O$5:$O$7,MATCH(G919,'Paramètres'!$N$5:$N$7,0)),0))</f>
        <v/>
      </c>
      <c r="AC919" s="7" t="inlineStr">
        <is>
          <t>Clôturé</t>
        </is>
      </c>
      <c r="AD919" s="69">
        <f>IF(OR($A919="",Q919=""),"",(Q919-B919)*24)</f>
        <v/>
      </c>
      <c r="AE919" s="69">
        <f>IF(OR(Q919="",R919=""),"",(R919-Q919)*24)</f>
        <v/>
      </c>
      <c r="AF919" s="77">
        <f>IF(OR($A919="",B919=""),"",YEAR(B919))</f>
        <v/>
      </c>
      <c r="AG919" s="77">
        <f>IF(OR($A919="",B919=""),"",MONTH(B919))</f>
        <v/>
      </c>
    </row>
    <row r="920">
      <c r="A920" s="7" t="inlineStr">
        <is>
          <t>OT-2026-0065</t>
        </is>
      </c>
      <c r="B920" s="75" t="n">
        <v>46055.25138888889</v>
      </c>
      <c r="C920" s="7" t="inlineStr">
        <is>
          <t>Ronde maintenance</t>
        </is>
      </c>
      <c r="D920" s="7" t="inlineStr">
        <is>
          <t>EQ-UTI-003</t>
        </is>
      </c>
      <c r="E920" s="9">
        <f>IF(D920="","",IFERROR(INDEX('Équipements'!$B$5:$B$304,MATCH(D920,'Équipements'!$A$5:$A$304,0)),"Code inconnu"))</f>
        <v/>
      </c>
      <c r="F920" s="9">
        <f>IF(D920="","",IFERROR(INDEX('Équipements'!$D$5:$D$304,MATCH(D920,'Équipements'!$A$5:$A$304,0)),""))</f>
        <v/>
      </c>
      <c r="G920" s="9">
        <f>IF(D920="","",IFERROR(INDEX('Équipements'!$K$5:$K$304,MATCH(D920,'Équipements'!$A$5:$A$304,0)),""))</f>
        <v/>
      </c>
      <c r="H920" s="7" t="inlineStr">
        <is>
          <t>Correctif</t>
        </is>
      </c>
      <c r="I920" s="7" t="n"/>
      <c r="J920" s="7" t="inlineStr">
        <is>
          <t>Pneumatique</t>
        </is>
      </c>
      <c r="K920" s="7" t="inlineStr">
        <is>
          <t>P2 - Haute</t>
        </is>
      </c>
      <c r="L920" s="7" t="inlineStr">
        <is>
          <t>Fuite d'air importante sur réseau</t>
        </is>
      </c>
      <c r="M920" s="7" t="inlineStr">
        <is>
          <t>Fuite</t>
        </is>
      </c>
      <c r="N920" s="7" t="inlineStr">
        <is>
          <t>Recherche de fuites aux ultrasons, remplacement raccords</t>
        </is>
      </c>
      <c r="O920" s="7" t="inlineStr">
        <is>
          <t>Lucas Fontaine</t>
        </is>
      </c>
      <c r="P920" s="65" t="n"/>
      <c r="Q920" s="75" t="n">
        <v>46055.39791666667</v>
      </c>
      <c r="R920" s="75" t="n">
        <v>46055.58541666667</v>
      </c>
      <c r="S920" s="76" t="n">
        <v>0</v>
      </c>
      <c r="T920" s="76" t="n">
        <v>4.5</v>
      </c>
      <c r="U920" s="70">
        <f>IF($A920="","",IFERROR(INDEX('Techniciens'!$F$5:$F$44,MATCH(O920,'Techniciens'!$B$5:$B$44,0)),'Paramètres'!$AA$10))</f>
        <v/>
      </c>
      <c r="V920" s="70">
        <f>IF($A920="","",IF(OR(AC920="Demandé",AC920="Planifié",AC920="Annulé"),0,N(T920)*N(U920)))</f>
        <v/>
      </c>
      <c r="W920" s="70">
        <f>IF($A920="","",SUMIFS('Mouvements stock'!$H$5:$H$3004,'Mouvements stock'!$I$5:$I$3004,$A920,'Mouvements stock'!$C$5:$C$3004,"Sortie")-SUMIFS('Mouvements stock'!$H$5:$H$3004,'Mouvements stock'!$I$5:$I$3004,$A920,'Mouvements stock'!$C$5:$C$3004,"Retour"))</f>
        <v/>
      </c>
      <c r="X920" s="66" t="n">
        <v>0</v>
      </c>
      <c r="Y920" s="66" t="n">
        <v>0</v>
      </c>
      <c r="Z920" s="7" t="n"/>
      <c r="AA920" s="70">
        <f>IF($A920="","",N(V920)+N(W920)+N(X920)+N(Y920))</f>
        <v/>
      </c>
      <c r="AB920" s="70">
        <f>IF($A920="","",N(S920)*'Paramètres'!$AA$9*IFERROR(INDEX('Paramètres'!$O$5:$O$7,MATCH(G920,'Paramètres'!$N$5:$N$7,0)),0))</f>
        <v/>
      </c>
      <c r="AC920" s="7" t="inlineStr">
        <is>
          <t>Clôturé</t>
        </is>
      </c>
      <c r="AD920" s="69">
        <f>IF(OR($A920="",Q920=""),"",(Q920-B920)*24)</f>
        <v/>
      </c>
      <c r="AE920" s="69">
        <f>IF(OR(Q920="",R920=""),"",(R920-Q920)*24)</f>
        <v/>
      </c>
      <c r="AF920" s="77">
        <f>IF(OR($A920="",B920=""),"",YEAR(B920))</f>
        <v/>
      </c>
      <c r="AG920" s="77">
        <f>IF(OR($A920="",B920=""),"",MONTH(B920))</f>
        <v/>
      </c>
    </row>
    <row r="921">
      <c r="A921" s="7" t="inlineStr">
        <is>
          <t>OT-2026-0066</t>
        </is>
      </c>
      <c r="B921" s="75" t="n">
        <v>46055.34305555555</v>
      </c>
      <c r="C921" s="7" t="inlineStr">
        <is>
          <t>Opérateur usinage</t>
        </is>
      </c>
      <c r="D921" s="7" t="inlineStr">
        <is>
          <t>EQ-USI-002</t>
        </is>
      </c>
      <c r="E921" s="9">
        <f>IF(D921="","",IFERROR(INDEX('Équipements'!$B$5:$B$304,MATCH(D921,'Équipements'!$A$5:$A$304,0)),"Code inconnu"))</f>
        <v/>
      </c>
      <c r="F921" s="9">
        <f>IF(D921="","",IFERROR(INDEX('Équipements'!$D$5:$D$304,MATCH(D921,'Équipements'!$A$5:$A$304,0)),""))</f>
        <v/>
      </c>
      <c r="G921" s="9">
        <f>IF(D921="","",IFERROR(INDEX('Équipements'!$K$5:$K$304,MATCH(D921,'Équipements'!$A$5:$A$304,0)),""))</f>
        <v/>
      </c>
      <c r="H921" s="7" t="inlineStr">
        <is>
          <t>Correctif</t>
        </is>
      </c>
      <c r="I921" s="7" t="n"/>
      <c r="J921" s="7" t="inlineStr">
        <is>
          <t>Électrique</t>
        </is>
      </c>
      <c r="K921" s="7" t="inlineStr">
        <is>
          <t>P2 - Haute</t>
        </is>
      </c>
      <c r="L921" s="7" t="inlineStr">
        <is>
          <t>Alarme codeur axe X</t>
        </is>
      </c>
      <c r="M921" s="7" t="inlineStr">
        <is>
          <t>Défaut capteur</t>
        </is>
      </c>
      <c r="N921" s="7" t="inlineStr">
        <is>
          <t>Contrôle câblage, remplacement codeur</t>
        </is>
      </c>
      <c r="O921" s="7" t="inlineStr">
        <is>
          <t>Julien Moreau</t>
        </is>
      </c>
      <c r="P921" s="65" t="n"/>
      <c r="Q921" s="75" t="n">
        <v>46055.49583333333</v>
      </c>
      <c r="R921" s="75" t="n">
        <v>46057.808432791</v>
      </c>
      <c r="S921" s="76" t="n">
        <v>0</v>
      </c>
      <c r="T921" s="76" t="n">
        <v>7.5</v>
      </c>
      <c r="U921" s="70">
        <f>IF($A921="","",IFERROR(INDEX('Techniciens'!$F$5:$F$44,MATCH(O921,'Techniciens'!$B$5:$B$44,0)),'Paramètres'!$AA$10))</f>
        <v/>
      </c>
      <c r="V921" s="70">
        <f>IF($A921="","",IF(OR(AC921="Demandé",AC921="Planifié",AC921="Annulé"),0,N(T921)*N(U921)))</f>
        <v/>
      </c>
      <c r="W921" s="70">
        <f>IF($A921="","",SUMIFS('Mouvements stock'!$H$5:$H$3004,'Mouvements stock'!$I$5:$I$3004,$A921,'Mouvements stock'!$C$5:$C$3004,"Sortie")-SUMIFS('Mouvements stock'!$H$5:$H$3004,'Mouvements stock'!$I$5:$I$3004,$A921,'Mouvements stock'!$C$5:$C$3004,"Retour"))</f>
        <v/>
      </c>
      <c r="X921" s="66" t="n">
        <v>396</v>
      </c>
      <c r="Y921" s="66" t="n">
        <v>0</v>
      </c>
      <c r="Z921" s="7" t="n"/>
      <c r="AA921" s="70">
        <f>IF($A921="","",N(V921)+N(W921)+N(X921)+N(Y921))</f>
        <v/>
      </c>
      <c r="AB921" s="70">
        <f>IF($A921="","",N(S921)*'Paramètres'!$AA$9*IFERROR(INDEX('Paramètres'!$O$5:$O$7,MATCH(G921,'Paramètres'!$N$5:$N$7,0)),0))</f>
        <v/>
      </c>
      <c r="AC921" s="7" t="inlineStr">
        <is>
          <t>Clôturé</t>
        </is>
      </c>
      <c r="AD921" s="69">
        <f>IF(OR($A921="",Q921=""),"",(Q921-B921)*24)</f>
        <v/>
      </c>
      <c r="AE921" s="69">
        <f>IF(OR(Q921="",R921=""),"",(R921-Q921)*24)</f>
        <v/>
      </c>
      <c r="AF921" s="77">
        <f>IF(OR($A921="",B921=""),"",YEAR(B921))</f>
        <v/>
      </c>
      <c r="AG921" s="77">
        <f>IF(OR($A921="",B921=""),"",MONTH(B921))</f>
        <v/>
      </c>
    </row>
    <row r="922">
      <c r="A922" s="7" t="inlineStr">
        <is>
          <t>OT-2026-0067</t>
        </is>
      </c>
      <c r="B922" s="75" t="n">
        <v>46055.43055555555</v>
      </c>
      <c r="C922" s="7" t="inlineStr">
        <is>
          <t>Plan préventif</t>
        </is>
      </c>
      <c r="D922" s="7" t="inlineStr">
        <is>
          <t>EQ-PEI-005</t>
        </is>
      </c>
      <c r="E922" s="9">
        <f>IF(D922="","",IFERROR(INDEX('Équipements'!$B$5:$B$304,MATCH(D922,'Équipements'!$A$5:$A$304,0)),"Code inconnu"))</f>
        <v/>
      </c>
      <c r="F922" s="9">
        <f>IF(D922="","",IFERROR(INDEX('Équipements'!$D$5:$D$304,MATCH(D922,'Équipements'!$A$5:$A$304,0)),""))</f>
        <v/>
      </c>
      <c r="G922" s="9">
        <f>IF(D922="","",IFERROR(INDEX('Équipements'!$K$5:$K$304,MATCH(D922,'Équipements'!$A$5:$A$304,0)),""))</f>
        <v/>
      </c>
      <c r="H922" s="7" t="inlineStr">
        <is>
          <t>Préventif systématique</t>
        </is>
      </c>
      <c r="I922" s="7" t="inlineStr">
        <is>
          <t>GP-074</t>
        </is>
      </c>
      <c r="J922" s="7" t="inlineStr">
        <is>
          <t>Mécanique</t>
        </is>
      </c>
      <c r="K922" s="7" t="inlineStr">
        <is>
          <t>P3 - Normale</t>
        </is>
      </c>
      <c r="L922" s="7" t="inlineStr">
        <is>
          <t>Nettoyage et remplacement des filtres</t>
        </is>
      </c>
      <c r="M922" s="7" t="n"/>
      <c r="N922" s="7" t="inlineStr">
        <is>
          <t>Gamme réalisée - RAS</t>
        </is>
      </c>
      <c r="O922" s="7" t="inlineStr">
        <is>
          <t>Lucas Fontaine</t>
        </is>
      </c>
      <c r="P922" s="65" t="n">
        <v>46062.74652777778</v>
      </c>
      <c r="Q922" s="75" t="n">
        <v>46062.30555555555</v>
      </c>
      <c r="R922" s="75" t="n">
        <v>46062.46180555555</v>
      </c>
      <c r="S922" s="76" t="n">
        <v>3.8</v>
      </c>
      <c r="T922" s="76" t="n">
        <v>3.75</v>
      </c>
      <c r="U922" s="70">
        <f>IF($A922="","",IFERROR(INDEX('Techniciens'!$F$5:$F$44,MATCH(O922,'Techniciens'!$B$5:$B$44,0)),'Paramètres'!$AA$10))</f>
        <v/>
      </c>
      <c r="V922" s="70">
        <f>IF($A922="","",IF(OR(AC922="Demandé",AC922="Planifié",AC922="Annulé"),0,N(T922)*N(U922)))</f>
        <v/>
      </c>
      <c r="W922" s="70">
        <f>IF($A922="","",SUMIFS('Mouvements stock'!$H$5:$H$3004,'Mouvements stock'!$I$5:$I$3004,$A922,'Mouvements stock'!$C$5:$C$3004,"Sortie")-SUMIFS('Mouvements stock'!$H$5:$H$3004,'Mouvements stock'!$I$5:$I$3004,$A922,'Mouvements stock'!$C$5:$C$3004,"Retour"))</f>
        <v/>
      </c>
      <c r="X922" s="66" t="n">
        <v>0</v>
      </c>
      <c r="Y922" s="66" t="n">
        <v>0</v>
      </c>
      <c r="Z922" s="7" t="n"/>
      <c r="AA922" s="70">
        <f>IF($A922="","",N(V922)+N(W922)+N(X922)+N(Y922))</f>
        <v/>
      </c>
      <c r="AB922" s="70">
        <f>IF($A922="","",N(S922)*'Paramètres'!$AA$9*IFERROR(INDEX('Paramètres'!$O$5:$O$7,MATCH(G922,'Paramètres'!$N$5:$N$7,0)),0))</f>
        <v/>
      </c>
      <c r="AC922" s="7" t="inlineStr">
        <is>
          <t>Clôturé</t>
        </is>
      </c>
      <c r="AD922" s="69">
        <f>IF(OR($A922="",Q922=""),"",(Q922-B922)*24)</f>
        <v/>
      </c>
      <c r="AE922" s="69">
        <f>IF(OR(Q922="",R922=""),"",(R922-Q922)*24)</f>
        <v/>
      </c>
      <c r="AF922" s="77">
        <f>IF(OR($A922="",B922=""),"",YEAR(B922))</f>
        <v/>
      </c>
      <c r="AG922" s="77">
        <f>IF(OR($A922="",B922=""),"",MONTH(B922))</f>
        <v/>
      </c>
    </row>
    <row r="923">
      <c r="A923" s="7" t="inlineStr">
        <is>
          <t>OT-2026-0068</t>
        </is>
      </c>
      <c r="B923" s="75" t="n">
        <v>46055.46875</v>
      </c>
      <c r="C923" s="7" t="inlineStr">
        <is>
          <t>Plan préventif</t>
        </is>
      </c>
      <c r="D923" s="7" t="inlineStr">
        <is>
          <t>EQ-BAT-001</t>
        </is>
      </c>
      <c r="E923" s="9">
        <f>IF(D923="","",IFERROR(INDEX('Équipements'!$B$5:$B$304,MATCH(D923,'Équipements'!$A$5:$A$304,0)),"Code inconnu"))</f>
        <v/>
      </c>
      <c r="F923" s="9">
        <f>IF(D923="","",IFERROR(INDEX('Équipements'!$D$5:$D$304,MATCH(D923,'Équipements'!$A$5:$A$304,0)),""))</f>
        <v/>
      </c>
      <c r="G923" s="9">
        <f>IF(D923="","",IFERROR(INDEX('Équipements'!$K$5:$K$304,MATCH(D923,'Équipements'!$A$5:$A$304,0)),""))</f>
        <v/>
      </c>
      <c r="H923" s="7" t="inlineStr">
        <is>
          <t>Préventif systématique</t>
        </is>
      </c>
      <c r="I923" s="7" t="inlineStr">
        <is>
          <t>GP-122</t>
        </is>
      </c>
      <c r="J923" s="7" t="inlineStr">
        <is>
          <t>Bâtiment</t>
        </is>
      </c>
      <c r="K923" s="7" t="inlineStr">
        <is>
          <t>P3 - Normale</t>
        </is>
      </c>
      <c r="L923" s="7" t="inlineStr">
        <is>
          <t>Graissage et contrôle des sécurités</t>
        </is>
      </c>
      <c r="M923" s="7" t="n"/>
      <c r="N923" s="7" t="inlineStr">
        <is>
          <t>Gamme réalisée - RAS</t>
        </is>
      </c>
      <c r="O923" s="7" t="inlineStr">
        <is>
          <t>Karim Benali</t>
        </is>
      </c>
      <c r="P923" s="65" t="n">
        <v>46062.45138888889</v>
      </c>
      <c r="Q923" s="75" t="n">
        <v>46062.60416666666</v>
      </c>
      <c r="R923" s="75" t="n">
        <v>46062.66666666666</v>
      </c>
      <c r="S923" s="76" t="n">
        <v>0</v>
      </c>
      <c r="T923" s="76" t="n">
        <v>1.5</v>
      </c>
      <c r="U923" s="70">
        <f>IF($A923="","",IFERROR(INDEX('Techniciens'!$F$5:$F$44,MATCH(O923,'Techniciens'!$B$5:$B$44,0)),'Paramètres'!$AA$10))</f>
        <v/>
      </c>
      <c r="V923" s="70">
        <f>IF($A923="","",IF(OR(AC923="Demandé",AC923="Planifié",AC923="Annulé"),0,N(T923)*N(U923)))</f>
        <v/>
      </c>
      <c r="W923" s="70">
        <f>IF($A923="","",SUMIFS('Mouvements stock'!$H$5:$H$3004,'Mouvements stock'!$I$5:$I$3004,$A923,'Mouvements stock'!$C$5:$C$3004,"Sortie")-SUMIFS('Mouvements stock'!$H$5:$H$3004,'Mouvements stock'!$I$5:$I$3004,$A923,'Mouvements stock'!$C$5:$C$3004,"Retour"))</f>
        <v/>
      </c>
      <c r="X923" s="66" t="n">
        <v>0</v>
      </c>
      <c r="Y923" s="66" t="n">
        <v>0</v>
      </c>
      <c r="Z923" s="7" t="n"/>
      <c r="AA923" s="70">
        <f>IF($A923="","",N(V923)+N(W923)+N(X923)+N(Y923))</f>
        <v/>
      </c>
      <c r="AB923" s="70">
        <f>IF($A923="","",N(S923)*'Paramètres'!$AA$9*IFERROR(INDEX('Paramètres'!$O$5:$O$7,MATCH(G923,'Paramètres'!$N$5:$N$7,0)),0))</f>
        <v/>
      </c>
      <c r="AC923" s="7" t="inlineStr">
        <is>
          <t>Clôturé</t>
        </is>
      </c>
      <c r="AD923" s="69">
        <f>IF(OR($A923="",Q923=""),"",(Q923-B923)*24)</f>
        <v/>
      </c>
      <c r="AE923" s="69">
        <f>IF(OR(Q923="",R923=""),"",(R923-Q923)*24)</f>
        <v/>
      </c>
      <c r="AF923" s="77">
        <f>IF(OR($A923="",B923=""),"",YEAR(B923))</f>
        <v/>
      </c>
      <c r="AG923" s="77">
        <f>IF(OR($A923="",B923=""),"",MONTH(B923))</f>
        <v/>
      </c>
    </row>
    <row r="924">
      <c r="A924" s="7" t="inlineStr">
        <is>
          <t>OT-2026-0069</t>
        </is>
      </c>
      <c r="B924" s="75" t="n">
        <v>46055.48611111111</v>
      </c>
      <c r="C924" s="7" t="inlineStr">
        <is>
          <t>Plan préventif</t>
        </is>
      </c>
      <c r="D924" s="7" t="inlineStr">
        <is>
          <t>EQ-ASS-006</t>
        </is>
      </c>
      <c r="E924" s="9">
        <f>IF(D924="","",IFERROR(INDEX('Équipements'!$B$5:$B$304,MATCH(D924,'Équipements'!$A$5:$A$304,0)),"Code inconnu"))</f>
        <v/>
      </c>
      <c r="F924" s="9">
        <f>IF(D924="","",IFERROR(INDEX('Équipements'!$D$5:$D$304,MATCH(D924,'Équipements'!$A$5:$A$304,0)),""))</f>
        <v/>
      </c>
      <c r="G924" s="9">
        <f>IF(D924="","",IFERROR(INDEX('Équipements'!$K$5:$K$304,MATCH(D924,'Équipements'!$A$5:$A$304,0)),""))</f>
        <v/>
      </c>
      <c r="H924" s="7" t="inlineStr">
        <is>
          <t>Préventif systématique</t>
        </is>
      </c>
      <c r="I924" s="7" t="inlineStr">
        <is>
          <t>GP-085</t>
        </is>
      </c>
      <c r="J924" s="7" t="inlineStr">
        <is>
          <t>Mécanique</t>
        </is>
      </c>
      <c r="K924" s="7" t="inlineStr">
        <is>
          <t>P3 - Normale</t>
        </is>
      </c>
      <c r="L924" s="7" t="inlineStr">
        <is>
          <t>Graissage chaîne / galets et contrôle tension</t>
        </is>
      </c>
      <c r="M924" s="7" t="n"/>
      <c r="N924" s="7" t="inlineStr">
        <is>
          <t>Gamme réalisée - RAS</t>
        </is>
      </c>
      <c r="O924" s="7" t="inlineStr">
        <is>
          <t>Lucas Fontaine</t>
        </is>
      </c>
      <c r="P924" s="65" t="n">
        <v>46062.50694444445</v>
      </c>
      <c r="Q924" s="75" t="n">
        <v>46062.42708333334</v>
      </c>
      <c r="R924" s="75" t="n">
        <v>46062.52083333334</v>
      </c>
      <c r="S924" s="76" t="n">
        <v>1.1</v>
      </c>
      <c r="T924" s="76" t="n">
        <v>2.25</v>
      </c>
      <c r="U924" s="70">
        <f>IF($A924="","",IFERROR(INDEX('Techniciens'!$F$5:$F$44,MATCH(O924,'Techniciens'!$B$5:$B$44,0)),'Paramètres'!$AA$10))</f>
        <v/>
      </c>
      <c r="V924" s="70">
        <f>IF($A924="","",IF(OR(AC924="Demandé",AC924="Planifié",AC924="Annulé"),0,N(T924)*N(U924)))</f>
        <v/>
      </c>
      <c r="W924" s="70">
        <f>IF($A924="","",SUMIFS('Mouvements stock'!$H$5:$H$3004,'Mouvements stock'!$I$5:$I$3004,$A924,'Mouvements stock'!$C$5:$C$3004,"Sortie")-SUMIFS('Mouvements stock'!$H$5:$H$3004,'Mouvements stock'!$I$5:$I$3004,$A924,'Mouvements stock'!$C$5:$C$3004,"Retour"))</f>
        <v/>
      </c>
      <c r="X924" s="66" t="n">
        <v>0</v>
      </c>
      <c r="Y924" s="66" t="n">
        <v>0</v>
      </c>
      <c r="Z924" s="7" t="n"/>
      <c r="AA924" s="70">
        <f>IF($A924="","",N(V924)+N(W924)+N(X924)+N(Y924))</f>
        <v/>
      </c>
      <c r="AB924" s="70">
        <f>IF($A924="","",N(S924)*'Paramètres'!$AA$9*IFERROR(INDEX('Paramètres'!$O$5:$O$7,MATCH(G924,'Paramètres'!$N$5:$N$7,0)),0))</f>
        <v/>
      </c>
      <c r="AC924" s="7" t="inlineStr">
        <is>
          <t>Clôturé</t>
        </is>
      </c>
      <c r="AD924" s="69">
        <f>IF(OR($A924="",Q924=""),"",(Q924-B924)*24)</f>
        <v/>
      </c>
      <c r="AE924" s="69">
        <f>IF(OR(Q924="",R924=""),"",(R924-Q924)*24)</f>
        <v/>
      </c>
      <c r="AF924" s="77">
        <f>IF(OR($A924="",B924=""),"",YEAR(B924))</f>
        <v/>
      </c>
      <c r="AG924" s="77">
        <f>IF(OR($A924="",B924=""),"",MONTH(B924))</f>
        <v/>
      </c>
    </row>
    <row r="925">
      <c r="A925" s="7" t="inlineStr">
        <is>
          <t>OT-2026-0070</t>
        </is>
      </c>
      <c r="B925" s="75" t="n">
        <v>46055.48958333334</v>
      </c>
      <c r="C925" s="7" t="inlineStr">
        <is>
          <t>Plan préventif</t>
        </is>
      </c>
      <c r="D925" s="7" t="inlineStr">
        <is>
          <t>EQ-LOG-003</t>
        </is>
      </c>
      <c r="E925" s="9">
        <f>IF(D925="","",IFERROR(INDEX('Équipements'!$B$5:$B$304,MATCH(D925,'Équipements'!$A$5:$A$304,0)),"Code inconnu"))</f>
        <v/>
      </c>
      <c r="F925" s="9">
        <f>IF(D925="","",IFERROR(INDEX('Équipements'!$D$5:$D$304,MATCH(D925,'Équipements'!$A$5:$A$304,0)),""))</f>
        <v/>
      </c>
      <c r="G925" s="9">
        <f>IF(D925="","",IFERROR(INDEX('Équipements'!$K$5:$K$304,MATCH(D925,'Équipements'!$A$5:$A$304,0)),""))</f>
        <v/>
      </c>
      <c r="H925" s="7" t="inlineStr">
        <is>
          <t>Préventif systématique</t>
        </is>
      </c>
      <c r="I925" s="7" t="inlineStr">
        <is>
          <t>GP-110</t>
        </is>
      </c>
      <c r="J925" s="7" t="inlineStr">
        <is>
          <t>Mécanique</t>
        </is>
      </c>
      <c r="K925" s="7" t="inlineStr">
        <is>
          <t>P3 - Normale</t>
        </is>
      </c>
      <c r="L925" s="7" t="inlineStr">
        <is>
          <t>Contrôle batterie, niveaux et bandages</t>
        </is>
      </c>
      <c r="M925" s="7" t="n"/>
      <c r="N925" s="7" t="inlineStr">
        <is>
          <t>Gamme réalisée - RAS</t>
        </is>
      </c>
      <c r="O925" s="7" t="inlineStr">
        <is>
          <t>Lucas Fontaine</t>
        </is>
      </c>
      <c r="P925" s="65" t="n">
        <v>46062.46527777778</v>
      </c>
      <c r="Q925" s="75" t="n">
        <v>46062.38194444445</v>
      </c>
      <c r="R925" s="75" t="n">
        <v>46062.42361111111</v>
      </c>
      <c r="S925" s="76" t="n">
        <v>0</v>
      </c>
      <c r="T925" s="76" t="n">
        <v>1</v>
      </c>
      <c r="U925" s="70">
        <f>IF($A925="","",IFERROR(INDEX('Techniciens'!$F$5:$F$44,MATCH(O925,'Techniciens'!$B$5:$B$44,0)),'Paramètres'!$AA$10))</f>
        <v/>
      </c>
      <c r="V925" s="70">
        <f>IF($A925="","",IF(OR(AC925="Demandé",AC925="Planifié",AC925="Annulé"),0,N(T925)*N(U925)))</f>
        <v/>
      </c>
      <c r="W925" s="70">
        <f>IF($A925="","",SUMIFS('Mouvements stock'!$H$5:$H$3004,'Mouvements stock'!$I$5:$I$3004,$A925,'Mouvements stock'!$C$5:$C$3004,"Sortie")-SUMIFS('Mouvements stock'!$H$5:$H$3004,'Mouvements stock'!$I$5:$I$3004,$A925,'Mouvements stock'!$C$5:$C$3004,"Retour"))</f>
        <v/>
      </c>
      <c r="X925" s="66" t="n">
        <v>0</v>
      </c>
      <c r="Y925" s="66" t="n">
        <v>0</v>
      </c>
      <c r="Z925" s="7" t="n"/>
      <c r="AA925" s="70">
        <f>IF($A925="","",N(V925)+N(W925)+N(X925)+N(Y925))</f>
        <v/>
      </c>
      <c r="AB925" s="70">
        <f>IF($A925="","",N(S925)*'Paramètres'!$AA$9*IFERROR(INDEX('Paramètres'!$O$5:$O$7,MATCH(G925,'Paramètres'!$N$5:$N$7,0)),0))</f>
        <v/>
      </c>
      <c r="AC925" s="7" t="inlineStr">
        <is>
          <t>Clôturé</t>
        </is>
      </c>
      <c r="AD925" s="69">
        <f>IF(OR($A925="",Q925=""),"",(Q925-B925)*24)</f>
        <v/>
      </c>
      <c r="AE925" s="69">
        <f>IF(OR(Q925="",R925=""),"",(R925-Q925)*24)</f>
        <v/>
      </c>
      <c r="AF925" s="77">
        <f>IF(OR($A925="",B925=""),"",YEAR(B925))</f>
        <v/>
      </c>
      <c r="AG925" s="77">
        <f>IF(OR($A925="",B925=""),"",MONTH(B925))</f>
        <v/>
      </c>
    </row>
    <row r="926">
      <c r="A926" s="7" t="inlineStr">
        <is>
          <t>OT-2026-0071</t>
        </is>
      </c>
      <c r="B926" s="75" t="n">
        <v>46056.48958333334</v>
      </c>
      <c r="C926" s="7" t="inlineStr">
        <is>
          <t>Plan préventif</t>
        </is>
      </c>
      <c r="D926" s="7" t="inlineStr">
        <is>
          <t>EQ-SOU-001</t>
        </is>
      </c>
      <c r="E926" s="9">
        <f>IF(D926="","",IFERROR(INDEX('Équipements'!$B$5:$B$304,MATCH(D926,'Équipements'!$A$5:$A$304,0)),"Code inconnu"))</f>
        <v/>
      </c>
      <c r="F926" s="9">
        <f>IF(D926="","",IFERROR(INDEX('Équipements'!$D$5:$D$304,MATCH(D926,'Équipements'!$A$5:$A$304,0)),""))</f>
        <v/>
      </c>
      <c r="G926" s="9">
        <f>IF(D926="","",IFERROR(INDEX('Équipements'!$K$5:$K$304,MATCH(D926,'Équipements'!$A$5:$A$304,0)),""))</f>
        <v/>
      </c>
      <c r="H926" s="7" t="inlineStr">
        <is>
          <t>Préventif systématique</t>
        </is>
      </c>
      <c r="I926" s="7" t="inlineStr">
        <is>
          <t>GP-058</t>
        </is>
      </c>
      <c r="J926" s="7" t="inlineStr">
        <is>
          <t>Mécanique</t>
        </is>
      </c>
      <c r="K926" s="7" t="inlineStr">
        <is>
          <t>P3 - Normale</t>
        </is>
      </c>
      <c r="L926" s="7" t="inlineStr">
        <is>
          <t>Nettoyage torche et contrôle faisceau</t>
        </is>
      </c>
      <c r="M926" s="7" t="n"/>
      <c r="N926" s="7" t="inlineStr">
        <is>
          <t>Gamme réalisée - RAS</t>
        </is>
      </c>
      <c r="O926" s="7" t="inlineStr">
        <is>
          <t>Lucas Fontaine</t>
        </is>
      </c>
      <c r="P926" s="65" t="n">
        <v>46063.55902777778</v>
      </c>
      <c r="Q926" s="75" t="n">
        <v>46063.52083333334</v>
      </c>
      <c r="R926" s="75" t="n">
        <v>46063.55208333334</v>
      </c>
      <c r="S926" s="76" t="n">
        <v>0.8</v>
      </c>
      <c r="T926" s="76" t="n">
        <v>0.75</v>
      </c>
      <c r="U926" s="70">
        <f>IF($A926="","",IFERROR(INDEX('Techniciens'!$F$5:$F$44,MATCH(O926,'Techniciens'!$B$5:$B$44,0)),'Paramètres'!$AA$10))</f>
        <v/>
      </c>
      <c r="V926" s="70">
        <f>IF($A926="","",IF(OR(AC926="Demandé",AC926="Planifié",AC926="Annulé"),0,N(T926)*N(U926)))</f>
        <v/>
      </c>
      <c r="W926" s="70">
        <f>IF($A926="","",SUMIFS('Mouvements stock'!$H$5:$H$3004,'Mouvements stock'!$I$5:$I$3004,$A926,'Mouvements stock'!$C$5:$C$3004,"Sortie")-SUMIFS('Mouvements stock'!$H$5:$H$3004,'Mouvements stock'!$I$5:$I$3004,$A926,'Mouvements stock'!$C$5:$C$3004,"Retour"))</f>
        <v/>
      </c>
      <c r="X926" s="66" t="n">
        <v>0</v>
      </c>
      <c r="Y926" s="66" t="n">
        <v>0</v>
      </c>
      <c r="Z926" s="7" t="n"/>
      <c r="AA926" s="70">
        <f>IF($A926="","",N(V926)+N(W926)+N(X926)+N(Y926))</f>
        <v/>
      </c>
      <c r="AB926" s="70">
        <f>IF($A926="","",N(S926)*'Paramètres'!$AA$9*IFERROR(INDEX('Paramètres'!$O$5:$O$7,MATCH(G926,'Paramètres'!$N$5:$N$7,0)),0))</f>
        <v/>
      </c>
      <c r="AC926" s="7" t="inlineStr">
        <is>
          <t>Clôturé</t>
        </is>
      </c>
      <c r="AD926" s="69">
        <f>IF(OR($A926="",Q926=""),"",(Q926-B926)*24)</f>
        <v/>
      </c>
      <c r="AE926" s="69">
        <f>IF(OR(Q926="",R926=""),"",(R926-Q926)*24)</f>
        <v/>
      </c>
      <c r="AF926" s="77">
        <f>IF(OR($A926="",B926=""),"",YEAR(B926))</f>
        <v/>
      </c>
      <c r="AG926" s="77">
        <f>IF(OR($A926="",B926=""),"",MONTH(B926))</f>
        <v/>
      </c>
    </row>
    <row r="927">
      <c r="A927" s="7" t="inlineStr">
        <is>
          <t>OT-2026-0072</t>
        </is>
      </c>
      <c r="B927" s="75" t="n">
        <v>46056.49305555555</v>
      </c>
      <c r="C927" s="7" t="inlineStr">
        <is>
          <t>Plan préventif</t>
        </is>
      </c>
      <c r="D927" s="7" t="inlineStr">
        <is>
          <t>EQ-PEI-002</t>
        </is>
      </c>
      <c r="E927" s="9">
        <f>IF(D927="","",IFERROR(INDEX('Équipements'!$B$5:$B$304,MATCH(D927,'Équipements'!$A$5:$A$304,0)),"Code inconnu"))</f>
        <v/>
      </c>
      <c r="F927" s="9">
        <f>IF(D927="","",IFERROR(INDEX('Équipements'!$D$5:$D$304,MATCH(D927,'Équipements'!$A$5:$A$304,0)),""))</f>
        <v/>
      </c>
      <c r="G927" s="9">
        <f>IF(D927="","",IFERROR(INDEX('Équipements'!$K$5:$K$304,MATCH(D927,'Équipements'!$A$5:$A$304,0)),""))</f>
        <v/>
      </c>
      <c r="H927" s="7" t="inlineStr">
        <is>
          <t>Préventif systématique</t>
        </is>
      </c>
      <c r="I927" s="7" t="inlineStr">
        <is>
          <t>GP-068</t>
        </is>
      </c>
      <c r="J927" s="7" t="inlineStr">
        <is>
          <t>Mécanique</t>
        </is>
      </c>
      <c r="K927" s="7" t="inlineStr">
        <is>
          <t>P3 - Normale</t>
        </is>
      </c>
      <c r="L927" s="7" t="inlineStr">
        <is>
          <t>Nettoyage et remplacement des filtres</t>
        </is>
      </c>
      <c r="M927" s="7" t="n"/>
      <c r="N927" s="7" t="inlineStr">
        <is>
          <t>Gamme réalisée - RAS</t>
        </is>
      </c>
      <c r="O927" s="7" t="inlineStr">
        <is>
          <t>Karim Benali</t>
        </is>
      </c>
      <c r="P927" s="65" t="n">
        <v>46063.62847222222</v>
      </c>
      <c r="Q927" s="75" t="n">
        <v>46063.57638888889</v>
      </c>
      <c r="R927" s="75" t="n">
        <v>46063.69097222222</v>
      </c>
      <c r="S927" s="76" t="n">
        <v>1.4</v>
      </c>
      <c r="T927" s="76" t="n">
        <v>2.75</v>
      </c>
      <c r="U927" s="70">
        <f>IF($A927="","",IFERROR(INDEX('Techniciens'!$F$5:$F$44,MATCH(O927,'Techniciens'!$B$5:$B$44,0)),'Paramètres'!$AA$10))</f>
        <v/>
      </c>
      <c r="V927" s="70">
        <f>IF($A927="","",IF(OR(AC927="Demandé",AC927="Planifié",AC927="Annulé"),0,N(T927)*N(U927)))</f>
        <v/>
      </c>
      <c r="W927" s="70">
        <f>IF($A927="","",SUMIFS('Mouvements stock'!$H$5:$H$3004,'Mouvements stock'!$I$5:$I$3004,$A927,'Mouvements stock'!$C$5:$C$3004,"Sortie")-SUMIFS('Mouvements stock'!$H$5:$H$3004,'Mouvements stock'!$I$5:$I$3004,$A927,'Mouvements stock'!$C$5:$C$3004,"Retour"))</f>
        <v/>
      </c>
      <c r="X927" s="66" t="n">
        <v>0</v>
      </c>
      <c r="Y927" s="66" t="n">
        <v>0</v>
      </c>
      <c r="Z927" s="7" t="n"/>
      <c r="AA927" s="70">
        <f>IF($A927="","",N(V927)+N(W927)+N(X927)+N(Y927))</f>
        <v/>
      </c>
      <c r="AB927" s="70">
        <f>IF($A927="","",N(S927)*'Paramètres'!$AA$9*IFERROR(INDEX('Paramètres'!$O$5:$O$7,MATCH(G927,'Paramètres'!$N$5:$N$7,0)),0))</f>
        <v/>
      </c>
      <c r="AC927" s="7" t="inlineStr">
        <is>
          <t>Clôturé</t>
        </is>
      </c>
      <c r="AD927" s="69">
        <f>IF(OR($A927="",Q927=""),"",(Q927-B927)*24)</f>
        <v/>
      </c>
      <c r="AE927" s="69">
        <f>IF(OR(Q927="",R927=""),"",(R927-Q927)*24)</f>
        <v/>
      </c>
      <c r="AF927" s="77">
        <f>IF(OR($A927="",B927=""),"",YEAR(B927))</f>
        <v/>
      </c>
      <c r="AG927" s="77">
        <f>IF(OR($A927="",B927=""),"",MONTH(B927))</f>
        <v/>
      </c>
    </row>
    <row r="928">
      <c r="A928" s="7" t="inlineStr">
        <is>
          <t>OT-2026-0073</t>
        </is>
      </c>
      <c r="B928" s="75" t="n">
        <v>46057.39444444444</v>
      </c>
      <c r="C928" s="7" t="inlineStr">
        <is>
          <t>Opérateur tôlerie</t>
        </is>
      </c>
      <c r="D928" s="7" t="inlineStr">
        <is>
          <t>EQ-TOL-001</t>
        </is>
      </c>
      <c r="E928" s="9">
        <f>IF(D928="","",IFERROR(INDEX('Équipements'!$B$5:$B$304,MATCH(D928,'Équipements'!$A$5:$A$304,0)),"Code inconnu"))</f>
        <v/>
      </c>
      <c r="F928" s="9">
        <f>IF(D928="","",IFERROR(INDEX('Équipements'!$D$5:$D$304,MATCH(D928,'Équipements'!$A$5:$A$304,0)),""))</f>
        <v/>
      </c>
      <c r="G928" s="9">
        <f>IF(D928="","",IFERROR(INDEX('Équipements'!$K$5:$K$304,MATCH(D928,'Équipements'!$A$5:$A$304,0)),""))</f>
        <v/>
      </c>
      <c r="H928" s="7" t="inlineStr">
        <is>
          <t>Correctif</t>
        </is>
      </c>
      <c r="I928" s="7" t="n"/>
      <c r="J928" s="7" t="inlineStr">
        <is>
          <t>Mécanique</t>
        </is>
      </c>
      <c r="K928" s="7" t="inlineStr">
        <is>
          <t>P1 - Urgent</t>
        </is>
      </c>
      <c r="L928" s="7" t="inlineStr">
        <is>
          <t>Qualité de coupe dégradée</t>
        </is>
      </c>
      <c r="M928" s="7" t="inlineStr">
        <is>
          <t>Encrassement</t>
        </is>
      </c>
      <c r="N928" s="7" t="inlineStr">
        <is>
          <t>Remplacement verre de protection et buse, centrage faisceau</t>
        </is>
      </c>
      <c r="O928" s="7" t="inlineStr">
        <is>
          <t>Lucas Fontaine</t>
        </is>
      </c>
      <c r="P928" s="65" t="n"/>
      <c r="Q928" s="75" t="n">
        <v>46057.41736111111</v>
      </c>
      <c r="R928" s="75" t="n">
        <v>46057.53194444445</v>
      </c>
      <c r="S928" s="76" t="n">
        <v>0</v>
      </c>
      <c r="T928" s="76" t="n">
        <v>2.75</v>
      </c>
      <c r="U928" s="70">
        <f>IF($A928="","",IFERROR(INDEX('Techniciens'!$F$5:$F$44,MATCH(O928,'Techniciens'!$B$5:$B$44,0)),'Paramètres'!$AA$10))</f>
        <v/>
      </c>
      <c r="V928" s="70">
        <f>IF($A928="","",IF(OR(AC928="Demandé",AC928="Planifié",AC928="Annulé"),0,N(T928)*N(U928)))</f>
        <v/>
      </c>
      <c r="W928" s="70">
        <f>IF($A928="","",SUMIFS('Mouvements stock'!$H$5:$H$3004,'Mouvements stock'!$I$5:$I$3004,$A928,'Mouvements stock'!$C$5:$C$3004,"Sortie")-SUMIFS('Mouvements stock'!$H$5:$H$3004,'Mouvements stock'!$I$5:$I$3004,$A928,'Mouvements stock'!$C$5:$C$3004,"Retour"))</f>
        <v/>
      </c>
      <c r="X928" s="66" t="n">
        <v>0</v>
      </c>
      <c r="Y928" s="66" t="n">
        <v>0</v>
      </c>
      <c r="Z928" s="7" t="n"/>
      <c r="AA928" s="70">
        <f>IF($A928="","",N(V928)+N(W928)+N(X928)+N(Y928))</f>
        <v/>
      </c>
      <c r="AB928" s="70">
        <f>IF($A928="","",N(S928)*'Paramètres'!$AA$9*IFERROR(INDEX('Paramètres'!$O$5:$O$7,MATCH(G928,'Paramètres'!$N$5:$N$7,0)),0))</f>
        <v/>
      </c>
      <c r="AC928" s="7" t="inlineStr">
        <is>
          <t>Clôturé</t>
        </is>
      </c>
      <c r="AD928" s="69">
        <f>IF(OR($A928="",Q928=""),"",(Q928-B928)*24)</f>
        <v/>
      </c>
      <c r="AE928" s="69">
        <f>IF(OR(Q928="",R928=""),"",(R928-Q928)*24)</f>
        <v/>
      </c>
      <c r="AF928" s="77">
        <f>IF(OR($A928="",B928=""),"",YEAR(B928))</f>
        <v/>
      </c>
      <c r="AG928" s="77">
        <f>IF(OR($A928="",B928=""),"",MONTH(B928))</f>
        <v/>
      </c>
    </row>
    <row r="929">
      <c r="A929" s="7" t="inlineStr">
        <is>
          <t>OT-2026-0074</t>
        </is>
      </c>
      <c r="B929" s="75" t="n">
        <v>46058.52569444444</v>
      </c>
      <c r="C929" s="7" t="inlineStr">
        <is>
          <t>Opérateur usinage</t>
        </is>
      </c>
      <c r="D929" s="7" t="inlineStr">
        <is>
          <t>EQ-USI-002</t>
        </is>
      </c>
      <c r="E929" s="9">
        <f>IF(D929="","",IFERROR(INDEX('Équipements'!$B$5:$B$304,MATCH(D929,'Équipements'!$A$5:$A$304,0)),"Code inconnu"))</f>
        <v/>
      </c>
      <c r="F929" s="9">
        <f>IF(D929="","",IFERROR(INDEX('Équipements'!$D$5:$D$304,MATCH(D929,'Équipements'!$A$5:$A$304,0)),""))</f>
        <v/>
      </c>
      <c r="G929" s="9">
        <f>IF(D929="","",IFERROR(INDEX('Équipements'!$K$5:$K$304,MATCH(D929,'Équipements'!$A$5:$A$304,0)),""))</f>
        <v/>
      </c>
      <c r="H929" s="7" t="inlineStr">
        <is>
          <t>Correctif</t>
        </is>
      </c>
      <c r="I929" s="7" t="n"/>
      <c r="J929" s="7" t="inlineStr">
        <is>
          <t>Mécanique</t>
        </is>
      </c>
      <c r="K929" s="7" t="inlineStr">
        <is>
          <t>P1 - Urgent</t>
        </is>
      </c>
      <c r="L929" s="7" t="inlineStr">
        <is>
          <t>Défaut pression graissage centralisé</t>
        </is>
      </c>
      <c r="M929" s="7" t="inlineStr">
        <is>
          <t>Défaut lubrification</t>
        </is>
      </c>
      <c r="N929" s="7" t="inlineStr">
        <is>
          <t>Nettoyage pompe de graissage, remplacement doseurs</t>
        </is>
      </c>
      <c r="O929" s="7" t="inlineStr">
        <is>
          <t>Karim Benali</t>
        </is>
      </c>
      <c r="P929" s="65" t="n"/>
      <c r="Q929" s="75" t="n">
        <v>46058.55138888889</v>
      </c>
      <c r="R929" s="75" t="n">
        <v>46060.39333809022</v>
      </c>
      <c r="S929" s="76" t="n">
        <v>23.7</v>
      </c>
      <c r="T929" s="76" t="n">
        <v>2</v>
      </c>
      <c r="U929" s="70">
        <f>IF($A929="","",IFERROR(INDEX('Techniciens'!$F$5:$F$44,MATCH(O929,'Techniciens'!$B$5:$B$44,0)),'Paramètres'!$AA$10))</f>
        <v/>
      </c>
      <c r="V929" s="70">
        <f>IF($A929="","",IF(OR(AC929="Demandé",AC929="Planifié",AC929="Annulé"),0,N(T929)*N(U929)))</f>
        <v/>
      </c>
      <c r="W929" s="70">
        <f>IF($A929="","",SUMIFS('Mouvements stock'!$H$5:$H$3004,'Mouvements stock'!$I$5:$I$3004,$A929,'Mouvements stock'!$C$5:$C$3004,"Sortie")-SUMIFS('Mouvements stock'!$H$5:$H$3004,'Mouvements stock'!$I$5:$I$3004,$A929,'Mouvements stock'!$C$5:$C$3004,"Retour"))</f>
        <v/>
      </c>
      <c r="X929" s="66" t="n">
        <v>0</v>
      </c>
      <c r="Y929" s="66" t="n">
        <v>0</v>
      </c>
      <c r="Z929" s="7" t="n"/>
      <c r="AA929" s="70">
        <f>IF($A929="","",N(V929)+N(W929)+N(X929)+N(Y929))</f>
        <v/>
      </c>
      <c r="AB929" s="70">
        <f>IF($A929="","",N(S929)*'Paramètres'!$AA$9*IFERROR(INDEX('Paramètres'!$O$5:$O$7,MATCH(G929,'Paramètres'!$N$5:$N$7,0)),0))</f>
        <v/>
      </c>
      <c r="AC929" s="7" t="inlineStr">
        <is>
          <t>Clôturé</t>
        </is>
      </c>
      <c r="AD929" s="69">
        <f>IF(OR($A929="",Q929=""),"",(Q929-B929)*24)</f>
        <v/>
      </c>
      <c r="AE929" s="69">
        <f>IF(OR(Q929="",R929=""),"",(R929-Q929)*24)</f>
        <v/>
      </c>
      <c r="AF929" s="77">
        <f>IF(OR($A929="",B929=""),"",YEAR(B929))</f>
        <v/>
      </c>
      <c r="AG929" s="77">
        <f>IF(OR($A929="",B929=""),"",MONTH(B929))</f>
        <v/>
      </c>
    </row>
    <row r="930">
      <c r="A930" s="7" t="inlineStr">
        <is>
          <t>OT-2026-0075</t>
        </is>
      </c>
      <c r="B930" s="75" t="n">
        <v>46059.44791666666</v>
      </c>
      <c r="C930" s="7" t="inlineStr">
        <is>
          <t>Plan préventif</t>
        </is>
      </c>
      <c r="D930" s="7" t="inlineStr">
        <is>
          <t>EQ-USI-001</t>
        </is>
      </c>
      <c r="E930" s="9">
        <f>IF(D930="","",IFERROR(INDEX('Équipements'!$B$5:$B$304,MATCH(D930,'Équipements'!$A$5:$A$304,0)),"Code inconnu"))</f>
        <v/>
      </c>
      <c r="F930" s="9">
        <f>IF(D930="","",IFERROR(INDEX('Équipements'!$D$5:$D$304,MATCH(D930,'Équipements'!$A$5:$A$304,0)),""))</f>
        <v/>
      </c>
      <c r="G930" s="9">
        <f>IF(D930="","",IFERROR(INDEX('Équipements'!$K$5:$K$304,MATCH(D930,'Équipements'!$A$5:$A$304,0)),""))</f>
        <v/>
      </c>
      <c r="H930" s="7" t="inlineStr">
        <is>
          <t>Préventif systématique</t>
        </is>
      </c>
      <c r="I930" s="7" t="inlineStr">
        <is>
          <t>GP-001</t>
        </is>
      </c>
      <c r="J930" s="7" t="inlineStr">
        <is>
          <t>Mécanique</t>
        </is>
      </c>
      <c r="K930" s="7" t="inlineStr">
        <is>
          <t>P3 - Normale</t>
        </is>
      </c>
      <c r="L930" s="7" t="inlineStr">
        <is>
          <t>Contrôle niveaux, nettoyage filtres et bac à copeaux</t>
        </is>
      </c>
      <c r="M930" s="7" t="n"/>
      <c r="N930" s="7" t="inlineStr">
        <is>
          <t>Gamme réalisée - RAS</t>
        </is>
      </c>
      <c r="O930" s="7" t="inlineStr">
        <is>
          <t>Antoine Mercier</t>
        </is>
      </c>
      <c r="P930" s="65" t="n">
        <v>46066.51041666666</v>
      </c>
      <c r="Q930" s="75" t="n">
        <v>46066.61458333334</v>
      </c>
      <c r="R930" s="75" t="n">
        <v>46066.67708333334</v>
      </c>
      <c r="S930" s="76" t="n">
        <v>0.8</v>
      </c>
      <c r="T930" s="76" t="n">
        <v>1.5</v>
      </c>
      <c r="U930" s="70">
        <f>IF($A930="","",IFERROR(INDEX('Techniciens'!$F$5:$F$44,MATCH(O930,'Techniciens'!$B$5:$B$44,0)),'Paramètres'!$AA$10))</f>
        <v/>
      </c>
      <c r="V930" s="70">
        <f>IF($A930="","",IF(OR(AC930="Demandé",AC930="Planifié",AC930="Annulé"),0,N(T930)*N(U930)))</f>
        <v/>
      </c>
      <c r="W930" s="70">
        <f>IF($A930="","",SUMIFS('Mouvements stock'!$H$5:$H$3004,'Mouvements stock'!$I$5:$I$3004,$A930,'Mouvements stock'!$C$5:$C$3004,"Sortie")-SUMIFS('Mouvements stock'!$H$5:$H$3004,'Mouvements stock'!$I$5:$I$3004,$A930,'Mouvements stock'!$C$5:$C$3004,"Retour"))</f>
        <v/>
      </c>
      <c r="X930" s="66" t="n">
        <v>0</v>
      </c>
      <c r="Y930" s="66" t="n">
        <v>0</v>
      </c>
      <c r="Z930" s="7" t="n"/>
      <c r="AA930" s="70">
        <f>IF($A930="","",N(V930)+N(W930)+N(X930)+N(Y930))</f>
        <v/>
      </c>
      <c r="AB930" s="70">
        <f>IF($A930="","",N(S930)*'Paramètres'!$AA$9*IFERROR(INDEX('Paramètres'!$O$5:$O$7,MATCH(G930,'Paramètres'!$N$5:$N$7,0)),0))</f>
        <v/>
      </c>
      <c r="AC930" s="7" t="inlineStr">
        <is>
          <t>Clôturé</t>
        </is>
      </c>
      <c r="AD930" s="69">
        <f>IF(OR($A930="",Q930=""),"",(Q930-B930)*24)</f>
        <v/>
      </c>
      <c r="AE930" s="69">
        <f>IF(OR(Q930="",R930=""),"",(R930-Q930)*24)</f>
        <v/>
      </c>
      <c r="AF930" s="77">
        <f>IF(OR($A930="",B930=""),"",YEAR(B930))</f>
        <v/>
      </c>
      <c r="AG930" s="77">
        <f>IF(OR($A930="",B930=""),"",MONTH(B930))</f>
        <v/>
      </c>
    </row>
    <row r="931">
      <c r="A931" s="7" t="inlineStr">
        <is>
          <t>OT-2026-0076</t>
        </is>
      </c>
      <c r="B931" s="75" t="n">
        <v>46062.36111111111</v>
      </c>
      <c r="C931" s="7" t="inlineStr">
        <is>
          <t>Plan préventif</t>
        </is>
      </c>
      <c r="D931" s="7" t="inlineStr">
        <is>
          <t>EQ-LOG-007</t>
        </is>
      </c>
      <c r="E931" s="9">
        <f>IF(D931="","",IFERROR(INDEX('Équipements'!$B$5:$B$304,MATCH(D931,'Équipements'!$A$5:$A$304,0)),"Code inconnu"))</f>
        <v/>
      </c>
      <c r="F931" s="9">
        <f>IF(D931="","",IFERROR(INDEX('Équipements'!$D$5:$D$304,MATCH(D931,'Équipements'!$A$5:$A$304,0)),""))</f>
        <v/>
      </c>
      <c r="G931" s="9">
        <f>IF(D931="","",IFERROR(INDEX('Équipements'!$K$5:$K$304,MATCH(D931,'Équipements'!$A$5:$A$304,0)),""))</f>
        <v/>
      </c>
      <c r="H931" s="7" t="inlineStr">
        <is>
          <t>Préventif systématique</t>
        </is>
      </c>
      <c r="I931" s="7" t="inlineStr">
        <is>
          <t>GP-117</t>
        </is>
      </c>
      <c r="J931" s="7" t="inlineStr">
        <is>
          <t>Mécanique</t>
        </is>
      </c>
      <c r="K931" s="7" t="inlineStr">
        <is>
          <t>P3 - Normale</t>
        </is>
      </c>
      <c r="L931" s="7" t="inlineStr">
        <is>
          <t>Contrôle câbles, crochets, freins et fins de course</t>
        </is>
      </c>
      <c r="M931" s="7" t="n"/>
      <c r="N931" s="7" t="inlineStr">
        <is>
          <t>Gamme réalisée - RAS</t>
        </is>
      </c>
      <c r="O931" s="7" t="inlineStr">
        <is>
          <t>Karim Benali</t>
        </is>
      </c>
      <c r="P931" s="65" t="n">
        <v>46069.62152777778</v>
      </c>
      <c r="Q931" s="75" t="n">
        <v>46069.27083333334</v>
      </c>
      <c r="R931" s="75" t="n">
        <v>46069.375</v>
      </c>
      <c r="S931" s="76" t="n">
        <v>2.5</v>
      </c>
      <c r="T931" s="76" t="n">
        <v>2.5</v>
      </c>
      <c r="U931" s="70">
        <f>IF($A931="","",IFERROR(INDEX('Techniciens'!$F$5:$F$44,MATCH(O931,'Techniciens'!$B$5:$B$44,0)),'Paramètres'!$AA$10))</f>
        <v/>
      </c>
      <c r="V931" s="70">
        <f>IF($A931="","",IF(OR(AC931="Demandé",AC931="Planifié",AC931="Annulé"),0,N(T931)*N(U931)))</f>
        <v/>
      </c>
      <c r="W931" s="70">
        <f>IF($A931="","",SUMIFS('Mouvements stock'!$H$5:$H$3004,'Mouvements stock'!$I$5:$I$3004,$A931,'Mouvements stock'!$C$5:$C$3004,"Sortie")-SUMIFS('Mouvements stock'!$H$5:$H$3004,'Mouvements stock'!$I$5:$I$3004,$A931,'Mouvements stock'!$C$5:$C$3004,"Retour"))</f>
        <v/>
      </c>
      <c r="X931" s="66" t="n">
        <v>0</v>
      </c>
      <c r="Y931" s="66" t="n">
        <v>0</v>
      </c>
      <c r="Z931" s="7" t="n"/>
      <c r="AA931" s="70">
        <f>IF($A931="","",N(V931)+N(W931)+N(X931)+N(Y931))</f>
        <v/>
      </c>
      <c r="AB931" s="70">
        <f>IF($A931="","",N(S931)*'Paramètres'!$AA$9*IFERROR(INDEX('Paramètres'!$O$5:$O$7,MATCH(G931,'Paramètres'!$N$5:$N$7,0)),0))</f>
        <v/>
      </c>
      <c r="AC931" s="7" t="inlineStr">
        <is>
          <t>Clôturé</t>
        </is>
      </c>
      <c r="AD931" s="69">
        <f>IF(OR($A931="",Q931=""),"",(Q931-B931)*24)</f>
        <v/>
      </c>
      <c r="AE931" s="69">
        <f>IF(OR(Q931="",R931=""),"",(R931-Q931)*24)</f>
        <v/>
      </c>
      <c r="AF931" s="77">
        <f>IF(OR($A931="",B931=""),"",YEAR(B931))</f>
        <v/>
      </c>
      <c r="AG931" s="77">
        <f>IF(OR($A931="",B931=""),"",MONTH(B931))</f>
        <v/>
      </c>
    </row>
    <row r="932">
      <c r="A932" s="7" t="inlineStr">
        <is>
          <t>OT-2026-0077</t>
        </is>
      </c>
      <c r="B932" s="75" t="n">
        <v>46062.375</v>
      </c>
      <c r="C932" s="7" t="inlineStr">
        <is>
          <t>Plan préventif</t>
        </is>
      </c>
      <c r="D932" s="7" t="inlineStr">
        <is>
          <t>EQ-TOL-003</t>
        </is>
      </c>
      <c r="E932" s="9">
        <f>IF(D932="","",IFERROR(INDEX('Équipements'!$B$5:$B$304,MATCH(D932,'Équipements'!$A$5:$A$304,0)),"Code inconnu"))</f>
        <v/>
      </c>
      <c r="F932" s="9">
        <f>IF(D932="","",IFERROR(INDEX('Équipements'!$D$5:$D$304,MATCH(D932,'Équipements'!$A$5:$A$304,0)),""))</f>
        <v/>
      </c>
      <c r="G932" s="9">
        <f>IF(D932="","",IFERROR(INDEX('Équipements'!$K$5:$K$304,MATCH(D932,'Équipements'!$A$5:$A$304,0)),""))</f>
        <v/>
      </c>
      <c r="H932" s="7" t="inlineStr">
        <is>
          <t>Préventif systématique</t>
        </is>
      </c>
      <c r="I932" s="7" t="inlineStr">
        <is>
          <t>GP-046</t>
        </is>
      </c>
      <c r="J932" s="7" t="inlineStr">
        <is>
          <t>Électrique</t>
        </is>
      </c>
      <c r="K932" s="7" t="inlineStr">
        <is>
          <t>P3 - Normale</t>
        </is>
      </c>
      <c r="L932" s="7" t="inlineStr">
        <is>
          <t>Contrôle des sécurités (barrages, AU, pédale)</t>
        </is>
      </c>
      <c r="M932" s="7" t="n"/>
      <c r="N932" s="7" t="inlineStr">
        <is>
          <t>Gamme réalisée - RAS</t>
        </is>
      </c>
      <c r="O932" s="7" t="inlineStr">
        <is>
          <t>Antoine Mercier</t>
        </is>
      </c>
      <c r="P932" s="65" t="n">
        <v>46069.55208333334</v>
      </c>
      <c r="Q932" s="75" t="n">
        <v>46069.47916666666</v>
      </c>
      <c r="R932" s="75" t="n">
        <v>46069.54166666666</v>
      </c>
      <c r="S932" s="76" t="n">
        <v>0</v>
      </c>
      <c r="T932" s="76" t="n">
        <v>1.5</v>
      </c>
      <c r="U932" s="70">
        <f>IF($A932="","",IFERROR(INDEX('Techniciens'!$F$5:$F$44,MATCH(O932,'Techniciens'!$B$5:$B$44,0)),'Paramètres'!$AA$10))</f>
        <v/>
      </c>
      <c r="V932" s="70">
        <f>IF($A932="","",IF(OR(AC932="Demandé",AC932="Planifié",AC932="Annulé"),0,N(T932)*N(U932)))</f>
        <v/>
      </c>
      <c r="W932" s="70">
        <f>IF($A932="","",SUMIFS('Mouvements stock'!$H$5:$H$3004,'Mouvements stock'!$I$5:$I$3004,$A932,'Mouvements stock'!$C$5:$C$3004,"Sortie")-SUMIFS('Mouvements stock'!$H$5:$H$3004,'Mouvements stock'!$I$5:$I$3004,$A932,'Mouvements stock'!$C$5:$C$3004,"Retour"))</f>
        <v/>
      </c>
      <c r="X932" s="66" t="n">
        <v>0</v>
      </c>
      <c r="Y932" s="66" t="n">
        <v>0</v>
      </c>
      <c r="Z932" s="7" t="n"/>
      <c r="AA932" s="70">
        <f>IF($A932="","",N(V932)+N(W932)+N(X932)+N(Y932))</f>
        <v/>
      </c>
      <c r="AB932" s="70">
        <f>IF($A932="","",N(S932)*'Paramètres'!$AA$9*IFERROR(INDEX('Paramètres'!$O$5:$O$7,MATCH(G932,'Paramètres'!$N$5:$N$7,0)),0))</f>
        <v/>
      </c>
      <c r="AC932" s="7" t="inlineStr">
        <is>
          <t>Clôturé</t>
        </is>
      </c>
      <c r="AD932" s="69">
        <f>IF(OR($A932="",Q932=""),"",(Q932-B932)*24)</f>
        <v/>
      </c>
      <c r="AE932" s="69">
        <f>IF(OR(Q932="",R932=""),"",(R932-Q932)*24)</f>
        <v/>
      </c>
      <c r="AF932" s="77">
        <f>IF(OR($A932="",B932=""),"",YEAR(B932))</f>
        <v/>
      </c>
      <c r="AG932" s="77">
        <f>IF(OR($A932="",B932=""),"",MONTH(B932))</f>
        <v/>
      </c>
    </row>
    <row r="933">
      <c r="A933" s="7" t="inlineStr">
        <is>
          <t>OT-2026-0078</t>
        </is>
      </c>
      <c r="B933" s="75" t="n">
        <v>46062.40277777778</v>
      </c>
      <c r="C933" s="7" t="inlineStr">
        <is>
          <t>Plan préventif</t>
        </is>
      </c>
      <c r="D933" s="7" t="inlineStr">
        <is>
          <t>EQ-LOG-001</t>
        </is>
      </c>
      <c r="E933" s="9">
        <f>IF(D933="","",IFERROR(INDEX('Équipements'!$B$5:$B$304,MATCH(D933,'Équipements'!$A$5:$A$304,0)),"Code inconnu"))</f>
        <v/>
      </c>
      <c r="F933" s="9">
        <f>IF(D933="","",IFERROR(INDEX('Équipements'!$D$5:$D$304,MATCH(D933,'Équipements'!$A$5:$A$304,0)),""))</f>
        <v/>
      </c>
      <c r="G933" s="9">
        <f>IF(D933="","",IFERROR(INDEX('Équipements'!$K$5:$K$304,MATCH(D933,'Équipements'!$A$5:$A$304,0)),""))</f>
        <v/>
      </c>
      <c r="H933" s="7" t="inlineStr">
        <is>
          <t>Préventif systématique</t>
        </is>
      </c>
      <c r="I933" s="7" t="inlineStr">
        <is>
          <t>GP-106</t>
        </is>
      </c>
      <c r="J933" s="7" t="inlineStr">
        <is>
          <t>Mécanique</t>
        </is>
      </c>
      <c r="K933" s="7" t="inlineStr">
        <is>
          <t>P3 - Normale</t>
        </is>
      </c>
      <c r="L933" s="7" t="inlineStr">
        <is>
          <t>Contrôle batterie, niveaux et bandages</t>
        </is>
      </c>
      <c r="M933" s="7" t="n"/>
      <c r="N933" s="7" t="inlineStr">
        <is>
          <t>Gamme réalisée - RAS</t>
        </is>
      </c>
      <c r="O933" s="7" t="inlineStr">
        <is>
          <t>Lucas Fontaine</t>
        </is>
      </c>
      <c r="P933" s="65" t="n">
        <v>46069.57291666666</v>
      </c>
      <c r="Q933" s="75" t="n">
        <v>46069.61111111111</v>
      </c>
      <c r="R933" s="75" t="n">
        <v>46069.64236111111</v>
      </c>
      <c r="S933" s="76" t="n">
        <v>0.8</v>
      </c>
      <c r="T933" s="76" t="n">
        <v>0.75</v>
      </c>
      <c r="U933" s="70">
        <f>IF($A933="","",IFERROR(INDEX('Techniciens'!$F$5:$F$44,MATCH(O933,'Techniciens'!$B$5:$B$44,0)),'Paramètres'!$AA$10))</f>
        <v/>
      </c>
      <c r="V933" s="70">
        <f>IF($A933="","",IF(OR(AC933="Demandé",AC933="Planifié",AC933="Annulé"),0,N(T933)*N(U933)))</f>
        <v/>
      </c>
      <c r="W933" s="70">
        <f>IF($A933="","",SUMIFS('Mouvements stock'!$H$5:$H$3004,'Mouvements stock'!$I$5:$I$3004,$A933,'Mouvements stock'!$C$5:$C$3004,"Sortie")-SUMIFS('Mouvements stock'!$H$5:$H$3004,'Mouvements stock'!$I$5:$I$3004,$A933,'Mouvements stock'!$C$5:$C$3004,"Retour"))</f>
        <v/>
      </c>
      <c r="X933" s="66" t="n">
        <v>0</v>
      </c>
      <c r="Y933" s="66" t="n">
        <v>0</v>
      </c>
      <c r="Z933" s="7" t="n"/>
      <c r="AA933" s="70">
        <f>IF($A933="","",N(V933)+N(W933)+N(X933)+N(Y933))</f>
        <v/>
      </c>
      <c r="AB933" s="70">
        <f>IF($A933="","",N(S933)*'Paramètres'!$AA$9*IFERROR(INDEX('Paramètres'!$O$5:$O$7,MATCH(G933,'Paramètres'!$N$5:$N$7,0)),0))</f>
        <v/>
      </c>
      <c r="AC933" s="7" t="inlineStr">
        <is>
          <t>Clôturé</t>
        </is>
      </c>
      <c r="AD933" s="69">
        <f>IF(OR($A933="",Q933=""),"",(Q933-B933)*24)</f>
        <v/>
      </c>
      <c r="AE933" s="69">
        <f>IF(OR(Q933="",R933=""),"",(R933-Q933)*24)</f>
        <v/>
      </c>
      <c r="AF933" s="77">
        <f>IF(OR($A933="",B933=""),"",YEAR(B933))</f>
        <v/>
      </c>
      <c r="AG933" s="77">
        <f>IF(OR($A933="",B933=""),"",MONTH(B933))</f>
        <v/>
      </c>
    </row>
    <row r="934">
      <c r="A934" s="7" t="inlineStr">
        <is>
          <t>OT-2026-0079</t>
        </is>
      </c>
      <c r="B934" s="75" t="n">
        <v>46062.42708333334</v>
      </c>
      <c r="C934" s="7" t="inlineStr">
        <is>
          <t>Planning réglementaire</t>
        </is>
      </c>
      <c r="D934" s="7" t="inlineStr">
        <is>
          <t>EQ-LOG-004</t>
        </is>
      </c>
      <c r="E934" s="9">
        <f>IF(D934="","",IFERROR(INDEX('Équipements'!$B$5:$B$304,MATCH(D934,'Équipements'!$A$5:$A$304,0)),"Code inconnu"))</f>
        <v/>
      </c>
      <c r="F934" s="9">
        <f>IF(D934="","",IFERROR(INDEX('Équipements'!$D$5:$D$304,MATCH(D934,'Équipements'!$A$5:$A$304,0)),""))</f>
        <v/>
      </c>
      <c r="G934" s="9">
        <f>IF(D934="","",IFERROR(INDEX('Équipements'!$K$5:$K$304,MATCH(D934,'Équipements'!$A$5:$A$304,0)),""))</f>
        <v/>
      </c>
      <c r="H934" s="7" t="inlineStr">
        <is>
          <t>Réglementaire</t>
        </is>
      </c>
      <c r="I934" s="7" t="inlineStr">
        <is>
          <t>CR-007</t>
        </is>
      </c>
      <c r="J934" s="7" t="inlineStr">
        <is>
          <t>Multi-technique</t>
        </is>
      </c>
      <c r="K934" s="7" t="inlineStr">
        <is>
          <t>P2 - Haute</t>
        </is>
      </c>
      <c r="L934" s="7" t="inlineStr">
        <is>
          <t>VGP transpalette à conducteur porté/accompagnant</t>
        </is>
      </c>
      <c r="M934" s="7" t="n"/>
      <c r="N934" s="7" t="inlineStr">
        <is>
          <t>Contrôle réalisé - observations mineures au rapport</t>
        </is>
      </c>
      <c r="O934" s="7" t="inlineStr">
        <is>
          <t>Marc Lefèvre</t>
        </is>
      </c>
      <c r="P934" s="65" t="n">
        <v>46083</v>
      </c>
      <c r="Q934" s="75" t="n">
        <v>46083.34027777778</v>
      </c>
      <c r="R934" s="75" t="n">
        <v>46083.39236111111</v>
      </c>
      <c r="S934" s="76" t="n">
        <v>0</v>
      </c>
      <c r="T934" s="76" t="n">
        <v>1.25</v>
      </c>
      <c r="U934" s="70">
        <f>IF($A934="","",IFERROR(INDEX('Techniciens'!$F$5:$F$44,MATCH(O934,'Techniciens'!$B$5:$B$44,0)),'Paramètres'!$AA$10))</f>
        <v/>
      </c>
      <c r="V934" s="70">
        <f>IF($A934="","",IF(OR(AC934="Demandé",AC934="Planifié",AC934="Annulé"),0,N(T934)*N(U934)))</f>
        <v/>
      </c>
      <c r="W934" s="70">
        <f>IF($A934="","",SUMIFS('Mouvements stock'!$H$5:$H$3004,'Mouvements stock'!$I$5:$I$3004,$A934,'Mouvements stock'!$C$5:$C$3004,"Sortie")-SUMIFS('Mouvements stock'!$H$5:$H$3004,'Mouvements stock'!$I$5:$I$3004,$A934,'Mouvements stock'!$C$5:$C$3004,"Retour"))</f>
        <v/>
      </c>
      <c r="X934" s="66" t="n">
        <v>0</v>
      </c>
      <c r="Y934" s="66" t="n">
        <v>90</v>
      </c>
      <c r="Z934" s="7" t="inlineStr">
        <is>
          <t>CONTROLIS (organisme fictif)</t>
        </is>
      </c>
      <c r="AA934" s="70">
        <f>IF($A934="","",N(V934)+N(W934)+N(X934)+N(Y934))</f>
        <v/>
      </c>
      <c r="AB934" s="70">
        <f>IF($A934="","",N(S934)*'Paramètres'!$AA$9*IFERROR(INDEX('Paramètres'!$O$5:$O$7,MATCH(G934,'Paramètres'!$N$5:$N$7,0)),0))</f>
        <v/>
      </c>
      <c r="AC934" s="7" t="inlineStr">
        <is>
          <t>Clôturé</t>
        </is>
      </c>
      <c r="AD934" s="69">
        <f>IF(OR($A934="",Q934=""),"",(Q934-B934)*24)</f>
        <v/>
      </c>
      <c r="AE934" s="69">
        <f>IF(OR(Q934="",R934=""),"",(R934-Q934)*24)</f>
        <v/>
      </c>
      <c r="AF934" s="77">
        <f>IF(OR($A934="",B934=""),"",YEAR(B934))</f>
        <v/>
      </c>
      <c r="AG934" s="77">
        <f>IF(OR($A934="",B934=""),"",MONTH(B934))</f>
        <v/>
      </c>
    </row>
    <row r="935">
      <c r="A935" s="7" t="inlineStr">
        <is>
          <t>OT-2026-0080</t>
        </is>
      </c>
      <c r="B935" s="75" t="n">
        <v>46062.4375</v>
      </c>
      <c r="C935" s="7" t="inlineStr">
        <is>
          <t>Plan préventif</t>
        </is>
      </c>
      <c r="D935" s="7" t="inlineStr">
        <is>
          <t>EQ-TOL-001</t>
        </is>
      </c>
      <c r="E935" s="9">
        <f>IF(D935="","",IFERROR(INDEX('Équipements'!$B$5:$B$304,MATCH(D935,'Équipements'!$A$5:$A$304,0)),"Code inconnu"))</f>
        <v/>
      </c>
      <c r="F935" s="9">
        <f>IF(D935="","",IFERROR(INDEX('Équipements'!$D$5:$D$304,MATCH(D935,'Équipements'!$A$5:$A$304,0)),""))</f>
        <v/>
      </c>
      <c r="G935" s="9">
        <f>IF(D935="","",IFERROR(INDEX('Équipements'!$K$5:$K$304,MATCH(D935,'Équipements'!$A$5:$A$304,0)),""))</f>
        <v/>
      </c>
      <c r="H935" s="7" t="inlineStr">
        <is>
          <t>Préventif systématique</t>
        </is>
      </c>
      <c r="I935" s="7" t="inlineStr">
        <is>
          <t>GP-038</t>
        </is>
      </c>
      <c r="J935" s="7" t="inlineStr">
        <is>
          <t>Mécanique</t>
        </is>
      </c>
      <c r="K935" s="7" t="inlineStr">
        <is>
          <t>P3 - Normale</t>
        </is>
      </c>
      <c r="L935" s="7" t="inlineStr">
        <is>
          <t>Nettoyage optique, contrôle buse et lentille</t>
        </is>
      </c>
      <c r="M935" s="7" t="n"/>
      <c r="N935" s="7" t="inlineStr">
        <is>
          <t>Gamme réalisée - RAS</t>
        </is>
      </c>
      <c r="O935" s="7" t="inlineStr">
        <is>
          <t>Karim Benali</t>
        </is>
      </c>
      <c r="P935" s="65" t="n">
        <v>46069.40277777778</v>
      </c>
      <c r="Q935" s="75" t="n">
        <v>46069.48958333334</v>
      </c>
      <c r="R935" s="75" t="n">
        <v>46069.58333333334</v>
      </c>
      <c r="S935" s="76" t="n">
        <v>2.2</v>
      </c>
      <c r="T935" s="76" t="n">
        <v>2.25</v>
      </c>
      <c r="U935" s="70">
        <f>IF($A935="","",IFERROR(INDEX('Techniciens'!$F$5:$F$44,MATCH(O935,'Techniciens'!$B$5:$B$44,0)),'Paramètres'!$AA$10))</f>
        <v/>
      </c>
      <c r="V935" s="70">
        <f>IF($A935="","",IF(OR(AC935="Demandé",AC935="Planifié",AC935="Annulé"),0,N(T935)*N(U935)))</f>
        <v/>
      </c>
      <c r="W935" s="70">
        <f>IF($A935="","",SUMIFS('Mouvements stock'!$H$5:$H$3004,'Mouvements stock'!$I$5:$I$3004,$A935,'Mouvements stock'!$C$5:$C$3004,"Sortie")-SUMIFS('Mouvements stock'!$H$5:$H$3004,'Mouvements stock'!$I$5:$I$3004,$A935,'Mouvements stock'!$C$5:$C$3004,"Retour"))</f>
        <v/>
      </c>
      <c r="X935" s="66" t="n">
        <v>0</v>
      </c>
      <c r="Y935" s="66" t="n">
        <v>0</v>
      </c>
      <c r="Z935" s="7" t="n"/>
      <c r="AA935" s="70">
        <f>IF($A935="","",N(V935)+N(W935)+N(X935)+N(Y935))</f>
        <v/>
      </c>
      <c r="AB935" s="70">
        <f>IF($A935="","",N(S935)*'Paramètres'!$AA$9*IFERROR(INDEX('Paramètres'!$O$5:$O$7,MATCH(G935,'Paramètres'!$N$5:$N$7,0)),0))</f>
        <v/>
      </c>
      <c r="AC935" s="7" t="inlineStr">
        <is>
          <t>Clôturé</t>
        </is>
      </c>
      <c r="AD935" s="69">
        <f>IF(OR($A935="",Q935=""),"",(Q935-B935)*24)</f>
        <v/>
      </c>
      <c r="AE935" s="69">
        <f>IF(OR(Q935="",R935=""),"",(R935-Q935)*24)</f>
        <v/>
      </c>
      <c r="AF935" s="77">
        <f>IF(OR($A935="",B935=""),"",YEAR(B935))</f>
        <v/>
      </c>
      <c r="AG935" s="77">
        <f>IF(OR($A935="",B935=""),"",MONTH(B935))</f>
        <v/>
      </c>
    </row>
    <row r="936">
      <c r="A936" s="7" t="inlineStr">
        <is>
          <t>OT-2026-0081</t>
        </is>
      </c>
      <c r="B936" s="75" t="n">
        <v>46062.45138888889</v>
      </c>
      <c r="C936" s="7" t="inlineStr">
        <is>
          <t>Plan préventif</t>
        </is>
      </c>
      <c r="D936" s="7" t="inlineStr">
        <is>
          <t>EQ-TOL-005</t>
        </is>
      </c>
      <c r="E936" s="9">
        <f>IF(D936="","",IFERROR(INDEX('Équipements'!$B$5:$B$304,MATCH(D936,'Équipements'!$A$5:$A$304,0)),"Code inconnu"))</f>
        <v/>
      </c>
      <c r="F936" s="9">
        <f>IF(D936="","",IFERROR(INDEX('Équipements'!$D$5:$D$304,MATCH(D936,'Équipements'!$A$5:$A$304,0)),""))</f>
        <v/>
      </c>
      <c r="G936" s="9">
        <f>IF(D936="","",IFERROR(INDEX('Équipements'!$K$5:$K$304,MATCH(D936,'Équipements'!$A$5:$A$304,0)),""))</f>
        <v/>
      </c>
      <c r="H936" s="7" t="inlineStr">
        <is>
          <t>Préventif systématique</t>
        </is>
      </c>
      <c r="I936" s="7" t="inlineStr">
        <is>
          <t>GP-050</t>
        </is>
      </c>
      <c r="J936" s="7" t="inlineStr">
        <is>
          <t>Hydraulique</t>
        </is>
      </c>
      <c r="K936" s="7" t="inlineStr">
        <is>
          <t>P3 - Normale</t>
        </is>
      </c>
      <c r="L936" s="7" t="inlineStr">
        <is>
          <t>Contrôle hydraulique : fuites, niveaux, pressions</t>
        </is>
      </c>
      <c r="M936" s="7" t="n"/>
      <c r="N936" s="7" t="inlineStr">
        <is>
          <t>Gamme réalisée - DI émise pour remplacement pièce</t>
        </is>
      </c>
      <c r="O936" s="7" t="inlineStr">
        <is>
          <t>Antoine Mercier</t>
        </is>
      </c>
      <c r="P936" s="65" t="n">
        <v>46069.55208333334</v>
      </c>
      <c r="Q936" s="75" t="n">
        <v>46069.43055555555</v>
      </c>
      <c r="R936" s="75" t="n">
        <v>46069.52430555555</v>
      </c>
      <c r="S936" s="76" t="n">
        <v>2.2</v>
      </c>
      <c r="T936" s="76" t="n">
        <v>2.25</v>
      </c>
      <c r="U936" s="70">
        <f>IF($A936="","",IFERROR(INDEX('Techniciens'!$F$5:$F$44,MATCH(O936,'Techniciens'!$B$5:$B$44,0)),'Paramètres'!$AA$10))</f>
        <v/>
      </c>
      <c r="V936" s="70">
        <f>IF($A936="","",IF(OR(AC936="Demandé",AC936="Planifié",AC936="Annulé"),0,N(T936)*N(U936)))</f>
        <v/>
      </c>
      <c r="W936" s="70">
        <f>IF($A936="","",SUMIFS('Mouvements stock'!$H$5:$H$3004,'Mouvements stock'!$I$5:$I$3004,$A936,'Mouvements stock'!$C$5:$C$3004,"Sortie")-SUMIFS('Mouvements stock'!$H$5:$H$3004,'Mouvements stock'!$I$5:$I$3004,$A936,'Mouvements stock'!$C$5:$C$3004,"Retour"))</f>
        <v/>
      </c>
      <c r="X936" s="66" t="n">
        <v>0</v>
      </c>
      <c r="Y936" s="66" t="n">
        <v>0</v>
      </c>
      <c r="Z936" s="7" t="n"/>
      <c r="AA936" s="70">
        <f>IF($A936="","",N(V936)+N(W936)+N(X936)+N(Y936))</f>
        <v/>
      </c>
      <c r="AB936" s="70">
        <f>IF($A936="","",N(S936)*'Paramètres'!$AA$9*IFERROR(INDEX('Paramètres'!$O$5:$O$7,MATCH(G936,'Paramètres'!$N$5:$N$7,0)),0))</f>
        <v/>
      </c>
      <c r="AC936" s="7" t="inlineStr">
        <is>
          <t>Clôturé</t>
        </is>
      </c>
      <c r="AD936" s="69">
        <f>IF(OR($A936="",Q936=""),"",(Q936-B936)*24)</f>
        <v/>
      </c>
      <c r="AE936" s="69">
        <f>IF(OR(Q936="",R936=""),"",(R936-Q936)*24)</f>
        <v/>
      </c>
      <c r="AF936" s="77">
        <f>IF(OR($A936="",B936=""),"",YEAR(B936))</f>
        <v/>
      </c>
      <c r="AG936" s="77">
        <f>IF(OR($A936="",B936=""),"",MONTH(B936))</f>
        <v/>
      </c>
    </row>
    <row r="937">
      <c r="A937" s="7" t="inlineStr">
        <is>
          <t>OT-2026-0082</t>
        </is>
      </c>
      <c r="B937" s="75" t="n">
        <v>46062.69305555556</v>
      </c>
      <c r="C937" s="7" t="inlineStr">
        <is>
          <t>Hugo Blanc (chef d'équipe)</t>
        </is>
      </c>
      <c r="D937" s="7" t="inlineStr">
        <is>
          <t>EQ-SOU-001</t>
        </is>
      </c>
      <c r="E937" s="9">
        <f>IF(D937="","",IFERROR(INDEX('Équipements'!$B$5:$B$304,MATCH(D937,'Équipements'!$A$5:$A$304,0)),"Code inconnu"))</f>
        <v/>
      </c>
      <c r="F937" s="9">
        <f>IF(D937="","",IFERROR(INDEX('Équipements'!$D$5:$D$304,MATCH(D937,'Équipements'!$A$5:$A$304,0)),""))</f>
        <v/>
      </c>
      <c r="G937" s="9">
        <f>IF(D937="","",IFERROR(INDEX('Équipements'!$K$5:$K$304,MATCH(D937,'Équipements'!$A$5:$A$304,0)),""))</f>
        <v/>
      </c>
      <c r="H937" s="7" t="inlineStr">
        <is>
          <t>Correctif</t>
        </is>
      </c>
      <c r="I937" s="7" t="n"/>
      <c r="J937" s="7" t="inlineStr">
        <is>
          <t>Automatisme</t>
        </is>
      </c>
      <c r="K937" s="7" t="inlineStr">
        <is>
          <t>P1 - Urgent</t>
        </is>
      </c>
      <c r="L937" s="7" t="inlineStr">
        <is>
          <t>Perte de communication automate / robot</t>
        </is>
      </c>
      <c r="M937" s="7" t="inlineStr">
        <is>
          <t>Défaut logiciel/automate</t>
        </is>
      </c>
      <c r="N937" s="7" t="inlineStr">
        <is>
          <t>Remplacement câble réseau, redémarrage, sauvegarde</t>
        </is>
      </c>
      <c r="O937" s="7" t="inlineStr">
        <is>
          <t>Sophie Garnier</t>
        </is>
      </c>
      <c r="P937" s="65" t="n"/>
      <c r="Q937" s="75" t="n">
        <v>46062.71875</v>
      </c>
      <c r="R937" s="75" t="n">
        <v>46063.17708333334</v>
      </c>
      <c r="S937" s="76" t="n">
        <v>0</v>
      </c>
      <c r="T937" s="76" t="n">
        <v>11</v>
      </c>
      <c r="U937" s="70">
        <f>IF($A937="","",IFERROR(INDEX('Techniciens'!$F$5:$F$44,MATCH(O937,'Techniciens'!$B$5:$B$44,0)),'Paramètres'!$AA$10))</f>
        <v/>
      </c>
      <c r="V937" s="70">
        <f>IF($A937="","",IF(OR(AC937="Demandé",AC937="Planifié",AC937="Annulé"),0,N(T937)*N(U937)))</f>
        <v/>
      </c>
      <c r="W937" s="70">
        <f>IF($A937="","",SUMIFS('Mouvements stock'!$H$5:$H$3004,'Mouvements stock'!$I$5:$I$3004,$A937,'Mouvements stock'!$C$5:$C$3004,"Sortie")-SUMIFS('Mouvements stock'!$H$5:$H$3004,'Mouvements stock'!$I$5:$I$3004,$A937,'Mouvements stock'!$C$5:$C$3004,"Retour"))</f>
        <v/>
      </c>
      <c r="X937" s="66" t="n">
        <v>0</v>
      </c>
      <c r="Y937" s="66" t="n">
        <v>0</v>
      </c>
      <c r="Z937" s="7" t="n"/>
      <c r="AA937" s="70">
        <f>IF($A937="","",N(V937)+N(W937)+N(X937)+N(Y937))</f>
        <v/>
      </c>
      <c r="AB937" s="70">
        <f>IF($A937="","",N(S937)*'Paramètres'!$AA$9*IFERROR(INDEX('Paramètres'!$O$5:$O$7,MATCH(G937,'Paramètres'!$N$5:$N$7,0)),0))</f>
        <v/>
      </c>
      <c r="AC937" s="7" t="inlineStr">
        <is>
          <t>Clôturé</t>
        </is>
      </c>
      <c r="AD937" s="69">
        <f>IF(OR($A937="",Q937=""),"",(Q937-B937)*24)</f>
        <v/>
      </c>
      <c r="AE937" s="69">
        <f>IF(OR(Q937="",R937=""),"",(R937-Q937)*24)</f>
        <v/>
      </c>
      <c r="AF937" s="77">
        <f>IF(OR($A937="",B937=""),"",YEAR(B937))</f>
        <v/>
      </c>
      <c r="AG937" s="77">
        <f>IF(OR($A937="",B937=""),"",MONTH(B937))</f>
        <v/>
      </c>
    </row>
    <row r="938">
      <c r="A938" s="7" t="inlineStr">
        <is>
          <t>OT-2026-0083</t>
        </is>
      </c>
      <c r="B938" s="75" t="n">
        <v>46063.43402777778</v>
      </c>
      <c r="C938" s="7" t="inlineStr">
        <is>
          <t>Hugo Blanc (chef d'équipe)</t>
        </is>
      </c>
      <c r="D938" s="7" t="inlineStr">
        <is>
          <t>EQ-SOU-005</t>
        </is>
      </c>
      <c r="E938" s="9">
        <f>IF(D938="","",IFERROR(INDEX('Équipements'!$B$5:$B$304,MATCH(D938,'Équipements'!$A$5:$A$304,0)),"Code inconnu"))</f>
        <v/>
      </c>
      <c r="F938" s="9">
        <f>IF(D938="","",IFERROR(INDEX('Équipements'!$D$5:$D$304,MATCH(D938,'Équipements'!$A$5:$A$304,0)),""))</f>
        <v/>
      </c>
      <c r="G938" s="9">
        <f>IF(D938="","",IFERROR(INDEX('Équipements'!$K$5:$K$304,MATCH(D938,'Équipements'!$A$5:$A$304,0)),""))</f>
        <v/>
      </c>
      <c r="H938" s="7" t="inlineStr">
        <is>
          <t>Correctif</t>
        </is>
      </c>
      <c r="I938" s="7" t="n"/>
      <c r="J938" s="7" t="inlineStr">
        <is>
          <t>Mécanique</t>
        </is>
      </c>
      <c r="K938" s="7" t="inlineStr">
        <is>
          <t>P3 - Normale</t>
        </is>
      </c>
      <c r="L938" s="7" t="inlineStr">
        <is>
          <t>Groupe en défaut haute pression</t>
        </is>
      </c>
      <c r="M938" s="7" t="inlineStr">
        <is>
          <t>Encrassement</t>
        </is>
      </c>
      <c r="N938" s="7" t="inlineStr">
        <is>
          <t>Nettoyage condenseur, contrôle charge fluide</t>
        </is>
      </c>
      <c r="O938" s="7" t="inlineStr">
        <is>
          <t>Antoine Mercier</t>
        </is>
      </c>
      <c r="P938" s="65" t="n"/>
      <c r="Q938" s="75" t="n">
        <v>46064.98333333333</v>
      </c>
      <c r="R938" s="75" t="n">
        <v>46065.04583333333</v>
      </c>
      <c r="S938" s="76" t="n">
        <v>0</v>
      </c>
      <c r="T938" s="76" t="n">
        <v>1.5</v>
      </c>
      <c r="U938" s="70">
        <f>IF($A938="","",IFERROR(INDEX('Techniciens'!$F$5:$F$44,MATCH(O938,'Techniciens'!$B$5:$B$44,0)),'Paramètres'!$AA$10))</f>
        <v/>
      </c>
      <c r="V938" s="70">
        <f>IF($A938="","",IF(OR(AC938="Demandé",AC938="Planifié",AC938="Annulé"),0,N(T938)*N(U938)))</f>
        <v/>
      </c>
      <c r="W938" s="70">
        <f>IF($A938="","",SUMIFS('Mouvements stock'!$H$5:$H$3004,'Mouvements stock'!$I$5:$I$3004,$A938,'Mouvements stock'!$C$5:$C$3004,"Sortie")-SUMIFS('Mouvements stock'!$H$5:$H$3004,'Mouvements stock'!$I$5:$I$3004,$A938,'Mouvements stock'!$C$5:$C$3004,"Retour"))</f>
        <v/>
      </c>
      <c r="X938" s="66" t="n">
        <v>0</v>
      </c>
      <c r="Y938" s="66" t="n">
        <v>0</v>
      </c>
      <c r="Z938" s="7" t="n"/>
      <c r="AA938" s="70">
        <f>IF($A938="","",N(V938)+N(W938)+N(X938)+N(Y938))</f>
        <v/>
      </c>
      <c r="AB938" s="70">
        <f>IF($A938="","",N(S938)*'Paramètres'!$AA$9*IFERROR(INDEX('Paramètres'!$O$5:$O$7,MATCH(G938,'Paramètres'!$N$5:$N$7,0)),0))</f>
        <v/>
      </c>
      <c r="AC938" s="7" t="inlineStr">
        <is>
          <t>Clôturé</t>
        </is>
      </c>
      <c r="AD938" s="69">
        <f>IF(OR($A938="",Q938=""),"",(Q938-B938)*24)</f>
        <v/>
      </c>
      <c r="AE938" s="69">
        <f>IF(OR(Q938="",R938=""),"",(R938-Q938)*24)</f>
        <v/>
      </c>
      <c r="AF938" s="77">
        <f>IF(OR($A938="",B938=""),"",YEAR(B938))</f>
        <v/>
      </c>
      <c r="AG938" s="77">
        <f>IF(OR($A938="",B938=""),"",MONTH(B938))</f>
        <v/>
      </c>
    </row>
    <row r="939">
      <c r="A939" s="7" t="inlineStr">
        <is>
          <t>OT-2026-0084</t>
        </is>
      </c>
      <c r="B939" s="75" t="n">
        <v>46063.49305555555</v>
      </c>
      <c r="C939" s="7" t="inlineStr">
        <is>
          <t>Plan préventif</t>
        </is>
      </c>
      <c r="D939" s="7" t="inlineStr">
        <is>
          <t>EQ-USI-004</t>
        </is>
      </c>
      <c r="E939" s="9">
        <f>IF(D939="","",IFERROR(INDEX('Équipements'!$B$5:$B$304,MATCH(D939,'Équipements'!$A$5:$A$304,0)),"Code inconnu"))</f>
        <v/>
      </c>
      <c r="F939" s="9">
        <f>IF(D939="","",IFERROR(INDEX('Équipements'!$D$5:$D$304,MATCH(D939,'Équipements'!$A$5:$A$304,0)),""))</f>
        <v/>
      </c>
      <c r="G939" s="9">
        <f>IF(D939="","",IFERROR(INDEX('Équipements'!$K$5:$K$304,MATCH(D939,'Équipements'!$A$5:$A$304,0)),""))</f>
        <v/>
      </c>
      <c r="H939" s="7" t="inlineStr">
        <is>
          <t>Préventif systématique</t>
        </is>
      </c>
      <c r="I939" s="7" t="inlineStr">
        <is>
          <t>GP-014</t>
        </is>
      </c>
      <c r="J939" s="7" t="inlineStr">
        <is>
          <t>Mécanique</t>
        </is>
      </c>
      <c r="K939" s="7" t="inlineStr">
        <is>
          <t>P3 - Normale</t>
        </is>
      </c>
      <c r="L939" s="7" t="inlineStr">
        <is>
          <t>Contrôle géométrie, jeux et graissage des axes</t>
        </is>
      </c>
      <c r="M939" s="7" t="n"/>
      <c r="N939" s="7" t="inlineStr">
        <is>
          <t>Gamme réalisée - RAS</t>
        </is>
      </c>
      <c r="O939" s="7" t="inlineStr">
        <is>
          <t>Karim Benali</t>
        </is>
      </c>
      <c r="P939" s="65" t="n">
        <v>46070.72222222222</v>
      </c>
      <c r="Q939" s="75" t="n">
        <v>46070.29861111111</v>
      </c>
      <c r="R939" s="75" t="n">
        <v>46070.55902777778</v>
      </c>
      <c r="S939" s="76" t="n">
        <v>0</v>
      </c>
      <c r="T939" s="76" t="n">
        <v>6.25</v>
      </c>
      <c r="U939" s="70">
        <f>IF($A939="","",IFERROR(INDEX('Techniciens'!$F$5:$F$44,MATCH(O939,'Techniciens'!$B$5:$B$44,0)),'Paramètres'!$AA$10))</f>
        <v/>
      </c>
      <c r="V939" s="70">
        <f>IF($A939="","",IF(OR(AC939="Demandé",AC939="Planifié",AC939="Annulé"),0,N(T939)*N(U939)))</f>
        <v/>
      </c>
      <c r="W939" s="70">
        <f>IF($A939="","",SUMIFS('Mouvements stock'!$H$5:$H$3004,'Mouvements stock'!$I$5:$I$3004,$A939,'Mouvements stock'!$C$5:$C$3004,"Sortie")-SUMIFS('Mouvements stock'!$H$5:$H$3004,'Mouvements stock'!$I$5:$I$3004,$A939,'Mouvements stock'!$C$5:$C$3004,"Retour"))</f>
        <v/>
      </c>
      <c r="X939" s="66" t="n">
        <v>0</v>
      </c>
      <c r="Y939" s="66" t="n">
        <v>0</v>
      </c>
      <c r="Z939" s="7" t="n"/>
      <c r="AA939" s="70">
        <f>IF($A939="","",N(V939)+N(W939)+N(X939)+N(Y939))</f>
        <v/>
      </c>
      <c r="AB939" s="70">
        <f>IF($A939="","",N(S939)*'Paramètres'!$AA$9*IFERROR(INDEX('Paramètres'!$O$5:$O$7,MATCH(G939,'Paramètres'!$N$5:$N$7,0)),0))</f>
        <v/>
      </c>
      <c r="AC939" s="7" t="inlineStr">
        <is>
          <t>Clôturé</t>
        </is>
      </c>
      <c r="AD939" s="69">
        <f>IF(OR($A939="",Q939=""),"",(Q939-B939)*24)</f>
        <v/>
      </c>
      <c r="AE939" s="69">
        <f>IF(OR(Q939="",R939=""),"",(R939-Q939)*24)</f>
        <v/>
      </c>
      <c r="AF939" s="77">
        <f>IF(OR($A939="",B939=""),"",YEAR(B939))</f>
        <v/>
      </c>
      <c r="AG939" s="77">
        <f>IF(OR($A939="",B939=""),"",MONTH(B939))</f>
        <v/>
      </c>
    </row>
    <row r="940">
      <c r="A940" s="7" t="inlineStr">
        <is>
          <t>OT-2026-0085</t>
        </is>
      </c>
      <c r="B940" s="75" t="n">
        <v>46064.44027777778</v>
      </c>
      <c r="C940" s="7" t="inlineStr">
        <is>
          <t>Céline Morel (cheffe d'atelier)</t>
        </is>
      </c>
      <c r="D940" s="7" t="inlineStr">
        <is>
          <t>EQ-TOL-002</t>
        </is>
      </c>
      <c r="E940" s="9">
        <f>IF(D940="","",IFERROR(INDEX('Équipements'!$B$5:$B$304,MATCH(D940,'Équipements'!$A$5:$A$304,0)),"Code inconnu"))</f>
        <v/>
      </c>
      <c r="F940" s="9">
        <f>IF(D940="","",IFERROR(INDEX('Équipements'!$D$5:$D$304,MATCH(D940,'Équipements'!$A$5:$A$304,0)),""))</f>
        <v/>
      </c>
      <c r="G940" s="9">
        <f>IF(D940="","",IFERROR(INDEX('Équipements'!$K$5:$K$304,MATCH(D940,'Équipements'!$A$5:$A$304,0)),""))</f>
        <v/>
      </c>
      <c r="H940" s="7" t="inlineStr">
        <is>
          <t>Correctif</t>
        </is>
      </c>
      <c r="I940" s="7" t="n"/>
      <c r="J940" s="7" t="inlineStr">
        <is>
          <t>Mécanique</t>
        </is>
      </c>
      <c r="K940" s="7" t="inlineStr">
        <is>
          <t>P2 - Haute</t>
        </is>
      </c>
      <c r="L940" s="7" t="inlineStr">
        <is>
          <t>Butée arrière bloquée</t>
        </is>
      </c>
      <c r="M940" s="7" t="inlineStr">
        <is>
          <t>Casse mécanique</t>
        </is>
      </c>
      <c r="N940" s="7" t="inlineStr">
        <is>
          <t>Remplacement courroie et réglage butée</t>
        </is>
      </c>
      <c r="O940" s="7" t="inlineStr">
        <is>
          <t>Lucas Fontaine</t>
        </is>
      </c>
      <c r="P940" s="65" t="n"/>
      <c r="Q940" s="75" t="n">
        <v>46064.64513888889</v>
      </c>
      <c r="R940" s="75" t="n">
        <v>46064.67638888889</v>
      </c>
      <c r="S940" s="76" t="n">
        <v>5.7</v>
      </c>
      <c r="T940" s="76" t="n">
        <v>0.75</v>
      </c>
      <c r="U940" s="70">
        <f>IF($A940="","",IFERROR(INDEX('Techniciens'!$F$5:$F$44,MATCH(O940,'Techniciens'!$B$5:$B$44,0)),'Paramètres'!$AA$10))</f>
        <v/>
      </c>
      <c r="V940" s="70">
        <f>IF($A940="","",IF(OR(AC940="Demandé",AC940="Planifié",AC940="Annulé"),0,N(T940)*N(U940)))</f>
        <v/>
      </c>
      <c r="W940" s="70">
        <f>IF($A940="","",SUMIFS('Mouvements stock'!$H$5:$H$3004,'Mouvements stock'!$I$5:$I$3004,$A940,'Mouvements stock'!$C$5:$C$3004,"Sortie")-SUMIFS('Mouvements stock'!$H$5:$H$3004,'Mouvements stock'!$I$5:$I$3004,$A940,'Mouvements stock'!$C$5:$C$3004,"Retour"))</f>
        <v/>
      </c>
      <c r="X940" s="66" t="n">
        <v>586</v>
      </c>
      <c r="Y940" s="66" t="n">
        <v>1230</v>
      </c>
      <c r="Z940" s="7" t="inlineStr">
        <is>
          <t>HydroFluid Services</t>
        </is>
      </c>
      <c r="AA940" s="70">
        <f>IF($A940="","",N(V940)+N(W940)+N(X940)+N(Y940))</f>
        <v/>
      </c>
      <c r="AB940" s="70">
        <f>IF($A940="","",N(S940)*'Paramètres'!$AA$9*IFERROR(INDEX('Paramètres'!$O$5:$O$7,MATCH(G940,'Paramètres'!$N$5:$N$7,0)),0))</f>
        <v/>
      </c>
      <c r="AC940" s="7" t="inlineStr">
        <is>
          <t>Clôturé</t>
        </is>
      </c>
      <c r="AD940" s="69">
        <f>IF(OR($A940="",Q940=""),"",(Q940-B940)*24)</f>
        <v/>
      </c>
      <c r="AE940" s="69">
        <f>IF(OR(Q940="",R940=""),"",(R940-Q940)*24)</f>
        <v/>
      </c>
      <c r="AF940" s="77">
        <f>IF(OR($A940="",B940=""),"",YEAR(B940))</f>
        <v/>
      </c>
      <c r="AG940" s="77">
        <f>IF(OR($A940="",B940=""),"",MONTH(B940))</f>
        <v/>
      </c>
    </row>
    <row r="941">
      <c r="A941" s="7" t="inlineStr">
        <is>
          <t>OT-2026-0086</t>
        </is>
      </c>
      <c r="B941" s="75" t="n">
        <v>46064.81388888889</v>
      </c>
      <c r="C941" s="7" t="inlineStr">
        <is>
          <t>Éric Laurent (chef d'atelier)</t>
        </is>
      </c>
      <c r="D941" s="7" t="inlineStr">
        <is>
          <t>EQ-USI-006</t>
        </is>
      </c>
      <c r="E941" s="9">
        <f>IF(D941="","",IFERROR(INDEX('Équipements'!$B$5:$B$304,MATCH(D941,'Équipements'!$A$5:$A$304,0)),"Code inconnu"))</f>
        <v/>
      </c>
      <c r="F941" s="9">
        <f>IF(D941="","",IFERROR(INDEX('Équipements'!$D$5:$D$304,MATCH(D941,'Équipements'!$A$5:$A$304,0)),""))</f>
        <v/>
      </c>
      <c r="G941" s="9">
        <f>IF(D941="","",IFERROR(INDEX('Équipements'!$K$5:$K$304,MATCH(D941,'Équipements'!$A$5:$A$304,0)),""))</f>
        <v/>
      </c>
      <c r="H941" s="7" t="inlineStr">
        <is>
          <t>Correctif</t>
        </is>
      </c>
      <c r="I941" s="7" t="n"/>
      <c r="J941" s="7" t="inlineStr">
        <is>
          <t>Mécanique</t>
        </is>
      </c>
      <c r="K941" s="7" t="inlineStr">
        <is>
          <t>P2 - Haute</t>
        </is>
      </c>
      <c r="L941" s="7" t="inlineStr">
        <is>
          <t>Défaut pression graissage centralisé</t>
        </is>
      </c>
      <c r="M941" s="7" t="inlineStr">
        <is>
          <t>Défaut lubrification</t>
        </is>
      </c>
      <c r="N941" s="7" t="inlineStr">
        <is>
          <t>Nettoyage pompe de graissage, remplacement doseurs</t>
        </is>
      </c>
      <c r="O941" s="7" t="inlineStr">
        <is>
          <t>Antoine Mercier</t>
        </is>
      </c>
      <c r="P941" s="65" t="n"/>
      <c r="Q941" s="75" t="n">
        <v>46064.96527777778</v>
      </c>
      <c r="R941" s="75" t="n">
        <v>46065.12152777778</v>
      </c>
      <c r="S941" s="76" t="n">
        <v>7.4</v>
      </c>
      <c r="T941" s="76" t="n">
        <v>3.75</v>
      </c>
      <c r="U941" s="70">
        <f>IF($A941="","",IFERROR(INDEX('Techniciens'!$F$5:$F$44,MATCH(O941,'Techniciens'!$B$5:$B$44,0)),'Paramètres'!$AA$10))</f>
        <v/>
      </c>
      <c r="V941" s="70">
        <f>IF($A941="","",IF(OR(AC941="Demandé",AC941="Planifié",AC941="Annulé"),0,N(T941)*N(U941)))</f>
        <v/>
      </c>
      <c r="W941" s="70">
        <f>IF($A941="","",SUMIFS('Mouvements stock'!$H$5:$H$3004,'Mouvements stock'!$I$5:$I$3004,$A941,'Mouvements stock'!$C$5:$C$3004,"Sortie")-SUMIFS('Mouvements stock'!$H$5:$H$3004,'Mouvements stock'!$I$5:$I$3004,$A941,'Mouvements stock'!$C$5:$C$3004,"Retour"))</f>
        <v/>
      </c>
      <c r="X941" s="66" t="n">
        <v>649</v>
      </c>
      <c r="Y941" s="66" t="n">
        <v>0</v>
      </c>
      <c r="Z941" s="7" t="n"/>
      <c r="AA941" s="70">
        <f>IF($A941="","",N(V941)+N(W941)+N(X941)+N(Y941))</f>
        <v/>
      </c>
      <c r="AB941" s="70">
        <f>IF($A941="","",N(S941)*'Paramètres'!$AA$9*IFERROR(INDEX('Paramètres'!$O$5:$O$7,MATCH(G941,'Paramètres'!$N$5:$N$7,0)),0))</f>
        <v/>
      </c>
      <c r="AC941" s="7" t="inlineStr">
        <is>
          <t>Clôturé</t>
        </is>
      </c>
      <c r="AD941" s="69">
        <f>IF(OR($A941="",Q941=""),"",(Q941-B941)*24)</f>
        <v/>
      </c>
      <c r="AE941" s="69">
        <f>IF(OR(Q941="",R941=""),"",(R941-Q941)*24)</f>
        <v/>
      </c>
      <c r="AF941" s="77">
        <f>IF(OR($A941="",B941=""),"",YEAR(B941))</f>
        <v/>
      </c>
      <c r="AG941" s="77">
        <f>IF(OR($A941="",B941=""),"",MONTH(B941))</f>
        <v/>
      </c>
    </row>
    <row r="942">
      <c r="A942" s="7" t="inlineStr">
        <is>
          <t>OT-2026-0087</t>
        </is>
      </c>
      <c r="B942" s="75" t="n">
        <v>46065.48958333334</v>
      </c>
      <c r="C942" s="7" t="inlineStr">
        <is>
          <t>Plan préventif</t>
        </is>
      </c>
      <c r="D942" s="7" t="inlineStr">
        <is>
          <t>EQ-UTI-003</t>
        </is>
      </c>
      <c r="E942" s="9">
        <f>IF(D942="","",IFERROR(INDEX('Équipements'!$B$5:$B$304,MATCH(D942,'Équipements'!$A$5:$A$304,0)),"Code inconnu"))</f>
        <v/>
      </c>
      <c r="F942" s="9">
        <f>IF(D942="","",IFERROR(INDEX('Équipements'!$D$5:$D$304,MATCH(D942,'Équipements'!$A$5:$A$304,0)),""))</f>
        <v/>
      </c>
      <c r="G942" s="9">
        <f>IF(D942="","",IFERROR(INDEX('Équipements'!$K$5:$K$304,MATCH(D942,'Équipements'!$A$5:$A$304,0)),""))</f>
        <v/>
      </c>
      <c r="H942" s="7" t="inlineStr">
        <is>
          <t>Préventif systématique</t>
        </is>
      </c>
      <c r="I942" s="7" t="inlineStr">
        <is>
          <t>GP-092</t>
        </is>
      </c>
      <c r="J942" s="7" t="inlineStr">
        <is>
          <t>Pneumatique</t>
        </is>
      </c>
      <c r="K942" s="7" t="inlineStr">
        <is>
          <t>P3 - Normale</t>
        </is>
      </c>
      <c r="L942" s="7" t="inlineStr">
        <is>
          <t>Purge, contrôle fuites et point de rosée</t>
        </is>
      </c>
      <c r="M942" s="7" t="n"/>
      <c r="N942" s="7" t="inlineStr">
        <is>
          <t>Gamme réalisée - RAS</t>
        </is>
      </c>
      <c r="O942" s="7" t="inlineStr">
        <is>
          <t>Julien Moreau</t>
        </is>
      </c>
      <c r="P942" s="65" t="n">
        <v>46072.62152777778</v>
      </c>
      <c r="Q942" s="75" t="n">
        <v>46072.48958333334</v>
      </c>
      <c r="R942" s="75" t="n">
        <v>46072.55208333334</v>
      </c>
      <c r="S942" s="76" t="n">
        <v>0</v>
      </c>
      <c r="T942" s="76" t="n">
        <v>1.5</v>
      </c>
      <c r="U942" s="70">
        <f>IF($A942="","",IFERROR(INDEX('Techniciens'!$F$5:$F$44,MATCH(O942,'Techniciens'!$B$5:$B$44,0)),'Paramètres'!$AA$10))</f>
        <v/>
      </c>
      <c r="V942" s="70">
        <f>IF($A942="","",IF(OR(AC942="Demandé",AC942="Planifié",AC942="Annulé"),0,N(T942)*N(U942)))</f>
        <v/>
      </c>
      <c r="W942" s="70">
        <f>IF($A942="","",SUMIFS('Mouvements stock'!$H$5:$H$3004,'Mouvements stock'!$I$5:$I$3004,$A942,'Mouvements stock'!$C$5:$C$3004,"Sortie")-SUMIFS('Mouvements stock'!$H$5:$H$3004,'Mouvements stock'!$I$5:$I$3004,$A942,'Mouvements stock'!$C$5:$C$3004,"Retour"))</f>
        <v/>
      </c>
      <c r="X942" s="66" t="n">
        <v>0</v>
      </c>
      <c r="Y942" s="66" t="n">
        <v>0</v>
      </c>
      <c r="Z942" s="7" t="n"/>
      <c r="AA942" s="70">
        <f>IF($A942="","",N(V942)+N(W942)+N(X942)+N(Y942))</f>
        <v/>
      </c>
      <c r="AB942" s="70">
        <f>IF($A942="","",N(S942)*'Paramètres'!$AA$9*IFERROR(INDEX('Paramètres'!$O$5:$O$7,MATCH(G942,'Paramètres'!$N$5:$N$7,0)),0))</f>
        <v/>
      </c>
      <c r="AC942" s="7" t="inlineStr">
        <is>
          <t>Clôturé</t>
        </is>
      </c>
      <c r="AD942" s="69">
        <f>IF(OR($A942="",Q942=""),"",(Q942-B942)*24)</f>
        <v/>
      </c>
      <c r="AE942" s="69">
        <f>IF(OR(Q942="",R942=""),"",(R942-Q942)*24)</f>
        <v/>
      </c>
      <c r="AF942" s="77">
        <f>IF(OR($A942="",B942=""),"",YEAR(B942))</f>
        <v/>
      </c>
      <c r="AG942" s="77">
        <f>IF(OR($A942="",B942=""),"",MONTH(B942))</f>
        <v/>
      </c>
    </row>
    <row r="943">
      <c r="A943" s="7" t="inlineStr">
        <is>
          <t>OT-2026-0088</t>
        </is>
      </c>
      <c r="B943" s="75" t="n">
        <v>46066.42361111111</v>
      </c>
      <c r="C943" s="7" t="inlineStr">
        <is>
          <t>Plan préventif</t>
        </is>
      </c>
      <c r="D943" s="7" t="inlineStr">
        <is>
          <t>EQ-UTI-002</t>
        </is>
      </c>
      <c r="E943" s="9">
        <f>IF(D943="","",IFERROR(INDEX('Équipements'!$B$5:$B$304,MATCH(D943,'Équipements'!$A$5:$A$304,0)),"Code inconnu"))</f>
        <v/>
      </c>
      <c r="F943" s="9">
        <f>IF(D943="","",IFERROR(INDEX('Équipements'!$D$5:$D$304,MATCH(D943,'Équipements'!$A$5:$A$304,0)),""))</f>
        <v/>
      </c>
      <c r="G943" s="9">
        <f>IF(D943="","",IFERROR(INDEX('Équipements'!$K$5:$K$304,MATCH(D943,'Équipements'!$A$5:$A$304,0)),""))</f>
        <v/>
      </c>
      <c r="H943" s="7" t="inlineStr">
        <is>
          <t>Préventif systématique</t>
        </is>
      </c>
      <c r="I943" s="7" t="inlineStr">
        <is>
          <t>GP-090</t>
        </is>
      </c>
      <c r="J943" s="7" t="inlineStr">
        <is>
          <t>Pneumatique</t>
        </is>
      </c>
      <c r="K943" s="7" t="inlineStr">
        <is>
          <t>P3 - Normale</t>
        </is>
      </c>
      <c r="L943" s="7" t="inlineStr">
        <is>
          <t>Purge, contrôle fuites et point de rosée</t>
        </is>
      </c>
      <c r="M943" s="7" t="n"/>
      <c r="N943" s="7" t="inlineStr">
        <is>
          <t>Gamme réalisée - RAS</t>
        </is>
      </c>
      <c r="O943" s="7" t="inlineStr">
        <is>
          <t>Lucas Fontaine</t>
        </is>
      </c>
      <c r="P943" s="65" t="n">
        <v>46073.39236111111</v>
      </c>
      <c r="Q943" s="75" t="n">
        <v>46073.27083333334</v>
      </c>
      <c r="R943" s="75" t="n">
        <v>46073.32291666666</v>
      </c>
      <c r="S943" s="76" t="n">
        <v>0</v>
      </c>
      <c r="T943" s="76" t="n">
        <v>1.25</v>
      </c>
      <c r="U943" s="70">
        <f>IF($A943="","",IFERROR(INDEX('Techniciens'!$F$5:$F$44,MATCH(O943,'Techniciens'!$B$5:$B$44,0)),'Paramètres'!$AA$10))</f>
        <v/>
      </c>
      <c r="V943" s="70">
        <f>IF($A943="","",IF(OR(AC943="Demandé",AC943="Planifié",AC943="Annulé"),0,N(T943)*N(U943)))</f>
        <v/>
      </c>
      <c r="W943" s="70">
        <f>IF($A943="","",SUMIFS('Mouvements stock'!$H$5:$H$3004,'Mouvements stock'!$I$5:$I$3004,$A943,'Mouvements stock'!$C$5:$C$3004,"Sortie")-SUMIFS('Mouvements stock'!$H$5:$H$3004,'Mouvements stock'!$I$5:$I$3004,$A943,'Mouvements stock'!$C$5:$C$3004,"Retour"))</f>
        <v/>
      </c>
      <c r="X943" s="66" t="n">
        <v>0</v>
      </c>
      <c r="Y943" s="66" t="n">
        <v>0</v>
      </c>
      <c r="Z943" s="7" t="n"/>
      <c r="AA943" s="70">
        <f>IF($A943="","",N(V943)+N(W943)+N(X943)+N(Y943))</f>
        <v/>
      </c>
      <c r="AB943" s="70">
        <f>IF($A943="","",N(S943)*'Paramètres'!$AA$9*IFERROR(INDEX('Paramètres'!$O$5:$O$7,MATCH(G943,'Paramètres'!$N$5:$N$7,0)),0))</f>
        <v/>
      </c>
      <c r="AC943" s="7" t="inlineStr">
        <is>
          <t>Clôturé</t>
        </is>
      </c>
      <c r="AD943" s="69">
        <f>IF(OR($A943="",Q943=""),"",(Q943-B943)*24)</f>
        <v/>
      </c>
      <c r="AE943" s="69">
        <f>IF(OR(Q943="",R943=""),"",(R943-Q943)*24)</f>
        <v/>
      </c>
      <c r="AF943" s="77">
        <f>IF(OR($A943="",B943=""),"",YEAR(B943))</f>
        <v/>
      </c>
      <c r="AG943" s="77">
        <f>IF(OR($A943="",B943=""),"",MONTH(B943))</f>
        <v/>
      </c>
    </row>
    <row r="944">
      <c r="A944" s="7" t="inlineStr">
        <is>
          <t>OT-2026-0089</t>
        </is>
      </c>
      <c r="B944" s="75" t="n">
        <v>46066.60555555556</v>
      </c>
      <c r="C944" s="7" t="inlineStr">
        <is>
          <t>Marc Lefèvre</t>
        </is>
      </c>
      <c r="D944" s="7" t="inlineStr">
        <is>
          <t>EQ-UTI-003</t>
        </is>
      </c>
      <c r="E944" s="9">
        <f>IF(D944="","",IFERROR(INDEX('Équipements'!$B$5:$B$304,MATCH(D944,'Équipements'!$A$5:$A$304,0)),"Code inconnu"))</f>
        <v/>
      </c>
      <c r="F944" s="9">
        <f>IF(D944="","",IFERROR(INDEX('Équipements'!$D$5:$D$304,MATCH(D944,'Équipements'!$A$5:$A$304,0)),""))</f>
        <v/>
      </c>
      <c r="G944" s="9">
        <f>IF(D944="","",IFERROR(INDEX('Équipements'!$K$5:$K$304,MATCH(D944,'Équipements'!$A$5:$A$304,0)),""))</f>
        <v/>
      </c>
      <c r="H944" s="7" t="inlineStr">
        <is>
          <t>Correctif</t>
        </is>
      </c>
      <c r="I944" s="7" t="n"/>
      <c r="J944" s="7" t="inlineStr">
        <is>
          <t>Pneumatique</t>
        </is>
      </c>
      <c r="K944" s="7" t="inlineStr">
        <is>
          <t>P3 - Normale</t>
        </is>
      </c>
      <c r="L944" s="7" t="inlineStr">
        <is>
          <t>Purgeur de condensats bloqué</t>
        </is>
      </c>
      <c r="M944" s="7" t="inlineStr">
        <is>
          <t>Encrassement</t>
        </is>
      </c>
      <c r="N944" s="7" t="inlineStr">
        <is>
          <t>Remplacement purgeur électronique</t>
        </is>
      </c>
      <c r="O944" s="7" t="inlineStr">
        <is>
          <t>Julien Moreau</t>
        </is>
      </c>
      <c r="P944" s="65" t="n"/>
      <c r="Q944" s="75" t="n">
        <v>46068.41805555556</v>
      </c>
      <c r="R944" s="75" t="n">
        <v>46068.53263888889</v>
      </c>
      <c r="S944" s="76" t="n">
        <v>2.8</v>
      </c>
      <c r="T944" s="76" t="n">
        <v>2.75</v>
      </c>
      <c r="U944" s="70">
        <f>IF($A944="","",IFERROR(INDEX('Techniciens'!$F$5:$F$44,MATCH(O944,'Techniciens'!$B$5:$B$44,0)),'Paramètres'!$AA$10))</f>
        <v/>
      </c>
      <c r="V944" s="70">
        <f>IF($A944="","",IF(OR(AC944="Demandé",AC944="Planifié",AC944="Annulé"),0,N(T944)*N(U944)))</f>
        <v/>
      </c>
      <c r="W944" s="70">
        <f>IF($A944="","",SUMIFS('Mouvements stock'!$H$5:$H$3004,'Mouvements stock'!$I$5:$I$3004,$A944,'Mouvements stock'!$C$5:$C$3004,"Sortie")-SUMIFS('Mouvements stock'!$H$5:$H$3004,'Mouvements stock'!$I$5:$I$3004,$A944,'Mouvements stock'!$C$5:$C$3004,"Retour"))</f>
        <v/>
      </c>
      <c r="X944" s="66" t="n">
        <v>0</v>
      </c>
      <c r="Y944" s="66" t="n">
        <v>0</v>
      </c>
      <c r="Z944" s="7" t="n"/>
      <c r="AA944" s="70">
        <f>IF($A944="","",N(V944)+N(W944)+N(X944)+N(Y944))</f>
        <v/>
      </c>
      <c r="AB944" s="70">
        <f>IF($A944="","",N(S944)*'Paramètres'!$AA$9*IFERROR(INDEX('Paramètres'!$O$5:$O$7,MATCH(G944,'Paramètres'!$N$5:$N$7,0)),0))</f>
        <v/>
      </c>
      <c r="AC944" s="7" t="inlineStr">
        <is>
          <t>Clôturé</t>
        </is>
      </c>
      <c r="AD944" s="69">
        <f>IF(OR($A944="",Q944=""),"",(Q944-B944)*24)</f>
        <v/>
      </c>
      <c r="AE944" s="69">
        <f>IF(OR(Q944="",R944=""),"",(R944-Q944)*24)</f>
        <v/>
      </c>
      <c r="AF944" s="77">
        <f>IF(OR($A944="",B944=""),"",YEAR(B944))</f>
        <v/>
      </c>
      <c r="AG944" s="77">
        <f>IF(OR($A944="",B944=""),"",MONTH(B944))</f>
        <v/>
      </c>
    </row>
    <row r="945">
      <c r="A945" s="7" t="inlineStr">
        <is>
          <t>OT-2026-0090</t>
        </is>
      </c>
      <c r="B945" s="75" t="n">
        <v>46066.73194444444</v>
      </c>
      <c r="C945" s="7" t="inlineStr">
        <is>
          <t>Sylvie Mathieu (resp. logistique)</t>
        </is>
      </c>
      <c r="D945" s="7" t="inlineStr">
        <is>
          <t>EQ-LOG-007</t>
        </is>
      </c>
      <c r="E945" s="9">
        <f>IF(D945="","",IFERROR(INDEX('Équipements'!$B$5:$B$304,MATCH(D945,'Équipements'!$A$5:$A$304,0)),"Code inconnu"))</f>
        <v/>
      </c>
      <c r="F945" s="9">
        <f>IF(D945="","",IFERROR(INDEX('Équipements'!$D$5:$D$304,MATCH(D945,'Équipements'!$A$5:$A$304,0)),""))</f>
        <v/>
      </c>
      <c r="G945" s="9">
        <f>IF(D945="","",IFERROR(INDEX('Équipements'!$K$5:$K$304,MATCH(D945,'Équipements'!$A$5:$A$304,0)),""))</f>
        <v/>
      </c>
      <c r="H945" s="7" t="inlineStr">
        <is>
          <t>Correctif</t>
        </is>
      </c>
      <c r="I945" s="7" t="n"/>
      <c r="J945" s="7" t="inlineStr">
        <is>
          <t>Mécanique</t>
        </is>
      </c>
      <c r="K945" s="7" t="inlineStr">
        <is>
          <t>P2 - Haute</t>
        </is>
      </c>
      <c r="L945" s="7" t="inlineStr">
        <is>
          <t>Frein de levée bruyant</t>
        </is>
      </c>
      <c r="M945" s="7" t="inlineStr">
        <is>
          <t>Usure</t>
        </is>
      </c>
      <c r="N945" s="7" t="inlineStr">
        <is>
          <t>Réglage et remplacement garnitures</t>
        </is>
      </c>
      <c r="O945" s="7" t="inlineStr">
        <is>
          <t>Karim Benali</t>
        </is>
      </c>
      <c r="P945" s="65" t="n"/>
      <c r="Q945" s="75" t="n">
        <v>46066.94583333333</v>
      </c>
      <c r="R945" s="75" t="n">
        <v>46067.34166666667</v>
      </c>
      <c r="S945" s="76" t="n">
        <v>14.6</v>
      </c>
      <c r="T945" s="76" t="n">
        <v>9.5</v>
      </c>
      <c r="U945" s="70">
        <f>IF($A945="","",IFERROR(INDEX('Techniciens'!$F$5:$F$44,MATCH(O945,'Techniciens'!$B$5:$B$44,0)),'Paramètres'!$AA$10))</f>
        <v/>
      </c>
      <c r="V945" s="70">
        <f>IF($A945="","",IF(OR(AC945="Demandé",AC945="Planifié",AC945="Annulé"),0,N(T945)*N(U945)))</f>
        <v/>
      </c>
      <c r="W945" s="70">
        <f>IF($A945="","",SUMIFS('Mouvements stock'!$H$5:$H$3004,'Mouvements stock'!$I$5:$I$3004,$A945,'Mouvements stock'!$C$5:$C$3004,"Sortie")-SUMIFS('Mouvements stock'!$H$5:$H$3004,'Mouvements stock'!$I$5:$I$3004,$A945,'Mouvements stock'!$C$5:$C$3004,"Retour"))</f>
        <v/>
      </c>
      <c r="X945" s="66" t="n">
        <v>234</v>
      </c>
      <c r="Y945" s="66" t="n">
        <v>770</v>
      </c>
      <c r="Z945" s="7" t="inlineStr">
        <is>
          <t>Levage Expertise Ouest</t>
        </is>
      </c>
      <c r="AA945" s="70">
        <f>IF($A945="","",N(V945)+N(W945)+N(X945)+N(Y945))</f>
        <v/>
      </c>
      <c r="AB945" s="70">
        <f>IF($A945="","",N(S945)*'Paramètres'!$AA$9*IFERROR(INDEX('Paramètres'!$O$5:$O$7,MATCH(G945,'Paramètres'!$N$5:$N$7,0)),0))</f>
        <v/>
      </c>
      <c r="AC945" s="7" t="inlineStr">
        <is>
          <t>Clôturé</t>
        </is>
      </c>
      <c r="AD945" s="69">
        <f>IF(OR($A945="",Q945=""),"",(Q945-B945)*24)</f>
        <v/>
      </c>
      <c r="AE945" s="69">
        <f>IF(OR(Q945="",R945=""),"",(R945-Q945)*24)</f>
        <v/>
      </c>
      <c r="AF945" s="77">
        <f>IF(OR($A945="",B945=""),"",YEAR(B945))</f>
        <v/>
      </c>
      <c r="AG945" s="77">
        <f>IF(OR($A945="",B945=""),"",MONTH(B945))</f>
        <v/>
      </c>
    </row>
    <row r="946">
      <c r="A946" s="7" t="inlineStr">
        <is>
          <t>OT-2026-0091</t>
        </is>
      </c>
      <c r="B946" s="75" t="n">
        <v>46067.27430555555</v>
      </c>
      <c r="C946" s="7" t="inlineStr">
        <is>
          <t>Cariste</t>
        </is>
      </c>
      <c r="D946" s="7" t="inlineStr">
        <is>
          <t>EQ-LOG-003</t>
        </is>
      </c>
      <c r="E946" s="9">
        <f>IF(D946="","",IFERROR(INDEX('Équipements'!$B$5:$B$304,MATCH(D946,'Équipements'!$A$5:$A$304,0)),"Code inconnu"))</f>
        <v/>
      </c>
      <c r="F946" s="9">
        <f>IF(D946="","",IFERROR(INDEX('Équipements'!$D$5:$D$304,MATCH(D946,'Équipements'!$A$5:$A$304,0)),""))</f>
        <v/>
      </c>
      <c r="G946" s="9">
        <f>IF(D946="","",IFERROR(INDEX('Équipements'!$K$5:$K$304,MATCH(D946,'Équipements'!$A$5:$A$304,0)),""))</f>
        <v/>
      </c>
      <c r="H946" s="7" t="inlineStr">
        <is>
          <t>Correctif</t>
        </is>
      </c>
      <c r="I946" s="7" t="n"/>
      <c r="J946" s="7" t="inlineStr">
        <is>
          <t>Mécanique</t>
        </is>
      </c>
      <c r="K946" s="7" t="inlineStr">
        <is>
          <t>P4 - Basse</t>
        </is>
      </c>
      <c r="L946" s="7" t="inlineStr">
        <is>
          <t>Bandage de roue usé / arraché</t>
        </is>
      </c>
      <c r="M946" s="7" t="inlineStr">
        <is>
          <t>Usure</t>
        </is>
      </c>
      <c r="N946" s="7" t="inlineStr">
        <is>
          <t>Remplacement bandage</t>
        </is>
      </c>
      <c r="O946" s="7" t="inlineStr">
        <is>
          <t>Karim Benali</t>
        </is>
      </c>
      <c r="P946" s="65" t="n"/>
      <c r="Q946" s="75" t="n">
        <v>46073.69513888889</v>
      </c>
      <c r="R946" s="75" t="n">
        <v>46074.13263888889</v>
      </c>
      <c r="S946" s="76" t="n">
        <v>0</v>
      </c>
      <c r="T946" s="76" t="n">
        <v>10.5</v>
      </c>
      <c r="U946" s="70">
        <f>IF($A946="","",IFERROR(INDEX('Techniciens'!$F$5:$F$44,MATCH(O946,'Techniciens'!$B$5:$B$44,0)),'Paramètres'!$AA$10))</f>
        <v/>
      </c>
      <c r="V946" s="70">
        <f>IF($A946="","",IF(OR(AC946="Demandé",AC946="Planifié",AC946="Annulé"),0,N(T946)*N(U946)))</f>
        <v/>
      </c>
      <c r="W946" s="70">
        <f>IF($A946="","",SUMIFS('Mouvements stock'!$H$5:$H$3004,'Mouvements stock'!$I$5:$I$3004,$A946,'Mouvements stock'!$C$5:$C$3004,"Sortie")-SUMIFS('Mouvements stock'!$H$5:$H$3004,'Mouvements stock'!$I$5:$I$3004,$A946,'Mouvements stock'!$C$5:$C$3004,"Retour"))</f>
        <v/>
      </c>
      <c r="X946" s="66" t="n">
        <v>0</v>
      </c>
      <c r="Y946" s="66" t="n">
        <v>0</v>
      </c>
      <c r="Z946" s="7" t="n"/>
      <c r="AA946" s="70">
        <f>IF($A946="","",N(V946)+N(W946)+N(X946)+N(Y946))</f>
        <v/>
      </c>
      <c r="AB946" s="70">
        <f>IF($A946="","",N(S946)*'Paramètres'!$AA$9*IFERROR(INDEX('Paramètres'!$O$5:$O$7,MATCH(G946,'Paramètres'!$N$5:$N$7,0)),0))</f>
        <v/>
      </c>
      <c r="AC946" s="7" t="inlineStr">
        <is>
          <t>Clôturé</t>
        </is>
      </c>
      <c r="AD946" s="69">
        <f>IF(OR($A946="",Q946=""),"",(Q946-B946)*24)</f>
        <v/>
      </c>
      <c r="AE946" s="69">
        <f>IF(OR(Q946="",R946=""),"",(R946-Q946)*24)</f>
        <v/>
      </c>
      <c r="AF946" s="77">
        <f>IF(OR($A946="",B946=""),"",YEAR(B946))</f>
        <v/>
      </c>
      <c r="AG946" s="77">
        <f>IF(OR($A946="",B946=""),"",MONTH(B946))</f>
        <v/>
      </c>
    </row>
    <row r="947">
      <c r="A947" s="7" t="inlineStr">
        <is>
          <t>OT-2026-0092</t>
        </is>
      </c>
      <c r="B947" s="75" t="n">
        <v>46069.38888888889</v>
      </c>
      <c r="C947" s="7" t="inlineStr">
        <is>
          <t>Plan préventif</t>
        </is>
      </c>
      <c r="D947" s="7" t="inlineStr">
        <is>
          <t>EQ-USI-001</t>
        </is>
      </c>
      <c r="E947" s="9">
        <f>IF(D947="","",IFERROR(INDEX('Équipements'!$B$5:$B$304,MATCH(D947,'Équipements'!$A$5:$A$304,0)),"Code inconnu"))</f>
        <v/>
      </c>
      <c r="F947" s="9">
        <f>IF(D947="","",IFERROR(INDEX('Équipements'!$D$5:$D$304,MATCH(D947,'Équipements'!$A$5:$A$304,0)),""))</f>
        <v/>
      </c>
      <c r="G947" s="9">
        <f>IF(D947="","",IFERROR(INDEX('Équipements'!$K$5:$K$304,MATCH(D947,'Équipements'!$A$5:$A$304,0)),""))</f>
        <v/>
      </c>
      <c r="H947" s="7" t="inlineStr">
        <is>
          <t>Préventif systématique</t>
        </is>
      </c>
      <c r="I947" s="7" t="inlineStr">
        <is>
          <t>GP-002</t>
        </is>
      </c>
      <c r="J947" s="7" t="inlineStr">
        <is>
          <t>Mécanique</t>
        </is>
      </c>
      <c r="K947" s="7" t="inlineStr">
        <is>
          <t>P3 - Normale</t>
        </is>
      </c>
      <c r="L947" s="7" t="inlineStr">
        <is>
          <t>Contrôle géométrie, jeux et graissage des axes</t>
        </is>
      </c>
      <c r="M947" s="7" t="n"/>
      <c r="N947" s="7" t="inlineStr">
        <is>
          <t>Gamme réalisée - RAS</t>
        </is>
      </c>
      <c r="O947" s="7" t="inlineStr">
        <is>
          <t>Antoine Mercier</t>
        </is>
      </c>
      <c r="P947" s="65" t="n">
        <v>46076.60416666666</v>
      </c>
      <c r="Q947" s="75" t="n">
        <v>46076.5625</v>
      </c>
      <c r="R947" s="75" t="n">
        <v>46076.82291666666</v>
      </c>
      <c r="S947" s="76" t="n">
        <v>6.2</v>
      </c>
      <c r="T947" s="76" t="n">
        <v>6.25</v>
      </c>
      <c r="U947" s="70">
        <f>IF($A947="","",IFERROR(INDEX('Techniciens'!$F$5:$F$44,MATCH(O947,'Techniciens'!$B$5:$B$44,0)),'Paramètres'!$AA$10))</f>
        <v/>
      </c>
      <c r="V947" s="70">
        <f>IF($A947="","",IF(OR(AC947="Demandé",AC947="Planifié",AC947="Annulé"),0,N(T947)*N(U947)))</f>
        <v/>
      </c>
      <c r="W947" s="70">
        <f>IF($A947="","",SUMIFS('Mouvements stock'!$H$5:$H$3004,'Mouvements stock'!$I$5:$I$3004,$A947,'Mouvements stock'!$C$5:$C$3004,"Sortie")-SUMIFS('Mouvements stock'!$H$5:$H$3004,'Mouvements stock'!$I$5:$I$3004,$A947,'Mouvements stock'!$C$5:$C$3004,"Retour"))</f>
        <v/>
      </c>
      <c r="X947" s="66" t="n">
        <v>0</v>
      </c>
      <c r="Y947" s="66" t="n">
        <v>0</v>
      </c>
      <c r="Z947" s="7" t="n"/>
      <c r="AA947" s="70">
        <f>IF($A947="","",N(V947)+N(W947)+N(X947)+N(Y947))</f>
        <v/>
      </c>
      <c r="AB947" s="70">
        <f>IF($A947="","",N(S947)*'Paramètres'!$AA$9*IFERROR(INDEX('Paramètres'!$O$5:$O$7,MATCH(G947,'Paramètres'!$N$5:$N$7,0)),0))</f>
        <v/>
      </c>
      <c r="AC947" s="7" t="inlineStr">
        <is>
          <t>Clôturé</t>
        </is>
      </c>
      <c r="AD947" s="69">
        <f>IF(OR($A947="",Q947=""),"",(Q947-B947)*24)</f>
        <v/>
      </c>
      <c r="AE947" s="69">
        <f>IF(OR(Q947="",R947=""),"",(R947-Q947)*24)</f>
        <v/>
      </c>
      <c r="AF947" s="77">
        <f>IF(OR($A947="",B947=""),"",YEAR(B947))</f>
        <v/>
      </c>
      <c r="AG947" s="77">
        <f>IF(OR($A947="",B947=""),"",MONTH(B947))</f>
        <v/>
      </c>
    </row>
    <row r="948">
      <c r="A948" s="7" t="inlineStr">
        <is>
          <t>OT-2026-0093</t>
        </is>
      </c>
      <c r="B948" s="75" t="n">
        <v>46069.39583333334</v>
      </c>
      <c r="C948" s="7" t="inlineStr">
        <is>
          <t>Plan préventif</t>
        </is>
      </c>
      <c r="D948" s="7" t="inlineStr">
        <is>
          <t>EQ-PEI-004</t>
        </is>
      </c>
      <c r="E948" s="9">
        <f>IF(D948="","",IFERROR(INDEX('Équipements'!$B$5:$B$304,MATCH(D948,'Équipements'!$A$5:$A$304,0)),"Code inconnu"))</f>
        <v/>
      </c>
      <c r="F948" s="9">
        <f>IF(D948="","",IFERROR(INDEX('Équipements'!$D$5:$D$304,MATCH(D948,'Équipements'!$A$5:$A$304,0)),""))</f>
        <v/>
      </c>
      <c r="G948" s="9">
        <f>IF(D948="","",IFERROR(INDEX('Équipements'!$K$5:$K$304,MATCH(D948,'Équipements'!$A$5:$A$304,0)),""))</f>
        <v/>
      </c>
      <c r="H948" s="7" t="inlineStr">
        <is>
          <t>Préventif systématique</t>
        </is>
      </c>
      <c r="I948" s="7" t="inlineStr">
        <is>
          <t>GP-072</t>
        </is>
      </c>
      <c r="J948" s="7" t="inlineStr">
        <is>
          <t>Mécanique</t>
        </is>
      </c>
      <c r="K948" s="7" t="inlineStr">
        <is>
          <t>P3 - Normale</t>
        </is>
      </c>
      <c r="L948" s="7" t="inlineStr">
        <is>
          <t>Graissage chaîne / galets et contrôle tension</t>
        </is>
      </c>
      <c r="M948" s="7" t="n"/>
      <c r="N948" s="7" t="inlineStr">
        <is>
          <t>Gamme réalisée - RAS</t>
        </is>
      </c>
      <c r="O948" s="7" t="inlineStr">
        <is>
          <t>Karim Benali</t>
        </is>
      </c>
      <c r="P948" s="65" t="n">
        <v>46076.44791666666</v>
      </c>
      <c r="Q948" s="75" t="n">
        <v>46076.5</v>
      </c>
      <c r="R948" s="75" t="n">
        <v>46076.59375</v>
      </c>
      <c r="S948" s="76" t="n">
        <v>0</v>
      </c>
      <c r="T948" s="76" t="n">
        <v>2.25</v>
      </c>
      <c r="U948" s="70">
        <f>IF($A948="","",IFERROR(INDEX('Techniciens'!$F$5:$F$44,MATCH(O948,'Techniciens'!$B$5:$B$44,0)),'Paramètres'!$AA$10))</f>
        <v/>
      </c>
      <c r="V948" s="70">
        <f>IF($A948="","",IF(OR(AC948="Demandé",AC948="Planifié",AC948="Annulé"),0,N(T948)*N(U948)))</f>
        <v/>
      </c>
      <c r="W948" s="70">
        <f>IF($A948="","",SUMIFS('Mouvements stock'!$H$5:$H$3004,'Mouvements stock'!$I$5:$I$3004,$A948,'Mouvements stock'!$C$5:$C$3004,"Sortie")-SUMIFS('Mouvements stock'!$H$5:$H$3004,'Mouvements stock'!$I$5:$I$3004,$A948,'Mouvements stock'!$C$5:$C$3004,"Retour"))</f>
        <v/>
      </c>
      <c r="X948" s="66" t="n">
        <v>0</v>
      </c>
      <c r="Y948" s="66" t="n">
        <v>0</v>
      </c>
      <c r="Z948" s="7" t="n"/>
      <c r="AA948" s="70">
        <f>IF($A948="","",N(V948)+N(W948)+N(X948)+N(Y948))</f>
        <v/>
      </c>
      <c r="AB948" s="70">
        <f>IF($A948="","",N(S948)*'Paramètres'!$AA$9*IFERROR(INDEX('Paramètres'!$O$5:$O$7,MATCH(G948,'Paramètres'!$N$5:$N$7,0)),0))</f>
        <v/>
      </c>
      <c r="AC948" s="7" t="inlineStr">
        <is>
          <t>Clôturé</t>
        </is>
      </c>
      <c r="AD948" s="69">
        <f>IF(OR($A948="",Q948=""),"",(Q948-B948)*24)</f>
        <v/>
      </c>
      <c r="AE948" s="69">
        <f>IF(OR(Q948="",R948=""),"",(R948-Q948)*24)</f>
        <v/>
      </c>
      <c r="AF948" s="77">
        <f>IF(OR($A948="",B948=""),"",YEAR(B948))</f>
        <v/>
      </c>
      <c r="AG948" s="77">
        <f>IF(OR($A948="",B948=""),"",MONTH(B948))</f>
        <v/>
      </c>
    </row>
    <row r="949">
      <c r="A949" s="7" t="inlineStr">
        <is>
          <t>OT-2026-0094</t>
        </is>
      </c>
      <c r="B949" s="75" t="n">
        <v>46069.39583333334</v>
      </c>
      <c r="C949" s="7" t="inlineStr">
        <is>
          <t>Plan préventif</t>
        </is>
      </c>
      <c r="D949" s="7" t="inlineStr">
        <is>
          <t>EQ-LOG-006</t>
        </is>
      </c>
      <c r="E949" s="9">
        <f>IF(D949="","",IFERROR(INDEX('Équipements'!$B$5:$B$304,MATCH(D949,'Équipements'!$A$5:$A$304,0)),"Code inconnu"))</f>
        <v/>
      </c>
      <c r="F949" s="9">
        <f>IF(D949="","",IFERROR(INDEX('Équipements'!$D$5:$D$304,MATCH(D949,'Équipements'!$A$5:$A$304,0)),""))</f>
        <v/>
      </c>
      <c r="G949" s="9">
        <f>IF(D949="","",IFERROR(INDEX('Équipements'!$K$5:$K$304,MATCH(D949,'Équipements'!$A$5:$A$304,0)),""))</f>
        <v/>
      </c>
      <c r="H949" s="7" t="inlineStr">
        <is>
          <t>Préventif systématique</t>
        </is>
      </c>
      <c r="I949" s="7" t="inlineStr">
        <is>
          <t>GP-116</t>
        </is>
      </c>
      <c r="J949" s="7" t="inlineStr">
        <is>
          <t>Mécanique</t>
        </is>
      </c>
      <c r="K949" s="7" t="inlineStr">
        <is>
          <t>P3 - Normale</t>
        </is>
      </c>
      <c r="L949" s="7" t="inlineStr">
        <is>
          <t>Graissage et entretien annuel</t>
        </is>
      </c>
      <c r="M949" s="7" t="n"/>
      <c r="N949" s="7" t="inlineStr">
        <is>
          <t>Gamme réalisée - RAS</t>
        </is>
      </c>
      <c r="O949" s="7" t="inlineStr">
        <is>
          <t>Lucas Fontaine</t>
        </is>
      </c>
      <c r="P949" s="65" t="n">
        <v>46076.68402777778</v>
      </c>
      <c r="Q949" s="75" t="n">
        <v>46076.61805555555</v>
      </c>
      <c r="R949" s="75" t="n">
        <v>46076.86805555555</v>
      </c>
      <c r="S949" s="76" t="n">
        <v>3</v>
      </c>
      <c r="T949" s="76" t="n">
        <v>2</v>
      </c>
      <c r="U949" s="70">
        <f>IF($A949="","",IFERROR(INDEX('Techniciens'!$F$5:$F$44,MATCH(O949,'Techniciens'!$B$5:$B$44,0)),'Paramètres'!$AA$10))</f>
        <v/>
      </c>
      <c r="V949" s="70">
        <f>IF($A949="","",IF(OR(AC949="Demandé",AC949="Planifié",AC949="Annulé"),0,N(T949)*N(U949)))</f>
        <v/>
      </c>
      <c r="W949" s="70">
        <f>IF($A949="","",SUMIFS('Mouvements stock'!$H$5:$H$3004,'Mouvements stock'!$I$5:$I$3004,$A949,'Mouvements stock'!$C$5:$C$3004,"Sortie")-SUMIFS('Mouvements stock'!$H$5:$H$3004,'Mouvements stock'!$I$5:$I$3004,$A949,'Mouvements stock'!$C$5:$C$3004,"Retour"))</f>
        <v/>
      </c>
      <c r="X949" s="66" t="n">
        <v>0</v>
      </c>
      <c r="Y949" s="66" t="n">
        <v>930</v>
      </c>
      <c r="Z949" s="7" t="inlineStr">
        <is>
          <t>Levage Expertise Ouest</t>
        </is>
      </c>
      <c r="AA949" s="70">
        <f>IF($A949="","",N(V949)+N(W949)+N(X949)+N(Y949))</f>
        <v/>
      </c>
      <c r="AB949" s="70">
        <f>IF($A949="","",N(S949)*'Paramètres'!$AA$9*IFERROR(INDEX('Paramètres'!$O$5:$O$7,MATCH(G949,'Paramètres'!$N$5:$N$7,0)),0))</f>
        <v/>
      </c>
      <c r="AC949" s="7" t="inlineStr">
        <is>
          <t>Clôturé</t>
        </is>
      </c>
      <c r="AD949" s="69">
        <f>IF(OR($A949="",Q949=""),"",(Q949-B949)*24)</f>
        <v/>
      </c>
      <c r="AE949" s="69">
        <f>IF(OR(Q949="",R949=""),"",(R949-Q949)*24)</f>
        <v/>
      </c>
      <c r="AF949" s="77">
        <f>IF(OR($A949="",B949=""),"",YEAR(B949))</f>
        <v/>
      </c>
      <c r="AG949" s="77">
        <f>IF(OR($A949="",B949=""),"",MONTH(B949))</f>
        <v/>
      </c>
    </row>
    <row r="950">
      <c r="A950" s="7" t="inlineStr">
        <is>
          <t>OT-2026-0095</t>
        </is>
      </c>
      <c r="B950" s="75" t="n">
        <v>46069.40625</v>
      </c>
      <c r="C950" s="7" t="inlineStr">
        <is>
          <t>Plan préventif</t>
        </is>
      </c>
      <c r="D950" s="7" t="inlineStr">
        <is>
          <t>EQ-LOG-006</t>
        </is>
      </c>
      <c r="E950" s="9">
        <f>IF(D950="","",IFERROR(INDEX('Équipements'!$B$5:$B$304,MATCH(D950,'Équipements'!$A$5:$A$304,0)),"Code inconnu"))</f>
        <v/>
      </c>
      <c r="F950" s="9">
        <f>IF(D950="","",IFERROR(INDEX('Équipements'!$D$5:$D$304,MATCH(D950,'Équipements'!$A$5:$A$304,0)),""))</f>
        <v/>
      </c>
      <c r="G950" s="9">
        <f>IF(D950="","",IFERROR(INDEX('Équipements'!$K$5:$K$304,MATCH(D950,'Équipements'!$A$5:$A$304,0)),""))</f>
        <v/>
      </c>
      <c r="H950" s="7" t="inlineStr">
        <is>
          <t>Préventif systématique</t>
        </is>
      </c>
      <c r="I950" s="7" t="inlineStr">
        <is>
          <t>GP-115</t>
        </is>
      </c>
      <c r="J950" s="7" t="inlineStr">
        <is>
          <t>Mécanique</t>
        </is>
      </c>
      <c r="K950" s="7" t="inlineStr">
        <is>
          <t>P3 - Normale</t>
        </is>
      </c>
      <c r="L950" s="7" t="inlineStr">
        <is>
          <t>Contrôle câbles, crochets, freins et fins de course</t>
        </is>
      </c>
      <c r="M950" s="7" t="n"/>
      <c r="N950" s="7" t="inlineStr">
        <is>
          <t>Gamme réalisée - RAS</t>
        </is>
      </c>
      <c r="O950" s="7" t="inlineStr">
        <is>
          <t>Karim Benali</t>
        </is>
      </c>
      <c r="P950" s="65" t="n">
        <v>46076.39583333334</v>
      </c>
      <c r="Q950" s="75" t="n">
        <v>46076.33333333334</v>
      </c>
      <c r="R950" s="75" t="n">
        <v>46076.45833333334</v>
      </c>
      <c r="S950" s="76" t="n">
        <v>3</v>
      </c>
      <c r="T950" s="76" t="n">
        <v>3</v>
      </c>
      <c r="U950" s="70">
        <f>IF($A950="","",IFERROR(INDEX('Techniciens'!$F$5:$F$44,MATCH(O950,'Techniciens'!$B$5:$B$44,0)),'Paramètres'!$AA$10))</f>
        <v/>
      </c>
      <c r="V950" s="70">
        <f>IF($A950="","",IF(OR(AC950="Demandé",AC950="Planifié",AC950="Annulé"),0,N(T950)*N(U950)))</f>
        <v/>
      </c>
      <c r="W950" s="70">
        <f>IF($A950="","",SUMIFS('Mouvements stock'!$H$5:$H$3004,'Mouvements stock'!$I$5:$I$3004,$A950,'Mouvements stock'!$C$5:$C$3004,"Sortie")-SUMIFS('Mouvements stock'!$H$5:$H$3004,'Mouvements stock'!$I$5:$I$3004,$A950,'Mouvements stock'!$C$5:$C$3004,"Retour"))</f>
        <v/>
      </c>
      <c r="X950" s="66" t="n">
        <v>0</v>
      </c>
      <c r="Y950" s="66" t="n">
        <v>0</v>
      </c>
      <c r="Z950" s="7" t="n"/>
      <c r="AA950" s="70">
        <f>IF($A950="","",N(V950)+N(W950)+N(X950)+N(Y950))</f>
        <v/>
      </c>
      <c r="AB950" s="70">
        <f>IF($A950="","",N(S950)*'Paramètres'!$AA$9*IFERROR(INDEX('Paramètres'!$O$5:$O$7,MATCH(G950,'Paramètres'!$N$5:$N$7,0)),0))</f>
        <v/>
      </c>
      <c r="AC950" s="7" t="inlineStr">
        <is>
          <t>Clôturé</t>
        </is>
      </c>
      <c r="AD950" s="69">
        <f>IF(OR($A950="",Q950=""),"",(Q950-B950)*24)</f>
        <v/>
      </c>
      <c r="AE950" s="69">
        <f>IF(OR(Q950="",R950=""),"",(R950-Q950)*24)</f>
        <v/>
      </c>
      <c r="AF950" s="77">
        <f>IF(OR($A950="",B950=""),"",YEAR(B950))</f>
        <v/>
      </c>
      <c r="AG950" s="77">
        <f>IF(OR($A950="",B950=""),"",MONTH(B950))</f>
        <v/>
      </c>
    </row>
    <row r="951">
      <c r="A951" s="7" t="inlineStr">
        <is>
          <t>OT-2026-0096</t>
        </is>
      </c>
      <c r="B951" s="75" t="n">
        <v>46069.40972222222</v>
      </c>
      <c r="C951" s="7" t="inlineStr">
        <is>
          <t>Plan préventif</t>
        </is>
      </c>
      <c r="D951" s="7" t="inlineStr">
        <is>
          <t>EQ-ASS-003</t>
        </is>
      </c>
      <c r="E951" s="9">
        <f>IF(D951="","",IFERROR(INDEX('Équipements'!$B$5:$B$304,MATCH(D951,'Équipements'!$A$5:$A$304,0)),"Code inconnu"))</f>
        <v/>
      </c>
      <c r="F951" s="9">
        <f>IF(D951="","",IFERROR(INDEX('Équipements'!$D$5:$D$304,MATCH(D951,'Équipements'!$A$5:$A$304,0)),""))</f>
        <v/>
      </c>
      <c r="G951" s="9">
        <f>IF(D951="","",IFERROR(INDEX('Équipements'!$K$5:$K$304,MATCH(D951,'Équipements'!$A$5:$A$304,0)),""))</f>
        <v/>
      </c>
      <c r="H951" s="7" t="inlineStr">
        <is>
          <t>Préventif systématique</t>
        </is>
      </c>
      <c r="I951" s="7" t="inlineStr">
        <is>
          <t>GP-081</t>
        </is>
      </c>
      <c r="J951" s="7" t="inlineStr">
        <is>
          <t>Automatisme</t>
        </is>
      </c>
      <c r="K951" s="7" t="inlineStr">
        <is>
          <t>P3 - Normale</t>
        </is>
      </c>
      <c r="L951" s="7" t="inlineStr">
        <is>
          <t>Contrôle, nettoyage et sauvegarde programmes</t>
        </is>
      </c>
      <c r="M951" s="7" t="n"/>
      <c r="N951" s="7" t="inlineStr">
        <is>
          <t>Gamme réalisée - RAS</t>
        </is>
      </c>
      <c r="O951" s="7" t="inlineStr">
        <is>
          <t>Julien Moreau</t>
        </is>
      </c>
      <c r="P951" s="65" t="n">
        <v>46076.49652777778</v>
      </c>
      <c r="Q951" s="75" t="n">
        <v>46076.60416666666</v>
      </c>
      <c r="R951" s="75" t="n">
        <v>46076.65625</v>
      </c>
      <c r="S951" s="76" t="n">
        <v>1.2</v>
      </c>
      <c r="T951" s="76" t="n">
        <v>1.25</v>
      </c>
      <c r="U951" s="70">
        <f>IF($A951="","",IFERROR(INDEX('Techniciens'!$F$5:$F$44,MATCH(O951,'Techniciens'!$B$5:$B$44,0)),'Paramètres'!$AA$10))</f>
        <v/>
      </c>
      <c r="V951" s="70">
        <f>IF($A951="","",IF(OR(AC951="Demandé",AC951="Planifié",AC951="Annulé"),0,N(T951)*N(U951)))</f>
        <v/>
      </c>
      <c r="W951" s="70">
        <f>IF($A951="","",SUMIFS('Mouvements stock'!$H$5:$H$3004,'Mouvements stock'!$I$5:$I$3004,$A951,'Mouvements stock'!$C$5:$C$3004,"Sortie")-SUMIFS('Mouvements stock'!$H$5:$H$3004,'Mouvements stock'!$I$5:$I$3004,$A951,'Mouvements stock'!$C$5:$C$3004,"Retour"))</f>
        <v/>
      </c>
      <c r="X951" s="66" t="n">
        <v>0</v>
      </c>
      <c r="Y951" s="66" t="n">
        <v>0</v>
      </c>
      <c r="Z951" s="7" t="n"/>
      <c r="AA951" s="70">
        <f>IF($A951="","",N(V951)+N(W951)+N(X951)+N(Y951))</f>
        <v/>
      </c>
      <c r="AB951" s="70">
        <f>IF($A951="","",N(S951)*'Paramètres'!$AA$9*IFERROR(INDEX('Paramètres'!$O$5:$O$7,MATCH(G951,'Paramètres'!$N$5:$N$7,0)),0))</f>
        <v/>
      </c>
      <c r="AC951" s="7" t="inlineStr">
        <is>
          <t>Clôturé</t>
        </is>
      </c>
      <c r="AD951" s="69">
        <f>IF(OR($A951="",Q951=""),"",(Q951-B951)*24)</f>
        <v/>
      </c>
      <c r="AE951" s="69">
        <f>IF(OR(Q951="",R951=""),"",(R951-Q951)*24)</f>
        <v/>
      </c>
      <c r="AF951" s="77">
        <f>IF(OR($A951="",B951=""),"",YEAR(B951))</f>
        <v/>
      </c>
      <c r="AG951" s="77">
        <f>IF(OR($A951="",B951=""),"",MONTH(B951))</f>
        <v/>
      </c>
    </row>
    <row r="952">
      <c r="A952" s="7" t="inlineStr">
        <is>
          <t>OT-2026-0097</t>
        </is>
      </c>
      <c r="B952" s="75" t="n">
        <v>46069.43055555555</v>
      </c>
      <c r="C952" s="7" t="inlineStr">
        <is>
          <t>Plan préventif</t>
        </is>
      </c>
      <c r="D952" s="7" t="inlineStr">
        <is>
          <t>EQ-USI-010</t>
        </is>
      </c>
      <c r="E952" s="9">
        <f>IF(D952="","",IFERROR(INDEX('Équipements'!$B$5:$B$304,MATCH(D952,'Équipements'!$A$5:$A$304,0)),"Code inconnu"))</f>
        <v/>
      </c>
      <c r="F952" s="9">
        <f>IF(D952="","",IFERROR(INDEX('Équipements'!$D$5:$D$304,MATCH(D952,'Équipements'!$A$5:$A$304,0)),""))</f>
        <v/>
      </c>
      <c r="G952" s="9">
        <f>IF(D952="","",IFERROR(INDEX('Équipements'!$K$5:$K$304,MATCH(D952,'Équipements'!$A$5:$A$304,0)),""))</f>
        <v/>
      </c>
      <c r="H952" s="7" t="inlineStr">
        <is>
          <t>Préventif systématique</t>
        </is>
      </c>
      <c r="I952" s="7" t="inlineStr">
        <is>
          <t>GP-033</t>
        </is>
      </c>
      <c r="J952" s="7" t="inlineStr">
        <is>
          <t>Mécanique</t>
        </is>
      </c>
      <c r="K952" s="7" t="inlineStr">
        <is>
          <t>P3 - Normale</t>
        </is>
      </c>
      <c r="L952" s="7" t="inlineStr">
        <is>
          <t>Nettoyage et contrôle général</t>
        </is>
      </c>
      <c r="M952" s="7" t="n"/>
      <c r="N952" s="7" t="inlineStr">
        <is>
          <t>Gamme réalisée - RAS</t>
        </is>
      </c>
      <c r="O952" s="7" t="inlineStr">
        <is>
          <t>Antoine Mercier</t>
        </is>
      </c>
      <c r="P952" s="65" t="n">
        <v>46076.57638888889</v>
      </c>
      <c r="Q952" s="75" t="n">
        <v>46076.59375</v>
      </c>
      <c r="R952" s="75" t="n">
        <v>46076.63541666666</v>
      </c>
      <c r="S952" s="76" t="n">
        <v>0</v>
      </c>
      <c r="T952" s="76" t="n">
        <v>1</v>
      </c>
      <c r="U952" s="70">
        <f>IF($A952="","",IFERROR(INDEX('Techniciens'!$F$5:$F$44,MATCH(O952,'Techniciens'!$B$5:$B$44,0)),'Paramètres'!$AA$10))</f>
        <v/>
      </c>
      <c r="V952" s="70">
        <f>IF($A952="","",IF(OR(AC952="Demandé",AC952="Planifié",AC952="Annulé"),0,N(T952)*N(U952)))</f>
        <v/>
      </c>
      <c r="W952" s="70">
        <f>IF($A952="","",SUMIFS('Mouvements stock'!$H$5:$H$3004,'Mouvements stock'!$I$5:$I$3004,$A952,'Mouvements stock'!$C$5:$C$3004,"Sortie")-SUMIFS('Mouvements stock'!$H$5:$H$3004,'Mouvements stock'!$I$5:$I$3004,$A952,'Mouvements stock'!$C$5:$C$3004,"Retour"))</f>
        <v/>
      </c>
      <c r="X952" s="66" t="n">
        <v>0</v>
      </c>
      <c r="Y952" s="66" t="n">
        <v>0</v>
      </c>
      <c r="Z952" s="7" t="n"/>
      <c r="AA952" s="70">
        <f>IF($A952="","",N(V952)+N(W952)+N(X952)+N(Y952))</f>
        <v/>
      </c>
      <c r="AB952" s="70">
        <f>IF($A952="","",N(S952)*'Paramètres'!$AA$9*IFERROR(INDEX('Paramètres'!$O$5:$O$7,MATCH(G952,'Paramètres'!$N$5:$N$7,0)),0))</f>
        <v/>
      </c>
      <c r="AC952" s="7" t="inlineStr">
        <is>
          <t>Clôturé</t>
        </is>
      </c>
      <c r="AD952" s="69">
        <f>IF(OR($A952="",Q952=""),"",(Q952-B952)*24)</f>
        <v/>
      </c>
      <c r="AE952" s="69">
        <f>IF(OR(Q952="",R952=""),"",(R952-Q952)*24)</f>
        <v/>
      </c>
      <c r="AF952" s="77">
        <f>IF(OR($A952="",B952=""),"",YEAR(B952))</f>
        <v/>
      </c>
      <c r="AG952" s="77">
        <f>IF(OR($A952="",B952=""),"",MONTH(B952))</f>
        <v/>
      </c>
    </row>
    <row r="953">
      <c r="A953" s="7" t="inlineStr">
        <is>
          <t>OT-2026-0098</t>
        </is>
      </c>
      <c r="B953" s="75" t="n">
        <v>46069.44861111111</v>
      </c>
      <c r="C953" s="7" t="inlineStr">
        <is>
          <t>Éric Laurent (chef d'atelier)</t>
        </is>
      </c>
      <c r="D953" s="7" t="inlineStr">
        <is>
          <t>EQ-USI-006</t>
        </is>
      </c>
      <c r="E953" s="9">
        <f>IF(D953="","",IFERROR(INDEX('Équipements'!$B$5:$B$304,MATCH(D953,'Équipements'!$A$5:$A$304,0)),"Code inconnu"))</f>
        <v/>
      </c>
      <c r="F953" s="9">
        <f>IF(D953="","",IFERROR(INDEX('Équipements'!$D$5:$D$304,MATCH(D953,'Équipements'!$A$5:$A$304,0)),""))</f>
        <v/>
      </c>
      <c r="G953" s="9">
        <f>IF(D953="","",IFERROR(INDEX('Équipements'!$K$5:$K$304,MATCH(D953,'Équipements'!$A$5:$A$304,0)),""))</f>
        <v/>
      </c>
      <c r="H953" s="7" t="inlineStr">
        <is>
          <t>Correctif</t>
        </is>
      </c>
      <c r="I953" s="7" t="n"/>
      <c r="J953" s="7" t="inlineStr">
        <is>
          <t>Mécanique</t>
        </is>
      </c>
      <c r="K953" s="7" t="inlineStr">
        <is>
          <t>P3 - Normale</t>
        </is>
      </c>
      <c r="L953" s="7" t="inlineStr">
        <is>
          <t>Défaut changeur d'outils (blocage bras)</t>
        </is>
      </c>
      <c r="M953" s="7" t="inlineStr">
        <is>
          <t>Usure</t>
        </is>
      </c>
      <c r="N953" s="7" t="inlineStr">
        <is>
          <t>Remplacement détecteur position bras et réglage</t>
        </is>
      </c>
      <c r="O953" s="7" t="inlineStr">
        <is>
          <t>Lucas Fontaine</t>
        </is>
      </c>
      <c r="P953" s="65" t="n"/>
      <c r="Q953" s="75" t="n">
        <v>46070.74375</v>
      </c>
      <c r="R953" s="75" t="n">
        <v>46073.44650876569</v>
      </c>
      <c r="S953" s="76" t="n">
        <v>2.5</v>
      </c>
      <c r="T953" s="76" t="n">
        <v>2.5</v>
      </c>
      <c r="U953" s="70">
        <f>IF($A953="","",IFERROR(INDEX('Techniciens'!$F$5:$F$44,MATCH(O953,'Techniciens'!$B$5:$B$44,0)),'Paramètres'!$AA$10))</f>
        <v/>
      </c>
      <c r="V953" s="70">
        <f>IF($A953="","",IF(OR(AC953="Demandé",AC953="Planifié",AC953="Annulé"),0,N(T953)*N(U953)))</f>
        <v/>
      </c>
      <c r="W953" s="70">
        <f>IF($A953="","",SUMIFS('Mouvements stock'!$H$5:$H$3004,'Mouvements stock'!$I$5:$I$3004,$A953,'Mouvements stock'!$C$5:$C$3004,"Sortie")-SUMIFS('Mouvements stock'!$H$5:$H$3004,'Mouvements stock'!$I$5:$I$3004,$A953,'Mouvements stock'!$C$5:$C$3004,"Retour"))</f>
        <v/>
      </c>
      <c r="X953" s="66" t="n">
        <v>0</v>
      </c>
      <c r="Y953" s="66" t="n">
        <v>0</v>
      </c>
      <c r="Z953" s="7" t="n"/>
      <c r="AA953" s="70">
        <f>IF($A953="","",N(V953)+N(W953)+N(X953)+N(Y953))</f>
        <v/>
      </c>
      <c r="AB953" s="70">
        <f>IF($A953="","",N(S953)*'Paramètres'!$AA$9*IFERROR(INDEX('Paramètres'!$O$5:$O$7,MATCH(G953,'Paramètres'!$N$5:$N$7,0)),0))</f>
        <v/>
      </c>
      <c r="AC953" s="7" t="inlineStr">
        <is>
          <t>Clôturé</t>
        </is>
      </c>
      <c r="AD953" s="69">
        <f>IF(OR($A953="",Q953=""),"",(Q953-B953)*24)</f>
        <v/>
      </c>
      <c r="AE953" s="69">
        <f>IF(OR(Q953="",R953=""),"",(R953-Q953)*24)</f>
        <v/>
      </c>
      <c r="AF953" s="77">
        <f>IF(OR($A953="",B953=""),"",YEAR(B953))</f>
        <v/>
      </c>
      <c r="AG953" s="77">
        <f>IF(OR($A953="",B953=""),"",MONTH(B953))</f>
        <v/>
      </c>
    </row>
    <row r="954">
      <c r="A954" s="7" t="inlineStr">
        <is>
          <t>OT-2026-0099</t>
        </is>
      </c>
      <c r="B954" s="75" t="n">
        <v>46069.45138888889</v>
      </c>
      <c r="C954" s="7" t="inlineStr">
        <is>
          <t>Plan préventif</t>
        </is>
      </c>
      <c r="D954" s="7" t="inlineStr">
        <is>
          <t>EQ-UTI-009</t>
        </is>
      </c>
      <c r="E954" s="9">
        <f>IF(D954="","",IFERROR(INDEX('Équipements'!$B$5:$B$304,MATCH(D954,'Équipements'!$A$5:$A$304,0)),"Code inconnu"))</f>
        <v/>
      </c>
      <c r="F954" s="9">
        <f>IF(D954="","",IFERROR(INDEX('Équipements'!$D$5:$D$304,MATCH(D954,'Équipements'!$A$5:$A$304,0)),""))</f>
        <v/>
      </c>
      <c r="G954" s="9">
        <f>IF(D954="","",IFERROR(INDEX('Équipements'!$K$5:$K$304,MATCH(D954,'Équipements'!$A$5:$A$304,0)),""))</f>
        <v/>
      </c>
      <c r="H954" s="7" t="inlineStr">
        <is>
          <t>Préventif systématique</t>
        </is>
      </c>
      <c r="I954" s="7" t="inlineStr">
        <is>
          <t>GP-102</t>
        </is>
      </c>
      <c r="J954" s="7" t="inlineStr">
        <is>
          <t>Mécanique</t>
        </is>
      </c>
      <c r="K954" s="7" t="inlineStr">
        <is>
          <t>P3 - Normale</t>
        </is>
      </c>
      <c r="L954" s="7" t="inlineStr">
        <is>
          <t>Nettoyage décanteur et filtre-presse</t>
        </is>
      </c>
      <c r="M954" s="7" t="n"/>
      <c r="N954" s="7" t="inlineStr">
        <is>
          <t>Gamme réalisée - RAS</t>
        </is>
      </c>
      <c r="O954" s="7" t="inlineStr">
        <is>
          <t>Lucas Fontaine</t>
        </is>
      </c>
      <c r="P954" s="65" t="n">
        <v>46076.47222222222</v>
      </c>
      <c r="Q954" s="75" t="n">
        <v>46076.57291666666</v>
      </c>
      <c r="R954" s="75" t="n">
        <v>46076.76041666666</v>
      </c>
      <c r="S954" s="76" t="n">
        <v>0</v>
      </c>
      <c r="T954" s="76" t="n">
        <v>4.5</v>
      </c>
      <c r="U954" s="70">
        <f>IF($A954="","",IFERROR(INDEX('Techniciens'!$F$5:$F$44,MATCH(O954,'Techniciens'!$B$5:$B$44,0)),'Paramètres'!$AA$10))</f>
        <v/>
      </c>
      <c r="V954" s="70">
        <f>IF($A954="","",IF(OR(AC954="Demandé",AC954="Planifié",AC954="Annulé"),0,N(T954)*N(U954)))</f>
        <v/>
      </c>
      <c r="W954" s="70">
        <f>IF($A954="","",SUMIFS('Mouvements stock'!$H$5:$H$3004,'Mouvements stock'!$I$5:$I$3004,$A954,'Mouvements stock'!$C$5:$C$3004,"Sortie")-SUMIFS('Mouvements stock'!$H$5:$H$3004,'Mouvements stock'!$I$5:$I$3004,$A954,'Mouvements stock'!$C$5:$C$3004,"Retour"))</f>
        <v/>
      </c>
      <c r="X954" s="66" t="n">
        <v>0</v>
      </c>
      <c r="Y954" s="66" t="n">
        <v>0</v>
      </c>
      <c r="Z954" s="7" t="n"/>
      <c r="AA954" s="70">
        <f>IF($A954="","",N(V954)+N(W954)+N(X954)+N(Y954))</f>
        <v/>
      </c>
      <c r="AB954" s="70">
        <f>IF($A954="","",N(S954)*'Paramètres'!$AA$9*IFERROR(INDEX('Paramètres'!$O$5:$O$7,MATCH(G954,'Paramètres'!$N$5:$N$7,0)),0))</f>
        <v/>
      </c>
      <c r="AC954" s="7" t="inlineStr">
        <is>
          <t>Clôturé</t>
        </is>
      </c>
      <c r="AD954" s="69">
        <f>IF(OR($A954="",Q954=""),"",(Q954-B954)*24)</f>
        <v/>
      </c>
      <c r="AE954" s="69">
        <f>IF(OR(Q954="",R954=""),"",(R954-Q954)*24)</f>
        <v/>
      </c>
      <c r="AF954" s="77">
        <f>IF(OR($A954="",B954=""),"",YEAR(B954))</f>
        <v/>
      </c>
      <c r="AG954" s="77">
        <f>IF(OR($A954="",B954=""),"",MONTH(B954))</f>
        <v/>
      </c>
    </row>
    <row r="955">
      <c r="A955" s="7" t="inlineStr">
        <is>
          <t>OT-2026-0100</t>
        </is>
      </c>
      <c r="B955" s="75" t="n">
        <v>46069.48611111111</v>
      </c>
      <c r="C955" s="7" t="inlineStr">
        <is>
          <t>Plan préventif</t>
        </is>
      </c>
      <c r="D955" s="7" t="inlineStr">
        <is>
          <t>EQ-UTI-010</t>
        </is>
      </c>
      <c r="E955" s="9">
        <f>IF(D955="","",IFERROR(INDEX('Équipements'!$B$5:$B$304,MATCH(D955,'Équipements'!$A$5:$A$304,0)),"Code inconnu"))</f>
        <v/>
      </c>
      <c r="F955" s="9">
        <f>IF(D955="","",IFERROR(INDEX('Équipements'!$D$5:$D$304,MATCH(D955,'Équipements'!$A$5:$A$304,0)),""))</f>
        <v/>
      </c>
      <c r="G955" s="9">
        <f>IF(D955="","",IFERROR(INDEX('Équipements'!$K$5:$K$304,MATCH(D955,'Équipements'!$A$5:$A$304,0)),""))</f>
        <v/>
      </c>
      <c r="H955" s="7" t="inlineStr">
        <is>
          <t>Préventif systématique</t>
        </is>
      </c>
      <c r="I955" s="7" t="inlineStr">
        <is>
          <t>GP-104</t>
        </is>
      </c>
      <c r="J955" s="7" t="inlineStr">
        <is>
          <t>Électrique</t>
        </is>
      </c>
      <c r="K955" s="7" t="inlineStr">
        <is>
          <t>P3 - Normale</t>
        </is>
      </c>
      <c r="L955" s="7" t="inlineStr">
        <is>
          <t>Essai mensuel à charge du groupe électrogène</t>
        </is>
      </c>
      <c r="M955" s="7" t="n"/>
      <c r="N955" s="7" t="inlineStr">
        <is>
          <t>Gamme réalisée - petite fuite corrigée</t>
        </is>
      </c>
      <c r="O955" s="7" t="inlineStr">
        <is>
          <t>Julien Moreau</t>
        </is>
      </c>
      <c r="P955" s="65" t="n">
        <v>46076.34375</v>
      </c>
      <c r="Q955" s="75" t="n">
        <v>46076.51388888889</v>
      </c>
      <c r="R955" s="75" t="n">
        <v>46076.57638888889</v>
      </c>
      <c r="S955" s="76" t="n">
        <v>0</v>
      </c>
      <c r="T955" s="76" t="n">
        <v>1.5</v>
      </c>
      <c r="U955" s="70">
        <f>IF($A955="","",IFERROR(INDEX('Techniciens'!$F$5:$F$44,MATCH(O955,'Techniciens'!$B$5:$B$44,0)),'Paramètres'!$AA$10))</f>
        <v/>
      </c>
      <c r="V955" s="70">
        <f>IF($A955="","",IF(OR(AC955="Demandé",AC955="Planifié",AC955="Annulé"),0,N(T955)*N(U955)))</f>
        <v/>
      </c>
      <c r="W955" s="70">
        <f>IF($A955="","",SUMIFS('Mouvements stock'!$H$5:$H$3004,'Mouvements stock'!$I$5:$I$3004,$A955,'Mouvements stock'!$C$5:$C$3004,"Sortie")-SUMIFS('Mouvements stock'!$H$5:$H$3004,'Mouvements stock'!$I$5:$I$3004,$A955,'Mouvements stock'!$C$5:$C$3004,"Retour"))</f>
        <v/>
      </c>
      <c r="X955" s="66" t="n">
        <v>0</v>
      </c>
      <c r="Y955" s="66" t="n">
        <v>0</v>
      </c>
      <c r="Z955" s="7" t="n"/>
      <c r="AA955" s="70">
        <f>IF($A955="","",N(V955)+N(W955)+N(X955)+N(Y955))</f>
        <v/>
      </c>
      <c r="AB955" s="70">
        <f>IF($A955="","",N(S955)*'Paramètres'!$AA$9*IFERROR(INDEX('Paramètres'!$O$5:$O$7,MATCH(G955,'Paramètres'!$N$5:$N$7,0)),0))</f>
        <v/>
      </c>
      <c r="AC955" s="7" t="inlineStr">
        <is>
          <t>Clôturé</t>
        </is>
      </c>
      <c r="AD955" s="69">
        <f>IF(OR($A955="",Q955=""),"",(Q955-B955)*24)</f>
        <v/>
      </c>
      <c r="AE955" s="69">
        <f>IF(OR(Q955="",R955=""),"",(R955-Q955)*24)</f>
        <v/>
      </c>
      <c r="AF955" s="77">
        <f>IF(OR($A955="",B955=""),"",YEAR(B955))</f>
        <v/>
      </c>
      <c r="AG955" s="77">
        <f>IF(OR($A955="",B955=""),"",MONTH(B955))</f>
        <v/>
      </c>
    </row>
    <row r="956">
      <c r="A956" s="7" t="inlineStr">
        <is>
          <t>OT-2026-0101</t>
        </is>
      </c>
      <c r="B956" s="75" t="n">
        <v>46069.68055555555</v>
      </c>
      <c r="C956" s="7" t="inlineStr">
        <is>
          <t>Direction industrielle</t>
        </is>
      </c>
      <c r="D956" s="7" t="inlineStr">
        <is>
          <t>EQ-USI-004</t>
        </is>
      </c>
      <c r="E956" s="9">
        <f>IF(D956="","",IFERROR(INDEX('Équipements'!$B$5:$B$304,MATCH(D956,'Équipements'!$A$5:$A$304,0)),"Code inconnu"))</f>
        <v/>
      </c>
      <c r="F956" s="9">
        <f>IF(D956="","",IFERROR(INDEX('Équipements'!$D$5:$D$304,MATCH(D956,'Équipements'!$A$5:$A$304,0)),""))</f>
        <v/>
      </c>
      <c r="G956" s="9">
        <f>IF(D956="","",IFERROR(INDEX('Équipements'!$K$5:$K$304,MATCH(D956,'Équipements'!$A$5:$A$304,0)),""))</f>
        <v/>
      </c>
      <c r="H956" s="7" t="inlineStr">
        <is>
          <t>Amélioratif</t>
        </is>
      </c>
      <c r="I956" s="7" t="n"/>
      <c r="J956" s="7" t="inlineStr">
        <is>
          <t>Mécanique</t>
        </is>
      </c>
      <c r="K956" s="7" t="inlineStr">
        <is>
          <t>P4 - Basse</t>
        </is>
      </c>
      <c r="L956" s="7" t="inlineStr">
        <is>
          <t>Ajout système de filtration brouillard d'huile</t>
        </is>
      </c>
      <c r="M956" s="7" t="n"/>
      <c r="N956" s="7" t="inlineStr">
        <is>
          <t>Réalisé conformément au devis / dossier technique</t>
        </is>
      </c>
      <c r="O956" s="7" t="inlineStr">
        <is>
          <t>Karim Benali</t>
        </is>
      </c>
      <c r="P956" s="65" t="n">
        <v>46111</v>
      </c>
      <c r="Q956" s="75" t="n">
        <v>46111.32291666666</v>
      </c>
      <c r="R956" s="75" t="n">
        <v>46112.02291666667</v>
      </c>
      <c r="S956" s="76" t="n">
        <v>6</v>
      </c>
      <c r="T956" s="76" t="n">
        <v>12</v>
      </c>
      <c r="U956" s="70">
        <f>IF($A956="","",IFERROR(INDEX('Techniciens'!$F$5:$F$44,MATCH(O956,'Techniciens'!$B$5:$B$44,0)),'Paramètres'!$AA$10))</f>
        <v/>
      </c>
      <c r="V956" s="70">
        <f>IF($A956="","",IF(OR(AC956="Demandé",AC956="Planifié",AC956="Annulé"),0,N(T956)*N(U956)))</f>
        <v/>
      </c>
      <c r="W956" s="70">
        <f>IF($A956="","",SUMIFS('Mouvements stock'!$H$5:$H$3004,'Mouvements stock'!$I$5:$I$3004,$A956,'Mouvements stock'!$C$5:$C$3004,"Sortie")-SUMIFS('Mouvements stock'!$H$5:$H$3004,'Mouvements stock'!$I$5:$I$3004,$A956,'Mouvements stock'!$C$5:$C$3004,"Retour"))</f>
        <v/>
      </c>
      <c r="X956" s="66" t="n">
        <v>3200</v>
      </c>
      <c r="Y956" s="66" t="n">
        <v>0</v>
      </c>
      <c r="Z956" s="7" t="n"/>
      <c r="AA956" s="70">
        <f>IF($A956="","",N(V956)+N(W956)+N(X956)+N(Y956))</f>
        <v/>
      </c>
      <c r="AB956" s="70">
        <f>IF($A956="","",N(S956)*'Paramètres'!$AA$9*IFERROR(INDEX('Paramètres'!$O$5:$O$7,MATCH(G956,'Paramètres'!$N$5:$N$7,0)),0))</f>
        <v/>
      </c>
      <c r="AC956" s="7" t="inlineStr">
        <is>
          <t>Clôturé</t>
        </is>
      </c>
      <c r="AD956" s="69">
        <f>IF(OR($A956="",Q956=""),"",(Q956-B956)*24)</f>
        <v/>
      </c>
      <c r="AE956" s="69">
        <f>IF(OR(Q956="",R956=""),"",(R956-Q956)*24)</f>
        <v/>
      </c>
      <c r="AF956" s="77">
        <f>IF(OR($A956="",B956=""),"",YEAR(B956))</f>
        <v/>
      </c>
      <c r="AG956" s="77">
        <f>IF(OR($A956="",B956=""),"",MONTH(B956))</f>
        <v/>
      </c>
    </row>
    <row r="957">
      <c r="A957" s="7" t="inlineStr">
        <is>
          <t>OT-2026-0102</t>
        </is>
      </c>
      <c r="B957" s="75" t="n">
        <v>46070.27013888889</v>
      </c>
      <c r="C957" s="7" t="inlineStr">
        <is>
          <t>Opérateur usinage</t>
        </is>
      </c>
      <c r="D957" s="7" t="inlineStr">
        <is>
          <t>EQ-USI-006</t>
        </is>
      </c>
      <c r="E957" s="9">
        <f>IF(D957="","",IFERROR(INDEX('Équipements'!$B$5:$B$304,MATCH(D957,'Équipements'!$A$5:$A$304,0)),"Code inconnu"))</f>
        <v/>
      </c>
      <c r="F957" s="9">
        <f>IF(D957="","",IFERROR(INDEX('Équipements'!$D$5:$D$304,MATCH(D957,'Équipements'!$A$5:$A$304,0)),""))</f>
        <v/>
      </c>
      <c r="G957" s="9">
        <f>IF(D957="","",IFERROR(INDEX('Équipements'!$K$5:$K$304,MATCH(D957,'Équipements'!$A$5:$A$304,0)),""))</f>
        <v/>
      </c>
      <c r="H957" s="7" t="inlineStr">
        <is>
          <t>Correctif</t>
        </is>
      </c>
      <c r="I957" s="7" t="n"/>
      <c r="J957" s="7" t="inlineStr">
        <is>
          <t>Mécanique</t>
        </is>
      </c>
      <c r="K957" s="7" t="inlineStr">
        <is>
          <t>P1 - Urgent</t>
        </is>
      </c>
      <c r="L957" s="7" t="inlineStr">
        <is>
          <t>Alarme surchauffe broche</t>
        </is>
      </c>
      <c r="M957" s="7" t="inlineStr">
        <is>
          <t>Défaut lubrification</t>
        </is>
      </c>
      <c r="N957" s="7" t="inlineStr">
        <is>
          <t>Nettoyage circuit de refroidissement broche, appoint huile, contrôle groupe froid</t>
        </is>
      </c>
      <c r="O957" s="7" t="inlineStr">
        <is>
          <t>Antoine Mercier</t>
        </is>
      </c>
      <c r="P957" s="65" t="n"/>
      <c r="Q957" s="75" t="n">
        <v>46070.29375</v>
      </c>
      <c r="R957" s="75" t="n">
        <v>46070.42916666667</v>
      </c>
      <c r="S957" s="76" t="n">
        <v>3.8</v>
      </c>
      <c r="T957" s="76" t="n">
        <v>3.25</v>
      </c>
      <c r="U957" s="70">
        <f>IF($A957="","",IFERROR(INDEX('Techniciens'!$F$5:$F$44,MATCH(O957,'Techniciens'!$B$5:$B$44,0)),'Paramètres'!$AA$10))</f>
        <v/>
      </c>
      <c r="V957" s="70">
        <f>IF($A957="","",IF(OR(AC957="Demandé",AC957="Planifié",AC957="Annulé"),0,N(T957)*N(U957)))</f>
        <v/>
      </c>
      <c r="W957" s="70">
        <f>IF($A957="","",SUMIFS('Mouvements stock'!$H$5:$H$3004,'Mouvements stock'!$I$5:$I$3004,$A957,'Mouvements stock'!$C$5:$C$3004,"Sortie")-SUMIFS('Mouvements stock'!$H$5:$H$3004,'Mouvements stock'!$I$5:$I$3004,$A957,'Mouvements stock'!$C$5:$C$3004,"Retour"))</f>
        <v/>
      </c>
      <c r="X957" s="66" t="n">
        <v>495</v>
      </c>
      <c r="Y957" s="66" t="n">
        <v>0</v>
      </c>
      <c r="Z957" s="7" t="n"/>
      <c r="AA957" s="70">
        <f>IF($A957="","",N(V957)+N(W957)+N(X957)+N(Y957))</f>
        <v/>
      </c>
      <c r="AB957" s="70">
        <f>IF($A957="","",N(S957)*'Paramètres'!$AA$9*IFERROR(INDEX('Paramètres'!$O$5:$O$7,MATCH(G957,'Paramètres'!$N$5:$N$7,0)),0))</f>
        <v/>
      </c>
      <c r="AC957" s="7" t="inlineStr">
        <is>
          <t>Clôturé</t>
        </is>
      </c>
      <c r="AD957" s="69">
        <f>IF(OR($A957="",Q957=""),"",(Q957-B957)*24)</f>
        <v/>
      </c>
      <c r="AE957" s="69">
        <f>IF(OR(Q957="",R957=""),"",(R957-Q957)*24)</f>
        <v/>
      </c>
      <c r="AF957" s="77">
        <f>IF(OR($A957="",B957=""),"",YEAR(B957))</f>
        <v/>
      </c>
      <c r="AG957" s="77">
        <f>IF(OR($A957="",B957=""),"",MONTH(B957))</f>
        <v/>
      </c>
    </row>
    <row r="958">
      <c r="A958" s="7" t="inlineStr">
        <is>
          <t>OT-2026-0103</t>
        </is>
      </c>
      <c r="B958" s="75" t="n">
        <v>46070.44444444445</v>
      </c>
      <c r="C958" s="7" t="inlineStr">
        <is>
          <t>Plan préventif</t>
        </is>
      </c>
      <c r="D958" s="7" t="inlineStr">
        <is>
          <t>EQ-SOU-005</t>
        </is>
      </c>
      <c r="E958" s="9">
        <f>IF(D958="","",IFERROR(INDEX('Équipements'!$B$5:$B$304,MATCH(D958,'Équipements'!$A$5:$A$304,0)),"Code inconnu"))</f>
        <v/>
      </c>
      <c r="F958" s="9">
        <f>IF(D958="","",IFERROR(INDEX('Équipements'!$D$5:$D$304,MATCH(D958,'Équipements'!$A$5:$A$304,0)),""))</f>
        <v/>
      </c>
      <c r="G958" s="9">
        <f>IF(D958="","",IFERROR(INDEX('Équipements'!$K$5:$K$304,MATCH(D958,'Équipements'!$A$5:$A$304,0)),""))</f>
        <v/>
      </c>
      <c r="H958" s="7" t="inlineStr">
        <is>
          <t>Préventif systématique</t>
        </is>
      </c>
      <c r="I958" s="7" t="inlineStr">
        <is>
          <t>GP-064</t>
        </is>
      </c>
      <c r="J958" s="7" t="inlineStr">
        <is>
          <t>Mécanique</t>
        </is>
      </c>
      <c r="K958" s="7" t="inlineStr">
        <is>
          <t>P3 - Normale</t>
        </is>
      </c>
      <c r="L958" s="7" t="inlineStr">
        <is>
          <t>Remplacement filtres et nettoyage batteries</t>
        </is>
      </c>
      <c r="M958" s="7" t="n"/>
      <c r="N958" s="7" t="inlineStr">
        <is>
          <t>Gamme réalisée - RAS</t>
        </is>
      </c>
      <c r="O958" s="7" t="inlineStr">
        <is>
          <t>Antoine Mercier</t>
        </is>
      </c>
      <c r="P958" s="65" t="n">
        <v>46077.45138888889</v>
      </c>
      <c r="Q958" s="75" t="n">
        <v>46077.29166666666</v>
      </c>
      <c r="R958" s="75" t="n">
        <v>46077.38541666666</v>
      </c>
      <c r="S958" s="76" t="n">
        <v>0</v>
      </c>
      <c r="T958" s="76" t="n">
        <v>2.25</v>
      </c>
      <c r="U958" s="70">
        <f>IF($A958="","",IFERROR(INDEX('Techniciens'!$F$5:$F$44,MATCH(O958,'Techniciens'!$B$5:$B$44,0)),'Paramètres'!$AA$10))</f>
        <v/>
      </c>
      <c r="V958" s="70">
        <f>IF($A958="","",IF(OR(AC958="Demandé",AC958="Planifié",AC958="Annulé"),0,N(T958)*N(U958)))</f>
        <v/>
      </c>
      <c r="W958" s="70">
        <f>IF($A958="","",SUMIFS('Mouvements stock'!$H$5:$H$3004,'Mouvements stock'!$I$5:$I$3004,$A958,'Mouvements stock'!$C$5:$C$3004,"Sortie")-SUMIFS('Mouvements stock'!$H$5:$H$3004,'Mouvements stock'!$I$5:$I$3004,$A958,'Mouvements stock'!$C$5:$C$3004,"Retour"))</f>
        <v/>
      </c>
      <c r="X958" s="66" t="n">
        <v>0</v>
      </c>
      <c r="Y958" s="66" t="n">
        <v>0</v>
      </c>
      <c r="Z958" s="7" t="n"/>
      <c r="AA958" s="70">
        <f>IF($A958="","",N(V958)+N(W958)+N(X958)+N(Y958))</f>
        <v/>
      </c>
      <c r="AB958" s="70">
        <f>IF($A958="","",N(S958)*'Paramètres'!$AA$9*IFERROR(INDEX('Paramètres'!$O$5:$O$7,MATCH(G958,'Paramètres'!$N$5:$N$7,0)),0))</f>
        <v/>
      </c>
      <c r="AC958" s="7" t="inlineStr">
        <is>
          <t>Clôturé</t>
        </is>
      </c>
      <c r="AD958" s="69">
        <f>IF(OR($A958="",Q958=""),"",(Q958-B958)*24)</f>
        <v/>
      </c>
      <c r="AE958" s="69">
        <f>IF(OR(Q958="",R958=""),"",(R958-Q958)*24)</f>
        <v/>
      </c>
      <c r="AF958" s="77">
        <f>IF(OR($A958="",B958=""),"",YEAR(B958))</f>
        <v/>
      </c>
      <c r="AG958" s="77">
        <f>IF(OR($A958="",B958=""),"",MONTH(B958))</f>
        <v/>
      </c>
    </row>
    <row r="959">
      <c r="A959" s="7" t="inlineStr">
        <is>
          <t>OT-2026-0104</t>
        </is>
      </c>
      <c r="B959" s="75" t="n">
        <v>46070.61041666667</v>
      </c>
      <c r="C959" s="7" t="inlineStr">
        <is>
          <t>Marc Lefèvre</t>
        </is>
      </c>
      <c r="D959" s="7" t="inlineStr">
        <is>
          <t>EQ-UTI-003</t>
        </is>
      </c>
      <c r="E959" s="9">
        <f>IF(D959="","",IFERROR(INDEX('Équipements'!$B$5:$B$304,MATCH(D959,'Équipements'!$A$5:$A$304,0)),"Code inconnu"))</f>
        <v/>
      </c>
      <c r="F959" s="9">
        <f>IF(D959="","",IFERROR(INDEX('Équipements'!$D$5:$D$304,MATCH(D959,'Équipements'!$A$5:$A$304,0)),""))</f>
        <v/>
      </c>
      <c r="G959" s="9">
        <f>IF(D959="","",IFERROR(INDEX('Équipements'!$K$5:$K$304,MATCH(D959,'Équipements'!$A$5:$A$304,0)),""))</f>
        <v/>
      </c>
      <c r="H959" s="7" t="inlineStr">
        <is>
          <t>Correctif</t>
        </is>
      </c>
      <c r="I959" s="7" t="n"/>
      <c r="J959" s="7" t="inlineStr">
        <is>
          <t>Pneumatique</t>
        </is>
      </c>
      <c r="K959" s="7" t="inlineStr">
        <is>
          <t>P2 - Haute</t>
        </is>
      </c>
      <c r="L959" s="7" t="inlineStr">
        <is>
          <t>Fuite d'air importante sur réseau</t>
        </is>
      </c>
      <c r="M959" s="7" t="inlineStr">
        <is>
          <t>Fuite</t>
        </is>
      </c>
      <c r="N959" s="7" t="inlineStr">
        <is>
          <t>Recherche de fuites aux ultrasons, remplacement raccords</t>
        </is>
      </c>
      <c r="O959" s="7" t="inlineStr">
        <is>
          <t>Julien Moreau</t>
        </is>
      </c>
      <c r="P959" s="65" t="n"/>
      <c r="Q959" s="75" t="n">
        <v>46070.73055555556</v>
      </c>
      <c r="R959" s="75" t="n">
        <v>46070.86597222222</v>
      </c>
      <c r="S959" s="76" t="n">
        <v>0</v>
      </c>
      <c r="T959" s="76" t="n">
        <v>3.25</v>
      </c>
      <c r="U959" s="70">
        <f>IF($A959="","",IFERROR(INDEX('Techniciens'!$F$5:$F$44,MATCH(O959,'Techniciens'!$B$5:$B$44,0)),'Paramètres'!$AA$10))</f>
        <v/>
      </c>
      <c r="V959" s="70">
        <f>IF($A959="","",IF(OR(AC959="Demandé",AC959="Planifié",AC959="Annulé"),0,N(T959)*N(U959)))</f>
        <v/>
      </c>
      <c r="W959" s="70">
        <f>IF($A959="","",SUMIFS('Mouvements stock'!$H$5:$H$3004,'Mouvements stock'!$I$5:$I$3004,$A959,'Mouvements stock'!$C$5:$C$3004,"Sortie")-SUMIFS('Mouvements stock'!$H$5:$H$3004,'Mouvements stock'!$I$5:$I$3004,$A959,'Mouvements stock'!$C$5:$C$3004,"Retour"))</f>
        <v/>
      </c>
      <c r="X959" s="66" t="n">
        <v>292</v>
      </c>
      <c r="Y959" s="66" t="n">
        <v>0</v>
      </c>
      <c r="Z959" s="7" t="n"/>
      <c r="AA959" s="70">
        <f>IF($A959="","",N(V959)+N(W959)+N(X959)+N(Y959))</f>
        <v/>
      </c>
      <c r="AB959" s="70">
        <f>IF($A959="","",N(S959)*'Paramètres'!$AA$9*IFERROR(INDEX('Paramètres'!$O$5:$O$7,MATCH(G959,'Paramètres'!$N$5:$N$7,0)),0))</f>
        <v/>
      </c>
      <c r="AC959" s="7" t="inlineStr">
        <is>
          <t>Clôturé</t>
        </is>
      </c>
      <c r="AD959" s="69">
        <f>IF(OR($A959="",Q959=""),"",(Q959-B959)*24)</f>
        <v/>
      </c>
      <c r="AE959" s="69">
        <f>IF(OR(Q959="",R959=""),"",(R959-Q959)*24)</f>
        <v/>
      </c>
      <c r="AF959" s="77">
        <f>IF(OR($A959="",B959=""),"",YEAR(B959))</f>
        <v/>
      </c>
      <c r="AG959" s="77">
        <f>IF(OR($A959="",B959=""),"",MONTH(B959))</f>
        <v/>
      </c>
    </row>
    <row r="960">
      <c r="A960" s="7" t="inlineStr">
        <is>
          <t>OT-2026-0105</t>
        </is>
      </c>
      <c r="B960" s="75" t="n">
        <v>46070.75069444445</v>
      </c>
      <c r="C960" s="7" t="inlineStr">
        <is>
          <t>Céline Morel (cheffe d'atelier)</t>
        </is>
      </c>
      <c r="D960" s="7" t="inlineStr">
        <is>
          <t>EQ-TOL-002</t>
        </is>
      </c>
      <c r="E960" s="9">
        <f>IF(D960="","",IFERROR(INDEX('Équipements'!$B$5:$B$304,MATCH(D960,'Équipements'!$A$5:$A$304,0)),"Code inconnu"))</f>
        <v/>
      </c>
      <c r="F960" s="9">
        <f>IF(D960="","",IFERROR(INDEX('Équipements'!$D$5:$D$304,MATCH(D960,'Équipements'!$A$5:$A$304,0)),""))</f>
        <v/>
      </c>
      <c r="G960" s="9">
        <f>IF(D960="","",IFERROR(INDEX('Équipements'!$K$5:$K$304,MATCH(D960,'Équipements'!$A$5:$A$304,0)),""))</f>
        <v/>
      </c>
      <c r="H960" s="7" t="inlineStr">
        <is>
          <t>Correctif</t>
        </is>
      </c>
      <c r="I960" s="7" t="n"/>
      <c r="J960" s="7" t="inlineStr">
        <is>
          <t>Électrique</t>
        </is>
      </c>
      <c r="K960" s="7" t="inlineStr">
        <is>
          <t>P1 - Urgent</t>
        </is>
      </c>
      <c r="L960" s="7" t="inlineStr">
        <is>
          <t>Pédale de commande défectueuse</t>
        </is>
      </c>
      <c r="M960" s="7" t="inlineStr">
        <is>
          <t>Usure</t>
        </is>
      </c>
      <c r="N960" s="7" t="inlineStr">
        <is>
          <t>Remplacement contacts de pédale</t>
        </is>
      </c>
      <c r="O960" s="7" t="inlineStr">
        <is>
          <t>Julien Moreau</t>
        </is>
      </c>
      <c r="P960" s="65" t="n"/>
      <c r="Q960" s="75" t="n">
        <v>46070.77986111111</v>
      </c>
      <c r="R960" s="75" t="n">
        <v>46070.91527777778</v>
      </c>
      <c r="S960" s="76" t="n">
        <v>0</v>
      </c>
      <c r="T960" s="76" t="n">
        <v>3.25</v>
      </c>
      <c r="U960" s="70">
        <f>IF($A960="","",IFERROR(INDEX('Techniciens'!$F$5:$F$44,MATCH(O960,'Techniciens'!$B$5:$B$44,0)),'Paramètres'!$AA$10))</f>
        <v/>
      </c>
      <c r="V960" s="70">
        <f>IF($A960="","",IF(OR(AC960="Demandé",AC960="Planifié",AC960="Annulé"),0,N(T960)*N(U960)))</f>
        <v/>
      </c>
      <c r="W960" s="70">
        <f>IF($A960="","",SUMIFS('Mouvements stock'!$H$5:$H$3004,'Mouvements stock'!$I$5:$I$3004,$A960,'Mouvements stock'!$C$5:$C$3004,"Sortie")-SUMIFS('Mouvements stock'!$H$5:$H$3004,'Mouvements stock'!$I$5:$I$3004,$A960,'Mouvements stock'!$C$5:$C$3004,"Retour"))</f>
        <v/>
      </c>
      <c r="X960" s="66" t="n">
        <v>0</v>
      </c>
      <c r="Y960" s="66" t="n">
        <v>0</v>
      </c>
      <c r="Z960" s="7" t="n"/>
      <c r="AA960" s="70">
        <f>IF($A960="","",N(V960)+N(W960)+N(X960)+N(Y960))</f>
        <v/>
      </c>
      <c r="AB960" s="70">
        <f>IF($A960="","",N(S960)*'Paramètres'!$AA$9*IFERROR(INDEX('Paramètres'!$O$5:$O$7,MATCH(G960,'Paramètres'!$N$5:$N$7,0)),0))</f>
        <v/>
      </c>
      <c r="AC960" s="7" t="inlineStr">
        <is>
          <t>Clôturé</t>
        </is>
      </c>
      <c r="AD960" s="69">
        <f>IF(OR($A960="",Q960=""),"",(Q960-B960)*24)</f>
        <v/>
      </c>
      <c r="AE960" s="69">
        <f>IF(OR(Q960="",R960=""),"",(R960-Q960)*24)</f>
        <v/>
      </c>
      <c r="AF960" s="77">
        <f>IF(OR($A960="",B960=""),"",YEAR(B960))</f>
        <v/>
      </c>
      <c r="AG960" s="77">
        <f>IF(OR($A960="",B960=""),"",MONTH(B960))</f>
        <v/>
      </c>
    </row>
    <row r="961">
      <c r="A961" s="7" t="inlineStr">
        <is>
          <t>OT-2026-0106</t>
        </is>
      </c>
      <c r="B961" s="75" t="n">
        <v>46071.34861111111</v>
      </c>
      <c r="C961" s="7" t="inlineStr">
        <is>
          <t>Céline Morel (cheffe d'atelier)</t>
        </is>
      </c>
      <c r="D961" s="7" t="inlineStr">
        <is>
          <t>EQ-TOL-001</t>
        </is>
      </c>
      <c r="E961" s="9">
        <f>IF(D961="","",IFERROR(INDEX('Équipements'!$B$5:$B$304,MATCH(D961,'Équipements'!$A$5:$A$304,0)),"Code inconnu"))</f>
        <v/>
      </c>
      <c r="F961" s="9">
        <f>IF(D961="","",IFERROR(INDEX('Équipements'!$D$5:$D$304,MATCH(D961,'Équipements'!$A$5:$A$304,0)),""))</f>
        <v/>
      </c>
      <c r="G961" s="9">
        <f>IF(D961="","",IFERROR(INDEX('Équipements'!$K$5:$K$304,MATCH(D961,'Équipements'!$A$5:$A$304,0)),""))</f>
        <v/>
      </c>
      <c r="H961" s="7" t="inlineStr">
        <is>
          <t>Correctif</t>
        </is>
      </c>
      <c r="I961" s="7" t="n"/>
      <c r="J961" s="7" t="inlineStr">
        <is>
          <t>Mécanique</t>
        </is>
      </c>
      <c r="K961" s="7" t="inlineStr">
        <is>
          <t>P2 - Haute</t>
        </is>
      </c>
      <c r="L961" s="7" t="inlineStr">
        <is>
          <t>Lentille de focalisation endommagée</t>
        </is>
      </c>
      <c r="M961" s="7" t="inlineStr">
        <is>
          <t>Encrassement</t>
        </is>
      </c>
      <c r="N961" s="7" t="inlineStr">
        <is>
          <t>Remplacement lentille de focalisation</t>
        </is>
      </c>
      <c r="O961" s="7" t="inlineStr">
        <is>
          <t>Karim Benali</t>
        </is>
      </c>
      <c r="P961" s="65" t="n"/>
      <c r="Q961" s="75" t="n">
        <v>46071.43125</v>
      </c>
      <c r="R961" s="75" t="n">
        <v>46071.63958333333</v>
      </c>
      <c r="S961" s="76" t="n">
        <v>7</v>
      </c>
      <c r="T961" s="76" t="n">
        <v>5</v>
      </c>
      <c r="U961" s="70">
        <f>IF($A961="","",IFERROR(INDEX('Techniciens'!$F$5:$F$44,MATCH(O961,'Techniciens'!$B$5:$B$44,0)),'Paramètres'!$AA$10))</f>
        <v/>
      </c>
      <c r="V961" s="70">
        <f>IF($A961="","",IF(OR(AC961="Demandé",AC961="Planifié",AC961="Annulé"),0,N(T961)*N(U961)))</f>
        <v/>
      </c>
      <c r="W961" s="70">
        <f>IF($A961="","",SUMIFS('Mouvements stock'!$H$5:$H$3004,'Mouvements stock'!$I$5:$I$3004,$A961,'Mouvements stock'!$C$5:$C$3004,"Sortie")-SUMIFS('Mouvements stock'!$H$5:$H$3004,'Mouvements stock'!$I$5:$I$3004,$A961,'Mouvements stock'!$C$5:$C$3004,"Retour"))</f>
        <v/>
      </c>
      <c r="X961" s="66" t="n">
        <v>0</v>
      </c>
      <c r="Y961" s="66" t="n">
        <v>0</v>
      </c>
      <c r="Z961" s="7" t="n"/>
      <c r="AA961" s="70">
        <f>IF($A961="","",N(V961)+N(W961)+N(X961)+N(Y961))</f>
        <v/>
      </c>
      <c r="AB961" s="70">
        <f>IF($A961="","",N(S961)*'Paramètres'!$AA$9*IFERROR(INDEX('Paramètres'!$O$5:$O$7,MATCH(G961,'Paramètres'!$N$5:$N$7,0)),0))</f>
        <v/>
      </c>
      <c r="AC961" s="7" t="inlineStr">
        <is>
          <t>Clôturé</t>
        </is>
      </c>
      <c r="AD961" s="69">
        <f>IF(OR($A961="",Q961=""),"",(Q961-B961)*24)</f>
        <v/>
      </c>
      <c r="AE961" s="69">
        <f>IF(OR(Q961="",R961=""),"",(R961-Q961)*24)</f>
        <v/>
      </c>
      <c r="AF961" s="77">
        <f>IF(OR($A961="",B961=""),"",YEAR(B961))</f>
        <v/>
      </c>
      <c r="AG961" s="77">
        <f>IF(OR($A961="",B961=""),"",MONTH(B961))</f>
        <v/>
      </c>
    </row>
    <row r="962">
      <c r="A962" s="7" t="inlineStr">
        <is>
          <t>OT-2026-0107</t>
        </is>
      </c>
      <c r="B962" s="75" t="n">
        <v>46072.33333333334</v>
      </c>
      <c r="C962" s="7" t="inlineStr">
        <is>
          <t>Plan préventif</t>
        </is>
      </c>
      <c r="D962" s="7" t="inlineStr">
        <is>
          <t>EQ-USI-002</t>
        </is>
      </c>
      <c r="E962" s="9">
        <f>IF(D962="","",IFERROR(INDEX('Équipements'!$B$5:$B$304,MATCH(D962,'Équipements'!$A$5:$A$304,0)),"Code inconnu"))</f>
        <v/>
      </c>
      <c r="F962" s="9">
        <f>IF(D962="","",IFERROR(INDEX('Équipements'!$D$5:$D$304,MATCH(D962,'Équipements'!$A$5:$A$304,0)),""))</f>
        <v/>
      </c>
      <c r="G962" s="9">
        <f>IF(D962="","",IFERROR(INDEX('Équipements'!$K$5:$K$304,MATCH(D962,'Équipements'!$A$5:$A$304,0)),""))</f>
        <v/>
      </c>
      <c r="H962" s="7" t="inlineStr">
        <is>
          <t>Préventif systématique</t>
        </is>
      </c>
      <c r="I962" s="7" t="inlineStr">
        <is>
          <t>GP-005</t>
        </is>
      </c>
      <c r="J962" s="7" t="inlineStr">
        <is>
          <t>Mécanique</t>
        </is>
      </c>
      <c r="K962" s="7" t="inlineStr">
        <is>
          <t>P3 - Normale</t>
        </is>
      </c>
      <c r="L962" s="7" t="inlineStr">
        <is>
          <t>Contrôle niveaux, nettoyage filtres et bac à copeaux</t>
        </is>
      </c>
      <c r="M962" s="7" t="n"/>
      <c r="N962" s="7" t="inlineStr">
        <is>
          <t>Gamme réalisée - RAS</t>
        </is>
      </c>
      <c r="O962" s="7" t="inlineStr">
        <is>
          <t>Antoine Mercier</t>
        </is>
      </c>
      <c r="P962" s="65" t="n">
        <v>46079.42361111111</v>
      </c>
      <c r="Q962" s="75" t="n">
        <v>46079.43055555555</v>
      </c>
      <c r="R962" s="75" t="n">
        <v>46079.51388888889</v>
      </c>
      <c r="S962" s="76" t="n">
        <v>2</v>
      </c>
      <c r="T962" s="76" t="n">
        <v>2</v>
      </c>
      <c r="U962" s="70">
        <f>IF($A962="","",IFERROR(INDEX('Techniciens'!$F$5:$F$44,MATCH(O962,'Techniciens'!$B$5:$B$44,0)),'Paramètres'!$AA$10))</f>
        <v/>
      </c>
      <c r="V962" s="70">
        <f>IF($A962="","",IF(OR(AC962="Demandé",AC962="Planifié",AC962="Annulé"),0,N(T962)*N(U962)))</f>
        <v/>
      </c>
      <c r="W962" s="70">
        <f>IF($A962="","",SUMIFS('Mouvements stock'!$H$5:$H$3004,'Mouvements stock'!$I$5:$I$3004,$A962,'Mouvements stock'!$C$5:$C$3004,"Sortie")-SUMIFS('Mouvements stock'!$H$5:$H$3004,'Mouvements stock'!$I$5:$I$3004,$A962,'Mouvements stock'!$C$5:$C$3004,"Retour"))</f>
        <v/>
      </c>
      <c r="X962" s="66" t="n">
        <v>0</v>
      </c>
      <c r="Y962" s="66" t="n">
        <v>0</v>
      </c>
      <c r="Z962" s="7" t="n"/>
      <c r="AA962" s="70">
        <f>IF($A962="","",N(V962)+N(W962)+N(X962)+N(Y962))</f>
        <v/>
      </c>
      <c r="AB962" s="70">
        <f>IF($A962="","",N(S962)*'Paramètres'!$AA$9*IFERROR(INDEX('Paramètres'!$O$5:$O$7,MATCH(G962,'Paramètres'!$N$5:$N$7,0)),0))</f>
        <v/>
      </c>
      <c r="AC962" s="7" t="inlineStr">
        <is>
          <t>Clôturé</t>
        </is>
      </c>
      <c r="AD962" s="69">
        <f>IF(OR($A962="",Q962=""),"",(Q962-B962)*24)</f>
        <v/>
      </c>
      <c r="AE962" s="69">
        <f>IF(OR(Q962="",R962=""),"",(R962-Q962)*24)</f>
        <v/>
      </c>
      <c r="AF962" s="77">
        <f>IF(OR($A962="",B962=""),"",YEAR(B962))</f>
        <v/>
      </c>
      <c r="AG962" s="77">
        <f>IF(OR($A962="",B962=""),"",MONTH(B962))</f>
        <v/>
      </c>
    </row>
    <row r="963">
      <c r="A963" s="7" t="inlineStr">
        <is>
          <t>OT-2026-0108</t>
        </is>
      </c>
      <c r="B963" s="75" t="n">
        <v>46072.34375</v>
      </c>
      <c r="C963" s="7" t="inlineStr">
        <is>
          <t>Plan préventif</t>
        </is>
      </c>
      <c r="D963" s="7" t="inlineStr">
        <is>
          <t>EQ-USI-012</t>
        </is>
      </c>
      <c r="E963" s="9">
        <f>IF(D963="","",IFERROR(INDEX('Équipements'!$B$5:$B$304,MATCH(D963,'Équipements'!$A$5:$A$304,0)),"Code inconnu"))</f>
        <v/>
      </c>
      <c r="F963" s="9">
        <f>IF(D963="","",IFERROR(INDEX('Équipements'!$D$5:$D$304,MATCH(D963,'Équipements'!$A$5:$A$304,0)),""))</f>
        <v/>
      </c>
      <c r="G963" s="9">
        <f>IF(D963="","",IFERROR(INDEX('Équipements'!$K$5:$K$304,MATCH(D963,'Équipements'!$A$5:$A$304,0)),""))</f>
        <v/>
      </c>
      <c r="H963" s="7" t="inlineStr">
        <is>
          <t>Préventif systématique</t>
        </is>
      </c>
      <c r="I963" s="7" t="inlineStr">
        <is>
          <t>GP-035</t>
        </is>
      </c>
      <c r="J963" s="7" t="inlineStr">
        <is>
          <t>Mécanique</t>
        </is>
      </c>
      <c r="K963" s="7" t="inlineStr">
        <is>
          <t>P3 - Normale</t>
        </is>
      </c>
      <c r="L963" s="7" t="inlineStr">
        <is>
          <t>Nettoyage torche et contrôle faisceau</t>
        </is>
      </c>
      <c r="M963" s="7" t="n"/>
      <c r="N963" s="7" t="inlineStr">
        <is>
          <t>Gamme réalisée - petite fuite corrigée</t>
        </is>
      </c>
      <c r="O963" s="7" t="inlineStr">
        <is>
          <t>Lucas Fontaine</t>
        </is>
      </c>
      <c r="P963" s="65" t="n">
        <v>46079.33333333334</v>
      </c>
      <c r="Q963" s="75" t="n">
        <v>46079.41666666666</v>
      </c>
      <c r="R963" s="75" t="n">
        <v>46079.44791666666</v>
      </c>
      <c r="S963" s="76" t="n">
        <v>0.4</v>
      </c>
      <c r="T963" s="76" t="n">
        <v>0.75</v>
      </c>
      <c r="U963" s="70">
        <f>IF($A963="","",IFERROR(INDEX('Techniciens'!$F$5:$F$44,MATCH(O963,'Techniciens'!$B$5:$B$44,0)),'Paramètres'!$AA$10))</f>
        <v/>
      </c>
      <c r="V963" s="70">
        <f>IF($A963="","",IF(OR(AC963="Demandé",AC963="Planifié",AC963="Annulé"),0,N(T963)*N(U963)))</f>
        <v/>
      </c>
      <c r="W963" s="70">
        <f>IF($A963="","",SUMIFS('Mouvements stock'!$H$5:$H$3004,'Mouvements stock'!$I$5:$I$3004,$A963,'Mouvements stock'!$C$5:$C$3004,"Sortie")-SUMIFS('Mouvements stock'!$H$5:$H$3004,'Mouvements stock'!$I$5:$I$3004,$A963,'Mouvements stock'!$C$5:$C$3004,"Retour"))</f>
        <v/>
      </c>
      <c r="X963" s="66" t="n">
        <v>0</v>
      </c>
      <c r="Y963" s="66" t="n">
        <v>0</v>
      </c>
      <c r="Z963" s="7" t="n"/>
      <c r="AA963" s="70">
        <f>IF($A963="","",N(V963)+N(W963)+N(X963)+N(Y963))</f>
        <v/>
      </c>
      <c r="AB963" s="70">
        <f>IF($A963="","",N(S963)*'Paramètres'!$AA$9*IFERROR(INDEX('Paramètres'!$O$5:$O$7,MATCH(G963,'Paramètres'!$N$5:$N$7,0)),0))</f>
        <v/>
      </c>
      <c r="AC963" s="7" t="inlineStr">
        <is>
          <t>Clôturé</t>
        </is>
      </c>
      <c r="AD963" s="69">
        <f>IF(OR($A963="",Q963=""),"",(Q963-B963)*24)</f>
        <v/>
      </c>
      <c r="AE963" s="69">
        <f>IF(OR(Q963="",R963=""),"",(R963-Q963)*24)</f>
        <v/>
      </c>
      <c r="AF963" s="77">
        <f>IF(OR($A963="",B963=""),"",YEAR(B963))</f>
        <v/>
      </c>
      <c r="AG963" s="77">
        <f>IF(OR($A963="",B963=""),"",MONTH(B963))</f>
        <v/>
      </c>
    </row>
    <row r="964">
      <c r="A964" s="7" t="inlineStr">
        <is>
          <t>OT-2026-0109</t>
        </is>
      </c>
      <c r="B964" s="75" t="n">
        <v>46072.35416666666</v>
      </c>
      <c r="C964" s="7" t="inlineStr">
        <is>
          <t>Plan préventif</t>
        </is>
      </c>
      <c r="D964" s="7" t="inlineStr">
        <is>
          <t>EQ-ASS-001</t>
        </is>
      </c>
      <c r="E964" s="9">
        <f>IF(D964="","",IFERROR(INDEX('Équipements'!$B$5:$B$304,MATCH(D964,'Équipements'!$A$5:$A$304,0)),"Code inconnu"))</f>
        <v/>
      </c>
      <c r="F964" s="9">
        <f>IF(D964="","",IFERROR(INDEX('Équipements'!$D$5:$D$304,MATCH(D964,'Équipements'!$A$5:$A$304,0)),""))</f>
        <v/>
      </c>
      <c r="G964" s="9">
        <f>IF(D964="","",IFERROR(INDEX('Équipements'!$K$5:$K$304,MATCH(D964,'Équipements'!$A$5:$A$304,0)),""))</f>
        <v/>
      </c>
      <c r="H964" s="7" t="inlineStr">
        <is>
          <t>Préventif systématique</t>
        </is>
      </c>
      <c r="I964" s="7" t="inlineStr">
        <is>
          <t>GP-076</t>
        </is>
      </c>
      <c r="J964" s="7" t="inlineStr">
        <is>
          <t>Mécanique</t>
        </is>
      </c>
      <c r="K964" s="7" t="inlineStr">
        <is>
          <t>P3 - Normale</t>
        </is>
      </c>
      <c r="L964" s="7" t="inlineStr">
        <is>
          <t>Graissage chaîne / galets et contrôle tension</t>
        </is>
      </c>
      <c r="M964" s="7" t="n"/>
      <c r="N964" s="7" t="inlineStr">
        <is>
          <t>Gamme réalisée - RAS</t>
        </is>
      </c>
      <c r="O964" s="7" t="inlineStr">
        <is>
          <t>Lucas Fontaine</t>
        </is>
      </c>
      <c r="P964" s="65" t="n">
        <v>46079.36805555555</v>
      </c>
      <c r="Q964" s="75" t="n">
        <v>46079.39583333334</v>
      </c>
      <c r="R964" s="75" t="n">
        <v>46079.51041666666</v>
      </c>
      <c r="S964" s="76" t="n">
        <v>2.8</v>
      </c>
      <c r="T964" s="76" t="n">
        <v>2.75</v>
      </c>
      <c r="U964" s="70">
        <f>IF($A964="","",IFERROR(INDEX('Techniciens'!$F$5:$F$44,MATCH(O964,'Techniciens'!$B$5:$B$44,0)),'Paramètres'!$AA$10))</f>
        <v/>
      </c>
      <c r="V964" s="70">
        <f>IF($A964="","",IF(OR(AC964="Demandé",AC964="Planifié",AC964="Annulé"),0,N(T964)*N(U964)))</f>
        <v/>
      </c>
      <c r="W964" s="70">
        <f>IF($A964="","",SUMIFS('Mouvements stock'!$H$5:$H$3004,'Mouvements stock'!$I$5:$I$3004,$A964,'Mouvements stock'!$C$5:$C$3004,"Sortie")-SUMIFS('Mouvements stock'!$H$5:$H$3004,'Mouvements stock'!$I$5:$I$3004,$A964,'Mouvements stock'!$C$5:$C$3004,"Retour"))</f>
        <v/>
      </c>
      <c r="X964" s="66" t="n">
        <v>0</v>
      </c>
      <c r="Y964" s="66" t="n">
        <v>0</v>
      </c>
      <c r="Z964" s="7" t="n"/>
      <c r="AA964" s="70">
        <f>IF($A964="","",N(V964)+N(W964)+N(X964)+N(Y964))</f>
        <v/>
      </c>
      <c r="AB964" s="70">
        <f>IF($A964="","",N(S964)*'Paramètres'!$AA$9*IFERROR(INDEX('Paramètres'!$O$5:$O$7,MATCH(G964,'Paramètres'!$N$5:$N$7,0)),0))</f>
        <v/>
      </c>
      <c r="AC964" s="7" t="inlineStr">
        <is>
          <t>Clôturé</t>
        </is>
      </c>
      <c r="AD964" s="69">
        <f>IF(OR($A964="",Q964=""),"",(Q964-B964)*24)</f>
        <v/>
      </c>
      <c r="AE964" s="69">
        <f>IF(OR(Q964="",R964=""),"",(R964-Q964)*24)</f>
        <v/>
      </c>
      <c r="AF964" s="77">
        <f>IF(OR($A964="",B964=""),"",YEAR(B964))</f>
        <v/>
      </c>
      <c r="AG964" s="77">
        <f>IF(OR($A964="",B964=""),"",MONTH(B964))</f>
        <v/>
      </c>
    </row>
    <row r="965">
      <c r="A965" s="7" t="inlineStr">
        <is>
          <t>OT-2026-0110</t>
        </is>
      </c>
      <c r="B965" s="75" t="n">
        <v>46072.41666666666</v>
      </c>
      <c r="C965" s="7" t="inlineStr">
        <is>
          <t>Céline Morel (cheffe d'atelier)</t>
        </is>
      </c>
      <c r="D965" s="7" t="inlineStr">
        <is>
          <t>EQ-TOL-001</t>
        </is>
      </c>
      <c r="E965" s="9">
        <f>IF(D965="","",IFERROR(INDEX('Équipements'!$B$5:$B$304,MATCH(D965,'Équipements'!$A$5:$A$304,0)),"Code inconnu"))</f>
        <v/>
      </c>
      <c r="F965" s="9">
        <f>IF(D965="","",IFERROR(INDEX('Équipements'!$D$5:$D$304,MATCH(D965,'Équipements'!$A$5:$A$304,0)),""))</f>
        <v/>
      </c>
      <c r="G965" s="9">
        <f>IF(D965="","",IFERROR(INDEX('Équipements'!$K$5:$K$304,MATCH(D965,'Équipements'!$A$5:$A$304,0)),""))</f>
        <v/>
      </c>
      <c r="H965" s="7" t="inlineStr">
        <is>
          <t>Correctif</t>
        </is>
      </c>
      <c r="I965" s="7" t="n"/>
      <c r="J965" s="7" t="inlineStr">
        <is>
          <t>Mécanique</t>
        </is>
      </c>
      <c r="K965" s="7" t="inlineStr">
        <is>
          <t>P1 - Urgent</t>
        </is>
      </c>
      <c r="L965" s="7" t="inlineStr">
        <is>
          <t>Défaut changeur de palettes</t>
        </is>
      </c>
      <c r="M965" s="7" t="inlineStr">
        <is>
          <t>Usure</t>
        </is>
      </c>
      <c r="N965" s="7" t="inlineStr">
        <is>
          <t>Remplacement détecteur et réglage chaîne</t>
        </is>
      </c>
      <c r="O965" s="7" t="inlineStr">
        <is>
          <t>Antoine Mercier</t>
        </is>
      </c>
      <c r="P965" s="65" t="n"/>
      <c r="Q965" s="75" t="n">
        <v>46072.42847222222</v>
      </c>
      <c r="R965" s="75" t="n">
        <v>46072.50138888889</v>
      </c>
      <c r="S965" s="76" t="n">
        <v>2</v>
      </c>
      <c r="T965" s="76" t="n">
        <v>1.75</v>
      </c>
      <c r="U965" s="70">
        <f>IF($A965="","",IFERROR(INDEX('Techniciens'!$F$5:$F$44,MATCH(O965,'Techniciens'!$B$5:$B$44,0)),'Paramètres'!$AA$10))</f>
        <v/>
      </c>
      <c r="V965" s="70">
        <f>IF($A965="","",IF(OR(AC965="Demandé",AC965="Planifié",AC965="Annulé"),0,N(T965)*N(U965)))</f>
        <v/>
      </c>
      <c r="W965" s="70">
        <f>IF($A965="","",SUMIFS('Mouvements stock'!$H$5:$H$3004,'Mouvements stock'!$I$5:$I$3004,$A965,'Mouvements stock'!$C$5:$C$3004,"Sortie")-SUMIFS('Mouvements stock'!$H$5:$H$3004,'Mouvements stock'!$I$5:$I$3004,$A965,'Mouvements stock'!$C$5:$C$3004,"Retour"))</f>
        <v/>
      </c>
      <c r="X965" s="66" t="n">
        <v>464</v>
      </c>
      <c r="Y965" s="66" t="n">
        <v>0</v>
      </c>
      <c r="Z965" s="7" t="n"/>
      <c r="AA965" s="70">
        <f>IF($A965="","",N(V965)+N(W965)+N(X965)+N(Y965))</f>
        <v/>
      </c>
      <c r="AB965" s="70">
        <f>IF($A965="","",N(S965)*'Paramètres'!$AA$9*IFERROR(INDEX('Paramètres'!$O$5:$O$7,MATCH(G965,'Paramètres'!$N$5:$N$7,0)),0))</f>
        <v/>
      </c>
      <c r="AC965" s="7" t="inlineStr">
        <is>
          <t>Clôturé</t>
        </is>
      </c>
      <c r="AD965" s="69">
        <f>IF(OR($A965="",Q965=""),"",(Q965-B965)*24)</f>
        <v/>
      </c>
      <c r="AE965" s="69">
        <f>IF(OR(Q965="",R965=""),"",(R965-Q965)*24)</f>
        <v/>
      </c>
      <c r="AF965" s="77">
        <f>IF(OR($A965="",B965=""),"",YEAR(B965))</f>
        <v/>
      </c>
      <c r="AG965" s="77">
        <f>IF(OR($A965="",B965=""),"",MONTH(B965))</f>
        <v/>
      </c>
    </row>
    <row r="966">
      <c r="A966" s="7" t="inlineStr">
        <is>
          <t>OT-2026-0111</t>
        </is>
      </c>
      <c r="B966" s="75" t="n">
        <v>46072.48611111111</v>
      </c>
      <c r="C966" s="7" t="inlineStr">
        <is>
          <t>Sylvie Mathieu (resp. logistique)</t>
        </is>
      </c>
      <c r="D966" s="7" t="inlineStr">
        <is>
          <t>EQ-LOG-006</t>
        </is>
      </c>
      <c r="E966" s="9">
        <f>IF(D966="","",IFERROR(INDEX('Équipements'!$B$5:$B$304,MATCH(D966,'Équipements'!$A$5:$A$304,0)),"Code inconnu"))</f>
        <v/>
      </c>
      <c r="F966" s="9">
        <f>IF(D966="","",IFERROR(INDEX('Équipements'!$D$5:$D$304,MATCH(D966,'Équipements'!$A$5:$A$304,0)),""))</f>
        <v/>
      </c>
      <c r="G966" s="9">
        <f>IF(D966="","",IFERROR(INDEX('Équipements'!$K$5:$K$304,MATCH(D966,'Équipements'!$A$5:$A$304,0)),""))</f>
        <v/>
      </c>
      <c r="H966" s="7" t="inlineStr">
        <is>
          <t>Correctif</t>
        </is>
      </c>
      <c r="I966" s="7" t="n"/>
      <c r="J966" s="7" t="inlineStr">
        <is>
          <t>Électrique</t>
        </is>
      </c>
      <c r="K966" s="7" t="inlineStr">
        <is>
          <t>P2 - Haute</t>
        </is>
      </c>
      <c r="L966" s="7" t="inlineStr">
        <is>
          <t>Fin de course de levage HS</t>
        </is>
      </c>
      <c r="M966" s="7" t="inlineStr">
        <is>
          <t>Défaut capteur</t>
        </is>
      </c>
      <c r="N966" s="7" t="inlineStr">
        <is>
          <t>Remplacement fin de course</t>
        </is>
      </c>
      <c r="O966" s="7" t="inlineStr">
        <is>
          <t>Antoine Mercier</t>
        </is>
      </c>
      <c r="P966" s="65" t="n"/>
      <c r="Q966" s="75" t="n">
        <v>46072.57291666666</v>
      </c>
      <c r="R966" s="75" t="n">
        <v>46073.82254142435</v>
      </c>
      <c r="S966" s="76" t="n">
        <v>18.5</v>
      </c>
      <c r="T966" s="76" t="n">
        <v>2.75</v>
      </c>
      <c r="U966" s="70">
        <f>IF($A966="","",IFERROR(INDEX('Techniciens'!$F$5:$F$44,MATCH(O966,'Techniciens'!$B$5:$B$44,0)),'Paramètres'!$AA$10))</f>
        <v/>
      </c>
      <c r="V966" s="70">
        <f>IF($A966="","",IF(OR(AC966="Demandé",AC966="Planifié",AC966="Annulé"),0,N(T966)*N(U966)))</f>
        <v/>
      </c>
      <c r="W966" s="70">
        <f>IF($A966="","",SUMIFS('Mouvements stock'!$H$5:$H$3004,'Mouvements stock'!$I$5:$I$3004,$A966,'Mouvements stock'!$C$5:$C$3004,"Sortie")-SUMIFS('Mouvements stock'!$H$5:$H$3004,'Mouvements stock'!$I$5:$I$3004,$A966,'Mouvements stock'!$C$5:$C$3004,"Retour"))</f>
        <v/>
      </c>
      <c r="X966" s="66" t="n">
        <v>0</v>
      </c>
      <c r="Y966" s="66" t="n">
        <v>0</v>
      </c>
      <c r="Z966" s="7" t="n"/>
      <c r="AA966" s="70">
        <f>IF($A966="","",N(V966)+N(W966)+N(X966)+N(Y966))</f>
        <v/>
      </c>
      <c r="AB966" s="70">
        <f>IF($A966="","",N(S966)*'Paramètres'!$AA$9*IFERROR(INDEX('Paramètres'!$O$5:$O$7,MATCH(G966,'Paramètres'!$N$5:$N$7,0)),0))</f>
        <v/>
      </c>
      <c r="AC966" s="7" t="inlineStr">
        <is>
          <t>Clôturé</t>
        </is>
      </c>
      <c r="AD966" s="69">
        <f>IF(OR($A966="",Q966=""),"",(Q966-B966)*24)</f>
        <v/>
      </c>
      <c r="AE966" s="69">
        <f>IF(OR(Q966="",R966=""),"",(R966-Q966)*24)</f>
        <v/>
      </c>
      <c r="AF966" s="77">
        <f>IF(OR($A966="",B966=""),"",YEAR(B966))</f>
        <v/>
      </c>
      <c r="AG966" s="77">
        <f>IF(OR($A966="",B966=""),"",MONTH(B966))</f>
        <v/>
      </c>
    </row>
    <row r="967">
      <c r="A967" s="7" t="inlineStr">
        <is>
          <t>OT-2026-0112</t>
        </is>
      </c>
      <c r="B967" s="75" t="n">
        <v>46072.64305555556</v>
      </c>
      <c r="C967" s="7" t="inlineStr">
        <is>
          <t>Cariste</t>
        </is>
      </c>
      <c r="D967" s="7" t="inlineStr">
        <is>
          <t>EQ-LOG-002</t>
        </is>
      </c>
      <c r="E967" s="9">
        <f>IF(D967="","",IFERROR(INDEX('Équipements'!$B$5:$B$304,MATCH(D967,'Équipements'!$A$5:$A$304,0)),"Code inconnu"))</f>
        <v/>
      </c>
      <c r="F967" s="9">
        <f>IF(D967="","",IFERROR(INDEX('Équipements'!$D$5:$D$304,MATCH(D967,'Équipements'!$A$5:$A$304,0)),""))</f>
        <v/>
      </c>
      <c r="G967" s="9">
        <f>IF(D967="","",IFERROR(INDEX('Équipements'!$K$5:$K$304,MATCH(D967,'Équipements'!$A$5:$A$304,0)),""))</f>
        <v/>
      </c>
      <c r="H967" s="7" t="inlineStr">
        <is>
          <t>Correctif</t>
        </is>
      </c>
      <c r="I967" s="7" t="n"/>
      <c r="J967" s="7" t="inlineStr">
        <is>
          <t>Hydraulique</t>
        </is>
      </c>
      <c r="K967" s="7" t="inlineStr">
        <is>
          <t>P2 - Haute</t>
        </is>
      </c>
      <c r="L967" s="7" t="inlineStr">
        <is>
          <t>Fuite vérin de levée</t>
        </is>
      </c>
      <c r="M967" s="7" t="inlineStr">
        <is>
          <t>Fuite</t>
        </is>
      </c>
      <c r="N967" s="7" t="inlineStr">
        <is>
          <t>Remplacement kit joints</t>
        </is>
      </c>
      <c r="O967" s="7" t="inlineStr">
        <is>
          <t>Antoine Mercier</t>
        </is>
      </c>
      <c r="P967" s="65" t="n"/>
      <c r="Q967" s="75" t="n">
        <v>46072.87430555555</v>
      </c>
      <c r="R967" s="75" t="n">
        <v>46073.00972222222</v>
      </c>
      <c r="S967" s="76" t="n">
        <v>2.6</v>
      </c>
      <c r="T967" s="76" t="n">
        <v>3.25</v>
      </c>
      <c r="U967" s="70">
        <f>IF($A967="","",IFERROR(INDEX('Techniciens'!$F$5:$F$44,MATCH(O967,'Techniciens'!$B$5:$B$44,0)),'Paramètres'!$AA$10))</f>
        <v/>
      </c>
      <c r="V967" s="70">
        <f>IF($A967="","",IF(OR(AC967="Demandé",AC967="Planifié",AC967="Annulé"),0,N(T967)*N(U967)))</f>
        <v/>
      </c>
      <c r="W967" s="70">
        <f>IF($A967="","",SUMIFS('Mouvements stock'!$H$5:$H$3004,'Mouvements stock'!$I$5:$I$3004,$A967,'Mouvements stock'!$C$5:$C$3004,"Sortie")-SUMIFS('Mouvements stock'!$H$5:$H$3004,'Mouvements stock'!$I$5:$I$3004,$A967,'Mouvements stock'!$C$5:$C$3004,"Retour"))</f>
        <v/>
      </c>
      <c r="X967" s="66" t="n">
        <v>527</v>
      </c>
      <c r="Y967" s="66" t="n">
        <v>0</v>
      </c>
      <c r="Z967" s="7" t="n"/>
      <c r="AA967" s="70">
        <f>IF($A967="","",N(V967)+N(W967)+N(X967)+N(Y967))</f>
        <v/>
      </c>
      <c r="AB967" s="70">
        <f>IF($A967="","",N(S967)*'Paramètres'!$AA$9*IFERROR(INDEX('Paramètres'!$O$5:$O$7,MATCH(G967,'Paramètres'!$N$5:$N$7,0)),0))</f>
        <v/>
      </c>
      <c r="AC967" s="7" t="inlineStr">
        <is>
          <t>Clôturé</t>
        </is>
      </c>
      <c r="AD967" s="69">
        <f>IF(OR($A967="",Q967=""),"",(Q967-B967)*24)</f>
        <v/>
      </c>
      <c r="AE967" s="69">
        <f>IF(OR(Q967="",R967=""),"",(R967-Q967)*24)</f>
        <v/>
      </c>
      <c r="AF967" s="77">
        <f>IF(OR($A967="",B967=""),"",YEAR(B967))</f>
        <v/>
      </c>
      <c r="AG967" s="77">
        <f>IF(OR($A967="",B967=""),"",MONTH(B967))</f>
        <v/>
      </c>
    </row>
    <row r="968">
      <c r="A968" s="7" t="inlineStr">
        <is>
          <t>OT-2026-0113</t>
        </is>
      </c>
      <c r="B968" s="75" t="n">
        <v>46072.88125</v>
      </c>
      <c r="C968" s="7" t="inlineStr">
        <is>
          <t>Éric Laurent (chef d'atelier)</t>
        </is>
      </c>
      <c r="D968" s="7" t="inlineStr">
        <is>
          <t>EQ-USI-012</t>
        </is>
      </c>
      <c r="E968" s="9">
        <f>IF(D968="","",IFERROR(INDEX('Équipements'!$B$5:$B$304,MATCH(D968,'Équipements'!$A$5:$A$304,0)),"Code inconnu"))</f>
        <v/>
      </c>
      <c r="F968" s="9">
        <f>IF(D968="","",IFERROR(INDEX('Équipements'!$D$5:$D$304,MATCH(D968,'Équipements'!$A$5:$A$304,0)),""))</f>
        <v/>
      </c>
      <c r="G968" s="9">
        <f>IF(D968="","",IFERROR(INDEX('Équipements'!$K$5:$K$304,MATCH(D968,'Équipements'!$A$5:$A$304,0)),""))</f>
        <v/>
      </c>
      <c r="H968" s="7" t="inlineStr">
        <is>
          <t>Correctif</t>
        </is>
      </c>
      <c r="I968" s="7" t="n"/>
      <c r="J968" s="7" t="inlineStr">
        <is>
          <t>Automatisme</t>
        </is>
      </c>
      <c r="K968" s="7" t="inlineStr">
        <is>
          <t>P2 - Haute</t>
        </is>
      </c>
      <c r="L968" s="7" t="inlineStr">
        <is>
          <t>Défaut collision robot</t>
        </is>
      </c>
      <c r="M968" s="7" t="inlineStr">
        <is>
          <t>Erreur opérateur</t>
        </is>
      </c>
      <c r="N968" s="7" t="inlineStr">
        <is>
          <t>Recalage TCP, remplacement buse et tube contact</t>
        </is>
      </c>
      <c r="O968" s="7" t="inlineStr">
        <is>
          <t>Sophie Garnier</t>
        </is>
      </c>
      <c r="P968" s="65" t="n"/>
      <c r="Q968" s="75" t="n">
        <v>46072.95902777778</v>
      </c>
      <c r="R968" s="75" t="n">
        <v>46073.69861111111</v>
      </c>
      <c r="S968" s="76" t="n">
        <v>0</v>
      </c>
      <c r="T968" s="76" t="n">
        <v>17.75</v>
      </c>
      <c r="U968" s="70">
        <f>IF($A968="","",IFERROR(INDEX('Techniciens'!$F$5:$F$44,MATCH(O968,'Techniciens'!$B$5:$B$44,0)),'Paramètres'!$AA$10))</f>
        <v/>
      </c>
      <c r="V968" s="70">
        <f>IF($A968="","",IF(OR(AC968="Demandé",AC968="Planifié",AC968="Annulé"),0,N(T968)*N(U968)))</f>
        <v/>
      </c>
      <c r="W968" s="70">
        <f>IF($A968="","",SUMIFS('Mouvements stock'!$H$5:$H$3004,'Mouvements stock'!$I$5:$I$3004,$A968,'Mouvements stock'!$C$5:$C$3004,"Sortie")-SUMIFS('Mouvements stock'!$H$5:$H$3004,'Mouvements stock'!$I$5:$I$3004,$A968,'Mouvements stock'!$C$5:$C$3004,"Retour"))</f>
        <v/>
      </c>
      <c r="X968" s="66" t="n">
        <v>0</v>
      </c>
      <c r="Y968" s="66" t="n">
        <v>0</v>
      </c>
      <c r="Z968" s="7" t="n"/>
      <c r="AA968" s="70">
        <f>IF($A968="","",N(V968)+N(W968)+N(X968)+N(Y968))</f>
        <v/>
      </c>
      <c r="AB968" s="70">
        <f>IF($A968="","",N(S968)*'Paramètres'!$AA$9*IFERROR(INDEX('Paramètres'!$O$5:$O$7,MATCH(G968,'Paramètres'!$N$5:$N$7,0)),0))</f>
        <v/>
      </c>
      <c r="AC968" s="7" t="inlineStr">
        <is>
          <t>Clôturé</t>
        </is>
      </c>
      <c r="AD968" s="69">
        <f>IF(OR($A968="",Q968=""),"",(Q968-B968)*24)</f>
        <v/>
      </c>
      <c r="AE968" s="69">
        <f>IF(OR(Q968="",R968=""),"",(R968-Q968)*24)</f>
        <v/>
      </c>
      <c r="AF968" s="77">
        <f>IF(OR($A968="",B968=""),"",YEAR(B968))</f>
        <v/>
      </c>
      <c r="AG968" s="77">
        <f>IF(OR($A968="",B968=""),"",MONTH(B968))</f>
        <v/>
      </c>
    </row>
    <row r="969">
      <c r="A969" s="7" t="inlineStr">
        <is>
          <t>OT-2026-0114</t>
        </is>
      </c>
      <c r="B969" s="75" t="n">
        <v>46072.89513888889</v>
      </c>
      <c r="C969" s="7" t="inlineStr">
        <is>
          <t>Céline Morel (cheffe d'atelier)</t>
        </is>
      </c>
      <c r="D969" s="7" t="inlineStr">
        <is>
          <t>EQ-TOL-001</t>
        </is>
      </c>
      <c r="E969" s="9">
        <f>IF(D969="","",IFERROR(INDEX('Équipements'!$B$5:$B$304,MATCH(D969,'Équipements'!$A$5:$A$304,0)),"Code inconnu"))</f>
        <v/>
      </c>
      <c r="F969" s="9">
        <f>IF(D969="","",IFERROR(INDEX('Équipements'!$D$5:$D$304,MATCH(D969,'Équipements'!$A$5:$A$304,0)),""))</f>
        <v/>
      </c>
      <c r="G969" s="9">
        <f>IF(D969="","",IFERROR(INDEX('Équipements'!$K$5:$K$304,MATCH(D969,'Équipements'!$A$5:$A$304,0)),""))</f>
        <v/>
      </c>
      <c r="H969" s="7" t="inlineStr">
        <is>
          <t>Correctif</t>
        </is>
      </c>
      <c r="I969" s="7" t="n"/>
      <c r="J969" s="7" t="inlineStr">
        <is>
          <t>Mécanique</t>
        </is>
      </c>
      <c r="K969" s="7" t="inlineStr">
        <is>
          <t>P2 - Haute</t>
        </is>
      </c>
      <c r="L969" s="7" t="inlineStr">
        <is>
          <t>Qualité de coupe dégradée</t>
        </is>
      </c>
      <c r="M969" s="7" t="inlineStr">
        <is>
          <t>Encrassement</t>
        </is>
      </c>
      <c r="N969" s="7" t="inlineStr">
        <is>
          <t>Remplacement verre de protection et buse, centrage faisceau</t>
        </is>
      </c>
      <c r="O969" s="7" t="inlineStr">
        <is>
          <t>Lucas Fontaine</t>
        </is>
      </c>
      <c r="P969" s="65" t="n"/>
      <c r="Q969" s="75" t="n">
        <v>46073.11388888889</v>
      </c>
      <c r="R969" s="75" t="n">
        <v>46073.32222222222</v>
      </c>
      <c r="S969" s="76" t="n">
        <v>10.3</v>
      </c>
      <c r="T969" s="76" t="n">
        <v>5</v>
      </c>
      <c r="U969" s="70">
        <f>IF($A969="","",IFERROR(INDEX('Techniciens'!$F$5:$F$44,MATCH(O969,'Techniciens'!$B$5:$B$44,0)),'Paramètres'!$AA$10))</f>
        <v/>
      </c>
      <c r="V969" s="70">
        <f>IF($A969="","",IF(OR(AC969="Demandé",AC969="Planifié",AC969="Annulé"),0,N(T969)*N(U969)))</f>
        <v/>
      </c>
      <c r="W969" s="70">
        <f>IF($A969="","",SUMIFS('Mouvements stock'!$H$5:$H$3004,'Mouvements stock'!$I$5:$I$3004,$A969,'Mouvements stock'!$C$5:$C$3004,"Sortie")-SUMIFS('Mouvements stock'!$H$5:$H$3004,'Mouvements stock'!$I$5:$I$3004,$A969,'Mouvements stock'!$C$5:$C$3004,"Retour"))</f>
        <v/>
      </c>
      <c r="X969" s="66" t="n">
        <v>0</v>
      </c>
      <c r="Y969" s="66" t="n">
        <v>0</v>
      </c>
      <c r="Z969" s="7" t="n"/>
      <c r="AA969" s="70">
        <f>IF($A969="","",N(V969)+N(W969)+N(X969)+N(Y969))</f>
        <v/>
      </c>
      <c r="AB969" s="70">
        <f>IF($A969="","",N(S969)*'Paramètres'!$AA$9*IFERROR(INDEX('Paramètres'!$O$5:$O$7,MATCH(G969,'Paramètres'!$N$5:$N$7,0)),0))</f>
        <v/>
      </c>
      <c r="AC969" s="7" t="inlineStr">
        <is>
          <t>Clôturé</t>
        </is>
      </c>
      <c r="AD969" s="69">
        <f>IF(OR($A969="",Q969=""),"",(Q969-B969)*24)</f>
        <v/>
      </c>
      <c r="AE969" s="69">
        <f>IF(OR(Q969="",R969=""),"",(R969-Q969)*24)</f>
        <v/>
      </c>
      <c r="AF969" s="77">
        <f>IF(OR($A969="",B969=""),"",YEAR(B969))</f>
        <v/>
      </c>
      <c r="AG969" s="77">
        <f>IF(OR($A969="",B969=""),"",MONTH(B969))</f>
        <v/>
      </c>
    </row>
    <row r="970">
      <c r="A970" s="7" t="inlineStr">
        <is>
          <t>OT-2026-0115</t>
        </is>
      </c>
      <c r="B970" s="75" t="n">
        <v>46073.36458333334</v>
      </c>
      <c r="C970" s="7" t="inlineStr">
        <is>
          <t>Plan préventif</t>
        </is>
      </c>
      <c r="D970" s="7" t="inlineStr">
        <is>
          <t>EQ-TOL-004</t>
        </is>
      </c>
      <c r="E970" s="9">
        <f>IF(D970="","",IFERROR(INDEX('Équipements'!$B$5:$B$304,MATCH(D970,'Équipements'!$A$5:$A$304,0)),"Code inconnu"))</f>
        <v/>
      </c>
      <c r="F970" s="9">
        <f>IF(D970="","",IFERROR(INDEX('Équipements'!$D$5:$D$304,MATCH(D970,'Équipements'!$A$5:$A$304,0)),""))</f>
        <v/>
      </c>
      <c r="G970" s="9">
        <f>IF(D970="","",IFERROR(INDEX('Équipements'!$K$5:$K$304,MATCH(D970,'Équipements'!$A$5:$A$304,0)),""))</f>
        <v/>
      </c>
      <c r="H970" s="7" t="inlineStr">
        <is>
          <t>Préventif systématique</t>
        </is>
      </c>
      <c r="I970" s="7" t="inlineStr">
        <is>
          <t>GP-047</t>
        </is>
      </c>
      <c r="J970" s="7" t="inlineStr">
        <is>
          <t>Hydraulique</t>
        </is>
      </c>
      <c r="K970" s="7" t="inlineStr">
        <is>
          <t>P3 - Normale</t>
        </is>
      </c>
      <c r="L970" s="7" t="inlineStr">
        <is>
          <t>Contrôle hydraulique : fuites, niveaux, pressions</t>
        </is>
      </c>
      <c r="M970" s="7" t="n"/>
      <c r="N970" s="7" t="inlineStr">
        <is>
          <t>Gamme réalisée - RAS</t>
        </is>
      </c>
      <c r="O970" s="7" t="inlineStr">
        <is>
          <t>Antoine Mercier</t>
        </is>
      </c>
      <c r="P970" s="65" t="n">
        <v>46080.41319444445</v>
      </c>
      <c r="Q970" s="75" t="n">
        <v>46080.26388888889</v>
      </c>
      <c r="R970" s="75" t="n">
        <v>46080.37847222222</v>
      </c>
      <c r="S970" s="76" t="n">
        <v>2.8</v>
      </c>
      <c r="T970" s="76" t="n">
        <v>2.75</v>
      </c>
      <c r="U970" s="70">
        <f>IF($A970="","",IFERROR(INDEX('Techniciens'!$F$5:$F$44,MATCH(O970,'Techniciens'!$B$5:$B$44,0)),'Paramètres'!$AA$10))</f>
        <v/>
      </c>
      <c r="V970" s="70">
        <f>IF($A970="","",IF(OR(AC970="Demandé",AC970="Planifié",AC970="Annulé"),0,N(T970)*N(U970)))</f>
        <v/>
      </c>
      <c r="W970" s="70">
        <f>IF($A970="","",SUMIFS('Mouvements stock'!$H$5:$H$3004,'Mouvements stock'!$I$5:$I$3004,$A970,'Mouvements stock'!$C$5:$C$3004,"Sortie")-SUMIFS('Mouvements stock'!$H$5:$H$3004,'Mouvements stock'!$I$5:$I$3004,$A970,'Mouvements stock'!$C$5:$C$3004,"Retour"))</f>
        <v/>
      </c>
      <c r="X970" s="66" t="n">
        <v>0</v>
      </c>
      <c r="Y970" s="66" t="n">
        <v>0</v>
      </c>
      <c r="Z970" s="7" t="n"/>
      <c r="AA970" s="70">
        <f>IF($A970="","",N(V970)+N(W970)+N(X970)+N(Y970))</f>
        <v/>
      </c>
      <c r="AB970" s="70">
        <f>IF($A970="","",N(S970)*'Paramètres'!$AA$9*IFERROR(INDEX('Paramètres'!$O$5:$O$7,MATCH(G970,'Paramètres'!$N$5:$N$7,0)),0))</f>
        <v/>
      </c>
      <c r="AC970" s="7" t="inlineStr">
        <is>
          <t>Clôturé</t>
        </is>
      </c>
      <c r="AD970" s="69">
        <f>IF(OR($A970="",Q970=""),"",(Q970-B970)*24)</f>
        <v/>
      </c>
      <c r="AE970" s="69">
        <f>IF(OR(Q970="",R970=""),"",(R970-Q970)*24)</f>
        <v/>
      </c>
      <c r="AF970" s="77">
        <f>IF(OR($A970="",B970=""),"",YEAR(B970))</f>
        <v/>
      </c>
      <c r="AG970" s="77">
        <f>IF(OR($A970="",B970=""),"",MONTH(B970))</f>
        <v/>
      </c>
    </row>
    <row r="971">
      <c r="A971" s="7" t="inlineStr">
        <is>
          <t>OT-2026-0116</t>
        </is>
      </c>
      <c r="B971" s="75" t="n">
        <v>46073.40972222222</v>
      </c>
      <c r="C971" s="7" t="inlineStr">
        <is>
          <t>Plan préventif</t>
        </is>
      </c>
      <c r="D971" s="7" t="inlineStr">
        <is>
          <t>EQ-UTI-007</t>
        </is>
      </c>
      <c r="E971" s="9">
        <f>IF(D971="","",IFERROR(INDEX('Équipements'!$B$5:$B$304,MATCH(D971,'Équipements'!$A$5:$A$304,0)),"Code inconnu"))</f>
        <v/>
      </c>
      <c r="F971" s="9">
        <f>IF(D971="","",IFERROR(INDEX('Équipements'!$D$5:$D$304,MATCH(D971,'Équipements'!$A$5:$A$304,0)),""))</f>
        <v/>
      </c>
      <c r="G971" s="9">
        <f>IF(D971="","",IFERROR(INDEX('Équipements'!$K$5:$K$304,MATCH(D971,'Équipements'!$A$5:$A$304,0)),""))</f>
        <v/>
      </c>
      <c r="H971" s="7" t="inlineStr">
        <is>
          <t>Préventif systématique</t>
        </is>
      </c>
      <c r="I971" s="7" t="inlineStr">
        <is>
          <t>GP-098</t>
        </is>
      </c>
      <c r="J971" s="7" t="inlineStr">
        <is>
          <t>Électrique</t>
        </is>
      </c>
      <c r="K971" s="7" t="inlineStr">
        <is>
          <t>P3 - Normale</t>
        </is>
      </c>
      <c r="L971" s="7" t="inlineStr">
        <is>
          <t>Essai de fonctionnement / contrôle visuel</t>
        </is>
      </c>
      <c r="M971" s="7" t="n"/>
      <c r="N971" s="7" t="inlineStr">
        <is>
          <t>Gamme réalisée - RAS</t>
        </is>
      </c>
      <c r="O971" s="7" t="inlineStr">
        <is>
          <t>Antoine Mercier</t>
        </is>
      </c>
      <c r="P971" s="65" t="n">
        <v>46080.38888888889</v>
      </c>
      <c r="Q971" s="75" t="n">
        <v>46080.44444444445</v>
      </c>
      <c r="R971" s="75" t="n">
        <v>46080.52777777778</v>
      </c>
      <c r="S971" s="76" t="n">
        <v>0</v>
      </c>
      <c r="T971" s="76" t="n">
        <v>2</v>
      </c>
      <c r="U971" s="70">
        <f>IF($A971="","",IFERROR(INDEX('Techniciens'!$F$5:$F$44,MATCH(O971,'Techniciens'!$B$5:$B$44,0)),'Paramètres'!$AA$10))</f>
        <v/>
      </c>
      <c r="V971" s="70">
        <f>IF($A971="","",IF(OR(AC971="Demandé",AC971="Planifié",AC971="Annulé"),0,N(T971)*N(U971)))</f>
        <v/>
      </c>
      <c r="W971" s="70">
        <f>IF($A971="","",SUMIFS('Mouvements stock'!$H$5:$H$3004,'Mouvements stock'!$I$5:$I$3004,$A971,'Mouvements stock'!$C$5:$C$3004,"Sortie")-SUMIFS('Mouvements stock'!$H$5:$H$3004,'Mouvements stock'!$I$5:$I$3004,$A971,'Mouvements stock'!$C$5:$C$3004,"Retour"))</f>
        <v/>
      </c>
      <c r="X971" s="66" t="n">
        <v>0</v>
      </c>
      <c r="Y971" s="66" t="n">
        <v>0</v>
      </c>
      <c r="Z971" s="7" t="n"/>
      <c r="AA971" s="70">
        <f>IF($A971="","",N(V971)+N(W971)+N(X971)+N(Y971))</f>
        <v/>
      </c>
      <c r="AB971" s="70">
        <f>IF($A971="","",N(S971)*'Paramètres'!$AA$9*IFERROR(INDEX('Paramètres'!$O$5:$O$7,MATCH(G971,'Paramètres'!$N$5:$N$7,0)),0))</f>
        <v/>
      </c>
      <c r="AC971" s="7" t="inlineStr">
        <is>
          <t>Clôturé</t>
        </is>
      </c>
      <c r="AD971" s="69">
        <f>IF(OR($A971="",Q971=""),"",(Q971-B971)*24)</f>
        <v/>
      </c>
      <c r="AE971" s="69">
        <f>IF(OR(Q971="",R971=""),"",(R971-Q971)*24)</f>
        <v/>
      </c>
      <c r="AF971" s="77">
        <f>IF(OR($A971="",B971=""),"",YEAR(B971))</f>
        <v/>
      </c>
      <c r="AG971" s="77">
        <f>IF(OR($A971="",B971=""),"",MONTH(B971))</f>
        <v/>
      </c>
    </row>
    <row r="972">
      <c r="A972" s="7" t="inlineStr">
        <is>
          <t>OT-2026-0117</t>
        </is>
      </c>
      <c r="B972" s="75" t="n">
        <v>46074.40555555555</v>
      </c>
      <c r="C972" s="7" t="inlineStr">
        <is>
          <t>Opérateur peinture</t>
        </is>
      </c>
      <c r="D972" s="7" t="inlineStr">
        <is>
          <t>EQ-PEI-001</t>
        </is>
      </c>
      <c r="E972" s="9">
        <f>IF(D972="","",IFERROR(INDEX('Équipements'!$B$5:$B$304,MATCH(D972,'Équipements'!$A$5:$A$304,0)),"Code inconnu"))</f>
        <v/>
      </c>
      <c r="F972" s="9">
        <f>IF(D972="","",IFERROR(INDEX('Équipements'!$D$5:$D$304,MATCH(D972,'Équipements'!$A$5:$A$304,0)),""))</f>
        <v/>
      </c>
      <c r="G972" s="9">
        <f>IF(D972="","",IFERROR(INDEX('Équipements'!$K$5:$K$304,MATCH(D972,'Équipements'!$A$5:$A$304,0)),""))</f>
        <v/>
      </c>
      <c r="H972" s="7" t="inlineStr">
        <is>
          <t>Correctif</t>
        </is>
      </c>
      <c r="I972" s="7" t="n"/>
      <c r="J972" s="7" t="inlineStr">
        <is>
          <t>Électrique</t>
        </is>
      </c>
      <c r="K972" s="7" t="inlineStr">
        <is>
          <t>P2 - Haute</t>
        </is>
      </c>
      <c r="L972" s="7" t="inlineStr">
        <is>
          <t>Ventilateur d'extraction en défaut</t>
        </is>
      </c>
      <c r="M972" s="7" t="inlineStr">
        <is>
          <t>Défaut électrique</t>
        </is>
      </c>
      <c r="N972" s="7" t="inlineStr">
        <is>
          <t>Remplacement contacteur et courroie</t>
        </is>
      </c>
      <c r="O972" s="7" t="inlineStr">
        <is>
          <t>Antoine Mercier</t>
        </is>
      </c>
      <c r="P972" s="65" t="n"/>
      <c r="Q972" s="75" t="n">
        <v>46074.47013888889</v>
      </c>
      <c r="R972" s="75" t="n">
        <v>46074.99097222222</v>
      </c>
      <c r="S972" s="76" t="n">
        <v>14.1</v>
      </c>
      <c r="T972" s="76" t="n">
        <v>12.5</v>
      </c>
      <c r="U972" s="70">
        <f>IF($A972="","",IFERROR(INDEX('Techniciens'!$F$5:$F$44,MATCH(O972,'Techniciens'!$B$5:$B$44,0)),'Paramètres'!$AA$10))</f>
        <v/>
      </c>
      <c r="V972" s="70">
        <f>IF($A972="","",IF(OR(AC972="Demandé",AC972="Planifié",AC972="Annulé"),0,N(T972)*N(U972)))</f>
        <v/>
      </c>
      <c r="W972" s="70">
        <f>IF($A972="","",SUMIFS('Mouvements stock'!$H$5:$H$3004,'Mouvements stock'!$I$5:$I$3004,$A972,'Mouvements stock'!$C$5:$C$3004,"Sortie")-SUMIFS('Mouvements stock'!$H$5:$H$3004,'Mouvements stock'!$I$5:$I$3004,$A972,'Mouvements stock'!$C$5:$C$3004,"Retour"))</f>
        <v/>
      </c>
      <c r="X972" s="66" t="n">
        <v>0</v>
      </c>
      <c r="Y972" s="66" t="n">
        <v>0</v>
      </c>
      <c r="Z972" s="7" t="n"/>
      <c r="AA972" s="70">
        <f>IF($A972="","",N(V972)+N(W972)+N(X972)+N(Y972))</f>
        <v/>
      </c>
      <c r="AB972" s="70">
        <f>IF($A972="","",N(S972)*'Paramètres'!$AA$9*IFERROR(INDEX('Paramètres'!$O$5:$O$7,MATCH(G972,'Paramètres'!$N$5:$N$7,0)),0))</f>
        <v/>
      </c>
      <c r="AC972" s="7" t="inlineStr">
        <is>
          <t>Clôturé</t>
        </is>
      </c>
      <c r="AD972" s="69">
        <f>IF(OR($A972="",Q972=""),"",(Q972-B972)*24)</f>
        <v/>
      </c>
      <c r="AE972" s="69">
        <f>IF(OR(Q972="",R972=""),"",(R972-Q972)*24)</f>
        <v/>
      </c>
      <c r="AF972" s="77">
        <f>IF(OR($A972="",B972=""),"",YEAR(B972))</f>
        <v/>
      </c>
      <c r="AG972" s="77">
        <f>IF(OR($A972="",B972=""),"",MONTH(B972))</f>
        <v/>
      </c>
    </row>
    <row r="973">
      <c r="A973" s="7" t="inlineStr">
        <is>
          <t>OT-2026-0118</t>
        </is>
      </c>
      <c r="B973" s="75" t="n">
        <v>46076.39583333334</v>
      </c>
      <c r="C973" s="7" t="inlineStr">
        <is>
          <t>Plan préventif</t>
        </is>
      </c>
      <c r="D973" s="7" t="inlineStr">
        <is>
          <t>EQ-USI-004</t>
        </is>
      </c>
      <c r="E973" s="9">
        <f>IF(D973="","",IFERROR(INDEX('Équipements'!$B$5:$B$304,MATCH(D973,'Équipements'!$A$5:$A$304,0)),"Code inconnu"))</f>
        <v/>
      </c>
      <c r="F973" s="9">
        <f>IF(D973="","",IFERROR(INDEX('Équipements'!$D$5:$D$304,MATCH(D973,'Équipements'!$A$5:$A$304,0)),""))</f>
        <v/>
      </c>
      <c r="G973" s="9">
        <f>IF(D973="","",IFERROR(INDEX('Équipements'!$K$5:$K$304,MATCH(D973,'Équipements'!$A$5:$A$304,0)),""))</f>
        <v/>
      </c>
      <c r="H973" s="7" t="inlineStr">
        <is>
          <t>Préventif systématique</t>
        </is>
      </c>
      <c r="I973" s="7" t="inlineStr">
        <is>
          <t>GP-013</t>
        </is>
      </c>
      <c r="J973" s="7" t="inlineStr">
        <is>
          <t>Mécanique</t>
        </is>
      </c>
      <c r="K973" s="7" t="inlineStr">
        <is>
          <t>P3 - Normale</t>
        </is>
      </c>
      <c r="L973" s="7" t="inlineStr">
        <is>
          <t>Contrôle niveaux, nettoyage filtres et bac à copeaux</t>
        </is>
      </c>
      <c r="M973" s="7" t="n"/>
      <c r="N973" s="7" t="inlineStr">
        <is>
          <t>Gamme réalisée - RAS</t>
        </is>
      </c>
      <c r="O973" s="7" t="inlineStr">
        <is>
          <t>Lucas Fontaine</t>
        </is>
      </c>
      <c r="P973" s="65" t="n">
        <v>46083.38194444445</v>
      </c>
      <c r="Q973" s="75" t="n">
        <v>46083.46527777778</v>
      </c>
      <c r="R973" s="75" t="n">
        <v>46083.52777777778</v>
      </c>
      <c r="S973" s="76" t="n">
        <v>0.8</v>
      </c>
      <c r="T973" s="76" t="n">
        <v>1.5</v>
      </c>
      <c r="U973" s="70">
        <f>IF($A973="","",IFERROR(INDEX('Techniciens'!$F$5:$F$44,MATCH(O973,'Techniciens'!$B$5:$B$44,0)),'Paramètres'!$AA$10))</f>
        <v/>
      </c>
      <c r="V973" s="70">
        <f>IF($A973="","",IF(OR(AC973="Demandé",AC973="Planifié",AC973="Annulé"),0,N(T973)*N(U973)))</f>
        <v/>
      </c>
      <c r="W973" s="70">
        <f>IF($A973="","",SUMIFS('Mouvements stock'!$H$5:$H$3004,'Mouvements stock'!$I$5:$I$3004,$A973,'Mouvements stock'!$C$5:$C$3004,"Sortie")-SUMIFS('Mouvements stock'!$H$5:$H$3004,'Mouvements stock'!$I$5:$I$3004,$A973,'Mouvements stock'!$C$5:$C$3004,"Retour"))</f>
        <v/>
      </c>
      <c r="X973" s="66" t="n">
        <v>0</v>
      </c>
      <c r="Y973" s="66" t="n">
        <v>0</v>
      </c>
      <c r="Z973" s="7" t="n"/>
      <c r="AA973" s="70">
        <f>IF($A973="","",N(V973)+N(W973)+N(X973)+N(Y973))</f>
        <v/>
      </c>
      <c r="AB973" s="70">
        <f>IF($A973="","",N(S973)*'Paramètres'!$AA$9*IFERROR(INDEX('Paramètres'!$O$5:$O$7,MATCH(G973,'Paramètres'!$N$5:$N$7,0)),0))</f>
        <v/>
      </c>
      <c r="AC973" s="7" t="inlineStr">
        <is>
          <t>Clôturé</t>
        </is>
      </c>
      <c r="AD973" s="69">
        <f>IF(OR($A973="",Q973=""),"",(Q973-B973)*24)</f>
        <v/>
      </c>
      <c r="AE973" s="69">
        <f>IF(OR(Q973="",R973=""),"",(R973-Q973)*24)</f>
        <v/>
      </c>
      <c r="AF973" s="77">
        <f>IF(OR($A973="",B973=""),"",YEAR(B973))</f>
        <v/>
      </c>
      <c r="AG973" s="77">
        <f>IF(OR($A973="",B973=""),"",MONTH(B973))</f>
        <v/>
      </c>
    </row>
    <row r="974">
      <c r="A974" s="7" t="inlineStr">
        <is>
          <t>OT-2026-0119</t>
        </is>
      </c>
      <c r="B974" s="75" t="n">
        <v>46076.39583333334</v>
      </c>
      <c r="C974" s="7" t="inlineStr">
        <is>
          <t>Plan préventif</t>
        </is>
      </c>
      <c r="D974" s="7" t="inlineStr">
        <is>
          <t>EQ-USI-009</t>
        </is>
      </c>
      <c r="E974" s="9">
        <f>IF(D974="","",IFERROR(INDEX('Équipements'!$B$5:$B$304,MATCH(D974,'Équipements'!$A$5:$A$304,0)),"Code inconnu"))</f>
        <v/>
      </c>
      <c r="F974" s="9">
        <f>IF(D974="","",IFERROR(INDEX('Équipements'!$D$5:$D$304,MATCH(D974,'Équipements'!$A$5:$A$304,0)),""))</f>
        <v/>
      </c>
      <c r="G974" s="9">
        <f>IF(D974="","",IFERROR(INDEX('Équipements'!$K$5:$K$304,MATCH(D974,'Équipements'!$A$5:$A$304,0)),""))</f>
        <v/>
      </c>
      <c r="H974" s="7" t="inlineStr">
        <is>
          <t>Préventif systématique</t>
        </is>
      </c>
      <c r="I974" s="7" t="inlineStr">
        <is>
          <t>GP-030</t>
        </is>
      </c>
      <c r="J974" s="7" t="inlineStr">
        <is>
          <t>Mécanique</t>
        </is>
      </c>
      <c r="K974" s="7" t="inlineStr">
        <is>
          <t>P3 - Normale</t>
        </is>
      </c>
      <c r="L974" s="7" t="inlineStr">
        <is>
          <t>Contrôle lame, guides et liquide de coupe</t>
        </is>
      </c>
      <c r="M974" s="7" t="n"/>
      <c r="N974" s="7" t="inlineStr">
        <is>
          <t>Gamme réalisée - DI émise pour remplacement pièce</t>
        </is>
      </c>
      <c r="O974" s="7" t="inlineStr">
        <is>
          <t>Karim Benali</t>
        </is>
      </c>
      <c r="P974" s="65" t="n">
        <v>46083.47569444445</v>
      </c>
      <c r="Q974" s="75" t="n">
        <v>46083.60416666666</v>
      </c>
      <c r="R974" s="75" t="n">
        <v>46083.63541666666</v>
      </c>
      <c r="S974" s="76" t="n">
        <v>0.8</v>
      </c>
      <c r="T974" s="76" t="n">
        <v>0.75</v>
      </c>
      <c r="U974" s="70">
        <f>IF($A974="","",IFERROR(INDEX('Techniciens'!$F$5:$F$44,MATCH(O974,'Techniciens'!$B$5:$B$44,0)),'Paramètres'!$AA$10))</f>
        <v/>
      </c>
      <c r="V974" s="70">
        <f>IF($A974="","",IF(OR(AC974="Demandé",AC974="Planifié",AC974="Annulé"),0,N(T974)*N(U974)))</f>
        <v/>
      </c>
      <c r="W974" s="70">
        <f>IF($A974="","",SUMIFS('Mouvements stock'!$H$5:$H$3004,'Mouvements stock'!$I$5:$I$3004,$A974,'Mouvements stock'!$C$5:$C$3004,"Sortie")-SUMIFS('Mouvements stock'!$H$5:$H$3004,'Mouvements stock'!$I$5:$I$3004,$A974,'Mouvements stock'!$C$5:$C$3004,"Retour"))</f>
        <v/>
      </c>
      <c r="X974" s="66" t="n">
        <v>0</v>
      </c>
      <c r="Y974" s="66" t="n">
        <v>0</v>
      </c>
      <c r="Z974" s="7" t="n"/>
      <c r="AA974" s="70">
        <f>IF($A974="","",N(V974)+N(W974)+N(X974)+N(Y974))</f>
        <v/>
      </c>
      <c r="AB974" s="70">
        <f>IF($A974="","",N(S974)*'Paramètres'!$AA$9*IFERROR(INDEX('Paramètres'!$O$5:$O$7,MATCH(G974,'Paramètres'!$N$5:$N$7,0)),0))</f>
        <v/>
      </c>
      <c r="AC974" s="7" t="inlineStr">
        <is>
          <t>Clôturé</t>
        </is>
      </c>
      <c r="AD974" s="69">
        <f>IF(OR($A974="",Q974=""),"",(Q974-B974)*24)</f>
        <v/>
      </c>
      <c r="AE974" s="69">
        <f>IF(OR(Q974="",R974=""),"",(R974-Q974)*24)</f>
        <v/>
      </c>
      <c r="AF974" s="77">
        <f>IF(OR($A974="",B974=""),"",YEAR(B974))</f>
        <v/>
      </c>
      <c r="AG974" s="77">
        <f>IF(OR($A974="",B974=""),"",MONTH(B974))</f>
        <v/>
      </c>
    </row>
    <row r="975">
      <c r="A975" s="7" t="inlineStr">
        <is>
          <t>OT-2026-0120</t>
        </is>
      </c>
      <c r="B975" s="75" t="n">
        <v>46076.40277777778</v>
      </c>
      <c r="C975" s="7" t="inlineStr">
        <is>
          <t>Plan préventif</t>
        </is>
      </c>
      <c r="D975" s="7" t="inlineStr">
        <is>
          <t>EQ-UTI-008</t>
        </is>
      </c>
      <c r="E975" s="9">
        <f>IF(D975="","",IFERROR(INDEX('Équipements'!$B$5:$B$304,MATCH(D975,'Équipements'!$A$5:$A$304,0)),"Code inconnu"))</f>
        <v/>
      </c>
      <c r="F975" s="9">
        <f>IF(D975="","",IFERROR(INDEX('Équipements'!$D$5:$D$304,MATCH(D975,'Équipements'!$A$5:$A$304,0)),""))</f>
        <v/>
      </c>
      <c r="G975" s="9">
        <f>IF(D975="","",IFERROR(INDEX('Équipements'!$K$5:$K$304,MATCH(D975,'Équipements'!$A$5:$A$304,0)),""))</f>
        <v/>
      </c>
      <c r="H975" s="7" t="inlineStr">
        <is>
          <t>Préventif systématique</t>
        </is>
      </c>
      <c r="I975" s="7" t="inlineStr">
        <is>
          <t>GP-100</t>
        </is>
      </c>
      <c r="J975" s="7" t="inlineStr">
        <is>
          <t>Électrique</t>
        </is>
      </c>
      <c r="K975" s="7" t="inlineStr">
        <is>
          <t>P3 - Normale</t>
        </is>
      </c>
      <c r="L975" s="7" t="inlineStr">
        <is>
          <t>Essai de fonctionnement / contrôle visuel</t>
        </is>
      </c>
      <c r="M975" s="7" t="n"/>
      <c r="N975" s="7" t="inlineStr">
        <is>
          <t>Gamme réalisée - RAS</t>
        </is>
      </c>
      <c r="O975" s="7" t="inlineStr">
        <is>
          <t>Julien Moreau</t>
        </is>
      </c>
      <c r="P975" s="65" t="n">
        <v>46083.43055555555</v>
      </c>
      <c r="Q975" s="75" t="n">
        <v>46083.36805555555</v>
      </c>
      <c r="R975" s="75" t="n">
        <v>46083.43055555555</v>
      </c>
      <c r="S975" s="76" t="n">
        <v>0</v>
      </c>
      <c r="T975" s="76" t="n">
        <v>1.5</v>
      </c>
      <c r="U975" s="70">
        <f>IF($A975="","",IFERROR(INDEX('Techniciens'!$F$5:$F$44,MATCH(O975,'Techniciens'!$B$5:$B$44,0)),'Paramètres'!$AA$10))</f>
        <v/>
      </c>
      <c r="V975" s="70">
        <f>IF($A975="","",IF(OR(AC975="Demandé",AC975="Planifié",AC975="Annulé"),0,N(T975)*N(U975)))</f>
        <v/>
      </c>
      <c r="W975" s="70">
        <f>IF($A975="","",SUMIFS('Mouvements stock'!$H$5:$H$3004,'Mouvements stock'!$I$5:$I$3004,$A975,'Mouvements stock'!$C$5:$C$3004,"Sortie")-SUMIFS('Mouvements stock'!$H$5:$H$3004,'Mouvements stock'!$I$5:$I$3004,$A975,'Mouvements stock'!$C$5:$C$3004,"Retour"))</f>
        <v/>
      </c>
      <c r="X975" s="66" t="n">
        <v>0</v>
      </c>
      <c r="Y975" s="66" t="n">
        <v>0</v>
      </c>
      <c r="Z975" s="7" t="n"/>
      <c r="AA975" s="70">
        <f>IF($A975="","",N(V975)+N(W975)+N(X975)+N(Y975))</f>
        <v/>
      </c>
      <c r="AB975" s="70">
        <f>IF($A975="","",N(S975)*'Paramètres'!$AA$9*IFERROR(INDEX('Paramètres'!$O$5:$O$7,MATCH(G975,'Paramètres'!$N$5:$N$7,0)),0))</f>
        <v/>
      </c>
      <c r="AC975" s="7" t="inlineStr">
        <is>
          <t>Clôturé</t>
        </is>
      </c>
      <c r="AD975" s="69">
        <f>IF(OR($A975="",Q975=""),"",(Q975-B975)*24)</f>
        <v/>
      </c>
      <c r="AE975" s="69">
        <f>IF(OR(Q975="",R975=""),"",(R975-Q975)*24)</f>
        <v/>
      </c>
      <c r="AF975" s="77">
        <f>IF(OR($A975="",B975=""),"",YEAR(B975))</f>
        <v/>
      </c>
      <c r="AG975" s="77">
        <f>IF(OR($A975="",B975=""),"",MONTH(B975))</f>
        <v/>
      </c>
    </row>
    <row r="976">
      <c r="A976" s="7" t="inlineStr">
        <is>
          <t>OT-2026-0121</t>
        </is>
      </c>
      <c r="B976" s="75" t="n">
        <v>46076.42361111111</v>
      </c>
      <c r="C976" s="7" t="inlineStr">
        <is>
          <t>Plan préventif</t>
        </is>
      </c>
      <c r="D976" s="7" t="inlineStr">
        <is>
          <t>EQ-USI-005</t>
        </is>
      </c>
      <c r="E976" s="9">
        <f>IF(D976="","",IFERROR(INDEX('Équipements'!$B$5:$B$304,MATCH(D976,'Équipements'!$A$5:$A$304,0)),"Code inconnu"))</f>
        <v/>
      </c>
      <c r="F976" s="9">
        <f>IF(D976="","",IFERROR(INDEX('Équipements'!$D$5:$D$304,MATCH(D976,'Équipements'!$A$5:$A$304,0)),""))</f>
        <v/>
      </c>
      <c r="G976" s="9">
        <f>IF(D976="","",IFERROR(INDEX('Équipements'!$K$5:$K$304,MATCH(D976,'Équipements'!$A$5:$A$304,0)),""))</f>
        <v/>
      </c>
      <c r="H976" s="7" t="inlineStr">
        <is>
          <t>Préventif systématique</t>
        </is>
      </c>
      <c r="I976" s="7" t="inlineStr">
        <is>
          <t>GP-018</t>
        </is>
      </c>
      <c r="J976" s="7" t="inlineStr">
        <is>
          <t>Mécanique</t>
        </is>
      </c>
      <c r="K976" s="7" t="inlineStr">
        <is>
          <t>P3 - Normale</t>
        </is>
      </c>
      <c r="L976" s="7" t="inlineStr">
        <is>
          <t>Contrôle géométrie, jeux et graissage des axes</t>
        </is>
      </c>
      <c r="M976" s="7" t="n"/>
      <c r="N976" s="7" t="inlineStr">
        <is>
          <t>Gamme réalisée - RAS</t>
        </is>
      </c>
      <c r="O976" s="7" t="inlineStr">
        <is>
          <t>Antoine Mercier</t>
        </is>
      </c>
      <c r="P976" s="65" t="n">
        <v>46083.66666666666</v>
      </c>
      <c r="Q976" s="75" t="n">
        <v>46083.27777777778</v>
      </c>
      <c r="R976" s="75" t="n">
        <v>46083.51736111111</v>
      </c>
      <c r="S976" s="76" t="n">
        <v>5.8</v>
      </c>
      <c r="T976" s="76" t="n">
        <v>5.75</v>
      </c>
      <c r="U976" s="70">
        <f>IF($A976="","",IFERROR(INDEX('Techniciens'!$F$5:$F$44,MATCH(O976,'Techniciens'!$B$5:$B$44,0)),'Paramètres'!$AA$10))</f>
        <v/>
      </c>
      <c r="V976" s="70">
        <f>IF($A976="","",IF(OR(AC976="Demandé",AC976="Planifié",AC976="Annulé"),0,N(T976)*N(U976)))</f>
        <v/>
      </c>
      <c r="W976" s="70">
        <f>IF($A976="","",SUMIFS('Mouvements stock'!$H$5:$H$3004,'Mouvements stock'!$I$5:$I$3004,$A976,'Mouvements stock'!$C$5:$C$3004,"Sortie")-SUMIFS('Mouvements stock'!$H$5:$H$3004,'Mouvements stock'!$I$5:$I$3004,$A976,'Mouvements stock'!$C$5:$C$3004,"Retour"))</f>
        <v/>
      </c>
      <c r="X976" s="66" t="n">
        <v>0</v>
      </c>
      <c r="Y976" s="66" t="n">
        <v>0</v>
      </c>
      <c r="Z976" s="7" t="n"/>
      <c r="AA976" s="70">
        <f>IF($A976="","",N(V976)+N(W976)+N(X976)+N(Y976))</f>
        <v/>
      </c>
      <c r="AB976" s="70">
        <f>IF($A976="","",N(S976)*'Paramètres'!$AA$9*IFERROR(INDEX('Paramètres'!$O$5:$O$7,MATCH(G976,'Paramètres'!$N$5:$N$7,0)),0))</f>
        <v/>
      </c>
      <c r="AC976" s="7" t="inlineStr">
        <is>
          <t>Clôturé</t>
        </is>
      </c>
      <c r="AD976" s="69">
        <f>IF(OR($A976="",Q976=""),"",(Q976-B976)*24)</f>
        <v/>
      </c>
      <c r="AE976" s="69">
        <f>IF(OR(Q976="",R976=""),"",(R976-Q976)*24)</f>
        <v/>
      </c>
      <c r="AF976" s="77">
        <f>IF(OR($A976="",B976=""),"",YEAR(B976))</f>
        <v/>
      </c>
      <c r="AG976" s="77">
        <f>IF(OR($A976="",B976=""),"",MONTH(B976))</f>
        <v/>
      </c>
    </row>
    <row r="977">
      <c r="A977" s="7" t="inlineStr">
        <is>
          <t>OT-2026-0122</t>
        </is>
      </c>
      <c r="B977" s="75" t="n">
        <v>46076.48958333334</v>
      </c>
      <c r="C977" s="7" t="inlineStr">
        <is>
          <t>Plan préventif</t>
        </is>
      </c>
      <c r="D977" s="7" t="inlineStr">
        <is>
          <t>EQ-USI-005</t>
        </is>
      </c>
      <c r="E977" s="9">
        <f>IF(D977="","",IFERROR(INDEX('Équipements'!$B$5:$B$304,MATCH(D977,'Équipements'!$A$5:$A$304,0)),"Code inconnu"))</f>
        <v/>
      </c>
      <c r="F977" s="9">
        <f>IF(D977="","",IFERROR(INDEX('Équipements'!$D$5:$D$304,MATCH(D977,'Équipements'!$A$5:$A$304,0)),""))</f>
        <v/>
      </c>
      <c r="G977" s="9">
        <f>IF(D977="","",IFERROR(INDEX('Équipements'!$K$5:$K$304,MATCH(D977,'Équipements'!$A$5:$A$304,0)),""))</f>
        <v/>
      </c>
      <c r="H977" s="7" t="inlineStr">
        <is>
          <t>Préventif systématique</t>
        </is>
      </c>
      <c r="I977" s="7" t="inlineStr">
        <is>
          <t>GP-017</t>
        </is>
      </c>
      <c r="J977" s="7" t="inlineStr">
        <is>
          <t>Mécanique</t>
        </is>
      </c>
      <c r="K977" s="7" t="inlineStr">
        <is>
          <t>P3 - Normale</t>
        </is>
      </c>
      <c r="L977" s="7" t="inlineStr">
        <is>
          <t>Contrôle niveaux, nettoyage filtres et bac à copeaux</t>
        </is>
      </c>
      <c r="M977" s="7" t="n"/>
      <c r="N977" s="7" t="inlineStr">
        <is>
          <t>Gamme réalisée - RAS</t>
        </is>
      </c>
      <c r="O977" s="7" t="inlineStr">
        <is>
          <t>Karim Benali</t>
        </is>
      </c>
      <c r="P977" s="65" t="n">
        <v>46083.38888888889</v>
      </c>
      <c r="Q977" s="75" t="n">
        <v>46083.53472222222</v>
      </c>
      <c r="R977" s="75" t="n">
        <v>46083.60763888889</v>
      </c>
      <c r="S977" s="76" t="n">
        <v>0</v>
      </c>
      <c r="T977" s="76" t="n">
        <v>1.75</v>
      </c>
      <c r="U977" s="70">
        <f>IF($A977="","",IFERROR(INDEX('Techniciens'!$F$5:$F$44,MATCH(O977,'Techniciens'!$B$5:$B$44,0)),'Paramètres'!$AA$10))</f>
        <v/>
      </c>
      <c r="V977" s="70">
        <f>IF($A977="","",IF(OR(AC977="Demandé",AC977="Planifié",AC977="Annulé"),0,N(T977)*N(U977)))</f>
        <v/>
      </c>
      <c r="W977" s="70">
        <f>IF($A977="","",SUMIFS('Mouvements stock'!$H$5:$H$3004,'Mouvements stock'!$I$5:$I$3004,$A977,'Mouvements stock'!$C$5:$C$3004,"Sortie")-SUMIFS('Mouvements stock'!$H$5:$H$3004,'Mouvements stock'!$I$5:$I$3004,$A977,'Mouvements stock'!$C$5:$C$3004,"Retour"))</f>
        <v/>
      </c>
      <c r="X977" s="66" t="n">
        <v>0</v>
      </c>
      <c r="Y977" s="66" t="n">
        <v>0</v>
      </c>
      <c r="Z977" s="7" t="n"/>
      <c r="AA977" s="70">
        <f>IF($A977="","",N(V977)+N(W977)+N(X977)+N(Y977))</f>
        <v/>
      </c>
      <c r="AB977" s="70">
        <f>IF($A977="","",N(S977)*'Paramètres'!$AA$9*IFERROR(INDEX('Paramètres'!$O$5:$O$7,MATCH(G977,'Paramètres'!$N$5:$N$7,0)),0))</f>
        <v/>
      </c>
      <c r="AC977" s="7" t="inlineStr">
        <is>
          <t>Clôturé</t>
        </is>
      </c>
      <c r="AD977" s="69">
        <f>IF(OR($A977="",Q977=""),"",(Q977-B977)*24)</f>
        <v/>
      </c>
      <c r="AE977" s="69">
        <f>IF(OR(Q977="",R977=""),"",(R977-Q977)*24)</f>
        <v/>
      </c>
      <c r="AF977" s="77">
        <f>IF(OR($A977="",B977=""),"",YEAR(B977))</f>
        <v/>
      </c>
      <c r="AG977" s="77">
        <f>IF(OR($A977="",B977=""),"",MONTH(B977))</f>
        <v/>
      </c>
    </row>
    <row r="978">
      <c r="A978" s="7" t="inlineStr">
        <is>
          <t>OT-2026-0123</t>
        </is>
      </c>
      <c r="B978" s="75" t="n">
        <v>46076.78402777778</v>
      </c>
      <c r="C978" s="7" t="inlineStr">
        <is>
          <t>Cariste</t>
        </is>
      </c>
      <c r="D978" s="7" t="inlineStr">
        <is>
          <t>EQ-LOG-008</t>
        </is>
      </c>
      <c r="E978" s="9">
        <f>IF(D978="","",IFERROR(INDEX('Équipements'!$B$5:$B$304,MATCH(D978,'Équipements'!$A$5:$A$304,0)),"Code inconnu"))</f>
        <v/>
      </c>
      <c r="F978" s="9">
        <f>IF(D978="","",IFERROR(INDEX('Équipements'!$D$5:$D$304,MATCH(D978,'Équipements'!$A$5:$A$304,0)),""))</f>
        <v/>
      </c>
      <c r="G978" s="9">
        <f>IF(D978="","",IFERROR(INDEX('Équipements'!$K$5:$K$304,MATCH(D978,'Équipements'!$A$5:$A$304,0)),""))</f>
        <v/>
      </c>
      <c r="H978" s="7" t="inlineStr">
        <is>
          <t>Correctif</t>
        </is>
      </c>
      <c r="I978" s="7" t="n"/>
      <c r="J978" s="7" t="inlineStr">
        <is>
          <t>Mécanique</t>
        </is>
      </c>
      <c r="K978" s="7" t="inlineStr">
        <is>
          <t>P3 - Normale</t>
        </is>
      </c>
      <c r="L978" s="7" t="inlineStr">
        <is>
          <t>Frein de levée bruyant</t>
        </is>
      </c>
      <c r="M978" s="7" t="inlineStr">
        <is>
          <t>Usure</t>
        </is>
      </c>
      <c r="N978" s="7" t="inlineStr">
        <is>
          <t>Réglage et remplacement garnitures</t>
        </is>
      </c>
      <c r="O978" s="7" t="inlineStr">
        <is>
          <t>Antoine Mercier</t>
        </is>
      </c>
      <c r="P978" s="65" t="n"/>
      <c r="Q978" s="75" t="n">
        <v>46078.10972222222</v>
      </c>
      <c r="R978" s="75" t="n">
        <v>46080.95111586725</v>
      </c>
      <c r="S978" s="76" t="n">
        <v>0</v>
      </c>
      <c r="T978" s="76" t="n">
        <v>1</v>
      </c>
      <c r="U978" s="70">
        <f>IF($A978="","",IFERROR(INDEX('Techniciens'!$F$5:$F$44,MATCH(O978,'Techniciens'!$B$5:$B$44,0)),'Paramètres'!$AA$10))</f>
        <v/>
      </c>
      <c r="V978" s="70">
        <f>IF($A978="","",IF(OR(AC978="Demandé",AC978="Planifié",AC978="Annulé"),0,N(T978)*N(U978)))</f>
        <v/>
      </c>
      <c r="W978" s="70">
        <f>IF($A978="","",SUMIFS('Mouvements stock'!$H$5:$H$3004,'Mouvements stock'!$I$5:$I$3004,$A978,'Mouvements stock'!$C$5:$C$3004,"Sortie")-SUMIFS('Mouvements stock'!$H$5:$H$3004,'Mouvements stock'!$I$5:$I$3004,$A978,'Mouvements stock'!$C$5:$C$3004,"Retour"))</f>
        <v/>
      </c>
      <c r="X978" s="66" t="n">
        <v>0</v>
      </c>
      <c r="Y978" s="66" t="n">
        <v>0</v>
      </c>
      <c r="Z978" s="7" t="n"/>
      <c r="AA978" s="70">
        <f>IF($A978="","",N(V978)+N(W978)+N(X978)+N(Y978))</f>
        <v/>
      </c>
      <c r="AB978" s="70">
        <f>IF($A978="","",N(S978)*'Paramètres'!$AA$9*IFERROR(INDEX('Paramètres'!$O$5:$O$7,MATCH(G978,'Paramètres'!$N$5:$N$7,0)),0))</f>
        <v/>
      </c>
      <c r="AC978" s="7" t="inlineStr">
        <is>
          <t>Clôturé</t>
        </is>
      </c>
      <c r="AD978" s="69">
        <f>IF(OR($A978="",Q978=""),"",(Q978-B978)*24)</f>
        <v/>
      </c>
      <c r="AE978" s="69">
        <f>IF(OR(Q978="",R978=""),"",(R978-Q978)*24)</f>
        <v/>
      </c>
      <c r="AF978" s="77">
        <f>IF(OR($A978="",B978=""),"",YEAR(B978))</f>
        <v/>
      </c>
      <c r="AG978" s="77">
        <f>IF(OR($A978="",B978=""),"",MONTH(B978))</f>
        <v/>
      </c>
    </row>
    <row r="979">
      <c r="A979" s="7" t="inlineStr">
        <is>
          <t>OT-2026-0124</t>
        </is>
      </c>
      <c r="B979" s="75" t="n">
        <v>46077.35416666666</v>
      </c>
      <c r="C979" s="7" t="inlineStr">
        <is>
          <t>Plan préventif</t>
        </is>
      </c>
      <c r="D979" s="7" t="inlineStr">
        <is>
          <t>EQ-PEI-003</t>
        </is>
      </c>
      <c r="E979" s="9">
        <f>IF(D979="","",IFERROR(INDEX('Équipements'!$B$5:$B$304,MATCH(D979,'Équipements'!$A$5:$A$304,0)),"Code inconnu"))</f>
        <v/>
      </c>
      <c r="F979" s="9">
        <f>IF(D979="","",IFERROR(INDEX('Équipements'!$D$5:$D$304,MATCH(D979,'Équipements'!$A$5:$A$304,0)),""))</f>
        <v/>
      </c>
      <c r="G979" s="9">
        <f>IF(D979="","",IFERROR(INDEX('Équipements'!$K$5:$K$304,MATCH(D979,'Équipements'!$A$5:$A$304,0)),""))</f>
        <v/>
      </c>
      <c r="H979" s="7" t="inlineStr">
        <is>
          <t>Préventif systématique</t>
        </is>
      </c>
      <c r="I979" s="7" t="inlineStr">
        <is>
          <t>GP-070</t>
        </is>
      </c>
      <c r="J979" s="7" t="inlineStr">
        <is>
          <t>Mécanique</t>
        </is>
      </c>
      <c r="K979" s="7" t="inlineStr">
        <is>
          <t>P3 - Normale</t>
        </is>
      </c>
      <c r="L979" s="7" t="inlineStr">
        <is>
          <t>Nettoyage et remplacement des filtres</t>
        </is>
      </c>
      <c r="M979" s="7" t="n"/>
      <c r="N979" s="7" t="inlineStr">
        <is>
          <t>Gamme réalisée - RAS</t>
        </is>
      </c>
      <c r="O979" s="7" t="inlineStr">
        <is>
          <t>Antoine Mercier</t>
        </is>
      </c>
      <c r="P979" s="65" t="n">
        <v>46084.72916666666</v>
      </c>
      <c r="Q979" s="75" t="n">
        <v>46084.45138888889</v>
      </c>
      <c r="R979" s="75" t="n">
        <v>46084.59722222222</v>
      </c>
      <c r="S979" s="76" t="n">
        <v>1.8</v>
      </c>
      <c r="T979" s="76" t="n">
        <v>3.5</v>
      </c>
      <c r="U979" s="70">
        <f>IF($A979="","",IFERROR(INDEX('Techniciens'!$F$5:$F$44,MATCH(O979,'Techniciens'!$B$5:$B$44,0)),'Paramètres'!$AA$10))</f>
        <v/>
      </c>
      <c r="V979" s="70">
        <f>IF($A979="","",IF(OR(AC979="Demandé",AC979="Planifié",AC979="Annulé"),0,N(T979)*N(U979)))</f>
        <v/>
      </c>
      <c r="W979" s="70">
        <f>IF($A979="","",SUMIFS('Mouvements stock'!$H$5:$H$3004,'Mouvements stock'!$I$5:$I$3004,$A979,'Mouvements stock'!$C$5:$C$3004,"Sortie")-SUMIFS('Mouvements stock'!$H$5:$H$3004,'Mouvements stock'!$I$5:$I$3004,$A979,'Mouvements stock'!$C$5:$C$3004,"Retour"))</f>
        <v/>
      </c>
      <c r="X979" s="66" t="n">
        <v>0</v>
      </c>
      <c r="Y979" s="66" t="n">
        <v>0</v>
      </c>
      <c r="Z979" s="7" t="n"/>
      <c r="AA979" s="70">
        <f>IF($A979="","",N(V979)+N(W979)+N(X979)+N(Y979))</f>
        <v/>
      </c>
      <c r="AB979" s="70">
        <f>IF($A979="","",N(S979)*'Paramètres'!$AA$9*IFERROR(INDEX('Paramètres'!$O$5:$O$7,MATCH(G979,'Paramètres'!$N$5:$N$7,0)),0))</f>
        <v/>
      </c>
      <c r="AC979" s="7" t="inlineStr">
        <is>
          <t>Clôturé</t>
        </is>
      </c>
      <c r="AD979" s="69">
        <f>IF(OR($A979="",Q979=""),"",(Q979-B979)*24)</f>
        <v/>
      </c>
      <c r="AE979" s="69">
        <f>IF(OR(Q979="",R979=""),"",(R979-Q979)*24)</f>
        <v/>
      </c>
      <c r="AF979" s="77">
        <f>IF(OR($A979="",B979=""),"",YEAR(B979))</f>
        <v/>
      </c>
      <c r="AG979" s="77">
        <f>IF(OR($A979="",B979=""),"",MONTH(B979))</f>
        <v/>
      </c>
    </row>
    <row r="980">
      <c r="A980" s="7" t="inlineStr">
        <is>
          <t>OT-2026-0125</t>
        </is>
      </c>
      <c r="B980" s="75" t="n">
        <v>46077.78055555555</v>
      </c>
      <c r="C980" s="7" t="inlineStr">
        <is>
          <t>Inès Girard (cheffe d'équipe)</t>
        </is>
      </c>
      <c r="D980" s="7" t="inlineStr">
        <is>
          <t>EQ-PEI-001</t>
        </is>
      </c>
      <c r="E980" s="9">
        <f>IF(D980="","",IFERROR(INDEX('Équipements'!$B$5:$B$304,MATCH(D980,'Équipements'!$A$5:$A$304,0)),"Code inconnu"))</f>
        <v/>
      </c>
      <c r="F980" s="9">
        <f>IF(D980="","",IFERROR(INDEX('Équipements'!$D$5:$D$304,MATCH(D980,'Équipements'!$A$5:$A$304,0)),""))</f>
        <v/>
      </c>
      <c r="G980" s="9">
        <f>IF(D980="","",IFERROR(INDEX('Équipements'!$K$5:$K$304,MATCH(D980,'Équipements'!$A$5:$A$304,0)),""))</f>
        <v/>
      </c>
      <c r="H980" s="7" t="inlineStr">
        <is>
          <t>Correctif</t>
        </is>
      </c>
      <c r="I980" s="7" t="n"/>
      <c r="J980" s="7" t="inlineStr">
        <is>
          <t>Électrique</t>
        </is>
      </c>
      <c r="K980" s="7" t="inlineStr">
        <is>
          <t>P3 - Normale</t>
        </is>
      </c>
      <c r="L980" s="7" t="inlineStr">
        <is>
          <t>Brûleur en sécurité (défaut flamme)</t>
        </is>
      </c>
      <c r="M980" s="7" t="inlineStr">
        <is>
          <t>Défaut capteur</t>
        </is>
      </c>
      <c r="N980" s="7" t="inlineStr">
        <is>
          <t>Remplacement sonde, réglage brûleur</t>
        </is>
      </c>
      <c r="O980" s="7" t="inlineStr">
        <is>
          <t>Thomas Petit</t>
        </is>
      </c>
      <c r="P980" s="65" t="n"/>
      <c r="Q980" s="75" t="n">
        <v>46078.58958333333</v>
      </c>
      <c r="R980" s="75" t="n">
        <v>46078.77708333333</v>
      </c>
      <c r="S980" s="76" t="n">
        <v>0</v>
      </c>
      <c r="T980" s="76" t="n">
        <v>4.5</v>
      </c>
      <c r="U980" s="70">
        <f>IF($A980="","",IFERROR(INDEX('Techniciens'!$F$5:$F$44,MATCH(O980,'Techniciens'!$B$5:$B$44,0)),'Paramètres'!$AA$10))</f>
        <v/>
      </c>
      <c r="V980" s="70">
        <f>IF($A980="","",IF(OR(AC980="Demandé",AC980="Planifié",AC980="Annulé"),0,N(T980)*N(U980)))</f>
        <v/>
      </c>
      <c r="W980" s="70">
        <f>IF($A980="","",SUMIFS('Mouvements stock'!$H$5:$H$3004,'Mouvements stock'!$I$5:$I$3004,$A980,'Mouvements stock'!$C$5:$C$3004,"Sortie")-SUMIFS('Mouvements stock'!$H$5:$H$3004,'Mouvements stock'!$I$5:$I$3004,$A980,'Mouvements stock'!$C$5:$C$3004,"Retour"))</f>
        <v/>
      </c>
      <c r="X980" s="66" t="n">
        <v>362</v>
      </c>
      <c r="Y980" s="66" t="n">
        <v>1160</v>
      </c>
      <c r="Z980" s="7" t="inlineStr">
        <is>
          <t>Surface Process Assistance</t>
        </is>
      </c>
      <c r="AA980" s="70">
        <f>IF($A980="","",N(V980)+N(W980)+N(X980)+N(Y980))</f>
        <v/>
      </c>
      <c r="AB980" s="70">
        <f>IF($A980="","",N(S980)*'Paramètres'!$AA$9*IFERROR(INDEX('Paramètres'!$O$5:$O$7,MATCH(G980,'Paramètres'!$N$5:$N$7,0)),0))</f>
        <v/>
      </c>
      <c r="AC980" s="7" t="inlineStr">
        <is>
          <t>Clôturé</t>
        </is>
      </c>
      <c r="AD980" s="69">
        <f>IF(OR($A980="",Q980=""),"",(Q980-B980)*24)</f>
        <v/>
      </c>
      <c r="AE980" s="69">
        <f>IF(OR(Q980="",R980=""),"",(R980-Q980)*24)</f>
        <v/>
      </c>
      <c r="AF980" s="77">
        <f>IF(OR($A980="",B980=""),"",YEAR(B980))</f>
        <v/>
      </c>
      <c r="AG980" s="77">
        <f>IF(OR($A980="",B980=""),"",MONTH(B980))</f>
        <v/>
      </c>
    </row>
    <row r="981">
      <c r="A981" s="7" t="inlineStr">
        <is>
          <t>OT-2026-0126</t>
        </is>
      </c>
      <c r="B981" s="75" t="n">
        <v>46078.62291666667</v>
      </c>
      <c r="C981" s="7" t="inlineStr">
        <is>
          <t>Opérateur tôlerie</t>
        </is>
      </c>
      <c r="D981" s="7" t="inlineStr">
        <is>
          <t>EQ-TOL-005</t>
        </is>
      </c>
      <c r="E981" s="9">
        <f>IF(D981="","",IFERROR(INDEX('Équipements'!$B$5:$B$304,MATCH(D981,'Équipements'!$A$5:$A$304,0)),"Code inconnu"))</f>
        <v/>
      </c>
      <c r="F981" s="9">
        <f>IF(D981="","",IFERROR(INDEX('Équipements'!$D$5:$D$304,MATCH(D981,'Équipements'!$A$5:$A$304,0)),""))</f>
        <v/>
      </c>
      <c r="G981" s="9">
        <f>IF(D981="","",IFERROR(INDEX('Équipements'!$K$5:$K$304,MATCH(D981,'Équipements'!$A$5:$A$304,0)),""))</f>
        <v/>
      </c>
      <c r="H981" s="7" t="inlineStr">
        <is>
          <t>Correctif</t>
        </is>
      </c>
      <c r="I981" s="7" t="n"/>
      <c r="J981" s="7" t="inlineStr">
        <is>
          <t>Hydraulique</t>
        </is>
      </c>
      <c r="K981" s="7" t="inlineStr">
        <is>
          <t>P2 - Haute</t>
        </is>
      </c>
      <c r="L981" s="7" t="inlineStr">
        <is>
          <t>Fuite d'huile vérin principal</t>
        </is>
      </c>
      <c r="M981" s="7" t="inlineStr">
        <is>
          <t>Fuite</t>
        </is>
      </c>
      <c r="N981" s="7" t="inlineStr">
        <is>
          <t>Remplacement kit joints vérin</t>
        </is>
      </c>
      <c r="O981" s="7" t="inlineStr">
        <is>
          <t>Karim Benali</t>
        </is>
      </c>
      <c r="P981" s="65" t="n"/>
      <c r="Q981" s="75" t="n">
        <v>46078.70625</v>
      </c>
      <c r="R981" s="75" t="n">
        <v>46078.75833333333</v>
      </c>
      <c r="S981" s="76" t="n">
        <v>0</v>
      </c>
      <c r="T981" s="76" t="n">
        <v>1.25</v>
      </c>
      <c r="U981" s="70">
        <f>IF($A981="","",IFERROR(INDEX('Techniciens'!$F$5:$F$44,MATCH(O981,'Techniciens'!$B$5:$B$44,0)),'Paramètres'!$AA$10))</f>
        <v/>
      </c>
      <c r="V981" s="70">
        <f>IF($A981="","",IF(OR(AC981="Demandé",AC981="Planifié",AC981="Annulé"),0,N(T981)*N(U981)))</f>
        <v/>
      </c>
      <c r="W981" s="70">
        <f>IF($A981="","",SUMIFS('Mouvements stock'!$H$5:$H$3004,'Mouvements stock'!$I$5:$I$3004,$A981,'Mouvements stock'!$C$5:$C$3004,"Sortie")-SUMIFS('Mouvements stock'!$H$5:$H$3004,'Mouvements stock'!$I$5:$I$3004,$A981,'Mouvements stock'!$C$5:$C$3004,"Retour"))</f>
        <v/>
      </c>
      <c r="X981" s="66" t="n">
        <v>854</v>
      </c>
      <c r="Y981" s="66" t="n">
        <v>510</v>
      </c>
      <c r="Z981" s="7" t="inlineStr">
        <is>
          <t>HydroFluid Services</t>
        </is>
      </c>
      <c r="AA981" s="70">
        <f>IF($A981="","",N(V981)+N(W981)+N(X981)+N(Y981))</f>
        <v/>
      </c>
      <c r="AB981" s="70">
        <f>IF($A981="","",N(S981)*'Paramètres'!$AA$9*IFERROR(INDEX('Paramètres'!$O$5:$O$7,MATCH(G981,'Paramètres'!$N$5:$N$7,0)),0))</f>
        <v/>
      </c>
      <c r="AC981" s="7" t="inlineStr">
        <is>
          <t>Clôturé</t>
        </is>
      </c>
      <c r="AD981" s="69">
        <f>IF(OR($A981="",Q981=""),"",(Q981-B981)*24)</f>
        <v/>
      </c>
      <c r="AE981" s="69">
        <f>IF(OR(Q981="",R981=""),"",(R981-Q981)*24)</f>
        <v/>
      </c>
      <c r="AF981" s="77">
        <f>IF(OR($A981="",B981=""),"",YEAR(B981))</f>
        <v/>
      </c>
      <c r="AG981" s="77">
        <f>IF(OR($A981="",B981=""),"",MONTH(B981))</f>
        <v/>
      </c>
    </row>
    <row r="982">
      <c r="A982" s="7" t="inlineStr">
        <is>
          <t>OT-2026-0127</t>
        </is>
      </c>
      <c r="B982" s="75" t="n">
        <v>46079.40972222222</v>
      </c>
      <c r="C982" s="7" t="inlineStr">
        <is>
          <t>Nadia Rousseau</t>
        </is>
      </c>
      <c r="D982" s="7" t="inlineStr">
        <is>
          <t>EQ-TOL-001</t>
        </is>
      </c>
      <c r="E982" s="9">
        <f>IF(D982="","",IFERROR(INDEX('Équipements'!$B$5:$B$304,MATCH(D982,'Équipements'!$A$5:$A$304,0)),"Code inconnu"))</f>
        <v/>
      </c>
      <c r="F982" s="9">
        <f>IF(D982="","",IFERROR(INDEX('Équipements'!$D$5:$D$304,MATCH(D982,'Équipements'!$A$5:$A$304,0)),""))</f>
        <v/>
      </c>
      <c r="G982" s="9">
        <f>IF(D982="","",IFERROR(INDEX('Équipements'!$K$5:$K$304,MATCH(D982,'Équipements'!$A$5:$A$304,0)),""))</f>
        <v/>
      </c>
      <c r="H982" s="7" t="inlineStr">
        <is>
          <t>Amélioratif</t>
        </is>
      </c>
      <c r="I982" s="7" t="n"/>
      <c r="J982" s="7" t="inlineStr">
        <is>
          <t>Automatisme</t>
        </is>
      </c>
      <c r="K982" s="7" t="inlineStr">
        <is>
          <t>P4 - Basse</t>
        </is>
      </c>
      <c r="L982" s="7" t="inlineStr">
        <is>
          <t>Mise en place kit capteurs de surveillance tête de coupe</t>
        </is>
      </c>
      <c r="M982" s="7" t="n"/>
      <c r="N982" s="7" t="inlineStr">
        <is>
          <t>Réalisé conformément au devis / dossier technique</t>
        </is>
      </c>
      <c r="O982" s="7" t="inlineStr">
        <is>
          <t>Nadia Rousseau</t>
        </is>
      </c>
      <c r="P982" s="65" t="n">
        <v>46101</v>
      </c>
      <c r="Q982" s="75" t="n">
        <v>46101.33333333334</v>
      </c>
      <c r="R982" s="75" t="n">
        <v>46101.68333333333</v>
      </c>
      <c r="S982" s="76" t="n">
        <v>3</v>
      </c>
      <c r="T982" s="76" t="n">
        <v>6</v>
      </c>
      <c r="U982" s="70">
        <f>IF($A982="","",IFERROR(INDEX('Techniciens'!$F$5:$F$44,MATCH(O982,'Techniciens'!$B$5:$B$44,0)),'Paramètres'!$AA$10))</f>
        <v/>
      </c>
      <c r="V982" s="70">
        <f>IF($A982="","",IF(OR(AC982="Demandé",AC982="Planifié",AC982="Annulé"),0,N(T982)*N(U982)))</f>
        <v/>
      </c>
      <c r="W982" s="70">
        <f>IF($A982="","",SUMIFS('Mouvements stock'!$H$5:$H$3004,'Mouvements stock'!$I$5:$I$3004,$A982,'Mouvements stock'!$C$5:$C$3004,"Sortie")-SUMIFS('Mouvements stock'!$H$5:$H$3004,'Mouvements stock'!$I$5:$I$3004,$A982,'Mouvements stock'!$C$5:$C$3004,"Retour"))</f>
        <v/>
      </c>
      <c r="X982" s="66" t="n">
        <v>2600</v>
      </c>
      <c r="Y982" s="66" t="n">
        <v>900</v>
      </c>
      <c r="Z982" s="7" t="inlineStr">
        <is>
          <t>LaserCare Services</t>
        </is>
      </c>
      <c r="AA982" s="70">
        <f>IF($A982="","",N(V982)+N(W982)+N(X982)+N(Y982))</f>
        <v/>
      </c>
      <c r="AB982" s="70">
        <f>IF($A982="","",N(S982)*'Paramètres'!$AA$9*IFERROR(INDEX('Paramètres'!$O$5:$O$7,MATCH(G982,'Paramètres'!$N$5:$N$7,0)),0))</f>
        <v/>
      </c>
      <c r="AC982" s="7" t="inlineStr">
        <is>
          <t>Clôturé</t>
        </is>
      </c>
      <c r="AD982" s="69">
        <f>IF(OR($A982="",Q982=""),"",(Q982-B982)*24)</f>
        <v/>
      </c>
      <c r="AE982" s="69">
        <f>IF(OR(Q982="",R982=""),"",(R982-Q982)*24)</f>
        <v/>
      </c>
      <c r="AF982" s="77">
        <f>IF(OR($A982="",B982=""),"",YEAR(B982))</f>
        <v/>
      </c>
      <c r="AG982" s="77">
        <f>IF(OR($A982="",B982=""),"",MONTH(B982))</f>
        <v/>
      </c>
    </row>
    <row r="983">
      <c r="A983" s="7" t="inlineStr">
        <is>
          <t>OT-2026-0128</t>
        </is>
      </c>
      <c r="B983" s="75" t="n">
        <v>46079.60972222222</v>
      </c>
      <c r="C983" s="7" t="inlineStr">
        <is>
          <t>Cariste</t>
        </is>
      </c>
      <c r="D983" s="7" t="inlineStr">
        <is>
          <t>EQ-LOG-007</t>
        </is>
      </c>
      <c r="E983" s="9">
        <f>IF(D983="","",IFERROR(INDEX('Équipements'!$B$5:$B$304,MATCH(D983,'Équipements'!$A$5:$A$304,0)),"Code inconnu"))</f>
        <v/>
      </c>
      <c r="F983" s="9">
        <f>IF(D983="","",IFERROR(INDEX('Équipements'!$D$5:$D$304,MATCH(D983,'Équipements'!$A$5:$A$304,0)),""))</f>
        <v/>
      </c>
      <c r="G983" s="9">
        <f>IF(D983="","",IFERROR(INDEX('Équipements'!$K$5:$K$304,MATCH(D983,'Équipements'!$A$5:$A$304,0)),""))</f>
        <v/>
      </c>
      <c r="H983" s="7" t="inlineStr">
        <is>
          <t>Correctif</t>
        </is>
      </c>
      <c r="I983" s="7" t="n"/>
      <c r="J983" s="7" t="inlineStr">
        <is>
          <t>Électrique</t>
        </is>
      </c>
      <c r="K983" s="7" t="inlineStr">
        <is>
          <t>P1 - Urgent</t>
        </is>
      </c>
      <c r="L983" s="7" t="inlineStr">
        <is>
          <t>Fin de course de levage HS</t>
        </is>
      </c>
      <c r="M983" s="7" t="inlineStr">
        <is>
          <t>Défaut capteur</t>
        </is>
      </c>
      <c r="N983" s="7" t="inlineStr">
        <is>
          <t>Remplacement fin de course</t>
        </is>
      </c>
      <c r="O983" s="7" t="inlineStr">
        <is>
          <t>Antoine Mercier</t>
        </is>
      </c>
      <c r="P983" s="65" t="n"/>
      <c r="Q983" s="75" t="n">
        <v>46079.62013888889</v>
      </c>
      <c r="R983" s="75" t="n">
        <v>46079.81805555556</v>
      </c>
      <c r="S983" s="76" t="n">
        <v>5</v>
      </c>
      <c r="T983" s="76" t="n">
        <v>4.75</v>
      </c>
      <c r="U983" s="70">
        <f>IF($A983="","",IFERROR(INDEX('Techniciens'!$F$5:$F$44,MATCH(O983,'Techniciens'!$B$5:$B$44,0)),'Paramètres'!$AA$10))</f>
        <v/>
      </c>
      <c r="V983" s="70">
        <f>IF($A983="","",IF(OR(AC983="Demandé",AC983="Planifié",AC983="Annulé"),0,N(T983)*N(U983)))</f>
        <v/>
      </c>
      <c r="W983" s="70">
        <f>IF($A983="","",SUMIFS('Mouvements stock'!$H$5:$H$3004,'Mouvements stock'!$I$5:$I$3004,$A983,'Mouvements stock'!$C$5:$C$3004,"Sortie")-SUMIFS('Mouvements stock'!$H$5:$H$3004,'Mouvements stock'!$I$5:$I$3004,$A983,'Mouvements stock'!$C$5:$C$3004,"Retour"))</f>
        <v/>
      </c>
      <c r="X983" s="66" t="n">
        <v>0</v>
      </c>
      <c r="Y983" s="66" t="n">
        <v>0</v>
      </c>
      <c r="Z983" s="7" t="n"/>
      <c r="AA983" s="70">
        <f>IF($A983="","",N(V983)+N(W983)+N(X983)+N(Y983))</f>
        <v/>
      </c>
      <c r="AB983" s="70">
        <f>IF($A983="","",N(S983)*'Paramètres'!$AA$9*IFERROR(INDEX('Paramètres'!$O$5:$O$7,MATCH(G983,'Paramètres'!$N$5:$N$7,0)),0))</f>
        <v/>
      </c>
      <c r="AC983" s="7" t="inlineStr">
        <is>
          <t>Clôturé</t>
        </is>
      </c>
      <c r="AD983" s="69">
        <f>IF(OR($A983="",Q983=""),"",(Q983-B983)*24)</f>
        <v/>
      </c>
      <c r="AE983" s="69">
        <f>IF(OR(Q983="",R983=""),"",(R983-Q983)*24)</f>
        <v/>
      </c>
      <c r="AF983" s="77">
        <f>IF(OR($A983="",B983=""),"",YEAR(B983))</f>
        <v/>
      </c>
      <c r="AG983" s="77">
        <f>IF(OR($A983="",B983=""),"",MONTH(B983))</f>
        <v/>
      </c>
    </row>
    <row r="984">
      <c r="A984" s="7" t="inlineStr">
        <is>
          <t>OT-2026-0129</t>
        </is>
      </c>
      <c r="B984" s="75" t="n">
        <v>46080.61527777778</v>
      </c>
      <c r="C984" s="7" t="inlineStr">
        <is>
          <t>Marc Lefèvre</t>
        </is>
      </c>
      <c r="D984" s="7" t="inlineStr">
        <is>
          <t>EQ-UTI-010</t>
        </is>
      </c>
      <c r="E984" s="9">
        <f>IF(D984="","",IFERROR(INDEX('Équipements'!$B$5:$B$304,MATCH(D984,'Équipements'!$A$5:$A$304,0)),"Code inconnu"))</f>
        <v/>
      </c>
      <c r="F984" s="9">
        <f>IF(D984="","",IFERROR(INDEX('Équipements'!$D$5:$D$304,MATCH(D984,'Équipements'!$A$5:$A$304,0)),""))</f>
        <v/>
      </c>
      <c r="G984" s="9">
        <f>IF(D984="","",IFERROR(INDEX('Équipements'!$K$5:$K$304,MATCH(D984,'Équipements'!$A$5:$A$304,0)),""))</f>
        <v/>
      </c>
      <c r="H984" s="7" t="inlineStr">
        <is>
          <t>Correctif</t>
        </is>
      </c>
      <c r="I984" s="7" t="n"/>
      <c r="J984" s="7" t="inlineStr">
        <is>
          <t>Électrique</t>
        </is>
      </c>
      <c r="K984" s="7" t="inlineStr">
        <is>
          <t>P2 - Haute</t>
        </is>
      </c>
      <c r="L984" s="7" t="inlineStr">
        <is>
          <t>Déclenchement disjoncteur départ atelier</t>
        </is>
      </c>
      <c r="M984" s="7" t="n"/>
      <c r="N984" s="7" t="inlineStr">
        <is>
          <t>Doublon de demande - annulé</t>
        </is>
      </c>
      <c r="O984" s="7" t="inlineStr">
        <is>
          <t>Thomas Petit</t>
        </is>
      </c>
      <c r="P984" s="65" t="n"/>
      <c r="Q984" s="75" t="n"/>
      <c r="R984" s="75" t="n"/>
      <c r="S984" s="76" t="n">
        <v>0</v>
      </c>
      <c r="T984" s="76" t="n">
        <v>0</v>
      </c>
      <c r="U984" s="70">
        <f>IF($A984="","",IFERROR(INDEX('Techniciens'!$F$5:$F$44,MATCH(O984,'Techniciens'!$B$5:$B$44,0)),'Paramètres'!$AA$10))</f>
        <v/>
      </c>
      <c r="V984" s="70">
        <f>IF($A984="","",IF(OR(AC984="Demandé",AC984="Planifié",AC984="Annulé"),0,N(T984)*N(U984)))</f>
        <v/>
      </c>
      <c r="W984" s="70">
        <f>IF($A984="","",SUMIFS('Mouvements stock'!$H$5:$H$3004,'Mouvements stock'!$I$5:$I$3004,$A984,'Mouvements stock'!$C$5:$C$3004,"Sortie")-SUMIFS('Mouvements stock'!$H$5:$H$3004,'Mouvements stock'!$I$5:$I$3004,$A984,'Mouvements stock'!$C$5:$C$3004,"Retour"))</f>
        <v/>
      </c>
      <c r="X984" s="66" t="n">
        <v>0</v>
      </c>
      <c r="Y984" s="66" t="n">
        <v>0</v>
      </c>
      <c r="Z984" s="7" t="n"/>
      <c r="AA984" s="70">
        <f>IF($A984="","",N(V984)+N(W984)+N(X984)+N(Y984))</f>
        <v/>
      </c>
      <c r="AB984" s="70">
        <f>IF($A984="","",N(S984)*'Paramètres'!$AA$9*IFERROR(INDEX('Paramètres'!$O$5:$O$7,MATCH(G984,'Paramètres'!$N$5:$N$7,0)),0))</f>
        <v/>
      </c>
      <c r="AC984" s="7" t="inlineStr">
        <is>
          <t>Annulé</t>
        </is>
      </c>
      <c r="AD984" s="69">
        <f>IF(OR($A984="",Q984=""),"",(Q984-B984)*24)</f>
        <v/>
      </c>
      <c r="AE984" s="69">
        <f>IF(OR(Q984="",R984=""),"",(R984-Q984)*24)</f>
        <v/>
      </c>
      <c r="AF984" s="77">
        <f>IF(OR($A984="",B984=""),"",YEAR(B984))</f>
        <v/>
      </c>
      <c r="AG984" s="77">
        <f>IF(OR($A984="",B984=""),"",MONTH(B984))</f>
        <v/>
      </c>
    </row>
    <row r="985">
      <c r="A985" s="7" t="inlineStr">
        <is>
          <t>OT-2026-0130</t>
        </is>
      </c>
      <c r="B985" s="75" t="n">
        <v>46081.25</v>
      </c>
      <c r="C985" s="7" t="inlineStr">
        <is>
          <t>Inès Girard (cheffe d'équipe)</t>
        </is>
      </c>
      <c r="D985" s="7" t="inlineStr">
        <is>
          <t>EQ-PEI-004</t>
        </is>
      </c>
      <c r="E985" s="9">
        <f>IF(D985="","",IFERROR(INDEX('Équipements'!$B$5:$B$304,MATCH(D985,'Équipements'!$A$5:$A$304,0)),"Code inconnu"))</f>
        <v/>
      </c>
      <c r="F985" s="9">
        <f>IF(D985="","",IFERROR(INDEX('Équipements'!$D$5:$D$304,MATCH(D985,'Équipements'!$A$5:$A$304,0)),""))</f>
        <v/>
      </c>
      <c r="G985" s="9">
        <f>IF(D985="","",IFERROR(INDEX('Équipements'!$K$5:$K$304,MATCH(D985,'Équipements'!$A$5:$A$304,0)),""))</f>
        <v/>
      </c>
      <c r="H985" s="7" t="inlineStr">
        <is>
          <t>Correctif</t>
        </is>
      </c>
      <c r="I985" s="7" t="n"/>
      <c r="J985" s="7" t="inlineStr">
        <is>
          <t>Mécanique</t>
        </is>
      </c>
      <c r="K985" s="7" t="inlineStr">
        <is>
          <t>P2 - Haute</t>
        </is>
      </c>
      <c r="L985" s="7" t="inlineStr">
        <is>
          <t>Rupture / saut de chaîne</t>
        </is>
      </c>
      <c r="M985" s="7" t="inlineStr">
        <is>
          <t>Usure</t>
        </is>
      </c>
      <c r="N985" s="7" t="inlineStr">
        <is>
          <t>Remplacement maillons et galets, retension</t>
        </is>
      </c>
      <c r="O985" s="7" t="inlineStr">
        <is>
          <t>Antoine Mercier</t>
        </is>
      </c>
      <c r="P985" s="65" t="n"/>
      <c r="Q985" s="75" t="n">
        <v>46081.45138888889</v>
      </c>
      <c r="R985" s="75" t="n">
        <v>46083.1933073999</v>
      </c>
      <c r="S985" s="76" t="n">
        <v>26.5</v>
      </c>
      <c r="T985" s="76" t="n">
        <v>1.5</v>
      </c>
      <c r="U985" s="70">
        <f>IF($A985="","",IFERROR(INDEX('Techniciens'!$F$5:$F$44,MATCH(O985,'Techniciens'!$B$5:$B$44,0)),'Paramètres'!$AA$10))</f>
        <v/>
      </c>
      <c r="V985" s="70">
        <f>IF($A985="","",IF(OR(AC985="Demandé",AC985="Planifié",AC985="Annulé"),0,N(T985)*N(U985)))</f>
        <v/>
      </c>
      <c r="W985" s="70">
        <f>IF($A985="","",SUMIFS('Mouvements stock'!$H$5:$H$3004,'Mouvements stock'!$I$5:$I$3004,$A985,'Mouvements stock'!$C$5:$C$3004,"Sortie")-SUMIFS('Mouvements stock'!$H$5:$H$3004,'Mouvements stock'!$I$5:$I$3004,$A985,'Mouvements stock'!$C$5:$C$3004,"Retour"))</f>
        <v/>
      </c>
      <c r="X985" s="66" t="n">
        <v>0</v>
      </c>
      <c r="Y985" s="66" t="n">
        <v>0</v>
      </c>
      <c r="Z985" s="7" t="n"/>
      <c r="AA985" s="70">
        <f>IF($A985="","",N(V985)+N(W985)+N(X985)+N(Y985))</f>
        <v/>
      </c>
      <c r="AB985" s="70">
        <f>IF($A985="","",N(S985)*'Paramètres'!$AA$9*IFERROR(INDEX('Paramètres'!$O$5:$O$7,MATCH(G985,'Paramètres'!$N$5:$N$7,0)),0))</f>
        <v/>
      </c>
      <c r="AC985" s="7" t="inlineStr">
        <is>
          <t>Clôturé</t>
        </is>
      </c>
      <c r="AD985" s="69">
        <f>IF(OR($A985="",Q985=""),"",(Q985-B985)*24)</f>
        <v/>
      </c>
      <c r="AE985" s="69">
        <f>IF(OR(Q985="",R985=""),"",(R985-Q985)*24)</f>
        <v/>
      </c>
      <c r="AF985" s="77">
        <f>IF(OR($A985="",B985=""),"",YEAR(B985))</f>
        <v/>
      </c>
      <c r="AG985" s="77">
        <f>IF(OR($A985="",B985=""),"",MONTH(B985))</f>
        <v/>
      </c>
    </row>
    <row r="986">
      <c r="A986" s="7" t="inlineStr">
        <is>
          <t>OT-2026-0131</t>
        </is>
      </c>
      <c r="B986" s="75" t="n">
        <v>46083.34027777778</v>
      </c>
      <c r="C986" s="7" t="inlineStr">
        <is>
          <t>Plan préventif</t>
        </is>
      </c>
      <c r="D986" s="7" t="inlineStr">
        <is>
          <t>EQ-TOL-006</t>
        </is>
      </c>
      <c r="E986" s="9">
        <f>IF(D986="","",IFERROR(INDEX('Équipements'!$B$5:$B$304,MATCH(D986,'Équipements'!$A$5:$A$304,0)),"Code inconnu"))</f>
        <v/>
      </c>
      <c r="F986" s="9">
        <f>IF(D986="","",IFERROR(INDEX('Équipements'!$D$5:$D$304,MATCH(D986,'Équipements'!$A$5:$A$304,0)),""))</f>
        <v/>
      </c>
      <c r="G986" s="9">
        <f>IF(D986="","",IFERROR(INDEX('Équipements'!$K$5:$K$304,MATCH(D986,'Équipements'!$A$5:$A$304,0)),""))</f>
        <v/>
      </c>
      <c r="H986" s="7" t="inlineStr">
        <is>
          <t>Préventif systématique</t>
        </is>
      </c>
      <c r="I986" s="7" t="inlineStr">
        <is>
          <t>GP-053</t>
        </is>
      </c>
      <c r="J986" s="7" t="inlineStr">
        <is>
          <t>Hydraulique</t>
        </is>
      </c>
      <c r="K986" s="7" t="inlineStr">
        <is>
          <t>P3 - Normale</t>
        </is>
      </c>
      <c r="L986" s="7" t="inlineStr">
        <is>
          <t>Contrôle hydraulique : fuites, niveaux, pressions</t>
        </is>
      </c>
      <c r="M986" s="7" t="n"/>
      <c r="N986" s="7" t="inlineStr">
        <is>
          <t>Gamme réalisée - RAS</t>
        </is>
      </c>
      <c r="O986" s="7" t="inlineStr">
        <is>
          <t>Antoine Mercier</t>
        </is>
      </c>
      <c r="P986" s="65" t="n">
        <v>46090.69791666666</v>
      </c>
      <c r="Q986" s="75" t="n">
        <v>46090.30555555555</v>
      </c>
      <c r="R986" s="75" t="n">
        <v>46090.42013888889</v>
      </c>
      <c r="S986" s="76" t="n">
        <v>2.8</v>
      </c>
      <c r="T986" s="76" t="n">
        <v>2.75</v>
      </c>
      <c r="U986" s="70">
        <f>IF($A986="","",IFERROR(INDEX('Techniciens'!$F$5:$F$44,MATCH(O986,'Techniciens'!$B$5:$B$44,0)),'Paramètres'!$AA$10))</f>
        <v/>
      </c>
      <c r="V986" s="70">
        <f>IF($A986="","",IF(OR(AC986="Demandé",AC986="Planifié",AC986="Annulé"),0,N(T986)*N(U986)))</f>
        <v/>
      </c>
      <c r="W986" s="70">
        <f>IF($A986="","",SUMIFS('Mouvements stock'!$H$5:$H$3004,'Mouvements stock'!$I$5:$I$3004,$A986,'Mouvements stock'!$C$5:$C$3004,"Sortie")-SUMIFS('Mouvements stock'!$H$5:$H$3004,'Mouvements stock'!$I$5:$I$3004,$A986,'Mouvements stock'!$C$5:$C$3004,"Retour"))</f>
        <v/>
      </c>
      <c r="X986" s="66" t="n">
        <v>0</v>
      </c>
      <c r="Y986" s="66" t="n">
        <v>0</v>
      </c>
      <c r="Z986" s="7" t="n"/>
      <c r="AA986" s="70">
        <f>IF($A986="","",N(V986)+N(W986)+N(X986)+N(Y986))</f>
        <v/>
      </c>
      <c r="AB986" s="70">
        <f>IF($A986="","",N(S986)*'Paramètres'!$AA$9*IFERROR(INDEX('Paramètres'!$O$5:$O$7,MATCH(G986,'Paramètres'!$N$5:$N$7,0)),0))</f>
        <v/>
      </c>
      <c r="AC986" s="7" t="inlineStr">
        <is>
          <t>Clôturé</t>
        </is>
      </c>
      <c r="AD986" s="69">
        <f>IF(OR($A986="",Q986=""),"",(Q986-B986)*24)</f>
        <v/>
      </c>
      <c r="AE986" s="69">
        <f>IF(OR(Q986="",R986=""),"",(R986-Q986)*24)</f>
        <v/>
      </c>
      <c r="AF986" s="77">
        <f>IF(OR($A986="",B986=""),"",YEAR(B986))</f>
        <v/>
      </c>
      <c r="AG986" s="77">
        <f>IF(OR($A986="",B986=""),"",MONTH(B986))</f>
        <v/>
      </c>
    </row>
    <row r="987">
      <c r="A987" s="7" t="inlineStr">
        <is>
          <t>OT-2026-0132</t>
        </is>
      </c>
      <c r="B987" s="75" t="n">
        <v>46083.40277777778</v>
      </c>
      <c r="C987" s="7" t="inlineStr">
        <is>
          <t>Planning réglementaire</t>
        </is>
      </c>
      <c r="D987" s="7" t="inlineStr">
        <is>
          <t>EQ-BAT-005</t>
        </is>
      </c>
      <c r="E987" s="9">
        <f>IF(D987="","",IFERROR(INDEX('Équipements'!$B$5:$B$304,MATCH(D987,'Équipements'!$A$5:$A$304,0)),"Code inconnu"))</f>
        <v/>
      </c>
      <c r="F987" s="9">
        <f>IF(D987="","",IFERROR(INDEX('Équipements'!$D$5:$D$304,MATCH(D987,'Équipements'!$A$5:$A$304,0)),""))</f>
        <v/>
      </c>
      <c r="G987" s="9">
        <f>IF(D987="","",IFERROR(INDEX('Équipements'!$K$5:$K$304,MATCH(D987,'Équipements'!$A$5:$A$304,0)),""))</f>
        <v/>
      </c>
      <c r="H987" s="7" t="inlineStr">
        <is>
          <t>Réglementaire</t>
        </is>
      </c>
      <c r="I987" s="7" t="inlineStr">
        <is>
          <t>CR-019</t>
        </is>
      </c>
      <c r="J987" s="7" t="inlineStr">
        <is>
          <t>Multi-technique</t>
        </is>
      </c>
      <c r="K987" s="7" t="inlineStr">
        <is>
          <t>P2 - Haute</t>
        </is>
      </c>
      <c r="L987" s="7" t="inlineStr">
        <is>
          <t>Vérification du désenfumage</t>
        </is>
      </c>
      <c r="M987" s="7" t="n"/>
      <c r="N987" s="7" t="inlineStr">
        <is>
          <t>Contrôle réalisé - rapport reçu</t>
        </is>
      </c>
      <c r="O987" s="7" t="inlineStr">
        <is>
          <t>Marc Lefèvre</t>
        </is>
      </c>
      <c r="P987" s="65" t="n">
        <v>46104</v>
      </c>
      <c r="Q987" s="75" t="n">
        <v>46104.51041666666</v>
      </c>
      <c r="R987" s="75" t="n">
        <v>46104.54166666666</v>
      </c>
      <c r="S987" s="76" t="n">
        <v>0</v>
      </c>
      <c r="T987" s="76" t="n">
        <v>0.75</v>
      </c>
      <c r="U987" s="70">
        <f>IF($A987="","",IFERROR(INDEX('Techniciens'!$F$5:$F$44,MATCH(O987,'Techniciens'!$B$5:$B$44,0)),'Paramètres'!$AA$10))</f>
        <v/>
      </c>
      <c r="V987" s="70">
        <f>IF($A987="","",IF(OR(AC987="Demandé",AC987="Planifié",AC987="Annulé"),0,N(T987)*N(U987)))</f>
        <v/>
      </c>
      <c r="W987" s="70">
        <f>IF($A987="","",SUMIFS('Mouvements stock'!$H$5:$H$3004,'Mouvements stock'!$I$5:$I$3004,$A987,'Mouvements stock'!$C$5:$C$3004,"Sortie")-SUMIFS('Mouvements stock'!$H$5:$H$3004,'Mouvements stock'!$I$5:$I$3004,$A987,'Mouvements stock'!$C$5:$C$3004,"Retour"))</f>
        <v/>
      </c>
      <c r="X987" s="66" t="n">
        <v>0</v>
      </c>
      <c r="Y987" s="66" t="n">
        <v>390</v>
      </c>
      <c r="Z987" s="7" t="inlineStr">
        <is>
          <t>Sécurité Incendie Ouest</t>
        </is>
      </c>
      <c r="AA987" s="70">
        <f>IF($A987="","",N(V987)+N(W987)+N(X987)+N(Y987))</f>
        <v/>
      </c>
      <c r="AB987" s="70">
        <f>IF($A987="","",N(S987)*'Paramètres'!$AA$9*IFERROR(INDEX('Paramètres'!$O$5:$O$7,MATCH(G987,'Paramètres'!$N$5:$N$7,0)),0))</f>
        <v/>
      </c>
      <c r="AC987" s="7" t="inlineStr">
        <is>
          <t>Clôturé</t>
        </is>
      </c>
      <c r="AD987" s="69">
        <f>IF(OR($A987="",Q987=""),"",(Q987-B987)*24)</f>
        <v/>
      </c>
      <c r="AE987" s="69">
        <f>IF(OR(Q987="",R987=""),"",(R987-Q987)*24)</f>
        <v/>
      </c>
      <c r="AF987" s="77">
        <f>IF(OR($A987="",B987=""),"",YEAR(B987))</f>
        <v/>
      </c>
      <c r="AG987" s="77">
        <f>IF(OR($A987="",B987=""),"",MONTH(B987))</f>
        <v/>
      </c>
    </row>
    <row r="988">
      <c r="A988" s="7" t="inlineStr">
        <is>
          <t>OT-2026-0133</t>
        </is>
      </c>
      <c r="B988" s="75" t="n">
        <v>46083.40625</v>
      </c>
      <c r="C988" s="7" t="inlineStr">
        <is>
          <t>Plan préventif</t>
        </is>
      </c>
      <c r="D988" s="7" t="inlineStr">
        <is>
          <t>EQ-UTI-001</t>
        </is>
      </c>
      <c r="E988" s="9">
        <f>IF(D988="","",IFERROR(INDEX('Équipements'!$B$5:$B$304,MATCH(D988,'Équipements'!$A$5:$A$304,0)),"Code inconnu"))</f>
        <v/>
      </c>
      <c r="F988" s="9">
        <f>IF(D988="","",IFERROR(INDEX('Équipements'!$D$5:$D$304,MATCH(D988,'Équipements'!$A$5:$A$304,0)),""))</f>
        <v/>
      </c>
      <c r="G988" s="9">
        <f>IF(D988="","",IFERROR(INDEX('Équipements'!$K$5:$K$304,MATCH(D988,'Équipements'!$A$5:$A$304,0)),""))</f>
        <v/>
      </c>
      <c r="H988" s="7" t="inlineStr">
        <is>
          <t>Préventif systématique</t>
        </is>
      </c>
      <c r="I988" s="7" t="inlineStr">
        <is>
          <t>GP-088</t>
        </is>
      </c>
      <c r="J988" s="7" t="inlineStr">
        <is>
          <t>Pneumatique</t>
        </is>
      </c>
      <c r="K988" s="7" t="inlineStr">
        <is>
          <t>P3 - Normale</t>
        </is>
      </c>
      <c r="L988" s="7" t="inlineStr">
        <is>
          <t>Purge, contrôle fuites et point de rosée</t>
        </is>
      </c>
      <c r="M988" s="7" t="n"/>
      <c r="N988" s="7" t="inlineStr">
        <is>
          <t>Gamme réalisée - DI émise pour remplacement pièce</t>
        </is>
      </c>
      <c r="O988" s="7" t="inlineStr">
        <is>
          <t>Julien Moreau</t>
        </is>
      </c>
      <c r="P988" s="65" t="n">
        <v>46090.46527777778</v>
      </c>
      <c r="Q988" s="75" t="n">
        <v>46090.30208333334</v>
      </c>
      <c r="R988" s="75" t="n">
        <v>46090.38541666666</v>
      </c>
      <c r="S988" s="76" t="n">
        <v>0</v>
      </c>
      <c r="T988" s="76" t="n">
        <v>2</v>
      </c>
      <c r="U988" s="70">
        <f>IF($A988="","",IFERROR(INDEX('Techniciens'!$F$5:$F$44,MATCH(O988,'Techniciens'!$B$5:$B$44,0)),'Paramètres'!$AA$10))</f>
        <v/>
      </c>
      <c r="V988" s="70">
        <f>IF($A988="","",IF(OR(AC988="Demandé",AC988="Planifié",AC988="Annulé"),0,N(T988)*N(U988)))</f>
        <v/>
      </c>
      <c r="W988" s="70">
        <f>IF($A988="","",SUMIFS('Mouvements stock'!$H$5:$H$3004,'Mouvements stock'!$I$5:$I$3004,$A988,'Mouvements stock'!$C$5:$C$3004,"Sortie")-SUMIFS('Mouvements stock'!$H$5:$H$3004,'Mouvements stock'!$I$5:$I$3004,$A988,'Mouvements stock'!$C$5:$C$3004,"Retour"))</f>
        <v/>
      </c>
      <c r="X988" s="66" t="n">
        <v>0</v>
      </c>
      <c r="Y988" s="66" t="n">
        <v>0</v>
      </c>
      <c r="Z988" s="7" t="n"/>
      <c r="AA988" s="70">
        <f>IF($A988="","",N(V988)+N(W988)+N(X988)+N(Y988))</f>
        <v/>
      </c>
      <c r="AB988" s="70">
        <f>IF($A988="","",N(S988)*'Paramètres'!$AA$9*IFERROR(INDEX('Paramètres'!$O$5:$O$7,MATCH(G988,'Paramètres'!$N$5:$N$7,0)),0))</f>
        <v/>
      </c>
      <c r="AC988" s="7" t="inlineStr">
        <is>
          <t>Clôturé</t>
        </is>
      </c>
      <c r="AD988" s="69">
        <f>IF(OR($A988="",Q988=""),"",(Q988-B988)*24)</f>
        <v/>
      </c>
      <c r="AE988" s="69">
        <f>IF(OR(Q988="",R988=""),"",(R988-Q988)*24)</f>
        <v/>
      </c>
      <c r="AF988" s="77">
        <f>IF(OR($A988="",B988=""),"",YEAR(B988))</f>
        <v/>
      </c>
      <c r="AG988" s="77">
        <f>IF(OR($A988="",B988=""),"",MONTH(B988))</f>
        <v/>
      </c>
    </row>
    <row r="989">
      <c r="A989" s="7" t="inlineStr">
        <is>
          <t>OT-2026-0134</t>
        </is>
      </c>
      <c r="B989" s="75" t="n">
        <v>46083.43055555555</v>
      </c>
      <c r="C989" s="7" t="inlineStr">
        <is>
          <t>Plan préventif</t>
        </is>
      </c>
      <c r="D989" s="7" t="inlineStr">
        <is>
          <t>EQ-UTI-009</t>
        </is>
      </c>
      <c r="E989" s="9">
        <f>IF(D989="","",IFERROR(INDEX('Équipements'!$B$5:$B$304,MATCH(D989,'Équipements'!$A$5:$A$304,0)),"Code inconnu"))</f>
        <v/>
      </c>
      <c r="F989" s="9">
        <f>IF(D989="","",IFERROR(INDEX('Équipements'!$D$5:$D$304,MATCH(D989,'Équipements'!$A$5:$A$304,0)),""))</f>
        <v/>
      </c>
      <c r="G989" s="9">
        <f>IF(D989="","",IFERROR(INDEX('Équipements'!$K$5:$K$304,MATCH(D989,'Équipements'!$A$5:$A$304,0)),""))</f>
        <v/>
      </c>
      <c r="H989" s="7" t="inlineStr">
        <is>
          <t>Préventif systématique</t>
        </is>
      </c>
      <c r="I989" s="7" t="inlineStr">
        <is>
          <t>GP-101</t>
        </is>
      </c>
      <c r="J989" s="7" t="inlineStr">
        <is>
          <t>Électrique</t>
        </is>
      </c>
      <c r="K989" s="7" t="inlineStr">
        <is>
          <t>P3 - Normale</t>
        </is>
      </c>
      <c r="L989" s="7" t="inlineStr">
        <is>
          <t>Étalonnage des sondes pH / redox</t>
        </is>
      </c>
      <c r="M989" s="7" t="n"/>
      <c r="N989" s="7" t="inlineStr">
        <is>
          <t>Gamme réalisée - RAS</t>
        </is>
      </c>
      <c r="O989" s="7" t="inlineStr">
        <is>
          <t>Thomas Petit</t>
        </is>
      </c>
      <c r="P989" s="65" t="n">
        <v>46090.34722222222</v>
      </c>
      <c r="Q989" s="75" t="n">
        <v>46090.55555555555</v>
      </c>
      <c r="R989" s="75" t="n">
        <v>46090.60763888889</v>
      </c>
      <c r="S989" s="76" t="n">
        <v>0</v>
      </c>
      <c r="T989" s="76" t="n">
        <v>1.25</v>
      </c>
      <c r="U989" s="70">
        <f>IF($A989="","",IFERROR(INDEX('Techniciens'!$F$5:$F$44,MATCH(O989,'Techniciens'!$B$5:$B$44,0)),'Paramètres'!$AA$10))</f>
        <v/>
      </c>
      <c r="V989" s="70">
        <f>IF($A989="","",IF(OR(AC989="Demandé",AC989="Planifié",AC989="Annulé"),0,N(T989)*N(U989)))</f>
        <v/>
      </c>
      <c r="W989" s="70">
        <f>IF($A989="","",SUMIFS('Mouvements stock'!$H$5:$H$3004,'Mouvements stock'!$I$5:$I$3004,$A989,'Mouvements stock'!$C$5:$C$3004,"Sortie")-SUMIFS('Mouvements stock'!$H$5:$H$3004,'Mouvements stock'!$I$5:$I$3004,$A989,'Mouvements stock'!$C$5:$C$3004,"Retour"))</f>
        <v/>
      </c>
      <c r="X989" s="66" t="n">
        <v>0</v>
      </c>
      <c r="Y989" s="66" t="n">
        <v>0</v>
      </c>
      <c r="Z989" s="7" t="n"/>
      <c r="AA989" s="70">
        <f>IF($A989="","",N(V989)+N(W989)+N(X989)+N(Y989))</f>
        <v/>
      </c>
      <c r="AB989" s="70">
        <f>IF($A989="","",N(S989)*'Paramètres'!$AA$9*IFERROR(INDEX('Paramètres'!$O$5:$O$7,MATCH(G989,'Paramètres'!$N$5:$N$7,0)),0))</f>
        <v/>
      </c>
      <c r="AC989" s="7" t="inlineStr">
        <is>
          <t>Clôturé</t>
        </is>
      </c>
      <c r="AD989" s="69">
        <f>IF(OR($A989="",Q989=""),"",(Q989-B989)*24)</f>
        <v/>
      </c>
      <c r="AE989" s="69">
        <f>IF(OR(Q989="",R989=""),"",(R989-Q989)*24)</f>
        <v/>
      </c>
      <c r="AF989" s="77">
        <f>IF(OR($A989="",B989=""),"",YEAR(B989))</f>
        <v/>
      </c>
      <c r="AG989" s="77">
        <f>IF(OR($A989="",B989=""),"",MONTH(B989))</f>
        <v/>
      </c>
    </row>
    <row r="990">
      <c r="A990" s="7" t="inlineStr">
        <is>
          <t>OT-2026-0135</t>
        </is>
      </c>
      <c r="B990" s="75" t="n">
        <v>46083.44791666666</v>
      </c>
      <c r="C990" s="7" t="inlineStr">
        <is>
          <t>Plan préventif</t>
        </is>
      </c>
      <c r="D990" s="7" t="inlineStr">
        <is>
          <t>EQ-USI-006</t>
        </is>
      </c>
      <c r="E990" s="9">
        <f>IF(D990="","",IFERROR(INDEX('Équipements'!$B$5:$B$304,MATCH(D990,'Équipements'!$A$5:$A$304,0)),"Code inconnu"))</f>
        <v/>
      </c>
      <c r="F990" s="9">
        <f>IF(D990="","",IFERROR(INDEX('Équipements'!$D$5:$D$304,MATCH(D990,'Équipements'!$A$5:$A$304,0)),""))</f>
        <v/>
      </c>
      <c r="G990" s="9">
        <f>IF(D990="","",IFERROR(INDEX('Équipements'!$K$5:$K$304,MATCH(D990,'Équipements'!$A$5:$A$304,0)),""))</f>
        <v/>
      </c>
      <c r="H990" s="7" t="inlineStr">
        <is>
          <t>Préventif systématique</t>
        </is>
      </c>
      <c r="I990" s="7" t="inlineStr">
        <is>
          <t>GP-022</t>
        </is>
      </c>
      <c r="J990" s="7" t="inlineStr">
        <is>
          <t>Mécanique</t>
        </is>
      </c>
      <c r="K990" s="7" t="inlineStr">
        <is>
          <t>P3 - Normale</t>
        </is>
      </c>
      <c r="L990" s="7" t="inlineStr">
        <is>
          <t>Contrôle géométrie, jeux et graissage des axes</t>
        </is>
      </c>
      <c r="M990" s="7" t="n"/>
      <c r="N990" s="7" t="inlineStr">
        <is>
          <t>Gamme réalisée - RAS</t>
        </is>
      </c>
      <c r="O990" s="7" t="inlineStr">
        <is>
          <t>Antoine Mercier</t>
        </is>
      </c>
      <c r="P990" s="65" t="n">
        <v>46090.69791666666</v>
      </c>
      <c r="Q990" s="75" t="n">
        <v>46090.28472222222</v>
      </c>
      <c r="R990" s="75" t="n">
        <v>46090.49305555555</v>
      </c>
      <c r="S990" s="76" t="n">
        <v>2.5</v>
      </c>
      <c r="T990" s="76" t="n">
        <v>5</v>
      </c>
      <c r="U990" s="70">
        <f>IF($A990="","",IFERROR(INDEX('Techniciens'!$F$5:$F$44,MATCH(O990,'Techniciens'!$B$5:$B$44,0)),'Paramètres'!$AA$10))</f>
        <v/>
      </c>
      <c r="V990" s="70">
        <f>IF($A990="","",IF(OR(AC990="Demandé",AC990="Planifié",AC990="Annulé"),0,N(T990)*N(U990)))</f>
        <v/>
      </c>
      <c r="W990" s="70">
        <f>IF($A990="","",SUMIFS('Mouvements stock'!$H$5:$H$3004,'Mouvements stock'!$I$5:$I$3004,$A990,'Mouvements stock'!$C$5:$C$3004,"Sortie")-SUMIFS('Mouvements stock'!$H$5:$H$3004,'Mouvements stock'!$I$5:$I$3004,$A990,'Mouvements stock'!$C$5:$C$3004,"Retour"))</f>
        <v/>
      </c>
      <c r="X990" s="66" t="n">
        <v>0</v>
      </c>
      <c r="Y990" s="66" t="n">
        <v>0</v>
      </c>
      <c r="Z990" s="7" t="n"/>
      <c r="AA990" s="70">
        <f>IF($A990="","",N(V990)+N(W990)+N(X990)+N(Y990))</f>
        <v/>
      </c>
      <c r="AB990" s="70">
        <f>IF($A990="","",N(S990)*'Paramètres'!$AA$9*IFERROR(INDEX('Paramètres'!$O$5:$O$7,MATCH(G990,'Paramètres'!$N$5:$N$7,0)),0))</f>
        <v/>
      </c>
      <c r="AC990" s="7" t="inlineStr">
        <is>
          <t>Clôturé</t>
        </is>
      </c>
      <c r="AD990" s="69">
        <f>IF(OR($A990="",Q990=""),"",(Q990-B990)*24)</f>
        <v/>
      </c>
      <c r="AE990" s="69">
        <f>IF(OR(Q990="",R990=""),"",(R990-Q990)*24)</f>
        <v/>
      </c>
      <c r="AF990" s="77">
        <f>IF(OR($A990="",B990=""),"",YEAR(B990))</f>
        <v/>
      </c>
      <c r="AG990" s="77">
        <f>IF(OR($A990="",B990=""),"",MONTH(B990))</f>
        <v/>
      </c>
    </row>
    <row r="991">
      <c r="A991" s="7" t="inlineStr">
        <is>
          <t>OT-2026-0136</t>
        </is>
      </c>
      <c r="B991" s="75" t="n">
        <v>46083.45138888889</v>
      </c>
      <c r="C991" s="7" t="inlineStr">
        <is>
          <t>Plan préventif</t>
        </is>
      </c>
      <c r="D991" s="7" t="inlineStr">
        <is>
          <t>EQ-TOL-005</t>
        </is>
      </c>
      <c r="E991" s="9">
        <f>IF(D991="","",IFERROR(INDEX('Équipements'!$B$5:$B$304,MATCH(D991,'Équipements'!$A$5:$A$304,0)),"Code inconnu"))</f>
        <v/>
      </c>
      <c r="F991" s="9">
        <f>IF(D991="","",IFERROR(INDEX('Équipements'!$D$5:$D$304,MATCH(D991,'Équipements'!$A$5:$A$304,0)),""))</f>
        <v/>
      </c>
      <c r="G991" s="9">
        <f>IF(D991="","",IFERROR(INDEX('Équipements'!$K$5:$K$304,MATCH(D991,'Équipements'!$A$5:$A$304,0)),""))</f>
        <v/>
      </c>
      <c r="H991" s="7" t="inlineStr">
        <is>
          <t>Préventif systématique</t>
        </is>
      </c>
      <c r="I991" s="7" t="inlineStr">
        <is>
          <t>GP-052</t>
        </is>
      </c>
      <c r="J991" s="7" t="inlineStr">
        <is>
          <t>Électrique</t>
        </is>
      </c>
      <c r="K991" s="7" t="inlineStr">
        <is>
          <t>P3 - Normale</t>
        </is>
      </c>
      <c r="L991" s="7" t="inlineStr">
        <is>
          <t>Contrôle des sécurités (barrages, AU, pédale)</t>
        </is>
      </c>
      <c r="M991" s="7" t="n"/>
      <c r="N991" s="7" t="inlineStr">
        <is>
          <t>Gamme réalisée - RAS</t>
        </is>
      </c>
      <c r="O991" s="7" t="inlineStr">
        <is>
          <t>Julien Moreau</t>
        </is>
      </c>
      <c r="P991" s="65" t="n">
        <v>46090.49652777778</v>
      </c>
      <c r="Q991" s="75" t="n">
        <v>46090.33333333334</v>
      </c>
      <c r="R991" s="75" t="n">
        <v>46090.39583333334</v>
      </c>
      <c r="S991" s="76" t="n">
        <v>0</v>
      </c>
      <c r="T991" s="76" t="n">
        <v>1.5</v>
      </c>
      <c r="U991" s="70">
        <f>IF($A991="","",IFERROR(INDEX('Techniciens'!$F$5:$F$44,MATCH(O991,'Techniciens'!$B$5:$B$44,0)),'Paramètres'!$AA$10))</f>
        <v/>
      </c>
      <c r="V991" s="70">
        <f>IF($A991="","",IF(OR(AC991="Demandé",AC991="Planifié",AC991="Annulé"),0,N(T991)*N(U991)))</f>
        <v/>
      </c>
      <c r="W991" s="70">
        <f>IF($A991="","",SUMIFS('Mouvements stock'!$H$5:$H$3004,'Mouvements stock'!$I$5:$I$3004,$A991,'Mouvements stock'!$C$5:$C$3004,"Sortie")-SUMIFS('Mouvements stock'!$H$5:$H$3004,'Mouvements stock'!$I$5:$I$3004,$A991,'Mouvements stock'!$C$5:$C$3004,"Retour"))</f>
        <v/>
      </c>
      <c r="X991" s="66" t="n">
        <v>0</v>
      </c>
      <c r="Y991" s="66" t="n">
        <v>0</v>
      </c>
      <c r="Z991" s="7" t="n"/>
      <c r="AA991" s="70">
        <f>IF($A991="","",N(V991)+N(W991)+N(X991)+N(Y991))</f>
        <v/>
      </c>
      <c r="AB991" s="70">
        <f>IF($A991="","",N(S991)*'Paramètres'!$AA$9*IFERROR(INDEX('Paramètres'!$O$5:$O$7,MATCH(G991,'Paramètres'!$N$5:$N$7,0)),0))</f>
        <v/>
      </c>
      <c r="AC991" s="7" t="inlineStr">
        <is>
          <t>Clôturé</t>
        </is>
      </c>
      <c r="AD991" s="69">
        <f>IF(OR($A991="",Q991=""),"",(Q991-B991)*24)</f>
        <v/>
      </c>
      <c r="AE991" s="69">
        <f>IF(OR(Q991="",R991=""),"",(R991-Q991)*24)</f>
        <v/>
      </c>
      <c r="AF991" s="77">
        <f>IF(OR($A991="",B991=""),"",YEAR(B991))</f>
        <v/>
      </c>
      <c r="AG991" s="77">
        <f>IF(OR($A991="",B991=""),"",MONTH(B991))</f>
        <v/>
      </c>
    </row>
    <row r="992">
      <c r="A992" s="7" t="inlineStr">
        <is>
          <t>OT-2026-0137</t>
        </is>
      </c>
      <c r="B992" s="75" t="n">
        <v>46083.48958333334</v>
      </c>
      <c r="C992" s="7" t="inlineStr">
        <is>
          <t>Plan préventif</t>
        </is>
      </c>
      <c r="D992" s="7" t="inlineStr">
        <is>
          <t>EQ-PEI-001</t>
        </is>
      </c>
      <c r="E992" s="9">
        <f>IF(D992="","",IFERROR(INDEX('Équipements'!$B$5:$B$304,MATCH(D992,'Équipements'!$A$5:$A$304,0)),"Code inconnu"))</f>
        <v/>
      </c>
      <c r="F992" s="9">
        <f>IF(D992="","",IFERROR(INDEX('Équipements'!$D$5:$D$304,MATCH(D992,'Équipements'!$A$5:$A$304,0)),""))</f>
        <v/>
      </c>
      <c r="G992" s="9">
        <f>IF(D992="","",IFERROR(INDEX('Équipements'!$K$5:$K$304,MATCH(D992,'Équipements'!$A$5:$A$304,0)),""))</f>
        <v/>
      </c>
      <c r="H992" s="7" t="inlineStr">
        <is>
          <t>Préventif systématique</t>
        </is>
      </c>
      <c r="I992" s="7" t="inlineStr">
        <is>
          <t>GP-066</t>
        </is>
      </c>
      <c r="J992" s="7" t="inlineStr">
        <is>
          <t>Mécanique</t>
        </is>
      </c>
      <c r="K992" s="7" t="inlineStr">
        <is>
          <t>P3 - Normale</t>
        </is>
      </c>
      <c r="L992" s="7" t="inlineStr">
        <is>
          <t>Nettoyage et remplacement des filtres</t>
        </is>
      </c>
      <c r="M992" s="7" t="n"/>
      <c r="N992" s="7" t="inlineStr">
        <is>
          <t>Gamme réalisée - RAS</t>
        </is>
      </c>
      <c r="O992" s="7" t="inlineStr">
        <is>
          <t>Lucas Fontaine</t>
        </is>
      </c>
      <c r="P992" s="65" t="n">
        <v>46090.39583333334</v>
      </c>
      <c r="Q992" s="75" t="n">
        <v>46090.28125</v>
      </c>
      <c r="R992" s="75" t="n">
        <v>46090.39583333334</v>
      </c>
      <c r="S992" s="76" t="n">
        <v>0</v>
      </c>
      <c r="T992" s="76" t="n">
        <v>2.75</v>
      </c>
      <c r="U992" s="70">
        <f>IF($A992="","",IFERROR(INDEX('Techniciens'!$F$5:$F$44,MATCH(O992,'Techniciens'!$B$5:$B$44,0)),'Paramètres'!$AA$10))</f>
        <v/>
      </c>
      <c r="V992" s="70">
        <f>IF($A992="","",IF(OR(AC992="Demandé",AC992="Planifié",AC992="Annulé"),0,N(T992)*N(U992)))</f>
        <v/>
      </c>
      <c r="W992" s="70">
        <f>IF($A992="","",SUMIFS('Mouvements stock'!$H$5:$H$3004,'Mouvements stock'!$I$5:$I$3004,$A992,'Mouvements stock'!$C$5:$C$3004,"Sortie")-SUMIFS('Mouvements stock'!$H$5:$H$3004,'Mouvements stock'!$I$5:$I$3004,$A992,'Mouvements stock'!$C$5:$C$3004,"Retour"))</f>
        <v/>
      </c>
      <c r="X992" s="66" t="n">
        <v>0</v>
      </c>
      <c r="Y992" s="66" t="n">
        <v>0</v>
      </c>
      <c r="Z992" s="7" t="n"/>
      <c r="AA992" s="70">
        <f>IF($A992="","",N(V992)+N(W992)+N(X992)+N(Y992))</f>
        <v/>
      </c>
      <c r="AB992" s="70">
        <f>IF($A992="","",N(S992)*'Paramètres'!$AA$9*IFERROR(INDEX('Paramètres'!$O$5:$O$7,MATCH(G992,'Paramètres'!$N$5:$N$7,0)),0))</f>
        <v/>
      </c>
      <c r="AC992" s="7" t="inlineStr">
        <is>
          <t>Clôturé</t>
        </is>
      </c>
      <c r="AD992" s="69">
        <f>IF(OR($A992="",Q992=""),"",(Q992-B992)*24)</f>
        <v/>
      </c>
      <c r="AE992" s="69">
        <f>IF(OR(Q992="",R992=""),"",(R992-Q992)*24)</f>
        <v/>
      </c>
      <c r="AF992" s="77">
        <f>IF(OR($A992="",B992=""),"",YEAR(B992))</f>
        <v/>
      </c>
      <c r="AG992" s="77">
        <f>IF(OR($A992="",B992=""),"",MONTH(B992))</f>
        <v/>
      </c>
    </row>
    <row r="993">
      <c r="A993" s="7" t="inlineStr">
        <is>
          <t>OT-2026-0138</t>
        </is>
      </c>
      <c r="B993" s="75" t="n">
        <v>46084.45138888889</v>
      </c>
      <c r="C993" s="7" t="inlineStr">
        <is>
          <t>Plan préventif</t>
        </is>
      </c>
      <c r="D993" s="7" t="inlineStr">
        <is>
          <t>EQ-TOL-007</t>
        </is>
      </c>
      <c r="E993" s="9">
        <f>IF(D993="","",IFERROR(INDEX('Équipements'!$B$5:$B$304,MATCH(D993,'Équipements'!$A$5:$A$304,0)),"Code inconnu"))</f>
        <v/>
      </c>
      <c r="F993" s="9">
        <f>IF(D993="","",IFERROR(INDEX('Équipements'!$D$5:$D$304,MATCH(D993,'Équipements'!$A$5:$A$304,0)),""))</f>
        <v/>
      </c>
      <c r="G993" s="9">
        <f>IF(D993="","",IFERROR(INDEX('Équipements'!$K$5:$K$304,MATCH(D993,'Équipements'!$A$5:$A$304,0)),""))</f>
        <v/>
      </c>
      <c r="H993" s="7" t="inlineStr">
        <is>
          <t>Préventif systématique</t>
        </is>
      </c>
      <c r="I993" s="7" t="inlineStr">
        <is>
          <t>GP-056</t>
        </is>
      </c>
      <c r="J993" s="7" t="inlineStr">
        <is>
          <t>Mécanique</t>
        </is>
      </c>
      <c r="K993" s="7" t="inlineStr">
        <is>
          <t>P3 - Normale</t>
        </is>
      </c>
      <c r="L993" s="7" t="inlineStr">
        <is>
          <t>Graissage chaîne / galets et contrôle tension</t>
        </is>
      </c>
      <c r="M993" s="7" t="n"/>
      <c r="N993" s="7" t="inlineStr">
        <is>
          <t>Gamme réalisée - RAS</t>
        </is>
      </c>
      <c r="O993" s="7" t="inlineStr">
        <is>
          <t>Antoine Mercier</t>
        </is>
      </c>
      <c r="P993" s="65" t="n">
        <v>46091.44791666666</v>
      </c>
      <c r="Q993" s="75" t="n">
        <v>46091.34375</v>
      </c>
      <c r="R993" s="75" t="n">
        <v>46091.45833333334</v>
      </c>
      <c r="S993" s="76" t="n">
        <v>0</v>
      </c>
      <c r="T993" s="76" t="n">
        <v>2.75</v>
      </c>
      <c r="U993" s="70">
        <f>IF($A993="","",IFERROR(INDEX('Techniciens'!$F$5:$F$44,MATCH(O993,'Techniciens'!$B$5:$B$44,0)),'Paramètres'!$AA$10))</f>
        <v/>
      </c>
      <c r="V993" s="70">
        <f>IF($A993="","",IF(OR(AC993="Demandé",AC993="Planifié",AC993="Annulé"),0,N(T993)*N(U993)))</f>
        <v/>
      </c>
      <c r="W993" s="70">
        <f>IF($A993="","",SUMIFS('Mouvements stock'!$H$5:$H$3004,'Mouvements stock'!$I$5:$I$3004,$A993,'Mouvements stock'!$C$5:$C$3004,"Sortie")-SUMIFS('Mouvements stock'!$H$5:$H$3004,'Mouvements stock'!$I$5:$I$3004,$A993,'Mouvements stock'!$C$5:$C$3004,"Retour"))</f>
        <v/>
      </c>
      <c r="X993" s="66" t="n">
        <v>0</v>
      </c>
      <c r="Y993" s="66" t="n">
        <v>0</v>
      </c>
      <c r="Z993" s="7" t="n"/>
      <c r="AA993" s="70">
        <f>IF($A993="","",N(V993)+N(W993)+N(X993)+N(Y993))</f>
        <v/>
      </c>
      <c r="AB993" s="70">
        <f>IF($A993="","",N(S993)*'Paramètres'!$AA$9*IFERROR(INDEX('Paramètres'!$O$5:$O$7,MATCH(G993,'Paramètres'!$N$5:$N$7,0)),0))</f>
        <v/>
      </c>
      <c r="AC993" s="7" t="inlineStr">
        <is>
          <t>Clôturé</t>
        </is>
      </c>
      <c r="AD993" s="69">
        <f>IF(OR($A993="",Q993=""),"",(Q993-B993)*24)</f>
        <v/>
      </c>
      <c r="AE993" s="69">
        <f>IF(OR(Q993="",R993=""),"",(R993-Q993)*24)</f>
        <v/>
      </c>
      <c r="AF993" s="77">
        <f>IF(OR($A993="",B993=""),"",YEAR(B993))</f>
        <v/>
      </c>
      <c r="AG993" s="77">
        <f>IF(OR($A993="",B993=""),"",MONTH(B993))</f>
        <v/>
      </c>
    </row>
    <row r="994">
      <c r="A994" s="7" t="inlineStr">
        <is>
          <t>OT-2026-0139</t>
        </is>
      </c>
      <c r="B994" s="75" t="n">
        <v>46084.47916666666</v>
      </c>
      <c r="C994" s="7" t="inlineStr">
        <is>
          <t>Plan préventif</t>
        </is>
      </c>
      <c r="D994" s="7" t="inlineStr">
        <is>
          <t>EQ-PEI-002</t>
        </is>
      </c>
      <c r="E994" s="9">
        <f>IF(D994="","",IFERROR(INDEX('Équipements'!$B$5:$B$304,MATCH(D994,'Équipements'!$A$5:$A$304,0)),"Code inconnu"))</f>
        <v/>
      </c>
      <c r="F994" s="9">
        <f>IF(D994="","",IFERROR(INDEX('Équipements'!$D$5:$D$304,MATCH(D994,'Équipements'!$A$5:$A$304,0)),""))</f>
        <v/>
      </c>
      <c r="G994" s="9">
        <f>IF(D994="","",IFERROR(INDEX('Équipements'!$K$5:$K$304,MATCH(D994,'Équipements'!$A$5:$A$304,0)),""))</f>
        <v/>
      </c>
      <c r="H994" s="7" t="inlineStr">
        <is>
          <t>Préventif systématique</t>
        </is>
      </c>
      <c r="I994" s="7" t="inlineStr">
        <is>
          <t>GP-068</t>
        </is>
      </c>
      <c r="J994" s="7" t="inlineStr">
        <is>
          <t>Mécanique</t>
        </is>
      </c>
      <c r="K994" s="7" t="inlineStr">
        <is>
          <t>P3 - Normale</t>
        </is>
      </c>
      <c r="L994" s="7" t="inlineStr">
        <is>
          <t>Nettoyage et remplacement des filtres</t>
        </is>
      </c>
      <c r="M994" s="7" t="n"/>
      <c r="N994" s="7" t="inlineStr">
        <is>
          <t>Gamme réalisée - usure constatée, à surveiller</t>
        </is>
      </c>
      <c r="O994" s="7" t="inlineStr">
        <is>
          <t>Karim Benali</t>
        </is>
      </c>
      <c r="P994" s="65" t="n">
        <v>46091.69097222222</v>
      </c>
      <c r="Q994" s="75" t="n">
        <v>46091.42708333334</v>
      </c>
      <c r="R994" s="75" t="n">
        <v>46091.55208333334</v>
      </c>
      <c r="S994" s="76" t="n">
        <v>1.5</v>
      </c>
      <c r="T994" s="76" t="n">
        <v>3</v>
      </c>
      <c r="U994" s="70">
        <f>IF($A994="","",IFERROR(INDEX('Techniciens'!$F$5:$F$44,MATCH(O994,'Techniciens'!$B$5:$B$44,0)),'Paramètres'!$AA$10))</f>
        <v/>
      </c>
      <c r="V994" s="70">
        <f>IF($A994="","",IF(OR(AC994="Demandé",AC994="Planifié",AC994="Annulé"),0,N(T994)*N(U994)))</f>
        <v/>
      </c>
      <c r="W994" s="70">
        <f>IF($A994="","",SUMIFS('Mouvements stock'!$H$5:$H$3004,'Mouvements stock'!$I$5:$I$3004,$A994,'Mouvements stock'!$C$5:$C$3004,"Sortie")-SUMIFS('Mouvements stock'!$H$5:$H$3004,'Mouvements stock'!$I$5:$I$3004,$A994,'Mouvements stock'!$C$5:$C$3004,"Retour"))</f>
        <v/>
      </c>
      <c r="X994" s="66" t="n">
        <v>0</v>
      </c>
      <c r="Y994" s="66" t="n">
        <v>0</v>
      </c>
      <c r="Z994" s="7" t="n"/>
      <c r="AA994" s="70">
        <f>IF($A994="","",N(V994)+N(W994)+N(X994)+N(Y994))</f>
        <v/>
      </c>
      <c r="AB994" s="70">
        <f>IF($A994="","",N(S994)*'Paramètres'!$AA$9*IFERROR(INDEX('Paramètres'!$O$5:$O$7,MATCH(G994,'Paramètres'!$N$5:$N$7,0)),0))</f>
        <v/>
      </c>
      <c r="AC994" s="7" t="inlineStr">
        <is>
          <t>Clôturé</t>
        </is>
      </c>
      <c r="AD994" s="69">
        <f>IF(OR($A994="",Q994=""),"",(Q994-B994)*24)</f>
        <v/>
      </c>
      <c r="AE994" s="69">
        <f>IF(OR(Q994="",R994=""),"",(R994-Q994)*24)</f>
        <v/>
      </c>
      <c r="AF994" s="77">
        <f>IF(OR($A994="",B994=""),"",YEAR(B994))</f>
        <v/>
      </c>
      <c r="AG994" s="77">
        <f>IF(OR($A994="",B994=""),"",MONTH(B994))</f>
        <v/>
      </c>
    </row>
    <row r="995">
      <c r="A995" s="7" t="inlineStr">
        <is>
          <t>OT-2026-0140</t>
        </is>
      </c>
      <c r="B995" s="75" t="n">
        <v>46085.42361111111</v>
      </c>
      <c r="C995" s="7" t="inlineStr">
        <is>
          <t>Plan préventif</t>
        </is>
      </c>
      <c r="D995" s="7" t="inlineStr">
        <is>
          <t>EQ-USI-001</t>
        </is>
      </c>
      <c r="E995" s="9">
        <f>IF(D995="","",IFERROR(INDEX('Équipements'!$B$5:$B$304,MATCH(D995,'Équipements'!$A$5:$A$304,0)),"Code inconnu"))</f>
        <v/>
      </c>
      <c r="F995" s="9">
        <f>IF(D995="","",IFERROR(INDEX('Équipements'!$D$5:$D$304,MATCH(D995,'Équipements'!$A$5:$A$304,0)),""))</f>
        <v/>
      </c>
      <c r="G995" s="9">
        <f>IF(D995="","",IFERROR(INDEX('Équipements'!$K$5:$K$304,MATCH(D995,'Équipements'!$A$5:$A$304,0)),""))</f>
        <v/>
      </c>
      <c r="H995" s="7" t="inlineStr">
        <is>
          <t>Préventif systématique</t>
        </is>
      </c>
      <c r="I995" s="7" t="inlineStr">
        <is>
          <t>GP-001</t>
        </is>
      </c>
      <c r="J995" s="7" t="inlineStr">
        <is>
          <t>Mécanique</t>
        </is>
      </c>
      <c r="K995" s="7" t="inlineStr">
        <is>
          <t>P3 - Normale</t>
        </is>
      </c>
      <c r="L995" s="7" t="inlineStr">
        <is>
          <t>Contrôle niveaux, nettoyage filtres et bac à copeaux</t>
        </is>
      </c>
      <c r="M995" s="7" t="n"/>
      <c r="N995" s="7" t="inlineStr">
        <is>
          <t>Gamme réalisée - RAS</t>
        </is>
      </c>
      <c r="O995" s="7" t="inlineStr">
        <is>
          <t>Antoine Mercier</t>
        </is>
      </c>
      <c r="P995" s="65" t="n">
        <v>46092.67708333334</v>
      </c>
      <c r="Q995" s="75" t="n">
        <v>46092.33333333334</v>
      </c>
      <c r="R995" s="75" t="n">
        <v>46092.41666666666</v>
      </c>
      <c r="S995" s="76" t="n">
        <v>1</v>
      </c>
      <c r="T995" s="76" t="n">
        <v>2</v>
      </c>
      <c r="U995" s="70">
        <f>IF($A995="","",IFERROR(INDEX('Techniciens'!$F$5:$F$44,MATCH(O995,'Techniciens'!$B$5:$B$44,0)),'Paramètres'!$AA$10))</f>
        <v/>
      </c>
      <c r="V995" s="70">
        <f>IF($A995="","",IF(OR(AC995="Demandé",AC995="Planifié",AC995="Annulé"),0,N(T995)*N(U995)))</f>
        <v/>
      </c>
      <c r="W995" s="70">
        <f>IF($A995="","",SUMIFS('Mouvements stock'!$H$5:$H$3004,'Mouvements stock'!$I$5:$I$3004,$A995,'Mouvements stock'!$C$5:$C$3004,"Sortie")-SUMIFS('Mouvements stock'!$H$5:$H$3004,'Mouvements stock'!$I$5:$I$3004,$A995,'Mouvements stock'!$C$5:$C$3004,"Retour"))</f>
        <v/>
      </c>
      <c r="X995" s="66" t="n">
        <v>0</v>
      </c>
      <c r="Y995" s="66" t="n">
        <v>0</v>
      </c>
      <c r="Z995" s="7" t="n"/>
      <c r="AA995" s="70">
        <f>IF($A995="","",N(V995)+N(W995)+N(X995)+N(Y995))</f>
        <v/>
      </c>
      <c r="AB995" s="70">
        <f>IF($A995="","",N(S995)*'Paramètres'!$AA$9*IFERROR(INDEX('Paramètres'!$O$5:$O$7,MATCH(G995,'Paramètres'!$N$5:$N$7,0)),0))</f>
        <v/>
      </c>
      <c r="AC995" s="7" t="inlineStr">
        <is>
          <t>Clôturé</t>
        </is>
      </c>
      <c r="AD995" s="69">
        <f>IF(OR($A995="",Q995=""),"",(Q995-B995)*24)</f>
        <v/>
      </c>
      <c r="AE995" s="69">
        <f>IF(OR(Q995="",R995=""),"",(R995-Q995)*24)</f>
        <v/>
      </c>
      <c r="AF995" s="77">
        <f>IF(OR($A995="",B995=""),"",YEAR(B995))</f>
        <v/>
      </c>
      <c r="AG995" s="77">
        <f>IF(OR($A995="",B995=""),"",MONTH(B995))</f>
        <v/>
      </c>
    </row>
    <row r="996">
      <c r="A996" s="7" t="inlineStr">
        <is>
          <t>OT-2026-0141</t>
        </is>
      </c>
      <c r="B996" s="75" t="n">
        <v>46085.52222222222</v>
      </c>
      <c r="C996" s="7" t="inlineStr">
        <is>
          <t>Opérateur usinage</t>
        </is>
      </c>
      <c r="D996" s="7" t="inlineStr">
        <is>
          <t>EQ-USI-002</t>
        </is>
      </c>
      <c r="E996" s="9">
        <f>IF(D996="","",IFERROR(INDEX('Équipements'!$B$5:$B$304,MATCH(D996,'Équipements'!$A$5:$A$304,0)),"Code inconnu"))</f>
        <v/>
      </c>
      <c r="F996" s="9">
        <f>IF(D996="","",IFERROR(INDEX('Équipements'!$D$5:$D$304,MATCH(D996,'Équipements'!$A$5:$A$304,0)),""))</f>
        <v/>
      </c>
      <c r="G996" s="9">
        <f>IF(D996="","",IFERROR(INDEX('Équipements'!$K$5:$K$304,MATCH(D996,'Équipements'!$A$5:$A$304,0)),""))</f>
        <v/>
      </c>
      <c r="H996" s="7" t="inlineStr">
        <is>
          <t>Correctif</t>
        </is>
      </c>
      <c r="I996" s="7" t="n"/>
      <c r="J996" s="7" t="inlineStr">
        <is>
          <t>Électrique</t>
        </is>
      </c>
      <c r="K996" s="7" t="inlineStr">
        <is>
          <t>P1 - Urgent</t>
        </is>
      </c>
      <c r="L996" s="7" t="inlineStr">
        <is>
          <t>Arrêt d'urgence intempestif</t>
        </is>
      </c>
      <c r="M996" s="7" t="inlineStr">
        <is>
          <t>Défaut électrique</t>
        </is>
      </c>
      <c r="N996" s="7" t="inlineStr">
        <is>
          <t>Recherche de panne, remplacement relais de sécurité</t>
        </is>
      </c>
      <c r="O996" s="7" t="inlineStr">
        <is>
          <t>Antoine Mercier</t>
        </is>
      </c>
      <c r="P996" s="65" t="n"/>
      <c r="Q996" s="75" t="n">
        <v>46085.54375</v>
      </c>
      <c r="R996" s="75" t="n">
        <v>46085.84583333333</v>
      </c>
      <c r="S996" s="76" t="n">
        <v>7.8</v>
      </c>
      <c r="T996" s="76" t="n">
        <v>7.25</v>
      </c>
      <c r="U996" s="70">
        <f>IF($A996="","",IFERROR(INDEX('Techniciens'!$F$5:$F$44,MATCH(O996,'Techniciens'!$B$5:$B$44,0)),'Paramètres'!$AA$10))</f>
        <v/>
      </c>
      <c r="V996" s="70">
        <f>IF($A996="","",IF(OR(AC996="Demandé",AC996="Planifié",AC996="Annulé"),0,N(T996)*N(U996)))</f>
        <v/>
      </c>
      <c r="W996" s="70">
        <f>IF($A996="","",SUMIFS('Mouvements stock'!$H$5:$H$3004,'Mouvements stock'!$I$5:$I$3004,$A996,'Mouvements stock'!$C$5:$C$3004,"Sortie")-SUMIFS('Mouvements stock'!$H$5:$H$3004,'Mouvements stock'!$I$5:$I$3004,$A996,'Mouvements stock'!$C$5:$C$3004,"Retour"))</f>
        <v/>
      </c>
      <c r="X996" s="66" t="n">
        <v>230</v>
      </c>
      <c r="Y996" s="66" t="n">
        <v>0</v>
      </c>
      <c r="Z996" s="7" t="n"/>
      <c r="AA996" s="70">
        <f>IF($A996="","",N(V996)+N(W996)+N(X996)+N(Y996))</f>
        <v/>
      </c>
      <c r="AB996" s="70">
        <f>IF($A996="","",N(S996)*'Paramètres'!$AA$9*IFERROR(INDEX('Paramètres'!$O$5:$O$7,MATCH(G996,'Paramètres'!$N$5:$N$7,0)),0))</f>
        <v/>
      </c>
      <c r="AC996" s="7" t="inlineStr">
        <is>
          <t>Clôturé</t>
        </is>
      </c>
      <c r="AD996" s="69">
        <f>IF(OR($A996="",Q996=""),"",(Q996-B996)*24)</f>
        <v/>
      </c>
      <c r="AE996" s="69">
        <f>IF(OR(Q996="",R996=""),"",(R996-Q996)*24)</f>
        <v/>
      </c>
      <c r="AF996" s="77">
        <f>IF(OR($A996="",B996=""),"",YEAR(B996))</f>
        <v/>
      </c>
      <c r="AG996" s="77">
        <f>IF(OR($A996="",B996=""),"",MONTH(B996))</f>
        <v/>
      </c>
    </row>
    <row r="997">
      <c r="A997" s="7" t="inlineStr">
        <is>
          <t>OT-2026-0142</t>
        </is>
      </c>
      <c r="B997" s="75" t="n">
        <v>46086.34722222222</v>
      </c>
      <c r="C997" s="7" t="inlineStr">
        <is>
          <t>Plan préventif</t>
        </is>
      </c>
      <c r="D997" s="7" t="inlineStr">
        <is>
          <t>EQ-UTI-002</t>
        </is>
      </c>
      <c r="E997" s="9">
        <f>IF(D997="","",IFERROR(INDEX('Équipements'!$B$5:$B$304,MATCH(D997,'Équipements'!$A$5:$A$304,0)),"Code inconnu"))</f>
        <v/>
      </c>
      <c r="F997" s="9">
        <f>IF(D997="","",IFERROR(INDEX('Équipements'!$D$5:$D$304,MATCH(D997,'Équipements'!$A$5:$A$304,0)),""))</f>
        <v/>
      </c>
      <c r="G997" s="9">
        <f>IF(D997="","",IFERROR(INDEX('Équipements'!$K$5:$K$304,MATCH(D997,'Équipements'!$A$5:$A$304,0)),""))</f>
        <v/>
      </c>
      <c r="H997" s="7" t="inlineStr">
        <is>
          <t>Préventif conditionnel</t>
        </is>
      </c>
      <c r="I997" s="7" t="inlineStr">
        <is>
          <t>GP-089</t>
        </is>
      </c>
      <c r="J997" s="7" t="inlineStr">
        <is>
          <t>Mécanique</t>
        </is>
      </c>
      <c r="K997" s="7" t="inlineStr">
        <is>
          <t>P3 - Normale</t>
        </is>
      </c>
      <c r="L997" s="7" t="inlineStr">
        <is>
          <t>Entretien 2000 h : filtres air/huile, séparateur</t>
        </is>
      </c>
      <c r="M997" s="7" t="n"/>
      <c r="N997" s="7" t="inlineStr">
        <is>
          <t>Gamme réalisée - serrages repris</t>
        </is>
      </c>
      <c r="O997" s="7" t="inlineStr">
        <is>
          <t>Antoine Mercier</t>
        </is>
      </c>
      <c r="P997" s="65" t="n">
        <v>46093.44791666666</v>
      </c>
      <c r="Q997" s="75" t="n">
        <v>46093.34027777778</v>
      </c>
      <c r="R997" s="75" t="n">
        <v>46093.51736111111</v>
      </c>
      <c r="S997" s="76" t="n">
        <v>0</v>
      </c>
      <c r="T997" s="76" t="n">
        <v>4.25</v>
      </c>
      <c r="U997" s="70">
        <f>IF($A997="","",IFERROR(INDEX('Techniciens'!$F$5:$F$44,MATCH(O997,'Techniciens'!$B$5:$B$44,0)),'Paramètres'!$AA$10))</f>
        <v/>
      </c>
      <c r="V997" s="70">
        <f>IF($A997="","",IF(OR(AC997="Demandé",AC997="Planifié",AC997="Annulé"),0,N(T997)*N(U997)))</f>
        <v/>
      </c>
      <c r="W997" s="70">
        <f>IF($A997="","",SUMIFS('Mouvements stock'!$H$5:$H$3004,'Mouvements stock'!$I$5:$I$3004,$A997,'Mouvements stock'!$C$5:$C$3004,"Sortie")-SUMIFS('Mouvements stock'!$H$5:$H$3004,'Mouvements stock'!$I$5:$I$3004,$A997,'Mouvements stock'!$C$5:$C$3004,"Retour"))</f>
        <v/>
      </c>
      <c r="X997" s="66" t="n">
        <v>0</v>
      </c>
      <c r="Y997" s="66" t="n">
        <v>0</v>
      </c>
      <c r="Z997" s="7" t="n"/>
      <c r="AA997" s="70">
        <f>IF($A997="","",N(V997)+N(W997)+N(X997)+N(Y997))</f>
        <v/>
      </c>
      <c r="AB997" s="70">
        <f>IF($A997="","",N(S997)*'Paramètres'!$AA$9*IFERROR(INDEX('Paramètres'!$O$5:$O$7,MATCH(G997,'Paramètres'!$N$5:$N$7,0)),0))</f>
        <v/>
      </c>
      <c r="AC997" s="7" t="inlineStr">
        <is>
          <t>Clôturé</t>
        </is>
      </c>
      <c r="AD997" s="69">
        <f>IF(OR($A997="",Q997=""),"",(Q997-B997)*24)</f>
        <v/>
      </c>
      <c r="AE997" s="69">
        <f>IF(OR(Q997="",R997=""),"",(R997-Q997)*24)</f>
        <v/>
      </c>
      <c r="AF997" s="77">
        <f>IF(OR($A997="",B997=""),"",YEAR(B997))</f>
        <v/>
      </c>
      <c r="AG997" s="77">
        <f>IF(OR($A997="",B997=""),"",MONTH(B997))</f>
        <v/>
      </c>
    </row>
    <row r="998">
      <c r="A998" s="7" t="inlineStr">
        <is>
          <t>OT-2026-0143</t>
        </is>
      </c>
      <c r="B998" s="75" t="n">
        <v>46086.69583333333</v>
      </c>
      <c r="C998" s="7" t="inlineStr">
        <is>
          <t>Opérateur usinage</t>
        </is>
      </c>
      <c r="D998" s="7" t="inlineStr">
        <is>
          <t>EQ-USI-004</t>
        </is>
      </c>
      <c r="E998" s="9">
        <f>IF(D998="","",IFERROR(INDEX('Équipements'!$B$5:$B$304,MATCH(D998,'Équipements'!$A$5:$A$304,0)),"Code inconnu"))</f>
        <v/>
      </c>
      <c r="F998" s="9">
        <f>IF(D998="","",IFERROR(INDEX('Équipements'!$D$5:$D$304,MATCH(D998,'Équipements'!$A$5:$A$304,0)),""))</f>
        <v/>
      </c>
      <c r="G998" s="9">
        <f>IF(D998="","",IFERROR(INDEX('Équipements'!$K$5:$K$304,MATCH(D998,'Équipements'!$A$5:$A$304,0)),""))</f>
        <v/>
      </c>
      <c r="H998" s="7" t="inlineStr">
        <is>
          <t>Correctif</t>
        </is>
      </c>
      <c r="I998" s="7" t="n"/>
      <c r="J998" s="7" t="inlineStr">
        <is>
          <t>Électrique</t>
        </is>
      </c>
      <c r="K998" s="7" t="inlineStr">
        <is>
          <t>P2 - Haute</t>
        </is>
      </c>
      <c r="L998" s="7" t="inlineStr">
        <is>
          <t>Défaut ventilation armoire électrique</t>
        </is>
      </c>
      <c r="M998" s="7" t="inlineStr">
        <is>
          <t>Encrassement</t>
        </is>
      </c>
      <c r="N998" s="7" t="inlineStr">
        <is>
          <t>Nettoyage et remplacement ventilateur d'armoire</t>
        </is>
      </c>
      <c r="O998" s="7" t="inlineStr">
        <is>
          <t>Thomas Petit</t>
        </is>
      </c>
      <c r="P998" s="65" t="n"/>
      <c r="Q998" s="75" t="n">
        <v>46086.85972222222</v>
      </c>
      <c r="R998" s="75" t="n">
        <v>46087.00555555556</v>
      </c>
      <c r="S998" s="76" t="n">
        <v>0</v>
      </c>
      <c r="T998" s="76" t="n">
        <v>3.5</v>
      </c>
      <c r="U998" s="70">
        <f>IF($A998="","",IFERROR(INDEX('Techniciens'!$F$5:$F$44,MATCH(O998,'Techniciens'!$B$5:$B$44,0)),'Paramètres'!$AA$10))</f>
        <v/>
      </c>
      <c r="V998" s="70">
        <f>IF($A998="","",IF(OR(AC998="Demandé",AC998="Planifié",AC998="Annulé"),0,N(T998)*N(U998)))</f>
        <v/>
      </c>
      <c r="W998" s="70">
        <f>IF($A998="","",SUMIFS('Mouvements stock'!$H$5:$H$3004,'Mouvements stock'!$I$5:$I$3004,$A998,'Mouvements stock'!$C$5:$C$3004,"Sortie")-SUMIFS('Mouvements stock'!$H$5:$H$3004,'Mouvements stock'!$I$5:$I$3004,$A998,'Mouvements stock'!$C$5:$C$3004,"Retour"))</f>
        <v/>
      </c>
      <c r="X998" s="66" t="n">
        <v>848</v>
      </c>
      <c r="Y998" s="66" t="n">
        <v>0</v>
      </c>
      <c r="Z998" s="7" t="n"/>
      <c r="AA998" s="70">
        <f>IF($A998="","",N(V998)+N(W998)+N(X998)+N(Y998))</f>
        <v/>
      </c>
      <c r="AB998" s="70">
        <f>IF($A998="","",N(S998)*'Paramètres'!$AA$9*IFERROR(INDEX('Paramètres'!$O$5:$O$7,MATCH(G998,'Paramètres'!$N$5:$N$7,0)),0))</f>
        <v/>
      </c>
      <c r="AC998" s="7" t="inlineStr">
        <is>
          <t>Clôturé</t>
        </is>
      </c>
      <c r="AD998" s="69">
        <f>IF(OR($A998="",Q998=""),"",(Q998-B998)*24)</f>
        <v/>
      </c>
      <c r="AE998" s="69">
        <f>IF(OR(Q998="",R998=""),"",(R998-Q998)*24)</f>
        <v/>
      </c>
      <c r="AF998" s="77">
        <f>IF(OR($A998="",B998=""),"",YEAR(B998))</f>
        <v/>
      </c>
      <c r="AG998" s="77">
        <f>IF(OR($A998="",B998=""),"",MONTH(B998))</f>
        <v/>
      </c>
    </row>
    <row r="999">
      <c r="A999" s="7" t="inlineStr">
        <is>
          <t>OT-2026-0144</t>
        </is>
      </c>
      <c r="B999" s="75" t="n">
        <v>46087.43055555555</v>
      </c>
      <c r="C999" s="7" t="inlineStr">
        <is>
          <t>Plan préventif</t>
        </is>
      </c>
      <c r="D999" s="7" t="inlineStr">
        <is>
          <t>EQ-USI-006</t>
        </is>
      </c>
      <c r="E999" s="9">
        <f>IF(D999="","",IFERROR(INDEX('Équipements'!$B$5:$B$304,MATCH(D999,'Équipements'!$A$5:$A$304,0)),"Code inconnu"))</f>
        <v/>
      </c>
      <c r="F999" s="9">
        <f>IF(D999="","",IFERROR(INDEX('Équipements'!$D$5:$D$304,MATCH(D999,'Équipements'!$A$5:$A$304,0)),""))</f>
        <v/>
      </c>
      <c r="G999" s="9">
        <f>IF(D999="","",IFERROR(INDEX('Équipements'!$K$5:$K$304,MATCH(D999,'Équipements'!$A$5:$A$304,0)),""))</f>
        <v/>
      </c>
      <c r="H999" s="7" t="inlineStr">
        <is>
          <t>Préventif systématique</t>
        </is>
      </c>
      <c r="I999" s="7" t="inlineStr">
        <is>
          <t>GP-021</t>
        </is>
      </c>
      <c r="J999" s="7" t="inlineStr">
        <is>
          <t>Mécanique</t>
        </is>
      </c>
      <c r="K999" s="7" t="inlineStr">
        <is>
          <t>P3 - Normale</t>
        </is>
      </c>
      <c r="L999" s="7" t="inlineStr">
        <is>
          <t>Contrôle niveaux, nettoyage filtres et bac à copeaux</t>
        </is>
      </c>
      <c r="M999" s="7" t="n"/>
      <c r="N999" s="7" t="inlineStr">
        <is>
          <t>Gamme réalisée - RAS</t>
        </is>
      </c>
      <c r="O999" s="7" t="inlineStr">
        <is>
          <t>Lucas Fontaine</t>
        </is>
      </c>
      <c r="P999" s="65" t="n">
        <v>46094.40972222222</v>
      </c>
      <c r="Q999" s="75" t="n">
        <v>46094.41666666666</v>
      </c>
      <c r="R999" s="75" t="n">
        <v>46094.48958333334</v>
      </c>
      <c r="S999" s="76" t="n">
        <v>0.9</v>
      </c>
      <c r="T999" s="76" t="n">
        <v>1.75</v>
      </c>
      <c r="U999" s="70">
        <f>IF($A999="","",IFERROR(INDEX('Techniciens'!$F$5:$F$44,MATCH(O999,'Techniciens'!$B$5:$B$44,0)),'Paramètres'!$AA$10))</f>
        <v/>
      </c>
      <c r="V999" s="70">
        <f>IF($A999="","",IF(OR(AC999="Demandé",AC999="Planifié",AC999="Annulé"),0,N(T999)*N(U999)))</f>
        <v/>
      </c>
      <c r="W999" s="70">
        <f>IF($A999="","",SUMIFS('Mouvements stock'!$H$5:$H$3004,'Mouvements stock'!$I$5:$I$3004,$A999,'Mouvements stock'!$C$5:$C$3004,"Sortie")-SUMIFS('Mouvements stock'!$H$5:$H$3004,'Mouvements stock'!$I$5:$I$3004,$A999,'Mouvements stock'!$C$5:$C$3004,"Retour"))</f>
        <v/>
      </c>
      <c r="X999" s="66" t="n">
        <v>0</v>
      </c>
      <c r="Y999" s="66" t="n">
        <v>0</v>
      </c>
      <c r="Z999" s="7" t="n"/>
      <c r="AA999" s="70">
        <f>IF($A999="","",N(V999)+N(W999)+N(X999)+N(Y999))</f>
        <v/>
      </c>
      <c r="AB999" s="70">
        <f>IF($A999="","",N(S999)*'Paramètres'!$AA$9*IFERROR(INDEX('Paramètres'!$O$5:$O$7,MATCH(G999,'Paramètres'!$N$5:$N$7,0)),0))</f>
        <v/>
      </c>
      <c r="AC999" s="7" t="inlineStr">
        <is>
          <t>Clôturé</t>
        </is>
      </c>
      <c r="AD999" s="69">
        <f>IF(OR($A999="",Q999=""),"",(Q999-B999)*24)</f>
        <v/>
      </c>
      <c r="AE999" s="69">
        <f>IF(OR(Q999="",R999=""),"",(R999-Q999)*24)</f>
        <v/>
      </c>
      <c r="AF999" s="77">
        <f>IF(OR($A999="",B999=""),"",YEAR(B999))</f>
        <v/>
      </c>
      <c r="AG999" s="77">
        <f>IF(OR($A999="",B999=""),"",MONTH(B999))</f>
        <v/>
      </c>
    </row>
    <row r="1000">
      <c r="A1000" s="7" t="inlineStr">
        <is>
          <t>OT-2026-0145</t>
        </is>
      </c>
      <c r="B1000" s="75" t="n">
        <v>46087.48958333334</v>
      </c>
      <c r="C1000" s="7" t="inlineStr">
        <is>
          <t>Plan préventif</t>
        </is>
      </c>
      <c r="D1000" s="7" t="inlineStr">
        <is>
          <t>EQ-USI-002</t>
        </is>
      </c>
      <c r="E1000" s="9">
        <f>IF(D1000="","",IFERROR(INDEX('Équipements'!$B$5:$B$304,MATCH(D1000,'Équipements'!$A$5:$A$304,0)),"Code inconnu"))</f>
        <v/>
      </c>
      <c r="F1000" s="9">
        <f>IF(D1000="","",IFERROR(INDEX('Équipements'!$D$5:$D$304,MATCH(D1000,'Équipements'!$A$5:$A$304,0)),""))</f>
        <v/>
      </c>
      <c r="G1000" s="9">
        <f>IF(D1000="","",IFERROR(INDEX('Équipements'!$K$5:$K$304,MATCH(D1000,'Équipements'!$A$5:$A$304,0)),""))</f>
        <v/>
      </c>
      <c r="H1000" s="7" t="inlineStr">
        <is>
          <t>Préventif systématique</t>
        </is>
      </c>
      <c r="I1000" s="7" t="inlineStr">
        <is>
          <t>GP-006</t>
        </is>
      </c>
      <c r="J1000" s="7" t="inlineStr">
        <is>
          <t>Mécanique</t>
        </is>
      </c>
      <c r="K1000" s="7" t="inlineStr">
        <is>
          <t>P3 - Normale</t>
        </is>
      </c>
      <c r="L1000" s="7" t="inlineStr">
        <is>
          <t>Contrôle géométrie, jeux et graissage des axes</t>
        </is>
      </c>
      <c r="M1000" s="7" t="n"/>
      <c r="N1000" s="7" t="inlineStr">
        <is>
          <t>Gamme réalisée - RAS</t>
        </is>
      </c>
      <c r="O1000" s="7" t="inlineStr">
        <is>
          <t>Karim Benali</t>
        </is>
      </c>
      <c r="P1000" s="65" t="n">
        <v>46094.71180555555</v>
      </c>
      <c r="Q1000" s="75" t="n">
        <v>46094.25694444445</v>
      </c>
      <c r="R1000" s="75" t="n">
        <v>46094.52777777778</v>
      </c>
      <c r="S1000" s="76" t="n">
        <v>0</v>
      </c>
      <c r="T1000" s="76" t="n">
        <v>6.5</v>
      </c>
      <c r="U1000" s="70">
        <f>IF($A1000="","",IFERROR(INDEX('Techniciens'!$F$5:$F$44,MATCH(O1000,'Techniciens'!$B$5:$B$44,0)),'Paramètres'!$AA$10))</f>
        <v/>
      </c>
      <c r="V1000" s="70">
        <f>IF($A1000="","",IF(OR(AC1000="Demandé",AC1000="Planifié",AC1000="Annulé"),0,N(T1000)*N(U1000)))</f>
        <v/>
      </c>
      <c r="W1000" s="70">
        <f>IF($A1000="","",SUMIFS('Mouvements stock'!$H$5:$H$3004,'Mouvements stock'!$I$5:$I$3004,$A1000,'Mouvements stock'!$C$5:$C$3004,"Sortie")-SUMIFS('Mouvements stock'!$H$5:$H$3004,'Mouvements stock'!$I$5:$I$3004,$A1000,'Mouvements stock'!$C$5:$C$3004,"Retour"))</f>
        <v/>
      </c>
      <c r="X1000" s="66" t="n">
        <v>0</v>
      </c>
      <c r="Y1000" s="66" t="n">
        <v>0</v>
      </c>
      <c r="Z1000" s="7" t="n"/>
      <c r="AA1000" s="70">
        <f>IF($A1000="","",N(V1000)+N(W1000)+N(X1000)+N(Y1000))</f>
        <v/>
      </c>
      <c r="AB1000" s="70">
        <f>IF($A1000="","",N(S1000)*'Paramètres'!$AA$9*IFERROR(INDEX('Paramètres'!$O$5:$O$7,MATCH(G1000,'Paramètres'!$N$5:$N$7,0)),0))</f>
        <v/>
      </c>
      <c r="AC1000" s="7" t="inlineStr">
        <is>
          <t>Clôturé</t>
        </is>
      </c>
      <c r="AD1000" s="69">
        <f>IF(OR($A1000="",Q1000=""),"",(Q1000-B1000)*24)</f>
        <v/>
      </c>
      <c r="AE1000" s="69">
        <f>IF(OR(Q1000="",R1000=""),"",(R1000-Q1000)*24)</f>
        <v/>
      </c>
      <c r="AF1000" s="77">
        <f>IF(OR($A1000="",B1000=""),"",YEAR(B1000))</f>
        <v/>
      </c>
      <c r="AG1000" s="77">
        <f>IF(OR($A1000="",B1000=""),"",MONTH(B1000))</f>
        <v/>
      </c>
    </row>
    <row r="1001">
      <c r="A1001" s="7" t="inlineStr">
        <is>
          <t>OT-2026-0146</t>
        </is>
      </c>
      <c r="B1001" s="75" t="n">
        <v>46090.26180555556</v>
      </c>
      <c r="C1001" s="7" t="inlineStr">
        <is>
          <t>Opérateur peinture</t>
        </is>
      </c>
      <c r="D1001" s="7" t="inlineStr">
        <is>
          <t>EQ-PEI-001</t>
        </is>
      </c>
      <c r="E1001" s="9">
        <f>IF(D1001="","",IFERROR(INDEX('Équipements'!$B$5:$B$304,MATCH(D1001,'Équipements'!$A$5:$A$304,0)),"Code inconnu"))</f>
        <v/>
      </c>
      <c r="F1001" s="9">
        <f>IF(D1001="","",IFERROR(INDEX('Équipements'!$D$5:$D$304,MATCH(D1001,'Équipements'!$A$5:$A$304,0)),""))</f>
        <v/>
      </c>
      <c r="G1001" s="9">
        <f>IF(D1001="","",IFERROR(INDEX('Équipements'!$K$5:$K$304,MATCH(D1001,'Équipements'!$A$5:$A$304,0)),""))</f>
        <v/>
      </c>
      <c r="H1001" s="7" t="inlineStr">
        <is>
          <t>Correctif</t>
        </is>
      </c>
      <c r="I1001" s="7" t="n"/>
      <c r="J1001" s="7" t="inlineStr">
        <is>
          <t>Électrique</t>
        </is>
      </c>
      <c r="K1001" s="7" t="inlineStr">
        <is>
          <t>P1 - Urgent</t>
        </is>
      </c>
      <c r="L1001" s="7" t="inlineStr">
        <is>
          <t>Brûleur en sécurité (défaut flamme)</t>
        </is>
      </c>
      <c r="M1001" s="7" t="inlineStr">
        <is>
          <t>Défaut capteur</t>
        </is>
      </c>
      <c r="N1001" s="7" t="inlineStr">
        <is>
          <t>Remplacement sonde, réglage brûleur</t>
        </is>
      </c>
      <c r="O1001" s="7" t="inlineStr">
        <is>
          <t>Thomas Petit</t>
        </is>
      </c>
      <c r="P1001" s="65" t="n"/>
      <c r="Q1001" s="75" t="n">
        <v>46090.28611111111</v>
      </c>
      <c r="R1001" s="75" t="n">
        <v>46090.59861111111</v>
      </c>
      <c r="S1001" s="76" t="n">
        <v>8.1</v>
      </c>
      <c r="T1001" s="76" t="n">
        <v>7.5</v>
      </c>
      <c r="U1001" s="70">
        <f>IF($A1001="","",IFERROR(INDEX('Techniciens'!$F$5:$F$44,MATCH(O1001,'Techniciens'!$B$5:$B$44,0)),'Paramètres'!$AA$10))</f>
        <v/>
      </c>
      <c r="V1001" s="70">
        <f>IF($A1001="","",IF(OR(AC1001="Demandé",AC1001="Planifié",AC1001="Annulé"),0,N(T1001)*N(U1001)))</f>
        <v/>
      </c>
      <c r="W1001" s="70">
        <f>IF($A1001="","",SUMIFS('Mouvements stock'!$H$5:$H$3004,'Mouvements stock'!$I$5:$I$3004,$A1001,'Mouvements stock'!$C$5:$C$3004,"Sortie")-SUMIFS('Mouvements stock'!$H$5:$H$3004,'Mouvements stock'!$I$5:$I$3004,$A1001,'Mouvements stock'!$C$5:$C$3004,"Retour"))</f>
        <v/>
      </c>
      <c r="X1001" s="66" t="n">
        <v>0</v>
      </c>
      <c r="Y1001" s="66" t="n">
        <v>1440</v>
      </c>
      <c r="Z1001" s="7" t="inlineStr">
        <is>
          <t>Surface Process Assistance</t>
        </is>
      </c>
      <c r="AA1001" s="70">
        <f>IF($A1001="","",N(V1001)+N(W1001)+N(X1001)+N(Y1001))</f>
        <v/>
      </c>
      <c r="AB1001" s="70">
        <f>IF($A1001="","",N(S1001)*'Paramètres'!$AA$9*IFERROR(INDEX('Paramètres'!$O$5:$O$7,MATCH(G1001,'Paramètres'!$N$5:$N$7,0)),0))</f>
        <v/>
      </c>
      <c r="AC1001" s="7" t="inlineStr">
        <is>
          <t>Clôturé</t>
        </is>
      </c>
      <c r="AD1001" s="69">
        <f>IF(OR($A1001="",Q1001=""),"",(Q1001-B1001)*24)</f>
        <v/>
      </c>
      <c r="AE1001" s="69">
        <f>IF(OR(Q1001="",R1001=""),"",(R1001-Q1001)*24)</f>
        <v/>
      </c>
      <c r="AF1001" s="77">
        <f>IF(OR($A1001="",B1001=""),"",YEAR(B1001))</f>
        <v/>
      </c>
      <c r="AG1001" s="77">
        <f>IF(OR($A1001="",B1001=""),"",MONTH(B1001))</f>
        <v/>
      </c>
    </row>
    <row r="1002">
      <c r="A1002" s="7" t="inlineStr">
        <is>
          <t>OT-2026-0147</t>
        </is>
      </c>
      <c r="B1002" s="75" t="n">
        <v>46090.34722222222</v>
      </c>
      <c r="C1002" s="7" t="inlineStr">
        <is>
          <t>Plan préventif</t>
        </is>
      </c>
      <c r="D1002" s="7" t="inlineStr">
        <is>
          <t>EQ-ASS-006</t>
        </is>
      </c>
      <c r="E1002" s="9">
        <f>IF(D1002="","",IFERROR(INDEX('Équipements'!$B$5:$B$304,MATCH(D1002,'Équipements'!$A$5:$A$304,0)),"Code inconnu"))</f>
        <v/>
      </c>
      <c r="F1002" s="9">
        <f>IF(D1002="","",IFERROR(INDEX('Équipements'!$D$5:$D$304,MATCH(D1002,'Équipements'!$A$5:$A$304,0)),""))</f>
        <v/>
      </c>
      <c r="G1002" s="9">
        <f>IF(D1002="","",IFERROR(INDEX('Équipements'!$K$5:$K$304,MATCH(D1002,'Équipements'!$A$5:$A$304,0)),""))</f>
        <v/>
      </c>
      <c r="H1002" s="7" t="inlineStr">
        <is>
          <t>Préventif systématique</t>
        </is>
      </c>
      <c r="I1002" s="7" t="inlineStr">
        <is>
          <t>GP-085</t>
        </is>
      </c>
      <c r="J1002" s="7" t="inlineStr">
        <is>
          <t>Mécanique</t>
        </is>
      </c>
      <c r="K1002" s="7" t="inlineStr">
        <is>
          <t>P3 - Normale</t>
        </is>
      </c>
      <c r="L1002" s="7" t="inlineStr">
        <is>
          <t>Graissage chaîne / galets et contrôle tension</t>
        </is>
      </c>
      <c r="M1002" s="7" t="n"/>
      <c r="N1002" s="7" t="inlineStr">
        <is>
          <t>Gamme réalisée - usure constatée, à surveiller</t>
        </is>
      </c>
      <c r="O1002" s="7" t="inlineStr">
        <is>
          <t>Lucas Fontaine</t>
        </is>
      </c>
      <c r="P1002" s="65" t="n">
        <v>46097.52083333334</v>
      </c>
      <c r="Q1002" s="75" t="n">
        <v>46097.46875</v>
      </c>
      <c r="R1002" s="75" t="n">
        <v>46097.55208333334</v>
      </c>
      <c r="S1002" s="76" t="n">
        <v>0</v>
      </c>
      <c r="T1002" s="76" t="n">
        <v>2</v>
      </c>
      <c r="U1002" s="70">
        <f>IF($A1002="","",IFERROR(INDEX('Techniciens'!$F$5:$F$44,MATCH(O1002,'Techniciens'!$B$5:$B$44,0)),'Paramètres'!$AA$10))</f>
        <v/>
      </c>
      <c r="V1002" s="70">
        <f>IF($A1002="","",IF(OR(AC1002="Demandé",AC1002="Planifié",AC1002="Annulé"),0,N(T1002)*N(U1002)))</f>
        <v/>
      </c>
      <c r="W1002" s="70">
        <f>IF($A1002="","",SUMIFS('Mouvements stock'!$H$5:$H$3004,'Mouvements stock'!$I$5:$I$3004,$A1002,'Mouvements stock'!$C$5:$C$3004,"Sortie")-SUMIFS('Mouvements stock'!$H$5:$H$3004,'Mouvements stock'!$I$5:$I$3004,$A1002,'Mouvements stock'!$C$5:$C$3004,"Retour"))</f>
        <v/>
      </c>
      <c r="X1002" s="66" t="n">
        <v>0</v>
      </c>
      <c r="Y1002" s="66" t="n">
        <v>0</v>
      </c>
      <c r="Z1002" s="7" t="n"/>
      <c r="AA1002" s="70">
        <f>IF($A1002="","",N(V1002)+N(W1002)+N(X1002)+N(Y1002))</f>
        <v/>
      </c>
      <c r="AB1002" s="70">
        <f>IF($A1002="","",N(S1002)*'Paramètres'!$AA$9*IFERROR(INDEX('Paramètres'!$O$5:$O$7,MATCH(G1002,'Paramètres'!$N$5:$N$7,0)),0))</f>
        <v/>
      </c>
      <c r="AC1002" s="7" t="inlineStr">
        <is>
          <t>Clôturé</t>
        </is>
      </c>
      <c r="AD1002" s="69">
        <f>IF(OR($A1002="",Q1002=""),"",(Q1002-B1002)*24)</f>
        <v/>
      </c>
      <c r="AE1002" s="69">
        <f>IF(OR(Q1002="",R1002=""),"",(R1002-Q1002)*24)</f>
        <v/>
      </c>
      <c r="AF1002" s="77">
        <f>IF(OR($A1002="",B1002=""),"",YEAR(B1002))</f>
        <v/>
      </c>
      <c r="AG1002" s="77">
        <f>IF(OR($A1002="",B1002=""),"",MONTH(B1002))</f>
        <v/>
      </c>
    </row>
    <row r="1003">
      <c r="A1003" s="7" t="inlineStr">
        <is>
          <t>OT-2026-0148</t>
        </is>
      </c>
      <c r="B1003" s="75" t="n">
        <v>46090.46527777778</v>
      </c>
      <c r="C1003" s="7" t="inlineStr">
        <is>
          <t>Plan préventif</t>
        </is>
      </c>
      <c r="D1003" s="7" t="inlineStr">
        <is>
          <t>EQ-PEI-005</t>
        </is>
      </c>
      <c r="E1003" s="9">
        <f>IF(D1003="","",IFERROR(INDEX('Équipements'!$B$5:$B$304,MATCH(D1003,'Équipements'!$A$5:$A$304,0)),"Code inconnu"))</f>
        <v/>
      </c>
      <c r="F1003" s="9">
        <f>IF(D1003="","",IFERROR(INDEX('Équipements'!$D$5:$D$304,MATCH(D1003,'Équipements'!$A$5:$A$304,0)),""))</f>
        <v/>
      </c>
      <c r="G1003" s="9">
        <f>IF(D1003="","",IFERROR(INDEX('Équipements'!$K$5:$K$304,MATCH(D1003,'Équipements'!$A$5:$A$304,0)),""))</f>
        <v/>
      </c>
      <c r="H1003" s="7" t="inlineStr">
        <is>
          <t>Préventif systématique</t>
        </is>
      </c>
      <c r="I1003" s="7" t="inlineStr">
        <is>
          <t>GP-074</t>
        </is>
      </c>
      <c r="J1003" s="7" t="inlineStr">
        <is>
          <t>Mécanique</t>
        </is>
      </c>
      <c r="K1003" s="7" t="inlineStr">
        <is>
          <t>P3 - Normale</t>
        </is>
      </c>
      <c r="L1003" s="7" t="inlineStr">
        <is>
          <t>Nettoyage et remplacement des filtres</t>
        </is>
      </c>
      <c r="M1003" s="7" t="n"/>
      <c r="N1003" s="7" t="inlineStr">
        <is>
          <t>Gamme réalisée - RAS</t>
        </is>
      </c>
      <c r="O1003" s="7" t="inlineStr">
        <is>
          <t>Lucas Fontaine</t>
        </is>
      </c>
      <c r="P1003" s="65" t="n">
        <v>46097.46180555555</v>
      </c>
      <c r="Q1003" s="75" t="n">
        <v>46097.27083333334</v>
      </c>
      <c r="R1003" s="75" t="n">
        <v>46097.41666666666</v>
      </c>
      <c r="S1003" s="76" t="n">
        <v>3.5</v>
      </c>
      <c r="T1003" s="76" t="n">
        <v>3.5</v>
      </c>
      <c r="U1003" s="70">
        <f>IF($A1003="","",IFERROR(INDEX('Techniciens'!$F$5:$F$44,MATCH(O1003,'Techniciens'!$B$5:$B$44,0)),'Paramètres'!$AA$10))</f>
        <v/>
      </c>
      <c r="V1003" s="70">
        <f>IF($A1003="","",IF(OR(AC1003="Demandé",AC1003="Planifié",AC1003="Annulé"),0,N(T1003)*N(U1003)))</f>
        <v/>
      </c>
      <c r="W1003" s="70">
        <f>IF($A1003="","",SUMIFS('Mouvements stock'!$H$5:$H$3004,'Mouvements stock'!$I$5:$I$3004,$A1003,'Mouvements stock'!$C$5:$C$3004,"Sortie")-SUMIFS('Mouvements stock'!$H$5:$H$3004,'Mouvements stock'!$I$5:$I$3004,$A1003,'Mouvements stock'!$C$5:$C$3004,"Retour"))</f>
        <v/>
      </c>
      <c r="X1003" s="66" t="n">
        <v>0</v>
      </c>
      <c r="Y1003" s="66" t="n">
        <v>0</v>
      </c>
      <c r="Z1003" s="7" t="n"/>
      <c r="AA1003" s="70">
        <f>IF($A1003="","",N(V1003)+N(W1003)+N(X1003)+N(Y1003))</f>
        <v/>
      </c>
      <c r="AB1003" s="70">
        <f>IF($A1003="","",N(S1003)*'Paramètres'!$AA$9*IFERROR(INDEX('Paramètres'!$O$5:$O$7,MATCH(G1003,'Paramètres'!$N$5:$N$7,0)),0))</f>
        <v/>
      </c>
      <c r="AC1003" s="7" t="inlineStr">
        <is>
          <t>Clôturé</t>
        </is>
      </c>
      <c r="AD1003" s="69">
        <f>IF(OR($A1003="",Q1003=""),"",(Q1003-B1003)*24)</f>
        <v/>
      </c>
      <c r="AE1003" s="69">
        <f>IF(OR(Q1003="",R1003=""),"",(R1003-Q1003)*24)</f>
        <v/>
      </c>
      <c r="AF1003" s="77">
        <f>IF(OR($A1003="",B1003=""),"",YEAR(B1003))</f>
        <v/>
      </c>
      <c r="AG1003" s="77">
        <f>IF(OR($A1003="",B1003=""),"",MONTH(B1003))</f>
        <v/>
      </c>
    </row>
    <row r="1004">
      <c r="A1004" s="7" t="inlineStr">
        <is>
          <t>OT-2026-0149</t>
        </is>
      </c>
      <c r="B1004" s="75" t="n">
        <v>46090.48611111111</v>
      </c>
      <c r="C1004" s="7" t="inlineStr">
        <is>
          <t>Plan préventif</t>
        </is>
      </c>
      <c r="D1004" s="7" t="inlineStr">
        <is>
          <t>EQ-SOU-001</t>
        </is>
      </c>
      <c r="E1004" s="9">
        <f>IF(D1004="","",IFERROR(INDEX('Équipements'!$B$5:$B$304,MATCH(D1004,'Équipements'!$A$5:$A$304,0)),"Code inconnu"))</f>
        <v/>
      </c>
      <c r="F1004" s="9">
        <f>IF(D1004="","",IFERROR(INDEX('Équipements'!$D$5:$D$304,MATCH(D1004,'Équipements'!$A$5:$A$304,0)),""))</f>
        <v/>
      </c>
      <c r="G1004" s="9">
        <f>IF(D1004="","",IFERROR(INDEX('Équipements'!$K$5:$K$304,MATCH(D1004,'Équipements'!$A$5:$A$304,0)),""))</f>
        <v/>
      </c>
      <c r="H1004" s="7" t="inlineStr">
        <is>
          <t>Préventif systématique</t>
        </is>
      </c>
      <c r="I1004" s="7" t="inlineStr">
        <is>
          <t>GP-058</t>
        </is>
      </c>
      <c r="J1004" s="7" t="inlineStr">
        <is>
          <t>Mécanique</t>
        </is>
      </c>
      <c r="K1004" s="7" t="inlineStr">
        <is>
          <t>P3 - Normale</t>
        </is>
      </c>
      <c r="L1004" s="7" t="inlineStr">
        <is>
          <t>Nettoyage torche et contrôle faisceau</t>
        </is>
      </c>
      <c r="M1004" s="7" t="n"/>
      <c r="N1004" s="7" t="inlineStr">
        <is>
          <t>Gamme réalisée - serrages repris</t>
        </is>
      </c>
      <c r="O1004" s="7" t="inlineStr">
        <is>
          <t>Lucas Fontaine</t>
        </is>
      </c>
      <c r="P1004" s="65" t="n">
        <v>46097.55208333334</v>
      </c>
      <c r="Q1004" s="75" t="n">
        <v>46097.46527777778</v>
      </c>
      <c r="R1004" s="75" t="n">
        <v>46097.49652777778</v>
      </c>
      <c r="S1004" s="76" t="n">
        <v>0.4</v>
      </c>
      <c r="T1004" s="76" t="n">
        <v>0.75</v>
      </c>
      <c r="U1004" s="70">
        <f>IF($A1004="","",IFERROR(INDEX('Techniciens'!$F$5:$F$44,MATCH(O1004,'Techniciens'!$B$5:$B$44,0)),'Paramètres'!$AA$10))</f>
        <v/>
      </c>
      <c r="V1004" s="70">
        <f>IF($A1004="","",IF(OR(AC1004="Demandé",AC1004="Planifié",AC1004="Annulé"),0,N(T1004)*N(U1004)))</f>
        <v/>
      </c>
      <c r="W1004" s="70">
        <f>IF($A1004="","",SUMIFS('Mouvements stock'!$H$5:$H$3004,'Mouvements stock'!$I$5:$I$3004,$A1004,'Mouvements stock'!$C$5:$C$3004,"Sortie")-SUMIFS('Mouvements stock'!$H$5:$H$3004,'Mouvements stock'!$I$5:$I$3004,$A1004,'Mouvements stock'!$C$5:$C$3004,"Retour"))</f>
        <v/>
      </c>
      <c r="X1004" s="66" t="n">
        <v>0</v>
      </c>
      <c r="Y1004" s="66" t="n">
        <v>0</v>
      </c>
      <c r="Z1004" s="7" t="n"/>
      <c r="AA1004" s="70">
        <f>IF($A1004="","",N(V1004)+N(W1004)+N(X1004)+N(Y1004))</f>
        <v/>
      </c>
      <c r="AB1004" s="70">
        <f>IF($A1004="","",N(S1004)*'Paramètres'!$AA$9*IFERROR(INDEX('Paramètres'!$O$5:$O$7,MATCH(G1004,'Paramètres'!$N$5:$N$7,0)),0))</f>
        <v/>
      </c>
      <c r="AC1004" s="7" t="inlineStr">
        <is>
          <t>Clôturé</t>
        </is>
      </c>
      <c r="AD1004" s="69">
        <f>IF(OR($A1004="",Q1004=""),"",(Q1004-B1004)*24)</f>
        <v/>
      </c>
      <c r="AE1004" s="69">
        <f>IF(OR(Q1004="",R1004=""),"",(R1004-Q1004)*24)</f>
        <v/>
      </c>
      <c r="AF1004" s="77">
        <f>IF(OR($A1004="",B1004=""),"",YEAR(B1004))</f>
        <v/>
      </c>
      <c r="AG1004" s="77">
        <f>IF(OR($A1004="",B1004=""),"",MONTH(B1004))</f>
        <v/>
      </c>
    </row>
    <row r="1005">
      <c r="A1005" s="7" t="inlineStr">
        <is>
          <t>OT-2026-0150</t>
        </is>
      </c>
      <c r="B1005" s="75" t="n">
        <v>46090.70555555556</v>
      </c>
      <c r="C1005" s="7" t="inlineStr">
        <is>
          <t>Céline Morel (cheffe d'atelier)</t>
        </is>
      </c>
      <c r="D1005" s="7" t="inlineStr">
        <is>
          <t>EQ-TOL-005</t>
        </is>
      </c>
      <c r="E1005" s="9">
        <f>IF(D1005="","",IFERROR(INDEX('Équipements'!$B$5:$B$304,MATCH(D1005,'Équipements'!$A$5:$A$304,0)),"Code inconnu"))</f>
        <v/>
      </c>
      <c r="F1005" s="9">
        <f>IF(D1005="","",IFERROR(INDEX('Équipements'!$D$5:$D$304,MATCH(D1005,'Équipements'!$A$5:$A$304,0)),""))</f>
        <v/>
      </c>
      <c r="G1005" s="9">
        <f>IF(D1005="","",IFERROR(INDEX('Équipements'!$K$5:$K$304,MATCH(D1005,'Équipements'!$A$5:$A$304,0)),""))</f>
        <v/>
      </c>
      <c r="H1005" s="7" t="inlineStr">
        <is>
          <t>Correctif</t>
        </is>
      </c>
      <c r="I1005" s="7" t="n"/>
      <c r="J1005" s="7" t="inlineStr">
        <is>
          <t>Hydraulique</t>
        </is>
      </c>
      <c r="K1005" s="7" t="inlineStr">
        <is>
          <t>P2 - Haute</t>
        </is>
      </c>
      <c r="L1005" s="7" t="inlineStr">
        <is>
          <t>Pompe hydraulique bruyante</t>
        </is>
      </c>
      <c r="M1005" s="7" t="inlineStr">
        <is>
          <t>Usure</t>
        </is>
      </c>
      <c r="N1005" s="7" t="inlineStr">
        <is>
          <t>Remplacement accouplement, contrôle débit pompe</t>
        </is>
      </c>
      <c r="O1005" s="7" t="inlineStr">
        <is>
          <t>Antoine Mercier</t>
        </is>
      </c>
      <c r="P1005" s="65" t="n"/>
      <c r="Q1005" s="75" t="n">
        <v>46090.75833333333</v>
      </c>
      <c r="R1005" s="75" t="n">
        <v>46090.84166666667</v>
      </c>
      <c r="S1005" s="76" t="n">
        <v>3.3</v>
      </c>
      <c r="T1005" s="76" t="n">
        <v>2</v>
      </c>
      <c r="U1005" s="70">
        <f>IF($A1005="","",IFERROR(INDEX('Techniciens'!$F$5:$F$44,MATCH(O1005,'Techniciens'!$B$5:$B$44,0)),'Paramètres'!$AA$10))</f>
        <v/>
      </c>
      <c r="V1005" s="70">
        <f>IF($A1005="","",IF(OR(AC1005="Demandé",AC1005="Planifié",AC1005="Annulé"),0,N(T1005)*N(U1005)))</f>
        <v/>
      </c>
      <c r="W1005" s="70">
        <f>IF($A1005="","",SUMIFS('Mouvements stock'!$H$5:$H$3004,'Mouvements stock'!$I$5:$I$3004,$A1005,'Mouvements stock'!$C$5:$C$3004,"Sortie")-SUMIFS('Mouvements stock'!$H$5:$H$3004,'Mouvements stock'!$I$5:$I$3004,$A1005,'Mouvements stock'!$C$5:$C$3004,"Retour"))</f>
        <v/>
      </c>
      <c r="X1005" s="66" t="n">
        <v>701</v>
      </c>
      <c r="Y1005" s="66" t="n">
        <v>580</v>
      </c>
      <c r="Z1005" s="7" t="inlineStr">
        <is>
          <t>HydroFluid Services</t>
        </is>
      </c>
      <c r="AA1005" s="70">
        <f>IF($A1005="","",N(V1005)+N(W1005)+N(X1005)+N(Y1005))</f>
        <v/>
      </c>
      <c r="AB1005" s="70">
        <f>IF($A1005="","",N(S1005)*'Paramètres'!$AA$9*IFERROR(INDEX('Paramètres'!$O$5:$O$7,MATCH(G1005,'Paramètres'!$N$5:$N$7,0)),0))</f>
        <v/>
      </c>
      <c r="AC1005" s="7" t="inlineStr">
        <is>
          <t>Clôturé</t>
        </is>
      </c>
      <c r="AD1005" s="69">
        <f>IF(OR($A1005="",Q1005=""),"",(Q1005-B1005)*24)</f>
        <v/>
      </c>
      <c r="AE1005" s="69">
        <f>IF(OR(Q1005="",R1005=""),"",(R1005-Q1005)*24)</f>
        <v/>
      </c>
      <c r="AF1005" s="77">
        <f>IF(OR($A1005="",B1005=""),"",YEAR(B1005))</f>
        <v/>
      </c>
      <c r="AG1005" s="77">
        <f>IF(OR($A1005="",B1005=""),"",MONTH(B1005))</f>
        <v/>
      </c>
    </row>
    <row r="1006">
      <c r="A1006" s="7" t="inlineStr">
        <is>
          <t>OT-2026-0151</t>
        </is>
      </c>
      <c r="B1006" s="75" t="n">
        <v>46090.85763888889</v>
      </c>
      <c r="C1006" s="7" t="inlineStr">
        <is>
          <t>Opérateur peinture</t>
        </is>
      </c>
      <c r="D1006" s="7" t="inlineStr">
        <is>
          <t>EQ-PEI-001</t>
        </is>
      </c>
      <c r="E1006" s="9">
        <f>IF(D1006="","",IFERROR(INDEX('Équipements'!$B$5:$B$304,MATCH(D1006,'Équipements'!$A$5:$A$304,0)),"Code inconnu"))</f>
        <v/>
      </c>
      <c r="F1006" s="9">
        <f>IF(D1006="","",IFERROR(INDEX('Équipements'!$D$5:$D$304,MATCH(D1006,'Équipements'!$A$5:$A$304,0)),""))</f>
        <v/>
      </c>
      <c r="G1006" s="9">
        <f>IF(D1006="","",IFERROR(INDEX('Équipements'!$K$5:$K$304,MATCH(D1006,'Équipements'!$A$5:$A$304,0)),""))</f>
        <v/>
      </c>
      <c r="H1006" s="7" t="inlineStr">
        <is>
          <t>Correctif</t>
        </is>
      </c>
      <c r="I1006" s="7" t="n"/>
      <c r="J1006" s="7" t="inlineStr">
        <is>
          <t>Électrique</t>
        </is>
      </c>
      <c r="K1006" s="7" t="inlineStr">
        <is>
          <t>P1 - Urgent</t>
        </is>
      </c>
      <c r="L1006" s="7" t="inlineStr">
        <is>
          <t>Ventilateur d'extraction en défaut</t>
        </is>
      </c>
      <c r="M1006" s="7" t="inlineStr">
        <is>
          <t>Défaut électrique</t>
        </is>
      </c>
      <c r="N1006" s="7" t="inlineStr">
        <is>
          <t>Remplacement contacteur et courroie</t>
        </is>
      </c>
      <c r="O1006" s="7" t="inlineStr">
        <is>
          <t>Thomas Petit</t>
        </is>
      </c>
      <c r="P1006" s="65" t="n"/>
      <c r="Q1006" s="75" t="n">
        <v>46090.87430555555</v>
      </c>
      <c r="R1006" s="75" t="n">
        <v>46090.97847222222</v>
      </c>
      <c r="S1006" s="76" t="n">
        <v>2.9</v>
      </c>
      <c r="T1006" s="76" t="n">
        <v>2.5</v>
      </c>
      <c r="U1006" s="70">
        <f>IF($A1006="","",IFERROR(INDEX('Techniciens'!$F$5:$F$44,MATCH(O1006,'Techniciens'!$B$5:$B$44,0)),'Paramètres'!$AA$10))</f>
        <v/>
      </c>
      <c r="V1006" s="70">
        <f>IF($A1006="","",IF(OR(AC1006="Demandé",AC1006="Planifié",AC1006="Annulé"),0,N(T1006)*N(U1006)))</f>
        <v/>
      </c>
      <c r="W1006" s="70">
        <f>IF($A1006="","",SUMIFS('Mouvements stock'!$H$5:$H$3004,'Mouvements stock'!$I$5:$I$3004,$A1006,'Mouvements stock'!$C$5:$C$3004,"Sortie")-SUMIFS('Mouvements stock'!$H$5:$H$3004,'Mouvements stock'!$I$5:$I$3004,$A1006,'Mouvements stock'!$C$5:$C$3004,"Retour"))</f>
        <v/>
      </c>
      <c r="X1006" s="66" t="n">
        <v>0</v>
      </c>
      <c r="Y1006" s="66" t="n">
        <v>0</v>
      </c>
      <c r="Z1006" s="7" t="n"/>
      <c r="AA1006" s="70">
        <f>IF($A1006="","",N(V1006)+N(W1006)+N(X1006)+N(Y1006))</f>
        <v/>
      </c>
      <c r="AB1006" s="70">
        <f>IF($A1006="","",N(S1006)*'Paramètres'!$AA$9*IFERROR(INDEX('Paramètres'!$O$5:$O$7,MATCH(G1006,'Paramètres'!$N$5:$N$7,0)),0))</f>
        <v/>
      </c>
      <c r="AC1006" s="7" t="inlineStr">
        <is>
          <t>Clôturé</t>
        </is>
      </c>
      <c r="AD1006" s="69">
        <f>IF(OR($A1006="",Q1006=""),"",(Q1006-B1006)*24)</f>
        <v/>
      </c>
      <c r="AE1006" s="69">
        <f>IF(OR(Q1006="",R1006=""),"",(R1006-Q1006)*24)</f>
        <v/>
      </c>
      <c r="AF1006" s="77">
        <f>IF(OR($A1006="",B1006=""),"",YEAR(B1006))</f>
        <v/>
      </c>
      <c r="AG1006" s="77">
        <f>IF(OR($A1006="",B1006=""),"",MONTH(B1006))</f>
        <v/>
      </c>
    </row>
    <row r="1007">
      <c r="A1007" s="7" t="inlineStr">
        <is>
          <t>OT-2026-0152</t>
        </is>
      </c>
      <c r="B1007" s="75" t="n">
        <v>46091.38194444445</v>
      </c>
      <c r="C1007" s="7" t="inlineStr">
        <is>
          <t>Plan préventif</t>
        </is>
      </c>
      <c r="D1007" s="7" t="inlineStr">
        <is>
          <t>EQ-USI-003</t>
        </is>
      </c>
      <c r="E1007" s="9">
        <f>IF(D1007="","",IFERROR(INDEX('Équipements'!$B$5:$B$304,MATCH(D1007,'Équipements'!$A$5:$A$304,0)),"Code inconnu"))</f>
        <v/>
      </c>
      <c r="F1007" s="9">
        <f>IF(D1007="","",IFERROR(INDEX('Équipements'!$D$5:$D$304,MATCH(D1007,'Équipements'!$A$5:$A$304,0)),""))</f>
        <v/>
      </c>
      <c r="G1007" s="9">
        <f>IF(D1007="","",IFERROR(INDEX('Équipements'!$K$5:$K$304,MATCH(D1007,'Équipements'!$A$5:$A$304,0)),""))</f>
        <v/>
      </c>
      <c r="H1007" s="7" t="inlineStr">
        <is>
          <t>Préventif systématique</t>
        </is>
      </c>
      <c r="I1007" s="7" t="inlineStr">
        <is>
          <t>GP-009</t>
        </is>
      </c>
      <c r="J1007" s="7" t="inlineStr">
        <is>
          <t>Mécanique</t>
        </is>
      </c>
      <c r="K1007" s="7" t="inlineStr">
        <is>
          <t>P3 - Normale</t>
        </is>
      </c>
      <c r="L1007" s="7" t="inlineStr">
        <is>
          <t>Contrôle niveaux, nettoyage filtres et bac à copeaux</t>
        </is>
      </c>
      <c r="M1007" s="7" t="n"/>
      <c r="N1007" s="7" t="inlineStr">
        <is>
          <t>Gamme réalisée - RAS</t>
        </is>
      </c>
      <c r="O1007" s="7" t="inlineStr">
        <is>
          <t>Lucas Fontaine</t>
        </is>
      </c>
      <c r="P1007" s="65" t="n">
        <v>46098.45833333334</v>
      </c>
      <c r="Q1007" s="75" t="n">
        <v>46098.51388888889</v>
      </c>
      <c r="R1007" s="75" t="n">
        <v>46098.58680555555</v>
      </c>
      <c r="S1007" s="76" t="n">
        <v>0</v>
      </c>
      <c r="T1007" s="76" t="n">
        <v>1.75</v>
      </c>
      <c r="U1007" s="70">
        <f>IF($A1007="","",IFERROR(INDEX('Techniciens'!$F$5:$F$44,MATCH(O1007,'Techniciens'!$B$5:$B$44,0)),'Paramètres'!$AA$10))</f>
        <v/>
      </c>
      <c r="V1007" s="70">
        <f>IF($A1007="","",IF(OR(AC1007="Demandé",AC1007="Planifié",AC1007="Annulé"),0,N(T1007)*N(U1007)))</f>
        <v/>
      </c>
      <c r="W1007" s="70">
        <f>IF($A1007="","",SUMIFS('Mouvements stock'!$H$5:$H$3004,'Mouvements stock'!$I$5:$I$3004,$A1007,'Mouvements stock'!$C$5:$C$3004,"Sortie")-SUMIFS('Mouvements stock'!$H$5:$H$3004,'Mouvements stock'!$I$5:$I$3004,$A1007,'Mouvements stock'!$C$5:$C$3004,"Retour"))</f>
        <v/>
      </c>
      <c r="X1007" s="66" t="n">
        <v>0</v>
      </c>
      <c r="Y1007" s="66" t="n">
        <v>0</v>
      </c>
      <c r="Z1007" s="7" t="n"/>
      <c r="AA1007" s="70">
        <f>IF($A1007="","",N(V1007)+N(W1007)+N(X1007)+N(Y1007))</f>
        <v/>
      </c>
      <c r="AB1007" s="70">
        <f>IF($A1007="","",N(S1007)*'Paramètres'!$AA$9*IFERROR(INDEX('Paramètres'!$O$5:$O$7,MATCH(G1007,'Paramètres'!$N$5:$N$7,0)),0))</f>
        <v/>
      </c>
      <c r="AC1007" s="7" t="inlineStr">
        <is>
          <t>Clôturé</t>
        </is>
      </c>
      <c r="AD1007" s="69">
        <f>IF(OR($A1007="",Q1007=""),"",(Q1007-B1007)*24)</f>
        <v/>
      </c>
      <c r="AE1007" s="69">
        <f>IF(OR(Q1007="",R1007=""),"",(R1007-Q1007)*24)</f>
        <v/>
      </c>
      <c r="AF1007" s="77">
        <f>IF(OR($A1007="",B1007=""),"",YEAR(B1007))</f>
        <v/>
      </c>
      <c r="AG1007" s="77">
        <f>IF(OR($A1007="",B1007=""),"",MONTH(B1007))</f>
        <v/>
      </c>
    </row>
    <row r="1008">
      <c r="A1008" s="7" t="inlineStr">
        <is>
          <t>OT-2026-0153</t>
        </is>
      </c>
      <c r="B1008" s="75" t="n">
        <v>46092.77013888889</v>
      </c>
      <c r="C1008" s="7" t="inlineStr">
        <is>
          <t>Marc Lefèvre</t>
        </is>
      </c>
      <c r="D1008" s="7" t="inlineStr">
        <is>
          <t>EQ-UTI-003</t>
        </is>
      </c>
      <c r="E1008" s="9">
        <f>IF(D1008="","",IFERROR(INDEX('Équipements'!$B$5:$B$304,MATCH(D1008,'Équipements'!$A$5:$A$304,0)),"Code inconnu"))</f>
        <v/>
      </c>
      <c r="F1008" s="9">
        <f>IF(D1008="","",IFERROR(INDEX('Équipements'!$D$5:$D$304,MATCH(D1008,'Équipements'!$A$5:$A$304,0)),""))</f>
        <v/>
      </c>
      <c r="G1008" s="9">
        <f>IF(D1008="","",IFERROR(INDEX('Équipements'!$K$5:$K$304,MATCH(D1008,'Équipements'!$A$5:$A$304,0)),""))</f>
        <v/>
      </c>
      <c r="H1008" s="7" t="inlineStr">
        <is>
          <t>Correctif</t>
        </is>
      </c>
      <c r="I1008" s="7" t="n"/>
      <c r="J1008" s="7" t="inlineStr">
        <is>
          <t>Électrique</t>
        </is>
      </c>
      <c r="K1008" s="7" t="inlineStr">
        <is>
          <t>P2 - Haute</t>
        </is>
      </c>
      <c r="L1008" s="7" t="inlineStr">
        <is>
          <t>Défaut capteur de pression</t>
        </is>
      </c>
      <c r="M1008" s="7" t="inlineStr">
        <is>
          <t>Défaut capteur</t>
        </is>
      </c>
      <c r="N1008" s="7" t="inlineStr">
        <is>
          <t>Remplacement capteur</t>
        </is>
      </c>
      <c r="O1008" s="7" t="inlineStr">
        <is>
          <t>Antoine Mercier</t>
        </is>
      </c>
      <c r="P1008" s="65" t="n"/>
      <c r="Q1008" s="75" t="n">
        <v>46092.95069444444</v>
      </c>
      <c r="R1008" s="75" t="n">
        <v>46093.13819444444</v>
      </c>
      <c r="S1008" s="76" t="n">
        <v>8.800000000000001</v>
      </c>
      <c r="T1008" s="76" t="n">
        <v>4.5</v>
      </c>
      <c r="U1008" s="70">
        <f>IF($A1008="","",IFERROR(INDEX('Techniciens'!$F$5:$F$44,MATCH(O1008,'Techniciens'!$B$5:$B$44,0)),'Paramètres'!$AA$10))</f>
        <v/>
      </c>
      <c r="V1008" s="70">
        <f>IF($A1008="","",IF(OR(AC1008="Demandé",AC1008="Planifié",AC1008="Annulé"),0,N(T1008)*N(U1008)))</f>
        <v/>
      </c>
      <c r="W1008" s="70">
        <f>IF($A1008="","",SUMIFS('Mouvements stock'!$H$5:$H$3004,'Mouvements stock'!$I$5:$I$3004,$A1008,'Mouvements stock'!$C$5:$C$3004,"Sortie")-SUMIFS('Mouvements stock'!$H$5:$H$3004,'Mouvements stock'!$I$5:$I$3004,$A1008,'Mouvements stock'!$C$5:$C$3004,"Retour"))</f>
        <v/>
      </c>
      <c r="X1008" s="66" t="n">
        <v>0</v>
      </c>
      <c r="Y1008" s="66" t="n">
        <v>0</v>
      </c>
      <c r="Z1008" s="7" t="n"/>
      <c r="AA1008" s="70">
        <f>IF($A1008="","",N(V1008)+N(W1008)+N(X1008)+N(Y1008))</f>
        <v/>
      </c>
      <c r="AB1008" s="70">
        <f>IF($A1008="","",N(S1008)*'Paramètres'!$AA$9*IFERROR(INDEX('Paramètres'!$O$5:$O$7,MATCH(G1008,'Paramètres'!$N$5:$N$7,0)),0))</f>
        <v/>
      </c>
      <c r="AC1008" s="7" t="inlineStr">
        <is>
          <t>Clôturé</t>
        </is>
      </c>
      <c r="AD1008" s="69">
        <f>IF(OR($A1008="",Q1008=""),"",(Q1008-B1008)*24)</f>
        <v/>
      </c>
      <c r="AE1008" s="69">
        <f>IF(OR(Q1008="",R1008=""),"",(R1008-Q1008)*24)</f>
        <v/>
      </c>
      <c r="AF1008" s="77">
        <f>IF(OR($A1008="",B1008=""),"",YEAR(B1008))</f>
        <v/>
      </c>
      <c r="AG1008" s="77">
        <f>IF(OR($A1008="",B1008=""),"",MONTH(B1008))</f>
        <v/>
      </c>
    </row>
    <row r="1009">
      <c r="A1009" s="7" t="inlineStr">
        <is>
          <t>OT-2026-0154</t>
        </is>
      </c>
      <c r="B1009" s="75" t="n">
        <v>46093.35416666666</v>
      </c>
      <c r="C1009" s="7" t="inlineStr">
        <is>
          <t>Plan préventif</t>
        </is>
      </c>
      <c r="D1009" s="7" t="inlineStr">
        <is>
          <t>EQ-TOL-004</t>
        </is>
      </c>
      <c r="E1009" s="9">
        <f>IF(D1009="","",IFERROR(INDEX('Équipements'!$B$5:$B$304,MATCH(D1009,'Équipements'!$A$5:$A$304,0)),"Code inconnu"))</f>
        <v/>
      </c>
      <c r="F1009" s="9">
        <f>IF(D1009="","",IFERROR(INDEX('Équipements'!$D$5:$D$304,MATCH(D1009,'Équipements'!$A$5:$A$304,0)),""))</f>
        <v/>
      </c>
      <c r="G1009" s="9">
        <f>IF(D1009="","",IFERROR(INDEX('Équipements'!$K$5:$K$304,MATCH(D1009,'Équipements'!$A$5:$A$304,0)),""))</f>
        <v/>
      </c>
      <c r="H1009" s="7" t="inlineStr">
        <is>
          <t>Préventif systématique</t>
        </is>
      </c>
      <c r="I1009" s="7" t="inlineStr">
        <is>
          <t>GP-049</t>
        </is>
      </c>
      <c r="J1009" s="7" t="inlineStr">
        <is>
          <t>Électrique</t>
        </is>
      </c>
      <c r="K1009" s="7" t="inlineStr">
        <is>
          <t>P3 - Normale</t>
        </is>
      </c>
      <c r="L1009" s="7" t="inlineStr">
        <is>
          <t>Contrôle des sécurités (barrages, AU, pédale)</t>
        </is>
      </c>
      <c r="M1009" s="7" t="n"/>
      <c r="N1009" s="7" t="inlineStr">
        <is>
          <t>Gamme réalisée - RAS</t>
        </is>
      </c>
      <c r="O1009" s="7" t="inlineStr">
        <is>
          <t>Antoine Mercier</t>
        </is>
      </c>
      <c r="P1009" s="65" t="n">
        <v>46100.69097222222</v>
      </c>
      <c r="Q1009" s="75" t="n">
        <v>46100.34722222222</v>
      </c>
      <c r="R1009" s="75" t="n">
        <v>46100.40972222222</v>
      </c>
      <c r="S1009" s="76" t="n">
        <v>0.8</v>
      </c>
      <c r="T1009" s="76" t="n">
        <v>1.5</v>
      </c>
      <c r="U1009" s="70">
        <f>IF($A1009="","",IFERROR(INDEX('Techniciens'!$F$5:$F$44,MATCH(O1009,'Techniciens'!$B$5:$B$44,0)),'Paramètres'!$AA$10))</f>
        <v/>
      </c>
      <c r="V1009" s="70">
        <f>IF($A1009="","",IF(OR(AC1009="Demandé",AC1009="Planifié",AC1009="Annulé"),0,N(T1009)*N(U1009)))</f>
        <v/>
      </c>
      <c r="W1009" s="70">
        <f>IF($A1009="","",SUMIFS('Mouvements stock'!$H$5:$H$3004,'Mouvements stock'!$I$5:$I$3004,$A1009,'Mouvements stock'!$C$5:$C$3004,"Sortie")-SUMIFS('Mouvements stock'!$H$5:$H$3004,'Mouvements stock'!$I$5:$I$3004,$A1009,'Mouvements stock'!$C$5:$C$3004,"Retour"))</f>
        <v/>
      </c>
      <c r="X1009" s="66" t="n">
        <v>0</v>
      </c>
      <c r="Y1009" s="66" t="n">
        <v>0</v>
      </c>
      <c r="Z1009" s="7" t="n"/>
      <c r="AA1009" s="70">
        <f>IF($A1009="","",N(V1009)+N(W1009)+N(X1009)+N(Y1009))</f>
        <v/>
      </c>
      <c r="AB1009" s="70">
        <f>IF($A1009="","",N(S1009)*'Paramètres'!$AA$9*IFERROR(INDEX('Paramètres'!$O$5:$O$7,MATCH(G1009,'Paramètres'!$N$5:$N$7,0)),0))</f>
        <v/>
      </c>
      <c r="AC1009" s="7" t="inlineStr">
        <is>
          <t>Clôturé</t>
        </is>
      </c>
      <c r="AD1009" s="69">
        <f>IF(OR($A1009="",Q1009=""),"",(Q1009-B1009)*24)</f>
        <v/>
      </c>
      <c r="AE1009" s="69">
        <f>IF(OR(Q1009="",R1009=""),"",(R1009-Q1009)*24)</f>
        <v/>
      </c>
      <c r="AF1009" s="77">
        <f>IF(OR($A1009="",B1009=""),"",YEAR(B1009))</f>
        <v/>
      </c>
      <c r="AG1009" s="77">
        <f>IF(OR($A1009="",B1009=""),"",MONTH(B1009))</f>
        <v/>
      </c>
    </row>
    <row r="1010">
      <c r="A1010" s="7" t="inlineStr">
        <is>
          <t>OT-2026-0155</t>
        </is>
      </c>
      <c r="B1010" s="75" t="n">
        <v>46093.42708333334</v>
      </c>
      <c r="C1010" s="7" t="inlineStr">
        <is>
          <t>Planning réglementaire</t>
        </is>
      </c>
      <c r="D1010" s="7" t="inlineStr">
        <is>
          <t>EQ-TOL-002</t>
        </is>
      </c>
      <c r="E1010" s="9">
        <f>IF(D1010="","",IFERROR(INDEX('Équipements'!$B$5:$B$304,MATCH(D1010,'Équipements'!$A$5:$A$304,0)),"Code inconnu"))</f>
        <v/>
      </c>
      <c r="F1010" s="9">
        <f>IF(D1010="","",IFERROR(INDEX('Équipements'!$D$5:$D$304,MATCH(D1010,'Équipements'!$A$5:$A$304,0)),""))</f>
        <v/>
      </c>
      <c r="G1010" s="9">
        <f>IF(D1010="","",IFERROR(INDEX('Équipements'!$K$5:$K$304,MATCH(D1010,'Équipements'!$A$5:$A$304,0)),""))</f>
        <v/>
      </c>
      <c r="H1010" s="7" t="inlineStr">
        <is>
          <t>Réglementaire</t>
        </is>
      </c>
      <c r="I1010" s="7" t="inlineStr">
        <is>
          <t>CR-010</t>
        </is>
      </c>
      <c r="J1010" s="7" t="inlineStr">
        <is>
          <t>Multi-technique</t>
        </is>
      </c>
      <c r="K1010" s="7" t="inlineStr">
        <is>
          <t>P2 - Haute</t>
        </is>
      </c>
      <c r="L1010" s="7" t="inlineStr">
        <is>
          <t>Vérification périodique presse plieuse</t>
        </is>
      </c>
      <c r="M1010" s="7" t="n"/>
      <c r="N1010" s="7" t="inlineStr">
        <is>
          <t>Contrôle réalisé - aucune observation</t>
        </is>
      </c>
      <c r="O1010" s="7" t="inlineStr">
        <is>
          <t>Nadia Rousseau</t>
        </is>
      </c>
      <c r="P1010" s="65" t="n">
        <v>46114</v>
      </c>
      <c r="Q1010" s="75" t="n">
        <v>46114.34722222222</v>
      </c>
      <c r="R1010" s="75" t="n">
        <v>46114.46180555555</v>
      </c>
      <c r="S1010" s="76" t="n">
        <v>1</v>
      </c>
      <c r="T1010" s="76" t="n">
        <v>2.75</v>
      </c>
      <c r="U1010" s="70">
        <f>IF($A1010="","",IFERROR(INDEX('Techniciens'!$F$5:$F$44,MATCH(O1010,'Techniciens'!$B$5:$B$44,0)),'Paramètres'!$AA$10))</f>
        <v/>
      </c>
      <c r="V1010" s="70">
        <f>IF($A1010="","",IF(OR(AC1010="Demandé",AC1010="Planifié",AC1010="Annulé"),0,N(T1010)*N(U1010)))</f>
        <v/>
      </c>
      <c r="W1010" s="70">
        <f>IF($A1010="","",SUMIFS('Mouvements stock'!$H$5:$H$3004,'Mouvements stock'!$I$5:$I$3004,$A1010,'Mouvements stock'!$C$5:$C$3004,"Sortie")-SUMIFS('Mouvements stock'!$H$5:$H$3004,'Mouvements stock'!$I$5:$I$3004,$A1010,'Mouvements stock'!$C$5:$C$3004,"Retour"))</f>
        <v/>
      </c>
      <c r="X1010" s="66" t="n">
        <v>0</v>
      </c>
      <c r="Y1010" s="66" t="n">
        <v>230</v>
      </c>
      <c r="Z1010" s="7" t="inlineStr">
        <is>
          <t>CONTROLIS (organisme fictif)</t>
        </is>
      </c>
      <c r="AA1010" s="70">
        <f>IF($A1010="","",N(V1010)+N(W1010)+N(X1010)+N(Y1010))</f>
        <v/>
      </c>
      <c r="AB1010" s="70">
        <f>IF($A1010="","",N(S1010)*'Paramètres'!$AA$9*IFERROR(INDEX('Paramètres'!$O$5:$O$7,MATCH(G1010,'Paramètres'!$N$5:$N$7,0)),0))</f>
        <v/>
      </c>
      <c r="AC1010" s="7" t="inlineStr">
        <is>
          <t>Clôturé</t>
        </is>
      </c>
      <c r="AD1010" s="69">
        <f>IF(OR($A1010="",Q1010=""),"",(Q1010-B1010)*24)</f>
        <v/>
      </c>
      <c r="AE1010" s="69">
        <f>IF(OR(Q1010="",R1010=""),"",(R1010-Q1010)*24)</f>
        <v/>
      </c>
      <c r="AF1010" s="77">
        <f>IF(OR($A1010="",B1010=""),"",YEAR(B1010))</f>
        <v/>
      </c>
      <c r="AG1010" s="77">
        <f>IF(OR($A1010="",B1010=""),"",MONTH(B1010))</f>
        <v/>
      </c>
    </row>
    <row r="1011">
      <c r="A1011" s="7" t="inlineStr">
        <is>
          <t>OT-2026-0156</t>
        </is>
      </c>
      <c r="B1011" s="75" t="n">
        <v>46093.46736111111</v>
      </c>
      <c r="C1011" s="7" t="inlineStr">
        <is>
          <t>Sylvie Mathieu (resp. logistique)</t>
        </is>
      </c>
      <c r="D1011" s="7" t="inlineStr">
        <is>
          <t>EQ-LOG-006</t>
        </is>
      </c>
      <c r="E1011" s="9">
        <f>IF(D1011="","",IFERROR(INDEX('Équipements'!$B$5:$B$304,MATCH(D1011,'Équipements'!$A$5:$A$304,0)),"Code inconnu"))</f>
        <v/>
      </c>
      <c r="F1011" s="9">
        <f>IF(D1011="","",IFERROR(INDEX('Équipements'!$D$5:$D$304,MATCH(D1011,'Équipements'!$A$5:$A$304,0)),""))</f>
        <v/>
      </c>
      <c r="G1011" s="9">
        <f>IF(D1011="","",IFERROR(INDEX('Équipements'!$K$5:$K$304,MATCH(D1011,'Équipements'!$A$5:$A$304,0)),""))</f>
        <v/>
      </c>
      <c r="H1011" s="7" t="inlineStr">
        <is>
          <t>Correctif</t>
        </is>
      </c>
      <c r="I1011" s="7" t="n"/>
      <c r="J1011" s="7" t="inlineStr">
        <is>
          <t>Mécanique</t>
        </is>
      </c>
      <c r="K1011" s="7" t="inlineStr">
        <is>
          <t>P1 - Urgent</t>
        </is>
      </c>
      <c r="L1011" s="7" t="inlineStr">
        <is>
          <t>Câble de levage effiloché (réserve VGP)</t>
        </is>
      </c>
      <c r="M1011" s="7" t="inlineStr">
        <is>
          <t>Usure</t>
        </is>
      </c>
      <c r="N1011" s="7" t="inlineStr">
        <is>
          <t>Remplacement câble de levage</t>
        </is>
      </c>
      <c r="O1011" s="7" t="inlineStr">
        <is>
          <t>Lucas Fontaine</t>
        </is>
      </c>
      <c r="P1011" s="65" t="n"/>
      <c r="Q1011" s="75" t="n">
        <v>46093.49027777778</v>
      </c>
      <c r="R1011" s="75" t="n">
        <v>46093.61527777778</v>
      </c>
      <c r="S1011" s="76" t="n">
        <v>3.6</v>
      </c>
      <c r="T1011" s="76" t="n">
        <v>3</v>
      </c>
      <c r="U1011" s="70">
        <f>IF($A1011="","",IFERROR(INDEX('Techniciens'!$F$5:$F$44,MATCH(O1011,'Techniciens'!$B$5:$B$44,0)),'Paramètres'!$AA$10))</f>
        <v/>
      </c>
      <c r="V1011" s="70">
        <f>IF($A1011="","",IF(OR(AC1011="Demandé",AC1011="Planifié",AC1011="Annulé"),0,N(T1011)*N(U1011)))</f>
        <v/>
      </c>
      <c r="W1011" s="70">
        <f>IF($A1011="","",SUMIFS('Mouvements stock'!$H$5:$H$3004,'Mouvements stock'!$I$5:$I$3004,$A1011,'Mouvements stock'!$C$5:$C$3004,"Sortie")-SUMIFS('Mouvements stock'!$H$5:$H$3004,'Mouvements stock'!$I$5:$I$3004,$A1011,'Mouvements stock'!$C$5:$C$3004,"Retour"))</f>
        <v/>
      </c>
      <c r="X1011" s="66" t="n">
        <v>0</v>
      </c>
      <c r="Y1011" s="66" t="n">
        <v>1220</v>
      </c>
      <c r="Z1011" s="7" t="inlineStr">
        <is>
          <t>Levage Expertise Ouest</t>
        </is>
      </c>
      <c r="AA1011" s="70">
        <f>IF($A1011="","",N(V1011)+N(W1011)+N(X1011)+N(Y1011))</f>
        <v/>
      </c>
      <c r="AB1011" s="70">
        <f>IF($A1011="","",N(S1011)*'Paramètres'!$AA$9*IFERROR(INDEX('Paramètres'!$O$5:$O$7,MATCH(G1011,'Paramètres'!$N$5:$N$7,0)),0))</f>
        <v/>
      </c>
      <c r="AC1011" s="7" t="inlineStr">
        <is>
          <t>Clôturé</t>
        </is>
      </c>
      <c r="AD1011" s="69">
        <f>IF(OR($A1011="",Q1011=""),"",(Q1011-B1011)*24)</f>
        <v/>
      </c>
      <c r="AE1011" s="69">
        <f>IF(OR(Q1011="",R1011=""),"",(R1011-Q1011)*24)</f>
        <v/>
      </c>
      <c r="AF1011" s="77">
        <f>IF(OR($A1011="",B1011=""),"",YEAR(B1011))</f>
        <v/>
      </c>
      <c r="AG1011" s="77">
        <f>IF(OR($A1011="",B1011=""),"",MONTH(B1011))</f>
        <v/>
      </c>
    </row>
    <row r="1012">
      <c r="A1012" s="7" t="inlineStr">
        <is>
          <t>OT-2026-0157</t>
        </is>
      </c>
      <c r="B1012" s="75" t="n">
        <v>46094.44444444445</v>
      </c>
      <c r="C1012" s="7" t="inlineStr">
        <is>
          <t>Plan préventif</t>
        </is>
      </c>
      <c r="D1012" s="7" t="inlineStr">
        <is>
          <t>EQ-UTI-002</t>
        </is>
      </c>
      <c r="E1012" s="9">
        <f>IF(D1012="","",IFERROR(INDEX('Équipements'!$B$5:$B$304,MATCH(D1012,'Équipements'!$A$5:$A$304,0)),"Code inconnu"))</f>
        <v/>
      </c>
      <c r="F1012" s="9">
        <f>IF(D1012="","",IFERROR(INDEX('Équipements'!$D$5:$D$304,MATCH(D1012,'Équipements'!$A$5:$A$304,0)),""))</f>
        <v/>
      </c>
      <c r="G1012" s="9">
        <f>IF(D1012="","",IFERROR(INDEX('Équipements'!$K$5:$K$304,MATCH(D1012,'Équipements'!$A$5:$A$304,0)),""))</f>
        <v/>
      </c>
      <c r="H1012" s="7" t="inlineStr">
        <is>
          <t>Préventif systématique</t>
        </is>
      </c>
      <c r="I1012" s="7" t="inlineStr">
        <is>
          <t>GP-090</t>
        </is>
      </c>
      <c r="J1012" s="7" t="inlineStr">
        <is>
          <t>Pneumatique</t>
        </is>
      </c>
      <c r="K1012" s="7" t="inlineStr">
        <is>
          <t>P3 - Normale</t>
        </is>
      </c>
      <c r="L1012" s="7" t="inlineStr">
        <is>
          <t>Purge, contrôle fuites et point de rosée</t>
        </is>
      </c>
      <c r="M1012" s="7" t="n"/>
      <c r="N1012" s="7" t="inlineStr">
        <is>
          <t>Gamme réalisée - RAS</t>
        </is>
      </c>
      <c r="O1012" s="7" t="inlineStr">
        <is>
          <t>Lucas Fontaine</t>
        </is>
      </c>
      <c r="P1012" s="65" t="n">
        <v>46101.32291666666</v>
      </c>
      <c r="Q1012" s="75" t="n">
        <v>46101.43055555555</v>
      </c>
      <c r="R1012" s="75" t="n">
        <v>46101.50347222222</v>
      </c>
      <c r="S1012" s="76" t="n">
        <v>0</v>
      </c>
      <c r="T1012" s="76" t="n">
        <v>1.75</v>
      </c>
      <c r="U1012" s="70">
        <f>IF($A1012="","",IFERROR(INDEX('Techniciens'!$F$5:$F$44,MATCH(O1012,'Techniciens'!$B$5:$B$44,0)),'Paramètres'!$AA$10))</f>
        <v/>
      </c>
      <c r="V1012" s="70">
        <f>IF($A1012="","",IF(OR(AC1012="Demandé",AC1012="Planifié",AC1012="Annulé"),0,N(T1012)*N(U1012)))</f>
        <v/>
      </c>
      <c r="W1012" s="70">
        <f>IF($A1012="","",SUMIFS('Mouvements stock'!$H$5:$H$3004,'Mouvements stock'!$I$5:$I$3004,$A1012,'Mouvements stock'!$C$5:$C$3004,"Sortie")-SUMIFS('Mouvements stock'!$H$5:$H$3004,'Mouvements stock'!$I$5:$I$3004,$A1012,'Mouvements stock'!$C$5:$C$3004,"Retour"))</f>
        <v/>
      </c>
      <c r="X1012" s="66" t="n">
        <v>0</v>
      </c>
      <c r="Y1012" s="66" t="n">
        <v>0</v>
      </c>
      <c r="Z1012" s="7" t="n"/>
      <c r="AA1012" s="70">
        <f>IF($A1012="","",N(V1012)+N(W1012)+N(X1012)+N(Y1012))</f>
        <v/>
      </c>
      <c r="AB1012" s="70">
        <f>IF($A1012="","",N(S1012)*'Paramètres'!$AA$9*IFERROR(INDEX('Paramètres'!$O$5:$O$7,MATCH(G1012,'Paramètres'!$N$5:$N$7,0)),0))</f>
        <v/>
      </c>
      <c r="AC1012" s="7" t="inlineStr">
        <is>
          <t>Clôturé</t>
        </is>
      </c>
      <c r="AD1012" s="69">
        <f>IF(OR($A1012="",Q1012=""),"",(Q1012-B1012)*24)</f>
        <v/>
      </c>
      <c r="AE1012" s="69">
        <f>IF(OR(Q1012="",R1012=""),"",(R1012-Q1012)*24)</f>
        <v/>
      </c>
      <c r="AF1012" s="77">
        <f>IF(OR($A1012="",B1012=""),"",YEAR(B1012))</f>
        <v/>
      </c>
      <c r="AG1012" s="77">
        <f>IF(OR($A1012="",B1012=""),"",MONTH(B1012))</f>
        <v/>
      </c>
    </row>
    <row r="1013">
      <c r="A1013" s="7" t="inlineStr">
        <is>
          <t>OT-2026-0158</t>
        </is>
      </c>
      <c r="B1013" s="75" t="n">
        <v>46095.36875</v>
      </c>
      <c r="C1013" s="7" t="inlineStr">
        <is>
          <t>Cariste</t>
        </is>
      </c>
      <c r="D1013" s="7" t="inlineStr">
        <is>
          <t>EQ-LOG-006</t>
        </is>
      </c>
      <c r="E1013" s="9">
        <f>IF(D1013="","",IFERROR(INDEX('Équipements'!$B$5:$B$304,MATCH(D1013,'Équipements'!$A$5:$A$304,0)),"Code inconnu"))</f>
        <v/>
      </c>
      <c r="F1013" s="9">
        <f>IF(D1013="","",IFERROR(INDEX('Équipements'!$D$5:$D$304,MATCH(D1013,'Équipements'!$A$5:$A$304,0)),""))</f>
        <v/>
      </c>
      <c r="G1013" s="9">
        <f>IF(D1013="","",IFERROR(INDEX('Équipements'!$K$5:$K$304,MATCH(D1013,'Équipements'!$A$5:$A$304,0)),""))</f>
        <v/>
      </c>
      <c r="H1013" s="7" t="inlineStr">
        <is>
          <t>Correctif</t>
        </is>
      </c>
      <c r="I1013" s="7" t="n"/>
      <c r="J1013" s="7" t="inlineStr">
        <is>
          <t>Mécanique</t>
        </is>
      </c>
      <c r="K1013" s="7" t="inlineStr">
        <is>
          <t>P2 - Haute</t>
        </is>
      </c>
      <c r="L1013" s="7" t="inlineStr">
        <is>
          <t>Câble de levage effiloché (réserve VGP)</t>
        </is>
      </c>
      <c r="M1013" s="7" t="n"/>
      <c r="N1013" s="7" t="inlineStr">
        <is>
          <t>Doublon de demande - annulé</t>
        </is>
      </c>
      <c r="O1013" s="7" t="inlineStr">
        <is>
          <t>Antoine Mercier</t>
        </is>
      </c>
      <c r="P1013" s="65" t="n"/>
      <c r="Q1013" s="75" t="n"/>
      <c r="R1013" s="75" t="n"/>
      <c r="S1013" s="76" t="n">
        <v>0</v>
      </c>
      <c r="T1013" s="76" t="n">
        <v>0</v>
      </c>
      <c r="U1013" s="70">
        <f>IF($A1013="","",IFERROR(INDEX('Techniciens'!$F$5:$F$44,MATCH(O1013,'Techniciens'!$B$5:$B$44,0)),'Paramètres'!$AA$10))</f>
        <v/>
      </c>
      <c r="V1013" s="70">
        <f>IF($A1013="","",IF(OR(AC1013="Demandé",AC1013="Planifié",AC1013="Annulé"),0,N(T1013)*N(U1013)))</f>
        <v/>
      </c>
      <c r="W1013" s="70">
        <f>IF($A1013="","",SUMIFS('Mouvements stock'!$H$5:$H$3004,'Mouvements stock'!$I$5:$I$3004,$A1013,'Mouvements stock'!$C$5:$C$3004,"Sortie")-SUMIFS('Mouvements stock'!$H$5:$H$3004,'Mouvements stock'!$I$5:$I$3004,$A1013,'Mouvements stock'!$C$5:$C$3004,"Retour"))</f>
        <v/>
      </c>
      <c r="X1013" s="66" t="n">
        <v>0</v>
      </c>
      <c r="Y1013" s="66" t="n">
        <v>0</v>
      </c>
      <c r="Z1013" s="7" t="n"/>
      <c r="AA1013" s="70">
        <f>IF($A1013="","",N(V1013)+N(W1013)+N(X1013)+N(Y1013))</f>
        <v/>
      </c>
      <c r="AB1013" s="70">
        <f>IF($A1013="","",N(S1013)*'Paramètres'!$AA$9*IFERROR(INDEX('Paramètres'!$O$5:$O$7,MATCH(G1013,'Paramètres'!$N$5:$N$7,0)),0))</f>
        <v/>
      </c>
      <c r="AC1013" s="7" t="inlineStr">
        <is>
          <t>Annulé</t>
        </is>
      </c>
      <c r="AD1013" s="69">
        <f>IF(OR($A1013="",Q1013=""),"",(Q1013-B1013)*24)</f>
        <v/>
      </c>
      <c r="AE1013" s="69">
        <f>IF(OR(Q1013="",R1013=""),"",(R1013-Q1013)*24)</f>
        <v/>
      </c>
      <c r="AF1013" s="77">
        <f>IF(OR($A1013="",B1013=""),"",YEAR(B1013))</f>
        <v/>
      </c>
      <c r="AG1013" s="77">
        <f>IF(OR($A1013="",B1013=""),"",MONTH(B1013))</f>
        <v/>
      </c>
    </row>
    <row r="1014">
      <c r="A1014" s="7" t="inlineStr">
        <is>
          <t>OT-2026-0159</t>
        </is>
      </c>
      <c r="B1014" s="75" t="n">
        <v>46097.27777777778</v>
      </c>
      <c r="C1014" s="7" t="inlineStr">
        <is>
          <t>Opérateur tôlerie</t>
        </is>
      </c>
      <c r="D1014" s="7" t="inlineStr">
        <is>
          <t>EQ-TOL-007</t>
        </is>
      </c>
      <c r="E1014" s="9">
        <f>IF(D1014="","",IFERROR(INDEX('Équipements'!$B$5:$B$304,MATCH(D1014,'Équipements'!$A$5:$A$304,0)),"Code inconnu"))</f>
        <v/>
      </c>
      <c r="F1014" s="9">
        <f>IF(D1014="","",IFERROR(INDEX('Équipements'!$D$5:$D$304,MATCH(D1014,'Équipements'!$A$5:$A$304,0)),""))</f>
        <v/>
      </c>
      <c r="G1014" s="9">
        <f>IF(D1014="","",IFERROR(INDEX('Équipements'!$K$5:$K$304,MATCH(D1014,'Équipements'!$A$5:$A$304,0)),""))</f>
        <v/>
      </c>
      <c r="H1014" s="7" t="inlineStr">
        <is>
          <t>Correctif</t>
        </is>
      </c>
      <c r="I1014" s="7" t="n"/>
      <c r="J1014" s="7" t="inlineStr">
        <is>
          <t>Mécanique</t>
        </is>
      </c>
      <c r="K1014" s="7" t="inlineStr">
        <is>
          <t>P2 - Haute</t>
        </is>
      </c>
      <c r="L1014" s="7" t="inlineStr">
        <is>
          <t>Rupture / saut de chaîne</t>
        </is>
      </c>
      <c r="M1014" s="7" t="inlineStr">
        <is>
          <t>Usure</t>
        </is>
      </c>
      <c r="N1014" s="7" t="inlineStr">
        <is>
          <t>Remplacement maillons et galets, retension</t>
        </is>
      </c>
      <c r="O1014" s="7" t="inlineStr">
        <is>
          <t>Antoine Mercier</t>
        </is>
      </c>
      <c r="P1014" s="65" t="n"/>
      <c r="Q1014" s="75" t="n">
        <v>46097.45694444444</v>
      </c>
      <c r="R1014" s="75" t="n">
        <v>46097.54027777778</v>
      </c>
      <c r="S1014" s="76" t="n">
        <v>6.3</v>
      </c>
      <c r="T1014" s="76" t="n">
        <v>2</v>
      </c>
      <c r="U1014" s="70">
        <f>IF($A1014="","",IFERROR(INDEX('Techniciens'!$F$5:$F$44,MATCH(O1014,'Techniciens'!$B$5:$B$44,0)),'Paramètres'!$AA$10))</f>
        <v/>
      </c>
      <c r="V1014" s="70">
        <f>IF($A1014="","",IF(OR(AC1014="Demandé",AC1014="Planifié",AC1014="Annulé"),0,N(T1014)*N(U1014)))</f>
        <v/>
      </c>
      <c r="W1014" s="70">
        <f>IF($A1014="","",SUMIFS('Mouvements stock'!$H$5:$H$3004,'Mouvements stock'!$I$5:$I$3004,$A1014,'Mouvements stock'!$C$5:$C$3004,"Sortie")-SUMIFS('Mouvements stock'!$H$5:$H$3004,'Mouvements stock'!$I$5:$I$3004,$A1014,'Mouvements stock'!$C$5:$C$3004,"Retour"))</f>
        <v/>
      </c>
      <c r="X1014" s="66" t="n">
        <v>0</v>
      </c>
      <c r="Y1014" s="66" t="n">
        <v>0</v>
      </c>
      <c r="Z1014" s="7" t="n"/>
      <c r="AA1014" s="70">
        <f>IF($A1014="","",N(V1014)+N(W1014)+N(X1014)+N(Y1014))</f>
        <v/>
      </c>
      <c r="AB1014" s="70">
        <f>IF($A1014="","",N(S1014)*'Paramètres'!$AA$9*IFERROR(INDEX('Paramètres'!$O$5:$O$7,MATCH(G1014,'Paramètres'!$N$5:$N$7,0)),0))</f>
        <v/>
      </c>
      <c r="AC1014" s="7" t="inlineStr">
        <is>
          <t>Clôturé</t>
        </is>
      </c>
      <c r="AD1014" s="69">
        <f>IF(OR($A1014="",Q1014=""),"",(Q1014-B1014)*24)</f>
        <v/>
      </c>
      <c r="AE1014" s="69">
        <f>IF(OR(Q1014="",R1014=""),"",(R1014-Q1014)*24)</f>
        <v/>
      </c>
      <c r="AF1014" s="77">
        <f>IF(OR($A1014="",B1014=""),"",YEAR(B1014))</f>
        <v/>
      </c>
      <c r="AG1014" s="77">
        <f>IF(OR($A1014="",B1014=""),"",MONTH(B1014))</f>
        <v/>
      </c>
    </row>
    <row r="1015">
      <c r="A1015" s="7" t="inlineStr">
        <is>
          <t>OT-2026-0160</t>
        </is>
      </c>
      <c r="B1015" s="75" t="n">
        <v>46097.38194444445</v>
      </c>
      <c r="C1015" s="7" t="inlineStr">
        <is>
          <t>Plan préventif</t>
        </is>
      </c>
      <c r="D1015" s="7" t="inlineStr">
        <is>
          <t>EQ-UTI-003</t>
        </is>
      </c>
      <c r="E1015" s="9">
        <f>IF(D1015="","",IFERROR(INDEX('Équipements'!$B$5:$B$304,MATCH(D1015,'Équipements'!$A$5:$A$304,0)),"Code inconnu"))</f>
        <v/>
      </c>
      <c r="F1015" s="9">
        <f>IF(D1015="","",IFERROR(INDEX('Équipements'!$D$5:$D$304,MATCH(D1015,'Équipements'!$A$5:$A$304,0)),""))</f>
        <v/>
      </c>
      <c r="G1015" s="9">
        <f>IF(D1015="","",IFERROR(INDEX('Équipements'!$K$5:$K$304,MATCH(D1015,'Équipements'!$A$5:$A$304,0)),""))</f>
        <v/>
      </c>
      <c r="H1015" s="7" t="inlineStr">
        <is>
          <t>Préventif systématique</t>
        </is>
      </c>
      <c r="I1015" s="7" t="inlineStr">
        <is>
          <t>GP-092</t>
        </is>
      </c>
      <c r="J1015" s="7" t="inlineStr">
        <is>
          <t>Pneumatique</t>
        </is>
      </c>
      <c r="K1015" s="7" t="inlineStr">
        <is>
          <t>P3 - Normale</t>
        </is>
      </c>
      <c r="L1015" s="7" t="inlineStr">
        <is>
          <t>Purge, contrôle fuites et point de rosée</t>
        </is>
      </c>
      <c r="M1015" s="7" t="n"/>
      <c r="N1015" s="7" t="inlineStr">
        <is>
          <t>Gamme réalisée - RAS</t>
        </is>
      </c>
      <c r="O1015" s="7" t="inlineStr">
        <is>
          <t>Julien Moreau</t>
        </is>
      </c>
      <c r="P1015" s="65" t="n">
        <v>46104.55208333334</v>
      </c>
      <c r="Q1015" s="75" t="n">
        <v>46104.29166666666</v>
      </c>
      <c r="R1015" s="75" t="n">
        <v>46104.375</v>
      </c>
      <c r="S1015" s="76" t="n">
        <v>0</v>
      </c>
      <c r="T1015" s="76" t="n">
        <v>2</v>
      </c>
      <c r="U1015" s="70">
        <f>IF($A1015="","",IFERROR(INDEX('Techniciens'!$F$5:$F$44,MATCH(O1015,'Techniciens'!$B$5:$B$44,0)),'Paramètres'!$AA$10))</f>
        <v/>
      </c>
      <c r="V1015" s="70">
        <f>IF($A1015="","",IF(OR(AC1015="Demandé",AC1015="Planifié",AC1015="Annulé"),0,N(T1015)*N(U1015)))</f>
        <v/>
      </c>
      <c r="W1015" s="70">
        <f>IF($A1015="","",SUMIFS('Mouvements stock'!$H$5:$H$3004,'Mouvements stock'!$I$5:$I$3004,$A1015,'Mouvements stock'!$C$5:$C$3004,"Sortie")-SUMIFS('Mouvements stock'!$H$5:$H$3004,'Mouvements stock'!$I$5:$I$3004,$A1015,'Mouvements stock'!$C$5:$C$3004,"Retour"))</f>
        <v/>
      </c>
      <c r="X1015" s="66" t="n">
        <v>0</v>
      </c>
      <c r="Y1015" s="66" t="n">
        <v>0</v>
      </c>
      <c r="Z1015" s="7" t="n"/>
      <c r="AA1015" s="70">
        <f>IF($A1015="","",N(V1015)+N(W1015)+N(X1015)+N(Y1015))</f>
        <v/>
      </c>
      <c r="AB1015" s="70">
        <f>IF($A1015="","",N(S1015)*'Paramètres'!$AA$9*IFERROR(INDEX('Paramètres'!$O$5:$O$7,MATCH(G1015,'Paramètres'!$N$5:$N$7,0)),0))</f>
        <v/>
      </c>
      <c r="AC1015" s="7" t="inlineStr">
        <is>
          <t>Clôturé</t>
        </is>
      </c>
      <c r="AD1015" s="69">
        <f>IF(OR($A1015="",Q1015=""),"",(Q1015-B1015)*24)</f>
        <v/>
      </c>
      <c r="AE1015" s="69">
        <f>IF(OR(Q1015="",R1015=""),"",(R1015-Q1015)*24)</f>
        <v/>
      </c>
      <c r="AF1015" s="77">
        <f>IF(OR($A1015="",B1015=""),"",YEAR(B1015))</f>
        <v/>
      </c>
      <c r="AG1015" s="77">
        <f>IF(OR($A1015="",B1015=""),"",MONTH(B1015))</f>
        <v/>
      </c>
    </row>
    <row r="1016">
      <c r="A1016" s="7" t="inlineStr">
        <is>
          <t>OT-2026-0161</t>
        </is>
      </c>
      <c r="B1016" s="75" t="n">
        <v>46097.38888888889</v>
      </c>
      <c r="C1016" s="7" t="inlineStr">
        <is>
          <t>Plan préventif</t>
        </is>
      </c>
      <c r="D1016" s="7" t="inlineStr">
        <is>
          <t>EQ-TOL-001</t>
        </is>
      </c>
      <c r="E1016" s="9">
        <f>IF(D1016="","",IFERROR(INDEX('Équipements'!$B$5:$B$304,MATCH(D1016,'Équipements'!$A$5:$A$304,0)),"Code inconnu"))</f>
        <v/>
      </c>
      <c r="F1016" s="9">
        <f>IF(D1016="","",IFERROR(INDEX('Équipements'!$D$5:$D$304,MATCH(D1016,'Équipements'!$A$5:$A$304,0)),""))</f>
        <v/>
      </c>
      <c r="G1016" s="9">
        <f>IF(D1016="","",IFERROR(INDEX('Équipements'!$K$5:$K$304,MATCH(D1016,'Équipements'!$A$5:$A$304,0)),""))</f>
        <v/>
      </c>
      <c r="H1016" s="7" t="inlineStr">
        <is>
          <t>Préventif systématique</t>
        </is>
      </c>
      <c r="I1016" s="7" t="inlineStr">
        <is>
          <t>GP-038</t>
        </is>
      </c>
      <c r="J1016" s="7" t="inlineStr">
        <is>
          <t>Mécanique</t>
        </is>
      </c>
      <c r="K1016" s="7" t="inlineStr">
        <is>
          <t>P3 - Normale</t>
        </is>
      </c>
      <c r="L1016" s="7" t="inlineStr">
        <is>
          <t>Nettoyage optique, contrôle buse et lentille</t>
        </is>
      </c>
      <c r="M1016" s="7" t="n"/>
      <c r="N1016" s="7" t="inlineStr">
        <is>
          <t>Gamme réalisée - RAS</t>
        </is>
      </c>
      <c r="O1016" s="7" t="inlineStr">
        <is>
          <t>Karim Benali</t>
        </is>
      </c>
      <c r="P1016" s="65" t="n">
        <v>46104.58333333334</v>
      </c>
      <c r="Q1016" s="75" t="n">
        <v>46104.38194444445</v>
      </c>
      <c r="R1016" s="75" t="n">
        <v>46104.45486111111</v>
      </c>
      <c r="S1016" s="76" t="n">
        <v>0.9</v>
      </c>
      <c r="T1016" s="76" t="n">
        <v>1.75</v>
      </c>
      <c r="U1016" s="70">
        <f>IF($A1016="","",IFERROR(INDEX('Techniciens'!$F$5:$F$44,MATCH(O1016,'Techniciens'!$B$5:$B$44,0)),'Paramètres'!$AA$10))</f>
        <v/>
      </c>
      <c r="V1016" s="70">
        <f>IF($A1016="","",IF(OR(AC1016="Demandé",AC1016="Planifié",AC1016="Annulé"),0,N(T1016)*N(U1016)))</f>
        <v/>
      </c>
      <c r="W1016" s="70">
        <f>IF($A1016="","",SUMIFS('Mouvements stock'!$H$5:$H$3004,'Mouvements stock'!$I$5:$I$3004,$A1016,'Mouvements stock'!$C$5:$C$3004,"Sortie")-SUMIFS('Mouvements stock'!$H$5:$H$3004,'Mouvements stock'!$I$5:$I$3004,$A1016,'Mouvements stock'!$C$5:$C$3004,"Retour"))</f>
        <v/>
      </c>
      <c r="X1016" s="66" t="n">
        <v>0</v>
      </c>
      <c r="Y1016" s="66" t="n">
        <v>0</v>
      </c>
      <c r="Z1016" s="7" t="n"/>
      <c r="AA1016" s="70">
        <f>IF($A1016="","",N(V1016)+N(W1016)+N(X1016)+N(Y1016))</f>
        <v/>
      </c>
      <c r="AB1016" s="70">
        <f>IF($A1016="","",N(S1016)*'Paramètres'!$AA$9*IFERROR(INDEX('Paramètres'!$O$5:$O$7,MATCH(G1016,'Paramètres'!$N$5:$N$7,0)),0))</f>
        <v/>
      </c>
      <c r="AC1016" s="7" t="inlineStr">
        <is>
          <t>Clôturé</t>
        </is>
      </c>
      <c r="AD1016" s="69">
        <f>IF(OR($A1016="",Q1016=""),"",(Q1016-B1016)*24)</f>
        <v/>
      </c>
      <c r="AE1016" s="69">
        <f>IF(OR(Q1016="",R1016=""),"",(R1016-Q1016)*24)</f>
        <v/>
      </c>
      <c r="AF1016" s="77">
        <f>IF(OR($A1016="",B1016=""),"",YEAR(B1016))</f>
        <v/>
      </c>
      <c r="AG1016" s="77">
        <f>IF(OR($A1016="",B1016=""),"",MONTH(B1016))</f>
        <v/>
      </c>
    </row>
    <row r="1017">
      <c r="A1017" s="7" t="inlineStr">
        <is>
          <t>OT-2026-0162</t>
        </is>
      </c>
      <c r="B1017" s="75" t="n">
        <v>46097.40277777778</v>
      </c>
      <c r="C1017" s="7" t="inlineStr">
        <is>
          <t>Planning réglementaire</t>
        </is>
      </c>
      <c r="D1017" s="7" t="n"/>
      <c r="E1017" s="9">
        <f>IF(D1017="","",IFERROR(INDEX('Équipements'!$B$5:$B$304,MATCH(D1017,'Équipements'!$A$5:$A$304,0)),"Code inconnu"))</f>
        <v/>
      </c>
      <c r="F1017" s="9">
        <f>IF(D1017="","",IFERROR(INDEX('Équipements'!$D$5:$D$304,MATCH(D1017,'Équipements'!$A$5:$A$304,0)),""))</f>
        <v/>
      </c>
      <c r="G1017" s="9">
        <f>IF(D1017="","",IFERROR(INDEX('Équipements'!$K$5:$K$304,MATCH(D1017,'Équipements'!$A$5:$A$304,0)),""))</f>
        <v/>
      </c>
      <c r="H1017" s="7" t="inlineStr">
        <is>
          <t>Réglementaire</t>
        </is>
      </c>
      <c r="I1017" s="7" t="inlineStr">
        <is>
          <t>CR-017</t>
        </is>
      </c>
      <c r="J1017" s="7" t="inlineStr">
        <is>
          <t>Multi-technique</t>
        </is>
      </c>
      <c r="K1017" s="7" t="inlineStr">
        <is>
          <t>P2 - Haute</t>
        </is>
      </c>
      <c r="L1017" s="7" t="inlineStr">
        <is>
          <t>Vérification annuelle des extincteurs</t>
        </is>
      </c>
      <c r="M1017" s="7" t="n"/>
      <c r="N1017" s="7" t="inlineStr">
        <is>
          <t>Contrôle réalisé - aucune observation</t>
        </is>
      </c>
      <c r="O1017" s="7" t="inlineStr">
        <is>
          <t>Marc Lefèvre</t>
        </is>
      </c>
      <c r="P1017" s="65" t="n">
        <v>46118</v>
      </c>
      <c r="Q1017" s="75" t="n">
        <v>46118.45833333334</v>
      </c>
      <c r="R1017" s="75" t="n">
        <v>46118.5</v>
      </c>
      <c r="S1017" s="76" t="n">
        <v>0</v>
      </c>
      <c r="T1017" s="76" t="n">
        <v>1</v>
      </c>
      <c r="U1017" s="70">
        <f>IF($A1017="","",IFERROR(INDEX('Techniciens'!$F$5:$F$44,MATCH(O1017,'Techniciens'!$B$5:$B$44,0)),'Paramètres'!$AA$10))</f>
        <v/>
      </c>
      <c r="V1017" s="70">
        <f>IF($A1017="","",IF(OR(AC1017="Demandé",AC1017="Planifié",AC1017="Annulé"),0,N(T1017)*N(U1017)))</f>
        <v/>
      </c>
      <c r="W1017" s="70">
        <f>IF($A1017="","",SUMIFS('Mouvements stock'!$H$5:$H$3004,'Mouvements stock'!$I$5:$I$3004,$A1017,'Mouvements stock'!$C$5:$C$3004,"Sortie")-SUMIFS('Mouvements stock'!$H$5:$H$3004,'Mouvements stock'!$I$5:$I$3004,$A1017,'Mouvements stock'!$C$5:$C$3004,"Retour"))</f>
        <v/>
      </c>
      <c r="X1017" s="66" t="n">
        <v>0</v>
      </c>
      <c r="Y1017" s="66" t="n">
        <v>660</v>
      </c>
      <c r="Z1017" s="7" t="inlineStr">
        <is>
          <t>Sécurité Incendie Ouest</t>
        </is>
      </c>
      <c r="AA1017" s="70">
        <f>IF($A1017="","",N(V1017)+N(W1017)+N(X1017)+N(Y1017))</f>
        <v/>
      </c>
      <c r="AB1017" s="70">
        <f>IF($A1017="","",N(S1017)*'Paramètres'!$AA$9*IFERROR(INDEX('Paramètres'!$O$5:$O$7,MATCH(G1017,'Paramètres'!$N$5:$N$7,0)),0))</f>
        <v/>
      </c>
      <c r="AC1017" s="7" t="inlineStr">
        <is>
          <t>Clôturé</t>
        </is>
      </c>
      <c r="AD1017" s="69">
        <f>IF(OR($A1017="",Q1017=""),"",(Q1017-B1017)*24)</f>
        <v/>
      </c>
      <c r="AE1017" s="69">
        <f>IF(OR(Q1017="",R1017=""),"",(R1017-Q1017)*24)</f>
        <v/>
      </c>
      <c r="AF1017" s="77">
        <f>IF(OR($A1017="",B1017=""),"",YEAR(B1017))</f>
        <v/>
      </c>
      <c r="AG1017" s="77">
        <f>IF(OR($A1017="",B1017=""),"",MONTH(B1017))</f>
        <v/>
      </c>
    </row>
    <row r="1018">
      <c r="A1018" s="7" t="inlineStr">
        <is>
          <t>OT-2026-0163</t>
        </is>
      </c>
      <c r="B1018" s="75" t="n">
        <v>46097.40972222222</v>
      </c>
      <c r="C1018" s="7" t="inlineStr">
        <is>
          <t>Plan préventif</t>
        </is>
      </c>
      <c r="D1018" s="7" t="inlineStr">
        <is>
          <t>EQ-TOL-002</t>
        </is>
      </c>
      <c r="E1018" s="9">
        <f>IF(D1018="","",IFERROR(INDEX('Équipements'!$B$5:$B$304,MATCH(D1018,'Équipements'!$A$5:$A$304,0)),"Code inconnu"))</f>
        <v/>
      </c>
      <c r="F1018" s="9">
        <f>IF(D1018="","",IFERROR(INDEX('Équipements'!$D$5:$D$304,MATCH(D1018,'Équipements'!$A$5:$A$304,0)),""))</f>
        <v/>
      </c>
      <c r="G1018" s="9">
        <f>IF(D1018="","",IFERROR(INDEX('Équipements'!$K$5:$K$304,MATCH(D1018,'Équipements'!$A$5:$A$304,0)),""))</f>
        <v/>
      </c>
      <c r="H1018" s="7" t="inlineStr">
        <is>
          <t>Préventif systématique</t>
        </is>
      </c>
      <c r="I1018" s="7" t="inlineStr">
        <is>
          <t>GP-043</t>
        </is>
      </c>
      <c r="J1018" s="7" t="inlineStr">
        <is>
          <t>Électrique</t>
        </is>
      </c>
      <c r="K1018" s="7" t="inlineStr">
        <is>
          <t>P3 - Normale</t>
        </is>
      </c>
      <c r="L1018" s="7" t="inlineStr">
        <is>
          <t>Contrôle des sécurités (barrages, AU, pédale)</t>
        </is>
      </c>
      <c r="M1018" s="7" t="n"/>
      <c r="N1018" s="7" t="inlineStr">
        <is>
          <t>Gamme réalisée - RAS</t>
        </is>
      </c>
      <c r="O1018" s="7" t="inlineStr">
        <is>
          <t>Julien Moreau</t>
        </is>
      </c>
      <c r="P1018" s="65" t="n">
        <v>46104.65277777778</v>
      </c>
      <c r="Q1018" s="75" t="n">
        <v>46104.57291666666</v>
      </c>
      <c r="R1018" s="75" t="n">
        <v>46104.65625</v>
      </c>
      <c r="S1018" s="76" t="n">
        <v>1</v>
      </c>
      <c r="T1018" s="76" t="n">
        <v>2</v>
      </c>
      <c r="U1018" s="70">
        <f>IF($A1018="","",IFERROR(INDEX('Techniciens'!$F$5:$F$44,MATCH(O1018,'Techniciens'!$B$5:$B$44,0)),'Paramètres'!$AA$10))</f>
        <v/>
      </c>
      <c r="V1018" s="70">
        <f>IF($A1018="","",IF(OR(AC1018="Demandé",AC1018="Planifié",AC1018="Annulé"),0,N(T1018)*N(U1018)))</f>
        <v/>
      </c>
      <c r="W1018" s="70">
        <f>IF($A1018="","",SUMIFS('Mouvements stock'!$H$5:$H$3004,'Mouvements stock'!$I$5:$I$3004,$A1018,'Mouvements stock'!$C$5:$C$3004,"Sortie")-SUMIFS('Mouvements stock'!$H$5:$H$3004,'Mouvements stock'!$I$5:$I$3004,$A1018,'Mouvements stock'!$C$5:$C$3004,"Retour"))</f>
        <v/>
      </c>
      <c r="X1018" s="66" t="n">
        <v>0</v>
      </c>
      <c r="Y1018" s="66" t="n">
        <v>0</v>
      </c>
      <c r="Z1018" s="7" t="n"/>
      <c r="AA1018" s="70">
        <f>IF($A1018="","",N(V1018)+N(W1018)+N(X1018)+N(Y1018))</f>
        <v/>
      </c>
      <c r="AB1018" s="70">
        <f>IF($A1018="","",N(S1018)*'Paramètres'!$AA$9*IFERROR(INDEX('Paramètres'!$O$5:$O$7,MATCH(G1018,'Paramètres'!$N$5:$N$7,0)),0))</f>
        <v/>
      </c>
      <c r="AC1018" s="7" t="inlineStr">
        <is>
          <t>Clôturé</t>
        </is>
      </c>
      <c r="AD1018" s="69">
        <f>IF(OR($A1018="",Q1018=""),"",(Q1018-B1018)*24)</f>
        <v/>
      </c>
      <c r="AE1018" s="69">
        <f>IF(OR(Q1018="",R1018=""),"",(R1018-Q1018)*24)</f>
        <v/>
      </c>
      <c r="AF1018" s="77">
        <f>IF(OR($A1018="",B1018=""),"",YEAR(B1018))</f>
        <v/>
      </c>
      <c r="AG1018" s="77">
        <f>IF(OR($A1018="",B1018=""),"",MONTH(B1018))</f>
        <v/>
      </c>
    </row>
    <row r="1019">
      <c r="A1019" s="7" t="inlineStr">
        <is>
          <t>OT-2026-0164</t>
        </is>
      </c>
      <c r="B1019" s="75" t="n">
        <v>46098.40625</v>
      </c>
      <c r="C1019" s="7" t="inlineStr">
        <is>
          <t>Plan préventif</t>
        </is>
      </c>
      <c r="D1019" s="7" t="inlineStr">
        <is>
          <t>EQ-USI-012</t>
        </is>
      </c>
      <c r="E1019" s="9">
        <f>IF(D1019="","",IFERROR(INDEX('Équipements'!$B$5:$B$304,MATCH(D1019,'Équipements'!$A$5:$A$304,0)),"Code inconnu"))</f>
        <v/>
      </c>
      <c r="F1019" s="9">
        <f>IF(D1019="","",IFERROR(INDEX('Équipements'!$D$5:$D$304,MATCH(D1019,'Équipements'!$A$5:$A$304,0)),""))</f>
        <v/>
      </c>
      <c r="G1019" s="9">
        <f>IF(D1019="","",IFERROR(INDEX('Équipements'!$K$5:$K$304,MATCH(D1019,'Équipements'!$A$5:$A$304,0)),""))</f>
        <v/>
      </c>
      <c r="H1019" s="7" t="inlineStr">
        <is>
          <t>Préventif systématique</t>
        </is>
      </c>
      <c r="I1019" s="7" t="inlineStr">
        <is>
          <t>GP-035</t>
        </is>
      </c>
      <c r="J1019" s="7" t="inlineStr">
        <is>
          <t>Mécanique</t>
        </is>
      </c>
      <c r="K1019" s="7" t="inlineStr">
        <is>
          <t>P3 - Normale</t>
        </is>
      </c>
      <c r="L1019" s="7" t="inlineStr">
        <is>
          <t>Nettoyage torche et contrôle faisceau</t>
        </is>
      </c>
      <c r="M1019" s="7" t="n"/>
      <c r="N1019" s="7" t="inlineStr">
        <is>
          <t>Gamme réalisée - RAS</t>
        </is>
      </c>
      <c r="O1019" s="7" t="inlineStr">
        <is>
          <t>Lucas Fontaine</t>
        </is>
      </c>
      <c r="P1019" s="65" t="n">
        <v>46105.44791666666</v>
      </c>
      <c r="Q1019" s="75" t="n">
        <v>46105.40277777778</v>
      </c>
      <c r="R1019" s="75" t="n">
        <v>46105.43402777778</v>
      </c>
      <c r="S1019" s="76" t="n">
        <v>0.4</v>
      </c>
      <c r="T1019" s="76" t="n">
        <v>0.75</v>
      </c>
      <c r="U1019" s="70">
        <f>IF($A1019="","",IFERROR(INDEX('Techniciens'!$F$5:$F$44,MATCH(O1019,'Techniciens'!$B$5:$B$44,0)),'Paramètres'!$AA$10))</f>
        <v/>
      </c>
      <c r="V1019" s="70">
        <f>IF($A1019="","",IF(OR(AC1019="Demandé",AC1019="Planifié",AC1019="Annulé"),0,N(T1019)*N(U1019)))</f>
        <v/>
      </c>
      <c r="W1019" s="70">
        <f>IF($A1019="","",SUMIFS('Mouvements stock'!$H$5:$H$3004,'Mouvements stock'!$I$5:$I$3004,$A1019,'Mouvements stock'!$C$5:$C$3004,"Sortie")-SUMIFS('Mouvements stock'!$H$5:$H$3004,'Mouvements stock'!$I$5:$I$3004,$A1019,'Mouvements stock'!$C$5:$C$3004,"Retour"))</f>
        <v/>
      </c>
      <c r="X1019" s="66" t="n">
        <v>0</v>
      </c>
      <c r="Y1019" s="66" t="n">
        <v>0</v>
      </c>
      <c r="Z1019" s="7" t="n"/>
      <c r="AA1019" s="70">
        <f>IF($A1019="","",N(V1019)+N(W1019)+N(X1019)+N(Y1019))</f>
        <v/>
      </c>
      <c r="AB1019" s="70">
        <f>IF($A1019="","",N(S1019)*'Paramètres'!$AA$9*IFERROR(INDEX('Paramètres'!$O$5:$O$7,MATCH(G1019,'Paramètres'!$N$5:$N$7,0)),0))</f>
        <v/>
      </c>
      <c r="AC1019" s="7" t="inlineStr">
        <is>
          <t>Clôturé</t>
        </is>
      </c>
      <c r="AD1019" s="69">
        <f>IF(OR($A1019="",Q1019=""),"",(Q1019-B1019)*24)</f>
        <v/>
      </c>
      <c r="AE1019" s="69">
        <f>IF(OR(Q1019="",R1019=""),"",(R1019-Q1019)*24)</f>
        <v/>
      </c>
      <c r="AF1019" s="77">
        <f>IF(OR($A1019="",B1019=""),"",YEAR(B1019))</f>
        <v/>
      </c>
      <c r="AG1019" s="77">
        <f>IF(OR($A1019="",B1019=""),"",MONTH(B1019))</f>
        <v/>
      </c>
    </row>
    <row r="1020">
      <c r="A1020" s="7" t="inlineStr">
        <is>
          <t>OT-2026-0165</t>
        </is>
      </c>
      <c r="B1020" s="75" t="n">
        <v>46098.45138888889</v>
      </c>
      <c r="C1020" s="7" t="inlineStr">
        <is>
          <t>Plan préventif</t>
        </is>
      </c>
      <c r="D1020" s="7" t="inlineStr">
        <is>
          <t>EQ-USI-002</t>
        </is>
      </c>
      <c r="E1020" s="9">
        <f>IF(D1020="","",IFERROR(INDEX('Équipements'!$B$5:$B$304,MATCH(D1020,'Équipements'!$A$5:$A$304,0)),"Code inconnu"))</f>
        <v/>
      </c>
      <c r="F1020" s="9">
        <f>IF(D1020="","",IFERROR(INDEX('Équipements'!$D$5:$D$304,MATCH(D1020,'Équipements'!$A$5:$A$304,0)),""))</f>
        <v/>
      </c>
      <c r="G1020" s="9">
        <f>IF(D1020="","",IFERROR(INDEX('Équipements'!$K$5:$K$304,MATCH(D1020,'Équipements'!$A$5:$A$304,0)),""))</f>
        <v/>
      </c>
      <c r="H1020" s="7" t="inlineStr">
        <is>
          <t>Préventif systématique</t>
        </is>
      </c>
      <c r="I1020" s="7" t="inlineStr">
        <is>
          <t>GP-005</t>
        </is>
      </c>
      <c r="J1020" s="7" t="inlineStr">
        <is>
          <t>Mécanique</t>
        </is>
      </c>
      <c r="K1020" s="7" t="inlineStr">
        <is>
          <t>P3 - Normale</t>
        </is>
      </c>
      <c r="L1020" s="7" t="inlineStr">
        <is>
          <t>Contrôle niveaux, nettoyage filtres et bac à copeaux</t>
        </is>
      </c>
      <c r="M1020" s="7" t="n"/>
      <c r="N1020" s="7" t="inlineStr">
        <is>
          <t>Gamme réalisée - RAS</t>
        </is>
      </c>
      <c r="O1020" s="7" t="inlineStr">
        <is>
          <t>Antoine Mercier</t>
        </is>
      </c>
      <c r="P1020" s="65" t="n">
        <v>46105.51388888889</v>
      </c>
      <c r="Q1020" s="75" t="n">
        <v>46105.44791666666</v>
      </c>
      <c r="R1020" s="75" t="n">
        <v>46105.5</v>
      </c>
      <c r="S1020" s="76" t="n">
        <v>1.2</v>
      </c>
      <c r="T1020" s="76" t="n">
        <v>1.25</v>
      </c>
      <c r="U1020" s="70">
        <f>IF($A1020="","",IFERROR(INDEX('Techniciens'!$F$5:$F$44,MATCH(O1020,'Techniciens'!$B$5:$B$44,0)),'Paramètres'!$AA$10))</f>
        <v/>
      </c>
      <c r="V1020" s="70">
        <f>IF($A1020="","",IF(OR(AC1020="Demandé",AC1020="Planifié",AC1020="Annulé"),0,N(T1020)*N(U1020)))</f>
        <v/>
      </c>
      <c r="W1020" s="70">
        <f>IF($A1020="","",SUMIFS('Mouvements stock'!$H$5:$H$3004,'Mouvements stock'!$I$5:$I$3004,$A1020,'Mouvements stock'!$C$5:$C$3004,"Sortie")-SUMIFS('Mouvements stock'!$H$5:$H$3004,'Mouvements stock'!$I$5:$I$3004,$A1020,'Mouvements stock'!$C$5:$C$3004,"Retour"))</f>
        <v/>
      </c>
      <c r="X1020" s="66" t="n">
        <v>0</v>
      </c>
      <c r="Y1020" s="66" t="n">
        <v>0</v>
      </c>
      <c r="Z1020" s="7" t="n"/>
      <c r="AA1020" s="70">
        <f>IF($A1020="","",N(V1020)+N(W1020)+N(X1020)+N(Y1020))</f>
        <v/>
      </c>
      <c r="AB1020" s="70">
        <f>IF($A1020="","",N(S1020)*'Paramètres'!$AA$9*IFERROR(INDEX('Paramètres'!$O$5:$O$7,MATCH(G1020,'Paramètres'!$N$5:$N$7,0)),0))</f>
        <v/>
      </c>
      <c r="AC1020" s="7" t="inlineStr">
        <is>
          <t>Clôturé</t>
        </is>
      </c>
      <c r="AD1020" s="69">
        <f>IF(OR($A1020="",Q1020=""),"",(Q1020-B1020)*24)</f>
        <v/>
      </c>
      <c r="AE1020" s="69">
        <f>IF(OR(Q1020="",R1020=""),"",(R1020-Q1020)*24)</f>
        <v/>
      </c>
      <c r="AF1020" s="77">
        <f>IF(OR($A1020="",B1020=""),"",YEAR(B1020))</f>
        <v/>
      </c>
      <c r="AG1020" s="77">
        <f>IF(OR($A1020="",B1020=""),"",MONTH(B1020))</f>
        <v/>
      </c>
    </row>
    <row r="1021">
      <c r="A1021" s="7" t="inlineStr">
        <is>
          <t>OT-2026-0166</t>
        </is>
      </c>
      <c r="B1021" s="75" t="n">
        <v>46099.34375</v>
      </c>
      <c r="C1021" s="7" t="inlineStr">
        <is>
          <t>Plan préventif</t>
        </is>
      </c>
      <c r="D1021" s="7" t="inlineStr">
        <is>
          <t>EQ-ASS-002</t>
        </is>
      </c>
      <c r="E1021" s="9">
        <f>IF(D1021="","",IFERROR(INDEX('Équipements'!$B$5:$B$304,MATCH(D1021,'Équipements'!$A$5:$A$304,0)),"Code inconnu"))</f>
        <v/>
      </c>
      <c r="F1021" s="9">
        <f>IF(D1021="","",IFERROR(INDEX('Équipements'!$D$5:$D$304,MATCH(D1021,'Équipements'!$A$5:$A$304,0)),""))</f>
        <v/>
      </c>
      <c r="G1021" s="9">
        <f>IF(D1021="","",IFERROR(INDEX('Équipements'!$K$5:$K$304,MATCH(D1021,'Équipements'!$A$5:$A$304,0)),""))</f>
        <v/>
      </c>
      <c r="H1021" s="7" t="inlineStr">
        <is>
          <t>Préventif systématique</t>
        </is>
      </c>
      <c r="I1021" s="7" t="inlineStr">
        <is>
          <t>GP-080</t>
        </is>
      </c>
      <c r="J1021" s="7" t="inlineStr">
        <is>
          <t>Électrique</t>
        </is>
      </c>
      <c r="K1021" s="7" t="inlineStr">
        <is>
          <t>P3 - Normale</t>
        </is>
      </c>
      <c r="L1021" s="7" t="inlineStr">
        <is>
          <t>Contrôle des sécurités (barrages, AU, pédale)</t>
        </is>
      </c>
      <c r="M1021" s="7" t="n"/>
      <c r="N1021" s="7" t="inlineStr">
        <is>
          <t>Gamme réalisée - petite fuite corrigée</t>
        </is>
      </c>
      <c r="O1021" s="7" t="inlineStr">
        <is>
          <t>Thomas Petit</t>
        </is>
      </c>
      <c r="P1021" s="65" t="n">
        <v>46106.38541666666</v>
      </c>
      <c r="Q1021" s="75" t="n">
        <v>46106.28472222222</v>
      </c>
      <c r="R1021" s="75" t="n">
        <v>46106.35763888889</v>
      </c>
      <c r="S1021" s="76" t="n">
        <v>1.8</v>
      </c>
      <c r="T1021" s="76" t="n">
        <v>1.75</v>
      </c>
      <c r="U1021" s="70">
        <f>IF($A1021="","",IFERROR(INDEX('Techniciens'!$F$5:$F$44,MATCH(O1021,'Techniciens'!$B$5:$B$44,0)),'Paramètres'!$AA$10))</f>
        <v/>
      </c>
      <c r="V1021" s="70">
        <f>IF($A1021="","",IF(OR(AC1021="Demandé",AC1021="Planifié",AC1021="Annulé"),0,N(T1021)*N(U1021)))</f>
        <v/>
      </c>
      <c r="W1021" s="70">
        <f>IF($A1021="","",SUMIFS('Mouvements stock'!$H$5:$H$3004,'Mouvements stock'!$I$5:$I$3004,$A1021,'Mouvements stock'!$C$5:$C$3004,"Sortie")-SUMIFS('Mouvements stock'!$H$5:$H$3004,'Mouvements stock'!$I$5:$I$3004,$A1021,'Mouvements stock'!$C$5:$C$3004,"Retour"))</f>
        <v/>
      </c>
      <c r="X1021" s="66" t="n">
        <v>0</v>
      </c>
      <c r="Y1021" s="66" t="n">
        <v>0</v>
      </c>
      <c r="Z1021" s="7" t="n"/>
      <c r="AA1021" s="70">
        <f>IF($A1021="","",N(V1021)+N(W1021)+N(X1021)+N(Y1021))</f>
        <v/>
      </c>
      <c r="AB1021" s="70">
        <f>IF($A1021="","",N(S1021)*'Paramètres'!$AA$9*IFERROR(INDEX('Paramètres'!$O$5:$O$7,MATCH(G1021,'Paramètres'!$N$5:$N$7,0)),0))</f>
        <v/>
      </c>
      <c r="AC1021" s="7" t="inlineStr">
        <is>
          <t>Clôturé</t>
        </is>
      </c>
      <c r="AD1021" s="69">
        <f>IF(OR($A1021="",Q1021=""),"",(Q1021-B1021)*24)</f>
        <v/>
      </c>
      <c r="AE1021" s="69">
        <f>IF(OR(Q1021="",R1021=""),"",(R1021-Q1021)*24)</f>
        <v/>
      </c>
      <c r="AF1021" s="77">
        <f>IF(OR($A1021="",B1021=""),"",YEAR(B1021))</f>
        <v/>
      </c>
      <c r="AG1021" s="77">
        <f>IF(OR($A1021="",B1021=""),"",MONTH(B1021))</f>
        <v/>
      </c>
    </row>
    <row r="1022">
      <c r="A1022" s="7" t="inlineStr">
        <is>
          <t>OT-2026-0167</t>
        </is>
      </c>
      <c r="B1022" s="75" t="n">
        <v>46099.74236111111</v>
      </c>
      <c r="C1022" s="7" t="inlineStr">
        <is>
          <t>Cariste</t>
        </is>
      </c>
      <c r="D1022" s="7" t="inlineStr">
        <is>
          <t>EQ-LOG-001</t>
        </is>
      </c>
      <c r="E1022" s="9">
        <f>IF(D1022="","",IFERROR(INDEX('Équipements'!$B$5:$B$304,MATCH(D1022,'Équipements'!$A$5:$A$304,0)),"Code inconnu"))</f>
        <v/>
      </c>
      <c r="F1022" s="9">
        <f>IF(D1022="","",IFERROR(INDEX('Équipements'!$D$5:$D$304,MATCH(D1022,'Équipements'!$A$5:$A$304,0)),""))</f>
        <v/>
      </c>
      <c r="G1022" s="9">
        <f>IF(D1022="","",IFERROR(INDEX('Équipements'!$K$5:$K$304,MATCH(D1022,'Équipements'!$A$5:$A$304,0)),""))</f>
        <v/>
      </c>
      <c r="H1022" s="7" t="inlineStr">
        <is>
          <t>Correctif</t>
        </is>
      </c>
      <c r="I1022" s="7" t="n"/>
      <c r="J1022" s="7" t="inlineStr">
        <is>
          <t>Mécanique</t>
        </is>
      </c>
      <c r="K1022" s="7" t="inlineStr">
        <is>
          <t>P2 - Haute</t>
        </is>
      </c>
      <c r="L1022" s="7" t="inlineStr">
        <is>
          <t>Choc sur mât (dommage cariste)</t>
        </is>
      </c>
      <c r="M1022" s="7" t="inlineStr">
        <is>
          <t>Choc / accident</t>
        </is>
      </c>
      <c r="N1022" s="7" t="inlineStr">
        <is>
          <t>Redressage protège-conducteur, contrôle mât</t>
        </is>
      </c>
      <c r="O1022" s="7" t="inlineStr">
        <is>
          <t>Lucas Fontaine</t>
        </is>
      </c>
      <c r="P1022" s="65" t="n"/>
      <c r="Q1022" s="75" t="n">
        <v>46099.90694444445</v>
      </c>
      <c r="R1022" s="75" t="n">
        <v>46100.11527777778</v>
      </c>
      <c r="S1022" s="76" t="n">
        <v>2.7</v>
      </c>
      <c r="T1022" s="76" t="n">
        <v>5</v>
      </c>
      <c r="U1022" s="70">
        <f>IF($A1022="","",IFERROR(INDEX('Techniciens'!$F$5:$F$44,MATCH(O1022,'Techniciens'!$B$5:$B$44,0)),'Paramètres'!$AA$10))</f>
        <v/>
      </c>
      <c r="V1022" s="70">
        <f>IF($A1022="","",IF(OR(AC1022="Demandé",AC1022="Planifié",AC1022="Annulé"),0,N(T1022)*N(U1022)))</f>
        <v/>
      </c>
      <c r="W1022" s="70">
        <f>IF($A1022="","",SUMIFS('Mouvements stock'!$H$5:$H$3004,'Mouvements stock'!$I$5:$I$3004,$A1022,'Mouvements stock'!$C$5:$C$3004,"Sortie")-SUMIFS('Mouvements stock'!$H$5:$H$3004,'Mouvements stock'!$I$5:$I$3004,$A1022,'Mouvements stock'!$C$5:$C$3004,"Retour"))</f>
        <v/>
      </c>
      <c r="X1022" s="66" t="n">
        <v>0</v>
      </c>
      <c r="Y1022" s="66" t="n">
        <v>890</v>
      </c>
      <c r="Z1022" s="7" t="inlineStr">
        <is>
          <t>Manutention Services 44</t>
        </is>
      </c>
      <c r="AA1022" s="70">
        <f>IF($A1022="","",N(V1022)+N(W1022)+N(X1022)+N(Y1022))</f>
        <v/>
      </c>
      <c r="AB1022" s="70">
        <f>IF($A1022="","",N(S1022)*'Paramètres'!$AA$9*IFERROR(INDEX('Paramètres'!$O$5:$O$7,MATCH(G1022,'Paramètres'!$N$5:$N$7,0)),0))</f>
        <v/>
      </c>
      <c r="AC1022" s="7" t="inlineStr">
        <is>
          <t>Clôturé</t>
        </is>
      </c>
      <c r="AD1022" s="69">
        <f>IF(OR($A1022="",Q1022=""),"",(Q1022-B1022)*24)</f>
        <v/>
      </c>
      <c r="AE1022" s="69">
        <f>IF(OR(Q1022="",R1022=""),"",(R1022-Q1022)*24)</f>
        <v/>
      </c>
      <c r="AF1022" s="77">
        <f>IF(OR($A1022="",B1022=""),"",YEAR(B1022))</f>
        <v/>
      </c>
      <c r="AG1022" s="77">
        <f>IF(OR($A1022="",B1022=""),"",MONTH(B1022))</f>
        <v/>
      </c>
    </row>
    <row r="1023">
      <c r="A1023" s="7" t="inlineStr">
        <is>
          <t>OT-2026-0168</t>
        </is>
      </c>
      <c r="B1023" s="75" t="n">
        <v>46101.34027777778</v>
      </c>
      <c r="C1023" s="7" t="inlineStr">
        <is>
          <t>Plan préventif</t>
        </is>
      </c>
      <c r="D1023" s="7" t="inlineStr">
        <is>
          <t>EQ-UTI-006</t>
        </is>
      </c>
      <c r="E1023" s="9">
        <f>IF(D1023="","",IFERROR(INDEX('Équipements'!$B$5:$B$304,MATCH(D1023,'Équipements'!$A$5:$A$304,0)),"Code inconnu"))</f>
        <v/>
      </c>
      <c r="F1023" s="9">
        <f>IF(D1023="","",IFERROR(INDEX('Équipements'!$D$5:$D$304,MATCH(D1023,'Équipements'!$A$5:$A$304,0)),""))</f>
        <v/>
      </c>
      <c r="G1023" s="9">
        <f>IF(D1023="","",IFERROR(INDEX('Équipements'!$K$5:$K$304,MATCH(D1023,'Équipements'!$A$5:$A$304,0)),""))</f>
        <v/>
      </c>
      <c r="H1023" s="7" t="inlineStr">
        <is>
          <t>Préventif systématique</t>
        </is>
      </c>
      <c r="I1023" s="7" t="inlineStr">
        <is>
          <t>GP-095</t>
        </is>
      </c>
      <c r="J1023" s="7" t="inlineStr">
        <is>
          <t>Mécanique</t>
        </is>
      </c>
      <c r="K1023" s="7" t="inlineStr">
        <is>
          <t>P3 - Normale</t>
        </is>
      </c>
      <c r="L1023" s="7" t="inlineStr">
        <is>
          <t>Remplacement filtres et nettoyage batteries</t>
        </is>
      </c>
      <c r="M1023" s="7" t="n"/>
      <c r="N1023" s="7" t="inlineStr">
        <is>
          <t>Gamme réalisée - DI émise pour remplacement pièce</t>
        </is>
      </c>
      <c r="O1023" s="7" t="inlineStr">
        <is>
          <t>Karim Benali</t>
        </is>
      </c>
      <c r="P1023" s="65" t="n">
        <v>46108.39236111111</v>
      </c>
      <c r="Q1023" s="75" t="n">
        <v>46108.30208333334</v>
      </c>
      <c r="R1023" s="75" t="n">
        <v>46108.38541666666</v>
      </c>
      <c r="S1023" s="76" t="n">
        <v>0</v>
      </c>
      <c r="T1023" s="76" t="n">
        <v>2</v>
      </c>
      <c r="U1023" s="70">
        <f>IF($A1023="","",IFERROR(INDEX('Techniciens'!$F$5:$F$44,MATCH(O1023,'Techniciens'!$B$5:$B$44,0)),'Paramètres'!$AA$10))</f>
        <v/>
      </c>
      <c r="V1023" s="70">
        <f>IF($A1023="","",IF(OR(AC1023="Demandé",AC1023="Planifié",AC1023="Annulé"),0,N(T1023)*N(U1023)))</f>
        <v/>
      </c>
      <c r="W1023" s="70">
        <f>IF($A1023="","",SUMIFS('Mouvements stock'!$H$5:$H$3004,'Mouvements stock'!$I$5:$I$3004,$A1023,'Mouvements stock'!$C$5:$C$3004,"Sortie")-SUMIFS('Mouvements stock'!$H$5:$H$3004,'Mouvements stock'!$I$5:$I$3004,$A1023,'Mouvements stock'!$C$5:$C$3004,"Retour"))</f>
        <v/>
      </c>
      <c r="X1023" s="66" t="n">
        <v>0</v>
      </c>
      <c r="Y1023" s="66" t="n">
        <v>0</v>
      </c>
      <c r="Z1023" s="7" t="n"/>
      <c r="AA1023" s="70">
        <f>IF($A1023="","",N(V1023)+N(W1023)+N(X1023)+N(Y1023))</f>
        <v/>
      </c>
      <c r="AB1023" s="70">
        <f>IF($A1023="","",N(S1023)*'Paramètres'!$AA$9*IFERROR(INDEX('Paramètres'!$O$5:$O$7,MATCH(G1023,'Paramètres'!$N$5:$N$7,0)),0))</f>
        <v/>
      </c>
      <c r="AC1023" s="7" t="inlineStr">
        <is>
          <t>Clôturé</t>
        </is>
      </c>
      <c r="AD1023" s="69">
        <f>IF(OR($A1023="",Q1023=""),"",(Q1023-B1023)*24)</f>
        <v/>
      </c>
      <c r="AE1023" s="69">
        <f>IF(OR(Q1023="",R1023=""),"",(R1023-Q1023)*24)</f>
        <v/>
      </c>
      <c r="AF1023" s="77">
        <f>IF(OR($A1023="",B1023=""),"",YEAR(B1023))</f>
        <v/>
      </c>
      <c r="AG1023" s="77">
        <f>IF(OR($A1023="",B1023=""),"",MONTH(B1023))</f>
        <v/>
      </c>
    </row>
    <row r="1024">
      <c r="A1024" s="7" t="inlineStr">
        <is>
          <t>OT-2026-0169</t>
        </is>
      </c>
      <c r="B1024" s="75" t="n">
        <v>46101.47916666666</v>
      </c>
      <c r="C1024" s="7" t="inlineStr">
        <is>
          <t>Plan préventif</t>
        </is>
      </c>
      <c r="D1024" s="7" t="inlineStr">
        <is>
          <t>EQ-ASS-001</t>
        </is>
      </c>
      <c r="E1024" s="9">
        <f>IF(D1024="","",IFERROR(INDEX('Équipements'!$B$5:$B$304,MATCH(D1024,'Équipements'!$A$5:$A$304,0)),"Code inconnu"))</f>
        <v/>
      </c>
      <c r="F1024" s="9">
        <f>IF(D1024="","",IFERROR(INDEX('Équipements'!$D$5:$D$304,MATCH(D1024,'Équipements'!$A$5:$A$304,0)),""))</f>
        <v/>
      </c>
      <c r="G1024" s="9">
        <f>IF(D1024="","",IFERROR(INDEX('Équipements'!$K$5:$K$304,MATCH(D1024,'Équipements'!$A$5:$A$304,0)),""))</f>
        <v/>
      </c>
      <c r="H1024" s="7" t="inlineStr">
        <is>
          <t>Préventif systématique</t>
        </is>
      </c>
      <c r="I1024" s="7" t="inlineStr">
        <is>
          <t>GP-076</t>
        </is>
      </c>
      <c r="J1024" s="7" t="inlineStr">
        <is>
          <t>Mécanique</t>
        </is>
      </c>
      <c r="K1024" s="7" t="inlineStr">
        <is>
          <t>P3 - Normale</t>
        </is>
      </c>
      <c r="L1024" s="7" t="inlineStr">
        <is>
          <t>Graissage chaîne / galets et contrôle tension</t>
        </is>
      </c>
      <c r="M1024" s="7" t="n"/>
      <c r="N1024" s="7" t="inlineStr">
        <is>
          <t>Gamme réalisée - RAS</t>
        </is>
      </c>
      <c r="O1024" s="7" t="inlineStr">
        <is>
          <t>Lucas Fontaine</t>
        </is>
      </c>
      <c r="P1024" s="65" t="n">
        <v>46108.51041666666</v>
      </c>
      <c r="Q1024" s="75" t="n">
        <v>46108.45138888889</v>
      </c>
      <c r="R1024" s="75" t="n">
        <v>46108.54513888889</v>
      </c>
      <c r="S1024" s="76" t="n">
        <v>2.2</v>
      </c>
      <c r="T1024" s="76" t="n">
        <v>2.25</v>
      </c>
      <c r="U1024" s="70">
        <f>IF($A1024="","",IFERROR(INDEX('Techniciens'!$F$5:$F$44,MATCH(O1024,'Techniciens'!$B$5:$B$44,0)),'Paramètres'!$AA$10))</f>
        <v/>
      </c>
      <c r="V1024" s="70">
        <f>IF($A1024="","",IF(OR(AC1024="Demandé",AC1024="Planifié",AC1024="Annulé"),0,N(T1024)*N(U1024)))</f>
        <v/>
      </c>
      <c r="W1024" s="70">
        <f>IF($A1024="","",SUMIFS('Mouvements stock'!$H$5:$H$3004,'Mouvements stock'!$I$5:$I$3004,$A1024,'Mouvements stock'!$C$5:$C$3004,"Sortie")-SUMIFS('Mouvements stock'!$H$5:$H$3004,'Mouvements stock'!$I$5:$I$3004,$A1024,'Mouvements stock'!$C$5:$C$3004,"Retour"))</f>
        <v/>
      </c>
      <c r="X1024" s="66" t="n">
        <v>0</v>
      </c>
      <c r="Y1024" s="66" t="n">
        <v>0</v>
      </c>
      <c r="Z1024" s="7" t="n"/>
      <c r="AA1024" s="70">
        <f>IF($A1024="","",N(V1024)+N(W1024)+N(X1024)+N(Y1024))</f>
        <v/>
      </c>
      <c r="AB1024" s="70">
        <f>IF($A1024="","",N(S1024)*'Paramètres'!$AA$9*IFERROR(INDEX('Paramètres'!$O$5:$O$7,MATCH(G1024,'Paramètres'!$N$5:$N$7,0)),0))</f>
        <v/>
      </c>
      <c r="AC1024" s="7" t="inlineStr">
        <is>
          <t>Clôturé</t>
        </is>
      </c>
      <c r="AD1024" s="69">
        <f>IF(OR($A1024="",Q1024=""),"",(Q1024-B1024)*24)</f>
        <v/>
      </c>
      <c r="AE1024" s="69">
        <f>IF(OR(Q1024="",R1024=""),"",(R1024-Q1024)*24)</f>
        <v/>
      </c>
      <c r="AF1024" s="77">
        <f>IF(OR($A1024="",B1024=""),"",YEAR(B1024))</f>
        <v/>
      </c>
      <c r="AG1024" s="77">
        <f>IF(OR($A1024="",B1024=""),"",MONTH(B1024))</f>
        <v/>
      </c>
    </row>
    <row r="1025">
      <c r="A1025" s="7" t="inlineStr">
        <is>
          <t>OT-2026-0170</t>
        </is>
      </c>
      <c r="B1025" s="75" t="n">
        <v>46101.57361111111</v>
      </c>
      <c r="C1025" s="7" t="inlineStr">
        <is>
          <t>Opérateur tôlerie</t>
        </is>
      </c>
      <c r="D1025" s="7" t="inlineStr">
        <is>
          <t>EQ-TOL-002</t>
        </is>
      </c>
      <c r="E1025" s="9">
        <f>IF(D1025="","",IFERROR(INDEX('Équipements'!$B$5:$B$304,MATCH(D1025,'Équipements'!$A$5:$A$304,0)),"Code inconnu"))</f>
        <v/>
      </c>
      <c r="F1025" s="9">
        <f>IF(D1025="","",IFERROR(INDEX('Équipements'!$D$5:$D$304,MATCH(D1025,'Équipements'!$A$5:$A$304,0)),""))</f>
        <v/>
      </c>
      <c r="G1025" s="9">
        <f>IF(D1025="","",IFERROR(INDEX('Équipements'!$K$5:$K$304,MATCH(D1025,'Équipements'!$A$5:$A$304,0)),""))</f>
        <v/>
      </c>
      <c r="H1025" s="7" t="inlineStr">
        <is>
          <t>Correctif</t>
        </is>
      </c>
      <c r="I1025" s="7" t="n"/>
      <c r="J1025" s="7" t="inlineStr">
        <is>
          <t>Hydraulique</t>
        </is>
      </c>
      <c r="K1025" s="7" t="inlineStr">
        <is>
          <t>P1 - Urgent</t>
        </is>
      </c>
      <c r="L1025" s="7" t="inlineStr">
        <is>
          <t>Pompe hydraulique bruyante</t>
        </is>
      </c>
      <c r="M1025" s="7" t="inlineStr">
        <is>
          <t>Usure</t>
        </is>
      </c>
      <c r="N1025" s="7" t="inlineStr">
        <is>
          <t>Remplacement accouplement, contrôle débit pompe</t>
        </is>
      </c>
      <c r="O1025" s="7" t="inlineStr">
        <is>
          <t>Karim Benali</t>
        </is>
      </c>
      <c r="P1025" s="65" t="n"/>
      <c r="Q1025" s="75" t="n">
        <v>46101.60763888889</v>
      </c>
      <c r="R1025" s="75" t="n">
        <v>46101.77430555555</v>
      </c>
      <c r="S1025" s="76" t="n">
        <v>4.8</v>
      </c>
      <c r="T1025" s="76" t="n">
        <v>4</v>
      </c>
      <c r="U1025" s="70">
        <f>IF($A1025="","",IFERROR(INDEX('Techniciens'!$F$5:$F$44,MATCH(O1025,'Techniciens'!$B$5:$B$44,0)),'Paramètres'!$AA$10))</f>
        <v/>
      </c>
      <c r="V1025" s="70">
        <f>IF($A1025="","",IF(OR(AC1025="Demandé",AC1025="Planifié",AC1025="Annulé"),0,N(T1025)*N(U1025)))</f>
        <v/>
      </c>
      <c r="W1025" s="70">
        <f>IF($A1025="","",SUMIFS('Mouvements stock'!$H$5:$H$3004,'Mouvements stock'!$I$5:$I$3004,$A1025,'Mouvements stock'!$C$5:$C$3004,"Sortie")-SUMIFS('Mouvements stock'!$H$5:$H$3004,'Mouvements stock'!$I$5:$I$3004,$A1025,'Mouvements stock'!$C$5:$C$3004,"Retour"))</f>
        <v/>
      </c>
      <c r="X1025" s="66" t="n">
        <v>0</v>
      </c>
      <c r="Y1025" s="66" t="n">
        <v>0</v>
      </c>
      <c r="Z1025" s="7" t="n"/>
      <c r="AA1025" s="70">
        <f>IF($A1025="","",N(V1025)+N(W1025)+N(X1025)+N(Y1025))</f>
        <v/>
      </c>
      <c r="AB1025" s="70">
        <f>IF($A1025="","",N(S1025)*'Paramètres'!$AA$9*IFERROR(INDEX('Paramètres'!$O$5:$O$7,MATCH(G1025,'Paramètres'!$N$5:$N$7,0)),0))</f>
        <v/>
      </c>
      <c r="AC1025" s="7" t="inlineStr">
        <is>
          <t>Clôturé</t>
        </is>
      </c>
      <c r="AD1025" s="69">
        <f>IF(OR($A1025="",Q1025=""),"",(Q1025-B1025)*24)</f>
        <v/>
      </c>
      <c r="AE1025" s="69">
        <f>IF(OR(Q1025="",R1025=""),"",(R1025-Q1025)*24)</f>
        <v/>
      </c>
      <c r="AF1025" s="77">
        <f>IF(OR($A1025="",B1025=""),"",YEAR(B1025))</f>
        <v/>
      </c>
      <c r="AG1025" s="77">
        <f>IF(OR($A1025="",B1025=""),"",MONTH(B1025))</f>
        <v/>
      </c>
    </row>
    <row r="1026">
      <c r="A1026" s="7" t="inlineStr">
        <is>
          <t>OT-2026-0171</t>
        </is>
      </c>
      <c r="B1026" s="75" t="n">
        <v>46104.36111111111</v>
      </c>
      <c r="C1026" s="7" t="inlineStr">
        <is>
          <t>Plan préventif</t>
        </is>
      </c>
      <c r="D1026" s="7" t="inlineStr">
        <is>
          <t>EQ-PEI-004</t>
        </is>
      </c>
      <c r="E1026" s="9">
        <f>IF(D1026="","",IFERROR(INDEX('Équipements'!$B$5:$B$304,MATCH(D1026,'Équipements'!$A$5:$A$304,0)),"Code inconnu"))</f>
        <v/>
      </c>
      <c r="F1026" s="9">
        <f>IF(D1026="","",IFERROR(INDEX('Équipements'!$D$5:$D$304,MATCH(D1026,'Équipements'!$A$5:$A$304,0)),""))</f>
        <v/>
      </c>
      <c r="G1026" s="9">
        <f>IF(D1026="","",IFERROR(INDEX('Équipements'!$K$5:$K$304,MATCH(D1026,'Équipements'!$A$5:$A$304,0)),""))</f>
        <v/>
      </c>
      <c r="H1026" s="7" t="inlineStr">
        <is>
          <t>Préventif systématique</t>
        </is>
      </c>
      <c r="I1026" s="7" t="inlineStr">
        <is>
          <t>GP-072</t>
        </is>
      </c>
      <c r="J1026" s="7" t="inlineStr">
        <is>
          <t>Mécanique</t>
        </is>
      </c>
      <c r="K1026" s="7" t="inlineStr">
        <is>
          <t>P3 - Normale</t>
        </is>
      </c>
      <c r="L1026" s="7" t="inlineStr">
        <is>
          <t>Graissage chaîne / galets et contrôle tension</t>
        </is>
      </c>
      <c r="M1026" s="7" t="n"/>
      <c r="N1026" s="7" t="inlineStr">
        <is>
          <t>Gamme réalisée - RAS</t>
        </is>
      </c>
      <c r="O1026" s="7" t="inlineStr">
        <is>
          <t>Karim Benali</t>
        </is>
      </c>
      <c r="P1026" s="65" t="n">
        <v>46111.59375</v>
      </c>
      <c r="Q1026" s="75" t="n">
        <v>46111.53125</v>
      </c>
      <c r="R1026" s="75" t="n">
        <v>46111.63541666666</v>
      </c>
      <c r="S1026" s="76" t="n">
        <v>2.5</v>
      </c>
      <c r="T1026" s="76" t="n">
        <v>2.5</v>
      </c>
      <c r="U1026" s="70">
        <f>IF($A1026="","",IFERROR(INDEX('Techniciens'!$F$5:$F$44,MATCH(O1026,'Techniciens'!$B$5:$B$44,0)),'Paramètres'!$AA$10))</f>
        <v/>
      </c>
      <c r="V1026" s="70">
        <f>IF($A1026="","",IF(OR(AC1026="Demandé",AC1026="Planifié",AC1026="Annulé"),0,N(T1026)*N(U1026)))</f>
        <v/>
      </c>
      <c r="W1026" s="70">
        <f>IF($A1026="","",SUMIFS('Mouvements stock'!$H$5:$H$3004,'Mouvements stock'!$I$5:$I$3004,$A1026,'Mouvements stock'!$C$5:$C$3004,"Sortie")-SUMIFS('Mouvements stock'!$H$5:$H$3004,'Mouvements stock'!$I$5:$I$3004,$A1026,'Mouvements stock'!$C$5:$C$3004,"Retour"))</f>
        <v/>
      </c>
      <c r="X1026" s="66" t="n">
        <v>0</v>
      </c>
      <c r="Y1026" s="66" t="n">
        <v>0</v>
      </c>
      <c r="Z1026" s="7" t="n"/>
      <c r="AA1026" s="70">
        <f>IF($A1026="","",N(V1026)+N(W1026)+N(X1026)+N(Y1026))</f>
        <v/>
      </c>
      <c r="AB1026" s="70">
        <f>IF($A1026="","",N(S1026)*'Paramètres'!$AA$9*IFERROR(INDEX('Paramètres'!$O$5:$O$7,MATCH(G1026,'Paramètres'!$N$5:$N$7,0)),0))</f>
        <v/>
      </c>
      <c r="AC1026" s="7" t="inlineStr">
        <is>
          <t>Clôturé</t>
        </is>
      </c>
      <c r="AD1026" s="69">
        <f>IF(OR($A1026="",Q1026=""),"",(Q1026-B1026)*24)</f>
        <v/>
      </c>
      <c r="AE1026" s="69">
        <f>IF(OR(Q1026="",R1026=""),"",(R1026-Q1026)*24)</f>
        <v/>
      </c>
      <c r="AF1026" s="77">
        <f>IF(OR($A1026="",B1026=""),"",YEAR(B1026))</f>
        <v/>
      </c>
      <c r="AG1026" s="77">
        <f>IF(OR($A1026="",B1026=""),"",MONTH(B1026))</f>
        <v/>
      </c>
    </row>
    <row r="1027">
      <c r="A1027" s="7" t="inlineStr">
        <is>
          <t>OT-2026-0172</t>
        </is>
      </c>
      <c r="B1027" s="75" t="n">
        <v>46104.36111111111</v>
      </c>
      <c r="C1027" s="7" t="inlineStr">
        <is>
          <t>Planning réglementaire</t>
        </is>
      </c>
      <c r="D1027" s="7" t="inlineStr">
        <is>
          <t>EQ-UTI-004</t>
        </is>
      </c>
      <c r="E1027" s="9">
        <f>IF(D1027="","",IFERROR(INDEX('Équipements'!$B$5:$B$304,MATCH(D1027,'Équipements'!$A$5:$A$304,0)),"Code inconnu"))</f>
        <v/>
      </c>
      <c r="F1027" s="9">
        <f>IF(D1027="","",IFERROR(INDEX('Équipements'!$D$5:$D$304,MATCH(D1027,'Équipements'!$A$5:$A$304,0)),""))</f>
        <v/>
      </c>
      <c r="G1027" s="9">
        <f>IF(D1027="","",IFERROR(INDEX('Équipements'!$K$5:$K$304,MATCH(D1027,'Équipements'!$A$5:$A$304,0)),""))</f>
        <v/>
      </c>
      <c r="H1027" s="7" t="inlineStr">
        <is>
          <t>Réglementaire</t>
        </is>
      </c>
      <c r="I1027" s="7" t="inlineStr">
        <is>
          <t>CR-015</t>
        </is>
      </c>
      <c r="J1027" s="7" t="inlineStr">
        <is>
          <t>Multi-technique</t>
        </is>
      </c>
      <c r="K1027" s="7" t="inlineStr">
        <is>
          <t>P2 - Haute</t>
        </is>
      </c>
      <c r="L1027" s="7" t="inlineStr">
        <is>
          <t>Inspection périodique équipement sous pression</t>
        </is>
      </c>
      <c r="M1027" s="7" t="n"/>
      <c r="N1027" s="7" t="inlineStr">
        <is>
          <t>Contrôle réalisé - aucune observation</t>
        </is>
      </c>
      <c r="O1027" s="7" t="inlineStr">
        <is>
          <t>Marc Lefèvre</t>
        </is>
      </c>
      <c r="P1027" s="65" t="n">
        <v>46125</v>
      </c>
      <c r="Q1027" s="75" t="n">
        <v>46125.48611111111</v>
      </c>
      <c r="R1027" s="75" t="n">
        <v>46125.52777777778</v>
      </c>
      <c r="S1027" s="76" t="n">
        <v>0</v>
      </c>
      <c r="T1027" s="76" t="n">
        <v>1</v>
      </c>
      <c r="U1027" s="70">
        <f>IF($A1027="","",IFERROR(INDEX('Techniciens'!$F$5:$F$44,MATCH(O1027,'Techniciens'!$B$5:$B$44,0)),'Paramètres'!$AA$10))</f>
        <v/>
      </c>
      <c r="V1027" s="70">
        <f>IF($A1027="","",IF(OR(AC1027="Demandé",AC1027="Planifié",AC1027="Annulé"),0,N(T1027)*N(U1027)))</f>
        <v/>
      </c>
      <c r="W1027" s="70">
        <f>IF($A1027="","",SUMIFS('Mouvements stock'!$H$5:$H$3004,'Mouvements stock'!$I$5:$I$3004,$A1027,'Mouvements stock'!$C$5:$C$3004,"Sortie")-SUMIFS('Mouvements stock'!$H$5:$H$3004,'Mouvements stock'!$I$5:$I$3004,$A1027,'Mouvements stock'!$C$5:$C$3004,"Retour"))</f>
        <v/>
      </c>
      <c r="X1027" s="66" t="n">
        <v>0</v>
      </c>
      <c r="Y1027" s="66" t="n">
        <v>440</v>
      </c>
      <c r="Z1027" s="7" t="inlineStr">
        <is>
          <t>CONTROLIS (organisme fictif)</t>
        </is>
      </c>
      <c r="AA1027" s="70">
        <f>IF($A1027="","",N(V1027)+N(W1027)+N(X1027)+N(Y1027))</f>
        <v/>
      </c>
      <c r="AB1027" s="70">
        <f>IF($A1027="","",N(S1027)*'Paramètres'!$AA$9*IFERROR(INDEX('Paramètres'!$O$5:$O$7,MATCH(G1027,'Paramètres'!$N$5:$N$7,0)),0))</f>
        <v/>
      </c>
      <c r="AC1027" s="7" t="inlineStr">
        <is>
          <t>Clôturé</t>
        </is>
      </c>
      <c r="AD1027" s="69">
        <f>IF(OR($A1027="",Q1027=""),"",(Q1027-B1027)*24)</f>
        <v/>
      </c>
      <c r="AE1027" s="69">
        <f>IF(OR(Q1027="",R1027=""),"",(R1027-Q1027)*24)</f>
        <v/>
      </c>
      <c r="AF1027" s="77">
        <f>IF(OR($A1027="",B1027=""),"",YEAR(B1027))</f>
        <v/>
      </c>
      <c r="AG1027" s="77">
        <f>IF(OR($A1027="",B1027=""),"",MONTH(B1027))</f>
        <v/>
      </c>
    </row>
    <row r="1028">
      <c r="A1028" s="7" t="inlineStr">
        <is>
          <t>OT-2026-0173</t>
        </is>
      </c>
      <c r="B1028" s="75" t="n">
        <v>46104.40486111111</v>
      </c>
      <c r="C1028" s="7" t="inlineStr">
        <is>
          <t>Opérateur usinage</t>
        </is>
      </c>
      <c r="D1028" s="7" t="inlineStr">
        <is>
          <t>EQ-USI-006</t>
        </is>
      </c>
      <c r="E1028" s="9">
        <f>IF(D1028="","",IFERROR(INDEX('Équipements'!$B$5:$B$304,MATCH(D1028,'Équipements'!$A$5:$A$304,0)),"Code inconnu"))</f>
        <v/>
      </c>
      <c r="F1028" s="9">
        <f>IF(D1028="","",IFERROR(INDEX('Équipements'!$D$5:$D$304,MATCH(D1028,'Équipements'!$A$5:$A$304,0)),""))</f>
        <v/>
      </c>
      <c r="G1028" s="9">
        <f>IF(D1028="","",IFERROR(INDEX('Équipements'!$K$5:$K$304,MATCH(D1028,'Équipements'!$A$5:$A$304,0)),""))</f>
        <v/>
      </c>
      <c r="H1028" s="7" t="inlineStr">
        <is>
          <t>Correctif</t>
        </is>
      </c>
      <c r="I1028" s="7" t="n"/>
      <c r="J1028" s="7" t="inlineStr">
        <is>
          <t>Électrique</t>
        </is>
      </c>
      <c r="K1028" s="7" t="inlineStr">
        <is>
          <t>P3 - Normale</t>
        </is>
      </c>
      <c r="L1028" s="7" t="inlineStr">
        <is>
          <t>Alarme codeur axe X</t>
        </is>
      </c>
      <c r="M1028" s="7" t="inlineStr">
        <is>
          <t>Défaut capteur</t>
        </is>
      </c>
      <c r="N1028" s="7" t="inlineStr">
        <is>
          <t>Contrôle câblage, remplacement codeur</t>
        </is>
      </c>
      <c r="O1028" s="7" t="inlineStr">
        <is>
          <t>Thomas Petit</t>
        </is>
      </c>
      <c r="P1028" s="65" t="n"/>
      <c r="Q1028" s="75" t="n">
        <v>46105.31111111111</v>
      </c>
      <c r="R1028" s="75" t="n">
        <v>46105.67569444444</v>
      </c>
      <c r="S1028" s="76" t="n">
        <v>8.800000000000001</v>
      </c>
      <c r="T1028" s="76" t="n">
        <v>8.75</v>
      </c>
      <c r="U1028" s="70">
        <f>IF($A1028="","",IFERROR(INDEX('Techniciens'!$F$5:$F$44,MATCH(O1028,'Techniciens'!$B$5:$B$44,0)),'Paramètres'!$AA$10))</f>
        <v/>
      </c>
      <c r="V1028" s="70">
        <f>IF($A1028="","",IF(OR(AC1028="Demandé",AC1028="Planifié",AC1028="Annulé"),0,N(T1028)*N(U1028)))</f>
        <v/>
      </c>
      <c r="W1028" s="70">
        <f>IF($A1028="","",SUMIFS('Mouvements stock'!$H$5:$H$3004,'Mouvements stock'!$I$5:$I$3004,$A1028,'Mouvements stock'!$C$5:$C$3004,"Sortie")-SUMIFS('Mouvements stock'!$H$5:$H$3004,'Mouvements stock'!$I$5:$I$3004,$A1028,'Mouvements stock'!$C$5:$C$3004,"Retour"))</f>
        <v/>
      </c>
      <c r="X1028" s="66" t="n">
        <v>0</v>
      </c>
      <c r="Y1028" s="66" t="n">
        <v>0</v>
      </c>
      <c r="Z1028" s="7" t="n"/>
      <c r="AA1028" s="70">
        <f>IF($A1028="","",N(V1028)+N(W1028)+N(X1028)+N(Y1028))</f>
        <v/>
      </c>
      <c r="AB1028" s="70">
        <f>IF($A1028="","",N(S1028)*'Paramètres'!$AA$9*IFERROR(INDEX('Paramètres'!$O$5:$O$7,MATCH(G1028,'Paramètres'!$N$5:$N$7,0)),0))</f>
        <v/>
      </c>
      <c r="AC1028" s="7" t="inlineStr">
        <is>
          <t>Clôturé</t>
        </is>
      </c>
      <c r="AD1028" s="69">
        <f>IF(OR($A1028="",Q1028=""),"",(Q1028-B1028)*24)</f>
        <v/>
      </c>
      <c r="AE1028" s="69">
        <f>IF(OR(Q1028="",R1028=""),"",(R1028-Q1028)*24)</f>
        <v/>
      </c>
      <c r="AF1028" s="77">
        <f>IF(OR($A1028="",B1028=""),"",YEAR(B1028))</f>
        <v/>
      </c>
      <c r="AG1028" s="77">
        <f>IF(OR($A1028="",B1028=""),"",MONTH(B1028))</f>
        <v/>
      </c>
    </row>
    <row r="1029">
      <c r="A1029" s="7" t="inlineStr">
        <is>
          <t>OT-2026-0174</t>
        </is>
      </c>
      <c r="B1029" s="75" t="n">
        <v>46104.44444444445</v>
      </c>
      <c r="C1029" s="7" t="inlineStr">
        <is>
          <t>Plan préventif</t>
        </is>
      </c>
      <c r="D1029" s="7" t="inlineStr">
        <is>
          <t>EQ-USI-007</t>
        </is>
      </c>
      <c r="E1029" s="9">
        <f>IF(D1029="","",IFERROR(INDEX('Équipements'!$B$5:$B$304,MATCH(D1029,'Équipements'!$A$5:$A$304,0)),"Code inconnu"))</f>
        <v/>
      </c>
      <c r="F1029" s="9">
        <f>IF(D1029="","",IFERROR(INDEX('Équipements'!$D$5:$D$304,MATCH(D1029,'Équipements'!$A$5:$A$304,0)),""))</f>
        <v/>
      </c>
      <c r="G1029" s="9">
        <f>IF(D1029="","",IFERROR(INDEX('Équipements'!$K$5:$K$304,MATCH(D1029,'Équipements'!$A$5:$A$304,0)),""))</f>
        <v/>
      </c>
      <c r="H1029" s="7" t="inlineStr">
        <is>
          <t>Préventif systématique</t>
        </is>
      </c>
      <c r="I1029" s="7" t="inlineStr">
        <is>
          <t>GP-025</t>
        </is>
      </c>
      <c r="J1029" s="7" t="inlineStr">
        <is>
          <t>Mécanique</t>
        </is>
      </c>
      <c r="K1029" s="7" t="inlineStr">
        <is>
          <t>P3 - Normale</t>
        </is>
      </c>
      <c r="L1029" s="7" t="inlineStr">
        <is>
          <t>Contrôle niveaux, nettoyage filtres et bac à copeaux</t>
        </is>
      </c>
      <c r="M1029" s="7" t="n"/>
      <c r="N1029" s="7" t="inlineStr">
        <is>
          <t>Gamme réalisée - RAS</t>
        </is>
      </c>
      <c r="O1029" s="7" t="inlineStr">
        <is>
          <t>Lucas Fontaine</t>
        </is>
      </c>
      <c r="P1029" s="65" t="n">
        <v>46111.36805555555</v>
      </c>
      <c r="Q1029" s="75" t="n">
        <v>46111.38541666666</v>
      </c>
      <c r="R1029" s="75" t="n">
        <v>46111.45833333334</v>
      </c>
      <c r="S1029" s="76" t="n">
        <v>0</v>
      </c>
      <c r="T1029" s="76" t="n">
        <v>1.75</v>
      </c>
      <c r="U1029" s="70">
        <f>IF($A1029="","",IFERROR(INDEX('Techniciens'!$F$5:$F$44,MATCH(O1029,'Techniciens'!$B$5:$B$44,0)),'Paramètres'!$AA$10))</f>
        <v/>
      </c>
      <c r="V1029" s="70">
        <f>IF($A1029="","",IF(OR(AC1029="Demandé",AC1029="Planifié",AC1029="Annulé"),0,N(T1029)*N(U1029)))</f>
        <v/>
      </c>
      <c r="W1029" s="70">
        <f>IF($A1029="","",SUMIFS('Mouvements stock'!$H$5:$H$3004,'Mouvements stock'!$I$5:$I$3004,$A1029,'Mouvements stock'!$C$5:$C$3004,"Sortie")-SUMIFS('Mouvements stock'!$H$5:$H$3004,'Mouvements stock'!$I$5:$I$3004,$A1029,'Mouvements stock'!$C$5:$C$3004,"Retour"))</f>
        <v/>
      </c>
      <c r="X1029" s="66" t="n">
        <v>0</v>
      </c>
      <c r="Y1029" s="66" t="n">
        <v>0</v>
      </c>
      <c r="Z1029" s="7" t="n"/>
      <c r="AA1029" s="70">
        <f>IF($A1029="","",N(V1029)+N(W1029)+N(X1029)+N(Y1029))</f>
        <v/>
      </c>
      <c r="AB1029" s="70">
        <f>IF($A1029="","",N(S1029)*'Paramètres'!$AA$9*IFERROR(INDEX('Paramètres'!$O$5:$O$7,MATCH(G1029,'Paramètres'!$N$5:$N$7,0)),0))</f>
        <v/>
      </c>
      <c r="AC1029" s="7" t="inlineStr">
        <is>
          <t>Clôturé</t>
        </is>
      </c>
      <c r="AD1029" s="69">
        <f>IF(OR($A1029="",Q1029=""),"",(Q1029-B1029)*24)</f>
        <v/>
      </c>
      <c r="AE1029" s="69">
        <f>IF(OR(Q1029="",R1029=""),"",(R1029-Q1029)*24)</f>
        <v/>
      </c>
      <c r="AF1029" s="77">
        <f>IF(OR($A1029="",B1029=""),"",YEAR(B1029))</f>
        <v/>
      </c>
      <c r="AG1029" s="77">
        <f>IF(OR($A1029="",B1029=""),"",MONTH(B1029))</f>
        <v/>
      </c>
    </row>
    <row r="1030">
      <c r="A1030" s="7" t="inlineStr">
        <is>
          <t>OT-2026-0175</t>
        </is>
      </c>
      <c r="B1030" s="75" t="n">
        <v>46104.46597222222</v>
      </c>
      <c r="C1030" s="7" t="inlineStr">
        <is>
          <t>Cariste</t>
        </is>
      </c>
      <c r="D1030" s="7" t="inlineStr">
        <is>
          <t>EQ-LOG-005</t>
        </is>
      </c>
      <c r="E1030" s="9">
        <f>IF(D1030="","",IFERROR(INDEX('Équipements'!$B$5:$B$304,MATCH(D1030,'Équipements'!$A$5:$A$304,0)),"Code inconnu"))</f>
        <v/>
      </c>
      <c r="F1030" s="9">
        <f>IF(D1030="","",IFERROR(INDEX('Équipements'!$D$5:$D$304,MATCH(D1030,'Équipements'!$A$5:$A$304,0)),""))</f>
        <v/>
      </c>
      <c r="G1030" s="9">
        <f>IF(D1030="","",IFERROR(INDEX('Équipements'!$K$5:$K$304,MATCH(D1030,'Équipements'!$A$5:$A$304,0)),""))</f>
        <v/>
      </c>
      <c r="H1030" s="7" t="inlineStr">
        <is>
          <t>Correctif</t>
        </is>
      </c>
      <c r="I1030" s="7" t="n"/>
      <c r="J1030" s="7" t="inlineStr">
        <is>
          <t>Mécanique</t>
        </is>
      </c>
      <c r="K1030" s="7" t="inlineStr">
        <is>
          <t>P3 - Normale</t>
        </is>
      </c>
      <c r="L1030" s="7" t="inlineStr">
        <is>
          <t>Freinage inefficace</t>
        </is>
      </c>
      <c r="M1030" s="7" t="inlineStr">
        <is>
          <t>Usure</t>
        </is>
      </c>
      <c r="N1030" s="7" t="inlineStr">
        <is>
          <t>Remplacement garnitures de frein</t>
        </is>
      </c>
      <c r="O1030" s="7" t="inlineStr">
        <is>
          <t>Karim Benali</t>
        </is>
      </c>
      <c r="P1030" s="65" t="n"/>
      <c r="Q1030" s="75" t="n">
        <v>46105.15416666667</v>
      </c>
      <c r="R1030" s="75" t="n">
        <v>46105.33125</v>
      </c>
      <c r="S1030" s="76" t="n">
        <v>0</v>
      </c>
      <c r="T1030" s="76" t="n">
        <v>4.25</v>
      </c>
      <c r="U1030" s="70">
        <f>IF($A1030="","",IFERROR(INDEX('Techniciens'!$F$5:$F$44,MATCH(O1030,'Techniciens'!$B$5:$B$44,0)),'Paramètres'!$AA$10))</f>
        <v/>
      </c>
      <c r="V1030" s="70">
        <f>IF($A1030="","",IF(OR(AC1030="Demandé",AC1030="Planifié",AC1030="Annulé"),0,N(T1030)*N(U1030)))</f>
        <v/>
      </c>
      <c r="W1030" s="70">
        <f>IF($A1030="","",SUMIFS('Mouvements stock'!$H$5:$H$3004,'Mouvements stock'!$I$5:$I$3004,$A1030,'Mouvements stock'!$C$5:$C$3004,"Sortie")-SUMIFS('Mouvements stock'!$H$5:$H$3004,'Mouvements stock'!$I$5:$I$3004,$A1030,'Mouvements stock'!$C$5:$C$3004,"Retour"))</f>
        <v/>
      </c>
      <c r="X1030" s="66" t="n">
        <v>0</v>
      </c>
      <c r="Y1030" s="66" t="n">
        <v>390</v>
      </c>
      <c r="Z1030" s="7" t="inlineStr">
        <is>
          <t>Manutention Services 44</t>
        </is>
      </c>
      <c r="AA1030" s="70">
        <f>IF($A1030="","",N(V1030)+N(W1030)+N(X1030)+N(Y1030))</f>
        <v/>
      </c>
      <c r="AB1030" s="70">
        <f>IF($A1030="","",N(S1030)*'Paramètres'!$AA$9*IFERROR(INDEX('Paramètres'!$O$5:$O$7,MATCH(G1030,'Paramètres'!$N$5:$N$7,0)),0))</f>
        <v/>
      </c>
      <c r="AC1030" s="7" t="inlineStr">
        <is>
          <t>Clôturé</t>
        </is>
      </c>
      <c r="AD1030" s="69">
        <f>IF(OR($A1030="",Q1030=""),"",(Q1030-B1030)*24)</f>
        <v/>
      </c>
      <c r="AE1030" s="69">
        <f>IF(OR(Q1030="",R1030=""),"",(R1030-Q1030)*24)</f>
        <v/>
      </c>
      <c r="AF1030" s="77">
        <f>IF(OR($A1030="",B1030=""),"",YEAR(B1030))</f>
        <v/>
      </c>
      <c r="AG1030" s="77">
        <f>IF(OR($A1030="",B1030=""),"",MONTH(B1030))</f>
        <v/>
      </c>
    </row>
    <row r="1031">
      <c r="A1031" s="7" t="inlineStr">
        <is>
          <t>OT-2026-0176</t>
        </is>
      </c>
      <c r="B1031" s="75" t="n">
        <v>46104.48958333334</v>
      </c>
      <c r="C1031" s="7" t="inlineStr">
        <is>
          <t>Plan préventif</t>
        </is>
      </c>
      <c r="D1031" s="7" t="inlineStr">
        <is>
          <t>EQ-USI-004</t>
        </is>
      </c>
      <c r="E1031" s="9">
        <f>IF(D1031="","",IFERROR(INDEX('Équipements'!$B$5:$B$304,MATCH(D1031,'Équipements'!$A$5:$A$304,0)),"Code inconnu"))</f>
        <v/>
      </c>
      <c r="F1031" s="9">
        <f>IF(D1031="","",IFERROR(INDEX('Équipements'!$D$5:$D$304,MATCH(D1031,'Équipements'!$A$5:$A$304,0)),""))</f>
        <v/>
      </c>
      <c r="G1031" s="9">
        <f>IF(D1031="","",IFERROR(INDEX('Équipements'!$K$5:$K$304,MATCH(D1031,'Équipements'!$A$5:$A$304,0)),""))</f>
        <v/>
      </c>
      <c r="H1031" s="7" t="inlineStr">
        <is>
          <t>Préventif systématique</t>
        </is>
      </c>
      <c r="I1031" s="7" t="inlineStr">
        <is>
          <t>GP-015</t>
        </is>
      </c>
      <c r="J1031" s="7" t="inlineStr">
        <is>
          <t>Hydraulique</t>
        </is>
      </c>
      <c r="K1031" s="7" t="inlineStr">
        <is>
          <t>P3 - Normale</t>
        </is>
      </c>
      <c r="L1031" s="7" t="inlineStr">
        <is>
          <t>Vidange groupe hydraulique et remplacement filtres</t>
        </is>
      </c>
      <c r="M1031" s="7" t="n"/>
      <c r="N1031" s="7" t="inlineStr">
        <is>
          <t>Gamme réalisée - RAS</t>
        </is>
      </c>
      <c r="O1031" s="7" t="inlineStr">
        <is>
          <t>Karim Benali</t>
        </is>
      </c>
      <c r="P1031" s="65" t="n">
        <v>46111.79513888889</v>
      </c>
      <c r="Q1031" s="75" t="n">
        <v>46111.45833333334</v>
      </c>
      <c r="R1031" s="75" t="n">
        <v>46111.60416666666</v>
      </c>
      <c r="S1031" s="76" t="n">
        <v>3.5</v>
      </c>
      <c r="T1031" s="76" t="n">
        <v>3.5</v>
      </c>
      <c r="U1031" s="70">
        <f>IF($A1031="","",IFERROR(INDEX('Techniciens'!$F$5:$F$44,MATCH(O1031,'Techniciens'!$B$5:$B$44,0)),'Paramètres'!$AA$10))</f>
        <v/>
      </c>
      <c r="V1031" s="70">
        <f>IF($A1031="","",IF(OR(AC1031="Demandé",AC1031="Planifié",AC1031="Annulé"),0,N(T1031)*N(U1031)))</f>
        <v/>
      </c>
      <c r="W1031" s="70">
        <f>IF($A1031="","",SUMIFS('Mouvements stock'!$H$5:$H$3004,'Mouvements stock'!$I$5:$I$3004,$A1031,'Mouvements stock'!$C$5:$C$3004,"Sortie")-SUMIFS('Mouvements stock'!$H$5:$H$3004,'Mouvements stock'!$I$5:$I$3004,$A1031,'Mouvements stock'!$C$5:$C$3004,"Retour"))</f>
        <v/>
      </c>
      <c r="X1031" s="66" t="n">
        <v>0</v>
      </c>
      <c r="Y1031" s="66" t="n">
        <v>0</v>
      </c>
      <c r="Z1031" s="7" t="n"/>
      <c r="AA1031" s="70">
        <f>IF($A1031="","",N(V1031)+N(W1031)+N(X1031)+N(Y1031))</f>
        <v/>
      </c>
      <c r="AB1031" s="70">
        <f>IF($A1031="","",N(S1031)*'Paramètres'!$AA$9*IFERROR(INDEX('Paramètres'!$O$5:$O$7,MATCH(G1031,'Paramètres'!$N$5:$N$7,0)),0))</f>
        <v/>
      </c>
      <c r="AC1031" s="7" t="inlineStr">
        <is>
          <t>Clôturé</t>
        </is>
      </c>
      <c r="AD1031" s="69">
        <f>IF(OR($A1031="",Q1031=""),"",(Q1031-B1031)*24)</f>
        <v/>
      </c>
      <c r="AE1031" s="69">
        <f>IF(OR(Q1031="",R1031=""),"",(R1031-Q1031)*24)</f>
        <v/>
      </c>
      <c r="AF1031" s="77">
        <f>IF(OR($A1031="",B1031=""),"",YEAR(B1031))</f>
        <v/>
      </c>
      <c r="AG1031" s="77">
        <f>IF(OR($A1031="",B1031=""),"",MONTH(B1031))</f>
        <v/>
      </c>
    </row>
    <row r="1032">
      <c r="A1032" s="7" t="inlineStr">
        <is>
          <t>OT-2026-0177</t>
        </is>
      </c>
      <c r="B1032" s="75" t="n">
        <v>46104.63541666666</v>
      </c>
      <c r="C1032" s="7" t="inlineStr">
        <is>
          <t>Opérateur peinture</t>
        </is>
      </c>
      <c r="D1032" s="7" t="inlineStr">
        <is>
          <t>EQ-PEI-001</t>
        </is>
      </c>
      <c r="E1032" s="9">
        <f>IF(D1032="","",IFERROR(INDEX('Équipements'!$B$5:$B$304,MATCH(D1032,'Équipements'!$A$5:$A$304,0)),"Code inconnu"))</f>
        <v/>
      </c>
      <c r="F1032" s="9">
        <f>IF(D1032="","",IFERROR(INDEX('Équipements'!$D$5:$D$304,MATCH(D1032,'Équipements'!$A$5:$A$304,0)),""))</f>
        <v/>
      </c>
      <c r="G1032" s="9">
        <f>IF(D1032="","",IFERROR(INDEX('Équipements'!$K$5:$K$304,MATCH(D1032,'Équipements'!$A$5:$A$304,0)),""))</f>
        <v/>
      </c>
      <c r="H1032" s="7" t="inlineStr">
        <is>
          <t>Correctif</t>
        </is>
      </c>
      <c r="I1032" s="7" t="n"/>
      <c r="J1032" s="7" t="inlineStr">
        <is>
          <t>Mécanique</t>
        </is>
      </c>
      <c r="K1032" s="7" t="inlineStr">
        <is>
          <t>P1 - Urgent</t>
        </is>
      </c>
      <c r="L1032" s="7" t="inlineStr">
        <is>
          <t>Pompe de bain en défaut</t>
        </is>
      </c>
      <c r="M1032" s="7" t="inlineStr">
        <is>
          <t>Usure</t>
        </is>
      </c>
      <c r="N1032" s="7" t="inlineStr">
        <is>
          <t>Remplacement pompe</t>
        </is>
      </c>
      <c r="O1032" s="7" t="inlineStr">
        <is>
          <t>Antoine Mercier</t>
        </is>
      </c>
      <c r="P1032" s="65" t="n"/>
      <c r="Q1032" s="75" t="n">
        <v>46104.66805555556</v>
      </c>
      <c r="R1032" s="75" t="n">
        <v>46104.83472222222</v>
      </c>
      <c r="S1032" s="76" t="n">
        <v>4.8</v>
      </c>
      <c r="T1032" s="76" t="n">
        <v>4</v>
      </c>
      <c r="U1032" s="70">
        <f>IF($A1032="","",IFERROR(INDEX('Techniciens'!$F$5:$F$44,MATCH(O1032,'Techniciens'!$B$5:$B$44,0)),'Paramètres'!$AA$10))</f>
        <v/>
      </c>
      <c r="V1032" s="70">
        <f>IF($A1032="","",IF(OR(AC1032="Demandé",AC1032="Planifié",AC1032="Annulé"),0,N(T1032)*N(U1032)))</f>
        <v/>
      </c>
      <c r="W1032" s="70">
        <f>IF($A1032="","",SUMIFS('Mouvements stock'!$H$5:$H$3004,'Mouvements stock'!$I$5:$I$3004,$A1032,'Mouvements stock'!$C$5:$C$3004,"Sortie")-SUMIFS('Mouvements stock'!$H$5:$H$3004,'Mouvements stock'!$I$5:$I$3004,$A1032,'Mouvements stock'!$C$5:$C$3004,"Retour"))</f>
        <v/>
      </c>
      <c r="X1032" s="66" t="n">
        <v>0</v>
      </c>
      <c r="Y1032" s="66" t="n">
        <v>0</v>
      </c>
      <c r="Z1032" s="7" t="n"/>
      <c r="AA1032" s="70">
        <f>IF($A1032="","",N(V1032)+N(W1032)+N(X1032)+N(Y1032))</f>
        <v/>
      </c>
      <c r="AB1032" s="70">
        <f>IF($A1032="","",N(S1032)*'Paramètres'!$AA$9*IFERROR(INDEX('Paramètres'!$O$5:$O$7,MATCH(G1032,'Paramètres'!$N$5:$N$7,0)),0))</f>
        <v/>
      </c>
      <c r="AC1032" s="7" t="inlineStr">
        <is>
          <t>Clôturé</t>
        </is>
      </c>
      <c r="AD1032" s="69">
        <f>IF(OR($A1032="",Q1032=""),"",(Q1032-B1032)*24)</f>
        <v/>
      </c>
      <c r="AE1032" s="69">
        <f>IF(OR(Q1032="",R1032=""),"",(R1032-Q1032)*24)</f>
        <v/>
      </c>
      <c r="AF1032" s="77">
        <f>IF(OR($A1032="",B1032=""),"",YEAR(B1032))</f>
        <v/>
      </c>
      <c r="AG1032" s="77">
        <f>IF(OR($A1032="",B1032=""),"",MONTH(B1032))</f>
        <v/>
      </c>
    </row>
    <row r="1033">
      <c r="A1033" s="7" t="inlineStr">
        <is>
          <t>OT-2026-0178</t>
        </is>
      </c>
      <c r="B1033" s="75" t="n">
        <v>46105.35416666666</v>
      </c>
      <c r="C1033" s="7" t="inlineStr">
        <is>
          <t>Plan préventif</t>
        </is>
      </c>
      <c r="D1033" s="7" t="inlineStr">
        <is>
          <t>EQ-UTI-010</t>
        </is>
      </c>
      <c r="E1033" s="9">
        <f>IF(D1033="","",IFERROR(INDEX('Équipements'!$B$5:$B$304,MATCH(D1033,'Équipements'!$A$5:$A$304,0)),"Code inconnu"))</f>
        <v/>
      </c>
      <c r="F1033" s="9">
        <f>IF(D1033="","",IFERROR(INDEX('Équipements'!$D$5:$D$304,MATCH(D1033,'Équipements'!$A$5:$A$304,0)),""))</f>
        <v/>
      </c>
      <c r="G1033" s="9">
        <f>IF(D1033="","",IFERROR(INDEX('Équipements'!$K$5:$K$304,MATCH(D1033,'Équipements'!$A$5:$A$304,0)),""))</f>
        <v/>
      </c>
      <c r="H1033" s="7" t="inlineStr">
        <is>
          <t>Préventif systématique</t>
        </is>
      </c>
      <c r="I1033" s="7" t="inlineStr">
        <is>
          <t>GP-104</t>
        </is>
      </c>
      <c r="J1033" s="7" t="inlineStr">
        <is>
          <t>Électrique</t>
        </is>
      </c>
      <c r="K1033" s="7" t="inlineStr">
        <is>
          <t>P3 - Normale</t>
        </is>
      </c>
      <c r="L1033" s="7" t="inlineStr">
        <is>
          <t>Essai mensuel à charge du groupe électrogène</t>
        </is>
      </c>
      <c r="M1033" s="7" t="n"/>
      <c r="N1033" s="7" t="inlineStr">
        <is>
          <t>Gamme réalisée - RAS</t>
        </is>
      </c>
      <c r="O1033" s="7" t="inlineStr">
        <is>
          <t>Julien Moreau</t>
        </is>
      </c>
      <c r="P1033" s="65" t="n">
        <v>46112.57638888889</v>
      </c>
      <c r="Q1033" s="75" t="n">
        <v>46112.36458333334</v>
      </c>
      <c r="R1033" s="75" t="n">
        <v>46112.44791666666</v>
      </c>
      <c r="S1033" s="76" t="n">
        <v>0</v>
      </c>
      <c r="T1033" s="76" t="n">
        <v>2</v>
      </c>
      <c r="U1033" s="70">
        <f>IF($A1033="","",IFERROR(INDEX('Techniciens'!$F$5:$F$44,MATCH(O1033,'Techniciens'!$B$5:$B$44,0)),'Paramètres'!$AA$10))</f>
        <v/>
      </c>
      <c r="V1033" s="70">
        <f>IF($A1033="","",IF(OR(AC1033="Demandé",AC1033="Planifié",AC1033="Annulé"),0,N(T1033)*N(U1033)))</f>
        <v/>
      </c>
      <c r="W1033" s="70">
        <f>IF($A1033="","",SUMIFS('Mouvements stock'!$H$5:$H$3004,'Mouvements stock'!$I$5:$I$3004,$A1033,'Mouvements stock'!$C$5:$C$3004,"Sortie")-SUMIFS('Mouvements stock'!$H$5:$H$3004,'Mouvements stock'!$I$5:$I$3004,$A1033,'Mouvements stock'!$C$5:$C$3004,"Retour"))</f>
        <v/>
      </c>
      <c r="X1033" s="66" t="n">
        <v>0</v>
      </c>
      <c r="Y1033" s="66" t="n">
        <v>0</v>
      </c>
      <c r="Z1033" s="7" t="n"/>
      <c r="AA1033" s="70">
        <f>IF($A1033="","",N(V1033)+N(W1033)+N(X1033)+N(Y1033))</f>
        <v/>
      </c>
      <c r="AB1033" s="70">
        <f>IF($A1033="","",N(S1033)*'Paramètres'!$AA$9*IFERROR(INDEX('Paramètres'!$O$5:$O$7,MATCH(G1033,'Paramètres'!$N$5:$N$7,0)),0))</f>
        <v/>
      </c>
      <c r="AC1033" s="7" t="inlineStr">
        <is>
          <t>Clôturé</t>
        </is>
      </c>
      <c r="AD1033" s="69">
        <f>IF(OR($A1033="",Q1033=""),"",(Q1033-B1033)*24)</f>
        <v/>
      </c>
      <c r="AE1033" s="69">
        <f>IF(OR(Q1033="",R1033=""),"",(R1033-Q1033)*24)</f>
        <v/>
      </c>
      <c r="AF1033" s="77">
        <f>IF(OR($A1033="",B1033=""),"",YEAR(B1033))</f>
        <v/>
      </c>
      <c r="AG1033" s="77">
        <f>IF(OR($A1033="",B1033=""),"",MONTH(B1033))</f>
        <v/>
      </c>
    </row>
    <row r="1034">
      <c r="A1034" s="7" t="inlineStr">
        <is>
          <t>OT-2026-0179</t>
        </is>
      </c>
      <c r="B1034" s="75" t="n">
        <v>46107.36805555555</v>
      </c>
      <c r="C1034" s="7" t="inlineStr">
        <is>
          <t>Plan préventif</t>
        </is>
      </c>
      <c r="D1034" s="7" t="inlineStr">
        <is>
          <t>EQ-USI-005</t>
        </is>
      </c>
      <c r="E1034" s="9">
        <f>IF(D1034="","",IFERROR(INDEX('Équipements'!$B$5:$B$304,MATCH(D1034,'Équipements'!$A$5:$A$304,0)),"Code inconnu"))</f>
        <v/>
      </c>
      <c r="F1034" s="9">
        <f>IF(D1034="","",IFERROR(INDEX('Équipements'!$D$5:$D$304,MATCH(D1034,'Équipements'!$A$5:$A$304,0)),""))</f>
        <v/>
      </c>
      <c r="G1034" s="9">
        <f>IF(D1034="","",IFERROR(INDEX('Équipements'!$K$5:$K$304,MATCH(D1034,'Équipements'!$A$5:$A$304,0)),""))</f>
        <v/>
      </c>
      <c r="H1034" s="7" t="inlineStr">
        <is>
          <t>Préventif systématique</t>
        </is>
      </c>
      <c r="I1034" s="7" t="inlineStr">
        <is>
          <t>GP-017</t>
        </is>
      </c>
      <c r="J1034" s="7" t="inlineStr">
        <is>
          <t>Mécanique</t>
        </is>
      </c>
      <c r="K1034" s="7" t="inlineStr">
        <is>
          <t>P3 - Normale</t>
        </is>
      </c>
      <c r="L1034" s="7" t="inlineStr">
        <is>
          <t>Contrôle niveaux, nettoyage filtres et bac à copeaux</t>
        </is>
      </c>
      <c r="M1034" s="7" t="n"/>
      <c r="N1034" s="7" t="inlineStr">
        <is>
          <t>Gamme réalisée - petite fuite corrigée</t>
        </is>
      </c>
      <c r="O1034" s="7" t="inlineStr">
        <is>
          <t>Karim Benali</t>
        </is>
      </c>
      <c r="P1034" s="65" t="n">
        <v>46114.60763888889</v>
      </c>
      <c r="Q1034" s="75" t="n">
        <v>46114.42361111111</v>
      </c>
      <c r="R1034" s="75" t="n">
        <v>46114.47569444445</v>
      </c>
      <c r="S1034" s="76" t="n">
        <v>0</v>
      </c>
      <c r="T1034" s="76" t="n">
        <v>1.25</v>
      </c>
      <c r="U1034" s="70">
        <f>IF($A1034="","",IFERROR(INDEX('Techniciens'!$F$5:$F$44,MATCH(O1034,'Techniciens'!$B$5:$B$44,0)),'Paramètres'!$AA$10))</f>
        <v/>
      </c>
      <c r="V1034" s="70">
        <f>IF($A1034="","",IF(OR(AC1034="Demandé",AC1034="Planifié",AC1034="Annulé"),0,N(T1034)*N(U1034)))</f>
        <v/>
      </c>
      <c r="W1034" s="70">
        <f>IF($A1034="","",SUMIFS('Mouvements stock'!$H$5:$H$3004,'Mouvements stock'!$I$5:$I$3004,$A1034,'Mouvements stock'!$C$5:$C$3004,"Sortie")-SUMIFS('Mouvements stock'!$H$5:$H$3004,'Mouvements stock'!$I$5:$I$3004,$A1034,'Mouvements stock'!$C$5:$C$3004,"Retour"))</f>
        <v/>
      </c>
      <c r="X1034" s="66" t="n">
        <v>0</v>
      </c>
      <c r="Y1034" s="66" t="n">
        <v>0</v>
      </c>
      <c r="Z1034" s="7" t="n"/>
      <c r="AA1034" s="70">
        <f>IF($A1034="","",N(V1034)+N(W1034)+N(X1034)+N(Y1034))</f>
        <v/>
      </c>
      <c r="AB1034" s="70">
        <f>IF($A1034="","",N(S1034)*'Paramètres'!$AA$9*IFERROR(INDEX('Paramètres'!$O$5:$O$7,MATCH(G1034,'Paramètres'!$N$5:$N$7,0)),0))</f>
        <v/>
      </c>
      <c r="AC1034" s="7" t="inlineStr">
        <is>
          <t>Clôturé</t>
        </is>
      </c>
      <c r="AD1034" s="69">
        <f>IF(OR($A1034="",Q1034=""),"",(Q1034-B1034)*24)</f>
        <v/>
      </c>
      <c r="AE1034" s="69">
        <f>IF(OR(Q1034="",R1034=""),"",(R1034-Q1034)*24)</f>
        <v/>
      </c>
      <c r="AF1034" s="77">
        <f>IF(OR($A1034="",B1034=""),"",YEAR(B1034))</f>
        <v/>
      </c>
      <c r="AG1034" s="77">
        <f>IF(OR($A1034="",B1034=""),"",MONTH(B1034))</f>
        <v/>
      </c>
    </row>
    <row r="1035">
      <c r="A1035" s="7" t="inlineStr">
        <is>
          <t>OT-2026-0180</t>
        </is>
      </c>
      <c r="B1035" s="75" t="n">
        <v>46107.36805555555</v>
      </c>
      <c r="C1035" s="7" t="inlineStr">
        <is>
          <t>Plan préventif</t>
        </is>
      </c>
      <c r="D1035" s="7" t="inlineStr">
        <is>
          <t>EQ-TOL-002</t>
        </is>
      </c>
      <c r="E1035" s="9">
        <f>IF(D1035="","",IFERROR(INDEX('Équipements'!$B$5:$B$304,MATCH(D1035,'Équipements'!$A$5:$A$304,0)),"Code inconnu"))</f>
        <v/>
      </c>
      <c r="F1035" s="9">
        <f>IF(D1035="","",IFERROR(INDEX('Équipements'!$D$5:$D$304,MATCH(D1035,'Équipements'!$A$5:$A$304,0)),""))</f>
        <v/>
      </c>
      <c r="G1035" s="9">
        <f>IF(D1035="","",IFERROR(INDEX('Équipements'!$K$5:$K$304,MATCH(D1035,'Équipements'!$A$5:$A$304,0)),""))</f>
        <v/>
      </c>
      <c r="H1035" s="7" t="inlineStr">
        <is>
          <t>Préventif systématique</t>
        </is>
      </c>
      <c r="I1035" s="7" t="inlineStr">
        <is>
          <t>GP-041</t>
        </is>
      </c>
      <c r="J1035" s="7" t="inlineStr">
        <is>
          <t>Hydraulique</t>
        </is>
      </c>
      <c r="K1035" s="7" t="inlineStr">
        <is>
          <t>P3 - Normale</t>
        </is>
      </c>
      <c r="L1035" s="7" t="inlineStr">
        <is>
          <t>Contrôle hydraulique : fuites, niveaux, pressions</t>
        </is>
      </c>
      <c r="M1035" s="7" t="n"/>
      <c r="N1035" s="7" t="inlineStr">
        <is>
          <t>Gamme réalisée - RAS</t>
        </is>
      </c>
      <c r="O1035" s="7" t="inlineStr">
        <is>
          <t>Antoine Mercier</t>
        </is>
      </c>
      <c r="P1035" s="65" t="n">
        <v>46114.44791666666</v>
      </c>
      <c r="Q1035" s="75" t="n">
        <v>46114.3125</v>
      </c>
      <c r="R1035" s="75" t="n">
        <v>46114.38541666666</v>
      </c>
      <c r="S1035" s="76" t="n">
        <v>1.8</v>
      </c>
      <c r="T1035" s="76" t="n">
        <v>1.75</v>
      </c>
      <c r="U1035" s="70">
        <f>IF($A1035="","",IFERROR(INDEX('Techniciens'!$F$5:$F$44,MATCH(O1035,'Techniciens'!$B$5:$B$44,0)),'Paramètres'!$AA$10))</f>
        <v/>
      </c>
      <c r="V1035" s="70">
        <f>IF($A1035="","",IF(OR(AC1035="Demandé",AC1035="Planifié",AC1035="Annulé"),0,N(T1035)*N(U1035)))</f>
        <v/>
      </c>
      <c r="W1035" s="70">
        <f>IF($A1035="","",SUMIFS('Mouvements stock'!$H$5:$H$3004,'Mouvements stock'!$I$5:$I$3004,$A1035,'Mouvements stock'!$C$5:$C$3004,"Sortie")-SUMIFS('Mouvements stock'!$H$5:$H$3004,'Mouvements stock'!$I$5:$I$3004,$A1035,'Mouvements stock'!$C$5:$C$3004,"Retour"))</f>
        <v/>
      </c>
      <c r="X1035" s="66" t="n">
        <v>0</v>
      </c>
      <c r="Y1035" s="66" t="n">
        <v>0</v>
      </c>
      <c r="Z1035" s="7" t="n"/>
      <c r="AA1035" s="70">
        <f>IF($A1035="","",N(V1035)+N(W1035)+N(X1035)+N(Y1035))</f>
        <v/>
      </c>
      <c r="AB1035" s="70">
        <f>IF($A1035="","",N(S1035)*'Paramètres'!$AA$9*IFERROR(INDEX('Paramètres'!$O$5:$O$7,MATCH(G1035,'Paramètres'!$N$5:$N$7,0)),0))</f>
        <v/>
      </c>
      <c r="AC1035" s="7" t="inlineStr">
        <is>
          <t>Clôturé</t>
        </is>
      </c>
      <c r="AD1035" s="69">
        <f>IF(OR($A1035="",Q1035=""),"",(Q1035-B1035)*24)</f>
        <v/>
      </c>
      <c r="AE1035" s="69">
        <f>IF(OR(Q1035="",R1035=""),"",(R1035-Q1035)*24)</f>
        <v/>
      </c>
      <c r="AF1035" s="77">
        <f>IF(OR($A1035="",B1035=""),"",YEAR(B1035))</f>
        <v/>
      </c>
      <c r="AG1035" s="77">
        <f>IF(OR($A1035="",B1035=""),"",MONTH(B1035))</f>
        <v/>
      </c>
    </row>
    <row r="1036">
      <c r="A1036" s="7" t="inlineStr">
        <is>
          <t>OT-2026-0181</t>
        </is>
      </c>
      <c r="B1036" s="75" t="n">
        <v>46108.38541666666</v>
      </c>
      <c r="C1036" s="7" t="inlineStr">
        <is>
          <t>Planning réglementaire</t>
        </is>
      </c>
      <c r="D1036" s="7" t="inlineStr">
        <is>
          <t>EQ-ASS-002</t>
        </is>
      </c>
      <c r="E1036" s="9">
        <f>IF(D1036="","",IFERROR(INDEX('Équipements'!$B$5:$B$304,MATCH(D1036,'Équipements'!$A$5:$A$304,0)),"Code inconnu"))</f>
        <v/>
      </c>
      <c r="F1036" s="9">
        <f>IF(D1036="","",IFERROR(INDEX('Équipements'!$D$5:$D$304,MATCH(D1036,'Équipements'!$A$5:$A$304,0)),""))</f>
        <v/>
      </c>
      <c r="G1036" s="9">
        <f>IF(D1036="","",IFERROR(INDEX('Équipements'!$K$5:$K$304,MATCH(D1036,'Équipements'!$A$5:$A$304,0)),""))</f>
        <v/>
      </c>
      <c r="H1036" s="7" t="inlineStr">
        <is>
          <t>Réglementaire</t>
        </is>
      </c>
      <c r="I1036" s="7" t="inlineStr">
        <is>
          <t>CR-012</t>
        </is>
      </c>
      <c r="J1036" s="7" t="inlineStr">
        <is>
          <t>Multi-technique</t>
        </is>
      </c>
      <c r="K1036" s="7" t="inlineStr">
        <is>
          <t>P2 - Haute</t>
        </is>
      </c>
      <c r="L1036" s="7" t="inlineStr">
        <is>
          <t>Vérification périodique presse hydraulique</t>
        </is>
      </c>
      <c r="M1036" s="7" t="n"/>
      <c r="N1036" s="7" t="inlineStr">
        <is>
          <t>Contrôle réalisé - aucune observation</t>
        </is>
      </c>
      <c r="O1036" s="7" t="inlineStr">
        <is>
          <t>Nadia Rousseau</t>
        </is>
      </c>
      <c r="P1036" s="65" t="n">
        <v>46129</v>
      </c>
      <c r="Q1036" s="75" t="n">
        <v>46129.36111111111</v>
      </c>
      <c r="R1036" s="75" t="n">
        <v>46129.45486111111</v>
      </c>
      <c r="S1036" s="76" t="n">
        <v>1</v>
      </c>
      <c r="T1036" s="76" t="n">
        <v>2.25</v>
      </c>
      <c r="U1036" s="70">
        <f>IF($A1036="","",IFERROR(INDEX('Techniciens'!$F$5:$F$44,MATCH(O1036,'Techniciens'!$B$5:$B$44,0)),'Paramètres'!$AA$10))</f>
        <v/>
      </c>
      <c r="V1036" s="70">
        <f>IF($A1036="","",IF(OR(AC1036="Demandé",AC1036="Planifié",AC1036="Annulé"),0,N(T1036)*N(U1036)))</f>
        <v/>
      </c>
      <c r="W1036" s="70">
        <f>IF($A1036="","",SUMIFS('Mouvements stock'!$H$5:$H$3004,'Mouvements stock'!$I$5:$I$3004,$A1036,'Mouvements stock'!$C$5:$C$3004,"Sortie")-SUMIFS('Mouvements stock'!$H$5:$H$3004,'Mouvements stock'!$I$5:$I$3004,$A1036,'Mouvements stock'!$C$5:$C$3004,"Retour"))</f>
        <v/>
      </c>
      <c r="X1036" s="66" t="n">
        <v>0</v>
      </c>
      <c r="Y1036" s="66" t="n">
        <v>190</v>
      </c>
      <c r="Z1036" s="7" t="inlineStr">
        <is>
          <t>CONTROLIS (organisme fictif)</t>
        </is>
      </c>
      <c r="AA1036" s="70">
        <f>IF($A1036="","",N(V1036)+N(W1036)+N(X1036)+N(Y1036))</f>
        <v/>
      </c>
      <c r="AB1036" s="70">
        <f>IF($A1036="","",N(S1036)*'Paramètres'!$AA$9*IFERROR(INDEX('Paramètres'!$O$5:$O$7,MATCH(G1036,'Paramètres'!$N$5:$N$7,0)),0))</f>
        <v/>
      </c>
      <c r="AC1036" s="7" t="inlineStr">
        <is>
          <t>Clôturé</t>
        </is>
      </c>
      <c r="AD1036" s="69">
        <f>IF(OR($A1036="",Q1036=""),"",(Q1036-B1036)*24)</f>
        <v/>
      </c>
      <c r="AE1036" s="69">
        <f>IF(OR(Q1036="",R1036=""),"",(R1036-Q1036)*24)</f>
        <v/>
      </c>
      <c r="AF1036" s="77">
        <f>IF(OR($A1036="",B1036=""),"",YEAR(B1036))</f>
        <v/>
      </c>
      <c r="AG1036" s="77">
        <f>IF(OR($A1036="",B1036=""),"",MONTH(B1036))</f>
        <v/>
      </c>
    </row>
    <row r="1037">
      <c r="A1037" s="7" t="inlineStr">
        <is>
          <t>OT-2026-0182</t>
        </is>
      </c>
      <c r="B1037" s="75" t="n">
        <v>46108.41666666666</v>
      </c>
      <c r="C1037" s="7" t="inlineStr">
        <is>
          <t>Plan préventif</t>
        </is>
      </c>
      <c r="D1037" s="7" t="inlineStr">
        <is>
          <t>EQ-USI-004</t>
        </is>
      </c>
      <c r="E1037" s="9">
        <f>IF(D1037="","",IFERROR(INDEX('Équipements'!$B$5:$B$304,MATCH(D1037,'Équipements'!$A$5:$A$304,0)),"Code inconnu"))</f>
        <v/>
      </c>
      <c r="F1037" s="9">
        <f>IF(D1037="","",IFERROR(INDEX('Équipements'!$D$5:$D$304,MATCH(D1037,'Équipements'!$A$5:$A$304,0)),""))</f>
        <v/>
      </c>
      <c r="G1037" s="9">
        <f>IF(D1037="","",IFERROR(INDEX('Équipements'!$K$5:$K$304,MATCH(D1037,'Équipements'!$A$5:$A$304,0)),""))</f>
        <v/>
      </c>
      <c r="H1037" s="7" t="inlineStr">
        <is>
          <t>Préventif systématique</t>
        </is>
      </c>
      <c r="I1037" s="7" t="inlineStr">
        <is>
          <t>GP-013</t>
        </is>
      </c>
      <c r="J1037" s="7" t="inlineStr">
        <is>
          <t>Mécanique</t>
        </is>
      </c>
      <c r="K1037" s="7" t="inlineStr">
        <is>
          <t>P3 - Normale</t>
        </is>
      </c>
      <c r="L1037" s="7" t="inlineStr">
        <is>
          <t>Contrôle niveaux, nettoyage filtres et bac à copeaux</t>
        </is>
      </c>
      <c r="M1037" s="7" t="n"/>
      <c r="N1037" s="7" t="inlineStr">
        <is>
          <t>Gamme réalisée - RAS</t>
        </is>
      </c>
      <c r="O1037" s="7" t="inlineStr">
        <is>
          <t>Lucas Fontaine</t>
        </is>
      </c>
      <c r="P1037" s="65" t="n">
        <v>46115.52777777778</v>
      </c>
      <c r="Q1037" s="75" t="n">
        <v>46115.30208333334</v>
      </c>
      <c r="R1037" s="75" t="n">
        <v>46115.36458333334</v>
      </c>
      <c r="S1037" s="76" t="n">
        <v>1.5</v>
      </c>
      <c r="T1037" s="76" t="n">
        <v>1.5</v>
      </c>
      <c r="U1037" s="70">
        <f>IF($A1037="","",IFERROR(INDEX('Techniciens'!$F$5:$F$44,MATCH(O1037,'Techniciens'!$B$5:$B$44,0)),'Paramètres'!$AA$10))</f>
        <v/>
      </c>
      <c r="V1037" s="70">
        <f>IF($A1037="","",IF(OR(AC1037="Demandé",AC1037="Planifié",AC1037="Annulé"),0,N(T1037)*N(U1037)))</f>
        <v/>
      </c>
      <c r="W1037" s="70">
        <f>IF($A1037="","",SUMIFS('Mouvements stock'!$H$5:$H$3004,'Mouvements stock'!$I$5:$I$3004,$A1037,'Mouvements stock'!$C$5:$C$3004,"Sortie")-SUMIFS('Mouvements stock'!$H$5:$H$3004,'Mouvements stock'!$I$5:$I$3004,$A1037,'Mouvements stock'!$C$5:$C$3004,"Retour"))</f>
        <v/>
      </c>
      <c r="X1037" s="66" t="n">
        <v>0</v>
      </c>
      <c r="Y1037" s="66" t="n">
        <v>0</v>
      </c>
      <c r="Z1037" s="7" t="n"/>
      <c r="AA1037" s="70">
        <f>IF($A1037="","",N(V1037)+N(W1037)+N(X1037)+N(Y1037))</f>
        <v/>
      </c>
      <c r="AB1037" s="70">
        <f>IF($A1037="","",N(S1037)*'Paramètres'!$AA$9*IFERROR(INDEX('Paramètres'!$O$5:$O$7,MATCH(G1037,'Paramètres'!$N$5:$N$7,0)),0))</f>
        <v/>
      </c>
      <c r="AC1037" s="7" t="inlineStr">
        <is>
          <t>Clôturé</t>
        </is>
      </c>
      <c r="AD1037" s="69">
        <f>IF(OR($A1037="",Q1037=""),"",(Q1037-B1037)*24)</f>
        <v/>
      </c>
      <c r="AE1037" s="69">
        <f>IF(OR(Q1037="",R1037=""),"",(R1037-Q1037)*24)</f>
        <v/>
      </c>
      <c r="AF1037" s="77">
        <f>IF(OR($A1037="",B1037=""),"",YEAR(B1037))</f>
        <v/>
      </c>
      <c r="AG1037" s="77">
        <f>IF(OR($A1037="",B1037=""),"",MONTH(B1037))</f>
        <v/>
      </c>
    </row>
    <row r="1038">
      <c r="A1038" s="7" t="inlineStr">
        <is>
          <t>OT-2026-0183</t>
        </is>
      </c>
      <c r="B1038" s="75" t="n">
        <v>46108.44791666666</v>
      </c>
      <c r="C1038" s="7" t="inlineStr">
        <is>
          <t>Plan préventif</t>
        </is>
      </c>
      <c r="D1038" s="7" t="inlineStr">
        <is>
          <t>EQ-TOL-003</t>
        </is>
      </c>
      <c r="E1038" s="9">
        <f>IF(D1038="","",IFERROR(INDEX('Équipements'!$B$5:$B$304,MATCH(D1038,'Équipements'!$A$5:$A$304,0)),"Code inconnu"))</f>
        <v/>
      </c>
      <c r="F1038" s="9">
        <f>IF(D1038="","",IFERROR(INDEX('Équipements'!$D$5:$D$304,MATCH(D1038,'Équipements'!$A$5:$A$304,0)),""))</f>
        <v/>
      </c>
      <c r="G1038" s="9">
        <f>IF(D1038="","",IFERROR(INDEX('Équipements'!$K$5:$K$304,MATCH(D1038,'Équipements'!$A$5:$A$304,0)),""))</f>
        <v/>
      </c>
      <c r="H1038" s="7" t="inlineStr">
        <is>
          <t>Préventif systématique</t>
        </is>
      </c>
      <c r="I1038" s="7" t="inlineStr">
        <is>
          <t>GP-044</t>
        </is>
      </c>
      <c r="J1038" s="7" t="inlineStr">
        <is>
          <t>Hydraulique</t>
        </is>
      </c>
      <c r="K1038" s="7" t="inlineStr">
        <is>
          <t>P3 - Normale</t>
        </is>
      </c>
      <c r="L1038" s="7" t="inlineStr">
        <is>
          <t>Contrôle hydraulique : fuites, niveaux, pressions</t>
        </is>
      </c>
      <c r="M1038" s="7" t="n"/>
      <c r="N1038" s="7" t="inlineStr">
        <is>
          <t>Gamme réalisée - RAS</t>
        </is>
      </c>
      <c r="O1038" s="7" t="inlineStr">
        <is>
          <t>Karim Benali</t>
        </is>
      </c>
      <c r="P1038" s="65" t="n">
        <v>46115.63541666666</v>
      </c>
      <c r="Q1038" s="75" t="n">
        <v>46115.26388888889</v>
      </c>
      <c r="R1038" s="75" t="n">
        <v>46115.35763888889</v>
      </c>
      <c r="S1038" s="76" t="n">
        <v>1.1</v>
      </c>
      <c r="T1038" s="76" t="n">
        <v>2.25</v>
      </c>
      <c r="U1038" s="70">
        <f>IF($A1038="","",IFERROR(INDEX('Techniciens'!$F$5:$F$44,MATCH(O1038,'Techniciens'!$B$5:$B$44,0)),'Paramètres'!$AA$10))</f>
        <v/>
      </c>
      <c r="V1038" s="70">
        <f>IF($A1038="","",IF(OR(AC1038="Demandé",AC1038="Planifié",AC1038="Annulé"),0,N(T1038)*N(U1038)))</f>
        <v/>
      </c>
      <c r="W1038" s="70">
        <f>IF($A1038="","",SUMIFS('Mouvements stock'!$H$5:$H$3004,'Mouvements stock'!$I$5:$I$3004,$A1038,'Mouvements stock'!$C$5:$C$3004,"Sortie")-SUMIFS('Mouvements stock'!$H$5:$H$3004,'Mouvements stock'!$I$5:$I$3004,$A1038,'Mouvements stock'!$C$5:$C$3004,"Retour"))</f>
        <v/>
      </c>
      <c r="X1038" s="66" t="n">
        <v>0</v>
      </c>
      <c r="Y1038" s="66" t="n">
        <v>0</v>
      </c>
      <c r="Z1038" s="7" t="n"/>
      <c r="AA1038" s="70">
        <f>IF($A1038="","",N(V1038)+N(W1038)+N(X1038)+N(Y1038))</f>
        <v/>
      </c>
      <c r="AB1038" s="70">
        <f>IF($A1038="","",N(S1038)*'Paramètres'!$AA$9*IFERROR(INDEX('Paramètres'!$O$5:$O$7,MATCH(G1038,'Paramètres'!$N$5:$N$7,0)),0))</f>
        <v/>
      </c>
      <c r="AC1038" s="7" t="inlineStr">
        <is>
          <t>Clôturé</t>
        </is>
      </c>
      <c r="AD1038" s="69">
        <f>IF(OR($A1038="",Q1038=""),"",(Q1038-B1038)*24)</f>
        <v/>
      </c>
      <c r="AE1038" s="69">
        <f>IF(OR(Q1038="",R1038=""),"",(R1038-Q1038)*24)</f>
        <v/>
      </c>
      <c r="AF1038" s="77">
        <f>IF(OR($A1038="",B1038=""),"",YEAR(B1038))</f>
        <v/>
      </c>
      <c r="AG1038" s="77">
        <f>IF(OR($A1038="",B1038=""),"",MONTH(B1038))</f>
        <v/>
      </c>
    </row>
    <row r="1039">
      <c r="A1039" s="7" t="inlineStr">
        <is>
          <t>OT-2026-0184</t>
        </is>
      </c>
      <c r="B1039" s="75" t="n">
        <v>46108.85</v>
      </c>
      <c r="C1039" s="7" t="inlineStr">
        <is>
          <t>Opérateur usinage</t>
        </is>
      </c>
      <c r="D1039" s="7" t="inlineStr">
        <is>
          <t>EQ-USI-002</t>
        </is>
      </c>
      <c r="E1039" s="9">
        <f>IF(D1039="","",IFERROR(INDEX('Équipements'!$B$5:$B$304,MATCH(D1039,'Équipements'!$A$5:$A$304,0)),"Code inconnu"))</f>
        <v/>
      </c>
      <c r="F1039" s="9">
        <f>IF(D1039="","",IFERROR(INDEX('Équipements'!$D$5:$D$304,MATCH(D1039,'Équipements'!$A$5:$A$304,0)),""))</f>
        <v/>
      </c>
      <c r="G1039" s="9">
        <f>IF(D1039="","",IFERROR(INDEX('Équipements'!$K$5:$K$304,MATCH(D1039,'Équipements'!$A$5:$A$304,0)),""))</f>
        <v/>
      </c>
      <c r="H1039" s="7" t="inlineStr">
        <is>
          <t>Correctif</t>
        </is>
      </c>
      <c r="I1039" s="7" t="n"/>
      <c r="J1039" s="7" t="inlineStr">
        <is>
          <t>Automatisme</t>
        </is>
      </c>
      <c r="K1039" s="7" t="inlineStr">
        <is>
          <t>P3 - Normale</t>
        </is>
      </c>
      <c r="L1039" s="7" t="inlineStr">
        <is>
          <t>Perte des origines machine après coupure</t>
        </is>
      </c>
      <c r="M1039" s="7" t="inlineStr">
        <is>
          <t>Défaut logiciel/automate</t>
        </is>
      </c>
      <c r="N1039" s="7" t="inlineStr">
        <is>
          <t>Reprise des origines, remplacement pile de sauvegarde CN</t>
        </is>
      </c>
      <c r="O1039" s="7" t="inlineStr">
        <is>
          <t>Julien Moreau</t>
        </is>
      </c>
      <c r="P1039" s="65" t="n"/>
      <c r="Q1039" s="75" t="n">
        <v>46110.14444444444</v>
      </c>
      <c r="R1039" s="75" t="n">
        <v>46110.20694444444</v>
      </c>
      <c r="S1039" s="76" t="n">
        <v>0</v>
      </c>
      <c r="T1039" s="76" t="n">
        <v>1.5</v>
      </c>
      <c r="U1039" s="70">
        <f>IF($A1039="","",IFERROR(INDEX('Techniciens'!$F$5:$F$44,MATCH(O1039,'Techniciens'!$B$5:$B$44,0)),'Paramètres'!$AA$10))</f>
        <v/>
      </c>
      <c r="V1039" s="70">
        <f>IF($A1039="","",IF(OR(AC1039="Demandé",AC1039="Planifié",AC1039="Annulé"),0,N(T1039)*N(U1039)))</f>
        <v/>
      </c>
      <c r="W1039" s="70">
        <f>IF($A1039="","",SUMIFS('Mouvements stock'!$H$5:$H$3004,'Mouvements stock'!$I$5:$I$3004,$A1039,'Mouvements stock'!$C$5:$C$3004,"Sortie")-SUMIFS('Mouvements stock'!$H$5:$H$3004,'Mouvements stock'!$I$5:$I$3004,$A1039,'Mouvements stock'!$C$5:$C$3004,"Retour"))</f>
        <v/>
      </c>
      <c r="X1039" s="66" t="n">
        <v>0</v>
      </c>
      <c r="Y1039" s="66" t="n">
        <v>0</v>
      </c>
      <c r="Z1039" s="7" t="n"/>
      <c r="AA1039" s="70">
        <f>IF($A1039="","",N(V1039)+N(W1039)+N(X1039)+N(Y1039))</f>
        <v/>
      </c>
      <c r="AB1039" s="70">
        <f>IF($A1039="","",N(S1039)*'Paramètres'!$AA$9*IFERROR(INDEX('Paramètres'!$O$5:$O$7,MATCH(G1039,'Paramètres'!$N$5:$N$7,0)),0))</f>
        <v/>
      </c>
      <c r="AC1039" s="7" t="inlineStr">
        <is>
          <t>Clôturé</t>
        </is>
      </c>
      <c r="AD1039" s="69">
        <f>IF(OR($A1039="",Q1039=""),"",(Q1039-B1039)*24)</f>
        <v/>
      </c>
      <c r="AE1039" s="69">
        <f>IF(OR(Q1039="",R1039=""),"",(R1039-Q1039)*24)</f>
        <v/>
      </c>
      <c r="AF1039" s="77">
        <f>IF(OR($A1039="",B1039=""),"",YEAR(B1039))</f>
        <v/>
      </c>
      <c r="AG1039" s="77">
        <f>IF(OR($A1039="",B1039=""),"",MONTH(B1039))</f>
        <v/>
      </c>
    </row>
    <row r="1040">
      <c r="A1040" s="7" t="inlineStr">
        <is>
          <t>OT-2026-0185</t>
        </is>
      </c>
      <c r="B1040" s="75" t="n">
        <v>46109.48402777778</v>
      </c>
      <c r="C1040" s="7" t="inlineStr">
        <is>
          <t>Sylvie Mathieu (resp. logistique)</t>
        </is>
      </c>
      <c r="D1040" s="7" t="inlineStr">
        <is>
          <t>EQ-LOG-007</t>
        </is>
      </c>
      <c r="E1040" s="9">
        <f>IF(D1040="","",IFERROR(INDEX('Équipements'!$B$5:$B$304,MATCH(D1040,'Équipements'!$A$5:$A$304,0)),"Code inconnu"))</f>
        <v/>
      </c>
      <c r="F1040" s="9">
        <f>IF(D1040="","",IFERROR(INDEX('Équipements'!$D$5:$D$304,MATCH(D1040,'Équipements'!$A$5:$A$304,0)),""))</f>
        <v/>
      </c>
      <c r="G1040" s="9">
        <f>IF(D1040="","",IFERROR(INDEX('Équipements'!$K$5:$K$304,MATCH(D1040,'Équipements'!$A$5:$A$304,0)),""))</f>
        <v/>
      </c>
      <c r="H1040" s="7" t="inlineStr">
        <is>
          <t>Correctif</t>
        </is>
      </c>
      <c r="I1040" s="7" t="n"/>
      <c r="J1040" s="7" t="inlineStr">
        <is>
          <t>Mécanique</t>
        </is>
      </c>
      <c r="K1040" s="7" t="inlineStr">
        <is>
          <t>P1 - Urgent</t>
        </is>
      </c>
      <c r="L1040" s="7" t="inlineStr">
        <is>
          <t>Câble de levage effiloché (réserve VGP)</t>
        </is>
      </c>
      <c r="M1040" s="7" t="inlineStr">
        <is>
          <t>Usure</t>
        </is>
      </c>
      <c r="N1040" s="7" t="inlineStr">
        <is>
          <t>Remplacement câble de levage</t>
        </is>
      </c>
      <c r="O1040" s="7" t="inlineStr">
        <is>
          <t>Lucas Fontaine</t>
        </is>
      </c>
      <c r="P1040" s="65" t="n"/>
      <c r="Q1040" s="75" t="n">
        <v>46109.51111111111</v>
      </c>
      <c r="R1040" s="75" t="n">
        <v>46109.62569444445</v>
      </c>
      <c r="S1040" s="76" t="n">
        <v>3.4</v>
      </c>
      <c r="T1040" s="76" t="n">
        <v>2.75</v>
      </c>
      <c r="U1040" s="70">
        <f>IF($A1040="","",IFERROR(INDEX('Techniciens'!$F$5:$F$44,MATCH(O1040,'Techniciens'!$B$5:$B$44,0)),'Paramètres'!$AA$10))</f>
        <v/>
      </c>
      <c r="V1040" s="70">
        <f>IF($A1040="","",IF(OR(AC1040="Demandé",AC1040="Planifié",AC1040="Annulé"),0,N(T1040)*N(U1040)))</f>
        <v/>
      </c>
      <c r="W1040" s="70">
        <f>IF($A1040="","",SUMIFS('Mouvements stock'!$H$5:$H$3004,'Mouvements stock'!$I$5:$I$3004,$A1040,'Mouvements stock'!$C$5:$C$3004,"Sortie")-SUMIFS('Mouvements stock'!$H$5:$H$3004,'Mouvements stock'!$I$5:$I$3004,$A1040,'Mouvements stock'!$C$5:$C$3004,"Retour"))</f>
        <v/>
      </c>
      <c r="X1040" s="66" t="n">
        <v>0</v>
      </c>
      <c r="Y1040" s="66" t="n">
        <v>0</v>
      </c>
      <c r="Z1040" s="7" t="n"/>
      <c r="AA1040" s="70">
        <f>IF($A1040="","",N(V1040)+N(W1040)+N(X1040)+N(Y1040))</f>
        <v/>
      </c>
      <c r="AB1040" s="70">
        <f>IF($A1040="","",N(S1040)*'Paramètres'!$AA$9*IFERROR(INDEX('Paramètres'!$O$5:$O$7,MATCH(G1040,'Paramètres'!$N$5:$N$7,0)),0))</f>
        <v/>
      </c>
      <c r="AC1040" s="7" t="inlineStr">
        <is>
          <t>Clôturé</t>
        </is>
      </c>
      <c r="AD1040" s="69">
        <f>IF(OR($A1040="",Q1040=""),"",(Q1040-B1040)*24)</f>
        <v/>
      </c>
      <c r="AE1040" s="69">
        <f>IF(OR(Q1040="",R1040=""),"",(R1040-Q1040)*24)</f>
        <v/>
      </c>
      <c r="AF1040" s="77">
        <f>IF(OR($A1040="",B1040=""),"",YEAR(B1040))</f>
        <v/>
      </c>
      <c r="AG1040" s="77">
        <f>IF(OR($A1040="",B1040=""),"",MONTH(B1040))</f>
        <v/>
      </c>
    </row>
    <row r="1041">
      <c r="A1041" s="7" t="inlineStr">
        <is>
          <t>OT-2026-0186</t>
        </is>
      </c>
      <c r="B1041" s="75" t="n">
        <v>46111.34375</v>
      </c>
      <c r="C1041" s="7" t="inlineStr">
        <is>
          <t>Plan préventif</t>
        </is>
      </c>
      <c r="D1041" s="7" t="inlineStr">
        <is>
          <t>EQ-USI-009</t>
        </is>
      </c>
      <c r="E1041" s="9">
        <f>IF(D1041="","",IFERROR(INDEX('Équipements'!$B$5:$B$304,MATCH(D1041,'Équipements'!$A$5:$A$304,0)),"Code inconnu"))</f>
        <v/>
      </c>
      <c r="F1041" s="9">
        <f>IF(D1041="","",IFERROR(INDEX('Équipements'!$D$5:$D$304,MATCH(D1041,'Équipements'!$A$5:$A$304,0)),""))</f>
        <v/>
      </c>
      <c r="G1041" s="9">
        <f>IF(D1041="","",IFERROR(INDEX('Équipements'!$K$5:$K$304,MATCH(D1041,'Équipements'!$A$5:$A$304,0)),""))</f>
        <v/>
      </c>
      <c r="H1041" s="7" t="inlineStr">
        <is>
          <t>Préventif systématique</t>
        </is>
      </c>
      <c r="I1041" s="7" t="inlineStr">
        <is>
          <t>GP-030</t>
        </is>
      </c>
      <c r="J1041" s="7" t="inlineStr">
        <is>
          <t>Mécanique</t>
        </is>
      </c>
      <c r="K1041" s="7" t="inlineStr">
        <is>
          <t>P3 - Normale</t>
        </is>
      </c>
      <c r="L1041" s="7" t="inlineStr">
        <is>
          <t>Contrôle lame, guides et liquide de coupe</t>
        </is>
      </c>
      <c r="M1041" s="7" t="n"/>
      <c r="N1041" s="7" t="inlineStr">
        <is>
          <t>Gamme réalisée - RAS</t>
        </is>
      </c>
      <c r="O1041" s="7" t="inlineStr">
        <is>
          <t>Karim Benali</t>
        </is>
      </c>
      <c r="P1041" s="65" t="n">
        <v>46118.63541666666</v>
      </c>
      <c r="Q1041" s="75" t="n">
        <v>46118.36805555555</v>
      </c>
      <c r="R1041" s="75" t="n">
        <v>46118.40972222222</v>
      </c>
      <c r="S1041" s="76" t="n">
        <v>0</v>
      </c>
      <c r="T1041" s="76" t="n">
        <v>1</v>
      </c>
      <c r="U1041" s="70">
        <f>IF($A1041="","",IFERROR(INDEX('Techniciens'!$F$5:$F$44,MATCH(O1041,'Techniciens'!$B$5:$B$44,0)),'Paramètres'!$AA$10))</f>
        <v/>
      </c>
      <c r="V1041" s="70">
        <f>IF($A1041="","",IF(OR(AC1041="Demandé",AC1041="Planifié",AC1041="Annulé"),0,N(T1041)*N(U1041)))</f>
        <v/>
      </c>
      <c r="W1041" s="70">
        <f>IF($A1041="","",SUMIFS('Mouvements stock'!$H$5:$H$3004,'Mouvements stock'!$I$5:$I$3004,$A1041,'Mouvements stock'!$C$5:$C$3004,"Sortie")-SUMIFS('Mouvements stock'!$H$5:$H$3004,'Mouvements stock'!$I$5:$I$3004,$A1041,'Mouvements stock'!$C$5:$C$3004,"Retour"))</f>
        <v/>
      </c>
      <c r="X1041" s="66" t="n">
        <v>0</v>
      </c>
      <c r="Y1041" s="66" t="n">
        <v>0</v>
      </c>
      <c r="Z1041" s="7" t="n"/>
      <c r="AA1041" s="70">
        <f>IF($A1041="","",N(V1041)+N(W1041)+N(X1041)+N(Y1041))</f>
        <v/>
      </c>
      <c r="AB1041" s="70">
        <f>IF($A1041="","",N(S1041)*'Paramètres'!$AA$9*IFERROR(INDEX('Paramètres'!$O$5:$O$7,MATCH(G1041,'Paramètres'!$N$5:$N$7,0)),0))</f>
        <v/>
      </c>
      <c r="AC1041" s="7" t="inlineStr">
        <is>
          <t>Clôturé</t>
        </is>
      </c>
      <c r="AD1041" s="69">
        <f>IF(OR($A1041="",Q1041=""),"",(Q1041-B1041)*24)</f>
        <v/>
      </c>
      <c r="AE1041" s="69">
        <f>IF(OR(Q1041="",R1041=""),"",(R1041-Q1041)*24)</f>
        <v/>
      </c>
      <c r="AF1041" s="77">
        <f>IF(OR($A1041="",B1041=""),"",YEAR(B1041))</f>
        <v/>
      </c>
      <c r="AG1041" s="77">
        <f>IF(OR($A1041="",B1041=""),"",MONTH(B1041))</f>
        <v/>
      </c>
    </row>
    <row r="1042">
      <c r="A1042" s="7" t="inlineStr">
        <is>
          <t>OT-2026-0187</t>
        </is>
      </c>
      <c r="B1042" s="75" t="n">
        <v>46111.375</v>
      </c>
      <c r="C1042" s="7" t="inlineStr">
        <is>
          <t>Plan préventif</t>
        </is>
      </c>
      <c r="D1042" s="7" t="inlineStr">
        <is>
          <t>EQ-PEI-003</t>
        </is>
      </c>
      <c r="E1042" s="9">
        <f>IF(D1042="","",IFERROR(INDEX('Équipements'!$B$5:$B$304,MATCH(D1042,'Équipements'!$A$5:$A$304,0)),"Code inconnu"))</f>
        <v/>
      </c>
      <c r="F1042" s="9">
        <f>IF(D1042="","",IFERROR(INDEX('Équipements'!$D$5:$D$304,MATCH(D1042,'Équipements'!$A$5:$A$304,0)),""))</f>
        <v/>
      </c>
      <c r="G1042" s="9">
        <f>IF(D1042="","",IFERROR(INDEX('Équipements'!$K$5:$K$304,MATCH(D1042,'Équipements'!$A$5:$A$304,0)),""))</f>
        <v/>
      </c>
      <c r="H1042" s="7" t="inlineStr">
        <is>
          <t>Préventif systématique</t>
        </is>
      </c>
      <c r="I1042" s="7" t="inlineStr">
        <is>
          <t>GP-070</t>
        </is>
      </c>
      <c r="J1042" s="7" t="inlineStr">
        <is>
          <t>Mécanique</t>
        </is>
      </c>
      <c r="K1042" s="7" t="inlineStr">
        <is>
          <t>P3 - Normale</t>
        </is>
      </c>
      <c r="L1042" s="7" t="inlineStr">
        <is>
          <t>Nettoyage et remplacement des filtres</t>
        </is>
      </c>
      <c r="M1042" s="7" t="n"/>
      <c r="N1042" s="7" t="inlineStr">
        <is>
          <t>Gamme réalisée - RAS</t>
        </is>
      </c>
      <c r="O1042" s="7" t="inlineStr">
        <is>
          <t>Antoine Mercier</t>
        </is>
      </c>
      <c r="P1042" s="65" t="n">
        <v>46118.59722222222</v>
      </c>
      <c r="Q1042" s="75" t="n">
        <v>46118.5</v>
      </c>
      <c r="R1042" s="75" t="n">
        <v>46118.625</v>
      </c>
      <c r="S1042" s="76" t="n">
        <v>3</v>
      </c>
      <c r="T1042" s="76" t="n">
        <v>3</v>
      </c>
      <c r="U1042" s="70">
        <f>IF($A1042="","",IFERROR(INDEX('Techniciens'!$F$5:$F$44,MATCH(O1042,'Techniciens'!$B$5:$B$44,0)),'Paramètres'!$AA$10))</f>
        <v/>
      </c>
      <c r="V1042" s="70">
        <f>IF($A1042="","",IF(OR(AC1042="Demandé",AC1042="Planifié",AC1042="Annulé"),0,N(T1042)*N(U1042)))</f>
        <v/>
      </c>
      <c r="W1042" s="70">
        <f>IF($A1042="","",SUMIFS('Mouvements stock'!$H$5:$H$3004,'Mouvements stock'!$I$5:$I$3004,$A1042,'Mouvements stock'!$C$5:$C$3004,"Sortie")-SUMIFS('Mouvements stock'!$H$5:$H$3004,'Mouvements stock'!$I$5:$I$3004,$A1042,'Mouvements stock'!$C$5:$C$3004,"Retour"))</f>
        <v/>
      </c>
      <c r="X1042" s="66" t="n">
        <v>0</v>
      </c>
      <c r="Y1042" s="66" t="n">
        <v>0</v>
      </c>
      <c r="Z1042" s="7" t="n"/>
      <c r="AA1042" s="70">
        <f>IF($A1042="","",N(V1042)+N(W1042)+N(X1042)+N(Y1042))</f>
        <v/>
      </c>
      <c r="AB1042" s="70">
        <f>IF($A1042="","",N(S1042)*'Paramètres'!$AA$9*IFERROR(INDEX('Paramètres'!$O$5:$O$7,MATCH(G1042,'Paramètres'!$N$5:$N$7,0)),0))</f>
        <v/>
      </c>
      <c r="AC1042" s="7" t="inlineStr">
        <is>
          <t>Clôturé</t>
        </is>
      </c>
      <c r="AD1042" s="69">
        <f>IF(OR($A1042="",Q1042=""),"",(Q1042-B1042)*24)</f>
        <v/>
      </c>
      <c r="AE1042" s="69">
        <f>IF(OR(Q1042="",R1042=""),"",(R1042-Q1042)*24)</f>
        <v/>
      </c>
      <c r="AF1042" s="77">
        <f>IF(OR($A1042="",B1042=""),"",YEAR(B1042))</f>
        <v/>
      </c>
      <c r="AG1042" s="77">
        <f>IF(OR($A1042="",B1042=""),"",MONTH(B1042))</f>
        <v/>
      </c>
    </row>
    <row r="1043">
      <c r="A1043" s="7" t="inlineStr">
        <is>
          <t>OT-2026-0188</t>
        </is>
      </c>
      <c r="B1043" s="75" t="n">
        <v>46111.38541666666</v>
      </c>
      <c r="C1043" s="7" t="inlineStr">
        <is>
          <t>Plan préventif</t>
        </is>
      </c>
      <c r="D1043" s="7" t="inlineStr">
        <is>
          <t>EQ-USI-001</t>
        </is>
      </c>
      <c r="E1043" s="9">
        <f>IF(D1043="","",IFERROR(INDEX('Équipements'!$B$5:$B$304,MATCH(D1043,'Équipements'!$A$5:$A$304,0)),"Code inconnu"))</f>
        <v/>
      </c>
      <c r="F1043" s="9">
        <f>IF(D1043="","",IFERROR(INDEX('Équipements'!$D$5:$D$304,MATCH(D1043,'Équipements'!$A$5:$A$304,0)),""))</f>
        <v/>
      </c>
      <c r="G1043" s="9">
        <f>IF(D1043="","",IFERROR(INDEX('Équipements'!$K$5:$K$304,MATCH(D1043,'Équipements'!$A$5:$A$304,0)),""))</f>
        <v/>
      </c>
      <c r="H1043" s="7" t="inlineStr">
        <is>
          <t>Préventif systématique</t>
        </is>
      </c>
      <c r="I1043" s="7" t="inlineStr">
        <is>
          <t>GP-001</t>
        </is>
      </c>
      <c r="J1043" s="7" t="inlineStr">
        <is>
          <t>Mécanique</t>
        </is>
      </c>
      <c r="K1043" s="7" t="inlineStr">
        <is>
          <t>P3 - Normale</t>
        </is>
      </c>
      <c r="L1043" s="7" t="inlineStr">
        <is>
          <t>Contrôle niveaux, nettoyage filtres et bac à copeaux</t>
        </is>
      </c>
      <c r="M1043" s="7" t="n"/>
      <c r="N1043" s="7" t="inlineStr">
        <is>
          <t>Gamme réalisée - RAS</t>
        </is>
      </c>
      <c r="O1043" s="7" t="inlineStr">
        <is>
          <t>Antoine Mercier</t>
        </is>
      </c>
      <c r="P1043" s="65" t="n">
        <v>46118.41666666666</v>
      </c>
      <c r="Q1043" s="75" t="n">
        <v>46118.30208333334</v>
      </c>
      <c r="R1043" s="75" t="n">
        <v>46118.375</v>
      </c>
      <c r="S1043" s="76" t="n">
        <v>0</v>
      </c>
      <c r="T1043" s="76" t="n">
        <v>1.75</v>
      </c>
      <c r="U1043" s="70">
        <f>IF($A1043="","",IFERROR(INDEX('Techniciens'!$F$5:$F$44,MATCH(O1043,'Techniciens'!$B$5:$B$44,0)),'Paramètres'!$AA$10))</f>
        <v/>
      </c>
      <c r="V1043" s="70">
        <f>IF($A1043="","",IF(OR(AC1043="Demandé",AC1043="Planifié",AC1043="Annulé"),0,N(T1043)*N(U1043)))</f>
        <v/>
      </c>
      <c r="W1043" s="70">
        <f>IF($A1043="","",SUMIFS('Mouvements stock'!$H$5:$H$3004,'Mouvements stock'!$I$5:$I$3004,$A1043,'Mouvements stock'!$C$5:$C$3004,"Sortie")-SUMIFS('Mouvements stock'!$H$5:$H$3004,'Mouvements stock'!$I$5:$I$3004,$A1043,'Mouvements stock'!$C$5:$C$3004,"Retour"))</f>
        <v/>
      </c>
      <c r="X1043" s="66" t="n">
        <v>0</v>
      </c>
      <c r="Y1043" s="66" t="n">
        <v>0</v>
      </c>
      <c r="Z1043" s="7" t="n"/>
      <c r="AA1043" s="70">
        <f>IF($A1043="","",N(V1043)+N(W1043)+N(X1043)+N(Y1043))</f>
        <v/>
      </c>
      <c r="AB1043" s="70">
        <f>IF($A1043="","",N(S1043)*'Paramètres'!$AA$9*IFERROR(INDEX('Paramètres'!$O$5:$O$7,MATCH(G1043,'Paramètres'!$N$5:$N$7,0)),0))</f>
        <v/>
      </c>
      <c r="AC1043" s="7" t="inlineStr">
        <is>
          <t>Clôturé</t>
        </is>
      </c>
      <c r="AD1043" s="69">
        <f>IF(OR($A1043="",Q1043=""),"",(Q1043-B1043)*24)</f>
        <v/>
      </c>
      <c r="AE1043" s="69">
        <f>IF(OR(Q1043="",R1043=""),"",(R1043-Q1043)*24)</f>
        <v/>
      </c>
      <c r="AF1043" s="77">
        <f>IF(OR($A1043="",B1043=""),"",YEAR(B1043))</f>
        <v/>
      </c>
      <c r="AG1043" s="77">
        <f>IF(OR($A1043="",B1043=""),"",MONTH(B1043))</f>
        <v/>
      </c>
    </row>
    <row r="1044">
      <c r="A1044" s="7" t="inlineStr">
        <is>
          <t>OT-2026-0189</t>
        </is>
      </c>
      <c r="B1044" s="75" t="n">
        <v>46111.44444444445</v>
      </c>
      <c r="C1044" s="7" t="inlineStr">
        <is>
          <t>Plan préventif</t>
        </is>
      </c>
      <c r="D1044" s="7" t="inlineStr">
        <is>
          <t>EQ-BAT-003</t>
        </is>
      </c>
      <c r="E1044" s="9">
        <f>IF(D1044="","",IFERROR(INDEX('Équipements'!$B$5:$B$304,MATCH(D1044,'Équipements'!$A$5:$A$304,0)),"Code inconnu"))</f>
        <v/>
      </c>
      <c r="F1044" s="9">
        <f>IF(D1044="","",IFERROR(INDEX('Équipements'!$D$5:$D$304,MATCH(D1044,'Équipements'!$A$5:$A$304,0)),""))</f>
        <v/>
      </c>
      <c r="G1044" s="9">
        <f>IF(D1044="","",IFERROR(INDEX('Équipements'!$K$5:$K$304,MATCH(D1044,'Équipements'!$A$5:$A$304,0)),""))</f>
        <v/>
      </c>
      <c r="H1044" s="7" t="inlineStr">
        <is>
          <t>Préventif systématique</t>
        </is>
      </c>
      <c r="I1044" s="7" t="inlineStr">
        <is>
          <t>GP-124</t>
        </is>
      </c>
      <c r="J1044" s="7" t="inlineStr">
        <is>
          <t>Mécanique</t>
        </is>
      </c>
      <c r="K1044" s="7" t="inlineStr">
        <is>
          <t>P3 - Normale</t>
        </is>
      </c>
      <c r="L1044" s="7" t="inlineStr">
        <is>
          <t>Remplacement filtres et nettoyage batteries</t>
        </is>
      </c>
      <c r="M1044" s="7" t="n"/>
      <c r="N1044" s="7" t="inlineStr">
        <is>
          <t>Gamme réalisée - RAS</t>
        </is>
      </c>
      <c r="O1044" s="7" t="inlineStr">
        <is>
          <t>Lucas Fontaine</t>
        </is>
      </c>
      <c r="P1044" s="65" t="n">
        <v>46118.60069444445</v>
      </c>
      <c r="Q1044" s="75" t="n">
        <v>46118.46527777778</v>
      </c>
      <c r="R1044" s="75" t="n">
        <v>46118.57986111111</v>
      </c>
      <c r="S1044" s="76" t="n">
        <v>0</v>
      </c>
      <c r="T1044" s="76" t="n">
        <v>2.75</v>
      </c>
      <c r="U1044" s="70">
        <f>IF($A1044="","",IFERROR(INDEX('Techniciens'!$F$5:$F$44,MATCH(O1044,'Techniciens'!$B$5:$B$44,0)),'Paramètres'!$AA$10))</f>
        <v/>
      </c>
      <c r="V1044" s="70">
        <f>IF($A1044="","",IF(OR(AC1044="Demandé",AC1044="Planifié",AC1044="Annulé"),0,N(T1044)*N(U1044)))</f>
        <v/>
      </c>
      <c r="W1044" s="70">
        <f>IF($A1044="","",SUMIFS('Mouvements stock'!$H$5:$H$3004,'Mouvements stock'!$I$5:$I$3004,$A1044,'Mouvements stock'!$C$5:$C$3004,"Sortie")-SUMIFS('Mouvements stock'!$H$5:$H$3004,'Mouvements stock'!$I$5:$I$3004,$A1044,'Mouvements stock'!$C$5:$C$3004,"Retour"))</f>
        <v/>
      </c>
      <c r="X1044" s="66" t="n">
        <v>0</v>
      </c>
      <c r="Y1044" s="66" t="n">
        <v>0</v>
      </c>
      <c r="Z1044" s="7" t="n"/>
      <c r="AA1044" s="70">
        <f>IF($A1044="","",N(V1044)+N(W1044)+N(X1044)+N(Y1044))</f>
        <v/>
      </c>
      <c r="AB1044" s="70">
        <f>IF($A1044="","",N(S1044)*'Paramètres'!$AA$9*IFERROR(INDEX('Paramètres'!$O$5:$O$7,MATCH(G1044,'Paramètres'!$N$5:$N$7,0)),0))</f>
        <v/>
      </c>
      <c r="AC1044" s="7" t="inlineStr">
        <is>
          <t>Clôturé</t>
        </is>
      </c>
      <c r="AD1044" s="69">
        <f>IF(OR($A1044="",Q1044=""),"",(Q1044-B1044)*24)</f>
        <v/>
      </c>
      <c r="AE1044" s="69">
        <f>IF(OR(Q1044="",R1044=""),"",(R1044-Q1044)*24)</f>
        <v/>
      </c>
      <c r="AF1044" s="77">
        <f>IF(OR($A1044="",B1044=""),"",YEAR(B1044))</f>
        <v/>
      </c>
      <c r="AG1044" s="77">
        <f>IF(OR($A1044="",B1044=""),"",MONTH(B1044))</f>
        <v/>
      </c>
    </row>
    <row r="1045">
      <c r="A1045" s="7" t="inlineStr">
        <is>
          <t>OT-2026-0190</t>
        </is>
      </c>
      <c r="B1045" s="75" t="n">
        <v>46111.48611111111</v>
      </c>
      <c r="C1045" s="7" t="inlineStr">
        <is>
          <t>Nadia Rousseau</t>
        </is>
      </c>
      <c r="D1045" s="7" t="inlineStr">
        <is>
          <t>EQ-ASS-003</t>
        </is>
      </c>
      <c r="E1045" s="9">
        <f>IF(D1045="","",IFERROR(INDEX('Équipements'!$B$5:$B$304,MATCH(D1045,'Équipements'!$A$5:$A$304,0)),"Code inconnu"))</f>
        <v/>
      </c>
      <c r="F1045" s="9">
        <f>IF(D1045="","",IFERROR(INDEX('Équipements'!$D$5:$D$304,MATCH(D1045,'Équipements'!$A$5:$A$304,0)),""))</f>
        <v/>
      </c>
      <c r="G1045" s="9">
        <f>IF(D1045="","",IFERROR(INDEX('Équipements'!$K$5:$K$304,MATCH(D1045,'Équipements'!$A$5:$A$304,0)),""))</f>
        <v/>
      </c>
      <c r="H1045" s="7" t="inlineStr">
        <is>
          <t>Amélioratif</t>
        </is>
      </c>
      <c r="I1045" s="7" t="n"/>
      <c r="J1045" s="7" t="inlineStr">
        <is>
          <t>Automatisme</t>
        </is>
      </c>
      <c r="K1045" s="7" t="inlineStr">
        <is>
          <t>P4 - Basse</t>
        </is>
      </c>
      <c r="L1045" s="7" t="inlineStr">
        <is>
          <t>Mise à jour logiciel visseuse et traçabilité couples</t>
        </is>
      </c>
      <c r="M1045" s="7" t="n"/>
      <c r="N1045" s="7" t="inlineStr">
        <is>
          <t>Réalisé conformément au devis / dossier technique</t>
        </is>
      </c>
      <c r="O1045" s="7" t="inlineStr">
        <is>
          <t>Sophie Garnier</t>
        </is>
      </c>
      <c r="P1045" s="65" t="n">
        <v>46139</v>
      </c>
      <c r="Q1045" s="75" t="n">
        <v>46139.30555555555</v>
      </c>
      <c r="R1045" s="75" t="n">
        <v>46139.77222222222</v>
      </c>
      <c r="S1045" s="76" t="n">
        <v>0</v>
      </c>
      <c r="T1045" s="76" t="n">
        <v>8</v>
      </c>
      <c r="U1045" s="70">
        <f>IF($A1045="","",IFERROR(INDEX('Techniciens'!$F$5:$F$44,MATCH(O1045,'Techniciens'!$B$5:$B$44,0)),'Paramètres'!$AA$10))</f>
        <v/>
      </c>
      <c r="V1045" s="70">
        <f>IF($A1045="","",IF(OR(AC1045="Demandé",AC1045="Planifié",AC1045="Annulé"),0,N(T1045)*N(U1045)))</f>
        <v/>
      </c>
      <c r="W1045" s="70">
        <f>IF($A1045="","",SUMIFS('Mouvements stock'!$H$5:$H$3004,'Mouvements stock'!$I$5:$I$3004,$A1045,'Mouvements stock'!$C$5:$C$3004,"Sortie")-SUMIFS('Mouvements stock'!$H$5:$H$3004,'Mouvements stock'!$I$5:$I$3004,$A1045,'Mouvements stock'!$C$5:$C$3004,"Retour"))</f>
        <v/>
      </c>
      <c r="X1045" s="66" t="n">
        <v>0</v>
      </c>
      <c r="Y1045" s="66" t="n">
        <v>1200</v>
      </c>
      <c r="Z1045" s="7" t="inlineStr">
        <is>
          <t>AutomaSys Ingénierie</t>
        </is>
      </c>
      <c r="AA1045" s="70">
        <f>IF($A1045="","",N(V1045)+N(W1045)+N(X1045)+N(Y1045))</f>
        <v/>
      </c>
      <c r="AB1045" s="70">
        <f>IF($A1045="","",N(S1045)*'Paramètres'!$AA$9*IFERROR(INDEX('Paramètres'!$O$5:$O$7,MATCH(G1045,'Paramètres'!$N$5:$N$7,0)),0))</f>
        <v/>
      </c>
      <c r="AC1045" s="7" t="inlineStr">
        <is>
          <t>Clôturé</t>
        </is>
      </c>
      <c r="AD1045" s="69">
        <f>IF(OR($A1045="",Q1045=""),"",(Q1045-B1045)*24)</f>
        <v/>
      </c>
      <c r="AE1045" s="69">
        <f>IF(OR(Q1045="",R1045=""),"",(R1045-Q1045)*24)</f>
        <v/>
      </c>
      <c r="AF1045" s="77">
        <f>IF(OR($A1045="",B1045=""),"",YEAR(B1045))</f>
        <v/>
      </c>
      <c r="AG1045" s="77">
        <f>IF(OR($A1045="",B1045=""),"",MONTH(B1045))</f>
        <v/>
      </c>
    </row>
    <row r="1046">
      <c r="A1046" s="7" t="inlineStr">
        <is>
          <t>OT-2026-0191</t>
        </is>
      </c>
      <c r="B1046" s="75" t="n">
        <v>46112.4125</v>
      </c>
      <c r="C1046" s="7" t="inlineStr">
        <is>
          <t>Sylvie Mathieu (resp. logistique)</t>
        </is>
      </c>
      <c r="D1046" s="7" t="inlineStr">
        <is>
          <t>EQ-LOG-003</t>
        </is>
      </c>
      <c r="E1046" s="9">
        <f>IF(D1046="","",IFERROR(INDEX('Équipements'!$B$5:$B$304,MATCH(D1046,'Équipements'!$A$5:$A$304,0)),"Code inconnu"))</f>
        <v/>
      </c>
      <c r="F1046" s="9">
        <f>IF(D1046="","",IFERROR(INDEX('Équipements'!$D$5:$D$304,MATCH(D1046,'Équipements'!$A$5:$A$304,0)),""))</f>
        <v/>
      </c>
      <c r="G1046" s="9">
        <f>IF(D1046="","",IFERROR(INDEX('Équipements'!$K$5:$K$304,MATCH(D1046,'Équipements'!$A$5:$A$304,0)),""))</f>
        <v/>
      </c>
      <c r="H1046" s="7" t="inlineStr">
        <is>
          <t>Correctif</t>
        </is>
      </c>
      <c r="I1046" s="7" t="n"/>
      <c r="J1046" s="7" t="inlineStr">
        <is>
          <t>Mécanique</t>
        </is>
      </c>
      <c r="K1046" s="7" t="inlineStr">
        <is>
          <t>P4 - Basse</t>
        </is>
      </c>
      <c r="L1046" s="7" t="inlineStr">
        <is>
          <t>Freinage inefficace</t>
        </is>
      </c>
      <c r="M1046" s="7" t="inlineStr">
        <is>
          <t>Usure</t>
        </is>
      </c>
      <c r="N1046" s="7" t="inlineStr">
        <is>
          <t>Remplacement garnitures de frein</t>
        </is>
      </c>
      <c r="O1046" s="7" t="inlineStr">
        <is>
          <t>Antoine Mercier</t>
        </is>
      </c>
      <c r="P1046" s="65" t="n"/>
      <c r="Q1046" s="75" t="n">
        <v>46113.83402777778</v>
      </c>
      <c r="R1046" s="75" t="n">
        <v>46114.05277777778</v>
      </c>
      <c r="S1046" s="76" t="n">
        <v>0</v>
      </c>
      <c r="T1046" s="76" t="n">
        <v>5.25</v>
      </c>
      <c r="U1046" s="70">
        <f>IF($A1046="","",IFERROR(INDEX('Techniciens'!$F$5:$F$44,MATCH(O1046,'Techniciens'!$B$5:$B$44,0)),'Paramètres'!$AA$10))</f>
        <v/>
      </c>
      <c r="V1046" s="70">
        <f>IF($A1046="","",IF(OR(AC1046="Demandé",AC1046="Planifié",AC1046="Annulé"),0,N(T1046)*N(U1046)))</f>
        <v/>
      </c>
      <c r="W1046" s="70">
        <f>IF($A1046="","",SUMIFS('Mouvements stock'!$H$5:$H$3004,'Mouvements stock'!$I$5:$I$3004,$A1046,'Mouvements stock'!$C$5:$C$3004,"Sortie")-SUMIFS('Mouvements stock'!$H$5:$H$3004,'Mouvements stock'!$I$5:$I$3004,$A1046,'Mouvements stock'!$C$5:$C$3004,"Retour"))</f>
        <v/>
      </c>
      <c r="X1046" s="66" t="n">
        <v>0</v>
      </c>
      <c r="Y1046" s="66" t="n">
        <v>0</v>
      </c>
      <c r="Z1046" s="7" t="n"/>
      <c r="AA1046" s="70">
        <f>IF($A1046="","",N(V1046)+N(W1046)+N(X1046)+N(Y1046))</f>
        <v/>
      </c>
      <c r="AB1046" s="70">
        <f>IF($A1046="","",N(S1046)*'Paramètres'!$AA$9*IFERROR(INDEX('Paramètres'!$O$5:$O$7,MATCH(G1046,'Paramètres'!$N$5:$N$7,0)),0))</f>
        <v/>
      </c>
      <c r="AC1046" s="7" t="inlineStr">
        <is>
          <t>Clôturé</t>
        </is>
      </c>
      <c r="AD1046" s="69">
        <f>IF(OR($A1046="",Q1046=""),"",(Q1046-B1046)*24)</f>
        <v/>
      </c>
      <c r="AE1046" s="69">
        <f>IF(OR(Q1046="",R1046=""),"",(R1046-Q1046)*24)</f>
        <v/>
      </c>
      <c r="AF1046" s="77">
        <f>IF(OR($A1046="",B1046=""),"",YEAR(B1046))</f>
        <v/>
      </c>
      <c r="AG1046" s="77">
        <f>IF(OR($A1046="",B1046=""),"",MONTH(B1046))</f>
        <v/>
      </c>
    </row>
    <row r="1047">
      <c r="A1047" s="7" t="inlineStr">
        <is>
          <t>OT-2026-0192</t>
        </is>
      </c>
      <c r="B1047" s="75" t="n">
        <v>46113.33333333334</v>
      </c>
      <c r="C1047" s="7" t="inlineStr">
        <is>
          <t>Plan préventif</t>
        </is>
      </c>
      <c r="D1047" s="7" t="inlineStr">
        <is>
          <t>EQ-LOG-004</t>
        </is>
      </c>
      <c r="E1047" s="9">
        <f>IF(D1047="","",IFERROR(INDEX('Équipements'!$B$5:$B$304,MATCH(D1047,'Équipements'!$A$5:$A$304,0)),"Code inconnu"))</f>
        <v/>
      </c>
      <c r="F1047" s="9">
        <f>IF(D1047="","",IFERROR(INDEX('Équipements'!$D$5:$D$304,MATCH(D1047,'Équipements'!$A$5:$A$304,0)),""))</f>
        <v/>
      </c>
      <c r="G1047" s="9">
        <f>IF(D1047="","",IFERROR(INDEX('Équipements'!$K$5:$K$304,MATCH(D1047,'Équipements'!$A$5:$A$304,0)),""))</f>
        <v/>
      </c>
      <c r="H1047" s="7" t="inlineStr">
        <is>
          <t>Préventif systématique</t>
        </is>
      </c>
      <c r="I1047" s="7" t="inlineStr">
        <is>
          <t>GP-112</t>
        </is>
      </c>
      <c r="J1047" s="7" t="inlineStr">
        <is>
          <t>Mécanique</t>
        </is>
      </c>
      <c r="K1047" s="7" t="inlineStr">
        <is>
          <t>P3 - Normale</t>
        </is>
      </c>
      <c r="L1047" s="7" t="inlineStr">
        <is>
          <t>Contrôle batterie, niveaux et bandages</t>
        </is>
      </c>
      <c r="M1047" s="7" t="n"/>
      <c r="N1047" s="7" t="inlineStr">
        <is>
          <t>Gamme réalisée - RAS</t>
        </is>
      </c>
      <c r="O1047" s="7" t="inlineStr">
        <is>
          <t>Karim Benali</t>
        </is>
      </c>
      <c r="P1047" s="65" t="n">
        <v>46120.52430555555</v>
      </c>
      <c r="Q1047" s="75" t="n">
        <v>46120.375</v>
      </c>
      <c r="R1047" s="75" t="n">
        <v>46120.40625</v>
      </c>
      <c r="S1047" s="76" t="n">
        <v>0.8</v>
      </c>
      <c r="T1047" s="76" t="n">
        <v>0.75</v>
      </c>
      <c r="U1047" s="70">
        <f>IF($A1047="","",IFERROR(INDEX('Techniciens'!$F$5:$F$44,MATCH(O1047,'Techniciens'!$B$5:$B$44,0)),'Paramètres'!$AA$10))</f>
        <v/>
      </c>
      <c r="V1047" s="70">
        <f>IF($A1047="","",IF(OR(AC1047="Demandé",AC1047="Planifié",AC1047="Annulé"),0,N(T1047)*N(U1047)))</f>
        <v/>
      </c>
      <c r="W1047" s="70">
        <f>IF($A1047="","",SUMIFS('Mouvements stock'!$H$5:$H$3004,'Mouvements stock'!$I$5:$I$3004,$A1047,'Mouvements stock'!$C$5:$C$3004,"Sortie")-SUMIFS('Mouvements stock'!$H$5:$H$3004,'Mouvements stock'!$I$5:$I$3004,$A1047,'Mouvements stock'!$C$5:$C$3004,"Retour"))</f>
        <v/>
      </c>
      <c r="X1047" s="66" t="n">
        <v>0</v>
      </c>
      <c r="Y1047" s="66" t="n">
        <v>0</v>
      </c>
      <c r="Z1047" s="7" t="n"/>
      <c r="AA1047" s="70">
        <f>IF($A1047="","",N(V1047)+N(W1047)+N(X1047)+N(Y1047))</f>
        <v/>
      </c>
      <c r="AB1047" s="70">
        <f>IF($A1047="","",N(S1047)*'Paramètres'!$AA$9*IFERROR(INDEX('Paramètres'!$O$5:$O$7,MATCH(G1047,'Paramètres'!$N$5:$N$7,0)),0))</f>
        <v/>
      </c>
      <c r="AC1047" s="7" t="inlineStr">
        <is>
          <t>Clôturé</t>
        </is>
      </c>
      <c r="AD1047" s="69">
        <f>IF(OR($A1047="",Q1047=""),"",(Q1047-B1047)*24)</f>
        <v/>
      </c>
      <c r="AE1047" s="69">
        <f>IF(OR(Q1047="",R1047=""),"",(R1047-Q1047)*24)</f>
        <v/>
      </c>
      <c r="AF1047" s="77">
        <f>IF(OR($A1047="",B1047=""),"",YEAR(B1047))</f>
        <v/>
      </c>
      <c r="AG1047" s="77">
        <f>IF(OR($A1047="",B1047=""),"",MONTH(B1047))</f>
        <v/>
      </c>
    </row>
    <row r="1048">
      <c r="A1048" s="7" t="inlineStr">
        <is>
          <t>OT-2026-0193</t>
        </is>
      </c>
      <c r="B1048" s="75" t="n">
        <v>46114.36111111111</v>
      </c>
      <c r="C1048" s="7" t="inlineStr">
        <is>
          <t>Plan préventif</t>
        </is>
      </c>
      <c r="D1048" s="7" t="inlineStr">
        <is>
          <t>EQ-PEI-002</t>
        </is>
      </c>
      <c r="E1048" s="9">
        <f>IF(D1048="","",IFERROR(INDEX('Équipements'!$B$5:$B$304,MATCH(D1048,'Équipements'!$A$5:$A$304,0)),"Code inconnu"))</f>
        <v/>
      </c>
      <c r="F1048" s="9">
        <f>IF(D1048="","",IFERROR(INDEX('Équipements'!$D$5:$D$304,MATCH(D1048,'Équipements'!$A$5:$A$304,0)),""))</f>
        <v/>
      </c>
      <c r="G1048" s="9">
        <f>IF(D1048="","",IFERROR(INDEX('Équipements'!$K$5:$K$304,MATCH(D1048,'Équipements'!$A$5:$A$304,0)),""))</f>
        <v/>
      </c>
      <c r="H1048" s="7" t="inlineStr">
        <is>
          <t>Préventif systématique</t>
        </is>
      </c>
      <c r="I1048" s="7" t="inlineStr">
        <is>
          <t>GP-068</t>
        </is>
      </c>
      <c r="J1048" s="7" t="inlineStr">
        <is>
          <t>Mécanique</t>
        </is>
      </c>
      <c r="K1048" s="7" t="inlineStr">
        <is>
          <t>P3 - Normale</t>
        </is>
      </c>
      <c r="L1048" s="7" t="inlineStr">
        <is>
          <t>Nettoyage et remplacement des filtres</t>
        </is>
      </c>
      <c r="M1048" s="7" t="n"/>
      <c r="N1048" s="7" t="inlineStr">
        <is>
          <t>Gamme réalisée - RAS</t>
        </is>
      </c>
      <c r="O1048" s="7" t="inlineStr">
        <is>
          <t>Karim Benali</t>
        </is>
      </c>
      <c r="P1048" s="65" t="n">
        <v>46121.55208333334</v>
      </c>
      <c r="Q1048" s="75" t="n">
        <v>46121.54861111111</v>
      </c>
      <c r="R1048" s="75" t="n">
        <v>46121.67361111111</v>
      </c>
      <c r="S1048" s="76" t="n">
        <v>3</v>
      </c>
      <c r="T1048" s="76" t="n">
        <v>3</v>
      </c>
      <c r="U1048" s="70">
        <f>IF($A1048="","",IFERROR(INDEX('Techniciens'!$F$5:$F$44,MATCH(O1048,'Techniciens'!$B$5:$B$44,0)),'Paramètres'!$AA$10))</f>
        <v/>
      </c>
      <c r="V1048" s="70">
        <f>IF($A1048="","",IF(OR(AC1048="Demandé",AC1048="Planifié",AC1048="Annulé"),0,N(T1048)*N(U1048)))</f>
        <v/>
      </c>
      <c r="W1048" s="70">
        <f>IF($A1048="","",SUMIFS('Mouvements stock'!$H$5:$H$3004,'Mouvements stock'!$I$5:$I$3004,$A1048,'Mouvements stock'!$C$5:$C$3004,"Sortie")-SUMIFS('Mouvements stock'!$H$5:$H$3004,'Mouvements stock'!$I$5:$I$3004,$A1048,'Mouvements stock'!$C$5:$C$3004,"Retour"))</f>
        <v/>
      </c>
      <c r="X1048" s="66" t="n">
        <v>0</v>
      </c>
      <c r="Y1048" s="66" t="n">
        <v>0</v>
      </c>
      <c r="Z1048" s="7" t="n"/>
      <c r="AA1048" s="70">
        <f>IF($A1048="","",N(V1048)+N(W1048)+N(X1048)+N(Y1048))</f>
        <v/>
      </c>
      <c r="AB1048" s="70">
        <f>IF($A1048="","",N(S1048)*'Paramètres'!$AA$9*IFERROR(INDEX('Paramètres'!$O$5:$O$7,MATCH(G1048,'Paramètres'!$N$5:$N$7,0)),0))</f>
        <v/>
      </c>
      <c r="AC1048" s="7" t="inlineStr">
        <is>
          <t>Clôturé</t>
        </is>
      </c>
      <c r="AD1048" s="69">
        <f>IF(OR($A1048="",Q1048=""),"",(Q1048-B1048)*24)</f>
        <v/>
      </c>
      <c r="AE1048" s="69">
        <f>IF(OR(Q1048="",R1048=""),"",(R1048-Q1048)*24)</f>
        <v/>
      </c>
      <c r="AF1048" s="77">
        <f>IF(OR($A1048="",B1048=""),"",YEAR(B1048))</f>
        <v/>
      </c>
      <c r="AG1048" s="77">
        <f>IF(OR($A1048="",B1048=""),"",MONTH(B1048))</f>
        <v/>
      </c>
    </row>
    <row r="1049">
      <c r="A1049" s="7" t="inlineStr">
        <is>
          <t>OT-2026-0194</t>
        </is>
      </c>
      <c r="B1049" s="75" t="n">
        <v>46114.46527777778</v>
      </c>
      <c r="C1049" s="7" t="inlineStr">
        <is>
          <t>Plan préventif</t>
        </is>
      </c>
      <c r="D1049" s="7" t="inlineStr">
        <is>
          <t>EQ-USI-011</t>
        </is>
      </c>
      <c r="E1049" s="9">
        <f>IF(D1049="","",IFERROR(INDEX('Équipements'!$B$5:$B$304,MATCH(D1049,'Équipements'!$A$5:$A$304,0)),"Code inconnu"))</f>
        <v/>
      </c>
      <c r="F1049" s="9">
        <f>IF(D1049="","",IFERROR(INDEX('Équipements'!$D$5:$D$304,MATCH(D1049,'Équipements'!$A$5:$A$304,0)),""))</f>
        <v/>
      </c>
      <c r="G1049" s="9">
        <f>IF(D1049="","",IFERROR(INDEX('Équipements'!$K$5:$K$304,MATCH(D1049,'Équipements'!$A$5:$A$304,0)),""))</f>
        <v/>
      </c>
      <c r="H1049" s="7" t="inlineStr">
        <is>
          <t>Préventif systématique</t>
        </is>
      </c>
      <c r="I1049" s="7" t="inlineStr">
        <is>
          <t>GP-034</t>
        </is>
      </c>
      <c r="J1049" s="7" t="inlineStr">
        <is>
          <t>Mécanique</t>
        </is>
      </c>
      <c r="K1049" s="7" t="inlineStr">
        <is>
          <t>P3 - Normale</t>
        </is>
      </c>
      <c r="L1049" s="7" t="inlineStr">
        <is>
          <t>Graissage et contrôle général</t>
        </is>
      </c>
      <c r="M1049" s="7" t="n"/>
      <c r="N1049" s="7" t="inlineStr">
        <is>
          <t>Gamme réalisée - RAS</t>
        </is>
      </c>
      <c r="O1049" s="7" t="inlineStr">
        <is>
          <t>Karim Benali</t>
        </is>
      </c>
      <c r="P1049" s="65" t="n">
        <v>46121.60416666666</v>
      </c>
      <c r="Q1049" s="75" t="n">
        <v>46121.25</v>
      </c>
      <c r="R1049" s="75" t="n">
        <v>46121.30208333334</v>
      </c>
      <c r="S1049" s="76" t="n">
        <v>1.2</v>
      </c>
      <c r="T1049" s="76" t="n">
        <v>1.25</v>
      </c>
      <c r="U1049" s="70">
        <f>IF($A1049="","",IFERROR(INDEX('Techniciens'!$F$5:$F$44,MATCH(O1049,'Techniciens'!$B$5:$B$44,0)),'Paramètres'!$AA$10))</f>
        <v/>
      </c>
      <c r="V1049" s="70">
        <f>IF($A1049="","",IF(OR(AC1049="Demandé",AC1049="Planifié",AC1049="Annulé"),0,N(T1049)*N(U1049)))</f>
        <v/>
      </c>
      <c r="W1049" s="70">
        <f>IF($A1049="","",SUMIFS('Mouvements stock'!$H$5:$H$3004,'Mouvements stock'!$I$5:$I$3004,$A1049,'Mouvements stock'!$C$5:$C$3004,"Sortie")-SUMIFS('Mouvements stock'!$H$5:$H$3004,'Mouvements stock'!$I$5:$I$3004,$A1049,'Mouvements stock'!$C$5:$C$3004,"Retour"))</f>
        <v/>
      </c>
      <c r="X1049" s="66" t="n">
        <v>0</v>
      </c>
      <c r="Y1049" s="66" t="n">
        <v>0</v>
      </c>
      <c r="Z1049" s="7" t="n"/>
      <c r="AA1049" s="70">
        <f>IF($A1049="","",N(V1049)+N(W1049)+N(X1049)+N(Y1049))</f>
        <v/>
      </c>
      <c r="AB1049" s="70">
        <f>IF($A1049="","",N(S1049)*'Paramètres'!$AA$9*IFERROR(INDEX('Paramètres'!$O$5:$O$7,MATCH(G1049,'Paramètres'!$N$5:$N$7,0)),0))</f>
        <v/>
      </c>
      <c r="AC1049" s="7" t="inlineStr">
        <is>
          <t>Clôturé</t>
        </is>
      </c>
      <c r="AD1049" s="69">
        <f>IF(OR($A1049="",Q1049=""),"",(Q1049-B1049)*24)</f>
        <v/>
      </c>
      <c r="AE1049" s="69">
        <f>IF(OR(Q1049="",R1049=""),"",(R1049-Q1049)*24)</f>
        <v/>
      </c>
      <c r="AF1049" s="77">
        <f>IF(OR($A1049="",B1049=""),"",YEAR(B1049))</f>
        <v/>
      </c>
      <c r="AG1049" s="77">
        <f>IF(OR($A1049="",B1049=""),"",MONTH(B1049))</f>
        <v/>
      </c>
    </row>
    <row r="1050">
      <c r="A1050" s="7" t="inlineStr">
        <is>
          <t>OT-2026-0195</t>
        </is>
      </c>
      <c r="B1050" s="75" t="n">
        <v>46115.40277777778</v>
      </c>
      <c r="C1050" s="7" t="inlineStr">
        <is>
          <t>Plan préventif</t>
        </is>
      </c>
      <c r="D1050" s="7" t="inlineStr">
        <is>
          <t>EQ-LOG-005</t>
        </is>
      </c>
      <c r="E1050" s="9">
        <f>IF(D1050="","",IFERROR(INDEX('Équipements'!$B$5:$B$304,MATCH(D1050,'Équipements'!$A$5:$A$304,0)),"Code inconnu"))</f>
        <v/>
      </c>
      <c r="F1050" s="9">
        <f>IF(D1050="","",IFERROR(INDEX('Équipements'!$D$5:$D$304,MATCH(D1050,'Équipements'!$A$5:$A$304,0)),""))</f>
        <v/>
      </c>
      <c r="G1050" s="9">
        <f>IF(D1050="","",IFERROR(INDEX('Équipements'!$K$5:$K$304,MATCH(D1050,'Équipements'!$A$5:$A$304,0)),""))</f>
        <v/>
      </c>
      <c r="H1050" s="7" t="inlineStr">
        <is>
          <t>Préventif systématique</t>
        </is>
      </c>
      <c r="I1050" s="7" t="inlineStr">
        <is>
          <t>GP-113</t>
        </is>
      </c>
      <c r="J1050" s="7" t="inlineStr">
        <is>
          <t>Multi-technique</t>
        </is>
      </c>
      <c r="K1050" s="7" t="inlineStr">
        <is>
          <t>P3 - Normale</t>
        </is>
      </c>
      <c r="L1050" s="7" t="inlineStr">
        <is>
          <t>Entretien périodique constructeur</t>
        </is>
      </c>
      <c r="M1050" s="7" t="n"/>
      <c r="N1050" s="7" t="inlineStr">
        <is>
          <t>Gamme réalisée - RAS</t>
        </is>
      </c>
      <c r="O1050" s="7" t="inlineStr">
        <is>
          <t>Antoine Mercier</t>
        </is>
      </c>
      <c r="P1050" s="65" t="n">
        <v>46122.70138888889</v>
      </c>
      <c r="Q1050" s="75" t="n">
        <v>46122.42708333334</v>
      </c>
      <c r="R1050" s="75" t="n">
        <v>46122.625</v>
      </c>
      <c r="S1050" s="76" t="n">
        <v>0</v>
      </c>
      <c r="T1050" s="76" t="n">
        <v>2</v>
      </c>
      <c r="U1050" s="70">
        <f>IF($A1050="","",IFERROR(INDEX('Techniciens'!$F$5:$F$44,MATCH(O1050,'Techniciens'!$B$5:$B$44,0)),'Paramètres'!$AA$10))</f>
        <v/>
      </c>
      <c r="V1050" s="70">
        <f>IF($A1050="","",IF(OR(AC1050="Demandé",AC1050="Planifié",AC1050="Annulé"),0,N(T1050)*N(U1050)))</f>
        <v/>
      </c>
      <c r="W1050" s="70">
        <f>IF($A1050="","",SUMIFS('Mouvements stock'!$H$5:$H$3004,'Mouvements stock'!$I$5:$I$3004,$A1050,'Mouvements stock'!$C$5:$C$3004,"Sortie")-SUMIFS('Mouvements stock'!$H$5:$H$3004,'Mouvements stock'!$I$5:$I$3004,$A1050,'Mouvements stock'!$C$5:$C$3004,"Retour"))</f>
        <v/>
      </c>
      <c r="X1050" s="66" t="n">
        <v>0</v>
      </c>
      <c r="Y1050" s="66" t="n">
        <v>390</v>
      </c>
      <c r="Z1050" s="7" t="inlineStr">
        <is>
          <t>Manutention Services 44</t>
        </is>
      </c>
      <c r="AA1050" s="70">
        <f>IF($A1050="","",N(V1050)+N(W1050)+N(X1050)+N(Y1050))</f>
        <v/>
      </c>
      <c r="AB1050" s="70">
        <f>IF($A1050="","",N(S1050)*'Paramètres'!$AA$9*IFERROR(INDEX('Paramètres'!$O$5:$O$7,MATCH(G1050,'Paramètres'!$N$5:$N$7,0)),0))</f>
        <v/>
      </c>
      <c r="AC1050" s="7" t="inlineStr">
        <is>
          <t>Clôturé</t>
        </is>
      </c>
      <c r="AD1050" s="69">
        <f>IF(OR($A1050="",Q1050=""),"",(Q1050-B1050)*24)</f>
        <v/>
      </c>
      <c r="AE1050" s="69">
        <f>IF(OR(Q1050="",R1050=""),"",(R1050-Q1050)*24)</f>
        <v/>
      </c>
      <c r="AF1050" s="77">
        <f>IF(OR($A1050="",B1050=""),"",YEAR(B1050))</f>
        <v/>
      </c>
      <c r="AG1050" s="77">
        <f>IF(OR($A1050="",B1050=""),"",MONTH(B1050))</f>
        <v/>
      </c>
    </row>
    <row r="1051">
      <c r="A1051" s="7" t="inlineStr">
        <is>
          <t>OT-2026-0196</t>
        </is>
      </c>
      <c r="B1051" s="75" t="n">
        <v>46115.48958333334</v>
      </c>
      <c r="C1051" s="7" t="inlineStr">
        <is>
          <t>Plan préventif</t>
        </is>
      </c>
      <c r="D1051" s="7" t="inlineStr">
        <is>
          <t>EQ-ASS-002</t>
        </is>
      </c>
      <c r="E1051" s="9">
        <f>IF(D1051="","",IFERROR(INDEX('Équipements'!$B$5:$B$304,MATCH(D1051,'Équipements'!$A$5:$A$304,0)),"Code inconnu"))</f>
        <v/>
      </c>
      <c r="F1051" s="9">
        <f>IF(D1051="","",IFERROR(INDEX('Équipements'!$D$5:$D$304,MATCH(D1051,'Équipements'!$A$5:$A$304,0)),""))</f>
        <v/>
      </c>
      <c r="G1051" s="9">
        <f>IF(D1051="","",IFERROR(INDEX('Équipements'!$K$5:$K$304,MATCH(D1051,'Équipements'!$A$5:$A$304,0)),""))</f>
        <v/>
      </c>
      <c r="H1051" s="7" t="inlineStr">
        <is>
          <t>Préventif systématique</t>
        </is>
      </c>
      <c r="I1051" s="7" t="inlineStr">
        <is>
          <t>GP-078</t>
        </is>
      </c>
      <c r="J1051" s="7" t="inlineStr">
        <is>
          <t>Hydraulique</t>
        </is>
      </c>
      <c r="K1051" s="7" t="inlineStr">
        <is>
          <t>P3 - Normale</t>
        </is>
      </c>
      <c r="L1051" s="7" t="inlineStr">
        <is>
          <t>Contrôle hydraulique : fuites, niveaux, pressions</t>
        </is>
      </c>
      <c r="M1051" s="7" t="n"/>
      <c r="N1051" s="7" t="inlineStr">
        <is>
          <t>Gamme réalisée - RAS</t>
        </is>
      </c>
      <c r="O1051" s="7" t="inlineStr">
        <is>
          <t>Karim Benali</t>
        </is>
      </c>
      <c r="P1051" s="65" t="n">
        <v>46122.35069444445</v>
      </c>
      <c r="Q1051" s="75" t="n">
        <v>46122.47916666666</v>
      </c>
      <c r="R1051" s="75" t="n">
        <v>46122.57291666666</v>
      </c>
      <c r="S1051" s="76" t="n">
        <v>2.2</v>
      </c>
      <c r="T1051" s="76" t="n">
        <v>2.25</v>
      </c>
      <c r="U1051" s="70">
        <f>IF($A1051="","",IFERROR(INDEX('Techniciens'!$F$5:$F$44,MATCH(O1051,'Techniciens'!$B$5:$B$44,0)),'Paramètres'!$AA$10))</f>
        <v/>
      </c>
      <c r="V1051" s="70">
        <f>IF($A1051="","",IF(OR(AC1051="Demandé",AC1051="Planifié",AC1051="Annulé"),0,N(T1051)*N(U1051)))</f>
        <v/>
      </c>
      <c r="W1051" s="70">
        <f>IF($A1051="","",SUMIFS('Mouvements stock'!$H$5:$H$3004,'Mouvements stock'!$I$5:$I$3004,$A1051,'Mouvements stock'!$C$5:$C$3004,"Sortie")-SUMIFS('Mouvements stock'!$H$5:$H$3004,'Mouvements stock'!$I$5:$I$3004,$A1051,'Mouvements stock'!$C$5:$C$3004,"Retour"))</f>
        <v/>
      </c>
      <c r="X1051" s="66" t="n">
        <v>0</v>
      </c>
      <c r="Y1051" s="66" t="n">
        <v>0</v>
      </c>
      <c r="Z1051" s="7" t="n"/>
      <c r="AA1051" s="70">
        <f>IF($A1051="","",N(V1051)+N(W1051)+N(X1051)+N(Y1051))</f>
        <v/>
      </c>
      <c r="AB1051" s="70">
        <f>IF($A1051="","",N(S1051)*'Paramètres'!$AA$9*IFERROR(INDEX('Paramètres'!$O$5:$O$7,MATCH(G1051,'Paramètres'!$N$5:$N$7,0)),0))</f>
        <v/>
      </c>
      <c r="AC1051" s="7" t="inlineStr">
        <is>
          <t>Clôturé</t>
        </is>
      </c>
      <c r="AD1051" s="69">
        <f>IF(OR($A1051="",Q1051=""),"",(Q1051-B1051)*24)</f>
        <v/>
      </c>
      <c r="AE1051" s="69">
        <f>IF(OR(Q1051="",R1051=""),"",(R1051-Q1051)*24)</f>
        <v/>
      </c>
      <c r="AF1051" s="77">
        <f>IF(OR($A1051="",B1051=""),"",YEAR(B1051))</f>
        <v/>
      </c>
      <c r="AG1051" s="77">
        <f>IF(OR($A1051="",B1051=""),"",MONTH(B1051))</f>
        <v/>
      </c>
    </row>
    <row r="1052">
      <c r="A1052" s="7" t="inlineStr">
        <is>
          <t>OT-2026-0197</t>
        </is>
      </c>
      <c r="B1052" s="75" t="n">
        <v>46116.84791666667</v>
      </c>
      <c r="C1052" s="7" t="inlineStr">
        <is>
          <t>Opérateur peinture</t>
        </is>
      </c>
      <c r="D1052" s="7" t="inlineStr">
        <is>
          <t>EQ-PEI-002</t>
        </is>
      </c>
      <c r="E1052" s="9">
        <f>IF(D1052="","",IFERROR(INDEX('Équipements'!$B$5:$B$304,MATCH(D1052,'Équipements'!$A$5:$A$304,0)),"Code inconnu"))</f>
        <v/>
      </c>
      <c r="F1052" s="9">
        <f>IF(D1052="","",IFERROR(INDEX('Équipements'!$D$5:$D$304,MATCH(D1052,'Équipements'!$A$5:$A$304,0)),""))</f>
        <v/>
      </c>
      <c r="G1052" s="9">
        <f>IF(D1052="","",IFERROR(INDEX('Équipements'!$K$5:$K$304,MATCH(D1052,'Équipements'!$A$5:$A$304,0)),""))</f>
        <v/>
      </c>
      <c r="H1052" s="7" t="inlineStr">
        <is>
          <t>Correctif</t>
        </is>
      </c>
      <c r="I1052" s="7" t="n"/>
      <c r="J1052" s="7" t="inlineStr">
        <is>
          <t>Électrique</t>
        </is>
      </c>
      <c r="K1052" s="7" t="inlineStr">
        <is>
          <t>P1 - Urgent</t>
        </is>
      </c>
      <c r="L1052" s="7" t="inlineStr">
        <is>
          <t>Ventilateur d'extraction en défaut</t>
        </is>
      </c>
      <c r="M1052" s="7" t="inlineStr">
        <is>
          <t>Défaut électrique</t>
        </is>
      </c>
      <c r="N1052" s="7" t="inlineStr">
        <is>
          <t>Remplacement contacteur et courroie</t>
        </is>
      </c>
      <c r="O1052" s="7" t="inlineStr">
        <is>
          <t>Antoine Mercier</t>
        </is>
      </c>
      <c r="P1052" s="65" t="n"/>
      <c r="Q1052" s="75" t="n">
        <v>46116.87013888889</v>
      </c>
      <c r="R1052" s="75" t="n">
        <v>46117.01597222222</v>
      </c>
      <c r="S1052" s="76" t="n">
        <v>4</v>
      </c>
      <c r="T1052" s="76" t="n">
        <v>3.5</v>
      </c>
      <c r="U1052" s="70">
        <f>IF($A1052="","",IFERROR(INDEX('Techniciens'!$F$5:$F$44,MATCH(O1052,'Techniciens'!$B$5:$B$44,0)),'Paramètres'!$AA$10))</f>
        <v/>
      </c>
      <c r="V1052" s="70">
        <f>IF($A1052="","",IF(OR(AC1052="Demandé",AC1052="Planifié",AC1052="Annulé"),0,N(T1052)*N(U1052)))</f>
        <v/>
      </c>
      <c r="W1052" s="70">
        <f>IF($A1052="","",SUMIFS('Mouvements stock'!$H$5:$H$3004,'Mouvements stock'!$I$5:$I$3004,$A1052,'Mouvements stock'!$C$5:$C$3004,"Sortie")-SUMIFS('Mouvements stock'!$H$5:$H$3004,'Mouvements stock'!$I$5:$I$3004,$A1052,'Mouvements stock'!$C$5:$C$3004,"Retour"))</f>
        <v/>
      </c>
      <c r="X1052" s="66" t="n">
        <v>0</v>
      </c>
      <c r="Y1052" s="66" t="n">
        <v>0</v>
      </c>
      <c r="Z1052" s="7" t="n"/>
      <c r="AA1052" s="70">
        <f>IF($A1052="","",N(V1052)+N(W1052)+N(X1052)+N(Y1052))</f>
        <v/>
      </c>
      <c r="AB1052" s="70">
        <f>IF($A1052="","",N(S1052)*'Paramètres'!$AA$9*IFERROR(INDEX('Paramètres'!$O$5:$O$7,MATCH(G1052,'Paramètres'!$N$5:$N$7,0)),0))</f>
        <v/>
      </c>
      <c r="AC1052" s="7" t="inlineStr">
        <is>
          <t>Clôturé</t>
        </is>
      </c>
      <c r="AD1052" s="69">
        <f>IF(OR($A1052="",Q1052=""),"",(Q1052-B1052)*24)</f>
        <v/>
      </c>
      <c r="AE1052" s="69">
        <f>IF(OR(Q1052="",R1052=""),"",(R1052-Q1052)*24)</f>
        <v/>
      </c>
      <c r="AF1052" s="77">
        <f>IF(OR($A1052="",B1052=""),"",YEAR(B1052))</f>
        <v/>
      </c>
      <c r="AG1052" s="77">
        <f>IF(OR($A1052="",B1052=""),"",MONTH(B1052))</f>
        <v/>
      </c>
    </row>
    <row r="1053">
      <c r="A1053" s="7" t="inlineStr">
        <is>
          <t>OT-2026-0198</t>
        </is>
      </c>
      <c r="B1053" s="75" t="n">
        <v>46118.34027777778</v>
      </c>
      <c r="C1053" s="7" t="inlineStr">
        <is>
          <t>Plan préventif</t>
        </is>
      </c>
      <c r="D1053" s="7" t="inlineStr">
        <is>
          <t>EQ-USI-003</t>
        </is>
      </c>
      <c r="E1053" s="9">
        <f>IF(D1053="","",IFERROR(INDEX('Équipements'!$B$5:$B$304,MATCH(D1053,'Équipements'!$A$5:$A$304,0)),"Code inconnu"))</f>
        <v/>
      </c>
      <c r="F1053" s="9">
        <f>IF(D1053="","",IFERROR(INDEX('Équipements'!$D$5:$D$304,MATCH(D1053,'Équipements'!$A$5:$A$304,0)),""))</f>
        <v/>
      </c>
      <c r="G1053" s="9">
        <f>IF(D1053="","",IFERROR(INDEX('Équipements'!$K$5:$K$304,MATCH(D1053,'Équipements'!$A$5:$A$304,0)),""))</f>
        <v/>
      </c>
      <c r="H1053" s="7" t="inlineStr">
        <is>
          <t>Préventif systématique</t>
        </is>
      </c>
      <c r="I1053" s="7" t="inlineStr">
        <is>
          <t>GP-012</t>
        </is>
      </c>
      <c r="J1053" s="7" t="inlineStr">
        <is>
          <t>Électrique</t>
        </is>
      </c>
      <c r="K1053" s="7" t="inlineStr">
        <is>
          <t>P3 - Normale</t>
        </is>
      </c>
      <c r="L1053" s="7" t="inlineStr">
        <is>
          <t>Contrôle armoire électrique (ventilation, serrages)</t>
        </is>
      </c>
      <c r="M1053" s="7" t="n"/>
      <c r="N1053" s="7" t="inlineStr">
        <is>
          <t>Gamme réalisée - RAS</t>
        </is>
      </c>
      <c r="O1053" s="7" t="inlineStr">
        <is>
          <t>Thomas Petit</t>
        </is>
      </c>
      <c r="P1053" s="65" t="n">
        <v>46125.38541666666</v>
      </c>
      <c r="Q1053" s="75" t="n">
        <v>46125.34722222222</v>
      </c>
      <c r="R1053" s="75" t="n">
        <v>46125.47222222222</v>
      </c>
      <c r="S1053" s="76" t="n">
        <v>1.5</v>
      </c>
      <c r="T1053" s="76" t="n">
        <v>3</v>
      </c>
      <c r="U1053" s="70">
        <f>IF($A1053="","",IFERROR(INDEX('Techniciens'!$F$5:$F$44,MATCH(O1053,'Techniciens'!$B$5:$B$44,0)),'Paramètres'!$AA$10))</f>
        <v/>
      </c>
      <c r="V1053" s="70">
        <f>IF($A1053="","",IF(OR(AC1053="Demandé",AC1053="Planifié",AC1053="Annulé"),0,N(T1053)*N(U1053)))</f>
        <v/>
      </c>
      <c r="W1053" s="70">
        <f>IF($A1053="","",SUMIFS('Mouvements stock'!$H$5:$H$3004,'Mouvements stock'!$I$5:$I$3004,$A1053,'Mouvements stock'!$C$5:$C$3004,"Sortie")-SUMIFS('Mouvements stock'!$H$5:$H$3004,'Mouvements stock'!$I$5:$I$3004,$A1053,'Mouvements stock'!$C$5:$C$3004,"Retour"))</f>
        <v/>
      </c>
      <c r="X1053" s="66" t="n">
        <v>0</v>
      </c>
      <c r="Y1053" s="66" t="n">
        <v>0</v>
      </c>
      <c r="Z1053" s="7" t="n"/>
      <c r="AA1053" s="70">
        <f>IF($A1053="","",N(V1053)+N(W1053)+N(X1053)+N(Y1053))</f>
        <v/>
      </c>
      <c r="AB1053" s="70">
        <f>IF($A1053="","",N(S1053)*'Paramètres'!$AA$9*IFERROR(INDEX('Paramètres'!$O$5:$O$7,MATCH(G1053,'Paramètres'!$N$5:$N$7,0)),0))</f>
        <v/>
      </c>
      <c r="AC1053" s="7" t="inlineStr">
        <is>
          <t>Clôturé</t>
        </is>
      </c>
      <c r="AD1053" s="69">
        <f>IF(OR($A1053="",Q1053=""),"",(Q1053-B1053)*24)</f>
        <v/>
      </c>
      <c r="AE1053" s="69">
        <f>IF(OR(Q1053="",R1053=""),"",(R1053-Q1053)*24)</f>
        <v/>
      </c>
      <c r="AF1053" s="77">
        <f>IF(OR($A1053="",B1053=""),"",YEAR(B1053))</f>
        <v/>
      </c>
      <c r="AG1053" s="77">
        <f>IF(OR($A1053="",B1053=""),"",MONTH(B1053))</f>
        <v/>
      </c>
    </row>
    <row r="1054">
      <c r="A1054" s="7" t="inlineStr">
        <is>
          <t>OT-2026-0199</t>
        </is>
      </c>
      <c r="B1054" s="75" t="n">
        <v>46118.375</v>
      </c>
      <c r="C1054" s="7" t="inlineStr">
        <is>
          <t>Plan préventif</t>
        </is>
      </c>
      <c r="D1054" s="7" t="inlineStr">
        <is>
          <t>EQ-UTI-001</t>
        </is>
      </c>
      <c r="E1054" s="9">
        <f>IF(D1054="","",IFERROR(INDEX('Équipements'!$B$5:$B$304,MATCH(D1054,'Équipements'!$A$5:$A$304,0)),"Code inconnu"))</f>
        <v/>
      </c>
      <c r="F1054" s="9">
        <f>IF(D1054="","",IFERROR(INDEX('Équipements'!$D$5:$D$304,MATCH(D1054,'Équipements'!$A$5:$A$304,0)),""))</f>
        <v/>
      </c>
      <c r="G1054" s="9">
        <f>IF(D1054="","",IFERROR(INDEX('Équipements'!$K$5:$K$304,MATCH(D1054,'Équipements'!$A$5:$A$304,0)),""))</f>
        <v/>
      </c>
      <c r="H1054" s="7" t="inlineStr">
        <is>
          <t>Préventif systématique</t>
        </is>
      </c>
      <c r="I1054" s="7" t="inlineStr">
        <is>
          <t>GP-088</t>
        </is>
      </c>
      <c r="J1054" s="7" t="inlineStr">
        <is>
          <t>Pneumatique</t>
        </is>
      </c>
      <c r="K1054" s="7" t="inlineStr">
        <is>
          <t>P3 - Normale</t>
        </is>
      </c>
      <c r="L1054" s="7" t="inlineStr">
        <is>
          <t>Purge, contrôle fuites et point de rosée</t>
        </is>
      </c>
      <c r="M1054" s="7" t="n"/>
      <c r="N1054" s="7" t="inlineStr">
        <is>
          <t>Gamme réalisée - RAS</t>
        </is>
      </c>
      <c r="O1054" s="7" t="inlineStr">
        <is>
          <t>Julien Moreau</t>
        </is>
      </c>
      <c r="P1054" s="65" t="n">
        <v>46125.38541666666</v>
      </c>
      <c r="Q1054" s="75" t="n">
        <v>46125.47916666666</v>
      </c>
      <c r="R1054" s="75" t="n">
        <v>46125.54166666666</v>
      </c>
      <c r="S1054" s="76" t="n">
        <v>0</v>
      </c>
      <c r="T1054" s="76" t="n">
        <v>1.5</v>
      </c>
      <c r="U1054" s="70">
        <f>IF($A1054="","",IFERROR(INDEX('Techniciens'!$F$5:$F$44,MATCH(O1054,'Techniciens'!$B$5:$B$44,0)),'Paramètres'!$AA$10))</f>
        <v/>
      </c>
      <c r="V1054" s="70">
        <f>IF($A1054="","",IF(OR(AC1054="Demandé",AC1054="Planifié",AC1054="Annulé"),0,N(T1054)*N(U1054)))</f>
        <v/>
      </c>
      <c r="W1054" s="70">
        <f>IF($A1054="","",SUMIFS('Mouvements stock'!$H$5:$H$3004,'Mouvements stock'!$I$5:$I$3004,$A1054,'Mouvements stock'!$C$5:$C$3004,"Sortie")-SUMIFS('Mouvements stock'!$H$5:$H$3004,'Mouvements stock'!$I$5:$I$3004,$A1054,'Mouvements stock'!$C$5:$C$3004,"Retour"))</f>
        <v/>
      </c>
      <c r="X1054" s="66" t="n">
        <v>0</v>
      </c>
      <c r="Y1054" s="66" t="n">
        <v>0</v>
      </c>
      <c r="Z1054" s="7" t="n"/>
      <c r="AA1054" s="70">
        <f>IF($A1054="","",N(V1054)+N(W1054)+N(X1054)+N(Y1054))</f>
        <v/>
      </c>
      <c r="AB1054" s="70">
        <f>IF($A1054="","",N(S1054)*'Paramètres'!$AA$9*IFERROR(INDEX('Paramètres'!$O$5:$O$7,MATCH(G1054,'Paramètres'!$N$5:$N$7,0)),0))</f>
        <v/>
      </c>
      <c r="AC1054" s="7" t="inlineStr">
        <is>
          <t>Clôturé</t>
        </is>
      </c>
      <c r="AD1054" s="69">
        <f>IF(OR($A1054="",Q1054=""),"",(Q1054-B1054)*24)</f>
        <v/>
      </c>
      <c r="AE1054" s="69">
        <f>IF(OR(Q1054="",R1054=""),"",(R1054-Q1054)*24)</f>
        <v/>
      </c>
      <c r="AF1054" s="77">
        <f>IF(OR($A1054="",B1054=""),"",YEAR(B1054))</f>
        <v/>
      </c>
      <c r="AG1054" s="77">
        <f>IF(OR($A1054="",B1054=""),"",MONTH(B1054))</f>
        <v/>
      </c>
    </row>
    <row r="1055">
      <c r="A1055" s="7" t="inlineStr">
        <is>
          <t>OT-2026-0200</t>
        </is>
      </c>
      <c r="B1055" s="75" t="n">
        <v>46118.40277777778</v>
      </c>
      <c r="C1055" s="7" t="inlineStr">
        <is>
          <t>Plan préventif</t>
        </is>
      </c>
      <c r="D1055" s="7" t="inlineStr">
        <is>
          <t>EQ-SOU-001</t>
        </is>
      </c>
      <c r="E1055" s="9">
        <f>IF(D1055="","",IFERROR(INDEX('Équipements'!$B$5:$B$304,MATCH(D1055,'Équipements'!$A$5:$A$304,0)),"Code inconnu"))</f>
        <v/>
      </c>
      <c r="F1055" s="9">
        <f>IF(D1055="","",IFERROR(INDEX('Équipements'!$D$5:$D$304,MATCH(D1055,'Équipements'!$A$5:$A$304,0)),""))</f>
        <v/>
      </c>
      <c r="G1055" s="9">
        <f>IF(D1055="","",IFERROR(INDEX('Équipements'!$K$5:$K$304,MATCH(D1055,'Équipements'!$A$5:$A$304,0)),""))</f>
        <v/>
      </c>
      <c r="H1055" s="7" t="inlineStr">
        <is>
          <t>Préventif systématique</t>
        </is>
      </c>
      <c r="I1055" s="7" t="inlineStr">
        <is>
          <t>GP-058</t>
        </is>
      </c>
      <c r="J1055" s="7" t="inlineStr">
        <is>
          <t>Mécanique</t>
        </is>
      </c>
      <c r="K1055" s="7" t="inlineStr">
        <is>
          <t>P3 - Normale</t>
        </is>
      </c>
      <c r="L1055" s="7" t="inlineStr">
        <is>
          <t>Nettoyage torche et contrôle faisceau</t>
        </is>
      </c>
      <c r="M1055" s="7" t="n"/>
      <c r="N1055" s="7" t="inlineStr">
        <is>
          <t>Gamme réalisée - usure constatée, à surveiller</t>
        </is>
      </c>
      <c r="O1055" s="7" t="inlineStr">
        <is>
          <t>Lucas Fontaine</t>
        </is>
      </c>
      <c r="P1055" s="65" t="n">
        <v>46125.49652777778</v>
      </c>
      <c r="Q1055" s="75" t="n">
        <v>46125.47916666666</v>
      </c>
      <c r="R1055" s="75" t="n">
        <v>46125.52083333334</v>
      </c>
      <c r="S1055" s="76" t="n">
        <v>0</v>
      </c>
      <c r="T1055" s="76" t="n">
        <v>1</v>
      </c>
      <c r="U1055" s="70">
        <f>IF($A1055="","",IFERROR(INDEX('Techniciens'!$F$5:$F$44,MATCH(O1055,'Techniciens'!$B$5:$B$44,0)),'Paramètres'!$AA$10))</f>
        <v/>
      </c>
      <c r="V1055" s="70">
        <f>IF($A1055="","",IF(OR(AC1055="Demandé",AC1055="Planifié",AC1055="Annulé"),0,N(T1055)*N(U1055)))</f>
        <v/>
      </c>
      <c r="W1055" s="70">
        <f>IF($A1055="","",SUMIFS('Mouvements stock'!$H$5:$H$3004,'Mouvements stock'!$I$5:$I$3004,$A1055,'Mouvements stock'!$C$5:$C$3004,"Sortie")-SUMIFS('Mouvements stock'!$H$5:$H$3004,'Mouvements stock'!$I$5:$I$3004,$A1055,'Mouvements stock'!$C$5:$C$3004,"Retour"))</f>
        <v/>
      </c>
      <c r="X1055" s="66" t="n">
        <v>0</v>
      </c>
      <c r="Y1055" s="66" t="n">
        <v>0</v>
      </c>
      <c r="Z1055" s="7" t="n"/>
      <c r="AA1055" s="70">
        <f>IF($A1055="","",N(V1055)+N(W1055)+N(X1055)+N(Y1055))</f>
        <v/>
      </c>
      <c r="AB1055" s="70">
        <f>IF($A1055="","",N(S1055)*'Paramètres'!$AA$9*IFERROR(INDEX('Paramètres'!$O$5:$O$7,MATCH(G1055,'Paramètres'!$N$5:$N$7,0)),0))</f>
        <v/>
      </c>
      <c r="AC1055" s="7" t="inlineStr">
        <is>
          <t>Clôturé</t>
        </is>
      </c>
      <c r="AD1055" s="69">
        <f>IF(OR($A1055="",Q1055=""),"",(Q1055-B1055)*24)</f>
        <v/>
      </c>
      <c r="AE1055" s="69">
        <f>IF(OR(Q1055="",R1055=""),"",(R1055-Q1055)*24)</f>
        <v/>
      </c>
      <c r="AF1055" s="77">
        <f>IF(OR($A1055="",B1055=""),"",YEAR(B1055))</f>
        <v/>
      </c>
      <c r="AG1055" s="77">
        <f>IF(OR($A1055="",B1055=""),"",MONTH(B1055))</f>
        <v/>
      </c>
    </row>
    <row r="1056">
      <c r="A1056" s="7" t="inlineStr">
        <is>
          <t>OT-2026-0201</t>
        </is>
      </c>
      <c r="B1056" s="75" t="n">
        <v>46118.40625</v>
      </c>
      <c r="C1056" s="7" t="inlineStr">
        <is>
          <t>Plan préventif</t>
        </is>
      </c>
      <c r="D1056" s="7" t="inlineStr">
        <is>
          <t>EQ-ASS-006</t>
        </is>
      </c>
      <c r="E1056" s="9">
        <f>IF(D1056="","",IFERROR(INDEX('Équipements'!$B$5:$B$304,MATCH(D1056,'Équipements'!$A$5:$A$304,0)),"Code inconnu"))</f>
        <v/>
      </c>
      <c r="F1056" s="9">
        <f>IF(D1056="","",IFERROR(INDEX('Équipements'!$D$5:$D$304,MATCH(D1056,'Équipements'!$A$5:$A$304,0)),""))</f>
        <v/>
      </c>
      <c r="G1056" s="9">
        <f>IF(D1056="","",IFERROR(INDEX('Équipements'!$K$5:$K$304,MATCH(D1056,'Équipements'!$A$5:$A$304,0)),""))</f>
        <v/>
      </c>
      <c r="H1056" s="7" t="inlineStr">
        <is>
          <t>Préventif systématique</t>
        </is>
      </c>
      <c r="I1056" s="7" t="inlineStr">
        <is>
          <t>GP-085</t>
        </is>
      </c>
      <c r="J1056" s="7" t="inlineStr">
        <is>
          <t>Mécanique</t>
        </is>
      </c>
      <c r="K1056" s="7" t="inlineStr">
        <is>
          <t>P3 - Normale</t>
        </is>
      </c>
      <c r="L1056" s="7" t="inlineStr">
        <is>
          <t>Graissage chaîne / galets et contrôle tension</t>
        </is>
      </c>
      <c r="M1056" s="7" t="n"/>
      <c r="N1056" s="7" t="inlineStr">
        <is>
          <t>Gamme réalisée - RAS</t>
        </is>
      </c>
      <c r="O1056" s="7" t="inlineStr">
        <is>
          <t>Lucas Fontaine</t>
        </is>
      </c>
      <c r="P1056" s="65" t="n">
        <v>46125.55208333334</v>
      </c>
      <c r="Q1056" s="75" t="n">
        <v>46125.43055555555</v>
      </c>
      <c r="R1056" s="75" t="n">
        <v>46125.51388888889</v>
      </c>
      <c r="S1056" s="76" t="n">
        <v>1</v>
      </c>
      <c r="T1056" s="76" t="n">
        <v>2</v>
      </c>
      <c r="U1056" s="70">
        <f>IF($A1056="","",IFERROR(INDEX('Techniciens'!$F$5:$F$44,MATCH(O1056,'Techniciens'!$B$5:$B$44,0)),'Paramètres'!$AA$10))</f>
        <v/>
      </c>
      <c r="V1056" s="70">
        <f>IF($A1056="","",IF(OR(AC1056="Demandé",AC1056="Planifié",AC1056="Annulé"),0,N(T1056)*N(U1056)))</f>
        <v/>
      </c>
      <c r="W1056" s="70">
        <f>IF($A1056="","",SUMIFS('Mouvements stock'!$H$5:$H$3004,'Mouvements stock'!$I$5:$I$3004,$A1056,'Mouvements stock'!$C$5:$C$3004,"Sortie")-SUMIFS('Mouvements stock'!$H$5:$H$3004,'Mouvements stock'!$I$5:$I$3004,$A1056,'Mouvements stock'!$C$5:$C$3004,"Retour"))</f>
        <v/>
      </c>
      <c r="X1056" s="66" t="n">
        <v>0</v>
      </c>
      <c r="Y1056" s="66" t="n">
        <v>0</v>
      </c>
      <c r="Z1056" s="7" t="n"/>
      <c r="AA1056" s="70">
        <f>IF($A1056="","",N(V1056)+N(W1056)+N(X1056)+N(Y1056))</f>
        <v/>
      </c>
      <c r="AB1056" s="70">
        <f>IF($A1056="","",N(S1056)*'Paramètres'!$AA$9*IFERROR(INDEX('Paramètres'!$O$5:$O$7,MATCH(G1056,'Paramètres'!$N$5:$N$7,0)),0))</f>
        <v/>
      </c>
      <c r="AC1056" s="7" t="inlineStr">
        <is>
          <t>Clôturé</t>
        </is>
      </c>
      <c r="AD1056" s="69">
        <f>IF(OR($A1056="",Q1056=""),"",(Q1056-B1056)*24)</f>
        <v/>
      </c>
      <c r="AE1056" s="69">
        <f>IF(OR(Q1056="",R1056=""),"",(R1056-Q1056)*24)</f>
        <v/>
      </c>
      <c r="AF1056" s="77">
        <f>IF(OR($A1056="",B1056=""),"",YEAR(B1056))</f>
        <v/>
      </c>
      <c r="AG1056" s="77">
        <f>IF(OR($A1056="",B1056=""),"",MONTH(B1056))</f>
        <v/>
      </c>
    </row>
    <row r="1057">
      <c r="A1057" s="7" t="inlineStr">
        <is>
          <t>OT-2026-0202</t>
        </is>
      </c>
      <c r="B1057" s="75" t="n">
        <v>46118.40972222222</v>
      </c>
      <c r="C1057" s="7" t="inlineStr">
        <is>
          <t>Plan préventif</t>
        </is>
      </c>
      <c r="D1057" s="7" t="inlineStr">
        <is>
          <t>EQ-LOG-008</t>
        </is>
      </c>
      <c r="E1057" s="9">
        <f>IF(D1057="","",IFERROR(INDEX('Équipements'!$B$5:$B$304,MATCH(D1057,'Équipements'!$A$5:$A$304,0)),"Code inconnu"))</f>
        <v/>
      </c>
      <c r="F1057" s="9">
        <f>IF(D1057="","",IFERROR(INDEX('Équipements'!$D$5:$D$304,MATCH(D1057,'Équipements'!$A$5:$A$304,0)),""))</f>
        <v/>
      </c>
      <c r="G1057" s="9">
        <f>IF(D1057="","",IFERROR(INDEX('Équipements'!$K$5:$K$304,MATCH(D1057,'Équipements'!$A$5:$A$304,0)),""))</f>
        <v/>
      </c>
      <c r="H1057" s="7" t="inlineStr">
        <is>
          <t>Préventif systématique</t>
        </is>
      </c>
      <c r="I1057" s="7" t="inlineStr">
        <is>
          <t>GP-119</t>
        </is>
      </c>
      <c r="J1057" s="7" t="inlineStr">
        <is>
          <t>Mécanique</t>
        </is>
      </c>
      <c r="K1057" s="7" t="inlineStr">
        <is>
          <t>P3 - Normale</t>
        </is>
      </c>
      <c r="L1057" s="7" t="inlineStr">
        <is>
          <t>Contrôle câbles, crochets, freins et fins de course</t>
        </is>
      </c>
      <c r="M1057" s="7" t="n"/>
      <c r="N1057" s="7" t="inlineStr">
        <is>
          <t>Gamme réalisée - serrages repris</t>
        </is>
      </c>
      <c r="O1057" s="7" t="inlineStr">
        <is>
          <t>Karim Benali</t>
        </is>
      </c>
      <c r="P1057" s="65" t="n">
        <v>46125.60069444445</v>
      </c>
      <c r="Q1057" s="75" t="n">
        <v>46125.41666666666</v>
      </c>
      <c r="R1057" s="75" t="n">
        <v>46125.53125</v>
      </c>
      <c r="S1057" s="76" t="n">
        <v>0</v>
      </c>
      <c r="T1057" s="76" t="n">
        <v>2.75</v>
      </c>
      <c r="U1057" s="70">
        <f>IF($A1057="","",IFERROR(INDEX('Techniciens'!$F$5:$F$44,MATCH(O1057,'Techniciens'!$B$5:$B$44,0)),'Paramètres'!$AA$10))</f>
        <v/>
      </c>
      <c r="V1057" s="70">
        <f>IF($A1057="","",IF(OR(AC1057="Demandé",AC1057="Planifié",AC1057="Annulé"),0,N(T1057)*N(U1057)))</f>
        <v/>
      </c>
      <c r="W1057" s="70">
        <f>IF($A1057="","",SUMIFS('Mouvements stock'!$H$5:$H$3004,'Mouvements stock'!$I$5:$I$3004,$A1057,'Mouvements stock'!$C$5:$C$3004,"Sortie")-SUMIFS('Mouvements stock'!$H$5:$H$3004,'Mouvements stock'!$I$5:$I$3004,$A1057,'Mouvements stock'!$C$5:$C$3004,"Retour"))</f>
        <v/>
      </c>
      <c r="X1057" s="66" t="n">
        <v>0</v>
      </c>
      <c r="Y1057" s="66" t="n">
        <v>0</v>
      </c>
      <c r="Z1057" s="7" t="n"/>
      <c r="AA1057" s="70">
        <f>IF($A1057="","",N(V1057)+N(W1057)+N(X1057)+N(Y1057))</f>
        <v/>
      </c>
      <c r="AB1057" s="70">
        <f>IF($A1057="","",N(S1057)*'Paramètres'!$AA$9*IFERROR(INDEX('Paramètres'!$O$5:$O$7,MATCH(G1057,'Paramètres'!$N$5:$N$7,0)),0))</f>
        <v/>
      </c>
      <c r="AC1057" s="7" t="inlineStr">
        <is>
          <t>Clôturé</t>
        </is>
      </c>
      <c r="AD1057" s="69">
        <f>IF(OR($A1057="",Q1057=""),"",(Q1057-B1057)*24)</f>
        <v/>
      </c>
      <c r="AE1057" s="69">
        <f>IF(OR(Q1057="",R1057=""),"",(R1057-Q1057)*24)</f>
        <v/>
      </c>
      <c r="AF1057" s="77">
        <f>IF(OR($A1057="",B1057=""),"",YEAR(B1057))</f>
        <v/>
      </c>
      <c r="AG1057" s="77">
        <f>IF(OR($A1057="",B1057=""),"",MONTH(B1057))</f>
        <v/>
      </c>
    </row>
    <row r="1058">
      <c r="A1058" s="7" t="inlineStr">
        <is>
          <t>OT-2026-0203</t>
        </is>
      </c>
      <c r="B1058" s="75" t="n">
        <v>46118.44791666666</v>
      </c>
      <c r="C1058" s="7" t="inlineStr">
        <is>
          <t>Plan préventif</t>
        </is>
      </c>
      <c r="D1058" s="7" t="inlineStr">
        <is>
          <t>EQ-ASS-005</t>
        </is>
      </c>
      <c r="E1058" s="9">
        <f>IF(D1058="","",IFERROR(INDEX('Équipements'!$B$5:$B$304,MATCH(D1058,'Équipements'!$A$5:$A$304,0)),"Code inconnu"))</f>
        <v/>
      </c>
      <c r="F1058" s="9">
        <f>IF(D1058="","",IFERROR(INDEX('Équipements'!$D$5:$D$304,MATCH(D1058,'Équipements'!$A$5:$A$304,0)),""))</f>
        <v/>
      </c>
      <c r="G1058" s="9">
        <f>IF(D1058="","",IFERROR(INDEX('Équipements'!$K$5:$K$304,MATCH(D1058,'Équipements'!$A$5:$A$304,0)),""))</f>
        <v/>
      </c>
      <c r="H1058" s="7" t="inlineStr">
        <is>
          <t>Préventif systématique</t>
        </is>
      </c>
      <c r="I1058" s="7" t="inlineStr">
        <is>
          <t>GP-084</t>
        </is>
      </c>
      <c r="J1058" s="7" t="inlineStr">
        <is>
          <t>Automatisme</t>
        </is>
      </c>
      <c r="K1058" s="7" t="inlineStr">
        <is>
          <t>P3 - Normale</t>
        </is>
      </c>
      <c r="L1058" s="7" t="inlineStr">
        <is>
          <t>Contrôle, nettoyage et sauvegarde programmes</t>
        </is>
      </c>
      <c r="M1058" s="7" t="n"/>
      <c r="N1058" s="7" t="inlineStr">
        <is>
          <t>Gamme réalisée - RAS</t>
        </is>
      </c>
      <c r="O1058" s="7" t="inlineStr">
        <is>
          <t>Sophie Garnier</t>
        </is>
      </c>
      <c r="P1058" s="65" t="n">
        <v>46125.46180555555</v>
      </c>
      <c r="Q1058" s="75" t="n">
        <v>46125.47222222222</v>
      </c>
      <c r="R1058" s="75" t="n">
        <v>46125.53472222222</v>
      </c>
      <c r="S1058" s="76" t="n">
        <v>1.5</v>
      </c>
      <c r="T1058" s="76" t="n">
        <v>1.5</v>
      </c>
      <c r="U1058" s="70">
        <f>IF($A1058="","",IFERROR(INDEX('Techniciens'!$F$5:$F$44,MATCH(O1058,'Techniciens'!$B$5:$B$44,0)),'Paramètres'!$AA$10))</f>
        <v/>
      </c>
      <c r="V1058" s="70">
        <f>IF($A1058="","",IF(OR(AC1058="Demandé",AC1058="Planifié",AC1058="Annulé"),0,N(T1058)*N(U1058)))</f>
        <v/>
      </c>
      <c r="W1058" s="70">
        <f>IF($A1058="","",SUMIFS('Mouvements stock'!$H$5:$H$3004,'Mouvements stock'!$I$5:$I$3004,$A1058,'Mouvements stock'!$C$5:$C$3004,"Sortie")-SUMIFS('Mouvements stock'!$H$5:$H$3004,'Mouvements stock'!$I$5:$I$3004,$A1058,'Mouvements stock'!$C$5:$C$3004,"Retour"))</f>
        <v/>
      </c>
      <c r="X1058" s="66" t="n">
        <v>0</v>
      </c>
      <c r="Y1058" s="66" t="n">
        <v>0</v>
      </c>
      <c r="Z1058" s="7" t="n"/>
      <c r="AA1058" s="70">
        <f>IF($A1058="","",N(V1058)+N(W1058)+N(X1058)+N(Y1058))</f>
        <v/>
      </c>
      <c r="AB1058" s="70">
        <f>IF($A1058="","",N(S1058)*'Paramètres'!$AA$9*IFERROR(INDEX('Paramètres'!$O$5:$O$7,MATCH(G1058,'Paramètres'!$N$5:$N$7,0)),0))</f>
        <v/>
      </c>
      <c r="AC1058" s="7" t="inlineStr">
        <is>
          <t>Clôturé</t>
        </is>
      </c>
      <c r="AD1058" s="69">
        <f>IF(OR($A1058="",Q1058=""),"",(Q1058-B1058)*24)</f>
        <v/>
      </c>
      <c r="AE1058" s="69">
        <f>IF(OR(Q1058="",R1058=""),"",(R1058-Q1058)*24)</f>
        <v/>
      </c>
      <c r="AF1058" s="77">
        <f>IF(OR($A1058="",B1058=""),"",YEAR(B1058))</f>
        <v/>
      </c>
      <c r="AG1058" s="77">
        <f>IF(OR($A1058="",B1058=""),"",MONTH(B1058))</f>
        <v/>
      </c>
    </row>
    <row r="1059">
      <c r="A1059" s="7" t="inlineStr">
        <is>
          <t>OT-2026-0204</t>
        </is>
      </c>
      <c r="B1059" s="75" t="n">
        <v>46118.47222222222</v>
      </c>
      <c r="C1059" s="7" t="inlineStr">
        <is>
          <t>Plan préventif</t>
        </is>
      </c>
      <c r="D1059" s="7" t="inlineStr">
        <is>
          <t>EQ-PEI-001</t>
        </is>
      </c>
      <c r="E1059" s="9">
        <f>IF(D1059="","",IFERROR(INDEX('Équipements'!$B$5:$B$304,MATCH(D1059,'Équipements'!$A$5:$A$304,0)),"Code inconnu"))</f>
        <v/>
      </c>
      <c r="F1059" s="9">
        <f>IF(D1059="","",IFERROR(INDEX('Équipements'!$D$5:$D$304,MATCH(D1059,'Équipements'!$A$5:$A$304,0)),""))</f>
        <v/>
      </c>
      <c r="G1059" s="9">
        <f>IF(D1059="","",IFERROR(INDEX('Équipements'!$K$5:$K$304,MATCH(D1059,'Équipements'!$A$5:$A$304,0)),""))</f>
        <v/>
      </c>
      <c r="H1059" s="7" t="inlineStr">
        <is>
          <t>Préventif systématique</t>
        </is>
      </c>
      <c r="I1059" s="7" t="inlineStr">
        <is>
          <t>GP-066</t>
        </is>
      </c>
      <c r="J1059" s="7" t="inlineStr">
        <is>
          <t>Mécanique</t>
        </is>
      </c>
      <c r="K1059" s="7" t="inlineStr">
        <is>
          <t>P3 - Normale</t>
        </is>
      </c>
      <c r="L1059" s="7" t="inlineStr">
        <is>
          <t>Nettoyage et remplacement des filtres</t>
        </is>
      </c>
      <c r="M1059" s="7" t="n"/>
      <c r="N1059" s="7" t="inlineStr">
        <is>
          <t>Gamme réalisée - RAS</t>
        </is>
      </c>
      <c r="O1059" s="7" t="inlineStr">
        <is>
          <t>Lucas Fontaine</t>
        </is>
      </c>
      <c r="P1059" s="65" t="n">
        <v>46125.39583333334</v>
      </c>
      <c r="Q1059" s="75" t="n">
        <v>46125.25</v>
      </c>
      <c r="R1059" s="75" t="n">
        <v>46125.40625</v>
      </c>
      <c r="S1059" s="76" t="n">
        <v>3.8</v>
      </c>
      <c r="T1059" s="76" t="n">
        <v>3.75</v>
      </c>
      <c r="U1059" s="70">
        <f>IF($A1059="","",IFERROR(INDEX('Techniciens'!$F$5:$F$44,MATCH(O1059,'Techniciens'!$B$5:$B$44,0)),'Paramètres'!$AA$10))</f>
        <v/>
      </c>
      <c r="V1059" s="70">
        <f>IF($A1059="","",IF(OR(AC1059="Demandé",AC1059="Planifié",AC1059="Annulé"),0,N(T1059)*N(U1059)))</f>
        <v/>
      </c>
      <c r="W1059" s="70">
        <f>IF($A1059="","",SUMIFS('Mouvements stock'!$H$5:$H$3004,'Mouvements stock'!$I$5:$I$3004,$A1059,'Mouvements stock'!$C$5:$C$3004,"Sortie")-SUMIFS('Mouvements stock'!$H$5:$H$3004,'Mouvements stock'!$I$5:$I$3004,$A1059,'Mouvements stock'!$C$5:$C$3004,"Retour"))</f>
        <v/>
      </c>
      <c r="X1059" s="66" t="n">
        <v>0</v>
      </c>
      <c r="Y1059" s="66" t="n">
        <v>0</v>
      </c>
      <c r="Z1059" s="7" t="n"/>
      <c r="AA1059" s="70">
        <f>IF($A1059="","",N(V1059)+N(W1059)+N(X1059)+N(Y1059))</f>
        <v/>
      </c>
      <c r="AB1059" s="70">
        <f>IF($A1059="","",N(S1059)*'Paramètres'!$AA$9*IFERROR(INDEX('Paramètres'!$O$5:$O$7,MATCH(G1059,'Paramètres'!$N$5:$N$7,0)),0))</f>
        <v/>
      </c>
      <c r="AC1059" s="7" t="inlineStr">
        <is>
          <t>Clôturé</t>
        </is>
      </c>
      <c r="AD1059" s="69">
        <f>IF(OR($A1059="",Q1059=""),"",(Q1059-B1059)*24)</f>
        <v/>
      </c>
      <c r="AE1059" s="69">
        <f>IF(OR(Q1059="",R1059=""),"",(R1059-Q1059)*24)</f>
        <v/>
      </c>
      <c r="AF1059" s="77">
        <f>IF(OR($A1059="",B1059=""),"",YEAR(B1059))</f>
        <v/>
      </c>
      <c r="AG1059" s="77">
        <f>IF(OR($A1059="",B1059=""),"",MONTH(B1059))</f>
        <v/>
      </c>
    </row>
    <row r="1060">
      <c r="A1060" s="7" t="inlineStr">
        <is>
          <t>OT-2026-0205</t>
        </is>
      </c>
      <c r="B1060" s="75" t="n">
        <v>46118.49305555555</v>
      </c>
      <c r="C1060" s="7" t="inlineStr">
        <is>
          <t>Plan préventif</t>
        </is>
      </c>
      <c r="D1060" s="7" t="inlineStr">
        <is>
          <t>EQ-TOL-007</t>
        </is>
      </c>
      <c r="E1060" s="9">
        <f>IF(D1060="","",IFERROR(INDEX('Équipements'!$B$5:$B$304,MATCH(D1060,'Équipements'!$A$5:$A$304,0)),"Code inconnu"))</f>
        <v/>
      </c>
      <c r="F1060" s="9">
        <f>IF(D1060="","",IFERROR(INDEX('Équipements'!$D$5:$D$304,MATCH(D1060,'Équipements'!$A$5:$A$304,0)),""))</f>
        <v/>
      </c>
      <c r="G1060" s="9">
        <f>IF(D1060="","",IFERROR(INDEX('Équipements'!$K$5:$K$304,MATCH(D1060,'Équipements'!$A$5:$A$304,0)),""))</f>
        <v/>
      </c>
      <c r="H1060" s="7" t="inlineStr">
        <is>
          <t>Préventif systématique</t>
        </is>
      </c>
      <c r="I1060" s="7" t="inlineStr">
        <is>
          <t>GP-056</t>
        </is>
      </c>
      <c r="J1060" s="7" t="inlineStr">
        <is>
          <t>Mécanique</t>
        </is>
      </c>
      <c r="K1060" s="7" t="inlineStr">
        <is>
          <t>P3 - Normale</t>
        </is>
      </c>
      <c r="L1060" s="7" t="inlineStr">
        <is>
          <t>Graissage chaîne / galets et contrôle tension</t>
        </is>
      </c>
      <c r="M1060" s="7" t="n"/>
      <c r="N1060" s="7" t="inlineStr">
        <is>
          <t>Gamme réalisée - RAS</t>
        </is>
      </c>
      <c r="O1060" s="7" t="inlineStr">
        <is>
          <t>Antoine Mercier</t>
        </is>
      </c>
      <c r="P1060" s="65" t="n">
        <v>46125.45833333334</v>
      </c>
      <c r="Q1060" s="75" t="n">
        <v>46125.25</v>
      </c>
      <c r="R1060" s="75" t="n">
        <v>46125.35416666666</v>
      </c>
      <c r="S1060" s="76" t="n">
        <v>0</v>
      </c>
      <c r="T1060" s="76" t="n">
        <v>2.5</v>
      </c>
      <c r="U1060" s="70">
        <f>IF($A1060="","",IFERROR(INDEX('Techniciens'!$F$5:$F$44,MATCH(O1060,'Techniciens'!$B$5:$B$44,0)),'Paramètres'!$AA$10))</f>
        <v/>
      </c>
      <c r="V1060" s="70">
        <f>IF($A1060="","",IF(OR(AC1060="Demandé",AC1060="Planifié",AC1060="Annulé"),0,N(T1060)*N(U1060)))</f>
        <v/>
      </c>
      <c r="W1060" s="70">
        <f>IF($A1060="","",SUMIFS('Mouvements stock'!$H$5:$H$3004,'Mouvements stock'!$I$5:$I$3004,$A1060,'Mouvements stock'!$C$5:$C$3004,"Sortie")-SUMIFS('Mouvements stock'!$H$5:$H$3004,'Mouvements stock'!$I$5:$I$3004,$A1060,'Mouvements stock'!$C$5:$C$3004,"Retour"))</f>
        <v/>
      </c>
      <c r="X1060" s="66" t="n">
        <v>0</v>
      </c>
      <c r="Y1060" s="66" t="n">
        <v>0</v>
      </c>
      <c r="Z1060" s="7" t="n"/>
      <c r="AA1060" s="70">
        <f>IF($A1060="","",N(V1060)+N(W1060)+N(X1060)+N(Y1060))</f>
        <v/>
      </c>
      <c r="AB1060" s="70">
        <f>IF($A1060="","",N(S1060)*'Paramètres'!$AA$9*IFERROR(INDEX('Paramètres'!$O$5:$O$7,MATCH(G1060,'Paramètres'!$N$5:$N$7,0)),0))</f>
        <v/>
      </c>
      <c r="AC1060" s="7" t="inlineStr">
        <is>
          <t>Clôturé</t>
        </is>
      </c>
      <c r="AD1060" s="69">
        <f>IF(OR($A1060="",Q1060=""),"",(Q1060-B1060)*24)</f>
        <v/>
      </c>
      <c r="AE1060" s="69">
        <f>IF(OR(Q1060="",R1060=""),"",(R1060-Q1060)*24)</f>
        <v/>
      </c>
      <c r="AF1060" s="77">
        <f>IF(OR($A1060="",B1060=""),"",YEAR(B1060))</f>
        <v/>
      </c>
      <c r="AG1060" s="77">
        <f>IF(OR($A1060="",B1060=""),"",MONTH(B1060))</f>
        <v/>
      </c>
    </row>
    <row r="1061">
      <c r="A1061" s="7" t="inlineStr">
        <is>
          <t>OT-2026-0206</t>
        </is>
      </c>
      <c r="B1061" s="75" t="n">
        <v>46118.64791666667</v>
      </c>
      <c r="C1061" s="7" t="inlineStr">
        <is>
          <t>Opérateur peinture</t>
        </is>
      </c>
      <c r="D1061" s="7" t="inlineStr">
        <is>
          <t>EQ-PEI-001</t>
        </is>
      </c>
      <c r="E1061" s="9">
        <f>IF(D1061="","",IFERROR(INDEX('Équipements'!$B$5:$B$304,MATCH(D1061,'Équipements'!$A$5:$A$304,0)),"Code inconnu"))</f>
        <v/>
      </c>
      <c r="F1061" s="9">
        <f>IF(D1061="","",IFERROR(INDEX('Équipements'!$D$5:$D$304,MATCH(D1061,'Équipements'!$A$5:$A$304,0)),""))</f>
        <v/>
      </c>
      <c r="G1061" s="9">
        <f>IF(D1061="","",IFERROR(INDEX('Équipements'!$K$5:$K$304,MATCH(D1061,'Équipements'!$A$5:$A$304,0)),""))</f>
        <v/>
      </c>
      <c r="H1061" s="7" t="inlineStr">
        <is>
          <t>Correctif</t>
        </is>
      </c>
      <c r="I1061" s="7" t="n"/>
      <c r="J1061" s="7" t="inlineStr">
        <is>
          <t>Mécanique</t>
        </is>
      </c>
      <c r="K1061" s="7" t="inlineStr">
        <is>
          <t>P1 - Urgent</t>
        </is>
      </c>
      <c r="L1061" s="7" t="inlineStr">
        <is>
          <t>Pompe de bain en défaut</t>
        </is>
      </c>
      <c r="M1061" s="7" t="inlineStr">
        <is>
          <t>Usure</t>
        </is>
      </c>
      <c r="N1061" s="7" t="inlineStr">
        <is>
          <t>Remplacement pompe</t>
        </is>
      </c>
      <c r="O1061" s="7" t="inlineStr">
        <is>
          <t>Antoine Mercier</t>
        </is>
      </c>
      <c r="P1061" s="65" t="n"/>
      <c r="Q1061" s="75" t="n">
        <v>46118.67430555556</v>
      </c>
      <c r="R1061" s="75" t="n">
        <v>46118.88263888889</v>
      </c>
      <c r="S1061" s="76" t="n">
        <v>5.6</v>
      </c>
      <c r="T1061" s="76" t="n">
        <v>5</v>
      </c>
      <c r="U1061" s="70">
        <f>IF($A1061="","",IFERROR(INDEX('Techniciens'!$F$5:$F$44,MATCH(O1061,'Techniciens'!$B$5:$B$44,0)),'Paramètres'!$AA$10))</f>
        <v/>
      </c>
      <c r="V1061" s="70">
        <f>IF($A1061="","",IF(OR(AC1061="Demandé",AC1061="Planifié",AC1061="Annulé"),0,N(T1061)*N(U1061)))</f>
        <v/>
      </c>
      <c r="W1061" s="70">
        <f>IF($A1061="","",SUMIFS('Mouvements stock'!$H$5:$H$3004,'Mouvements stock'!$I$5:$I$3004,$A1061,'Mouvements stock'!$C$5:$C$3004,"Sortie")-SUMIFS('Mouvements stock'!$H$5:$H$3004,'Mouvements stock'!$I$5:$I$3004,$A1061,'Mouvements stock'!$C$5:$C$3004,"Retour"))</f>
        <v/>
      </c>
      <c r="X1061" s="66" t="n">
        <v>0</v>
      </c>
      <c r="Y1061" s="66" t="n">
        <v>0</v>
      </c>
      <c r="Z1061" s="7" t="n"/>
      <c r="AA1061" s="70">
        <f>IF($A1061="","",N(V1061)+N(W1061)+N(X1061)+N(Y1061))</f>
        <v/>
      </c>
      <c r="AB1061" s="70">
        <f>IF($A1061="","",N(S1061)*'Paramètres'!$AA$9*IFERROR(INDEX('Paramètres'!$O$5:$O$7,MATCH(G1061,'Paramètres'!$N$5:$N$7,0)),0))</f>
        <v/>
      </c>
      <c r="AC1061" s="7" t="inlineStr">
        <is>
          <t>Clôturé</t>
        </is>
      </c>
      <c r="AD1061" s="69">
        <f>IF(OR($A1061="",Q1061=""),"",(Q1061-B1061)*24)</f>
        <v/>
      </c>
      <c r="AE1061" s="69">
        <f>IF(OR(Q1061="",R1061=""),"",(R1061-Q1061)*24)</f>
        <v/>
      </c>
      <c r="AF1061" s="77">
        <f>IF(OR($A1061="",B1061=""),"",YEAR(B1061))</f>
        <v/>
      </c>
      <c r="AG1061" s="77">
        <f>IF(OR($A1061="",B1061=""),"",MONTH(B1061))</f>
        <v/>
      </c>
    </row>
    <row r="1062">
      <c r="A1062" s="7" t="inlineStr">
        <is>
          <t>OT-2026-0207</t>
        </is>
      </c>
      <c r="B1062" s="75" t="n">
        <v>46118.84583333333</v>
      </c>
      <c r="C1062" s="7" t="inlineStr">
        <is>
          <t>Inès Girard (cheffe d'équipe)</t>
        </is>
      </c>
      <c r="D1062" s="7" t="inlineStr">
        <is>
          <t>EQ-PEI-001</t>
        </is>
      </c>
      <c r="E1062" s="9">
        <f>IF(D1062="","",IFERROR(INDEX('Équipements'!$B$5:$B$304,MATCH(D1062,'Équipements'!$A$5:$A$304,0)),"Code inconnu"))</f>
        <v/>
      </c>
      <c r="F1062" s="9">
        <f>IF(D1062="","",IFERROR(INDEX('Équipements'!$D$5:$D$304,MATCH(D1062,'Équipements'!$A$5:$A$304,0)),""))</f>
        <v/>
      </c>
      <c r="G1062" s="9">
        <f>IF(D1062="","",IFERROR(INDEX('Équipements'!$K$5:$K$304,MATCH(D1062,'Équipements'!$A$5:$A$304,0)),""))</f>
        <v/>
      </c>
      <c r="H1062" s="7" t="inlineStr">
        <is>
          <t>Correctif</t>
        </is>
      </c>
      <c r="I1062" s="7" t="n"/>
      <c r="J1062" s="7" t="inlineStr">
        <is>
          <t>Électrique</t>
        </is>
      </c>
      <c r="K1062" s="7" t="inlineStr">
        <is>
          <t>P2 - Haute</t>
        </is>
      </c>
      <c r="L1062" s="7" t="inlineStr">
        <is>
          <t>Ventilateur d'extraction en défaut</t>
        </is>
      </c>
      <c r="M1062" s="7" t="inlineStr">
        <is>
          <t>Défaut électrique</t>
        </is>
      </c>
      <c r="N1062" s="7" t="inlineStr">
        <is>
          <t>Remplacement contacteur et courroie</t>
        </is>
      </c>
      <c r="O1062" s="7" t="inlineStr">
        <is>
          <t>Julien Moreau</t>
        </is>
      </c>
      <c r="P1062" s="65" t="n"/>
      <c r="Q1062" s="75" t="n">
        <v>46119.09513888889</v>
      </c>
      <c r="R1062" s="75" t="n">
        <v>46119.65763888889</v>
      </c>
      <c r="S1062" s="76" t="n">
        <v>19.5</v>
      </c>
      <c r="T1062" s="76" t="n">
        <v>13.5</v>
      </c>
      <c r="U1062" s="70">
        <f>IF($A1062="","",IFERROR(INDEX('Techniciens'!$F$5:$F$44,MATCH(O1062,'Techniciens'!$B$5:$B$44,0)),'Paramètres'!$AA$10))</f>
        <v/>
      </c>
      <c r="V1062" s="70">
        <f>IF($A1062="","",IF(OR(AC1062="Demandé",AC1062="Planifié",AC1062="Annulé"),0,N(T1062)*N(U1062)))</f>
        <v/>
      </c>
      <c r="W1062" s="70">
        <f>IF($A1062="","",SUMIFS('Mouvements stock'!$H$5:$H$3004,'Mouvements stock'!$I$5:$I$3004,$A1062,'Mouvements stock'!$C$5:$C$3004,"Sortie")-SUMIFS('Mouvements stock'!$H$5:$H$3004,'Mouvements stock'!$I$5:$I$3004,$A1062,'Mouvements stock'!$C$5:$C$3004,"Retour"))</f>
        <v/>
      </c>
      <c r="X1062" s="66" t="n">
        <v>0</v>
      </c>
      <c r="Y1062" s="66" t="n">
        <v>0</v>
      </c>
      <c r="Z1062" s="7" t="n"/>
      <c r="AA1062" s="70">
        <f>IF($A1062="","",N(V1062)+N(W1062)+N(X1062)+N(Y1062))</f>
        <v/>
      </c>
      <c r="AB1062" s="70">
        <f>IF($A1062="","",N(S1062)*'Paramètres'!$AA$9*IFERROR(INDEX('Paramètres'!$O$5:$O$7,MATCH(G1062,'Paramètres'!$N$5:$N$7,0)),0))</f>
        <v/>
      </c>
      <c r="AC1062" s="7" t="inlineStr">
        <is>
          <t>Clôturé</t>
        </is>
      </c>
      <c r="AD1062" s="69">
        <f>IF(OR($A1062="",Q1062=""),"",(Q1062-B1062)*24)</f>
        <v/>
      </c>
      <c r="AE1062" s="69">
        <f>IF(OR(Q1062="",R1062=""),"",(R1062-Q1062)*24)</f>
        <v/>
      </c>
      <c r="AF1062" s="77">
        <f>IF(OR($A1062="",B1062=""),"",YEAR(B1062))</f>
        <v/>
      </c>
      <c r="AG1062" s="77">
        <f>IF(OR($A1062="",B1062=""),"",MONTH(B1062))</f>
        <v/>
      </c>
    </row>
    <row r="1063">
      <c r="A1063" s="7" t="inlineStr">
        <is>
          <t>OT-2026-0208</t>
        </is>
      </c>
      <c r="B1063" s="75" t="n">
        <v>46119.47222222222</v>
      </c>
      <c r="C1063" s="7" t="inlineStr">
        <is>
          <t>Plan préventif</t>
        </is>
      </c>
      <c r="D1063" s="7" t="inlineStr">
        <is>
          <t>EQ-UTI-009</t>
        </is>
      </c>
      <c r="E1063" s="9">
        <f>IF(D1063="","",IFERROR(INDEX('Équipements'!$B$5:$B$304,MATCH(D1063,'Équipements'!$A$5:$A$304,0)),"Code inconnu"))</f>
        <v/>
      </c>
      <c r="F1063" s="9">
        <f>IF(D1063="","",IFERROR(INDEX('Équipements'!$D$5:$D$304,MATCH(D1063,'Équipements'!$A$5:$A$304,0)),""))</f>
        <v/>
      </c>
      <c r="G1063" s="9">
        <f>IF(D1063="","",IFERROR(INDEX('Équipements'!$K$5:$K$304,MATCH(D1063,'Équipements'!$A$5:$A$304,0)),""))</f>
        <v/>
      </c>
      <c r="H1063" s="7" t="inlineStr">
        <is>
          <t>Préventif systématique</t>
        </is>
      </c>
      <c r="I1063" s="7" t="inlineStr">
        <is>
          <t>GP-101</t>
        </is>
      </c>
      <c r="J1063" s="7" t="inlineStr">
        <is>
          <t>Électrique</t>
        </is>
      </c>
      <c r="K1063" s="7" t="inlineStr">
        <is>
          <t>P3 - Normale</t>
        </is>
      </c>
      <c r="L1063" s="7" t="inlineStr">
        <is>
          <t>Étalonnage des sondes pH / redox</t>
        </is>
      </c>
      <c r="M1063" s="7" t="n"/>
      <c r="N1063" s="7" t="inlineStr">
        <is>
          <t>Gamme réalisée - serrages repris</t>
        </is>
      </c>
      <c r="O1063" s="7" t="inlineStr">
        <is>
          <t>Thomas Petit</t>
        </is>
      </c>
      <c r="P1063" s="65" t="n">
        <v>46126.60763888889</v>
      </c>
      <c r="Q1063" s="75" t="n">
        <v>46126.41666666666</v>
      </c>
      <c r="R1063" s="75" t="n">
        <v>46126.48958333334</v>
      </c>
      <c r="S1063" s="76" t="n">
        <v>0</v>
      </c>
      <c r="T1063" s="76" t="n">
        <v>1.75</v>
      </c>
      <c r="U1063" s="70">
        <f>IF($A1063="","",IFERROR(INDEX('Techniciens'!$F$5:$F$44,MATCH(O1063,'Techniciens'!$B$5:$B$44,0)),'Paramètres'!$AA$10))</f>
        <v/>
      </c>
      <c r="V1063" s="70">
        <f>IF($A1063="","",IF(OR(AC1063="Demandé",AC1063="Planifié",AC1063="Annulé"),0,N(T1063)*N(U1063)))</f>
        <v/>
      </c>
      <c r="W1063" s="70">
        <f>IF($A1063="","",SUMIFS('Mouvements stock'!$H$5:$H$3004,'Mouvements stock'!$I$5:$I$3004,$A1063,'Mouvements stock'!$C$5:$C$3004,"Sortie")-SUMIFS('Mouvements stock'!$H$5:$H$3004,'Mouvements stock'!$I$5:$I$3004,$A1063,'Mouvements stock'!$C$5:$C$3004,"Retour"))</f>
        <v/>
      </c>
      <c r="X1063" s="66" t="n">
        <v>0</v>
      </c>
      <c r="Y1063" s="66" t="n">
        <v>0</v>
      </c>
      <c r="Z1063" s="7" t="n"/>
      <c r="AA1063" s="70">
        <f>IF($A1063="","",N(V1063)+N(W1063)+N(X1063)+N(Y1063))</f>
        <v/>
      </c>
      <c r="AB1063" s="70">
        <f>IF($A1063="","",N(S1063)*'Paramètres'!$AA$9*IFERROR(INDEX('Paramètres'!$O$5:$O$7,MATCH(G1063,'Paramètres'!$N$5:$N$7,0)),0))</f>
        <v/>
      </c>
      <c r="AC1063" s="7" t="inlineStr">
        <is>
          <t>Clôturé</t>
        </is>
      </c>
      <c r="AD1063" s="69">
        <f>IF(OR($A1063="",Q1063=""),"",(Q1063-B1063)*24)</f>
        <v/>
      </c>
      <c r="AE1063" s="69">
        <f>IF(OR(Q1063="",R1063=""),"",(R1063-Q1063)*24)</f>
        <v/>
      </c>
      <c r="AF1063" s="77">
        <f>IF(OR($A1063="",B1063=""),"",YEAR(B1063))</f>
        <v/>
      </c>
      <c r="AG1063" s="77">
        <f>IF(OR($A1063="",B1063=""),"",MONTH(B1063))</f>
        <v/>
      </c>
    </row>
    <row r="1064">
      <c r="A1064" s="7" t="inlineStr">
        <is>
          <t>OT-2026-0209</t>
        </is>
      </c>
      <c r="B1064" s="75" t="n">
        <v>46120.46875</v>
      </c>
      <c r="C1064" s="7" t="inlineStr">
        <is>
          <t>Plan préventif</t>
        </is>
      </c>
      <c r="D1064" s="7" t="inlineStr">
        <is>
          <t>EQ-SOU-001</t>
        </is>
      </c>
      <c r="E1064" s="9">
        <f>IF(D1064="","",IFERROR(INDEX('Équipements'!$B$5:$B$304,MATCH(D1064,'Équipements'!$A$5:$A$304,0)),"Code inconnu"))</f>
        <v/>
      </c>
      <c r="F1064" s="9">
        <f>IF(D1064="","",IFERROR(INDEX('Équipements'!$D$5:$D$304,MATCH(D1064,'Équipements'!$A$5:$A$304,0)),""))</f>
        <v/>
      </c>
      <c r="G1064" s="9">
        <f>IF(D1064="","",IFERROR(INDEX('Équipements'!$K$5:$K$304,MATCH(D1064,'Équipements'!$A$5:$A$304,0)),""))</f>
        <v/>
      </c>
      <c r="H1064" s="7" t="inlineStr">
        <is>
          <t>Préventif systématique</t>
        </is>
      </c>
      <c r="I1064" s="7" t="inlineStr">
        <is>
          <t>GP-060</t>
        </is>
      </c>
      <c r="J1064" s="7" t="inlineStr">
        <is>
          <t>Électrique</t>
        </is>
      </c>
      <c r="K1064" s="7" t="inlineStr">
        <is>
          <t>P3 - Normale</t>
        </is>
      </c>
      <c r="L1064" s="7" t="inlineStr">
        <is>
          <t>Remplacement batteries codeurs et sauvegarde</t>
        </is>
      </c>
      <c r="M1064" s="7" t="n"/>
      <c r="N1064" s="7" t="inlineStr">
        <is>
          <t>Gamme réalisée - RAS</t>
        </is>
      </c>
      <c r="O1064" s="7" t="inlineStr">
        <is>
          <t>Antoine Mercier</t>
        </is>
      </c>
      <c r="P1064" s="65" t="n">
        <v>46127.68402777778</v>
      </c>
      <c r="Q1064" s="75" t="n">
        <v>46127.5625</v>
      </c>
      <c r="R1064" s="75" t="n">
        <v>46127.625</v>
      </c>
      <c r="S1064" s="76" t="n">
        <v>0.8</v>
      </c>
      <c r="T1064" s="76" t="n">
        <v>1.5</v>
      </c>
      <c r="U1064" s="70">
        <f>IF($A1064="","",IFERROR(INDEX('Techniciens'!$F$5:$F$44,MATCH(O1064,'Techniciens'!$B$5:$B$44,0)),'Paramètres'!$AA$10))</f>
        <v/>
      </c>
      <c r="V1064" s="70">
        <f>IF($A1064="","",IF(OR(AC1064="Demandé",AC1064="Planifié",AC1064="Annulé"),0,N(T1064)*N(U1064)))</f>
        <v/>
      </c>
      <c r="W1064" s="70">
        <f>IF($A1064="","",SUMIFS('Mouvements stock'!$H$5:$H$3004,'Mouvements stock'!$I$5:$I$3004,$A1064,'Mouvements stock'!$C$5:$C$3004,"Sortie")-SUMIFS('Mouvements stock'!$H$5:$H$3004,'Mouvements stock'!$I$5:$I$3004,$A1064,'Mouvements stock'!$C$5:$C$3004,"Retour"))</f>
        <v/>
      </c>
      <c r="X1064" s="66" t="n">
        <v>0</v>
      </c>
      <c r="Y1064" s="66" t="n">
        <v>0</v>
      </c>
      <c r="Z1064" s="7" t="n"/>
      <c r="AA1064" s="70">
        <f>IF($A1064="","",N(V1064)+N(W1064)+N(X1064)+N(Y1064))</f>
        <v/>
      </c>
      <c r="AB1064" s="70">
        <f>IF($A1064="","",N(S1064)*'Paramètres'!$AA$9*IFERROR(INDEX('Paramètres'!$O$5:$O$7,MATCH(G1064,'Paramètres'!$N$5:$N$7,0)),0))</f>
        <v/>
      </c>
      <c r="AC1064" s="7" t="inlineStr">
        <is>
          <t>Clôturé</t>
        </is>
      </c>
      <c r="AD1064" s="69">
        <f>IF(OR($A1064="",Q1064=""),"",(Q1064-B1064)*24)</f>
        <v/>
      </c>
      <c r="AE1064" s="69">
        <f>IF(OR(Q1064="",R1064=""),"",(R1064-Q1064)*24)</f>
        <v/>
      </c>
      <c r="AF1064" s="77">
        <f>IF(OR($A1064="",B1064=""),"",YEAR(B1064))</f>
        <v/>
      </c>
      <c r="AG1064" s="77">
        <f>IF(OR($A1064="",B1064=""),"",MONTH(B1064))</f>
        <v/>
      </c>
    </row>
    <row r="1065">
      <c r="A1065" s="7" t="inlineStr">
        <is>
          <t>OT-2026-0210</t>
        </is>
      </c>
      <c r="B1065" s="75" t="n">
        <v>46121.38888888889</v>
      </c>
      <c r="C1065" s="7" t="inlineStr">
        <is>
          <t>Plan préventif</t>
        </is>
      </c>
      <c r="D1065" s="7" t="inlineStr">
        <is>
          <t>EQ-TOL-001</t>
        </is>
      </c>
      <c r="E1065" s="9">
        <f>IF(D1065="","",IFERROR(INDEX('Équipements'!$B$5:$B$304,MATCH(D1065,'Équipements'!$A$5:$A$304,0)),"Code inconnu"))</f>
        <v/>
      </c>
      <c r="F1065" s="9">
        <f>IF(D1065="","",IFERROR(INDEX('Équipements'!$D$5:$D$304,MATCH(D1065,'Équipements'!$A$5:$A$304,0)),""))</f>
        <v/>
      </c>
      <c r="G1065" s="9">
        <f>IF(D1065="","",IFERROR(INDEX('Équipements'!$K$5:$K$304,MATCH(D1065,'Équipements'!$A$5:$A$304,0)),""))</f>
        <v/>
      </c>
      <c r="H1065" s="7" t="inlineStr">
        <is>
          <t>Préventif systématique</t>
        </is>
      </c>
      <c r="I1065" s="7" t="inlineStr">
        <is>
          <t>GP-039</t>
        </is>
      </c>
      <c r="J1065" s="7" t="inlineStr">
        <is>
          <t>Mécanique</t>
        </is>
      </c>
      <c r="K1065" s="7" t="inlineStr">
        <is>
          <t>P3 - Normale</t>
        </is>
      </c>
      <c r="L1065" s="7" t="inlineStr">
        <is>
          <t>Maintenance groupe froid laser (filtres, eau)</t>
        </is>
      </c>
      <c r="M1065" s="7" t="n"/>
      <c r="N1065" s="7" t="inlineStr">
        <is>
          <t>Gamme réalisée - RAS</t>
        </is>
      </c>
      <c r="O1065" s="7" t="inlineStr">
        <is>
          <t>Antoine Mercier</t>
        </is>
      </c>
      <c r="P1065" s="65" t="n">
        <v>46128.75</v>
      </c>
      <c r="Q1065" s="75" t="n">
        <v>46128.59027777778</v>
      </c>
      <c r="R1065" s="75" t="n">
        <v>46128.71527777778</v>
      </c>
      <c r="S1065" s="76" t="n">
        <v>1.5</v>
      </c>
      <c r="T1065" s="76" t="n">
        <v>3</v>
      </c>
      <c r="U1065" s="70">
        <f>IF($A1065="","",IFERROR(INDEX('Techniciens'!$F$5:$F$44,MATCH(O1065,'Techniciens'!$B$5:$B$44,0)),'Paramètres'!$AA$10))</f>
        <v/>
      </c>
      <c r="V1065" s="70">
        <f>IF($A1065="","",IF(OR(AC1065="Demandé",AC1065="Planifié",AC1065="Annulé"),0,N(T1065)*N(U1065)))</f>
        <v/>
      </c>
      <c r="W1065" s="70">
        <f>IF($A1065="","",SUMIFS('Mouvements stock'!$H$5:$H$3004,'Mouvements stock'!$I$5:$I$3004,$A1065,'Mouvements stock'!$C$5:$C$3004,"Sortie")-SUMIFS('Mouvements stock'!$H$5:$H$3004,'Mouvements stock'!$I$5:$I$3004,$A1065,'Mouvements stock'!$C$5:$C$3004,"Retour"))</f>
        <v/>
      </c>
      <c r="X1065" s="66" t="n">
        <v>0</v>
      </c>
      <c r="Y1065" s="66" t="n">
        <v>0</v>
      </c>
      <c r="Z1065" s="7" t="n"/>
      <c r="AA1065" s="70">
        <f>IF($A1065="","",N(V1065)+N(W1065)+N(X1065)+N(Y1065))</f>
        <v/>
      </c>
      <c r="AB1065" s="70">
        <f>IF($A1065="","",N(S1065)*'Paramètres'!$AA$9*IFERROR(INDEX('Paramètres'!$O$5:$O$7,MATCH(G1065,'Paramètres'!$N$5:$N$7,0)),0))</f>
        <v/>
      </c>
      <c r="AC1065" s="7" t="inlineStr">
        <is>
          <t>Clôturé</t>
        </is>
      </c>
      <c r="AD1065" s="69">
        <f>IF(OR($A1065="",Q1065=""),"",(Q1065-B1065)*24)</f>
        <v/>
      </c>
      <c r="AE1065" s="69">
        <f>IF(OR(Q1065="",R1065=""),"",(R1065-Q1065)*24)</f>
        <v/>
      </c>
      <c r="AF1065" s="77">
        <f>IF(OR($A1065="",B1065=""),"",YEAR(B1065))</f>
        <v/>
      </c>
      <c r="AG1065" s="77">
        <f>IF(OR($A1065="",B1065=""),"",MONTH(B1065))</f>
        <v/>
      </c>
    </row>
    <row r="1066">
      <c r="A1066" s="7" t="inlineStr">
        <is>
          <t>OT-2026-0211</t>
        </is>
      </c>
      <c r="B1066" s="75" t="n">
        <v>46121.40972222222</v>
      </c>
      <c r="C1066" s="7" t="inlineStr">
        <is>
          <t>Plan préventif</t>
        </is>
      </c>
      <c r="D1066" s="7" t="inlineStr">
        <is>
          <t>EQ-PEI-005</t>
        </is>
      </c>
      <c r="E1066" s="9">
        <f>IF(D1066="","",IFERROR(INDEX('Équipements'!$B$5:$B$304,MATCH(D1066,'Équipements'!$A$5:$A$304,0)),"Code inconnu"))</f>
        <v/>
      </c>
      <c r="F1066" s="9">
        <f>IF(D1066="","",IFERROR(INDEX('Équipements'!$D$5:$D$304,MATCH(D1066,'Équipements'!$A$5:$A$304,0)),""))</f>
        <v/>
      </c>
      <c r="G1066" s="9">
        <f>IF(D1066="","",IFERROR(INDEX('Équipements'!$K$5:$K$304,MATCH(D1066,'Équipements'!$A$5:$A$304,0)),""))</f>
        <v/>
      </c>
      <c r="H1066" s="7" t="inlineStr">
        <is>
          <t>Préventif systématique</t>
        </is>
      </c>
      <c r="I1066" s="7" t="inlineStr">
        <is>
          <t>GP-074</t>
        </is>
      </c>
      <c r="J1066" s="7" t="inlineStr">
        <is>
          <t>Mécanique</t>
        </is>
      </c>
      <c r="K1066" s="7" t="inlineStr">
        <is>
          <t>P3 - Normale</t>
        </is>
      </c>
      <c r="L1066" s="7" t="inlineStr">
        <is>
          <t>Nettoyage et remplacement des filtres</t>
        </is>
      </c>
      <c r="M1066" s="7" t="n"/>
      <c r="N1066" s="7" t="inlineStr">
        <is>
          <t>Gamme réalisée - RAS</t>
        </is>
      </c>
      <c r="O1066" s="7" t="inlineStr">
        <is>
          <t>Lucas Fontaine</t>
        </is>
      </c>
      <c r="P1066" s="65" t="n">
        <v>46128.41666666666</v>
      </c>
      <c r="Q1066" s="75" t="n">
        <v>46128.57291666666</v>
      </c>
      <c r="R1066" s="75" t="n">
        <v>46128.6875</v>
      </c>
      <c r="S1066" s="76" t="n">
        <v>2.8</v>
      </c>
      <c r="T1066" s="76" t="n">
        <v>2.75</v>
      </c>
      <c r="U1066" s="70">
        <f>IF($A1066="","",IFERROR(INDEX('Techniciens'!$F$5:$F$44,MATCH(O1066,'Techniciens'!$B$5:$B$44,0)),'Paramètres'!$AA$10))</f>
        <v/>
      </c>
      <c r="V1066" s="70">
        <f>IF($A1066="","",IF(OR(AC1066="Demandé",AC1066="Planifié",AC1066="Annulé"),0,N(T1066)*N(U1066)))</f>
        <v/>
      </c>
      <c r="W1066" s="70">
        <f>IF($A1066="","",SUMIFS('Mouvements stock'!$H$5:$H$3004,'Mouvements stock'!$I$5:$I$3004,$A1066,'Mouvements stock'!$C$5:$C$3004,"Sortie")-SUMIFS('Mouvements stock'!$H$5:$H$3004,'Mouvements stock'!$I$5:$I$3004,$A1066,'Mouvements stock'!$C$5:$C$3004,"Retour"))</f>
        <v/>
      </c>
      <c r="X1066" s="66" t="n">
        <v>0</v>
      </c>
      <c r="Y1066" s="66" t="n">
        <v>0</v>
      </c>
      <c r="Z1066" s="7" t="n"/>
      <c r="AA1066" s="70">
        <f>IF($A1066="","",N(V1066)+N(W1066)+N(X1066)+N(Y1066))</f>
        <v/>
      </c>
      <c r="AB1066" s="70">
        <f>IF($A1066="","",N(S1066)*'Paramètres'!$AA$9*IFERROR(INDEX('Paramètres'!$O$5:$O$7,MATCH(G1066,'Paramètres'!$N$5:$N$7,0)),0))</f>
        <v/>
      </c>
      <c r="AC1066" s="7" t="inlineStr">
        <is>
          <t>Clôturé</t>
        </is>
      </c>
      <c r="AD1066" s="69">
        <f>IF(OR($A1066="",Q1066=""),"",(Q1066-B1066)*24)</f>
        <v/>
      </c>
      <c r="AE1066" s="69">
        <f>IF(OR(Q1066="",R1066=""),"",(R1066-Q1066)*24)</f>
        <v/>
      </c>
      <c r="AF1066" s="77">
        <f>IF(OR($A1066="",B1066=""),"",YEAR(B1066))</f>
        <v/>
      </c>
      <c r="AG1066" s="77">
        <f>IF(OR($A1066="",B1066=""),"",MONTH(B1066))</f>
        <v/>
      </c>
    </row>
    <row r="1067">
      <c r="A1067" s="7" t="inlineStr">
        <is>
          <t>OT-2026-0212</t>
        </is>
      </c>
      <c r="B1067" s="75" t="n">
        <v>46121.66180555556</v>
      </c>
      <c r="C1067" s="7" t="inlineStr">
        <is>
          <t>Céline Morel (cheffe d'atelier)</t>
        </is>
      </c>
      <c r="D1067" s="7" t="inlineStr">
        <is>
          <t>EQ-TOL-002</t>
        </is>
      </c>
      <c r="E1067" s="9">
        <f>IF(D1067="","",IFERROR(INDEX('Équipements'!$B$5:$B$304,MATCH(D1067,'Équipements'!$A$5:$A$304,0)),"Code inconnu"))</f>
        <v/>
      </c>
      <c r="F1067" s="9">
        <f>IF(D1067="","",IFERROR(INDEX('Équipements'!$D$5:$D$304,MATCH(D1067,'Équipements'!$A$5:$A$304,0)),""))</f>
        <v/>
      </c>
      <c r="G1067" s="9">
        <f>IF(D1067="","",IFERROR(INDEX('Équipements'!$K$5:$K$304,MATCH(D1067,'Équipements'!$A$5:$A$304,0)),""))</f>
        <v/>
      </c>
      <c r="H1067" s="7" t="inlineStr">
        <is>
          <t>Correctif</t>
        </is>
      </c>
      <c r="I1067" s="7" t="n"/>
      <c r="J1067" s="7" t="inlineStr">
        <is>
          <t>Hydraulique</t>
        </is>
      </c>
      <c r="K1067" s="7" t="inlineStr">
        <is>
          <t>P1 - Urgent</t>
        </is>
      </c>
      <c r="L1067" s="7" t="inlineStr">
        <is>
          <t>Montée en température huile hydraulique</t>
        </is>
      </c>
      <c r="M1067" s="7" t="inlineStr">
        <is>
          <t>Encrassement</t>
        </is>
      </c>
      <c r="N1067" s="7" t="inlineStr">
        <is>
          <t>Nettoyage échangeur, remplacement filtre</t>
        </is>
      </c>
      <c r="O1067" s="7" t="inlineStr">
        <is>
          <t>Antoine Mercier</t>
        </is>
      </c>
      <c r="P1067" s="65" t="n"/>
      <c r="Q1067" s="75" t="n">
        <v>46121.67569444444</v>
      </c>
      <c r="R1067" s="75" t="n">
        <v>46121.96736111111</v>
      </c>
      <c r="S1067" s="76" t="n">
        <v>7.3</v>
      </c>
      <c r="T1067" s="76" t="n">
        <v>7</v>
      </c>
      <c r="U1067" s="70">
        <f>IF($A1067="","",IFERROR(INDEX('Techniciens'!$F$5:$F$44,MATCH(O1067,'Techniciens'!$B$5:$B$44,0)),'Paramètres'!$AA$10))</f>
        <v/>
      </c>
      <c r="V1067" s="70">
        <f>IF($A1067="","",IF(OR(AC1067="Demandé",AC1067="Planifié",AC1067="Annulé"),0,N(T1067)*N(U1067)))</f>
        <v/>
      </c>
      <c r="W1067" s="70">
        <f>IF($A1067="","",SUMIFS('Mouvements stock'!$H$5:$H$3004,'Mouvements stock'!$I$5:$I$3004,$A1067,'Mouvements stock'!$C$5:$C$3004,"Sortie")-SUMIFS('Mouvements stock'!$H$5:$H$3004,'Mouvements stock'!$I$5:$I$3004,$A1067,'Mouvements stock'!$C$5:$C$3004,"Retour"))</f>
        <v/>
      </c>
      <c r="X1067" s="66" t="n">
        <v>0</v>
      </c>
      <c r="Y1067" s="66" t="n">
        <v>0</v>
      </c>
      <c r="Z1067" s="7" t="n"/>
      <c r="AA1067" s="70">
        <f>IF($A1067="","",N(V1067)+N(W1067)+N(X1067)+N(Y1067))</f>
        <v/>
      </c>
      <c r="AB1067" s="70">
        <f>IF($A1067="","",N(S1067)*'Paramètres'!$AA$9*IFERROR(INDEX('Paramètres'!$O$5:$O$7,MATCH(G1067,'Paramètres'!$N$5:$N$7,0)),0))</f>
        <v/>
      </c>
      <c r="AC1067" s="7" t="inlineStr">
        <is>
          <t>Clôturé</t>
        </is>
      </c>
      <c r="AD1067" s="69">
        <f>IF(OR($A1067="",Q1067=""),"",(Q1067-B1067)*24)</f>
        <v/>
      </c>
      <c r="AE1067" s="69">
        <f>IF(OR(Q1067="",R1067=""),"",(R1067-Q1067)*24)</f>
        <v/>
      </c>
      <c r="AF1067" s="77">
        <f>IF(OR($A1067="",B1067=""),"",YEAR(B1067))</f>
        <v/>
      </c>
      <c r="AG1067" s="77">
        <f>IF(OR($A1067="",B1067=""),"",MONTH(B1067))</f>
        <v/>
      </c>
    </row>
    <row r="1068">
      <c r="A1068" s="7" t="inlineStr">
        <is>
          <t>OT-2026-0213</t>
        </is>
      </c>
      <c r="B1068" s="75" t="n">
        <v>46122.34375</v>
      </c>
      <c r="C1068" s="7" t="inlineStr">
        <is>
          <t>Plan préventif</t>
        </is>
      </c>
      <c r="D1068" s="7" t="inlineStr">
        <is>
          <t>EQ-UTI-003</t>
        </is>
      </c>
      <c r="E1068" s="9">
        <f>IF(D1068="","",IFERROR(INDEX('Équipements'!$B$5:$B$304,MATCH(D1068,'Équipements'!$A$5:$A$304,0)),"Code inconnu"))</f>
        <v/>
      </c>
      <c r="F1068" s="9">
        <f>IF(D1068="","",IFERROR(INDEX('Équipements'!$D$5:$D$304,MATCH(D1068,'Équipements'!$A$5:$A$304,0)),""))</f>
        <v/>
      </c>
      <c r="G1068" s="9">
        <f>IF(D1068="","",IFERROR(INDEX('Équipements'!$K$5:$K$304,MATCH(D1068,'Équipements'!$A$5:$A$304,0)),""))</f>
        <v/>
      </c>
      <c r="H1068" s="7" t="inlineStr">
        <is>
          <t>Préventif conditionnel</t>
        </is>
      </c>
      <c r="I1068" s="7" t="inlineStr">
        <is>
          <t>GP-091</t>
        </is>
      </c>
      <c r="J1068" s="7" t="inlineStr">
        <is>
          <t>Mécanique</t>
        </is>
      </c>
      <c r="K1068" s="7" t="inlineStr">
        <is>
          <t>P3 - Normale</t>
        </is>
      </c>
      <c r="L1068" s="7" t="inlineStr">
        <is>
          <t>Entretien 2000 h : filtres air/huile, séparateur</t>
        </is>
      </c>
      <c r="M1068" s="7" t="n"/>
      <c r="N1068" s="7" t="inlineStr">
        <is>
          <t>Gamme réalisée - RAS</t>
        </is>
      </c>
      <c r="O1068" s="7" t="inlineStr">
        <is>
          <t>Karim Benali</t>
        </is>
      </c>
      <c r="P1068" s="65" t="n">
        <v>46129.40625</v>
      </c>
      <c r="Q1068" s="75" t="n">
        <v>46129.30208333334</v>
      </c>
      <c r="R1068" s="75" t="n">
        <v>46129.4375</v>
      </c>
      <c r="S1068" s="76" t="n">
        <v>0</v>
      </c>
      <c r="T1068" s="76" t="n">
        <v>3.25</v>
      </c>
      <c r="U1068" s="70">
        <f>IF($A1068="","",IFERROR(INDEX('Techniciens'!$F$5:$F$44,MATCH(O1068,'Techniciens'!$B$5:$B$44,0)),'Paramètres'!$AA$10))</f>
        <v/>
      </c>
      <c r="V1068" s="70">
        <f>IF($A1068="","",IF(OR(AC1068="Demandé",AC1068="Planifié",AC1068="Annulé"),0,N(T1068)*N(U1068)))</f>
        <v/>
      </c>
      <c r="W1068" s="70">
        <f>IF($A1068="","",SUMIFS('Mouvements stock'!$H$5:$H$3004,'Mouvements stock'!$I$5:$I$3004,$A1068,'Mouvements stock'!$C$5:$C$3004,"Sortie")-SUMIFS('Mouvements stock'!$H$5:$H$3004,'Mouvements stock'!$I$5:$I$3004,$A1068,'Mouvements stock'!$C$5:$C$3004,"Retour"))</f>
        <v/>
      </c>
      <c r="X1068" s="66" t="n">
        <v>0</v>
      </c>
      <c r="Y1068" s="66" t="n">
        <v>0</v>
      </c>
      <c r="Z1068" s="7" t="n"/>
      <c r="AA1068" s="70">
        <f>IF($A1068="","",N(V1068)+N(W1068)+N(X1068)+N(Y1068))</f>
        <v/>
      </c>
      <c r="AB1068" s="70">
        <f>IF($A1068="","",N(S1068)*'Paramètres'!$AA$9*IFERROR(INDEX('Paramètres'!$O$5:$O$7,MATCH(G1068,'Paramètres'!$N$5:$N$7,0)),0))</f>
        <v/>
      </c>
      <c r="AC1068" s="7" t="inlineStr">
        <is>
          <t>Clôturé</t>
        </is>
      </c>
      <c r="AD1068" s="69">
        <f>IF(OR($A1068="",Q1068=""),"",(Q1068-B1068)*24)</f>
        <v/>
      </c>
      <c r="AE1068" s="69">
        <f>IF(OR(Q1068="",R1068=""),"",(R1068-Q1068)*24)</f>
        <v/>
      </c>
      <c r="AF1068" s="77">
        <f>IF(OR($A1068="",B1068=""),"",YEAR(B1068))</f>
        <v/>
      </c>
      <c r="AG1068" s="77">
        <f>IF(OR($A1068="",B1068=""),"",MONTH(B1068))</f>
        <v/>
      </c>
    </row>
    <row r="1069">
      <c r="A1069" s="7" t="inlineStr">
        <is>
          <t>OT-2026-0214</t>
        </is>
      </c>
      <c r="B1069" s="75" t="n">
        <v>46125.35208333333</v>
      </c>
      <c r="C1069" s="7" t="inlineStr">
        <is>
          <t>Sylvie Mathieu (resp. logistique)</t>
        </is>
      </c>
      <c r="D1069" s="7" t="inlineStr">
        <is>
          <t>EQ-LOG-002</t>
        </is>
      </c>
      <c r="E1069" s="9">
        <f>IF(D1069="","",IFERROR(INDEX('Équipements'!$B$5:$B$304,MATCH(D1069,'Équipements'!$A$5:$A$304,0)),"Code inconnu"))</f>
        <v/>
      </c>
      <c r="F1069" s="9">
        <f>IF(D1069="","",IFERROR(INDEX('Équipements'!$D$5:$D$304,MATCH(D1069,'Équipements'!$A$5:$A$304,0)),""))</f>
        <v/>
      </c>
      <c r="G1069" s="9">
        <f>IF(D1069="","",IFERROR(INDEX('Équipements'!$K$5:$K$304,MATCH(D1069,'Équipements'!$A$5:$A$304,0)),""))</f>
        <v/>
      </c>
      <c r="H1069" s="7" t="inlineStr">
        <is>
          <t>Correctif</t>
        </is>
      </c>
      <c r="I1069" s="7" t="n"/>
      <c r="J1069" s="7" t="inlineStr">
        <is>
          <t>Mécanique</t>
        </is>
      </c>
      <c r="K1069" s="7" t="inlineStr">
        <is>
          <t>P2 - Haute</t>
        </is>
      </c>
      <c r="L1069" s="7" t="inlineStr">
        <is>
          <t>Choc sur mât (dommage cariste)</t>
        </is>
      </c>
      <c r="M1069" s="7" t="inlineStr">
        <is>
          <t>Choc / accident</t>
        </is>
      </c>
      <c r="N1069" s="7" t="inlineStr">
        <is>
          <t>Redressage protège-conducteur, contrôle mât</t>
        </is>
      </c>
      <c r="O1069" s="7" t="inlineStr">
        <is>
          <t>Antoine Mercier</t>
        </is>
      </c>
      <c r="P1069" s="65" t="n"/>
      <c r="Q1069" s="75" t="n">
        <v>46125.50833333333</v>
      </c>
      <c r="R1069" s="75" t="n">
        <v>46125.64375</v>
      </c>
      <c r="S1069" s="76" t="n">
        <v>0</v>
      </c>
      <c r="T1069" s="76" t="n">
        <v>3.25</v>
      </c>
      <c r="U1069" s="70">
        <f>IF($A1069="","",IFERROR(INDEX('Techniciens'!$F$5:$F$44,MATCH(O1069,'Techniciens'!$B$5:$B$44,0)),'Paramètres'!$AA$10))</f>
        <v/>
      </c>
      <c r="V1069" s="70">
        <f>IF($A1069="","",IF(OR(AC1069="Demandé",AC1069="Planifié",AC1069="Annulé"),0,N(T1069)*N(U1069)))</f>
        <v/>
      </c>
      <c r="W1069" s="70">
        <f>IF($A1069="","",SUMIFS('Mouvements stock'!$H$5:$H$3004,'Mouvements stock'!$I$5:$I$3004,$A1069,'Mouvements stock'!$C$5:$C$3004,"Sortie")-SUMIFS('Mouvements stock'!$H$5:$H$3004,'Mouvements stock'!$I$5:$I$3004,$A1069,'Mouvements stock'!$C$5:$C$3004,"Retour"))</f>
        <v/>
      </c>
      <c r="X1069" s="66" t="n">
        <v>0</v>
      </c>
      <c r="Y1069" s="66" t="n">
        <v>570</v>
      </c>
      <c r="Z1069" s="7" t="inlineStr">
        <is>
          <t>Manutention Services 44</t>
        </is>
      </c>
      <c r="AA1069" s="70">
        <f>IF($A1069="","",N(V1069)+N(W1069)+N(X1069)+N(Y1069))</f>
        <v/>
      </c>
      <c r="AB1069" s="70">
        <f>IF($A1069="","",N(S1069)*'Paramètres'!$AA$9*IFERROR(INDEX('Paramètres'!$O$5:$O$7,MATCH(G1069,'Paramètres'!$N$5:$N$7,0)),0))</f>
        <v/>
      </c>
      <c r="AC1069" s="7" t="inlineStr">
        <is>
          <t>Clôturé</t>
        </is>
      </c>
      <c r="AD1069" s="69">
        <f>IF(OR($A1069="",Q1069=""),"",(Q1069-B1069)*24)</f>
        <v/>
      </c>
      <c r="AE1069" s="69">
        <f>IF(OR(Q1069="",R1069=""),"",(R1069-Q1069)*24)</f>
        <v/>
      </c>
      <c r="AF1069" s="77">
        <f>IF(OR($A1069="",B1069=""),"",YEAR(B1069))</f>
        <v/>
      </c>
      <c r="AG1069" s="77">
        <f>IF(OR($A1069="",B1069=""),"",MONTH(B1069))</f>
        <v/>
      </c>
    </row>
    <row r="1070">
      <c r="A1070" s="7" t="inlineStr">
        <is>
          <t>OT-2026-0215</t>
        </is>
      </c>
      <c r="B1070" s="75" t="n">
        <v>46125.40625</v>
      </c>
      <c r="C1070" s="7" t="inlineStr">
        <is>
          <t>Planning réglementaire</t>
        </is>
      </c>
      <c r="D1070" s="7" t="inlineStr">
        <is>
          <t>EQ-BAT-001</t>
        </is>
      </c>
      <c r="E1070" s="9">
        <f>IF(D1070="","",IFERROR(INDEX('Équipements'!$B$5:$B$304,MATCH(D1070,'Équipements'!$A$5:$A$304,0)),"Code inconnu"))</f>
        <v/>
      </c>
      <c r="F1070" s="9">
        <f>IF(D1070="","",IFERROR(INDEX('Équipements'!$D$5:$D$304,MATCH(D1070,'Équipements'!$A$5:$A$304,0)),""))</f>
        <v/>
      </c>
      <c r="G1070" s="9">
        <f>IF(D1070="","",IFERROR(INDEX('Équipements'!$K$5:$K$304,MATCH(D1070,'Équipements'!$A$5:$A$304,0)),""))</f>
        <v/>
      </c>
      <c r="H1070" s="7" t="inlineStr">
        <is>
          <t>Réglementaire</t>
        </is>
      </c>
      <c r="I1070" s="7" t="inlineStr">
        <is>
          <t>CR-020</t>
        </is>
      </c>
      <c r="J1070" s="7" t="inlineStr">
        <is>
          <t>Multi-technique</t>
        </is>
      </c>
      <c r="K1070" s="7" t="inlineStr">
        <is>
          <t>P2 - Haute</t>
        </is>
      </c>
      <c r="L1070" s="7" t="inlineStr">
        <is>
          <t>Entretien et vérification porte automatique</t>
        </is>
      </c>
      <c r="M1070" s="7" t="n"/>
      <c r="N1070" s="7" t="inlineStr">
        <is>
          <t>Contrôle réalisé - rapport reçu</t>
        </is>
      </c>
      <c r="O1070" s="7" t="inlineStr">
        <is>
          <t>Nadia Rousseau</t>
        </is>
      </c>
      <c r="P1070" s="65" t="n">
        <v>46146</v>
      </c>
      <c r="Q1070" s="75" t="n">
        <v>46146.35416666666</v>
      </c>
      <c r="R1070" s="75" t="n">
        <v>46146.39583333334</v>
      </c>
      <c r="S1070" s="76" t="n">
        <v>0</v>
      </c>
      <c r="T1070" s="76" t="n">
        <v>1</v>
      </c>
      <c r="U1070" s="70">
        <f>IF($A1070="","",IFERROR(INDEX('Techniciens'!$F$5:$F$44,MATCH(O1070,'Techniciens'!$B$5:$B$44,0)),'Paramètres'!$AA$10))</f>
        <v/>
      </c>
      <c r="V1070" s="70">
        <f>IF($A1070="","",IF(OR(AC1070="Demandé",AC1070="Planifié",AC1070="Annulé"),0,N(T1070)*N(U1070)))</f>
        <v/>
      </c>
      <c r="W1070" s="70">
        <f>IF($A1070="","",SUMIFS('Mouvements stock'!$H$5:$H$3004,'Mouvements stock'!$I$5:$I$3004,$A1070,'Mouvements stock'!$C$5:$C$3004,"Sortie")-SUMIFS('Mouvements stock'!$H$5:$H$3004,'Mouvements stock'!$I$5:$I$3004,$A1070,'Mouvements stock'!$C$5:$C$3004,"Retour"))</f>
        <v/>
      </c>
      <c r="X1070" s="66" t="n">
        <v>0</v>
      </c>
      <c r="Y1070" s="66" t="n">
        <v>180</v>
      </c>
      <c r="Z1070" s="7" t="inlineStr">
        <is>
          <t>Fournitures Industrielles Générales</t>
        </is>
      </c>
      <c r="AA1070" s="70">
        <f>IF($A1070="","",N(V1070)+N(W1070)+N(X1070)+N(Y1070))</f>
        <v/>
      </c>
      <c r="AB1070" s="70">
        <f>IF($A1070="","",N(S1070)*'Paramètres'!$AA$9*IFERROR(INDEX('Paramètres'!$O$5:$O$7,MATCH(G1070,'Paramètres'!$N$5:$N$7,0)),0))</f>
        <v/>
      </c>
      <c r="AC1070" s="7" t="inlineStr">
        <is>
          <t>Clôturé</t>
        </is>
      </c>
      <c r="AD1070" s="69">
        <f>IF(OR($A1070="",Q1070=""),"",(Q1070-B1070)*24)</f>
        <v/>
      </c>
      <c r="AE1070" s="69">
        <f>IF(OR(Q1070="",R1070=""),"",(R1070-Q1070)*24)</f>
        <v/>
      </c>
      <c r="AF1070" s="77">
        <f>IF(OR($A1070="",B1070=""),"",YEAR(B1070))</f>
        <v/>
      </c>
      <c r="AG1070" s="77">
        <f>IF(OR($A1070="",B1070=""),"",MONTH(B1070))</f>
        <v/>
      </c>
    </row>
    <row r="1071">
      <c r="A1071" s="7" t="inlineStr">
        <is>
          <t>OT-2026-0216</t>
        </is>
      </c>
      <c r="B1071" s="75" t="n">
        <v>46126.34722222222</v>
      </c>
      <c r="C1071" s="7" t="inlineStr">
        <is>
          <t>Planning réglementaire</t>
        </is>
      </c>
      <c r="D1071" s="7" t="inlineStr">
        <is>
          <t>EQ-PEI-002</t>
        </is>
      </c>
      <c r="E1071" s="9">
        <f>IF(D1071="","",IFERROR(INDEX('Équipements'!$B$5:$B$304,MATCH(D1071,'Équipements'!$A$5:$A$304,0)),"Code inconnu"))</f>
        <v/>
      </c>
      <c r="F1071" s="9">
        <f>IF(D1071="","",IFERROR(INDEX('Équipements'!$D$5:$D$304,MATCH(D1071,'Équipements'!$A$5:$A$304,0)),""))</f>
        <v/>
      </c>
      <c r="G1071" s="9">
        <f>IF(D1071="","",IFERROR(INDEX('Équipements'!$K$5:$K$304,MATCH(D1071,'Équipements'!$A$5:$A$304,0)),""))</f>
        <v/>
      </c>
      <c r="H1071" s="7" t="inlineStr">
        <is>
          <t>Réglementaire</t>
        </is>
      </c>
      <c r="I1071" s="7" t="inlineStr">
        <is>
          <t>CR-024</t>
        </is>
      </c>
      <c r="J1071" s="7" t="inlineStr">
        <is>
          <t>Multi-technique</t>
        </is>
      </c>
      <c r="K1071" s="7" t="inlineStr">
        <is>
          <t>P2 - Haute</t>
        </is>
      </c>
      <c r="L1071" s="7" t="inlineStr">
        <is>
          <t>Contrôle ventilation cabine de poudrage</t>
        </is>
      </c>
      <c r="M1071" s="7" t="n"/>
      <c r="N1071" s="7" t="inlineStr">
        <is>
          <t>Contrôle réalisé - observations mineures au rapport</t>
        </is>
      </c>
      <c r="O1071" s="7" t="inlineStr">
        <is>
          <t>Nadia Rousseau</t>
        </is>
      </c>
      <c r="P1071" s="65" t="n">
        <v>46147</v>
      </c>
      <c r="Q1071" s="75" t="n">
        <v>46147.46875</v>
      </c>
      <c r="R1071" s="75" t="n">
        <v>46147.55208333334</v>
      </c>
      <c r="S1071" s="76" t="n">
        <v>2</v>
      </c>
      <c r="T1071" s="76" t="n">
        <v>1.5</v>
      </c>
      <c r="U1071" s="70">
        <f>IF($A1071="","",IFERROR(INDEX('Techniciens'!$F$5:$F$44,MATCH(O1071,'Techniciens'!$B$5:$B$44,0)),'Paramètres'!$AA$10))</f>
        <v/>
      </c>
      <c r="V1071" s="70">
        <f>IF($A1071="","",IF(OR(AC1071="Demandé",AC1071="Planifié",AC1071="Annulé"),0,N(T1071)*N(U1071)))</f>
        <v/>
      </c>
      <c r="W1071" s="70">
        <f>IF($A1071="","",SUMIFS('Mouvements stock'!$H$5:$H$3004,'Mouvements stock'!$I$5:$I$3004,$A1071,'Mouvements stock'!$C$5:$C$3004,"Sortie")-SUMIFS('Mouvements stock'!$H$5:$H$3004,'Mouvements stock'!$I$5:$I$3004,$A1071,'Mouvements stock'!$C$5:$C$3004,"Retour"))</f>
        <v/>
      </c>
      <c r="X1071" s="66" t="n">
        <v>0</v>
      </c>
      <c r="Y1071" s="66" t="n">
        <v>490</v>
      </c>
      <c r="Z1071" s="7" t="inlineStr">
        <is>
          <t>CONTROLIS (organisme fictif)</t>
        </is>
      </c>
      <c r="AA1071" s="70">
        <f>IF($A1071="","",N(V1071)+N(W1071)+N(X1071)+N(Y1071))</f>
        <v/>
      </c>
      <c r="AB1071" s="70">
        <f>IF($A1071="","",N(S1071)*'Paramètres'!$AA$9*IFERROR(INDEX('Paramètres'!$O$5:$O$7,MATCH(G1071,'Paramètres'!$N$5:$N$7,0)),0))</f>
        <v/>
      </c>
      <c r="AC1071" s="7" t="inlineStr">
        <is>
          <t>Clôturé</t>
        </is>
      </c>
      <c r="AD1071" s="69">
        <f>IF(OR($A1071="",Q1071=""),"",(Q1071-B1071)*24)</f>
        <v/>
      </c>
      <c r="AE1071" s="69">
        <f>IF(OR(Q1071="",R1071=""),"",(R1071-Q1071)*24)</f>
        <v/>
      </c>
      <c r="AF1071" s="77">
        <f>IF(OR($A1071="",B1071=""),"",YEAR(B1071))</f>
        <v/>
      </c>
      <c r="AG1071" s="77">
        <f>IF(OR($A1071="",B1071=""),"",MONTH(B1071))</f>
        <v/>
      </c>
    </row>
    <row r="1072">
      <c r="A1072" s="7" t="inlineStr">
        <is>
          <t>OT-2026-0217</t>
        </is>
      </c>
      <c r="B1072" s="75" t="n">
        <v>46126.41666666666</v>
      </c>
      <c r="C1072" s="7" t="inlineStr">
        <is>
          <t>Plan préventif</t>
        </is>
      </c>
      <c r="D1072" s="7" t="inlineStr">
        <is>
          <t>EQ-USI-002</t>
        </is>
      </c>
      <c r="E1072" s="9">
        <f>IF(D1072="","",IFERROR(INDEX('Équipements'!$B$5:$B$304,MATCH(D1072,'Équipements'!$A$5:$A$304,0)),"Code inconnu"))</f>
        <v/>
      </c>
      <c r="F1072" s="9">
        <f>IF(D1072="","",IFERROR(INDEX('Équipements'!$D$5:$D$304,MATCH(D1072,'Équipements'!$A$5:$A$304,0)),""))</f>
        <v/>
      </c>
      <c r="G1072" s="9">
        <f>IF(D1072="","",IFERROR(INDEX('Équipements'!$K$5:$K$304,MATCH(D1072,'Équipements'!$A$5:$A$304,0)),""))</f>
        <v/>
      </c>
      <c r="H1072" s="7" t="inlineStr">
        <is>
          <t>Préventif systématique</t>
        </is>
      </c>
      <c r="I1072" s="7" t="inlineStr">
        <is>
          <t>GP-005</t>
        </is>
      </c>
      <c r="J1072" s="7" t="inlineStr">
        <is>
          <t>Mécanique</t>
        </is>
      </c>
      <c r="K1072" s="7" t="inlineStr">
        <is>
          <t>P3 - Normale</t>
        </is>
      </c>
      <c r="L1072" s="7" t="inlineStr">
        <is>
          <t>Contrôle niveaux, nettoyage filtres et bac à copeaux</t>
        </is>
      </c>
      <c r="M1072" s="7" t="n"/>
      <c r="N1072" s="7" t="inlineStr">
        <is>
          <t>Gamme réalisée - RAS</t>
        </is>
      </c>
      <c r="O1072" s="7" t="inlineStr">
        <is>
          <t>Antoine Mercier</t>
        </is>
      </c>
      <c r="P1072" s="65" t="n">
        <v>46133.5</v>
      </c>
      <c r="Q1072" s="75" t="n">
        <v>46133.52777777778</v>
      </c>
      <c r="R1072" s="75" t="n">
        <v>46133.59027777778</v>
      </c>
      <c r="S1072" s="76" t="n">
        <v>1.5</v>
      </c>
      <c r="T1072" s="76" t="n">
        <v>1.5</v>
      </c>
      <c r="U1072" s="70">
        <f>IF($A1072="","",IFERROR(INDEX('Techniciens'!$F$5:$F$44,MATCH(O1072,'Techniciens'!$B$5:$B$44,0)),'Paramètres'!$AA$10))</f>
        <v/>
      </c>
      <c r="V1072" s="70">
        <f>IF($A1072="","",IF(OR(AC1072="Demandé",AC1072="Planifié",AC1072="Annulé"),0,N(T1072)*N(U1072)))</f>
        <v/>
      </c>
      <c r="W1072" s="70">
        <f>IF($A1072="","",SUMIFS('Mouvements stock'!$H$5:$H$3004,'Mouvements stock'!$I$5:$I$3004,$A1072,'Mouvements stock'!$C$5:$C$3004,"Sortie")-SUMIFS('Mouvements stock'!$H$5:$H$3004,'Mouvements stock'!$I$5:$I$3004,$A1072,'Mouvements stock'!$C$5:$C$3004,"Retour"))</f>
        <v/>
      </c>
      <c r="X1072" s="66" t="n">
        <v>0</v>
      </c>
      <c r="Y1072" s="66" t="n">
        <v>0</v>
      </c>
      <c r="Z1072" s="7" t="n"/>
      <c r="AA1072" s="70">
        <f>IF($A1072="","",N(V1072)+N(W1072)+N(X1072)+N(Y1072))</f>
        <v/>
      </c>
      <c r="AB1072" s="70">
        <f>IF($A1072="","",N(S1072)*'Paramètres'!$AA$9*IFERROR(INDEX('Paramètres'!$O$5:$O$7,MATCH(G1072,'Paramètres'!$N$5:$N$7,0)),0))</f>
        <v/>
      </c>
      <c r="AC1072" s="7" t="inlineStr">
        <is>
          <t>Clôturé</t>
        </is>
      </c>
      <c r="AD1072" s="69">
        <f>IF(OR($A1072="",Q1072=""),"",(Q1072-B1072)*24)</f>
        <v/>
      </c>
      <c r="AE1072" s="69">
        <f>IF(OR(Q1072="",R1072=""),"",(R1072-Q1072)*24)</f>
        <v/>
      </c>
      <c r="AF1072" s="77">
        <f>IF(OR($A1072="",B1072=""),"",YEAR(B1072))</f>
        <v/>
      </c>
      <c r="AG1072" s="77">
        <f>IF(OR($A1072="",B1072=""),"",MONTH(B1072))</f>
        <v/>
      </c>
    </row>
    <row r="1073">
      <c r="A1073" s="7" t="inlineStr">
        <is>
          <t>OT-2026-0218</t>
        </is>
      </c>
      <c r="B1073" s="75" t="n">
        <v>46126.88402777778</v>
      </c>
      <c r="C1073" s="7" t="inlineStr">
        <is>
          <t>Opérateur peinture</t>
        </is>
      </c>
      <c r="D1073" s="7" t="inlineStr">
        <is>
          <t>EQ-PEI-004</t>
        </is>
      </c>
      <c r="E1073" s="9">
        <f>IF(D1073="","",IFERROR(INDEX('Équipements'!$B$5:$B$304,MATCH(D1073,'Équipements'!$A$5:$A$304,0)),"Code inconnu"))</f>
        <v/>
      </c>
      <c r="F1073" s="9">
        <f>IF(D1073="","",IFERROR(INDEX('Équipements'!$D$5:$D$304,MATCH(D1073,'Équipements'!$A$5:$A$304,0)),""))</f>
        <v/>
      </c>
      <c r="G1073" s="9">
        <f>IF(D1073="","",IFERROR(INDEX('Équipements'!$K$5:$K$304,MATCH(D1073,'Équipements'!$A$5:$A$304,0)),""))</f>
        <v/>
      </c>
      <c r="H1073" s="7" t="inlineStr">
        <is>
          <t>Correctif</t>
        </is>
      </c>
      <c r="I1073" s="7" t="n"/>
      <c r="J1073" s="7" t="inlineStr">
        <is>
          <t>Mécanique</t>
        </is>
      </c>
      <c r="K1073" s="7" t="inlineStr">
        <is>
          <t>P2 - Haute</t>
        </is>
      </c>
      <c r="L1073" s="7" t="inlineStr">
        <is>
          <t>Galets bloqués / bruit anormal</t>
        </is>
      </c>
      <c r="M1073" s="7" t="inlineStr">
        <is>
          <t>Défaut lubrification</t>
        </is>
      </c>
      <c r="N1073" s="7" t="inlineStr">
        <is>
          <t>Graissage et remplacement galets</t>
        </is>
      </c>
      <c r="O1073" s="7" t="inlineStr">
        <is>
          <t>Antoine Mercier</t>
        </is>
      </c>
      <c r="P1073" s="65" t="n"/>
      <c r="Q1073" s="75" t="n">
        <v>46126.95555555556</v>
      </c>
      <c r="R1073" s="75" t="n">
        <v>46127.12222222222</v>
      </c>
      <c r="S1073" s="76" t="n">
        <v>5.7</v>
      </c>
      <c r="T1073" s="76" t="n">
        <v>4</v>
      </c>
      <c r="U1073" s="70">
        <f>IF($A1073="","",IFERROR(INDEX('Techniciens'!$F$5:$F$44,MATCH(O1073,'Techniciens'!$B$5:$B$44,0)),'Paramètres'!$AA$10))</f>
        <v/>
      </c>
      <c r="V1073" s="70">
        <f>IF($A1073="","",IF(OR(AC1073="Demandé",AC1073="Planifié",AC1073="Annulé"),0,N(T1073)*N(U1073)))</f>
        <v/>
      </c>
      <c r="W1073" s="70">
        <f>IF($A1073="","",SUMIFS('Mouvements stock'!$H$5:$H$3004,'Mouvements stock'!$I$5:$I$3004,$A1073,'Mouvements stock'!$C$5:$C$3004,"Sortie")-SUMIFS('Mouvements stock'!$H$5:$H$3004,'Mouvements stock'!$I$5:$I$3004,$A1073,'Mouvements stock'!$C$5:$C$3004,"Retour"))</f>
        <v/>
      </c>
      <c r="X1073" s="66" t="n">
        <v>0</v>
      </c>
      <c r="Y1073" s="66" t="n">
        <v>0</v>
      </c>
      <c r="Z1073" s="7" t="n"/>
      <c r="AA1073" s="70">
        <f>IF($A1073="","",N(V1073)+N(W1073)+N(X1073)+N(Y1073))</f>
        <v/>
      </c>
      <c r="AB1073" s="70">
        <f>IF($A1073="","",N(S1073)*'Paramètres'!$AA$9*IFERROR(INDEX('Paramètres'!$O$5:$O$7,MATCH(G1073,'Paramètres'!$N$5:$N$7,0)),0))</f>
        <v/>
      </c>
      <c r="AC1073" s="7" t="inlineStr">
        <is>
          <t>Clôturé</t>
        </is>
      </c>
      <c r="AD1073" s="69">
        <f>IF(OR($A1073="",Q1073=""),"",(Q1073-B1073)*24)</f>
        <v/>
      </c>
      <c r="AE1073" s="69">
        <f>IF(OR(Q1073="",R1073=""),"",(R1073-Q1073)*24)</f>
        <v/>
      </c>
      <c r="AF1073" s="77">
        <f>IF(OR($A1073="",B1073=""),"",YEAR(B1073))</f>
        <v/>
      </c>
      <c r="AG1073" s="77">
        <f>IF(OR($A1073="",B1073=""),"",MONTH(B1073))</f>
        <v/>
      </c>
    </row>
    <row r="1074">
      <c r="A1074" s="7" t="inlineStr">
        <is>
          <t>OT-2026-0219</t>
        </is>
      </c>
      <c r="B1074" s="75" t="n">
        <v>46127.29097222222</v>
      </c>
      <c r="C1074" s="7" t="inlineStr">
        <is>
          <t>Opérateur peinture</t>
        </is>
      </c>
      <c r="D1074" s="7" t="inlineStr">
        <is>
          <t>EQ-PEI-004</t>
        </is>
      </c>
      <c r="E1074" s="9">
        <f>IF(D1074="","",IFERROR(INDEX('Équipements'!$B$5:$B$304,MATCH(D1074,'Équipements'!$A$5:$A$304,0)),"Code inconnu"))</f>
        <v/>
      </c>
      <c r="F1074" s="9">
        <f>IF(D1074="","",IFERROR(INDEX('Équipements'!$D$5:$D$304,MATCH(D1074,'Équipements'!$A$5:$A$304,0)),""))</f>
        <v/>
      </c>
      <c r="G1074" s="9">
        <f>IF(D1074="","",IFERROR(INDEX('Équipements'!$K$5:$K$304,MATCH(D1074,'Équipements'!$A$5:$A$304,0)),""))</f>
        <v/>
      </c>
      <c r="H1074" s="7" t="inlineStr">
        <is>
          <t>Correctif</t>
        </is>
      </c>
      <c r="I1074" s="7" t="n"/>
      <c r="J1074" s="7" t="inlineStr">
        <is>
          <t>Mécanique</t>
        </is>
      </c>
      <c r="K1074" s="7" t="inlineStr">
        <is>
          <t>P2 - Haute</t>
        </is>
      </c>
      <c r="L1074" s="7" t="inlineStr">
        <is>
          <t>Roulement de tambour bruyant</t>
        </is>
      </c>
      <c r="M1074" s="7" t="inlineStr">
        <is>
          <t>Usure</t>
        </is>
      </c>
      <c r="N1074" s="7" t="inlineStr">
        <is>
          <t>Remplacement roulements et palier</t>
        </is>
      </c>
      <c r="O1074" s="7" t="inlineStr">
        <is>
          <t>Antoine Mercier</t>
        </is>
      </c>
      <c r="P1074" s="65" t="n"/>
      <c r="Q1074" s="75" t="n">
        <v>46127.37013888889</v>
      </c>
      <c r="R1074" s="75" t="n">
        <v>46127.57847222222</v>
      </c>
      <c r="S1074" s="76" t="n">
        <v>6.9</v>
      </c>
      <c r="T1074" s="76" t="n">
        <v>5</v>
      </c>
      <c r="U1074" s="70">
        <f>IF($A1074="","",IFERROR(INDEX('Techniciens'!$F$5:$F$44,MATCH(O1074,'Techniciens'!$B$5:$B$44,0)),'Paramètres'!$AA$10))</f>
        <v/>
      </c>
      <c r="V1074" s="70">
        <f>IF($A1074="","",IF(OR(AC1074="Demandé",AC1074="Planifié",AC1074="Annulé"),0,N(T1074)*N(U1074)))</f>
        <v/>
      </c>
      <c r="W1074" s="70">
        <f>IF($A1074="","",SUMIFS('Mouvements stock'!$H$5:$H$3004,'Mouvements stock'!$I$5:$I$3004,$A1074,'Mouvements stock'!$C$5:$C$3004,"Sortie")-SUMIFS('Mouvements stock'!$H$5:$H$3004,'Mouvements stock'!$I$5:$I$3004,$A1074,'Mouvements stock'!$C$5:$C$3004,"Retour"))</f>
        <v/>
      </c>
      <c r="X1074" s="66" t="n">
        <v>692</v>
      </c>
      <c r="Y1074" s="66" t="n">
        <v>0</v>
      </c>
      <c r="Z1074" s="7" t="n"/>
      <c r="AA1074" s="70">
        <f>IF($A1074="","",N(V1074)+N(W1074)+N(X1074)+N(Y1074))</f>
        <v/>
      </c>
      <c r="AB1074" s="70">
        <f>IF($A1074="","",N(S1074)*'Paramètres'!$AA$9*IFERROR(INDEX('Paramètres'!$O$5:$O$7,MATCH(G1074,'Paramètres'!$N$5:$N$7,0)),0))</f>
        <v/>
      </c>
      <c r="AC1074" s="7" t="inlineStr">
        <is>
          <t>Clôturé</t>
        </is>
      </c>
      <c r="AD1074" s="69">
        <f>IF(OR($A1074="",Q1074=""),"",(Q1074-B1074)*24)</f>
        <v/>
      </c>
      <c r="AE1074" s="69">
        <f>IF(OR(Q1074="",R1074=""),"",(R1074-Q1074)*24)</f>
        <v/>
      </c>
      <c r="AF1074" s="77">
        <f>IF(OR($A1074="",B1074=""),"",YEAR(B1074))</f>
        <v/>
      </c>
      <c r="AG1074" s="77">
        <f>IF(OR($A1074="",B1074=""),"",MONTH(B1074))</f>
        <v/>
      </c>
    </row>
    <row r="1075">
      <c r="A1075" s="7" t="inlineStr">
        <is>
          <t>OT-2026-0220</t>
        </is>
      </c>
      <c r="B1075" s="75" t="n">
        <v>46127.35416666666</v>
      </c>
      <c r="C1075" s="7" t="inlineStr">
        <is>
          <t>Plan préventif</t>
        </is>
      </c>
      <c r="D1075" s="7" t="inlineStr">
        <is>
          <t>EQ-TOL-006</t>
        </is>
      </c>
      <c r="E1075" s="9">
        <f>IF(D1075="","",IFERROR(INDEX('Équipements'!$B$5:$B$304,MATCH(D1075,'Équipements'!$A$5:$A$304,0)),"Code inconnu"))</f>
        <v/>
      </c>
      <c r="F1075" s="9">
        <f>IF(D1075="","",IFERROR(INDEX('Équipements'!$D$5:$D$304,MATCH(D1075,'Équipements'!$A$5:$A$304,0)),""))</f>
        <v/>
      </c>
      <c r="G1075" s="9">
        <f>IF(D1075="","",IFERROR(INDEX('Équipements'!$K$5:$K$304,MATCH(D1075,'Équipements'!$A$5:$A$304,0)),""))</f>
        <v/>
      </c>
      <c r="H1075" s="7" t="inlineStr">
        <is>
          <t>Préventif systématique</t>
        </is>
      </c>
      <c r="I1075" s="7" t="inlineStr">
        <is>
          <t>GP-055</t>
        </is>
      </c>
      <c r="J1075" s="7" t="inlineStr">
        <is>
          <t>Électrique</t>
        </is>
      </c>
      <c r="K1075" s="7" t="inlineStr">
        <is>
          <t>P3 - Normale</t>
        </is>
      </c>
      <c r="L1075" s="7" t="inlineStr">
        <is>
          <t>Contrôle des sécurités (barrages, AU, pédale)</t>
        </is>
      </c>
      <c r="M1075" s="7" t="n"/>
      <c r="N1075" s="7" t="inlineStr">
        <is>
          <t>Gamme réalisée - RAS</t>
        </is>
      </c>
      <c r="O1075" s="7" t="inlineStr">
        <is>
          <t>Thomas Petit</t>
        </is>
      </c>
      <c r="P1075" s="65" t="n">
        <v>46134.42708333334</v>
      </c>
      <c r="Q1075" s="75" t="n">
        <v>46134.55555555555</v>
      </c>
      <c r="R1075" s="75" t="n">
        <v>46134.61805555555</v>
      </c>
      <c r="S1075" s="76" t="n">
        <v>1.5</v>
      </c>
      <c r="T1075" s="76" t="n">
        <v>1.5</v>
      </c>
      <c r="U1075" s="70">
        <f>IF($A1075="","",IFERROR(INDEX('Techniciens'!$F$5:$F$44,MATCH(O1075,'Techniciens'!$B$5:$B$44,0)),'Paramètres'!$AA$10))</f>
        <v/>
      </c>
      <c r="V1075" s="70">
        <f>IF($A1075="","",IF(OR(AC1075="Demandé",AC1075="Planifié",AC1075="Annulé"),0,N(T1075)*N(U1075)))</f>
        <v/>
      </c>
      <c r="W1075" s="70">
        <f>IF($A1075="","",SUMIFS('Mouvements stock'!$H$5:$H$3004,'Mouvements stock'!$I$5:$I$3004,$A1075,'Mouvements stock'!$C$5:$C$3004,"Sortie")-SUMIFS('Mouvements stock'!$H$5:$H$3004,'Mouvements stock'!$I$5:$I$3004,$A1075,'Mouvements stock'!$C$5:$C$3004,"Retour"))</f>
        <v/>
      </c>
      <c r="X1075" s="66" t="n">
        <v>0</v>
      </c>
      <c r="Y1075" s="66" t="n">
        <v>0</v>
      </c>
      <c r="Z1075" s="7" t="n"/>
      <c r="AA1075" s="70">
        <f>IF($A1075="","",N(V1075)+N(W1075)+N(X1075)+N(Y1075))</f>
        <v/>
      </c>
      <c r="AB1075" s="70">
        <f>IF($A1075="","",N(S1075)*'Paramètres'!$AA$9*IFERROR(INDEX('Paramètres'!$O$5:$O$7,MATCH(G1075,'Paramètres'!$N$5:$N$7,0)),0))</f>
        <v/>
      </c>
      <c r="AC1075" s="7" t="inlineStr">
        <is>
          <t>Clôturé</t>
        </is>
      </c>
      <c r="AD1075" s="69">
        <f>IF(OR($A1075="",Q1075=""),"",(Q1075-B1075)*24)</f>
        <v/>
      </c>
      <c r="AE1075" s="69">
        <f>IF(OR(Q1075="",R1075=""),"",(R1075-Q1075)*24)</f>
        <v/>
      </c>
      <c r="AF1075" s="77">
        <f>IF(OR($A1075="",B1075=""),"",YEAR(B1075))</f>
        <v/>
      </c>
      <c r="AG1075" s="77">
        <f>IF(OR($A1075="",B1075=""),"",MONTH(B1075))</f>
        <v/>
      </c>
    </row>
    <row r="1076">
      <c r="A1076" s="7" t="inlineStr">
        <is>
          <t>OT-2026-0221</t>
        </is>
      </c>
      <c r="B1076" s="75" t="n">
        <v>46127.44444444445</v>
      </c>
      <c r="C1076" s="7" t="inlineStr">
        <is>
          <t>Plan préventif</t>
        </is>
      </c>
      <c r="D1076" s="7" t="inlineStr">
        <is>
          <t>EQ-UTI-002</t>
        </is>
      </c>
      <c r="E1076" s="9">
        <f>IF(D1076="","",IFERROR(INDEX('Équipements'!$B$5:$B$304,MATCH(D1076,'Équipements'!$A$5:$A$304,0)),"Code inconnu"))</f>
        <v/>
      </c>
      <c r="F1076" s="9">
        <f>IF(D1076="","",IFERROR(INDEX('Équipements'!$D$5:$D$304,MATCH(D1076,'Équipements'!$A$5:$A$304,0)),""))</f>
        <v/>
      </c>
      <c r="G1076" s="9">
        <f>IF(D1076="","",IFERROR(INDEX('Équipements'!$K$5:$K$304,MATCH(D1076,'Équipements'!$A$5:$A$304,0)),""))</f>
        <v/>
      </c>
      <c r="H1076" s="7" t="inlineStr">
        <is>
          <t>Préventif systématique</t>
        </is>
      </c>
      <c r="I1076" s="7" t="inlineStr">
        <is>
          <t>GP-090</t>
        </is>
      </c>
      <c r="J1076" s="7" t="inlineStr">
        <is>
          <t>Pneumatique</t>
        </is>
      </c>
      <c r="K1076" s="7" t="inlineStr">
        <is>
          <t>P3 - Normale</t>
        </is>
      </c>
      <c r="L1076" s="7" t="inlineStr">
        <is>
          <t>Purge, contrôle fuites et point de rosée</t>
        </is>
      </c>
      <c r="M1076" s="7" t="n"/>
      <c r="N1076" s="7" t="inlineStr">
        <is>
          <t>Gamme réalisée - RAS</t>
        </is>
      </c>
      <c r="O1076" s="7" t="inlineStr">
        <is>
          <t>Lucas Fontaine</t>
        </is>
      </c>
      <c r="P1076" s="65" t="n">
        <v>46134.50347222222</v>
      </c>
      <c r="Q1076" s="75" t="n">
        <v>46134.57638888889</v>
      </c>
      <c r="R1076" s="75" t="n">
        <v>46134.63888888889</v>
      </c>
      <c r="S1076" s="76" t="n">
        <v>0</v>
      </c>
      <c r="T1076" s="76" t="n">
        <v>1.5</v>
      </c>
      <c r="U1076" s="70">
        <f>IF($A1076="","",IFERROR(INDEX('Techniciens'!$F$5:$F$44,MATCH(O1076,'Techniciens'!$B$5:$B$44,0)),'Paramètres'!$AA$10))</f>
        <v/>
      </c>
      <c r="V1076" s="70">
        <f>IF($A1076="","",IF(OR(AC1076="Demandé",AC1076="Planifié",AC1076="Annulé"),0,N(T1076)*N(U1076)))</f>
        <v/>
      </c>
      <c r="W1076" s="70">
        <f>IF($A1076="","",SUMIFS('Mouvements stock'!$H$5:$H$3004,'Mouvements stock'!$I$5:$I$3004,$A1076,'Mouvements stock'!$C$5:$C$3004,"Sortie")-SUMIFS('Mouvements stock'!$H$5:$H$3004,'Mouvements stock'!$I$5:$I$3004,$A1076,'Mouvements stock'!$C$5:$C$3004,"Retour"))</f>
        <v/>
      </c>
      <c r="X1076" s="66" t="n">
        <v>0</v>
      </c>
      <c r="Y1076" s="66" t="n">
        <v>0</v>
      </c>
      <c r="Z1076" s="7" t="n"/>
      <c r="AA1076" s="70">
        <f>IF($A1076="","",N(V1076)+N(W1076)+N(X1076)+N(Y1076))</f>
        <v/>
      </c>
      <c r="AB1076" s="70">
        <f>IF($A1076="","",N(S1076)*'Paramètres'!$AA$9*IFERROR(INDEX('Paramètres'!$O$5:$O$7,MATCH(G1076,'Paramètres'!$N$5:$N$7,0)),0))</f>
        <v/>
      </c>
      <c r="AC1076" s="7" t="inlineStr">
        <is>
          <t>Clôturé</t>
        </is>
      </c>
      <c r="AD1076" s="69">
        <f>IF(OR($A1076="",Q1076=""),"",(Q1076-B1076)*24)</f>
        <v/>
      </c>
      <c r="AE1076" s="69">
        <f>IF(OR(Q1076="",R1076=""),"",(R1076-Q1076)*24)</f>
        <v/>
      </c>
      <c r="AF1076" s="77">
        <f>IF(OR($A1076="",B1076=""),"",YEAR(B1076))</f>
        <v/>
      </c>
      <c r="AG1076" s="77">
        <f>IF(OR($A1076="",B1076=""),"",MONTH(B1076))</f>
        <v/>
      </c>
    </row>
    <row r="1077">
      <c r="A1077" s="7" t="inlineStr">
        <is>
          <t>OT-2026-0222</t>
        </is>
      </c>
      <c r="B1077" s="75" t="n">
        <v>46127.55</v>
      </c>
      <c r="C1077" s="7" t="inlineStr">
        <is>
          <t>Opérateur tôlerie</t>
        </is>
      </c>
      <c r="D1077" s="7" t="inlineStr">
        <is>
          <t>EQ-TOL-002</t>
        </is>
      </c>
      <c r="E1077" s="9">
        <f>IF(D1077="","",IFERROR(INDEX('Équipements'!$B$5:$B$304,MATCH(D1077,'Équipements'!$A$5:$A$304,0)),"Code inconnu"))</f>
        <v/>
      </c>
      <c r="F1077" s="9">
        <f>IF(D1077="","",IFERROR(INDEX('Équipements'!$D$5:$D$304,MATCH(D1077,'Équipements'!$A$5:$A$304,0)),""))</f>
        <v/>
      </c>
      <c r="G1077" s="9">
        <f>IF(D1077="","",IFERROR(INDEX('Équipements'!$K$5:$K$304,MATCH(D1077,'Équipements'!$A$5:$A$304,0)),""))</f>
        <v/>
      </c>
      <c r="H1077" s="7" t="inlineStr">
        <is>
          <t>Correctif</t>
        </is>
      </c>
      <c r="I1077" s="7" t="n"/>
      <c r="J1077" s="7" t="inlineStr">
        <is>
          <t>Hydraulique</t>
        </is>
      </c>
      <c r="K1077" s="7" t="inlineStr">
        <is>
          <t>P1 - Urgent</t>
        </is>
      </c>
      <c r="L1077" s="7" t="inlineStr">
        <is>
          <t>Pompe hydraulique bruyante</t>
        </is>
      </c>
      <c r="M1077" s="7" t="inlineStr">
        <is>
          <t>Usure</t>
        </is>
      </c>
      <c r="N1077" s="7" t="inlineStr">
        <is>
          <t>Remplacement accouplement, contrôle débit pompe</t>
        </is>
      </c>
      <c r="O1077" s="7" t="inlineStr">
        <is>
          <t>Karim Benali</t>
        </is>
      </c>
      <c r="P1077" s="65" t="n"/>
      <c r="Q1077" s="75" t="n">
        <v>46127.59027777778</v>
      </c>
      <c r="R1077" s="75" t="n">
        <v>46127.69444444445</v>
      </c>
      <c r="S1077" s="76" t="n">
        <v>3.5</v>
      </c>
      <c r="T1077" s="76" t="n">
        <v>2.5</v>
      </c>
      <c r="U1077" s="70">
        <f>IF($A1077="","",IFERROR(INDEX('Techniciens'!$F$5:$F$44,MATCH(O1077,'Techniciens'!$B$5:$B$44,0)),'Paramètres'!$AA$10))</f>
        <v/>
      </c>
      <c r="V1077" s="70">
        <f>IF($A1077="","",IF(OR(AC1077="Demandé",AC1077="Planifié",AC1077="Annulé"),0,N(T1077)*N(U1077)))</f>
        <v/>
      </c>
      <c r="W1077" s="70">
        <f>IF($A1077="","",SUMIFS('Mouvements stock'!$H$5:$H$3004,'Mouvements stock'!$I$5:$I$3004,$A1077,'Mouvements stock'!$C$5:$C$3004,"Sortie")-SUMIFS('Mouvements stock'!$H$5:$H$3004,'Mouvements stock'!$I$5:$I$3004,$A1077,'Mouvements stock'!$C$5:$C$3004,"Retour"))</f>
        <v/>
      </c>
      <c r="X1077" s="66" t="n">
        <v>0</v>
      </c>
      <c r="Y1077" s="66" t="n">
        <v>0</v>
      </c>
      <c r="Z1077" s="7" t="n"/>
      <c r="AA1077" s="70">
        <f>IF($A1077="","",N(V1077)+N(W1077)+N(X1077)+N(Y1077))</f>
        <v/>
      </c>
      <c r="AB1077" s="70">
        <f>IF($A1077="","",N(S1077)*'Paramètres'!$AA$9*IFERROR(INDEX('Paramètres'!$O$5:$O$7,MATCH(G1077,'Paramètres'!$N$5:$N$7,0)),0))</f>
        <v/>
      </c>
      <c r="AC1077" s="7" t="inlineStr">
        <is>
          <t>Clôturé</t>
        </is>
      </c>
      <c r="AD1077" s="69">
        <f>IF(OR($A1077="",Q1077=""),"",(Q1077-B1077)*24)</f>
        <v/>
      </c>
      <c r="AE1077" s="69">
        <f>IF(OR(Q1077="",R1077=""),"",(R1077-Q1077)*24)</f>
        <v/>
      </c>
      <c r="AF1077" s="77">
        <f>IF(OR($A1077="",B1077=""),"",YEAR(B1077))</f>
        <v/>
      </c>
      <c r="AG1077" s="77">
        <f>IF(OR($A1077="",B1077=""),"",MONTH(B1077))</f>
        <v/>
      </c>
    </row>
    <row r="1078">
      <c r="A1078" s="7" t="inlineStr">
        <is>
          <t>OT-2026-0223</t>
        </is>
      </c>
      <c r="B1078" s="75" t="n">
        <v>46128.33125</v>
      </c>
      <c r="C1078" s="7" t="inlineStr">
        <is>
          <t>Paul Roux (chef d'atelier)</t>
        </is>
      </c>
      <c r="D1078" s="7" t="inlineStr">
        <is>
          <t>EQ-ASS-002</t>
        </is>
      </c>
      <c r="E1078" s="9">
        <f>IF(D1078="","",IFERROR(INDEX('Équipements'!$B$5:$B$304,MATCH(D1078,'Équipements'!$A$5:$A$304,0)),"Code inconnu"))</f>
        <v/>
      </c>
      <c r="F1078" s="9">
        <f>IF(D1078="","",IFERROR(INDEX('Équipements'!$D$5:$D$304,MATCH(D1078,'Équipements'!$A$5:$A$304,0)),""))</f>
        <v/>
      </c>
      <c r="G1078" s="9">
        <f>IF(D1078="","",IFERROR(INDEX('Équipements'!$K$5:$K$304,MATCH(D1078,'Équipements'!$A$5:$A$304,0)),""))</f>
        <v/>
      </c>
      <c r="H1078" s="7" t="inlineStr">
        <is>
          <t>Correctif</t>
        </is>
      </c>
      <c r="I1078" s="7" t="n"/>
      <c r="J1078" s="7" t="inlineStr">
        <is>
          <t>Électrique</t>
        </is>
      </c>
      <c r="K1078" s="7" t="inlineStr">
        <is>
          <t>P2 - Haute</t>
        </is>
      </c>
      <c r="L1078" s="7" t="inlineStr">
        <is>
          <t>Pédale de commande défectueuse</t>
        </is>
      </c>
      <c r="M1078" s="7" t="inlineStr">
        <is>
          <t>Usure</t>
        </is>
      </c>
      <c r="N1078" s="7" t="inlineStr">
        <is>
          <t>Remplacement contacts de pédale</t>
        </is>
      </c>
      <c r="O1078" s="7" t="inlineStr">
        <is>
          <t>Julien Moreau</t>
        </is>
      </c>
      <c r="P1078" s="65" t="n"/>
      <c r="Q1078" s="75" t="n">
        <v>46128.44861111111</v>
      </c>
      <c r="R1078" s="75" t="n">
        <v>46128.55277777778</v>
      </c>
      <c r="S1078" s="76" t="n">
        <v>5.3</v>
      </c>
      <c r="T1078" s="76" t="n">
        <v>2.5</v>
      </c>
      <c r="U1078" s="70">
        <f>IF($A1078="","",IFERROR(INDEX('Techniciens'!$F$5:$F$44,MATCH(O1078,'Techniciens'!$B$5:$B$44,0)),'Paramètres'!$AA$10))</f>
        <v/>
      </c>
      <c r="V1078" s="70">
        <f>IF($A1078="","",IF(OR(AC1078="Demandé",AC1078="Planifié",AC1078="Annulé"),0,N(T1078)*N(U1078)))</f>
        <v/>
      </c>
      <c r="W1078" s="70">
        <f>IF($A1078="","",SUMIFS('Mouvements stock'!$H$5:$H$3004,'Mouvements stock'!$I$5:$I$3004,$A1078,'Mouvements stock'!$C$5:$C$3004,"Sortie")-SUMIFS('Mouvements stock'!$H$5:$H$3004,'Mouvements stock'!$I$5:$I$3004,$A1078,'Mouvements stock'!$C$5:$C$3004,"Retour"))</f>
        <v/>
      </c>
      <c r="X1078" s="66" t="n">
        <v>0</v>
      </c>
      <c r="Y1078" s="66" t="n">
        <v>0</v>
      </c>
      <c r="Z1078" s="7" t="n"/>
      <c r="AA1078" s="70">
        <f>IF($A1078="","",N(V1078)+N(W1078)+N(X1078)+N(Y1078))</f>
        <v/>
      </c>
      <c r="AB1078" s="70">
        <f>IF($A1078="","",N(S1078)*'Paramètres'!$AA$9*IFERROR(INDEX('Paramètres'!$O$5:$O$7,MATCH(G1078,'Paramètres'!$N$5:$N$7,0)),0))</f>
        <v/>
      </c>
      <c r="AC1078" s="7" t="inlineStr">
        <is>
          <t>Clôturé</t>
        </is>
      </c>
      <c r="AD1078" s="69">
        <f>IF(OR($A1078="",Q1078=""),"",(Q1078-B1078)*24)</f>
        <v/>
      </c>
      <c r="AE1078" s="69">
        <f>IF(OR(Q1078="",R1078=""),"",(R1078-Q1078)*24)</f>
        <v/>
      </c>
      <c r="AF1078" s="77">
        <f>IF(OR($A1078="",B1078=""),"",YEAR(B1078))</f>
        <v/>
      </c>
      <c r="AG1078" s="77">
        <f>IF(OR($A1078="",B1078=""),"",MONTH(B1078))</f>
        <v/>
      </c>
    </row>
    <row r="1079">
      <c r="A1079" s="7" t="inlineStr">
        <is>
          <t>OT-2026-0224</t>
        </is>
      </c>
      <c r="B1079" s="75" t="n">
        <v>46128.33333333334</v>
      </c>
      <c r="C1079" s="7" t="inlineStr">
        <is>
          <t>Plan préventif</t>
        </is>
      </c>
      <c r="D1079" s="7" t="inlineStr">
        <is>
          <t>EQ-USI-012</t>
        </is>
      </c>
      <c r="E1079" s="9">
        <f>IF(D1079="","",IFERROR(INDEX('Équipements'!$B$5:$B$304,MATCH(D1079,'Équipements'!$A$5:$A$304,0)),"Code inconnu"))</f>
        <v/>
      </c>
      <c r="F1079" s="9">
        <f>IF(D1079="","",IFERROR(INDEX('Équipements'!$D$5:$D$304,MATCH(D1079,'Équipements'!$A$5:$A$304,0)),""))</f>
        <v/>
      </c>
      <c r="G1079" s="9">
        <f>IF(D1079="","",IFERROR(INDEX('Équipements'!$K$5:$K$304,MATCH(D1079,'Équipements'!$A$5:$A$304,0)),""))</f>
        <v/>
      </c>
      <c r="H1079" s="7" t="inlineStr">
        <is>
          <t>Préventif systématique</t>
        </is>
      </c>
      <c r="I1079" s="7" t="inlineStr">
        <is>
          <t>GP-035</t>
        </is>
      </c>
      <c r="J1079" s="7" t="inlineStr">
        <is>
          <t>Mécanique</t>
        </is>
      </c>
      <c r="K1079" s="7" t="inlineStr">
        <is>
          <t>P3 - Normale</t>
        </is>
      </c>
      <c r="L1079" s="7" t="inlineStr">
        <is>
          <t>Nettoyage torche et contrôle faisceau</t>
        </is>
      </c>
      <c r="M1079" s="7" t="n"/>
      <c r="N1079" s="7" t="inlineStr">
        <is>
          <t>Gamme réalisée - usure constatée, à surveiller</t>
        </is>
      </c>
      <c r="O1079" s="7" t="inlineStr">
        <is>
          <t>Lucas Fontaine</t>
        </is>
      </c>
      <c r="P1079" s="65" t="n">
        <v>46135.43402777778</v>
      </c>
      <c r="Q1079" s="75" t="n">
        <v>46135.30555555555</v>
      </c>
      <c r="R1079" s="75" t="n">
        <v>46135.32638888889</v>
      </c>
      <c r="S1079" s="76" t="n">
        <v>0</v>
      </c>
      <c r="T1079" s="76" t="n">
        <v>0.5</v>
      </c>
      <c r="U1079" s="70">
        <f>IF($A1079="","",IFERROR(INDEX('Techniciens'!$F$5:$F$44,MATCH(O1079,'Techniciens'!$B$5:$B$44,0)),'Paramètres'!$AA$10))</f>
        <v/>
      </c>
      <c r="V1079" s="70">
        <f>IF($A1079="","",IF(OR(AC1079="Demandé",AC1079="Planifié",AC1079="Annulé"),0,N(T1079)*N(U1079)))</f>
        <v/>
      </c>
      <c r="W1079" s="70">
        <f>IF($A1079="","",SUMIFS('Mouvements stock'!$H$5:$H$3004,'Mouvements stock'!$I$5:$I$3004,$A1079,'Mouvements stock'!$C$5:$C$3004,"Sortie")-SUMIFS('Mouvements stock'!$H$5:$H$3004,'Mouvements stock'!$I$5:$I$3004,$A1079,'Mouvements stock'!$C$5:$C$3004,"Retour"))</f>
        <v/>
      </c>
      <c r="X1079" s="66" t="n">
        <v>0</v>
      </c>
      <c r="Y1079" s="66" t="n">
        <v>0</v>
      </c>
      <c r="Z1079" s="7" t="n"/>
      <c r="AA1079" s="70">
        <f>IF($A1079="","",N(V1079)+N(W1079)+N(X1079)+N(Y1079))</f>
        <v/>
      </c>
      <c r="AB1079" s="70">
        <f>IF($A1079="","",N(S1079)*'Paramètres'!$AA$9*IFERROR(INDEX('Paramètres'!$O$5:$O$7,MATCH(G1079,'Paramètres'!$N$5:$N$7,0)),0))</f>
        <v/>
      </c>
      <c r="AC1079" s="7" t="inlineStr">
        <is>
          <t>Clôturé</t>
        </is>
      </c>
      <c r="AD1079" s="69">
        <f>IF(OR($A1079="",Q1079=""),"",(Q1079-B1079)*24)</f>
        <v/>
      </c>
      <c r="AE1079" s="69">
        <f>IF(OR(Q1079="",R1079=""),"",(R1079-Q1079)*24)</f>
        <v/>
      </c>
      <c r="AF1079" s="77">
        <f>IF(OR($A1079="",B1079=""),"",YEAR(B1079))</f>
        <v/>
      </c>
      <c r="AG1079" s="77">
        <f>IF(OR($A1079="",B1079=""),"",MONTH(B1079))</f>
        <v/>
      </c>
    </row>
    <row r="1080">
      <c r="A1080" s="7" t="inlineStr">
        <is>
          <t>OT-2026-0225</t>
        </is>
      </c>
      <c r="B1080" s="75" t="n">
        <v>46128.38263888889</v>
      </c>
      <c r="C1080" s="7" t="inlineStr">
        <is>
          <t>Opérateur usinage</t>
        </is>
      </c>
      <c r="D1080" s="7" t="inlineStr">
        <is>
          <t>EQ-USI-004</t>
        </is>
      </c>
      <c r="E1080" s="9">
        <f>IF(D1080="","",IFERROR(INDEX('Équipements'!$B$5:$B$304,MATCH(D1080,'Équipements'!$A$5:$A$304,0)),"Code inconnu"))</f>
        <v/>
      </c>
      <c r="F1080" s="9">
        <f>IF(D1080="","",IFERROR(INDEX('Équipements'!$D$5:$D$304,MATCH(D1080,'Équipements'!$A$5:$A$304,0)),""))</f>
        <v/>
      </c>
      <c r="G1080" s="9">
        <f>IF(D1080="","",IFERROR(INDEX('Équipements'!$K$5:$K$304,MATCH(D1080,'Équipements'!$A$5:$A$304,0)),""))</f>
        <v/>
      </c>
      <c r="H1080" s="7" t="inlineStr">
        <is>
          <t>Correctif</t>
        </is>
      </c>
      <c r="I1080" s="7" t="n"/>
      <c r="J1080" s="7" t="inlineStr">
        <is>
          <t>Électrique</t>
        </is>
      </c>
      <c r="K1080" s="7" t="inlineStr">
        <is>
          <t>P1 - Urgent</t>
        </is>
      </c>
      <c r="L1080" s="7" t="inlineStr">
        <is>
          <t>Défaut ventilation armoire électrique</t>
        </is>
      </c>
      <c r="M1080" s="7" t="inlineStr">
        <is>
          <t>Encrassement</t>
        </is>
      </c>
      <c r="N1080" s="7" t="inlineStr">
        <is>
          <t>Nettoyage et remplacement ventilateur d'armoire</t>
        </is>
      </c>
      <c r="O1080" s="7" t="inlineStr">
        <is>
          <t>Thomas Petit</t>
        </is>
      </c>
      <c r="P1080" s="65" t="n"/>
      <c r="Q1080" s="75" t="n">
        <v>46128.4125</v>
      </c>
      <c r="R1080" s="75" t="n">
        <v>46129.44279249145</v>
      </c>
      <c r="S1080" s="76" t="n">
        <v>14.7</v>
      </c>
      <c r="T1080" s="76" t="n">
        <v>3.25</v>
      </c>
      <c r="U1080" s="70">
        <f>IF($A1080="","",IFERROR(INDEX('Techniciens'!$F$5:$F$44,MATCH(O1080,'Techniciens'!$B$5:$B$44,0)),'Paramètres'!$AA$10))</f>
        <v/>
      </c>
      <c r="V1080" s="70">
        <f>IF($A1080="","",IF(OR(AC1080="Demandé",AC1080="Planifié",AC1080="Annulé"),0,N(T1080)*N(U1080)))</f>
        <v/>
      </c>
      <c r="W1080" s="70">
        <f>IF($A1080="","",SUMIFS('Mouvements stock'!$H$5:$H$3004,'Mouvements stock'!$I$5:$I$3004,$A1080,'Mouvements stock'!$C$5:$C$3004,"Sortie")-SUMIFS('Mouvements stock'!$H$5:$H$3004,'Mouvements stock'!$I$5:$I$3004,$A1080,'Mouvements stock'!$C$5:$C$3004,"Retour"))</f>
        <v/>
      </c>
      <c r="X1080" s="66" t="n">
        <v>745</v>
      </c>
      <c r="Y1080" s="66" t="n">
        <v>0</v>
      </c>
      <c r="Z1080" s="7" t="n"/>
      <c r="AA1080" s="70">
        <f>IF($A1080="","",N(V1080)+N(W1080)+N(X1080)+N(Y1080))</f>
        <v/>
      </c>
      <c r="AB1080" s="70">
        <f>IF($A1080="","",N(S1080)*'Paramètres'!$AA$9*IFERROR(INDEX('Paramètres'!$O$5:$O$7,MATCH(G1080,'Paramètres'!$N$5:$N$7,0)),0))</f>
        <v/>
      </c>
      <c r="AC1080" s="7" t="inlineStr">
        <is>
          <t>Clôturé</t>
        </is>
      </c>
      <c r="AD1080" s="69">
        <f>IF(OR($A1080="",Q1080=""),"",(Q1080-B1080)*24)</f>
        <v/>
      </c>
      <c r="AE1080" s="69">
        <f>IF(OR(Q1080="",R1080=""),"",(R1080-Q1080)*24)</f>
        <v/>
      </c>
      <c r="AF1080" s="77">
        <f>IF(OR($A1080="",B1080=""),"",YEAR(B1080))</f>
        <v/>
      </c>
      <c r="AG1080" s="77">
        <f>IF(OR($A1080="",B1080=""),"",MONTH(B1080))</f>
        <v/>
      </c>
    </row>
    <row r="1081">
      <c r="A1081" s="7" t="inlineStr">
        <is>
          <t>OT-2026-0226</t>
        </is>
      </c>
      <c r="B1081" s="75" t="n">
        <v>46128.43055555555</v>
      </c>
      <c r="C1081" s="7" t="inlineStr">
        <is>
          <t>Plan préventif</t>
        </is>
      </c>
      <c r="D1081" s="7" t="inlineStr">
        <is>
          <t>EQ-TOL-006</t>
        </is>
      </c>
      <c r="E1081" s="9">
        <f>IF(D1081="","",IFERROR(INDEX('Équipements'!$B$5:$B$304,MATCH(D1081,'Équipements'!$A$5:$A$304,0)),"Code inconnu"))</f>
        <v/>
      </c>
      <c r="F1081" s="9">
        <f>IF(D1081="","",IFERROR(INDEX('Équipements'!$D$5:$D$304,MATCH(D1081,'Équipements'!$A$5:$A$304,0)),""))</f>
        <v/>
      </c>
      <c r="G1081" s="9">
        <f>IF(D1081="","",IFERROR(INDEX('Équipements'!$K$5:$K$304,MATCH(D1081,'Équipements'!$A$5:$A$304,0)),""))</f>
        <v/>
      </c>
      <c r="H1081" s="7" t="inlineStr">
        <is>
          <t>Préventif conditionnel</t>
        </is>
      </c>
      <c r="I1081" s="7" t="inlineStr">
        <is>
          <t>GP-054</t>
        </is>
      </c>
      <c r="J1081" s="7" t="inlineStr">
        <is>
          <t>Hydraulique</t>
        </is>
      </c>
      <c r="K1081" s="7" t="inlineStr">
        <is>
          <t>P3 - Normale</t>
        </is>
      </c>
      <c r="L1081" s="7" t="inlineStr">
        <is>
          <t>Vidange huile hydraulique et filtres</t>
        </is>
      </c>
      <c r="M1081" s="7" t="n"/>
      <c r="N1081" s="7" t="inlineStr">
        <is>
          <t>Gamme réalisée - RAS</t>
        </is>
      </c>
      <c r="O1081" s="7" t="inlineStr">
        <is>
          <t>Karim Benali</t>
        </is>
      </c>
      <c r="P1081" s="65" t="n">
        <v>46135</v>
      </c>
      <c r="Q1081" s="75" t="n">
        <v>46135.5</v>
      </c>
      <c r="R1081" s="75" t="n">
        <v>46135.70833333334</v>
      </c>
      <c r="S1081" s="76" t="n">
        <v>5</v>
      </c>
      <c r="T1081" s="76" t="n">
        <v>5</v>
      </c>
      <c r="U1081" s="70">
        <f>IF($A1081="","",IFERROR(INDEX('Techniciens'!$F$5:$F$44,MATCH(O1081,'Techniciens'!$B$5:$B$44,0)),'Paramètres'!$AA$10))</f>
        <v/>
      </c>
      <c r="V1081" s="70">
        <f>IF($A1081="","",IF(OR(AC1081="Demandé",AC1081="Planifié",AC1081="Annulé"),0,N(T1081)*N(U1081)))</f>
        <v/>
      </c>
      <c r="W1081" s="70">
        <f>IF($A1081="","",SUMIFS('Mouvements stock'!$H$5:$H$3004,'Mouvements stock'!$I$5:$I$3004,$A1081,'Mouvements stock'!$C$5:$C$3004,"Sortie")-SUMIFS('Mouvements stock'!$H$5:$H$3004,'Mouvements stock'!$I$5:$I$3004,$A1081,'Mouvements stock'!$C$5:$C$3004,"Retour"))</f>
        <v/>
      </c>
      <c r="X1081" s="66" t="n">
        <v>0</v>
      </c>
      <c r="Y1081" s="66" t="n">
        <v>0</v>
      </c>
      <c r="Z1081" s="7" t="n"/>
      <c r="AA1081" s="70">
        <f>IF($A1081="","",N(V1081)+N(W1081)+N(X1081)+N(Y1081))</f>
        <v/>
      </c>
      <c r="AB1081" s="70">
        <f>IF($A1081="","",N(S1081)*'Paramètres'!$AA$9*IFERROR(INDEX('Paramètres'!$O$5:$O$7,MATCH(G1081,'Paramètres'!$N$5:$N$7,0)),0))</f>
        <v/>
      </c>
      <c r="AC1081" s="7" t="inlineStr">
        <is>
          <t>Clôturé</t>
        </is>
      </c>
      <c r="AD1081" s="69">
        <f>IF(OR($A1081="",Q1081=""),"",(Q1081-B1081)*24)</f>
        <v/>
      </c>
      <c r="AE1081" s="69">
        <f>IF(OR(Q1081="",R1081=""),"",(R1081-Q1081)*24)</f>
        <v/>
      </c>
      <c r="AF1081" s="77">
        <f>IF(OR($A1081="",B1081=""),"",YEAR(B1081))</f>
        <v/>
      </c>
      <c r="AG1081" s="77">
        <f>IF(OR($A1081="",B1081=""),"",MONTH(B1081))</f>
        <v/>
      </c>
    </row>
    <row r="1082">
      <c r="A1082" s="7" t="inlineStr">
        <is>
          <t>OT-2026-0227</t>
        </is>
      </c>
      <c r="B1082" s="75" t="n">
        <v>46129.38541666666</v>
      </c>
      <c r="C1082" s="7" t="inlineStr">
        <is>
          <t>Plan préventif</t>
        </is>
      </c>
      <c r="D1082" s="7" t="inlineStr">
        <is>
          <t>EQ-TOL-001</t>
        </is>
      </c>
      <c r="E1082" s="9">
        <f>IF(D1082="","",IFERROR(INDEX('Équipements'!$B$5:$B$304,MATCH(D1082,'Équipements'!$A$5:$A$304,0)),"Code inconnu"))</f>
        <v/>
      </c>
      <c r="F1082" s="9">
        <f>IF(D1082="","",IFERROR(INDEX('Équipements'!$D$5:$D$304,MATCH(D1082,'Équipements'!$A$5:$A$304,0)),""))</f>
        <v/>
      </c>
      <c r="G1082" s="9">
        <f>IF(D1082="","",IFERROR(INDEX('Équipements'!$K$5:$K$304,MATCH(D1082,'Équipements'!$A$5:$A$304,0)),""))</f>
        <v/>
      </c>
      <c r="H1082" s="7" t="inlineStr">
        <is>
          <t>Préventif systématique</t>
        </is>
      </c>
      <c r="I1082" s="7" t="inlineStr">
        <is>
          <t>GP-038</t>
        </is>
      </c>
      <c r="J1082" s="7" t="inlineStr">
        <is>
          <t>Mécanique</t>
        </is>
      </c>
      <c r="K1082" s="7" t="inlineStr">
        <is>
          <t>P3 - Normale</t>
        </is>
      </c>
      <c r="L1082" s="7" t="inlineStr">
        <is>
          <t>Nettoyage optique, contrôle buse et lentille</t>
        </is>
      </c>
      <c r="M1082" s="7" t="n"/>
      <c r="N1082" s="7" t="inlineStr">
        <is>
          <t>Gamme réalisée - RAS</t>
        </is>
      </c>
      <c r="O1082" s="7" t="inlineStr">
        <is>
          <t>Karim Benali</t>
        </is>
      </c>
      <c r="P1082" s="65" t="n">
        <v>46136.45486111111</v>
      </c>
      <c r="Q1082" s="75" t="n">
        <v>46136.61111111111</v>
      </c>
      <c r="R1082" s="75" t="n">
        <v>46136.71527777778</v>
      </c>
      <c r="S1082" s="76" t="n">
        <v>2.5</v>
      </c>
      <c r="T1082" s="76" t="n">
        <v>2.5</v>
      </c>
      <c r="U1082" s="70">
        <f>IF($A1082="","",IFERROR(INDEX('Techniciens'!$F$5:$F$44,MATCH(O1082,'Techniciens'!$B$5:$B$44,0)),'Paramètres'!$AA$10))</f>
        <v/>
      </c>
      <c r="V1082" s="70">
        <f>IF($A1082="","",IF(OR(AC1082="Demandé",AC1082="Planifié",AC1082="Annulé"),0,N(T1082)*N(U1082)))</f>
        <v/>
      </c>
      <c r="W1082" s="70">
        <f>IF($A1082="","",SUMIFS('Mouvements stock'!$H$5:$H$3004,'Mouvements stock'!$I$5:$I$3004,$A1082,'Mouvements stock'!$C$5:$C$3004,"Sortie")-SUMIFS('Mouvements stock'!$H$5:$H$3004,'Mouvements stock'!$I$5:$I$3004,$A1082,'Mouvements stock'!$C$5:$C$3004,"Retour"))</f>
        <v/>
      </c>
      <c r="X1082" s="66" t="n">
        <v>0</v>
      </c>
      <c r="Y1082" s="66" t="n">
        <v>0</v>
      </c>
      <c r="Z1082" s="7" t="n"/>
      <c r="AA1082" s="70">
        <f>IF($A1082="","",N(V1082)+N(W1082)+N(X1082)+N(Y1082))</f>
        <v/>
      </c>
      <c r="AB1082" s="70">
        <f>IF($A1082="","",N(S1082)*'Paramètres'!$AA$9*IFERROR(INDEX('Paramètres'!$O$5:$O$7,MATCH(G1082,'Paramètres'!$N$5:$N$7,0)),0))</f>
        <v/>
      </c>
      <c r="AC1082" s="7" t="inlineStr">
        <is>
          <t>Clôturé</t>
        </is>
      </c>
      <c r="AD1082" s="69">
        <f>IF(OR($A1082="",Q1082=""),"",(Q1082-B1082)*24)</f>
        <v/>
      </c>
      <c r="AE1082" s="69">
        <f>IF(OR(Q1082="",R1082=""),"",(R1082-Q1082)*24)</f>
        <v/>
      </c>
      <c r="AF1082" s="77">
        <f>IF(OR($A1082="",B1082=""),"",YEAR(B1082))</f>
        <v/>
      </c>
      <c r="AG1082" s="77">
        <f>IF(OR($A1082="",B1082=""),"",MONTH(B1082))</f>
        <v/>
      </c>
    </row>
    <row r="1083">
      <c r="A1083" s="7" t="inlineStr">
        <is>
          <t>OT-2026-0228</t>
        </is>
      </c>
      <c r="B1083" s="75" t="n">
        <v>46130.84722222222</v>
      </c>
      <c r="C1083" s="7" t="inlineStr">
        <is>
          <t>Opérateur soudure</t>
        </is>
      </c>
      <c r="D1083" s="7" t="inlineStr">
        <is>
          <t>EQ-SOU-001</t>
        </is>
      </c>
      <c r="E1083" s="9">
        <f>IF(D1083="","",IFERROR(INDEX('Équipements'!$B$5:$B$304,MATCH(D1083,'Équipements'!$A$5:$A$304,0)),"Code inconnu"))</f>
        <v/>
      </c>
      <c r="F1083" s="9">
        <f>IF(D1083="","",IFERROR(INDEX('Équipements'!$D$5:$D$304,MATCH(D1083,'Équipements'!$A$5:$A$304,0)),""))</f>
        <v/>
      </c>
      <c r="G1083" s="9">
        <f>IF(D1083="","",IFERROR(INDEX('Équipements'!$K$5:$K$304,MATCH(D1083,'Équipements'!$A$5:$A$304,0)),""))</f>
        <v/>
      </c>
      <c r="H1083" s="7" t="inlineStr">
        <is>
          <t>Correctif</t>
        </is>
      </c>
      <c r="I1083" s="7" t="n"/>
      <c r="J1083" s="7" t="inlineStr">
        <is>
          <t>Automatisme</t>
        </is>
      </c>
      <c r="K1083" s="7" t="inlineStr">
        <is>
          <t>P1 - Urgent</t>
        </is>
      </c>
      <c r="L1083" s="7" t="inlineStr">
        <is>
          <t>Perte de communication automate / robot</t>
        </is>
      </c>
      <c r="M1083" s="7" t="inlineStr">
        <is>
          <t>Défaut logiciel/automate</t>
        </is>
      </c>
      <c r="N1083" s="7" t="inlineStr">
        <is>
          <t>Remplacement câble réseau, redémarrage, sauvegarde</t>
        </is>
      </c>
      <c r="O1083" s="7" t="inlineStr">
        <is>
          <t>Julien Moreau</t>
        </is>
      </c>
      <c r="P1083" s="65" t="n"/>
      <c r="Q1083" s="75" t="n">
        <v>46130.88680555556</v>
      </c>
      <c r="R1083" s="75" t="n">
        <v>46131.07430555556</v>
      </c>
      <c r="S1083" s="76" t="n">
        <v>5.5</v>
      </c>
      <c r="T1083" s="76" t="n">
        <v>4.5</v>
      </c>
      <c r="U1083" s="70">
        <f>IF($A1083="","",IFERROR(INDEX('Techniciens'!$F$5:$F$44,MATCH(O1083,'Techniciens'!$B$5:$B$44,0)),'Paramètres'!$AA$10))</f>
        <v/>
      </c>
      <c r="V1083" s="70">
        <f>IF($A1083="","",IF(OR(AC1083="Demandé",AC1083="Planifié",AC1083="Annulé"),0,N(T1083)*N(U1083)))</f>
        <v/>
      </c>
      <c r="W1083" s="70">
        <f>IF($A1083="","",SUMIFS('Mouvements stock'!$H$5:$H$3004,'Mouvements stock'!$I$5:$I$3004,$A1083,'Mouvements stock'!$C$5:$C$3004,"Sortie")-SUMIFS('Mouvements stock'!$H$5:$H$3004,'Mouvements stock'!$I$5:$I$3004,$A1083,'Mouvements stock'!$C$5:$C$3004,"Retour"))</f>
        <v/>
      </c>
      <c r="X1083" s="66" t="n">
        <v>0</v>
      </c>
      <c r="Y1083" s="66" t="n">
        <v>0</v>
      </c>
      <c r="Z1083" s="7" t="n"/>
      <c r="AA1083" s="70">
        <f>IF($A1083="","",N(V1083)+N(W1083)+N(X1083)+N(Y1083))</f>
        <v/>
      </c>
      <c r="AB1083" s="70">
        <f>IF($A1083="","",N(S1083)*'Paramètres'!$AA$9*IFERROR(INDEX('Paramètres'!$O$5:$O$7,MATCH(G1083,'Paramètres'!$N$5:$N$7,0)),0))</f>
        <v/>
      </c>
      <c r="AC1083" s="7" t="inlineStr">
        <is>
          <t>Clôturé</t>
        </is>
      </c>
      <c r="AD1083" s="69">
        <f>IF(OR($A1083="",Q1083=""),"",(Q1083-B1083)*24)</f>
        <v/>
      </c>
      <c r="AE1083" s="69">
        <f>IF(OR(Q1083="",R1083=""),"",(R1083-Q1083)*24)</f>
        <v/>
      </c>
      <c r="AF1083" s="77">
        <f>IF(OR($A1083="",B1083=""),"",YEAR(B1083))</f>
        <v/>
      </c>
      <c r="AG1083" s="77">
        <f>IF(OR($A1083="",B1083=""),"",MONTH(B1083))</f>
        <v/>
      </c>
    </row>
    <row r="1084">
      <c r="A1084" s="7" t="inlineStr">
        <is>
          <t>OT-2026-0229</t>
        </is>
      </c>
      <c r="B1084" s="75" t="n">
        <v>46132.41666666666</v>
      </c>
      <c r="C1084" s="7" t="inlineStr">
        <is>
          <t>Plan préventif</t>
        </is>
      </c>
      <c r="D1084" s="7" t="inlineStr">
        <is>
          <t>EQ-UTI-003</t>
        </is>
      </c>
      <c r="E1084" s="9">
        <f>IF(D1084="","",IFERROR(INDEX('Équipements'!$B$5:$B$304,MATCH(D1084,'Équipements'!$A$5:$A$304,0)),"Code inconnu"))</f>
        <v/>
      </c>
      <c r="F1084" s="9">
        <f>IF(D1084="","",IFERROR(INDEX('Équipements'!$D$5:$D$304,MATCH(D1084,'Équipements'!$A$5:$A$304,0)),""))</f>
        <v/>
      </c>
      <c r="G1084" s="9">
        <f>IF(D1084="","",IFERROR(INDEX('Équipements'!$K$5:$K$304,MATCH(D1084,'Équipements'!$A$5:$A$304,0)),""))</f>
        <v/>
      </c>
      <c r="H1084" s="7" t="inlineStr">
        <is>
          <t>Préventif systématique</t>
        </is>
      </c>
      <c r="I1084" s="7" t="inlineStr">
        <is>
          <t>GP-092</t>
        </is>
      </c>
      <c r="J1084" s="7" t="inlineStr">
        <is>
          <t>Pneumatique</t>
        </is>
      </c>
      <c r="K1084" s="7" t="inlineStr">
        <is>
          <t>P3 - Normale</t>
        </is>
      </c>
      <c r="L1084" s="7" t="inlineStr">
        <is>
          <t>Purge, contrôle fuites et point de rosée</t>
        </is>
      </c>
      <c r="M1084" s="7" t="n"/>
      <c r="N1084" s="7" t="inlineStr">
        <is>
          <t>Gamme réalisée - RAS</t>
        </is>
      </c>
      <c r="O1084" s="7" t="inlineStr">
        <is>
          <t>Julien Moreau</t>
        </is>
      </c>
      <c r="P1084" s="65" t="n">
        <v>46139.375</v>
      </c>
      <c r="Q1084" s="75" t="n">
        <v>46139.48958333334</v>
      </c>
      <c r="R1084" s="75" t="n">
        <v>46139.55208333334</v>
      </c>
      <c r="S1084" s="76" t="n">
        <v>0</v>
      </c>
      <c r="T1084" s="76" t="n">
        <v>1.5</v>
      </c>
      <c r="U1084" s="70">
        <f>IF($A1084="","",IFERROR(INDEX('Techniciens'!$F$5:$F$44,MATCH(O1084,'Techniciens'!$B$5:$B$44,0)),'Paramètres'!$AA$10))</f>
        <v/>
      </c>
      <c r="V1084" s="70">
        <f>IF($A1084="","",IF(OR(AC1084="Demandé",AC1084="Planifié",AC1084="Annulé"),0,N(T1084)*N(U1084)))</f>
        <v/>
      </c>
      <c r="W1084" s="70">
        <f>IF($A1084="","",SUMIFS('Mouvements stock'!$H$5:$H$3004,'Mouvements stock'!$I$5:$I$3004,$A1084,'Mouvements stock'!$C$5:$C$3004,"Sortie")-SUMIFS('Mouvements stock'!$H$5:$H$3004,'Mouvements stock'!$I$5:$I$3004,$A1084,'Mouvements stock'!$C$5:$C$3004,"Retour"))</f>
        <v/>
      </c>
      <c r="X1084" s="66" t="n">
        <v>0</v>
      </c>
      <c r="Y1084" s="66" t="n">
        <v>0</v>
      </c>
      <c r="Z1084" s="7" t="n"/>
      <c r="AA1084" s="70">
        <f>IF($A1084="","",N(V1084)+N(W1084)+N(X1084)+N(Y1084))</f>
        <v/>
      </c>
      <c r="AB1084" s="70">
        <f>IF($A1084="","",N(S1084)*'Paramètres'!$AA$9*IFERROR(INDEX('Paramètres'!$O$5:$O$7,MATCH(G1084,'Paramètres'!$N$5:$N$7,0)),0))</f>
        <v/>
      </c>
      <c r="AC1084" s="7" t="inlineStr">
        <is>
          <t>Clôturé</t>
        </is>
      </c>
      <c r="AD1084" s="69">
        <f>IF(OR($A1084="",Q1084=""),"",(Q1084-B1084)*24)</f>
        <v/>
      </c>
      <c r="AE1084" s="69">
        <f>IF(OR(Q1084="",R1084=""),"",(R1084-Q1084)*24)</f>
        <v/>
      </c>
      <c r="AF1084" s="77">
        <f>IF(OR($A1084="",B1084=""),"",YEAR(B1084))</f>
        <v/>
      </c>
      <c r="AG1084" s="77">
        <f>IF(OR($A1084="",B1084=""),"",MONTH(B1084))</f>
        <v/>
      </c>
    </row>
    <row r="1085">
      <c r="A1085" s="7" t="inlineStr">
        <is>
          <t>OT-2026-0230</t>
        </is>
      </c>
      <c r="B1085" s="75" t="n">
        <v>46132.45069444444</v>
      </c>
      <c r="C1085" s="7" t="inlineStr">
        <is>
          <t>Opérateur peinture</t>
        </is>
      </c>
      <c r="D1085" s="7" t="inlineStr">
        <is>
          <t>EQ-PEI-003</t>
        </is>
      </c>
      <c r="E1085" s="9">
        <f>IF(D1085="","",IFERROR(INDEX('Équipements'!$B$5:$B$304,MATCH(D1085,'Équipements'!$A$5:$A$304,0)),"Code inconnu"))</f>
        <v/>
      </c>
      <c r="F1085" s="9">
        <f>IF(D1085="","",IFERROR(INDEX('Équipements'!$D$5:$D$304,MATCH(D1085,'Équipements'!$A$5:$A$304,0)),""))</f>
        <v/>
      </c>
      <c r="G1085" s="9">
        <f>IF(D1085="","",IFERROR(INDEX('Équipements'!$K$5:$K$304,MATCH(D1085,'Équipements'!$A$5:$A$304,0)),""))</f>
        <v/>
      </c>
      <c r="H1085" s="7" t="inlineStr">
        <is>
          <t>Correctif</t>
        </is>
      </c>
      <c r="I1085" s="7" t="n"/>
      <c r="J1085" s="7" t="inlineStr">
        <is>
          <t>Pneumatique</t>
        </is>
      </c>
      <c r="K1085" s="7" t="inlineStr">
        <is>
          <t>P1 - Urgent</t>
        </is>
      </c>
      <c r="L1085" s="7" t="inlineStr">
        <is>
          <t>Pistolet poudre : débit irrégulier</t>
        </is>
      </c>
      <c r="M1085" s="7" t="inlineStr">
        <is>
          <t>Usure</t>
        </is>
      </c>
      <c r="N1085" s="7" t="inlineStr">
        <is>
          <t>Remplacement injecteur et buse</t>
        </is>
      </c>
      <c r="O1085" s="7" t="inlineStr">
        <is>
          <t>Lucas Fontaine</t>
        </is>
      </c>
      <c r="P1085" s="65" t="n"/>
      <c r="Q1085" s="75" t="n">
        <v>46132.48055555556</v>
      </c>
      <c r="R1085" s="75" t="n">
        <v>46132.88680555556</v>
      </c>
      <c r="S1085" s="76" t="n">
        <v>10.5</v>
      </c>
      <c r="T1085" s="76" t="n">
        <v>9.75</v>
      </c>
      <c r="U1085" s="70">
        <f>IF($A1085="","",IFERROR(INDEX('Techniciens'!$F$5:$F$44,MATCH(O1085,'Techniciens'!$B$5:$B$44,0)),'Paramètres'!$AA$10))</f>
        <v/>
      </c>
      <c r="V1085" s="70">
        <f>IF($A1085="","",IF(OR(AC1085="Demandé",AC1085="Planifié",AC1085="Annulé"),0,N(T1085)*N(U1085)))</f>
        <v/>
      </c>
      <c r="W1085" s="70">
        <f>IF($A1085="","",SUMIFS('Mouvements stock'!$H$5:$H$3004,'Mouvements stock'!$I$5:$I$3004,$A1085,'Mouvements stock'!$C$5:$C$3004,"Sortie")-SUMIFS('Mouvements stock'!$H$5:$H$3004,'Mouvements stock'!$I$5:$I$3004,$A1085,'Mouvements stock'!$C$5:$C$3004,"Retour"))</f>
        <v/>
      </c>
      <c r="X1085" s="66" t="n">
        <v>652</v>
      </c>
      <c r="Y1085" s="66" t="n">
        <v>0</v>
      </c>
      <c r="Z1085" s="7" t="n"/>
      <c r="AA1085" s="70">
        <f>IF($A1085="","",N(V1085)+N(W1085)+N(X1085)+N(Y1085))</f>
        <v/>
      </c>
      <c r="AB1085" s="70">
        <f>IF($A1085="","",N(S1085)*'Paramètres'!$AA$9*IFERROR(INDEX('Paramètres'!$O$5:$O$7,MATCH(G1085,'Paramètres'!$N$5:$N$7,0)),0))</f>
        <v/>
      </c>
      <c r="AC1085" s="7" t="inlineStr">
        <is>
          <t>Clôturé</t>
        </is>
      </c>
      <c r="AD1085" s="69">
        <f>IF(OR($A1085="",Q1085=""),"",(Q1085-B1085)*24)</f>
        <v/>
      </c>
      <c r="AE1085" s="69">
        <f>IF(OR(Q1085="",R1085=""),"",(R1085-Q1085)*24)</f>
        <v/>
      </c>
      <c r="AF1085" s="77">
        <f>IF(OR($A1085="",B1085=""),"",YEAR(B1085))</f>
        <v/>
      </c>
      <c r="AG1085" s="77">
        <f>IF(OR($A1085="",B1085=""),"",MONTH(B1085))</f>
        <v/>
      </c>
    </row>
    <row r="1086">
      <c r="A1086" s="7" t="inlineStr">
        <is>
          <t>OT-2026-0231</t>
        </is>
      </c>
      <c r="B1086" s="75" t="n">
        <v>46132.47222222222</v>
      </c>
      <c r="C1086" s="7" t="inlineStr">
        <is>
          <t>Plan préventif</t>
        </is>
      </c>
      <c r="D1086" s="7" t="inlineStr">
        <is>
          <t>EQ-TOL-007</t>
        </is>
      </c>
      <c r="E1086" s="9">
        <f>IF(D1086="","",IFERROR(INDEX('Équipements'!$B$5:$B$304,MATCH(D1086,'Équipements'!$A$5:$A$304,0)),"Code inconnu"))</f>
        <v/>
      </c>
      <c r="F1086" s="9">
        <f>IF(D1086="","",IFERROR(INDEX('Équipements'!$D$5:$D$304,MATCH(D1086,'Équipements'!$A$5:$A$304,0)),""))</f>
        <v/>
      </c>
      <c r="G1086" s="9">
        <f>IF(D1086="","",IFERROR(INDEX('Équipements'!$K$5:$K$304,MATCH(D1086,'Équipements'!$A$5:$A$304,0)),""))</f>
        <v/>
      </c>
      <c r="H1086" s="7" t="inlineStr">
        <is>
          <t>Préventif systématique</t>
        </is>
      </c>
      <c r="I1086" s="7" t="inlineStr">
        <is>
          <t>GP-057</t>
        </is>
      </c>
      <c r="J1086" s="7" t="inlineStr">
        <is>
          <t>Mécanique</t>
        </is>
      </c>
      <c r="K1086" s="7" t="inlineStr">
        <is>
          <t>P3 - Normale</t>
        </is>
      </c>
      <c r="L1086" s="7" t="inlineStr">
        <is>
          <t>Contrôle motoréducteurs et usure</t>
        </is>
      </c>
      <c r="M1086" s="7" t="n"/>
      <c r="N1086" s="7" t="inlineStr">
        <is>
          <t>Gamme réalisée - RAS</t>
        </is>
      </c>
      <c r="O1086" s="7" t="inlineStr">
        <is>
          <t>Karim Benali</t>
        </is>
      </c>
      <c r="P1086" s="65" t="n">
        <v>46139.44097222222</v>
      </c>
      <c r="Q1086" s="75" t="n">
        <v>46139.39583333334</v>
      </c>
      <c r="R1086" s="75" t="n">
        <v>46139.61458333334</v>
      </c>
      <c r="S1086" s="76" t="n">
        <v>2.6</v>
      </c>
      <c r="T1086" s="76" t="n">
        <v>5.25</v>
      </c>
      <c r="U1086" s="70">
        <f>IF($A1086="","",IFERROR(INDEX('Techniciens'!$F$5:$F$44,MATCH(O1086,'Techniciens'!$B$5:$B$44,0)),'Paramètres'!$AA$10))</f>
        <v/>
      </c>
      <c r="V1086" s="70">
        <f>IF($A1086="","",IF(OR(AC1086="Demandé",AC1086="Planifié",AC1086="Annulé"),0,N(T1086)*N(U1086)))</f>
        <v/>
      </c>
      <c r="W1086" s="70">
        <f>IF($A1086="","",SUMIFS('Mouvements stock'!$H$5:$H$3004,'Mouvements stock'!$I$5:$I$3004,$A1086,'Mouvements stock'!$C$5:$C$3004,"Sortie")-SUMIFS('Mouvements stock'!$H$5:$H$3004,'Mouvements stock'!$I$5:$I$3004,$A1086,'Mouvements stock'!$C$5:$C$3004,"Retour"))</f>
        <v/>
      </c>
      <c r="X1086" s="66" t="n">
        <v>0</v>
      </c>
      <c r="Y1086" s="66" t="n">
        <v>0</v>
      </c>
      <c r="Z1086" s="7" t="n"/>
      <c r="AA1086" s="70">
        <f>IF($A1086="","",N(V1086)+N(W1086)+N(X1086)+N(Y1086))</f>
        <v/>
      </c>
      <c r="AB1086" s="70">
        <f>IF($A1086="","",N(S1086)*'Paramètres'!$AA$9*IFERROR(INDEX('Paramètres'!$O$5:$O$7,MATCH(G1086,'Paramètres'!$N$5:$N$7,0)),0))</f>
        <v/>
      </c>
      <c r="AC1086" s="7" t="inlineStr">
        <is>
          <t>Clôturé</t>
        </is>
      </c>
      <c r="AD1086" s="69">
        <f>IF(OR($A1086="",Q1086=""),"",(Q1086-B1086)*24)</f>
        <v/>
      </c>
      <c r="AE1086" s="69">
        <f>IF(OR(Q1086="",R1086=""),"",(R1086-Q1086)*24)</f>
        <v/>
      </c>
      <c r="AF1086" s="77">
        <f>IF(OR($A1086="",B1086=""),"",YEAR(B1086))</f>
        <v/>
      </c>
      <c r="AG1086" s="77">
        <f>IF(OR($A1086="",B1086=""),"",MONTH(B1086))</f>
        <v/>
      </c>
    </row>
    <row r="1087">
      <c r="A1087" s="7" t="inlineStr">
        <is>
          <t>OT-2026-0232</t>
        </is>
      </c>
      <c r="B1087" s="75" t="n">
        <v>46132.48958333334</v>
      </c>
      <c r="C1087" s="7" t="inlineStr">
        <is>
          <t>Plan préventif</t>
        </is>
      </c>
      <c r="D1087" s="7" t="inlineStr">
        <is>
          <t>EQ-UTI-001</t>
        </is>
      </c>
      <c r="E1087" s="9">
        <f>IF(D1087="","",IFERROR(INDEX('Équipements'!$B$5:$B$304,MATCH(D1087,'Équipements'!$A$5:$A$304,0)),"Code inconnu"))</f>
        <v/>
      </c>
      <c r="F1087" s="9">
        <f>IF(D1087="","",IFERROR(INDEX('Équipements'!$D$5:$D$304,MATCH(D1087,'Équipements'!$A$5:$A$304,0)),""))</f>
        <v/>
      </c>
      <c r="G1087" s="9">
        <f>IF(D1087="","",IFERROR(INDEX('Équipements'!$K$5:$K$304,MATCH(D1087,'Équipements'!$A$5:$A$304,0)),""))</f>
        <v/>
      </c>
      <c r="H1087" s="7" t="inlineStr">
        <is>
          <t>Préventif conditionnel</t>
        </is>
      </c>
      <c r="I1087" s="7" t="inlineStr">
        <is>
          <t>GP-087</t>
        </is>
      </c>
      <c r="J1087" s="7" t="inlineStr">
        <is>
          <t>Mécanique</t>
        </is>
      </c>
      <c r="K1087" s="7" t="inlineStr">
        <is>
          <t>P3 - Normale</t>
        </is>
      </c>
      <c r="L1087" s="7" t="inlineStr">
        <is>
          <t>Entretien 2000 h : filtres air/huile, séparateur</t>
        </is>
      </c>
      <c r="M1087" s="7" t="n"/>
      <c r="N1087" s="7" t="inlineStr">
        <is>
          <t>Gamme réalisée - RAS</t>
        </is>
      </c>
      <c r="O1087" s="7" t="inlineStr">
        <is>
          <t>Lucas Fontaine</t>
        </is>
      </c>
      <c r="P1087" s="65" t="n">
        <v>46139.62152777778</v>
      </c>
      <c r="Q1087" s="75" t="n">
        <v>46139.47916666666</v>
      </c>
      <c r="R1087" s="75" t="n">
        <v>46139.63541666666</v>
      </c>
      <c r="S1087" s="76" t="n">
        <v>0</v>
      </c>
      <c r="T1087" s="76" t="n">
        <v>3.75</v>
      </c>
      <c r="U1087" s="70">
        <f>IF($A1087="","",IFERROR(INDEX('Techniciens'!$F$5:$F$44,MATCH(O1087,'Techniciens'!$B$5:$B$44,0)),'Paramètres'!$AA$10))</f>
        <v/>
      </c>
      <c r="V1087" s="70">
        <f>IF($A1087="","",IF(OR(AC1087="Demandé",AC1087="Planifié",AC1087="Annulé"),0,N(T1087)*N(U1087)))</f>
        <v/>
      </c>
      <c r="W1087" s="70">
        <f>IF($A1087="","",SUMIFS('Mouvements stock'!$H$5:$H$3004,'Mouvements stock'!$I$5:$I$3004,$A1087,'Mouvements stock'!$C$5:$C$3004,"Sortie")-SUMIFS('Mouvements stock'!$H$5:$H$3004,'Mouvements stock'!$I$5:$I$3004,$A1087,'Mouvements stock'!$C$5:$C$3004,"Retour"))</f>
        <v/>
      </c>
      <c r="X1087" s="66" t="n">
        <v>0</v>
      </c>
      <c r="Y1087" s="66" t="n">
        <v>0</v>
      </c>
      <c r="Z1087" s="7" t="n"/>
      <c r="AA1087" s="70">
        <f>IF($A1087="","",N(V1087)+N(W1087)+N(X1087)+N(Y1087))</f>
        <v/>
      </c>
      <c r="AB1087" s="70">
        <f>IF($A1087="","",N(S1087)*'Paramètres'!$AA$9*IFERROR(INDEX('Paramètres'!$O$5:$O$7,MATCH(G1087,'Paramètres'!$N$5:$N$7,0)),0))</f>
        <v/>
      </c>
      <c r="AC1087" s="7" t="inlineStr">
        <is>
          <t>Clôturé</t>
        </is>
      </c>
      <c r="AD1087" s="69">
        <f>IF(OR($A1087="",Q1087=""),"",(Q1087-B1087)*24)</f>
        <v/>
      </c>
      <c r="AE1087" s="69">
        <f>IF(OR(Q1087="",R1087=""),"",(R1087-Q1087)*24)</f>
        <v/>
      </c>
      <c r="AF1087" s="77">
        <f>IF(OR($A1087="",B1087=""),"",YEAR(B1087))</f>
        <v/>
      </c>
      <c r="AG1087" s="77">
        <f>IF(OR($A1087="",B1087=""),"",MONTH(B1087))</f>
        <v/>
      </c>
    </row>
    <row r="1088">
      <c r="A1088" s="7" t="inlineStr">
        <is>
          <t>OT-2026-0233</t>
        </is>
      </c>
      <c r="B1088" s="75" t="n">
        <v>46133.25555555556</v>
      </c>
      <c r="C1088" s="7" t="inlineStr">
        <is>
          <t>Ronde maintenance</t>
        </is>
      </c>
      <c r="D1088" s="7" t="inlineStr">
        <is>
          <t>EQ-UTI-005</t>
        </is>
      </c>
      <c r="E1088" s="9">
        <f>IF(D1088="","",IFERROR(INDEX('Équipements'!$B$5:$B$304,MATCH(D1088,'Équipements'!$A$5:$A$304,0)),"Code inconnu"))</f>
        <v/>
      </c>
      <c r="F1088" s="9">
        <f>IF(D1088="","",IFERROR(INDEX('Équipements'!$D$5:$D$304,MATCH(D1088,'Équipements'!$A$5:$A$304,0)),""))</f>
        <v/>
      </c>
      <c r="G1088" s="9">
        <f>IF(D1088="","",IFERROR(INDEX('Équipements'!$K$5:$K$304,MATCH(D1088,'Équipements'!$A$5:$A$304,0)),""))</f>
        <v/>
      </c>
      <c r="H1088" s="7" t="inlineStr">
        <is>
          <t>Correctif</t>
        </is>
      </c>
      <c r="I1088" s="7" t="n"/>
      <c r="J1088" s="7" t="inlineStr">
        <is>
          <t>Mécanique</t>
        </is>
      </c>
      <c r="K1088" s="7" t="inlineStr">
        <is>
          <t>P4 - Basse</t>
        </is>
      </c>
      <c r="L1088" s="7" t="inlineStr">
        <is>
          <t>Groupe en défaut haute pression</t>
        </is>
      </c>
      <c r="M1088" s="7" t="inlineStr">
        <is>
          <t>Encrassement</t>
        </is>
      </c>
      <c r="N1088" s="7" t="inlineStr">
        <is>
          <t>Nettoyage condenseur, contrôle charge fluide</t>
        </is>
      </c>
      <c r="O1088" s="7" t="inlineStr">
        <is>
          <t>Antoine Mercier</t>
        </is>
      </c>
      <c r="P1088" s="65" t="n"/>
      <c r="Q1088" s="75" t="n">
        <v>46136.14375</v>
      </c>
      <c r="R1088" s="75" t="n">
        <v>46136.25833333333</v>
      </c>
      <c r="S1088" s="76" t="n">
        <v>0</v>
      </c>
      <c r="T1088" s="76" t="n">
        <v>2.75</v>
      </c>
      <c r="U1088" s="70">
        <f>IF($A1088="","",IFERROR(INDEX('Techniciens'!$F$5:$F$44,MATCH(O1088,'Techniciens'!$B$5:$B$44,0)),'Paramètres'!$AA$10))</f>
        <v/>
      </c>
      <c r="V1088" s="70">
        <f>IF($A1088="","",IF(OR(AC1088="Demandé",AC1088="Planifié",AC1088="Annulé"),0,N(T1088)*N(U1088)))</f>
        <v/>
      </c>
      <c r="W1088" s="70">
        <f>IF($A1088="","",SUMIFS('Mouvements stock'!$H$5:$H$3004,'Mouvements stock'!$I$5:$I$3004,$A1088,'Mouvements stock'!$C$5:$C$3004,"Sortie")-SUMIFS('Mouvements stock'!$H$5:$H$3004,'Mouvements stock'!$I$5:$I$3004,$A1088,'Mouvements stock'!$C$5:$C$3004,"Retour"))</f>
        <v/>
      </c>
      <c r="X1088" s="66" t="n">
        <v>0</v>
      </c>
      <c r="Y1088" s="66" t="n">
        <v>850</v>
      </c>
      <c r="Z1088" s="7" t="inlineStr">
        <is>
          <t>Thermique &amp; Clim Services</t>
        </is>
      </c>
      <c r="AA1088" s="70">
        <f>IF($A1088="","",N(V1088)+N(W1088)+N(X1088)+N(Y1088))</f>
        <v/>
      </c>
      <c r="AB1088" s="70">
        <f>IF($A1088="","",N(S1088)*'Paramètres'!$AA$9*IFERROR(INDEX('Paramètres'!$O$5:$O$7,MATCH(G1088,'Paramètres'!$N$5:$N$7,0)),0))</f>
        <v/>
      </c>
      <c r="AC1088" s="7" t="inlineStr">
        <is>
          <t>Clôturé</t>
        </is>
      </c>
      <c r="AD1088" s="69">
        <f>IF(OR($A1088="",Q1088=""),"",(Q1088-B1088)*24)</f>
        <v/>
      </c>
      <c r="AE1088" s="69">
        <f>IF(OR(Q1088="",R1088=""),"",(R1088-Q1088)*24)</f>
        <v/>
      </c>
      <c r="AF1088" s="77">
        <f>IF(OR($A1088="",B1088=""),"",YEAR(B1088))</f>
        <v/>
      </c>
      <c r="AG1088" s="77">
        <f>IF(OR($A1088="",B1088=""),"",MONTH(B1088))</f>
        <v/>
      </c>
    </row>
    <row r="1089">
      <c r="A1089" s="7" t="inlineStr">
        <is>
          <t>OT-2026-0234</t>
        </is>
      </c>
      <c r="B1089" s="75" t="n">
        <v>46133.34722222222</v>
      </c>
      <c r="C1089" s="7" t="inlineStr">
        <is>
          <t>Plan préventif</t>
        </is>
      </c>
      <c r="D1089" s="7" t="inlineStr">
        <is>
          <t>EQ-PEI-004</t>
        </is>
      </c>
      <c r="E1089" s="9">
        <f>IF(D1089="","",IFERROR(INDEX('Équipements'!$B$5:$B$304,MATCH(D1089,'Équipements'!$A$5:$A$304,0)),"Code inconnu"))</f>
        <v/>
      </c>
      <c r="F1089" s="9">
        <f>IF(D1089="","",IFERROR(INDEX('Équipements'!$D$5:$D$304,MATCH(D1089,'Équipements'!$A$5:$A$304,0)),""))</f>
        <v/>
      </c>
      <c r="G1089" s="9">
        <f>IF(D1089="","",IFERROR(INDEX('Équipements'!$K$5:$K$304,MATCH(D1089,'Équipements'!$A$5:$A$304,0)),""))</f>
        <v/>
      </c>
      <c r="H1089" s="7" t="inlineStr">
        <is>
          <t>Préventif systématique</t>
        </is>
      </c>
      <c r="I1089" s="7" t="inlineStr">
        <is>
          <t>GP-072</t>
        </is>
      </c>
      <c r="J1089" s="7" t="inlineStr">
        <is>
          <t>Mécanique</t>
        </is>
      </c>
      <c r="K1089" s="7" t="inlineStr">
        <is>
          <t>P3 - Normale</t>
        </is>
      </c>
      <c r="L1089" s="7" t="inlineStr">
        <is>
          <t>Graissage chaîne / galets et contrôle tension</t>
        </is>
      </c>
      <c r="M1089" s="7" t="n"/>
      <c r="N1089" s="7" t="inlineStr">
        <is>
          <t>Gamme réalisée - RAS</t>
        </is>
      </c>
      <c r="O1089" s="7" t="inlineStr">
        <is>
          <t>Karim Benali</t>
        </is>
      </c>
      <c r="P1089" s="65" t="n">
        <v>46140.63541666666</v>
      </c>
      <c r="Q1089" s="75" t="n">
        <v>46140.5625</v>
      </c>
      <c r="R1089" s="75" t="n">
        <v>46140.65625</v>
      </c>
      <c r="S1089" s="76" t="n">
        <v>1.1</v>
      </c>
      <c r="T1089" s="76" t="n">
        <v>2.25</v>
      </c>
      <c r="U1089" s="70">
        <f>IF($A1089="","",IFERROR(INDEX('Techniciens'!$F$5:$F$44,MATCH(O1089,'Techniciens'!$B$5:$B$44,0)),'Paramètres'!$AA$10))</f>
        <v/>
      </c>
      <c r="V1089" s="70">
        <f>IF($A1089="","",IF(OR(AC1089="Demandé",AC1089="Planifié",AC1089="Annulé"),0,N(T1089)*N(U1089)))</f>
        <v/>
      </c>
      <c r="W1089" s="70">
        <f>IF($A1089="","",SUMIFS('Mouvements stock'!$H$5:$H$3004,'Mouvements stock'!$I$5:$I$3004,$A1089,'Mouvements stock'!$C$5:$C$3004,"Sortie")-SUMIFS('Mouvements stock'!$H$5:$H$3004,'Mouvements stock'!$I$5:$I$3004,$A1089,'Mouvements stock'!$C$5:$C$3004,"Retour"))</f>
        <v/>
      </c>
      <c r="X1089" s="66" t="n">
        <v>0</v>
      </c>
      <c r="Y1089" s="66" t="n">
        <v>0</v>
      </c>
      <c r="Z1089" s="7" t="n"/>
      <c r="AA1089" s="70">
        <f>IF($A1089="","",N(V1089)+N(W1089)+N(X1089)+N(Y1089))</f>
        <v/>
      </c>
      <c r="AB1089" s="70">
        <f>IF($A1089="","",N(S1089)*'Paramètres'!$AA$9*IFERROR(INDEX('Paramètres'!$O$5:$O$7,MATCH(G1089,'Paramètres'!$N$5:$N$7,0)),0))</f>
        <v/>
      </c>
      <c r="AC1089" s="7" t="inlineStr">
        <is>
          <t>Clôturé</t>
        </is>
      </c>
      <c r="AD1089" s="69">
        <f>IF(OR($A1089="",Q1089=""),"",(Q1089-B1089)*24)</f>
        <v/>
      </c>
      <c r="AE1089" s="69">
        <f>IF(OR(Q1089="",R1089=""),"",(R1089-Q1089)*24)</f>
        <v/>
      </c>
      <c r="AF1089" s="77">
        <f>IF(OR($A1089="",B1089=""),"",YEAR(B1089))</f>
        <v/>
      </c>
      <c r="AG1089" s="77">
        <f>IF(OR($A1089="",B1089=""),"",MONTH(B1089))</f>
        <v/>
      </c>
    </row>
    <row r="1090">
      <c r="A1090" s="7" t="inlineStr">
        <is>
          <t>OT-2026-0235</t>
        </is>
      </c>
      <c r="B1090" s="75" t="n">
        <v>46133.43055555555</v>
      </c>
      <c r="C1090" s="7" t="inlineStr">
        <is>
          <t>Plan préventif</t>
        </is>
      </c>
      <c r="D1090" s="7" t="inlineStr">
        <is>
          <t>EQ-USI-006</t>
        </is>
      </c>
      <c r="E1090" s="9">
        <f>IF(D1090="","",IFERROR(INDEX('Équipements'!$B$5:$B$304,MATCH(D1090,'Équipements'!$A$5:$A$304,0)),"Code inconnu"))</f>
        <v/>
      </c>
      <c r="F1090" s="9">
        <f>IF(D1090="","",IFERROR(INDEX('Équipements'!$D$5:$D$304,MATCH(D1090,'Équipements'!$A$5:$A$304,0)),""))</f>
        <v/>
      </c>
      <c r="G1090" s="9">
        <f>IF(D1090="","",IFERROR(INDEX('Équipements'!$K$5:$K$304,MATCH(D1090,'Équipements'!$A$5:$A$304,0)),""))</f>
        <v/>
      </c>
      <c r="H1090" s="7" t="inlineStr">
        <is>
          <t>Préventif systématique</t>
        </is>
      </c>
      <c r="I1090" s="7" t="inlineStr">
        <is>
          <t>GP-024</t>
        </is>
      </c>
      <c r="J1090" s="7" t="inlineStr">
        <is>
          <t>Électrique</t>
        </is>
      </c>
      <c r="K1090" s="7" t="inlineStr">
        <is>
          <t>P3 - Normale</t>
        </is>
      </c>
      <c r="L1090" s="7" t="inlineStr">
        <is>
          <t>Contrôle armoire électrique (ventilation, serrages)</t>
        </is>
      </c>
      <c r="M1090" s="7" t="n"/>
      <c r="N1090" s="7" t="inlineStr">
        <is>
          <t>Gamme réalisée - RAS</t>
        </is>
      </c>
      <c r="O1090" s="7" t="inlineStr">
        <is>
          <t>Julien Moreau</t>
        </is>
      </c>
      <c r="P1090" s="65" t="n">
        <v>46140.71527777778</v>
      </c>
      <c r="Q1090" s="75" t="n">
        <v>46140.55555555555</v>
      </c>
      <c r="R1090" s="75" t="n">
        <v>46140.68055555555</v>
      </c>
      <c r="S1090" s="76" t="n">
        <v>0</v>
      </c>
      <c r="T1090" s="76" t="n">
        <v>3</v>
      </c>
      <c r="U1090" s="70">
        <f>IF($A1090="","",IFERROR(INDEX('Techniciens'!$F$5:$F$44,MATCH(O1090,'Techniciens'!$B$5:$B$44,0)),'Paramètres'!$AA$10))</f>
        <v/>
      </c>
      <c r="V1090" s="70">
        <f>IF($A1090="","",IF(OR(AC1090="Demandé",AC1090="Planifié",AC1090="Annulé"),0,N(T1090)*N(U1090)))</f>
        <v/>
      </c>
      <c r="W1090" s="70">
        <f>IF($A1090="","",SUMIFS('Mouvements stock'!$H$5:$H$3004,'Mouvements stock'!$I$5:$I$3004,$A1090,'Mouvements stock'!$C$5:$C$3004,"Sortie")-SUMIFS('Mouvements stock'!$H$5:$H$3004,'Mouvements stock'!$I$5:$I$3004,$A1090,'Mouvements stock'!$C$5:$C$3004,"Retour"))</f>
        <v/>
      </c>
      <c r="X1090" s="66" t="n">
        <v>0</v>
      </c>
      <c r="Y1090" s="66" t="n">
        <v>0</v>
      </c>
      <c r="Z1090" s="7" t="n"/>
      <c r="AA1090" s="70">
        <f>IF($A1090="","",N(V1090)+N(W1090)+N(X1090)+N(Y1090))</f>
        <v/>
      </c>
      <c r="AB1090" s="70">
        <f>IF($A1090="","",N(S1090)*'Paramètres'!$AA$9*IFERROR(INDEX('Paramètres'!$O$5:$O$7,MATCH(G1090,'Paramètres'!$N$5:$N$7,0)),0))</f>
        <v/>
      </c>
      <c r="AC1090" s="7" t="inlineStr">
        <is>
          <t>Clôturé</t>
        </is>
      </c>
      <c r="AD1090" s="69">
        <f>IF(OR($A1090="",Q1090=""),"",(Q1090-B1090)*24)</f>
        <v/>
      </c>
      <c r="AE1090" s="69">
        <f>IF(OR(Q1090="",R1090=""),"",(R1090-Q1090)*24)</f>
        <v/>
      </c>
      <c r="AF1090" s="77">
        <f>IF(OR($A1090="",B1090=""),"",YEAR(B1090))</f>
        <v/>
      </c>
      <c r="AG1090" s="77">
        <f>IF(OR($A1090="",B1090=""),"",MONTH(B1090))</f>
        <v/>
      </c>
    </row>
    <row r="1091">
      <c r="A1091" s="7" t="inlineStr">
        <is>
          <t>OT-2026-0236</t>
        </is>
      </c>
      <c r="B1091" s="75" t="n">
        <v>46134.67847222222</v>
      </c>
      <c r="C1091" s="7" t="inlineStr">
        <is>
          <t>Opérateur peinture</t>
        </is>
      </c>
      <c r="D1091" s="7" t="inlineStr">
        <is>
          <t>EQ-PEI-004</t>
        </is>
      </c>
      <c r="E1091" s="9">
        <f>IF(D1091="","",IFERROR(INDEX('Équipements'!$B$5:$B$304,MATCH(D1091,'Équipements'!$A$5:$A$304,0)),"Code inconnu"))</f>
        <v/>
      </c>
      <c r="F1091" s="9">
        <f>IF(D1091="","",IFERROR(INDEX('Équipements'!$D$5:$D$304,MATCH(D1091,'Équipements'!$A$5:$A$304,0)),""))</f>
        <v/>
      </c>
      <c r="G1091" s="9">
        <f>IF(D1091="","",IFERROR(INDEX('Équipements'!$K$5:$K$304,MATCH(D1091,'Équipements'!$A$5:$A$304,0)),""))</f>
        <v/>
      </c>
      <c r="H1091" s="7" t="inlineStr">
        <is>
          <t>Correctif</t>
        </is>
      </c>
      <c r="I1091" s="7" t="n"/>
      <c r="J1091" s="7" t="inlineStr">
        <is>
          <t>Électrique</t>
        </is>
      </c>
      <c r="K1091" s="7" t="inlineStr">
        <is>
          <t>P3 - Normale</t>
        </is>
      </c>
      <c r="L1091" s="7" t="inlineStr">
        <is>
          <t>Défaut variateur de vitesse</t>
        </is>
      </c>
      <c r="M1091" s="7" t="inlineStr">
        <is>
          <t>Défaut électrique</t>
        </is>
      </c>
      <c r="N1091" s="7" t="inlineStr">
        <is>
          <t>Remplacement variateur et paramétrage</t>
        </is>
      </c>
      <c r="O1091" s="7" t="inlineStr">
        <is>
          <t>Thomas Petit</t>
        </is>
      </c>
      <c r="P1091" s="65" t="n"/>
      <c r="Q1091" s="75" t="n">
        <v>46134.93611111111</v>
      </c>
      <c r="R1091" s="75" t="n">
        <v>46135.11319444444</v>
      </c>
      <c r="S1091" s="76" t="n">
        <v>0</v>
      </c>
      <c r="T1091" s="76" t="n">
        <v>4.25</v>
      </c>
      <c r="U1091" s="70">
        <f>IF($A1091="","",IFERROR(INDEX('Techniciens'!$F$5:$F$44,MATCH(O1091,'Techniciens'!$B$5:$B$44,0)),'Paramètres'!$AA$10))</f>
        <v/>
      </c>
      <c r="V1091" s="70">
        <f>IF($A1091="","",IF(OR(AC1091="Demandé",AC1091="Planifié",AC1091="Annulé"),0,N(T1091)*N(U1091)))</f>
        <v/>
      </c>
      <c r="W1091" s="70">
        <f>IF($A1091="","",SUMIFS('Mouvements stock'!$H$5:$H$3004,'Mouvements stock'!$I$5:$I$3004,$A1091,'Mouvements stock'!$C$5:$C$3004,"Sortie")-SUMIFS('Mouvements stock'!$H$5:$H$3004,'Mouvements stock'!$I$5:$I$3004,$A1091,'Mouvements stock'!$C$5:$C$3004,"Retour"))</f>
        <v/>
      </c>
      <c r="X1091" s="66" t="n">
        <v>892</v>
      </c>
      <c r="Y1091" s="66" t="n">
        <v>0</v>
      </c>
      <c r="Z1091" s="7" t="n"/>
      <c r="AA1091" s="70">
        <f>IF($A1091="","",N(V1091)+N(W1091)+N(X1091)+N(Y1091))</f>
        <v/>
      </c>
      <c r="AB1091" s="70">
        <f>IF($A1091="","",N(S1091)*'Paramètres'!$AA$9*IFERROR(INDEX('Paramètres'!$O$5:$O$7,MATCH(G1091,'Paramètres'!$N$5:$N$7,0)),0))</f>
        <v/>
      </c>
      <c r="AC1091" s="7" t="inlineStr">
        <is>
          <t>Clôturé</t>
        </is>
      </c>
      <c r="AD1091" s="69">
        <f>IF(OR($A1091="",Q1091=""),"",(Q1091-B1091)*24)</f>
        <v/>
      </c>
      <c r="AE1091" s="69">
        <f>IF(OR(Q1091="",R1091=""),"",(R1091-Q1091)*24)</f>
        <v/>
      </c>
      <c r="AF1091" s="77">
        <f>IF(OR($A1091="",B1091=""),"",YEAR(B1091))</f>
        <v/>
      </c>
      <c r="AG1091" s="77">
        <f>IF(OR($A1091="",B1091=""),"",MONTH(B1091))</f>
        <v/>
      </c>
    </row>
    <row r="1092">
      <c r="A1092" s="7" t="inlineStr">
        <is>
          <t>OT-2026-0237</t>
        </is>
      </c>
      <c r="B1092" s="75" t="n">
        <v>46135.45138888889</v>
      </c>
      <c r="C1092" s="7" t="inlineStr">
        <is>
          <t>Planning réglementaire</t>
        </is>
      </c>
      <c r="D1092" s="7" t="inlineStr">
        <is>
          <t>EQ-TOL-003</t>
        </is>
      </c>
      <c r="E1092" s="9">
        <f>IF(D1092="","",IFERROR(INDEX('Équipements'!$B$5:$B$304,MATCH(D1092,'Équipements'!$A$5:$A$304,0)),"Code inconnu"))</f>
        <v/>
      </c>
      <c r="F1092" s="9">
        <f>IF(D1092="","",IFERROR(INDEX('Équipements'!$D$5:$D$304,MATCH(D1092,'Équipements'!$A$5:$A$304,0)),""))</f>
        <v/>
      </c>
      <c r="G1092" s="9">
        <f>IF(D1092="","",IFERROR(INDEX('Équipements'!$K$5:$K$304,MATCH(D1092,'Équipements'!$A$5:$A$304,0)),""))</f>
        <v/>
      </c>
      <c r="H1092" s="7" t="inlineStr">
        <is>
          <t>Réglementaire</t>
        </is>
      </c>
      <c r="I1092" s="7" t="inlineStr">
        <is>
          <t>CR-011</t>
        </is>
      </c>
      <c r="J1092" s="7" t="inlineStr">
        <is>
          <t>Multi-technique</t>
        </is>
      </c>
      <c r="K1092" s="7" t="inlineStr">
        <is>
          <t>P2 - Haute</t>
        </is>
      </c>
      <c r="L1092" s="7" t="inlineStr">
        <is>
          <t>Vérification périodique presse plieuse</t>
        </is>
      </c>
      <c r="M1092" s="7" t="n"/>
      <c r="N1092" s="7" t="inlineStr">
        <is>
          <t>Contrôle réalisé - rapport reçu</t>
        </is>
      </c>
      <c r="O1092" s="7" t="inlineStr">
        <is>
          <t>Marc Lefèvre</t>
        </is>
      </c>
      <c r="P1092" s="65" t="n">
        <v>46156</v>
      </c>
      <c r="Q1092" s="75" t="n">
        <v>46156.44444444445</v>
      </c>
      <c r="R1092" s="75" t="n">
        <v>46156.52777777778</v>
      </c>
      <c r="S1092" s="76" t="n">
        <v>1</v>
      </c>
      <c r="T1092" s="76" t="n">
        <v>2</v>
      </c>
      <c r="U1092" s="70">
        <f>IF($A1092="","",IFERROR(INDEX('Techniciens'!$F$5:$F$44,MATCH(O1092,'Techniciens'!$B$5:$B$44,0)),'Paramètres'!$AA$10))</f>
        <v/>
      </c>
      <c r="V1092" s="70">
        <f>IF($A1092="","",IF(OR(AC1092="Demandé",AC1092="Planifié",AC1092="Annulé"),0,N(T1092)*N(U1092)))</f>
        <v/>
      </c>
      <c r="W1092" s="70">
        <f>IF($A1092="","",SUMIFS('Mouvements stock'!$H$5:$H$3004,'Mouvements stock'!$I$5:$I$3004,$A1092,'Mouvements stock'!$C$5:$C$3004,"Sortie")-SUMIFS('Mouvements stock'!$H$5:$H$3004,'Mouvements stock'!$I$5:$I$3004,$A1092,'Mouvements stock'!$C$5:$C$3004,"Retour"))</f>
        <v/>
      </c>
      <c r="X1092" s="66" t="n">
        <v>0</v>
      </c>
      <c r="Y1092" s="66" t="n">
        <v>210</v>
      </c>
      <c r="Z1092" s="7" t="inlineStr">
        <is>
          <t>CONTROLIS (organisme fictif)</t>
        </is>
      </c>
      <c r="AA1092" s="70">
        <f>IF($A1092="","",N(V1092)+N(W1092)+N(X1092)+N(Y1092))</f>
        <v/>
      </c>
      <c r="AB1092" s="70">
        <f>IF($A1092="","",N(S1092)*'Paramètres'!$AA$9*IFERROR(INDEX('Paramètres'!$O$5:$O$7,MATCH(G1092,'Paramètres'!$N$5:$N$7,0)),0))</f>
        <v/>
      </c>
      <c r="AC1092" s="7" t="inlineStr">
        <is>
          <t>Clôturé</t>
        </is>
      </c>
      <c r="AD1092" s="69">
        <f>IF(OR($A1092="",Q1092=""),"",(Q1092-B1092)*24)</f>
        <v/>
      </c>
      <c r="AE1092" s="69">
        <f>IF(OR(Q1092="",R1092=""),"",(R1092-Q1092)*24)</f>
        <v/>
      </c>
      <c r="AF1092" s="77">
        <f>IF(OR($A1092="",B1092=""),"",YEAR(B1092))</f>
        <v/>
      </c>
      <c r="AG1092" s="77">
        <f>IF(OR($A1092="",B1092=""),"",MONTH(B1092))</f>
        <v/>
      </c>
    </row>
    <row r="1093">
      <c r="A1093" s="7" t="inlineStr">
        <is>
          <t>OT-2026-0238</t>
        </is>
      </c>
      <c r="B1093" s="75" t="n">
        <v>46136.41319444445</v>
      </c>
      <c r="C1093" s="7" t="inlineStr">
        <is>
          <t>Éric Laurent (chef d'atelier)</t>
        </is>
      </c>
      <c r="D1093" s="7" t="inlineStr">
        <is>
          <t>EQ-USI-002</t>
        </is>
      </c>
      <c r="E1093" s="9">
        <f>IF(D1093="","",IFERROR(INDEX('Équipements'!$B$5:$B$304,MATCH(D1093,'Équipements'!$A$5:$A$304,0)),"Code inconnu"))</f>
        <v/>
      </c>
      <c r="F1093" s="9">
        <f>IF(D1093="","",IFERROR(INDEX('Équipements'!$D$5:$D$304,MATCH(D1093,'Équipements'!$A$5:$A$304,0)),""))</f>
        <v/>
      </c>
      <c r="G1093" s="9">
        <f>IF(D1093="","",IFERROR(INDEX('Équipements'!$K$5:$K$304,MATCH(D1093,'Équipements'!$A$5:$A$304,0)),""))</f>
        <v/>
      </c>
      <c r="H1093" s="7" t="inlineStr">
        <is>
          <t>Correctif</t>
        </is>
      </c>
      <c r="I1093" s="7" t="n"/>
      <c r="J1093" s="7" t="inlineStr">
        <is>
          <t>Mécanique</t>
        </is>
      </c>
      <c r="K1093" s="7" t="inlineStr">
        <is>
          <t>P1 - Urgent</t>
        </is>
      </c>
      <c r="L1093" s="7" t="inlineStr">
        <is>
          <t>Bourrage convoyeur à copeaux</t>
        </is>
      </c>
      <c r="M1093" s="7" t="n"/>
      <c r="N1093" s="7" t="inlineStr">
        <is>
          <t>Doublon de demande - annulé</t>
        </is>
      </c>
      <c r="O1093" s="7" t="inlineStr">
        <is>
          <t>Karim Benali</t>
        </is>
      </c>
      <c r="P1093" s="65" t="n"/>
      <c r="Q1093" s="75" t="n"/>
      <c r="R1093" s="75" t="n"/>
      <c r="S1093" s="76" t="n">
        <v>0</v>
      </c>
      <c r="T1093" s="76" t="n">
        <v>0</v>
      </c>
      <c r="U1093" s="70">
        <f>IF($A1093="","",IFERROR(INDEX('Techniciens'!$F$5:$F$44,MATCH(O1093,'Techniciens'!$B$5:$B$44,0)),'Paramètres'!$AA$10))</f>
        <v/>
      </c>
      <c r="V1093" s="70">
        <f>IF($A1093="","",IF(OR(AC1093="Demandé",AC1093="Planifié",AC1093="Annulé"),0,N(T1093)*N(U1093)))</f>
        <v/>
      </c>
      <c r="W1093" s="70">
        <f>IF($A1093="","",SUMIFS('Mouvements stock'!$H$5:$H$3004,'Mouvements stock'!$I$5:$I$3004,$A1093,'Mouvements stock'!$C$5:$C$3004,"Sortie")-SUMIFS('Mouvements stock'!$H$5:$H$3004,'Mouvements stock'!$I$5:$I$3004,$A1093,'Mouvements stock'!$C$5:$C$3004,"Retour"))</f>
        <v/>
      </c>
      <c r="X1093" s="66" t="n">
        <v>0</v>
      </c>
      <c r="Y1093" s="66" t="n">
        <v>0</v>
      </c>
      <c r="Z1093" s="7" t="n"/>
      <c r="AA1093" s="70">
        <f>IF($A1093="","",N(V1093)+N(W1093)+N(X1093)+N(Y1093))</f>
        <v/>
      </c>
      <c r="AB1093" s="70">
        <f>IF($A1093="","",N(S1093)*'Paramètres'!$AA$9*IFERROR(INDEX('Paramètres'!$O$5:$O$7,MATCH(G1093,'Paramètres'!$N$5:$N$7,0)),0))</f>
        <v/>
      </c>
      <c r="AC1093" s="7" t="inlineStr">
        <is>
          <t>Annulé</t>
        </is>
      </c>
      <c r="AD1093" s="69">
        <f>IF(OR($A1093="",Q1093=""),"",(Q1093-B1093)*24)</f>
        <v/>
      </c>
      <c r="AE1093" s="69">
        <f>IF(OR(Q1093="",R1093=""),"",(R1093-Q1093)*24)</f>
        <v/>
      </c>
      <c r="AF1093" s="77">
        <f>IF(OR($A1093="",B1093=""),"",YEAR(B1093))</f>
        <v/>
      </c>
      <c r="AG1093" s="77">
        <f>IF(OR($A1093="",B1093=""),"",MONTH(B1093))</f>
        <v/>
      </c>
    </row>
    <row r="1094">
      <c r="A1094" s="7" t="inlineStr">
        <is>
          <t>OT-2026-0239</t>
        </is>
      </c>
      <c r="B1094" s="75" t="n">
        <v>46136.47291666667</v>
      </c>
      <c r="C1094" s="7" t="inlineStr">
        <is>
          <t>Marc Lefèvre</t>
        </is>
      </c>
      <c r="D1094" s="7" t="inlineStr">
        <is>
          <t>EQ-UTI-007</t>
        </is>
      </c>
      <c r="E1094" s="9">
        <f>IF(D1094="","",IFERROR(INDEX('Équipements'!$B$5:$B$304,MATCH(D1094,'Équipements'!$A$5:$A$304,0)),"Code inconnu"))</f>
        <v/>
      </c>
      <c r="F1094" s="9">
        <f>IF(D1094="","",IFERROR(INDEX('Équipements'!$D$5:$D$304,MATCH(D1094,'Équipements'!$A$5:$A$304,0)),""))</f>
        <v/>
      </c>
      <c r="G1094" s="9">
        <f>IF(D1094="","",IFERROR(INDEX('Équipements'!$K$5:$K$304,MATCH(D1094,'Équipements'!$A$5:$A$304,0)),""))</f>
        <v/>
      </c>
      <c r="H1094" s="7" t="inlineStr">
        <is>
          <t>Correctif</t>
        </is>
      </c>
      <c r="I1094" s="7" t="n"/>
      <c r="J1094" s="7" t="inlineStr">
        <is>
          <t>Électrique</t>
        </is>
      </c>
      <c r="K1094" s="7" t="inlineStr">
        <is>
          <t>P1 - Urgent</t>
        </is>
      </c>
      <c r="L1094" s="7" t="inlineStr">
        <is>
          <t>Défaut démarrage groupe / batterie</t>
        </is>
      </c>
      <c r="M1094" s="7" t="inlineStr">
        <is>
          <t>Usure</t>
        </is>
      </c>
      <c r="N1094" s="7" t="inlineStr">
        <is>
          <t>Remplacement batterie de démarrage</t>
        </is>
      </c>
      <c r="O1094" s="7" t="inlineStr">
        <is>
          <t>Antoine Mercier</t>
        </is>
      </c>
      <c r="P1094" s="65" t="n"/>
      <c r="Q1094" s="75" t="n">
        <v>46136.4875</v>
      </c>
      <c r="R1094" s="75" t="n">
        <v>46136.71666666667</v>
      </c>
      <c r="S1094" s="76" t="n">
        <v>0</v>
      </c>
      <c r="T1094" s="76" t="n">
        <v>5.5</v>
      </c>
      <c r="U1094" s="70">
        <f>IF($A1094="","",IFERROR(INDEX('Techniciens'!$F$5:$F$44,MATCH(O1094,'Techniciens'!$B$5:$B$44,0)),'Paramètres'!$AA$10))</f>
        <v/>
      </c>
      <c r="V1094" s="70">
        <f>IF($A1094="","",IF(OR(AC1094="Demandé",AC1094="Planifié",AC1094="Annulé"),0,N(T1094)*N(U1094)))</f>
        <v/>
      </c>
      <c r="W1094" s="70">
        <f>IF($A1094="","",SUMIFS('Mouvements stock'!$H$5:$H$3004,'Mouvements stock'!$I$5:$I$3004,$A1094,'Mouvements stock'!$C$5:$C$3004,"Sortie")-SUMIFS('Mouvements stock'!$H$5:$H$3004,'Mouvements stock'!$I$5:$I$3004,$A1094,'Mouvements stock'!$C$5:$C$3004,"Retour"))</f>
        <v/>
      </c>
      <c r="X1094" s="66" t="n">
        <v>0</v>
      </c>
      <c r="Y1094" s="66" t="n">
        <v>0</v>
      </c>
      <c r="Z1094" s="7" t="n"/>
      <c r="AA1094" s="70">
        <f>IF($A1094="","",N(V1094)+N(W1094)+N(X1094)+N(Y1094))</f>
        <v/>
      </c>
      <c r="AB1094" s="70">
        <f>IF($A1094="","",N(S1094)*'Paramètres'!$AA$9*IFERROR(INDEX('Paramètres'!$O$5:$O$7,MATCH(G1094,'Paramètres'!$N$5:$N$7,0)),0))</f>
        <v/>
      </c>
      <c r="AC1094" s="7" t="inlineStr">
        <is>
          <t>Clôturé</t>
        </is>
      </c>
      <c r="AD1094" s="69">
        <f>IF(OR($A1094="",Q1094=""),"",(Q1094-B1094)*24)</f>
        <v/>
      </c>
      <c r="AE1094" s="69">
        <f>IF(OR(Q1094="",R1094=""),"",(R1094-Q1094)*24)</f>
        <v/>
      </c>
      <c r="AF1094" s="77">
        <f>IF(OR($A1094="",B1094=""),"",YEAR(B1094))</f>
        <v/>
      </c>
      <c r="AG1094" s="77">
        <f>IF(OR($A1094="",B1094=""),"",MONTH(B1094))</f>
        <v/>
      </c>
    </row>
    <row r="1095">
      <c r="A1095" s="7" t="inlineStr">
        <is>
          <t>OT-2026-0240</t>
        </is>
      </c>
      <c r="B1095" s="75" t="n">
        <v>46137.50138888889</v>
      </c>
      <c r="C1095" s="7" t="inlineStr">
        <is>
          <t>Cariste</t>
        </is>
      </c>
      <c r="D1095" s="7" t="inlineStr">
        <is>
          <t>EQ-LOG-003</t>
        </is>
      </c>
      <c r="E1095" s="9">
        <f>IF(D1095="","",IFERROR(INDEX('Équipements'!$B$5:$B$304,MATCH(D1095,'Équipements'!$A$5:$A$304,0)),"Code inconnu"))</f>
        <v/>
      </c>
      <c r="F1095" s="9">
        <f>IF(D1095="","",IFERROR(INDEX('Équipements'!$D$5:$D$304,MATCH(D1095,'Équipements'!$A$5:$A$304,0)),""))</f>
        <v/>
      </c>
      <c r="G1095" s="9">
        <f>IF(D1095="","",IFERROR(INDEX('Équipements'!$K$5:$K$304,MATCH(D1095,'Équipements'!$A$5:$A$304,0)),""))</f>
        <v/>
      </c>
      <c r="H1095" s="7" t="inlineStr">
        <is>
          <t>Correctif</t>
        </is>
      </c>
      <c r="I1095" s="7" t="n"/>
      <c r="J1095" s="7" t="inlineStr">
        <is>
          <t>Mécanique</t>
        </is>
      </c>
      <c r="K1095" s="7" t="inlineStr">
        <is>
          <t>P3 - Normale</t>
        </is>
      </c>
      <c r="L1095" s="7" t="inlineStr">
        <is>
          <t>Choc sur mât (dommage cariste)</t>
        </is>
      </c>
      <c r="M1095" s="7" t="inlineStr">
        <is>
          <t>Choc / accident</t>
        </is>
      </c>
      <c r="N1095" s="7" t="inlineStr">
        <is>
          <t>Redressage protège-conducteur, contrôle mât</t>
        </is>
      </c>
      <c r="O1095" s="7" t="inlineStr">
        <is>
          <t>Antoine Mercier</t>
        </is>
      </c>
      <c r="P1095" s="65" t="n"/>
      <c r="Q1095" s="75" t="n">
        <v>46138.45763888889</v>
      </c>
      <c r="R1095" s="75" t="n">
        <v>46138.52013888889</v>
      </c>
      <c r="S1095" s="76" t="n">
        <v>0</v>
      </c>
      <c r="T1095" s="76" t="n">
        <v>1.5</v>
      </c>
      <c r="U1095" s="70">
        <f>IF($A1095="","",IFERROR(INDEX('Techniciens'!$F$5:$F$44,MATCH(O1095,'Techniciens'!$B$5:$B$44,0)),'Paramètres'!$AA$10))</f>
        <v/>
      </c>
      <c r="V1095" s="70">
        <f>IF($A1095="","",IF(OR(AC1095="Demandé",AC1095="Planifié",AC1095="Annulé"),0,N(T1095)*N(U1095)))</f>
        <v/>
      </c>
      <c r="W1095" s="70">
        <f>IF($A1095="","",SUMIFS('Mouvements stock'!$H$5:$H$3004,'Mouvements stock'!$I$5:$I$3004,$A1095,'Mouvements stock'!$C$5:$C$3004,"Sortie")-SUMIFS('Mouvements stock'!$H$5:$H$3004,'Mouvements stock'!$I$5:$I$3004,$A1095,'Mouvements stock'!$C$5:$C$3004,"Retour"))</f>
        <v/>
      </c>
      <c r="X1095" s="66" t="n">
        <v>0</v>
      </c>
      <c r="Y1095" s="66" t="n">
        <v>0</v>
      </c>
      <c r="Z1095" s="7" t="n"/>
      <c r="AA1095" s="70">
        <f>IF($A1095="","",N(V1095)+N(W1095)+N(X1095)+N(Y1095))</f>
        <v/>
      </c>
      <c r="AB1095" s="70">
        <f>IF($A1095="","",N(S1095)*'Paramètres'!$AA$9*IFERROR(INDEX('Paramètres'!$O$5:$O$7,MATCH(G1095,'Paramètres'!$N$5:$N$7,0)),0))</f>
        <v/>
      </c>
      <c r="AC1095" s="7" t="inlineStr">
        <is>
          <t>Clôturé</t>
        </is>
      </c>
      <c r="AD1095" s="69">
        <f>IF(OR($A1095="",Q1095=""),"",(Q1095-B1095)*24)</f>
        <v/>
      </c>
      <c r="AE1095" s="69">
        <f>IF(OR(Q1095="",R1095=""),"",(R1095-Q1095)*24)</f>
        <v/>
      </c>
      <c r="AF1095" s="77">
        <f>IF(OR($A1095="",B1095=""),"",YEAR(B1095))</f>
        <v/>
      </c>
      <c r="AG1095" s="77">
        <f>IF(OR($A1095="",B1095=""),"",MONTH(B1095))</f>
        <v/>
      </c>
    </row>
    <row r="1096">
      <c r="A1096" s="7" t="inlineStr">
        <is>
          <t>OT-2026-0241</t>
        </is>
      </c>
      <c r="B1096" s="75" t="n">
        <v>46137.75763888889</v>
      </c>
      <c r="C1096" s="7" t="inlineStr">
        <is>
          <t>Opérateur usinage</t>
        </is>
      </c>
      <c r="D1096" s="7" t="inlineStr">
        <is>
          <t>EQ-USI-007</t>
        </is>
      </c>
      <c r="E1096" s="9">
        <f>IF(D1096="","",IFERROR(INDEX('Équipements'!$B$5:$B$304,MATCH(D1096,'Équipements'!$A$5:$A$304,0)),"Code inconnu"))</f>
        <v/>
      </c>
      <c r="F1096" s="9">
        <f>IF(D1096="","",IFERROR(INDEX('Équipements'!$D$5:$D$304,MATCH(D1096,'Équipements'!$A$5:$A$304,0)),""))</f>
        <v/>
      </c>
      <c r="G1096" s="9">
        <f>IF(D1096="","",IFERROR(INDEX('Équipements'!$K$5:$K$304,MATCH(D1096,'Équipements'!$A$5:$A$304,0)),""))</f>
        <v/>
      </c>
      <c r="H1096" s="7" t="inlineStr">
        <is>
          <t>Correctif</t>
        </is>
      </c>
      <c r="I1096" s="7" t="n"/>
      <c r="J1096" s="7" t="inlineStr">
        <is>
          <t>Automatisme</t>
        </is>
      </c>
      <c r="K1096" s="7" t="inlineStr">
        <is>
          <t>P3 - Normale</t>
        </is>
      </c>
      <c r="L1096" s="7" t="inlineStr">
        <is>
          <t>Perte des origines machine après coupure</t>
        </is>
      </c>
      <c r="M1096" s="7" t="inlineStr">
        <is>
          <t>Défaut logiciel/automate</t>
        </is>
      </c>
      <c r="N1096" s="7" t="inlineStr">
        <is>
          <t>Reprise des origines, remplacement pile de sauvegarde CN</t>
        </is>
      </c>
      <c r="O1096" s="7" t="inlineStr">
        <is>
          <t>Sophie Garnier</t>
        </is>
      </c>
      <c r="P1096" s="65" t="n"/>
      <c r="Q1096" s="75" t="n">
        <v>46139.42152777778</v>
      </c>
      <c r="R1096" s="75" t="n">
        <v>46139.53611111111</v>
      </c>
      <c r="S1096" s="76" t="n">
        <v>2.8</v>
      </c>
      <c r="T1096" s="76" t="n">
        <v>2.75</v>
      </c>
      <c r="U1096" s="70">
        <f>IF($A1096="","",IFERROR(INDEX('Techniciens'!$F$5:$F$44,MATCH(O1096,'Techniciens'!$B$5:$B$44,0)),'Paramètres'!$AA$10))</f>
        <v/>
      </c>
      <c r="V1096" s="70">
        <f>IF($A1096="","",IF(OR(AC1096="Demandé",AC1096="Planifié",AC1096="Annulé"),0,N(T1096)*N(U1096)))</f>
        <v/>
      </c>
      <c r="W1096" s="70">
        <f>IF($A1096="","",SUMIFS('Mouvements stock'!$H$5:$H$3004,'Mouvements stock'!$I$5:$I$3004,$A1096,'Mouvements stock'!$C$5:$C$3004,"Sortie")-SUMIFS('Mouvements stock'!$H$5:$H$3004,'Mouvements stock'!$I$5:$I$3004,$A1096,'Mouvements stock'!$C$5:$C$3004,"Retour"))</f>
        <v/>
      </c>
      <c r="X1096" s="66" t="n">
        <v>864</v>
      </c>
      <c r="Y1096" s="66" t="n">
        <v>0</v>
      </c>
      <c r="Z1096" s="7" t="n"/>
      <c r="AA1096" s="70">
        <f>IF($A1096="","",N(V1096)+N(W1096)+N(X1096)+N(Y1096))</f>
        <v/>
      </c>
      <c r="AB1096" s="70">
        <f>IF($A1096="","",N(S1096)*'Paramètres'!$AA$9*IFERROR(INDEX('Paramètres'!$O$5:$O$7,MATCH(G1096,'Paramètres'!$N$5:$N$7,0)),0))</f>
        <v/>
      </c>
      <c r="AC1096" s="7" t="inlineStr">
        <is>
          <t>Clôturé</t>
        </is>
      </c>
      <c r="AD1096" s="69">
        <f>IF(OR($A1096="",Q1096=""),"",(Q1096-B1096)*24)</f>
        <v/>
      </c>
      <c r="AE1096" s="69">
        <f>IF(OR(Q1096="",R1096=""),"",(R1096-Q1096)*24)</f>
        <v/>
      </c>
      <c r="AF1096" s="77">
        <f>IF(OR($A1096="",B1096=""),"",YEAR(B1096))</f>
        <v/>
      </c>
      <c r="AG1096" s="77">
        <f>IF(OR($A1096="",B1096=""),"",MONTH(B1096))</f>
        <v/>
      </c>
    </row>
    <row r="1097">
      <c r="A1097" s="7" t="inlineStr">
        <is>
          <t>OT-2026-0242</t>
        </is>
      </c>
      <c r="B1097" s="75" t="n">
        <v>46137.79444444444</v>
      </c>
      <c r="C1097" s="7" t="inlineStr">
        <is>
          <t>Opérateur peinture</t>
        </is>
      </c>
      <c r="D1097" s="7" t="inlineStr">
        <is>
          <t>EQ-PEI-004</t>
        </is>
      </c>
      <c r="E1097" s="9">
        <f>IF(D1097="","",IFERROR(INDEX('Équipements'!$B$5:$B$304,MATCH(D1097,'Équipements'!$A$5:$A$304,0)),"Code inconnu"))</f>
        <v/>
      </c>
      <c r="F1097" s="9">
        <f>IF(D1097="","",IFERROR(INDEX('Équipements'!$D$5:$D$304,MATCH(D1097,'Équipements'!$A$5:$A$304,0)),""))</f>
        <v/>
      </c>
      <c r="G1097" s="9">
        <f>IF(D1097="","",IFERROR(INDEX('Équipements'!$K$5:$K$304,MATCH(D1097,'Équipements'!$A$5:$A$304,0)),""))</f>
        <v/>
      </c>
      <c r="H1097" s="7" t="inlineStr">
        <is>
          <t>Correctif</t>
        </is>
      </c>
      <c r="I1097" s="7" t="n"/>
      <c r="J1097" s="7" t="inlineStr">
        <is>
          <t>Mécanique</t>
        </is>
      </c>
      <c r="K1097" s="7" t="inlineStr">
        <is>
          <t>P1 - Urgent</t>
        </is>
      </c>
      <c r="L1097" s="7" t="inlineStr">
        <is>
          <t>Galets bloqués / bruit anormal</t>
        </is>
      </c>
      <c r="M1097" s="7" t="inlineStr">
        <is>
          <t>Défaut lubrification</t>
        </is>
      </c>
      <c r="N1097" s="7" t="inlineStr">
        <is>
          <t>Graissage et remplacement galets</t>
        </is>
      </c>
      <c r="O1097" s="7" t="inlineStr">
        <is>
          <t>Karim Benali</t>
        </is>
      </c>
      <c r="P1097" s="65" t="n"/>
      <c r="Q1097" s="75" t="n">
        <v>46137.80138888889</v>
      </c>
      <c r="R1097" s="75" t="n">
        <v>46138.14513888889</v>
      </c>
      <c r="S1097" s="76" t="n">
        <v>8.4</v>
      </c>
      <c r="T1097" s="76" t="n">
        <v>8.25</v>
      </c>
      <c r="U1097" s="70">
        <f>IF($A1097="","",IFERROR(INDEX('Techniciens'!$F$5:$F$44,MATCH(O1097,'Techniciens'!$B$5:$B$44,0)),'Paramètres'!$AA$10))</f>
        <v/>
      </c>
      <c r="V1097" s="70">
        <f>IF($A1097="","",IF(OR(AC1097="Demandé",AC1097="Planifié",AC1097="Annulé"),0,N(T1097)*N(U1097)))</f>
        <v/>
      </c>
      <c r="W1097" s="70">
        <f>IF($A1097="","",SUMIFS('Mouvements stock'!$H$5:$H$3004,'Mouvements stock'!$I$5:$I$3004,$A1097,'Mouvements stock'!$C$5:$C$3004,"Sortie")-SUMIFS('Mouvements stock'!$H$5:$H$3004,'Mouvements stock'!$I$5:$I$3004,$A1097,'Mouvements stock'!$C$5:$C$3004,"Retour"))</f>
        <v/>
      </c>
      <c r="X1097" s="66" t="n">
        <v>0</v>
      </c>
      <c r="Y1097" s="66" t="n">
        <v>0</v>
      </c>
      <c r="Z1097" s="7" t="n"/>
      <c r="AA1097" s="70">
        <f>IF($A1097="","",N(V1097)+N(W1097)+N(X1097)+N(Y1097))</f>
        <v/>
      </c>
      <c r="AB1097" s="70">
        <f>IF($A1097="","",N(S1097)*'Paramètres'!$AA$9*IFERROR(INDEX('Paramètres'!$O$5:$O$7,MATCH(G1097,'Paramètres'!$N$5:$N$7,0)),0))</f>
        <v/>
      </c>
      <c r="AC1097" s="7" t="inlineStr">
        <is>
          <t>Clôturé</t>
        </is>
      </c>
      <c r="AD1097" s="69">
        <f>IF(OR($A1097="",Q1097=""),"",(Q1097-B1097)*24)</f>
        <v/>
      </c>
      <c r="AE1097" s="69">
        <f>IF(OR(Q1097="",R1097=""),"",(R1097-Q1097)*24)</f>
        <v/>
      </c>
      <c r="AF1097" s="77">
        <f>IF(OR($A1097="",B1097=""),"",YEAR(B1097))</f>
        <v/>
      </c>
      <c r="AG1097" s="77">
        <f>IF(OR($A1097="",B1097=""),"",MONTH(B1097))</f>
        <v/>
      </c>
    </row>
    <row r="1098">
      <c r="A1098" s="7" t="inlineStr">
        <is>
          <t>OT-2026-0243</t>
        </is>
      </c>
      <c r="B1098" s="75" t="n">
        <v>46139.34375</v>
      </c>
      <c r="C1098" s="7" t="inlineStr">
        <is>
          <t>Planning réglementaire</t>
        </is>
      </c>
      <c r="D1098" s="7" t="n"/>
      <c r="E1098" s="9">
        <f>IF(D1098="","",IFERROR(INDEX('Équipements'!$B$5:$B$304,MATCH(D1098,'Équipements'!$A$5:$A$304,0)),"Code inconnu"))</f>
        <v/>
      </c>
      <c r="F1098" s="9">
        <f>IF(D1098="","",IFERROR(INDEX('Équipements'!$D$5:$D$304,MATCH(D1098,'Équipements'!$A$5:$A$304,0)),""))</f>
        <v/>
      </c>
      <c r="G1098" s="9">
        <f>IF(D1098="","",IFERROR(INDEX('Équipements'!$K$5:$K$304,MATCH(D1098,'Équipements'!$A$5:$A$304,0)),""))</f>
        <v/>
      </c>
      <c r="H1098" s="7" t="inlineStr">
        <is>
          <t>Réglementaire</t>
        </is>
      </c>
      <c r="I1098" s="7" t="inlineStr">
        <is>
          <t>CR-009</t>
        </is>
      </c>
      <c r="J1098" s="7" t="inlineStr">
        <is>
          <t>Multi-technique</t>
        </is>
      </c>
      <c r="K1098" s="7" t="inlineStr">
        <is>
          <t>P2 - Haute</t>
        </is>
      </c>
      <c r="L1098" s="7" t="inlineStr">
        <is>
          <t>Vérification des accessoires de levage (élingues, manilles)</t>
        </is>
      </c>
      <c r="M1098" s="7" t="n"/>
      <c r="N1098" s="7" t="inlineStr">
        <is>
          <t>Contrôle réalisé - aucune observation</t>
        </is>
      </c>
      <c r="O1098" s="7" t="inlineStr">
        <is>
          <t>Marc Lefèvre</t>
        </is>
      </c>
      <c r="P1098" s="65" t="n">
        <v>46160</v>
      </c>
      <c r="Q1098" s="75" t="n">
        <v>46160.40277777778</v>
      </c>
      <c r="R1098" s="75" t="n">
        <v>46160.42361111111</v>
      </c>
      <c r="S1098" s="76" t="n">
        <v>0</v>
      </c>
      <c r="T1098" s="76" t="n">
        <v>0.5</v>
      </c>
      <c r="U1098" s="70">
        <f>IF($A1098="","",IFERROR(INDEX('Techniciens'!$F$5:$F$44,MATCH(O1098,'Techniciens'!$B$5:$B$44,0)),'Paramètres'!$AA$10))</f>
        <v/>
      </c>
      <c r="V1098" s="70">
        <f>IF($A1098="","",IF(OR(AC1098="Demandé",AC1098="Planifié",AC1098="Annulé"),0,N(T1098)*N(U1098)))</f>
        <v/>
      </c>
      <c r="W1098" s="70">
        <f>IF($A1098="","",SUMIFS('Mouvements stock'!$H$5:$H$3004,'Mouvements stock'!$I$5:$I$3004,$A1098,'Mouvements stock'!$C$5:$C$3004,"Sortie")-SUMIFS('Mouvements stock'!$H$5:$H$3004,'Mouvements stock'!$I$5:$I$3004,$A1098,'Mouvements stock'!$C$5:$C$3004,"Retour"))</f>
        <v/>
      </c>
      <c r="X1098" s="66" t="n">
        <v>0</v>
      </c>
      <c r="Y1098" s="66" t="n">
        <v>290</v>
      </c>
      <c r="Z1098" s="7" t="inlineStr">
        <is>
          <t>CONTROLIS (organisme fictif)</t>
        </is>
      </c>
      <c r="AA1098" s="70">
        <f>IF($A1098="","",N(V1098)+N(W1098)+N(X1098)+N(Y1098))</f>
        <v/>
      </c>
      <c r="AB1098" s="70">
        <f>IF($A1098="","",N(S1098)*'Paramètres'!$AA$9*IFERROR(INDEX('Paramètres'!$O$5:$O$7,MATCH(G1098,'Paramètres'!$N$5:$N$7,0)),0))</f>
        <v/>
      </c>
      <c r="AC1098" s="7" t="inlineStr">
        <is>
          <t>Clôturé</t>
        </is>
      </c>
      <c r="AD1098" s="69">
        <f>IF(OR($A1098="",Q1098=""),"",(Q1098-B1098)*24)</f>
        <v/>
      </c>
      <c r="AE1098" s="69">
        <f>IF(OR(Q1098="",R1098=""),"",(R1098-Q1098)*24)</f>
        <v/>
      </c>
      <c r="AF1098" s="77">
        <f>IF(OR($A1098="",B1098=""),"",YEAR(B1098))</f>
        <v/>
      </c>
      <c r="AG1098" s="77">
        <f>IF(OR($A1098="",B1098=""),"",MONTH(B1098))</f>
        <v/>
      </c>
    </row>
    <row r="1099">
      <c r="A1099" s="7" t="inlineStr">
        <is>
          <t>OT-2026-0244</t>
        </is>
      </c>
      <c r="B1099" s="75" t="n">
        <v>46139.38888888889</v>
      </c>
      <c r="C1099" s="7" t="inlineStr">
        <is>
          <t>Plan préventif</t>
        </is>
      </c>
      <c r="D1099" s="7" t="inlineStr">
        <is>
          <t>EQ-ASS-001</t>
        </is>
      </c>
      <c r="E1099" s="9">
        <f>IF(D1099="","",IFERROR(INDEX('Équipements'!$B$5:$B$304,MATCH(D1099,'Équipements'!$A$5:$A$304,0)),"Code inconnu"))</f>
        <v/>
      </c>
      <c r="F1099" s="9">
        <f>IF(D1099="","",IFERROR(INDEX('Équipements'!$D$5:$D$304,MATCH(D1099,'Équipements'!$A$5:$A$304,0)),""))</f>
        <v/>
      </c>
      <c r="G1099" s="9">
        <f>IF(D1099="","",IFERROR(INDEX('Équipements'!$K$5:$K$304,MATCH(D1099,'Équipements'!$A$5:$A$304,0)),""))</f>
        <v/>
      </c>
      <c r="H1099" s="7" t="inlineStr">
        <is>
          <t>Préventif systématique</t>
        </is>
      </c>
      <c r="I1099" s="7" t="inlineStr">
        <is>
          <t>GP-076</t>
        </is>
      </c>
      <c r="J1099" s="7" t="inlineStr">
        <is>
          <t>Mécanique</t>
        </is>
      </c>
      <c r="K1099" s="7" t="inlineStr">
        <is>
          <t>P3 - Normale</t>
        </is>
      </c>
      <c r="L1099" s="7" t="inlineStr">
        <is>
          <t>Graissage chaîne / galets et contrôle tension</t>
        </is>
      </c>
      <c r="M1099" s="7" t="n"/>
      <c r="N1099" s="7" t="inlineStr">
        <is>
          <t>Gamme réalisée - RAS</t>
        </is>
      </c>
      <c r="O1099" s="7" t="inlineStr">
        <is>
          <t>Lucas Fontaine</t>
        </is>
      </c>
      <c r="P1099" s="65" t="n">
        <v>46146.54513888889</v>
      </c>
      <c r="Q1099" s="75" t="n">
        <v>46146.38194444445</v>
      </c>
      <c r="R1099" s="75" t="n">
        <v>46146.49652777778</v>
      </c>
      <c r="S1099" s="76" t="n">
        <v>2.8</v>
      </c>
      <c r="T1099" s="76" t="n">
        <v>2.75</v>
      </c>
      <c r="U1099" s="70">
        <f>IF($A1099="","",IFERROR(INDEX('Techniciens'!$F$5:$F$44,MATCH(O1099,'Techniciens'!$B$5:$B$44,0)),'Paramètres'!$AA$10))</f>
        <v/>
      </c>
      <c r="V1099" s="70">
        <f>IF($A1099="","",IF(OR(AC1099="Demandé",AC1099="Planifié",AC1099="Annulé"),0,N(T1099)*N(U1099)))</f>
        <v/>
      </c>
      <c r="W1099" s="70">
        <f>IF($A1099="","",SUMIFS('Mouvements stock'!$H$5:$H$3004,'Mouvements stock'!$I$5:$I$3004,$A1099,'Mouvements stock'!$C$5:$C$3004,"Sortie")-SUMIFS('Mouvements stock'!$H$5:$H$3004,'Mouvements stock'!$I$5:$I$3004,$A1099,'Mouvements stock'!$C$5:$C$3004,"Retour"))</f>
        <v/>
      </c>
      <c r="X1099" s="66" t="n">
        <v>0</v>
      </c>
      <c r="Y1099" s="66" t="n">
        <v>0</v>
      </c>
      <c r="Z1099" s="7" t="n"/>
      <c r="AA1099" s="70">
        <f>IF($A1099="","",N(V1099)+N(W1099)+N(X1099)+N(Y1099))</f>
        <v/>
      </c>
      <c r="AB1099" s="70">
        <f>IF($A1099="","",N(S1099)*'Paramètres'!$AA$9*IFERROR(INDEX('Paramètres'!$O$5:$O$7,MATCH(G1099,'Paramètres'!$N$5:$N$7,0)),0))</f>
        <v/>
      </c>
      <c r="AC1099" s="7" t="inlineStr">
        <is>
          <t>Clôturé</t>
        </is>
      </c>
      <c r="AD1099" s="69">
        <f>IF(OR($A1099="",Q1099=""),"",(Q1099-B1099)*24)</f>
        <v/>
      </c>
      <c r="AE1099" s="69">
        <f>IF(OR(Q1099="",R1099=""),"",(R1099-Q1099)*24)</f>
        <v/>
      </c>
      <c r="AF1099" s="77">
        <f>IF(OR($A1099="",B1099=""),"",YEAR(B1099))</f>
        <v/>
      </c>
      <c r="AG1099" s="77">
        <f>IF(OR($A1099="",B1099=""),"",MONTH(B1099))</f>
        <v/>
      </c>
    </row>
    <row r="1100">
      <c r="A1100" s="7" t="inlineStr">
        <is>
          <t>OT-2026-0245</t>
        </is>
      </c>
      <c r="B1100" s="75" t="n">
        <v>46139.40972222222</v>
      </c>
      <c r="C1100" s="7" t="inlineStr">
        <is>
          <t>Plan préventif</t>
        </is>
      </c>
      <c r="D1100" s="7" t="inlineStr">
        <is>
          <t>EQ-USI-009</t>
        </is>
      </c>
      <c r="E1100" s="9">
        <f>IF(D1100="","",IFERROR(INDEX('Équipements'!$B$5:$B$304,MATCH(D1100,'Équipements'!$A$5:$A$304,0)),"Code inconnu"))</f>
        <v/>
      </c>
      <c r="F1100" s="9">
        <f>IF(D1100="","",IFERROR(INDEX('Équipements'!$D$5:$D$304,MATCH(D1100,'Équipements'!$A$5:$A$304,0)),""))</f>
        <v/>
      </c>
      <c r="G1100" s="9">
        <f>IF(D1100="","",IFERROR(INDEX('Équipements'!$K$5:$K$304,MATCH(D1100,'Équipements'!$A$5:$A$304,0)),""))</f>
        <v/>
      </c>
      <c r="H1100" s="7" t="inlineStr">
        <is>
          <t>Préventif systématique</t>
        </is>
      </c>
      <c r="I1100" s="7" t="inlineStr">
        <is>
          <t>GP-030</t>
        </is>
      </c>
      <c r="J1100" s="7" t="inlineStr">
        <is>
          <t>Mécanique</t>
        </is>
      </c>
      <c r="K1100" s="7" t="inlineStr">
        <is>
          <t>P3 - Normale</t>
        </is>
      </c>
      <c r="L1100" s="7" t="inlineStr">
        <is>
          <t>Contrôle lame, guides et liquide de coupe</t>
        </is>
      </c>
      <c r="M1100" s="7" t="n"/>
      <c r="N1100" s="7" t="inlineStr">
        <is>
          <t>Gamme réalisée - RAS</t>
        </is>
      </c>
      <c r="O1100" s="7" t="inlineStr">
        <is>
          <t>Karim Benali</t>
        </is>
      </c>
      <c r="P1100" s="65" t="n">
        <v>46146.40972222222</v>
      </c>
      <c r="Q1100" s="75" t="n">
        <v>46146.48958333334</v>
      </c>
      <c r="R1100" s="75" t="n">
        <v>46146.52083333334</v>
      </c>
      <c r="S1100" s="76" t="n">
        <v>0.8</v>
      </c>
      <c r="T1100" s="76" t="n">
        <v>0.75</v>
      </c>
      <c r="U1100" s="70">
        <f>IF($A1100="","",IFERROR(INDEX('Techniciens'!$F$5:$F$44,MATCH(O1100,'Techniciens'!$B$5:$B$44,0)),'Paramètres'!$AA$10))</f>
        <v/>
      </c>
      <c r="V1100" s="70">
        <f>IF($A1100="","",IF(OR(AC1100="Demandé",AC1100="Planifié",AC1100="Annulé"),0,N(T1100)*N(U1100)))</f>
        <v/>
      </c>
      <c r="W1100" s="70">
        <f>IF($A1100="","",SUMIFS('Mouvements stock'!$H$5:$H$3004,'Mouvements stock'!$I$5:$I$3004,$A1100,'Mouvements stock'!$C$5:$C$3004,"Sortie")-SUMIFS('Mouvements stock'!$H$5:$H$3004,'Mouvements stock'!$I$5:$I$3004,$A1100,'Mouvements stock'!$C$5:$C$3004,"Retour"))</f>
        <v/>
      </c>
      <c r="X1100" s="66" t="n">
        <v>0</v>
      </c>
      <c r="Y1100" s="66" t="n">
        <v>0</v>
      </c>
      <c r="Z1100" s="7" t="n"/>
      <c r="AA1100" s="70">
        <f>IF($A1100="","",N(V1100)+N(W1100)+N(X1100)+N(Y1100))</f>
        <v/>
      </c>
      <c r="AB1100" s="70">
        <f>IF($A1100="","",N(S1100)*'Paramètres'!$AA$9*IFERROR(INDEX('Paramètres'!$O$5:$O$7,MATCH(G1100,'Paramètres'!$N$5:$N$7,0)),0))</f>
        <v/>
      </c>
      <c r="AC1100" s="7" t="inlineStr">
        <is>
          <t>Clôturé</t>
        </is>
      </c>
      <c r="AD1100" s="69">
        <f>IF(OR($A1100="",Q1100=""),"",(Q1100-B1100)*24)</f>
        <v/>
      </c>
      <c r="AE1100" s="69">
        <f>IF(OR(Q1100="",R1100=""),"",(R1100-Q1100)*24)</f>
        <v/>
      </c>
      <c r="AF1100" s="77">
        <f>IF(OR($A1100="",B1100=""),"",YEAR(B1100))</f>
        <v/>
      </c>
      <c r="AG1100" s="77">
        <f>IF(OR($A1100="",B1100=""),"",MONTH(B1100))</f>
        <v/>
      </c>
    </row>
    <row r="1101">
      <c r="A1101" s="7" t="inlineStr">
        <is>
          <t>OT-2026-0246</t>
        </is>
      </c>
      <c r="B1101" s="75" t="n">
        <v>46139.41666666666</v>
      </c>
      <c r="C1101" s="7" t="inlineStr">
        <is>
          <t>Plan préventif</t>
        </is>
      </c>
      <c r="D1101" s="7" t="inlineStr">
        <is>
          <t>EQ-USI-005</t>
        </is>
      </c>
      <c r="E1101" s="9">
        <f>IF(D1101="","",IFERROR(INDEX('Équipements'!$B$5:$B$304,MATCH(D1101,'Équipements'!$A$5:$A$304,0)),"Code inconnu"))</f>
        <v/>
      </c>
      <c r="F1101" s="9">
        <f>IF(D1101="","",IFERROR(INDEX('Équipements'!$D$5:$D$304,MATCH(D1101,'Équipements'!$A$5:$A$304,0)),""))</f>
        <v/>
      </c>
      <c r="G1101" s="9">
        <f>IF(D1101="","",IFERROR(INDEX('Équipements'!$K$5:$K$304,MATCH(D1101,'Équipements'!$A$5:$A$304,0)),""))</f>
        <v/>
      </c>
      <c r="H1101" s="7" t="inlineStr">
        <is>
          <t>Préventif systématique</t>
        </is>
      </c>
      <c r="I1101" s="7" t="inlineStr">
        <is>
          <t>GP-017</t>
        </is>
      </c>
      <c r="J1101" s="7" t="inlineStr">
        <is>
          <t>Mécanique</t>
        </is>
      </c>
      <c r="K1101" s="7" t="inlineStr">
        <is>
          <t>P3 - Normale</t>
        </is>
      </c>
      <c r="L1101" s="7" t="inlineStr">
        <is>
          <t>Contrôle niveaux, nettoyage filtres et bac à copeaux</t>
        </is>
      </c>
      <c r="M1101" s="7" t="n"/>
      <c r="N1101" s="7" t="inlineStr">
        <is>
          <t>Gamme réalisée - RAS</t>
        </is>
      </c>
      <c r="O1101" s="7" t="inlineStr">
        <is>
          <t>Karim Benali</t>
        </is>
      </c>
      <c r="P1101" s="65" t="n">
        <v>46146.47569444445</v>
      </c>
      <c r="Q1101" s="75" t="n">
        <v>46146.47916666666</v>
      </c>
      <c r="R1101" s="75" t="n">
        <v>46146.54166666666</v>
      </c>
      <c r="S1101" s="76" t="n">
        <v>0.8</v>
      </c>
      <c r="T1101" s="76" t="n">
        <v>1.5</v>
      </c>
      <c r="U1101" s="70">
        <f>IF($A1101="","",IFERROR(INDEX('Techniciens'!$F$5:$F$44,MATCH(O1101,'Techniciens'!$B$5:$B$44,0)),'Paramètres'!$AA$10))</f>
        <v/>
      </c>
      <c r="V1101" s="70">
        <f>IF($A1101="","",IF(OR(AC1101="Demandé",AC1101="Planifié",AC1101="Annulé"),0,N(T1101)*N(U1101)))</f>
        <v/>
      </c>
      <c r="W1101" s="70">
        <f>IF($A1101="","",SUMIFS('Mouvements stock'!$H$5:$H$3004,'Mouvements stock'!$I$5:$I$3004,$A1101,'Mouvements stock'!$C$5:$C$3004,"Sortie")-SUMIFS('Mouvements stock'!$H$5:$H$3004,'Mouvements stock'!$I$5:$I$3004,$A1101,'Mouvements stock'!$C$5:$C$3004,"Retour"))</f>
        <v/>
      </c>
      <c r="X1101" s="66" t="n">
        <v>0</v>
      </c>
      <c r="Y1101" s="66" t="n">
        <v>0</v>
      </c>
      <c r="Z1101" s="7" t="n"/>
      <c r="AA1101" s="70">
        <f>IF($A1101="","",N(V1101)+N(W1101)+N(X1101)+N(Y1101))</f>
        <v/>
      </c>
      <c r="AB1101" s="70">
        <f>IF($A1101="","",N(S1101)*'Paramètres'!$AA$9*IFERROR(INDEX('Paramètres'!$O$5:$O$7,MATCH(G1101,'Paramètres'!$N$5:$N$7,0)),0))</f>
        <v/>
      </c>
      <c r="AC1101" s="7" t="inlineStr">
        <is>
          <t>Clôturé</t>
        </is>
      </c>
      <c r="AD1101" s="69">
        <f>IF(OR($A1101="",Q1101=""),"",(Q1101-B1101)*24)</f>
        <v/>
      </c>
      <c r="AE1101" s="69">
        <f>IF(OR(Q1101="",R1101=""),"",(R1101-Q1101)*24)</f>
        <v/>
      </c>
      <c r="AF1101" s="77">
        <f>IF(OR($A1101="",B1101=""),"",YEAR(B1101))</f>
        <v/>
      </c>
      <c r="AG1101" s="77">
        <f>IF(OR($A1101="",B1101=""),"",MONTH(B1101))</f>
        <v/>
      </c>
    </row>
    <row r="1102">
      <c r="A1102" s="7" t="inlineStr">
        <is>
          <t>OT-2026-0247</t>
        </is>
      </c>
      <c r="B1102" s="75" t="n">
        <v>46139.42361111111</v>
      </c>
      <c r="C1102" s="7" t="inlineStr">
        <is>
          <t>Plan préventif</t>
        </is>
      </c>
      <c r="D1102" s="7" t="inlineStr">
        <is>
          <t>EQ-UTI-005</t>
        </is>
      </c>
      <c r="E1102" s="9">
        <f>IF(D1102="","",IFERROR(INDEX('Équipements'!$B$5:$B$304,MATCH(D1102,'Équipements'!$A$5:$A$304,0)),"Code inconnu"))</f>
        <v/>
      </c>
      <c r="F1102" s="9">
        <f>IF(D1102="","",IFERROR(INDEX('Équipements'!$D$5:$D$304,MATCH(D1102,'Équipements'!$A$5:$A$304,0)),""))</f>
        <v/>
      </c>
      <c r="G1102" s="9">
        <f>IF(D1102="","",IFERROR(INDEX('Équipements'!$K$5:$K$304,MATCH(D1102,'Équipements'!$A$5:$A$304,0)),""))</f>
        <v/>
      </c>
      <c r="H1102" s="7" t="inlineStr">
        <is>
          <t>Préventif systématique</t>
        </is>
      </c>
      <c r="I1102" s="7" t="inlineStr">
        <is>
          <t>GP-093</t>
        </is>
      </c>
      <c r="J1102" s="7" t="inlineStr">
        <is>
          <t>Mécanique</t>
        </is>
      </c>
      <c r="K1102" s="7" t="inlineStr">
        <is>
          <t>P3 - Normale</t>
        </is>
      </c>
      <c r="L1102" s="7" t="inlineStr">
        <is>
          <t>Remplacement filtres et nettoyage batteries</t>
        </is>
      </c>
      <c r="M1102" s="7" t="n"/>
      <c r="N1102" s="7" t="inlineStr">
        <is>
          <t>Gamme réalisée - usure constatée, à surveiller</t>
        </is>
      </c>
      <c r="O1102" s="7" t="inlineStr">
        <is>
          <t>Lucas Fontaine</t>
        </is>
      </c>
      <c r="P1102" s="65" t="n">
        <v>46146.54513888889</v>
      </c>
      <c r="Q1102" s="75" t="n">
        <v>46146.57638888889</v>
      </c>
      <c r="R1102" s="75" t="n">
        <v>46146.68055555555</v>
      </c>
      <c r="S1102" s="76" t="n">
        <v>0</v>
      </c>
      <c r="T1102" s="76" t="n">
        <v>2.5</v>
      </c>
      <c r="U1102" s="70">
        <f>IF($A1102="","",IFERROR(INDEX('Techniciens'!$F$5:$F$44,MATCH(O1102,'Techniciens'!$B$5:$B$44,0)),'Paramètres'!$AA$10))</f>
        <v/>
      </c>
      <c r="V1102" s="70">
        <f>IF($A1102="","",IF(OR(AC1102="Demandé",AC1102="Planifié",AC1102="Annulé"),0,N(T1102)*N(U1102)))</f>
        <v/>
      </c>
      <c r="W1102" s="70">
        <f>IF($A1102="","",SUMIFS('Mouvements stock'!$H$5:$H$3004,'Mouvements stock'!$I$5:$I$3004,$A1102,'Mouvements stock'!$C$5:$C$3004,"Sortie")-SUMIFS('Mouvements stock'!$H$5:$H$3004,'Mouvements stock'!$I$5:$I$3004,$A1102,'Mouvements stock'!$C$5:$C$3004,"Retour"))</f>
        <v/>
      </c>
      <c r="X1102" s="66" t="n">
        <v>0</v>
      </c>
      <c r="Y1102" s="66" t="n">
        <v>0</v>
      </c>
      <c r="Z1102" s="7" t="n"/>
      <c r="AA1102" s="70">
        <f>IF($A1102="","",N(V1102)+N(W1102)+N(X1102)+N(Y1102))</f>
        <v/>
      </c>
      <c r="AB1102" s="70">
        <f>IF($A1102="","",N(S1102)*'Paramètres'!$AA$9*IFERROR(INDEX('Paramètres'!$O$5:$O$7,MATCH(G1102,'Paramètres'!$N$5:$N$7,0)),0))</f>
        <v/>
      </c>
      <c r="AC1102" s="7" t="inlineStr">
        <is>
          <t>Clôturé</t>
        </is>
      </c>
      <c r="AD1102" s="69">
        <f>IF(OR($A1102="",Q1102=""),"",(Q1102-B1102)*24)</f>
        <v/>
      </c>
      <c r="AE1102" s="69">
        <f>IF(OR(Q1102="",R1102=""),"",(R1102-Q1102)*24)</f>
        <v/>
      </c>
      <c r="AF1102" s="77">
        <f>IF(OR($A1102="",B1102=""),"",YEAR(B1102))</f>
        <v/>
      </c>
      <c r="AG1102" s="77">
        <f>IF(OR($A1102="",B1102=""),"",MONTH(B1102))</f>
        <v/>
      </c>
    </row>
    <row r="1103">
      <c r="A1103" s="7" t="inlineStr">
        <is>
          <t>OT-2026-0248</t>
        </is>
      </c>
      <c r="B1103" s="75" t="n">
        <v>46139.48611111111</v>
      </c>
      <c r="C1103" s="7" t="inlineStr">
        <is>
          <t>Plan préventif</t>
        </is>
      </c>
      <c r="D1103" s="7" t="inlineStr">
        <is>
          <t>EQ-LOG-005</t>
        </is>
      </c>
      <c r="E1103" s="9">
        <f>IF(D1103="","",IFERROR(INDEX('Équipements'!$B$5:$B$304,MATCH(D1103,'Équipements'!$A$5:$A$304,0)),"Code inconnu"))</f>
        <v/>
      </c>
      <c r="F1103" s="9">
        <f>IF(D1103="","",IFERROR(INDEX('Équipements'!$D$5:$D$304,MATCH(D1103,'Équipements'!$A$5:$A$304,0)),""))</f>
        <v/>
      </c>
      <c r="G1103" s="9">
        <f>IF(D1103="","",IFERROR(INDEX('Équipements'!$K$5:$K$304,MATCH(D1103,'Équipements'!$A$5:$A$304,0)),""))</f>
        <v/>
      </c>
      <c r="H1103" s="7" t="inlineStr">
        <is>
          <t>Préventif systématique</t>
        </is>
      </c>
      <c r="I1103" s="7" t="inlineStr">
        <is>
          <t>GP-114</t>
        </is>
      </c>
      <c r="J1103" s="7" t="inlineStr">
        <is>
          <t>Mécanique</t>
        </is>
      </c>
      <c r="K1103" s="7" t="inlineStr">
        <is>
          <t>P3 - Normale</t>
        </is>
      </c>
      <c r="L1103" s="7" t="inlineStr">
        <is>
          <t>Contrôle batterie, niveaux et bandages</t>
        </is>
      </c>
      <c r="M1103" s="7" t="n"/>
      <c r="N1103" s="7" t="inlineStr">
        <is>
          <t>Gamme réalisée - RAS</t>
        </is>
      </c>
      <c r="O1103" s="7" t="inlineStr">
        <is>
          <t>Antoine Mercier</t>
        </is>
      </c>
      <c r="P1103" s="65" t="n">
        <v>46146.47569444445</v>
      </c>
      <c r="Q1103" s="75" t="n">
        <v>46146.44791666666</v>
      </c>
      <c r="R1103" s="75" t="n">
        <v>46146.47916666666</v>
      </c>
      <c r="S1103" s="76" t="n">
        <v>0.8</v>
      </c>
      <c r="T1103" s="76" t="n">
        <v>0.75</v>
      </c>
      <c r="U1103" s="70">
        <f>IF($A1103="","",IFERROR(INDEX('Techniciens'!$F$5:$F$44,MATCH(O1103,'Techniciens'!$B$5:$B$44,0)),'Paramètres'!$AA$10))</f>
        <v/>
      </c>
      <c r="V1103" s="70">
        <f>IF($A1103="","",IF(OR(AC1103="Demandé",AC1103="Planifié",AC1103="Annulé"),0,N(T1103)*N(U1103)))</f>
        <v/>
      </c>
      <c r="W1103" s="70">
        <f>IF($A1103="","",SUMIFS('Mouvements stock'!$H$5:$H$3004,'Mouvements stock'!$I$5:$I$3004,$A1103,'Mouvements stock'!$C$5:$C$3004,"Sortie")-SUMIFS('Mouvements stock'!$H$5:$H$3004,'Mouvements stock'!$I$5:$I$3004,$A1103,'Mouvements stock'!$C$5:$C$3004,"Retour"))</f>
        <v/>
      </c>
      <c r="X1103" s="66" t="n">
        <v>0</v>
      </c>
      <c r="Y1103" s="66" t="n">
        <v>0</v>
      </c>
      <c r="Z1103" s="7" t="n"/>
      <c r="AA1103" s="70">
        <f>IF($A1103="","",N(V1103)+N(W1103)+N(X1103)+N(Y1103))</f>
        <v/>
      </c>
      <c r="AB1103" s="70">
        <f>IF($A1103="","",N(S1103)*'Paramètres'!$AA$9*IFERROR(INDEX('Paramètres'!$O$5:$O$7,MATCH(G1103,'Paramètres'!$N$5:$N$7,0)),0))</f>
        <v/>
      </c>
      <c r="AC1103" s="7" t="inlineStr">
        <is>
          <t>Clôturé</t>
        </is>
      </c>
      <c r="AD1103" s="69">
        <f>IF(OR($A1103="",Q1103=""),"",(Q1103-B1103)*24)</f>
        <v/>
      </c>
      <c r="AE1103" s="69">
        <f>IF(OR(Q1103="",R1103=""),"",(R1103-Q1103)*24)</f>
        <v/>
      </c>
      <c r="AF1103" s="77">
        <f>IF(OR($A1103="",B1103=""),"",YEAR(B1103))</f>
        <v/>
      </c>
      <c r="AG1103" s="77">
        <f>IF(OR($A1103="",B1103=""),"",MONTH(B1103))</f>
        <v/>
      </c>
    </row>
    <row r="1104">
      <c r="A1104" s="7" t="inlineStr">
        <is>
          <t>OT-2026-0249</t>
        </is>
      </c>
      <c r="B1104" s="75" t="n">
        <v>46140.76805555556</v>
      </c>
      <c r="C1104" s="7" t="inlineStr">
        <is>
          <t>Opérateur tôlerie</t>
        </is>
      </c>
      <c r="D1104" s="7" t="inlineStr">
        <is>
          <t>EQ-TOL-003</t>
        </is>
      </c>
      <c r="E1104" s="9">
        <f>IF(D1104="","",IFERROR(INDEX('Équipements'!$B$5:$B$304,MATCH(D1104,'Équipements'!$A$5:$A$304,0)),"Code inconnu"))</f>
        <v/>
      </c>
      <c r="F1104" s="9">
        <f>IF(D1104="","",IFERROR(INDEX('Équipements'!$D$5:$D$304,MATCH(D1104,'Équipements'!$A$5:$A$304,0)),""))</f>
        <v/>
      </c>
      <c r="G1104" s="9">
        <f>IF(D1104="","",IFERROR(INDEX('Équipements'!$K$5:$K$304,MATCH(D1104,'Équipements'!$A$5:$A$304,0)),""))</f>
        <v/>
      </c>
      <c r="H1104" s="7" t="inlineStr">
        <is>
          <t>Correctif</t>
        </is>
      </c>
      <c r="I1104" s="7" t="n"/>
      <c r="J1104" s="7" t="inlineStr">
        <is>
          <t>Hydraulique</t>
        </is>
      </c>
      <c r="K1104" s="7" t="inlineStr">
        <is>
          <t>P1 - Urgent</t>
        </is>
      </c>
      <c r="L1104" s="7" t="inlineStr">
        <is>
          <t>Pompe hydraulique bruyante</t>
        </is>
      </c>
      <c r="M1104" s="7" t="inlineStr">
        <is>
          <t>Usure</t>
        </is>
      </c>
      <c r="N1104" s="7" t="inlineStr">
        <is>
          <t>Remplacement accouplement, contrôle débit pompe</t>
        </is>
      </c>
      <c r="O1104" s="7" t="inlineStr">
        <is>
          <t>Karim Benali</t>
        </is>
      </c>
      <c r="P1104" s="65" t="n"/>
      <c r="Q1104" s="75" t="n">
        <v>46140.80347222222</v>
      </c>
      <c r="R1104" s="75" t="n">
        <v>46142.30689542707</v>
      </c>
      <c r="S1104" s="76" t="n">
        <v>21.4</v>
      </c>
      <c r="T1104" s="76" t="n">
        <v>5</v>
      </c>
      <c r="U1104" s="70">
        <f>IF($A1104="","",IFERROR(INDEX('Techniciens'!$F$5:$F$44,MATCH(O1104,'Techniciens'!$B$5:$B$44,0)),'Paramètres'!$AA$10))</f>
        <v/>
      </c>
      <c r="V1104" s="70">
        <f>IF($A1104="","",IF(OR(AC1104="Demandé",AC1104="Planifié",AC1104="Annulé"),0,N(T1104)*N(U1104)))</f>
        <v/>
      </c>
      <c r="W1104" s="70">
        <f>IF($A1104="","",SUMIFS('Mouvements stock'!$H$5:$H$3004,'Mouvements stock'!$I$5:$I$3004,$A1104,'Mouvements stock'!$C$5:$C$3004,"Sortie")-SUMIFS('Mouvements stock'!$H$5:$H$3004,'Mouvements stock'!$I$5:$I$3004,$A1104,'Mouvements stock'!$C$5:$C$3004,"Retour"))</f>
        <v/>
      </c>
      <c r="X1104" s="66" t="n">
        <v>0</v>
      </c>
      <c r="Y1104" s="66" t="n">
        <v>0</v>
      </c>
      <c r="Z1104" s="7" t="n"/>
      <c r="AA1104" s="70">
        <f>IF($A1104="","",N(V1104)+N(W1104)+N(X1104)+N(Y1104))</f>
        <v/>
      </c>
      <c r="AB1104" s="70">
        <f>IF($A1104="","",N(S1104)*'Paramètres'!$AA$9*IFERROR(INDEX('Paramètres'!$O$5:$O$7,MATCH(G1104,'Paramètres'!$N$5:$N$7,0)),0))</f>
        <v/>
      </c>
      <c r="AC1104" s="7" t="inlineStr">
        <is>
          <t>Clôturé</t>
        </is>
      </c>
      <c r="AD1104" s="69">
        <f>IF(OR($A1104="",Q1104=""),"",(Q1104-B1104)*24)</f>
        <v/>
      </c>
      <c r="AE1104" s="69">
        <f>IF(OR(Q1104="",R1104=""),"",(R1104-Q1104)*24)</f>
        <v/>
      </c>
      <c r="AF1104" s="77">
        <f>IF(OR($A1104="",B1104=""),"",YEAR(B1104))</f>
        <v/>
      </c>
      <c r="AG1104" s="77">
        <f>IF(OR($A1104="",B1104=""),"",MONTH(B1104))</f>
        <v/>
      </c>
    </row>
    <row r="1105">
      <c r="A1105" s="7" t="inlineStr">
        <is>
          <t>OT-2026-0250</t>
        </is>
      </c>
      <c r="B1105" s="75" t="n">
        <v>46140.78611111111</v>
      </c>
      <c r="C1105" s="7" t="inlineStr">
        <is>
          <t>Éric Laurent (chef d'atelier)</t>
        </is>
      </c>
      <c r="D1105" s="7" t="inlineStr">
        <is>
          <t>EQ-USI-012</t>
        </is>
      </c>
      <c r="E1105" s="9">
        <f>IF(D1105="","",IFERROR(INDEX('Équipements'!$B$5:$B$304,MATCH(D1105,'Équipements'!$A$5:$A$304,0)),"Code inconnu"))</f>
        <v/>
      </c>
      <c r="F1105" s="9">
        <f>IF(D1105="","",IFERROR(INDEX('Équipements'!$D$5:$D$304,MATCH(D1105,'Équipements'!$A$5:$A$304,0)),""))</f>
        <v/>
      </c>
      <c r="G1105" s="9">
        <f>IF(D1105="","",IFERROR(INDEX('Équipements'!$K$5:$K$304,MATCH(D1105,'Équipements'!$A$5:$A$304,0)),""))</f>
        <v/>
      </c>
      <c r="H1105" s="7" t="inlineStr">
        <is>
          <t>Correctif</t>
        </is>
      </c>
      <c r="I1105" s="7" t="n"/>
      <c r="J1105" s="7" t="inlineStr">
        <is>
          <t>Automatisme</t>
        </is>
      </c>
      <c r="K1105" s="7" t="inlineStr">
        <is>
          <t>P1 - Urgent</t>
        </is>
      </c>
      <c r="L1105" s="7" t="inlineStr">
        <is>
          <t>Défaut collision robot</t>
        </is>
      </c>
      <c r="M1105" s="7" t="inlineStr">
        <is>
          <t>Erreur opérateur</t>
        </is>
      </c>
      <c r="N1105" s="7" t="inlineStr">
        <is>
          <t>Recalage TCP, remplacement buse et tube contact</t>
        </is>
      </c>
      <c r="O1105" s="7" t="inlineStr">
        <is>
          <t>Julien Moreau</t>
        </is>
      </c>
      <c r="P1105" s="65" t="n"/>
      <c r="Q1105" s="75" t="n">
        <v>46140.79722222222</v>
      </c>
      <c r="R1105" s="75" t="n">
        <v>46140.92222222222</v>
      </c>
      <c r="S1105" s="76" t="n">
        <v>3.3</v>
      </c>
      <c r="T1105" s="76" t="n">
        <v>3</v>
      </c>
      <c r="U1105" s="70">
        <f>IF($A1105="","",IFERROR(INDEX('Techniciens'!$F$5:$F$44,MATCH(O1105,'Techniciens'!$B$5:$B$44,0)),'Paramètres'!$AA$10))</f>
        <v/>
      </c>
      <c r="V1105" s="70">
        <f>IF($A1105="","",IF(OR(AC1105="Demandé",AC1105="Planifié",AC1105="Annulé"),0,N(T1105)*N(U1105)))</f>
        <v/>
      </c>
      <c r="W1105" s="70">
        <f>IF($A1105="","",SUMIFS('Mouvements stock'!$H$5:$H$3004,'Mouvements stock'!$I$5:$I$3004,$A1105,'Mouvements stock'!$C$5:$C$3004,"Sortie")-SUMIFS('Mouvements stock'!$H$5:$H$3004,'Mouvements stock'!$I$5:$I$3004,$A1105,'Mouvements stock'!$C$5:$C$3004,"Retour"))</f>
        <v/>
      </c>
      <c r="X1105" s="66" t="n">
        <v>0</v>
      </c>
      <c r="Y1105" s="66" t="n">
        <v>0</v>
      </c>
      <c r="Z1105" s="7" t="n"/>
      <c r="AA1105" s="70">
        <f>IF($A1105="","",N(V1105)+N(W1105)+N(X1105)+N(Y1105))</f>
        <v/>
      </c>
      <c r="AB1105" s="70">
        <f>IF($A1105="","",N(S1105)*'Paramètres'!$AA$9*IFERROR(INDEX('Paramètres'!$O$5:$O$7,MATCH(G1105,'Paramètres'!$N$5:$N$7,0)),0))</f>
        <v/>
      </c>
      <c r="AC1105" s="7" t="inlineStr">
        <is>
          <t>Clôturé</t>
        </is>
      </c>
      <c r="AD1105" s="69">
        <f>IF(OR($A1105="",Q1105=""),"",(Q1105-B1105)*24)</f>
        <v/>
      </c>
      <c r="AE1105" s="69">
        <f>IF(OR(Q1105="",R1105=""),"",(R1105-Q1105)*24)</f>
        <v/>
      </c>
      <c r="AF1105" s="77">
        <f>IF(OR($A1105="",B1105=""),"",YEAR(B1105))</f>
        <v/>
      </c>
      <c r="AG1105" s="77">
        <f>IF(OR($A1105="",B1105=""),"",MONTH(B1105))</f>
        <v/>
      </c>
    </row>
    <row r="1106">
      <c r="A1106" s="7" t="inlineStr">
        <is>
          <t>OT-2026-0251</t>
        </is>
      </c>
      <c r="B1106" s="75" t="n">
        <v>46141.34722222222</v>
      </c>
      <c r="C1106" s="7" t="inlineStr">
        <is>
          <t>Plan préventif</t>
        </is>
      </c>
      <c r="D1106" s="7" t="inlineStr">
        <is>
          <t>EQ-UTI-010</t>
        </is>
      </c>
      <c r="E1106" s="9">
        <f>IF(D1106="","",IFERROR(INDEX('Équipements'!$B$5:$B$304,MATCH(D1106,'Équipements'!$A$5:$A$304,0)),"Code inconnu"))</f>
        <v/>
      </c>
      <c r="F1106" s="9">
        <f>IF(D1106="","",IFERROR(INDEX('Équipements'!$D$5:$D$304,MATCH(D1106,'Équipements'!$A$5:$A$304,0)),""))</f>
        <v/>
      </c>
      <c r="G1106" s="9">
        <f>IF(D1106="","",IFERROR(INDEX('Équipements'!$K$5:$K$304,MATCH(D1106,'Équipements'!$A$5:$A$304,0)),""))</f>
        <v/>
      </c>
      <c r="H1106" s="7" t="inlineStr">
        <is>
          <t>Préventif systématique</t>
        </is>
      </c>
      <c r="I1106" s="7" t="inlineStr">
        <is>
          <t>GP-104</t>
        </is>
      </c>
      <c r="J1106" s="7" t="inlineStr">
        <is>
          <t>Électrique</t>
        </is>
      </c>
      <c r="K1106" s="7" t="inlineStr">
        <is>
          <t>P3 - Normale</t>
        </is>
      </c>
      <c r="L1106" s="7" t="inlineStr">
        <is>
          <t>Essai mensuel à charge du groupe électrogène</t>
        </is>
      </c>
      <c r="M1106" s="7" t="n"/>
      <c r="N1106" s="7" t="inlineStr">
        <is>
          <t>Gamme réalisée - RAS</t>
        </is>
      </c>
      <c r="O1106" s="7" t="inlineStr">
        <is>
          <t>Julien Moreau</t>
        </is>
      </c>
      <c r="P1106" s="65" t="n">
        <v>46148.44791666666</v>
      </c>
      <c r="Q1106" s="75" t="n">
        <v>46148.5</v>
      </c>
      <c r="R1106" s="75" t="n">
        <v>46148.5625</v>
      </c>
      <c r="S1106" s="76" t="n">
        <v>0</v>
      </c>
      <c r="T1106" s="76" t="n">
        <v>1.5</v>
      </c>
      <c r="U1106" s="70">
        <f>IF($A1106="","",IFERROR(INDEX('Techniciens'!$F$5:$F$44,MATCH(O1106,'Techniciens'!$B$5:$B$44,0)),'Paramètres'!$AA$10))</f>
        <v/>
      </c>
      <c r="V1106" s="70">
        <f>IF($A1106="","",IF(OR(AC1106="Demandé",AC1106="Planifié",AC1106="Annulé"),0,N(T1106)*N(U1106)))</f>
        <v/>
      </c>
      <c r="W1106" s="70">
        <f>IF($A1106="","",SUMIFS('Mouvements stock'!$H$5:$H$3004,'Mouvements stock'!$I$5:$I$3004,$A1106,'Mouvements stock'!$C$5:$C$3004,"Sortie")-SUMIFS('Mouvements stock'!$H$5:$H$3004,'Mouvements stock'!$I$5:$I$3004,$A1106,'Mouvements stock'!$C$5:$C$3004,"Retour"))</f>
        <v/>
      </c>
      <c r="X1106" s="66" t="n">
        <v>0</v>
      </c>
      <c r="Y1106" s="66" t="n">
        <v>0</v>
      </c>
      <c r="Z1106" s="7" t="n"/>
      <c r="AA1106" s="70">
        <f>IF($A1106="","",N(V1106)+N(W1106)+N(X1106)+N(Y1106))</f>
        <v/>
      </c>
      <c r="AB1106" s="70">
        <f>IF($A1106="","",N(S1106)*'Paramètres'!$AA$9*IFERROR(INDEX('Paramètres'!$O$5:$O$7,MATCH(G1106,'Paramètres'!$N$5:$N$7,0)),0))</f>
        <v/>
      </c>
      <c r="AC1106" s="7" t="inlineStr">
        <is>
          <t>Clôturé</t>
        </is>
      </c>
      <c r="AD1106" s="69">
        <f>IF(OR($A1106="",Q1106=""),"",(Q1106-B1106)*24)</f>
        <v/>
      </c>
      <c r="AE1106" s="69">
        <f>IF(OR(Q1106="",R1106=""),"",(R1106-Q1106)*24)</f>
        <v/>
      </c>
      <c r="AF1106" s="77">
        <f>IF(OR($A1106="",B1106=""),"",YEAR(B1106))</f>
        <v/>
      </c>
      <c r="AG1106" s="77">
        <f>IF(OR($A1106="",B1106=""),"",MONTH(B1106))</f>
        <v/>
      </c>
    </row>
    <row r="1107">
      <c r="A1107" s="7" t="inlineStr">
        <is>
          <t>OT-2026-0252</t>
        </is>
      </c>
      <c r="B1107" s="75" t="n">
        <v>46141.36805555555</v>
      </c>
      <c r="C1107" s="7" t="inlineStr">
        <is>
          <t>Plan préventif</t>
        </is>
      </c>
      <c r="D1107" s="7" t="inlineStr">
        <is>
          <t>EQ-USI-001</t>
        </is>
      </c>
      <c r="E1107" s="9">
        <f>IF(D1107="","",IFERROR(INDEX('Équipements'!$B$5:$B$304,MATCH(D1107,'Équipements'!$A$5:$A$304,0)),"Code inconnu"))</f>
        <v/>
      </c>
      <c r="F1107" s="9">
        <f>IF(D1107="","",IFERROR(INDEX('Équipements'!$D$5:$D$304,MATCH(D1107,'Équipements'!$A$5:$A$304,0)),""))</f>
        <v/>
      </c>
      <c r="G1107" s="9">
        <f>IF(D1107="","",IFERROR(INDEX('Équipements'!$K$5:$K$304,MATCH(D1107,'Équipements'!$A$5:$A$304,0)),""))</f>
        <v/>
      </c>
      <c r="H1107" s="7" t="inlineStr">
        <is>
          <t>Préventif systématique</t>
        </is>
      </c>
      <c r="I1107" s="7" t="inlineStr">
        <is>
          <t>GP-001</t>
        </is>
      </c>
      <c r="J1107" s="7" t="inlineStr">
        <is>
          <t>Mécanique</t>
        </is>
      </c>
      <c r="K1107" s="7" t="inlineStr">
        <is>
          <t>P3 - Normale</t>
        </is>
      </c>
      <c r="L1107" s="7" t="inlineStr">
        <is>
          <t>Contrôle niveaux, nettoyage filtres et bac à copeaux</t>
        </is>
      </c>
      <c r="M1107" s="7" t="n"/>
      <c r="N1107" s="7" t="inlineStr">
        <is>
          <t>Gamme réalisée - RAS</t>
        </is>
      </c>
      <c r="O1107" s="7" t="inlineStr">
        <is>
          <t>Antoine Mercier</t>
        </is>
      </c>
      <c r="P1107" s="65" t="n">
        <v>46148.375</v>
      </c>
      <c r="Q1107" s="75" t="n">
        <v>46148.38888888889</v>
      </c>
      <c r="R1107" s="75" t="n">
        <v>46148.44097222222</v>
      </c>
      <c r="S1107" s="76" t="n">
        <v>1.2</v>
      </c>
      <c r="T1107" s="76" t="n">
        <v>1.25</v>
      </c>
      <c r="U1107" s="70">
        <f>IF($A1107="","",IFERROR(INDEX('Techniciens'!$F$5:$F$44,MATCH(O1107,'Techniciens'!$B$5:$B$44,0)),'Paramètres'!$AA$10))</f>
        <v/>
      </c>
      <c r="V1107" s="70">
        <f>IF($A1107="","",IF(OR(AC1107="Demandé",AC1107="Planifié",AC1107="Annulé"),0,N(T1107)*N(U1107)))</f>
        <v/>
      </c>
      <c r="W1107" s="70">
        <f>IF($A1107="","",SUMIFS('Mouvements stock'!$H$5:$H$3004,'Mouvements stock'!$I$5:$I$3004,$A1107,'Mouvements stock'!$C$5:$C$3004,"Sortie")-SUMIFS('Mouvements stock'!$H$5:$H$3004,'Mouvements stock'!$I$5:$I$3004,$A1107,'Mouvements stock'!$C$5:$C$3004,"Retour"))</f>
        <v/>
      </c>
      <c r="X1107" s="66" t="n">
        <v>0</v>
      </c>
      <c r="Y1107" s="66" t="n">
        <v>0</v>
      </c>
      <c r="Z1107" s="7" t="n"/>
      <c r="AA1107" s="70">
        <f>IF($A1107="","",N(V1107)+N(W1107)+N(X1107)+N(Y1107))</f>
        <v/>
      </c>
      <c r="AB1107" s="70">
        <f>IF($A1107="","",N(S1107)*'Paramètres'!$AA$9*IFERROR(INDEX('Paramètres'!$O$5:$O$7,MATCH(G1107,'Paramètres'!$N$5:$N$7,0)),0))</f>
        <v/>
      </c>
      <c r="AC1107" s="7" t="inlineStr">
        <is>
          <t>Clôturé</t>
        </is>
      </c>
      <c r="AD1107" s="69">
        <f>IF(OR($A1107="",Q1107=""),"",(Q1107-B1107)*24)</f>
        <v/>
      </c>
      <c r="AE1107" s="69">
        <f>IF(OR(Q1107="",R1107=""),"",(R1107-Q1107)*24)</f>
        <v/>
      </c>
      <c r="AF1107" s="77">
        <f>IF(OR($A1107="",B1107=""),"",YEAR(B1107))</f>
        <v/>
      </c>
      <c r="AG1107" s="77">
        <f>IF(OR($A1107="",B1107=""),"",MONTH(B1107))</f>
        <v/>
      </c>
    </row>
    <row r="1108">
      <c r="A1108" s="7" t="inlineStr">
        <is>
          <t>OT-2026-0253</t>
        </is>
      </c>
      <c r="B1108" s="75" t="n">
        <v>46141.38194444445</v>
      </c>
      <c r="C1108" s="7" t="inlineStr">
        <is>
          <t>Plan préventif</t>
        </is>
      </c>
      <c r="D1108" s="7" t="inlineStr">
        <is>
          <t>EQ-PEI-003</t>
        </is>
      </c>
      <c r="E1108" s="9">
        <f>IF(D1108="","",IFERROR(INDEX('Équipements'!$B$5:$B$304,MATCH(D1108,'Équipements'!$A$5:$A$304,0)),"Code inconnu"))</f>
        <v/>
      </c>
      <c r="F1108" s="9">
        <f>IF(D1108="","",IFERROR(INDEX('Équipements'!$D$5:$D$304,MATCH(D1108,'Équipements'!$A$5:$A$304,0)),""))</f>
        <v/>
      </c>
      <c r="G1108" s="9">
        <f>IF(D1108="","",IFERROR(INDEX('Équipements'!$K$5:$K$304,MATCH(D1108,'Équipements'!$A$5:$A$304,0)),""))</f>
        <v/>
      </c>
      <c r="H1108" s="7" t="inlineStr">
        <is>
          <t>Préventif systématique</t>
        </is>
      </c>
      <c r="I1108" s="7" t="inlineStr">
        <is>
          <t>GP-070</t>
        </is>
      </c>
      <c r="J1108" s="7" t="inlineStr">
        <is>
          <t>Mécanique</t>
        </is>
      </c>
      <c r="K1108" s="7" t="inlineStr">
        <is>
          <t>P3 - Normale</t>
        </is>
      </c>
      <c r="L1108" s="7" t="inlineStr">
        <is>
          <t>Nettoyage et remplacement des filtres</t>
        </is>
      </c>
      <c r="M1108" s="7" t="n"/>
      <c r="N1108" s="7" t="inlineStr">
        <is>
          <t>Gamme réalisée - RAS</t>
        </is>
      </c>
      <c r="O1108" s="7" t="inlineStr">
        <is>
          <t>Antoine Mercier</t>
        </is>
      </c>
      <c r="P1108" s="65" t="n">
        <v>46148.625</v>
      </c>
      <c r="Q1108" s="75" t="n">
        <v>46148.61458333334</v>
      </c>
      <c r="R1108" s="75" t="n">
        <v>46148.78125</v>
      </c>
      <c r="S1108" s="76" t="n">
        <v>4</v>
      </c>
      <c r="T1108" s="76" t="n">
        <v>4</v>
      </c>
      <c r="U1108" s="70">
        <f>IF($A1108="","",IFERROR(INDEX('Techniciens'!$F$5:$F$44,MATCH(O1108,'Techniciens'!$B$5:$B$44,0)),'Paramètres'!$AA$10))</f>
        <v/>
      </c>
      <c r="V1108" s="70">
        <f>IF($A1108="","",IF(OR(AC1108="Demandé",AC1108="Planifié",AC1108="Annulé"),0,N(T1108)*N(U1108)))</f>
        <v/>
      </c>
      <c r="W1108" s="70">
        <f>IF($A1108="","",SUMIFS('Mouvements stock'!$H$5:$H$3004,'Mouvements stock'!$I$5:$I$3004,$A1108,'Mouvements stock'!$C$5:$C$3004,"Sortie")-SUMIFS('Mouvements stock'!$H$5:$H$3004,'Mouvements stock'!$I$5:$I$3004,$A1108,'Mouvements stock'!$C$5:$C$3004,"Retour"))</f>
        <v/>
      </c>
      <c r="X1108" s="66" t="n">
        <v>0</v>
      </c>
      <c r="Y1108" s="66" t="n">
        <v>0</v>
      </c>
      <c r="Z1108" s="7" t="n"/>
      <c r="AA1108" s="70">
        <f>IF($A1108="","",N(V1108)+N(W1108)+N(X1108)+N(Y1108))</f>
        <v/>
      </c>
      <c r="AB1108" s="70">
        <f>IF($A1108="","",N(S1108)*'Paramètres'!$AA$9*IFERROR(INDEX('Paramètres'!$O$5:$O$7,MATCH(G1108,'Paramètres'!$N$5:$N$7,0)),0))</f>
        <v/>
      </c>
      <c r="AC1108" s="7" t="inlineStr">
        <is>
          <t>Clôturé</t>
        </is>
      </c>
      <c r="AD1108" s="69">
        <f>IF(OR($A1108="",Q1108=""),"",(Q1108-B1108)*24)</f>
        <v/>
      </c>
      <c r="AE1108" s="69">
        <f>IF(OR(Q1108="",R1108=""),"",(R1108-Q1108)*24)</f>
        <v/>
      </c>
      <c r="AF1108" s="77">
        <f>IF(OR($A1108="",B1108=""),"",YEAR(B1108))</f>
        <v/>
      </c>
      <c r="AG1108" s="77">
        <f>IF(OR($A1108="",B1108=""),"",MONTH(B1108))</f>
        <v/>
      </c>
    </row>
    <row r="1109">
      <c r="A1109" s="7" t="inlineStr">
        <is>
          <t>OT-2026-0254</t>
        </is>
      </c>
      <c r="B1109" s="75" t="n">
        <v>46141.80069444444</v>
      </c>
      <c r="C1109" s="7" t="inlineStr">
        <is>
          <t>Marc Lefèvre</t>
        </is>
      </c>
      <c r="D1109" s="7" t="inlineStr">
        <is>
          <t>EQ-UTI-006</t>
        </is>
      </c>
      <c r="E1109" s="9">
        <f>IF(D1109="","",IFERROR(INDEX('Équipements'!$B$5:$B$304,MATCH(D1109,'Équipements'!$A$5:$A$304,0)),"Code inconnu"))</f>
        <v/>
      </c>
      <c r="F1109" s="9">
        <f>IF(D1109="","",IFERROR(INDEX('Équipements'!$D$5:$D$304,MATCH(D1109,'Équipements'!$A$5:$A$304,0)),""))</f>
        <v/>
      </c>
      <c r="G1109" s="9">
        <f>IF(D1109="","",IFERROR(INDEX('Équipements'!$K$5:$K$304,MATCH(D1109,'Équipements'!$A$5:$A$304,0)),""))</f>
        <v/>
      </c>
      <c r="H1109" s="7" t="inlineStr">
        <is>
          <t>Correctif</t>
        </is>
      </c>
      <c r="I1109" s="7" t="n"/>
      <c r="J1109" s="7" t="inlineStr">
        <is>
          <t>Mécanique</t>
        </is>
      </c>
      <c r="K1109" s="7" t="inlineStr">
        <is>
          <t>P4 - Basse</t>
        </is>
      </c>
      <c r="L1109" s="7" t="inlineStr">
        <is>
          <t>Perte d'aspiration / débit insuffisant</t>
        </is>
      </c>
      <c r="M1109" s="7" t="inlineStr">
        <is>
          <t>Encrassement</t>
        </is>
      </c>
      <c r="N1109" s="7" t="inlineStr">
        <is>
          <t>Remplacement cartouches filtrantes</t>
        </is>
      </c>
      <c r="O1109" s="7" t="inlineStr">
        <is>
          <t>Antoine Mercier</t>
        </is>
      </c>
      <c r="P1109" s="65" t="n"/>
      <c r="Q1109" s="75" t="n">
        <v>46145.71388888889</v>
      </c>
      <c r="R1109" s="75" t="n">
        <v>46145.85972222222</v>
      </c>
      <c r="S1109" s="76" t="n">
        <v>0</v>
      </c>
      <c r="T1109" s="76" t="n">
        <v>3.5</v>
      </c>
      <c r="U1109" s="70">
        <f>IF($A1109="","",IFERROR(INDEX('Techniciens'!$F$5:$F$44,MATCH(O1109,'Techniciens'!$B$5:$B$44,0)),'Paramètres'!$AA$10))</f>
        <v/>
      </c>
      <c r="V1109" s="70">
        <f>IF($A1109="","",IF(OR(AC1109="Demandé",AC1109="Planifié",AC1109="Annulé"),0,N(T1109)*N(U1109)))</f>
        <v/>
      </c>
      <c r="W1109" s="70">
        <f>IF($A1109="","",SUMIFS('Mouvements stock'!$H$5:$H$3004,'Mouvements stock'!$I$5:$I$3004,$A1109,'Mouvements stock'!$C$5:$C$3004,"Sortie")-SUMIFS('Mouvements stock'!$H$5:$H$3004,'Mouvements stock'!$I$5:$I$3004,$A1109,'Mouvements stock'!$C$5:$C$3004,"Retour"))</f>
        <v/>
      </c>
      <c r="X1109" s="66" t="n">
        <v>0</v>
      </c>
      <c r="Y1109" s="66" t="n">
        <v>0</v>
      </c>
      <c r="Z1109" s="7" t="n"/>
      <c r="AA1109" s="70">
        <f>IF($A1109="","",N(V1109)+N(W1109)+N(X1109)+N(Y1109))</f>
        <v/>
      </c>
      <c r="AB1109" s="70">
        <f>IF($A1109="","",N(S1109)*'Paramètres'!$AA$9*IFERROR(INDEX('Paramètres'!$O$5:$O$7,MATCH(G1109,'Paramètres'!$N$5:$N$7,0)),0))</f>
        <v/>
      </c>
      <c r="AC1109" s="7" t="inlineStr">
        <is>
          <t>Clôturé</t>
        </is>
      </c>
      <c r="AD1109" s="69">
        <f>IF(OR($A1109="",Q1109=""),"",(Q1109-B1109)*24)</f>
        <v/>
      </c>
      <c r="AE1109" s="69">
        <f>IF(OR(Q1109="",R1109=""),"",(R1109-Q1109)*24)</f>
        <v/>
      </c>
      <c r="AF1109" s="77">
        <f>IF(OR($A1109="",B1109=""),"",YEAR(B1109))</f>
        <v/>
      </c>
      <c r="AG1109" s="77">
        <f>IF(OR($A1109="",B1109=""),"",MONTH(B1109))</f>
        <v/>
      </c>
    </row>
    <row r="1110">
      <c r="A1110" s="7" t="inlineStr">
        <is>
          <t>OT-2026-0255</t>
        </is>
      </c>
      <c r="B1110" s="75" t="n">
        <v>46142.44444444445</v>
      </c>
      <c r="C1110" s="7" t="inlineStr">
        <is>
          <t>Plan préventif</t>
        </is>
      </c>
      <c r="D1110" s="7" t="inlineStr">
        <is>
          <t>EQ-LOG-002</t>
        </is>
      </c>
      <c r="E1110" s="9">
        <f>IF(D1110="","",IFERROR(INDEX('Équipements'!$B$5:$B$304,MATCH(D1110,'Équipements'!$A$5:$A$304,0)),"Code inconnu"))</f>
        <v/>
      </c>
      <c r="F1110" s="9">
        <f>IF(D1110="","",IFERROR(INDEX('Équipements'!$D$5:$D$304,MATCH(D1110,'Équipements'!$A$5:$A$304,0)),""))</f>
        <v/>
      </c>
      <c r="G1110" s="9">
        <f>IF(D1110="","",IFERROR(INDEX('Équipements'!$K$5:$K$304,MATCH(D1110,'Équipements'!$A$5:$A$304,0)),""))</f>
        <v/>
      </c>
      <c r="H1110" s="7" t="inlineStr">
        <is>
          <t>Préventif systématique</t>
        </is>
      </c>
      <c r="I1110" s="7" t="inlineStr">
        <is>
          <t>GP-108</t>
        </is>
      </c>
      <c r="J1110" s="7" t="inlineStr">
        <is>
          <t>Mécanique</t>
        </is>
      </c>
      <c r="K1110" s="7" t="inlineStr">
        <is>
          <t>P3 - Normale</t>
        </is>
      </c>
      <c r="L1110" s="7" t="inlineStr">
        <is>
          <t>Contrôle batterie, niveaux et bandages</t>
        </is>
      </c>
      <c r="M1110" s="7" t="n"/>
      <c r="N1110" s="7" t="inlineStr">
        <is>
          <t>Gamme réalisée - RAS</t>
        </is>
      </c>
      <c r="O1110" s="7" t="inlineStr">
        <is>
          <t>Antoine Mercier</t>
        </is>
      </c>
      <c r="P1110" s="65" t="n">
        <v>46149.375</v>
      </c>
      <c r="Q1110" s="75" t="n">
        <v>46149.57291666666</v>
      </c>
      <c r="R1110" s="75" t="n">
        <v>46149.60416666666</v>
      </c>
      <c r="S1110" s="76" t="n">
        <v>0</v>
      </c>
      <c r="T1110" s="76" t="n">
        <v>0.75</v>
      </c>
      <c r="U1110" s="70">
        <f>IF($A1110="","",IFERROR(INDEX('Techniciens'!$F$5:$F$44,MATCH(O1110,'Techniciens'!$B$5:$B$44,0)),'Paramètres'!$AA$10))</f>
        <v/>
      </c>
      <c r="V1110" s="70">
        <f>IF($A1110="","",IF(OR(AC1110="Demandé",AC1110="Planifié",AC1110="Annulé"),0,N(T1110)*N(U1110)))</f>
        <v/>
      </c>
      <c r="W1110" s="70">
        <f>IF($A1110="","",SUMIFS('Mouvements stock'!$H$5:$H$3004,'Mouvements stock'!$I$5:$I$3004,$A1110,'Mouvements stock'!$C$5:$C$3004,"Sortie")-SUMIFS('Mouvements stock'!$H$5:$H$3004,'Mouvements stock'!$I$5:$I$3004,$A1110,'Mouvements stock'!$C$5:$C$3004,"Retour"))</f>
        <v/>
      </c>
      <c r="X1110" s="66" t="n">
        <v>0</v>
      </c>
      <c r="Y1110" s="66" t="n">
        <v>0</v>
      </c>
      <c r="Z1110" s="7" t="n"/>
      <c r="AA1110" s="70">
        <f>IF($A1110="","",N(V1110)+N(W1110)+N(X1110)+N(Y1110))</f>
        <v/>
      </c>
      <c r="AB1110" s="70">
        <f>IF($A1110="","",N(S1110)*'Paramètres'!$AA$9*IFERROR(INDEX('Paramètres'!$O$5:$O$7,MATCH(G1110,'Paramètres'!$N$5:$N$7,0)),0))</f>
        <v/>
      </c>
      <c r="AC1110" s="7" t="inlineStr">
        <is>
          <t>Clôturé</t>
        </is>
      </c>
      <c r="AD1110" s="69">
        <f>IF(OR($A1110="",Q1110=""),"",(Q1110-B1110)*24)</f>
        <v/>
      </c>
      <c r="AE1110" s="69">
        <f>IF(OR(Q1110="",R1110=""),"",(R1110-Q1110)*24)</f>
        <v/>
      </c>
      <c r="AF1110" s="77">
        <f>IF(OR($A1110="",B1110=""),"",YEAR(B1110))</f>
        <v/>
      </c>
      <c r="AG1110" s="77">
        <f>IF(OR($A1110="",B1110=""),"",MONTH(B1110))</f>
        <v/>
      </c>
    </row>
    <row r="1111">
      <c r="A1111" s="7" t="inlineStr">
        <is>
          <t>OT-2026-0256</t>
        </is>
      </c>
      <c r="B1111" s="75" t="n">
        <v>46142.89027777778</v>
      </c>
      <c r="C1111" s="7" t="inlineStr">
        <is>
          <t>Sylvie Mathieu (resp. logistique)</t>
        </is>
      </c>
      <c r="D1111" s="7" t="inlineStr">
        <is>
          <t>EQ-LOG-003</t>
        </is>
      </c>
      <c r="E1111" s="9">
        <f>IF(D1111="","",IFERROR(INDEX('Équipements'!$B$5:$B$304,MATCH(D1111,'Équipements'!$A$5:$A$304,0)),"Code inconnu"))</f>
        <v/>
      </c>
      <c r="F1111" s="9">
        <f>IF(D1111="","",IFERROR(INDEX('Équipements'!$D$5:$D$304,MATCH(D1111,'Équipements'!$A$5:$A$304,0)),""))</f>
        <v/>
      </c>
      <c r="G1111" s="9">
        <f>IF(D1111="","",IFERROR(INDEX('Équipements'!$K$5:$K$304,MATCH(D1111,'Équipements'!$A$5:$A$304,0)),""))</f>
        <v/>
      </c>
      <c r="H1111" s="7" t="inlineStr">
        <is>
          <t>Correctif</t>
        </is>
      </c>
      <c r="I1111" s="7" t="n"/>
      <c r="J1111" s="7" t="inlineStr">
        <is>
          <t>Hydraulique</t>
        </is>
      </c>
      <c r="K1111" s="7" t="inlineStr">
        <is>
          <t>P4 - Basse</t>
        </is>
      </c>
      <c r="L1111" s="7" t="inlineStr">
        <is>
          <t>Fuite vérin de levée</t>
        </is>
      </c>
      <c r="M1111" s="7" t="inlineStr">
        <is>
          <t>Fuite</t>
        </is>
      </c>
      <c r="N1111" s="7" t="inlineStr">
        <is>
          <t>Remplacement kit joints</t>
        </is>
      </c>
      <c r="O1111" s="7" t="inlineStr">
        <is>
          <t>Karim Benali</t>
        </is>
      </c>
      <c r="P1111" s="65" t="n"/>
      <c r="Q1111" s="75" t="n">
        <v>46146.40972222222</v>
      </c>
      <c r="R1111" s="75" t="n">
        <v>46146.55555555555</v>
      </c>
      <c r="S1111" s="76" t="n">
        <v>1.1</v>
      </c>
      <c r="T1111" s="76" t="n">
        <v>3.5</v>
      </c>
      <c r="U1111" s="70">
        <f>IF($A1111="","",IFERROR(INDEX('Techniciens'!$F$5:$F$44,MATCH(O1111,'Techniciens'!$B$5:$B$44,0)),'Paramètres'!$AA$10))</f>
        <v/>
      </c>
      <c r="V1111" s="70">
        <f>IF($A1111="","",IF(OR(AC1111="Demandé",AC1111="Planifié",AC1111="Annulé"),0,N(T1111)*N(U1111)))</f>
        <v/>
      </c>
      <c r="W1111" s="70">
        <f>IF($A1111="","",SUMIFS('Mouvements stock'!$H$5:$H$3004,'Mouvements stock'!$I$5:$I$3004,$A1111,'Mouvements stock'!$C$5:$C$3004,"Sortie")-SUMIFS('Mouvements stock'!$H$5:$H$3004,'Mouvements stock'!$I$5:$I$3004,$A1111,'Mouvements stock'!$C$5:$C$3004,"Retour"))</f>
        <v/>
      </c>
      <c r="X1111" s="66" t="n">
        <v>0</v>
      </c>
      <c r="Y1111" s="66" t="n">
        <v>0</v>
      </c>
      <c r="Z1111" s="7" t="n"/>
      <c r="AA1111" s="70">
        <f>IF($A1111="","",N(V1111)+N(W1111)+N(X1111)+N(Y1111))</f>
        <v/>
      </c>
      <c r="AB1111" s="70">
        <f>IF($A1111="","",N(S1111)*'Paramètres'!$AA$9*IFERROR(INDEX('Paramètres'!$O$5:$O$7,MATCH(G1111,'Paramètres'!$N$5:$N$7,0)),0))</f>
        <v/>
      </c>
      <c r="AC1111" s="7" t="inlineStr">
        <is>
          <t>Clôturé</t>
        </is>
      </c>
      <c r="AD1111" s="69">
        <f>IF(OR($A1111="",Q1111=""),"",(Q1111-B1111)*24)</f>
        <v/>
      </c>
      <c r="AE1111" s="69">
        <f>IF(OR(Q1111="",R1111=""),"",(R1111-Q1111)*24)</f>
        <v/>
      </c>
      <c r="AF1111" s="77">
        <f>IF(OR($A1111="",B1111=""),"",YEAR(B1111))</f>
        <v/>
      </c>
      <c r="AG1111" s="77">
        <f>IF(OR($A1111="",B1111=""),"",MONTH(B1111))</f>
        <v/>
      </c>
    </row>
    <row r="1112">
      <c r="A1112" s="7" t="inlineStr">
        <is>
          <t>OT-2026-0257</t>
        </is>
      </c>
      <c r="B1112" s="75" t="n">
        <v>46143.42708333334</v>
      </c>
      <c r="C1112" s="7" t="inlineStr">
        <is>
          <t>Planning réglementaire</t>
        </is>
      </c>
      <c r="D1112" s="7" t="inlineStr">
        <is>
          <t>EQ-LOG-006</t>
        </is>
      </c>
      <c r="E1112" s="9">
        <f>IF(D1112="","",IFERROR(INDEX('Équipements'!$B$5:$B$304,MATCH(D1112,'Équipements'!$A$5:$A$304,0)),"Code inconnu"))</f>
        <v/>
      </c>
      <c r="F1112" s="9">
        <f>IF(D1112="","",IFERROR(INDEX('Équipements'!$D$5:$D$304,MATCH(D1112,'Équipements'!$A$5:$A$304,0)),""))</f>
        <v/>
      </c>
      <c r="G1112" s="9">
        <f>IF(D1112="","",IFERROR(INDEX('Équipements'!$K$5:$K$304,MATCH(D1112,'Équipements'!$A$5:$A$304,0)),""))</f>
        <v/>
      </c>
      <c r="H1112" s="7" t="inlineStr">
        <is>
          <t>Réglementaire</t>
        </is>
      </c>
      <c r="I1112" s="7" t="inlineStr">
        <is>
          <t>CR-001</t>
        </is>
      </c>
      <c r="J1112" s="7" t="inlineStr">
        <is>
          <t>Multi-technique</t>
        </is>
      </c>
      <c r="K1112" s="7" t="inlineStr">
        <is>
          <t>P2 - Haute</t>
        </is>
      </c>
      <c r="L1112" s="7" t="inlineStr">
        <is>
          <t>Vérification générale périodique (VGP) appareil de levage</t>
        </is>
      </c>
      <c r="M1112" s="7" t="n"/>
      <c r="N1112" s="7" t="inlineStr">
        <is>
          <t>Contrôle réalisé - observations mineures au rapport</t>
        </is>
      </c>
      <c r="O1112" s="7" t="inlineStr">
        <is>
          <t>Nadia Rousseau</t>
        </is>
      </c>
      <c r="P1112" s="65" t="n">
        <v>46164</v>
      </c>
      <c r="Q1112" s="75" t="n">
        <v>46164.38541666666</v>
      </c>
      <c r="R1112" s="75" t="n">
        <v>46164.46875</v>
      </c>
      <c r="S1112" s="76" t="n">
        <v>2</v>
      </c>
      <c r="T1112" s="76" t="n">
        <v>1.5</v>
      </c>
      <c r="U1112" s="70">
        <f>IF($A1112="","",IFERROR(INDEX('Techniciens'!$F$5:$F$44,MATCH(O1112,'Techniciens'!$B$5:$B$44,0)),'Paramètres'!$AA$10))</f>
        <v/>
      </c>
      <c r="V1112" s="70">
        <f>IF($A1112="","",IF(OR(AC1112="Demandé",AC1112="Planifié",AC1112="Annulé"),0,N(T1112)*N(U1112)))</f>
        <v/>
      </c>
      <c r="W1112" s="70">
        <f>IF($A1112="","",SUMIFS('Mouvements stock'!$H$5:$H$3004,'Mouvements stock'!$I$5:$I$3004,$A1112,'Mouvements stock'!$C$5:$C$3004,"Sortie")-SUMIFS('Mouvements stock'!$H$5:$H$3004,'Mouvements stock'!$I$5:$I$3004,$A1112,'Mouvements stock'!$C$5:$C$3004,"Retour"))</f>
        <v/>
      </c>
      <c r="X1112" s="66" t="n">
        <v>0</v>
      </c>
      <c r="Y1112" s="66" t="n">
        <v>290</v>
      </c>
      <c r="Z1112" s="7" t="inlineStr">
        <is>
          <t>CONTROLIS (organisme fictif)</t>
        </is>
      </c>
      <c r="AA1112" s="70">
        <f>IF($A1112="","",N(V1112)+N(W1112)+N(X1112)+N(Y1112))</f>
        <v/>
      </c>
      <c r="AB1112" s="70">
        <f>IF($A1112="","",N(S1112)*'Paramètres'!$AA$9*IFERROR(INDEX('Paramètres'!$O$5:$O$7,MATCH(G1112,'Paramètres'!$N$5:$N$7,0)),0))</f>
        <v/>
      </c>
      <c r="AC1112" s="7" t="inlineStr">
        <is>
          <t>Clôturé</t>
        </is>
      </c>
      <c r="AD1112" s="69">
        <f>IF(OR($A1112="",Q1112=""),"",(Q1112-B1112)*24)</f>
        <v/>
      </c>
      <c r="AE1112" s="69">
        <f>IF(OR(Q1112="",R1112=""),"",(R1112-Q1112)*24)</f>
        <v/>
      </c>
      <c r="AF1112" s="77">
        <f>IF(OR($A1112="",B1112=""),"",YEAR(B1112))</f>
        <v/>
      </c>
      <c r="AG1112" s="77">
        <f>IF(OR($A1112="",B1112=""),"",MONTH(B1112))</f>
        <v/>
      </c>
    </row>
    <row r="1113">
      <c r="A1113" s="7" t="inlineStr">
        <is>
          <t>OT-2026-0258</t>
        </is>
      </c>
      <c r="B1113" s="75" t="n">
        <v>46143.48958333334</v>
      </c>
      <c r="C1113" s="7" t="inlineStr">
        <is>
          <t>Plan préventif</t>
        </is>
      </c>
      <c r="D1113" s="7" t="inlineStr">
        <is>
          <t>EQ-USI-004</t>
        </is>
      </c>
      <c r="E1113" s="9">
        <f>IF(D1113="","",IFERROR(INDEX('Équipements'!$B$5:$B$304,MATCH(D1113,'Équipements'!$A$5:$A$304,0)),"Code inconnu"))</f>
        <v/>
      </c>
      <c r="F1113" s="9">
        <f>IF(D1113="","",IFERROR(INDEX('Équipements'!$D$5:$D$304,MATCH(D1113,'Équipements'!$A$5:$A$304,0)),""))</f>
        <v/>
      </c>
      <c r="G1113" s="9">
        <f>IF(D1113="","",IFERROR(INDEX('Équipements'!$K$5:$K$304,MATCH(D1113,'Équipements'!$A$5:$A$304,0)),""))</f>
        <v/>
      </c>
      <c r="H1113" s="7" t="inlineStr">
        <is>
          <t>Préventif systématique</t>
        </is>
      </c>
      <c r="I1113" s="7" t="inlineStr">
        <is>
          <t>GP-013</t>
        </is>
      </c>
      <c r="J1113" s="7" t="inlineStr">
        <is>
          <t>Mécanique</t>
        </is>
      </c>
      <c r="K1113" s="7" t="inlineStr">
        <is>
          <t>P3 - Normale</t>
        </is>
      </c>
      <c r="L1113" s="7" t="inlineStr">
        <is>
          <t>Contrôle niveaux, nettoyage filtres et bac à copeaux</t>
        </is>
      </c>
      <c r="M1113" s="7" t="n"/>
      <c r="N1113" s="7" t="inlineStr">
        <is>
          <t>Gamme réalisée - DI émise pour remplacement pièce</t>
        </is>
      </c>
      <c r="O1113" s="7" t="inlineStr">
        <is>
          <t>Lucas Fontaine</t>
        </is>
      </c>
      <c r="P1113" s="65" t="n">
        <v>46150.36458333334</v>
      </c>
      <c r="Q1113" s="75" t="n">
        <v>46150.55555555555</v>
      </c>
      <c r="R1113" s="75" t="n">
        <v>46150.60763888889</v>
      </c>
      <c r="S1113" s="76" t="n">
        <v>1.2</v>
      </c>
      <c r="T1113" s="76" t="n">
        <v>1.25</v>
      </c>
      <c r="U1113" s="70">
        <f>IF($A1113="","",IFERROR(INDEX('Techniciens'!$F$5:$F$44,MATCH(O1113,'Techniciens'!$B$5:$B$44,0)),'Paramètres'!$AA$10))</f>
        <v/>
      </c>
      <c r="V1113" s="70">
        <f>IF($A1113="","",IF(OR(AC1113="Demandé",AC1113="Planifié",AC1113="Annulé"),0,N(T1113)*N(U1113)))</f>
        <v/>
      </c>
      <c r="W1113" s="70">
        <f>IF($A1113="","",SUMIFS('Mouvements stock'!$H$5:$H$3004,'Mouvements stock'!$I$5:$I$3004,$A1113,'Mouvements stock'!$C$5:$C$3004,"Sortie")-SUMIFS('Mouvements stock'!$H$5:$H$3004,'Mouvements stock'!$I$5:$I$3004,$A1113,'Mouvements stock'!$C$5:$C$3004,"Retour"))</f>
        <v/>
      </c>
      <c r="X1113" s="66" t="n">
        <v>0</v>
      </c>
      <c r="Y1113" s="66" t="n">
        <v>0</v>
      </c>
      <c r="Z1113" s="7" t="n"/>
      <c r="AA1113" s="70">
        <f>IF($A1113="","",N(V1113)+N(W1113)+N(X1113)+N(Y1113))</f>
        <v/>
      </c>
      <c r="AB1113" s="70">
        <f>IF($A1113="","",N(S1113)*'Paramètres'!$AA$9*IFERROR(INDEX('Paramètres'!$O$5:$O$7,MATCH(G1113,'Paramètres'!$N$5:$N$7,0)),0))</f>
        <v/>
      </c>
      <c r="AC1113" s="7" t="inlineStr">
        <is>
          <t>Clôturé</t>
        </is>
      </c>
      <c r="AD1113" s="69">
        <f>IF(OR($A1113="",Q1113=""),"",(Q1113-B1113)*24)</f>
        <v/>
      </c>
      <c r="AE1113" s="69">
        <f>IF(OR(Q1113="",R1113=""),"",(R1113-Q1113)*24)</f>
        <v/>
      </c>
      <c r="AF1113" s="77">
        <f>IF(OR($A1113="",B1113=""),"",YEAR(B1113))</f>
        <v/>
      </c>
      <c r="AG1113" s="77">
        <f>IF(OR($A1113="",B1113=""),"",MONTH(B1113))</f>
        <v/>
      </c>
    </row>
    <row r="1114">
      <c r="A1114" s="7" t="inlineStr">
        <is>
          <t>OT-2026-0259</t>
        </is>
      </c>
      <c r="B1114" s="75" t="n">
        <v>46144.88611111111</v>
      </c>
      <c r="C1114" s="7" t="inlineStr">
        <is>
          <t>Ronde maintenance</t>
        </is>
      </c>
      <c r="D1114" s="7" t="inlineStr">
        <is>
          <t>EQ-UTI-001</t>
        </is>
      </c>
      <c r="E1114" s="9">
        <f>IF(D1114="","",IFERROR(INDEX('Équipements'!$B$5:$B$304,MATCH(D1114,'Équipements'!$A$5:$A$304,0)),"Code inconnu"))</f>
        <v/>
      </c>
      <c r="F1114" s="9">
        <f>IF(D1114="","",IFERROR(INDEX('Équipements'!$D$5:$D$304,MATCH(D1114,'Équipements'!$A$5:$A$304,0)),""))</f>
        <v/>
      </c>
      <c r="G1114" s="9">
        <f>IF(D1114="","",IFERROR(INDEX('Équipements'!$K$5:$K$304,MATCH(D1114,'Équipements'!$A$5:$A$304,0)),""))</f>
        <v/>
      </c>
      <c r="H1114" s="7" t="inlineStr">
        <is>
          <t>Correctif</t>
        </is>
      </c>
      <c r="I1114" s="7" t="n"/>
      <c r="J1114" s="7" t="inlineStr">
        <is>
          <t>Mécanique</t>
        </is>
      </c>
      <c r="K1114" s="7" t="inlineStr">
        <is>
          <t>P1 - Urgent</t>
        </is>
      </c>
      <c r="L1114" s="7" t="inlineStr">
        <is>
          <t>Courroie d'entraînement usée</t>
        </is>
      </c>
      <c r="M1114" s="7" t="inlineStr">
        <is>
          <t>Usure</t>
        </is>
      </c>
      <c r="N1114" s="7" t="inlineStr">
        <is>
          <t>Remplacement courroies</t>
        </is>
      </c>
      <c r="O1114" s="7" t="inlineStr">
        <is>
          <t>Lucas Fontaine</t>
        </is>
      </c>
      <c r="P1114" s="65" t="n"/>
      <c r="Q1114" s="75" t="n">
        <v>46144.91180555556</v>
      </c>
      <c r="R1114" s="75" t="n">
        <v>46145.07847222222</v>
      </c>
      <c r="S1114" s="76" t="n">
        <v>4.6</v>
      </c>
      <c r="T1114" s="76" t="n">
        <v>4</v>
      </c>
      <c r="U1114" s="70">
        <f>IF($A1114="","",IFERROR(INDEX('Techniciens'!$F$5:$F$44,MATCH(O1114,'Techniciens'!$B$5:$B$44,0)),'Paramètres'!$AA$10))</f>
        <v/>
      </c>
      <c r="V1114" s="70">
        <f>IF($A1114="","",IF(OR(AC1114="Demandé",AC1114="Planifié",AC1114="Annulé"),0,N(T1114)*N(U1114)))</f>
        <v/>
      </c>
      <c r="W1114" s="70">
        <f>IF($A1114="","",SUMIFS('Mouvements stock'!$H$5:$H$3004,'Mouvements stock'!$I$5:$I$3004,$A1114,'Mouvements stock'!$C$5:$C$3004,"Sortie")-SUMIFS('Mouvements stock'!$H$5:$H$3004,'Mouvements stock'!$I$5:$I$3004,$A1114,'Mouvements stock'!$C$5:$C$3004,"Retour"))</f>
        <v/>
      </c>
      <c r="X1114" s="66" t="n">
        <v>0</v>
      </c>
      <c r="Y1114" s="66" t="n">
        <v>0</v>
      </c>
      <c r="Z1114" s="7" t="n"/>
      <c r="AA1114" s="70">
        <f>IF($A1114="","",N(V1114)+N(W1114)+N(X1114)+N(Y1114))</f>
        <v/>
      </c>
      <c r="AB1114" s="70">
        <f>IF($A1114="","",N(S1114)*'Paramètres'!$AA$9*IFERROR(INDEX('Paramètres'!$O$5:$O$7,MATCH(G1114,'Paramètres'!$N$5:$N$7,0)),0))</f>
        <v/>
      </c>
      <c r="AC1114" s="7" t="inlineStr">
        <is>
          <t>Clôturé</t>
        </is>
      </c>
      <c r="AD1114" s="69">
        <f>IF(OR($A1114="",Q1114=""),"",(Q1114-B1114)*24)</f>
        <v/>
      </c>
      <c r="AE1114" s="69">
        <f>IF(OR(Q1114="",R1114=""),"",(R1114-Q1114)*24)</f>
        <v/>
      </c>
      <c r="AF1114" s="77">
        <f>IF(OR($A1114="",B1114=""),"",YEAR(B1114))</f>
        <v/>
      </c>
      <c r="AG1114" s="77">
        <f>IF(OR($A1114="",B1114=""),"",MONTH(B1114))</f>
        <v/>
      </c>
    </row>
    <row r="1115">
      <c r="A1115" s="7" t="inlineStr">
        <is>
          <t>OT-2026-0260</t>
        </is>
      </c>
      <c r="B1115" s="75" t="n">
        <v>46146.38194444445</v>
      </c>
      <c r="C1115" s="7" t="inlineStr">
        <is>
          <t>Planning réglementaire</t>
        </is>
      </c>
      <c r="D1115" s="7" t="inlineStr">
        <is>
          <t>EQ-LOG-001</t>
        </is>
      </c>
      <c r="E1115" s="9">
        <f>IF(D1115="","",IFERROR(INDEX('Équipements'!$B$5:$B$304,MATCH(D1115,'Équipements'!$A$5:$A$304,0)),"Code inconnu"))</f>
        <v/>
      </c>
      <c r="F1115" s="9">
        <f>IF(D1115="","",IFERROR(INDEX('Équipements'!$D$5:$D$304,MATCH(D1115,'Équipements'!$A$5:$A$304,0)),""))</f>
        <v/>
      </c>
      <c r="G1115" s="9">
        <f>IF(D1115="","",IFERROR(INDEX('Équipements'!$K$5:$K$304,MATCH(D1115,'Équipements'!$A$5:$A$304,0)),""))</f>
        <v/>
      </c>
      <c r="H1115" s="7" t="inlineStr">
        <is>
          <t>Réglementaire</t>
        </is>
      </c>
      <c r="I1115" s="7" t="inlineStr">
        <is>
          <t>CR-004</t>
        </is>
      </c>
      <c r="J1115" s="7" t="inlineStr">
        <is>
          <t>Multi-technique</t>
        </is>
      </c>
      <c r="K1115" s="7" t="inlineStr">
        <is>
          <t>P2 - Haute</t>
        </is>
      </c>
      <c r="L1115" s="7" t="inlineStr">
        <is>
          <t>VGP chariot automoteur</t>
        </is>
      </c>
      <c r="M1115" s="7" t="n"/>
      <c r="N1115" s="7" t="inlineStr">
        <is>
          <t>Contrôle réalisé - aucune observation</t>
        </is>
      </c>
      <c r="O1115" s="7" t="inlineStr">
        <is>
          <t>Nadia Rousseau</t>
        </is>
      </c>
      <c r="P1115" s="65" t="n">
        <v>46167</v>
      </c>
      <c r="Q1115" s="75" t="n">
        <v>46167.42708333334</v>
      </c>
      <c r="R1115" s="75" t="n">
        <v>46167.45833333334</v>
      </c>
      <c r="S1115" s="76" t="n">
        <v>0</v>
      </c>
      <c r="T1115" s="76" t="n">
        <v>0.75</v>
      </c>
      <c r="U1115" s="70">
        <f>IF($A1115="","",IFERROR(INDEX('Techniciens'!$F$5:$F$44,MATCH(O1115,'Techniciens'!$B$5:$B$44,0)),'Paramètres'!$AA$10))</f>
        <v/>
      </c>
      <c r="V1115" s="70">
        <f>IF($A1115="","",IF(OR(AC1115="Demandé",AC1115="Planifié",AC1115="Annulé"),0,N(T1115)*N(U1115)))</f>
        <v/>
      </c>
      <c r="W1115" s="70">
        <f>IF($A1115="","",SUMIFS('Mouvements stock'!$H$5:$H$3004,'Mouvements stock'!$I$5:$I$3004,$A1115,'Mouvements stock'!$C$5:$C$3004,"Sortie")-SUMIFS('Mouvements stock'!$H$5:$H$3004,'Mouvements stock'!$I$5:$I$3004,$A1115,'Mouvements stock'!$C$5:$C$3004,"Retour"))</f>
        <v/>
      </c>
      <c r="X1115" s="66" t="n">
        <v>0</v>
      </c>
      <c r="Y1115" s="66" t="n">
        <v>120</v>
      </c>
      <c r="Z1115" s="7" t="inlineStr">
        <is>
          <t>CONTROLIS (organisme fictif)</t>
        </is>
      </c>
      <c r="AA1115" s="70">
        <f>IF($A1115="","",N(V1115)+N(W1115)+N(X1115)+N(Y1115))</f>
        <v/>
      </c>
      <c r="AB1115" s="70">
        <f>IF($A1115="","",N(S1115)*'Paramètres'!$AA$9*IFERROR(INDEX('Paramètres'!$O$5:$O$7,MATCH(G1115,'Paramètres'!$N$5:$N$7,0)),0))</f>
        <v/>
      </c>
      <c r="AC1115" s="7" t="inlineStr">
        <is>
          <t>Clôturé</t>
        </is>
      </c>
      <c r="AD1115" s="69">
        <f>IF(OR($A1115="",Q1115=""),"",(Q1115-B1115)*24)</f>
        <v/>
      </c>
      <c r="AE1115" s="69">
        <f>IF(OR(Q1115="",R1115=""),"",(R1115-Q1115)*24)</f>
        <v/>
      </c>
      <c r="AF1115" s="77">
        <f>IF(OR($A1115="",B1115=""),"",YEAR(B1115))</f>
        <v/>
      </c>
      <c r="AG1115" s="77">
        <f>IF(OR($A1115="",B1115=""),"",MONTH(B1115))</f>
        <v/>
      </c>
    </row>
    <row r="1116">
      <c r="A1116" s="7" t="inlineStr">
        <is>
          <t>OT-2026-0261</t>
        </is>
      </c>
      <c r="B1116" s="75" t="n">
        <v>46146.39583333334</v>
      </c>
      <c r="C1116" s="7" t="inlineStr">
        <is>
          <t>Plan préventif</t>
        </is>
      </c>
      <c r="D1116" s="7" t="inlineStr">
        <is>
          <t>EQ-UTI-001</t>
        </is>
      </c>
      <c r="E1116" s="9">
        <f>IF(D1116="","",IFERROR(INDEX('Équipements'!$B$5:$B$304,MATCH(D1116,'Équipements'!$A$5:$A$304,0)),"Code inconnu"))</f>
        <v/>
      </c>
      <c r="F1116" s="9">
        <f>IF(D1116="","",IFERROR(INDEX('Équipements'!$D$5:$D$304,MATCH(D1116,'Équipements'!$A$5:$A$304,0)),""))</f>
        <v/>
      </c>
      <c r="G1116" s="9">
        <f>IF(D1116="","",IFERROR(INDEX('Équipements'!$K$5:$K$304,MATCH(D1116,'Équipements'!$A$5:$A$304,0)),""))</f>
        <v/>
      </c>
      <c r="H1116" s="7" t="inlineStr">
        <is>
          <t>Préventif systématique</t>
        </is>
      </c>
      <c r="I1116" s="7" t="inlineStr">
        <is>
          <t>GP-088</t>
        </is>
      </c>
      <c r="J1116" s="7" t="inlineStr">
        <is>
          <t>Pneumatique</t>
        </is>
      </c>
      <c r="K1116" s="7" t="inlineStr">
        <is>
          <t>P3 - Normale</t>
        </is>
      </c>
      <c r="L1116" s="7" t="inlineStr">
        <is>
          <t>Purge, contrôle fuites et point de rosée</t>
        </is>
      </c>
      <c r="M1116" s="7" t="n"/>
      <c r="N1116" s="7" t="inlineStr">
        <is>
          <t>Gamme réalisée - usure constatée, à surveiller</t>
        </is>
      </c>
      <c r="O1116" s="7" t="inlineStr">
        <is>
          <t>Julien Moreau</t>
        </is>
      </c>
      <c r="P1116" s="65" t="n">
        <v>46153.54166666666</v>
      </c>
      <c r="Q1116" s="75" t="n">
        <v>46153.51388888889</v>
      </c>
      <c r="R1116" s="75" t="n">
        <v>46153.58680555555</v>
      </c>
      <c r="S1116" s="76" t="n">
        <v>0</v>
      </c>
      <c r="T1116" s="76" t="n">
        <v>1.75</v>
      </c>
      <c r="U1116" s="70">
        <f>IF($A1116="","",IFERROR(INDEX('Techniciens'!$F$5:$F$44,MATCH(O1116,'Techniciens'!$B$5:$B$44,0)),'Paramètres'!$AA$10))</f>
        <v/>
      </c>
      <c r="V1116" s="70">
        <f>IF($A1116="","",IF(OR(AC1116="Demandé",AC1116="Planifié",AC1116="Annulé"),0,N(T1116)*N(U1116)))</f>
        <v/>
      </c>
      <c r="W1116" s="70">
        <f>IF($A1116="","",SUMIFS('Mouvements stock'!$H$5:$H$3004,'Mouvements stock'!$I$5:$I$3004,$A1116,'Mouvements stock'!$C$5:$C$3004,"Sortie")-SUMIFS('Mouvements stock'!$H$5:$H$3004,'Mouvements stock'!$I$5:$I$3004,$A1116,'Mouvements stock'!$C$5:$C$3004,"Retour"))</f>
        <v/>
      </c>
      <c r="X1116" s="66" t="n">
        <v>0</v>
      </c>
      <c r="Y1116" s="66" t="n">
        <v>0</v>
      </c>
      <c r="Z1116" s="7" t="n"/>
      <c r="AA1116" s="70">
        <f>IF($A1116="","",N(V1116)+N(W1116)+N(X1116)+N(Y1116))</f>
        <v/>
      </c>
      <c r="AB1116" s="70">
        <f>IF($A1116="","",N(S1116)*'Paramètres'!$AA$9*IFERROR(INDEX('Paramètres'!$O$5:$O$7,MATCH(G1116,'Paramètres'!$N$5:$N$7,0)),0))</f>
        <v/>
      </c>
      <c r="AC1116" s="7" t="inlineStr">
        <is>
          <t>Clôturé</t>
        </is>
      </c>
      <c r="AD1116" s="69">
        <f>IF(OR($A1116="",Q1116=""),"",(Q1116-B1116)*24)</f>
        <v/>
      </c>
      <c r="AE1116" s="69">
        <f>IF(OR(Q1116="",R1116=""),"",(R1116-Q1116)*24)</f>
        <v/>
      </c>
      <c r="AF1116" s="77">
        <f>IF(OR($A1116="",B1116=""),"",YEAR(B1116))</f>
        <v/>
      </c>
      <c r="AG1116" s="77">
        <f>IF(OR($A1116="",B1116=""),"",MONTH(B1116))</f>
        <v/>
      </c>
    </row>
    <row r="1117">
      <c r="A1117" s="7" t="inlineStr">
        <is>
          <t>OT-2026-0262</t>
        </is>
      </c>
      <c r="B1117" s="75" t="n">
        <v>46146.40277777778</v>
      </c>
      <c r="C1117" s="7" t="inlineStr">
        <is>
          <t>Plan préventif</t>
        </is>
      </c>
      <c r="D1117" s="7" t="inlineStr">
        <is>
          <t>EQ-ASS-004</t>
        </is>
      </c>
      <c r="E1117" s="9">
        <f>IF(D1117="","",IFERROR(INDEX('Équipements'!$B$5:$B$304,MATCH(D1117,'Équipements'!$A$5:$A$304,0)),"Code inconnu"))</f>
        <v/>
      </c>
      <c r="F1117" s="9">
        <f>IF(D1117="","",IFERROR(INDEX('Équipements'!$D$5:$D$304,MATCH(D1117,'Équipements'!$A$5:$A$304,0)),""))</f>
        <v/>
      </c>
      <c r="G1117" s="9">
        <f>IF(D1117="","",IFERROR(INDEX('Équipements'!$K$5:$K$304,MATCH(D1117,'Équipements'!$A$5:$A$304,0)),""))</f>
        <v/>
      </c>
      <c r="H1117" s="7" t="inlineStr">
        <is>
          <t>Préventif systématique</t>
        </is>
      </c>
      <c r="I1117" s="7" t="inlineStr">
        <is>
          <t>GP-083</t>
        </is>
      </c>
      <c r="J1117" s="7" t="inlineStr">
        <is>
          <t>Mécanique</t>
        </is>
      </c>
      <c r="K1117" s="7" t="inlineStr">
        <is>
          <t>P3 - Normale</t>
        </is>
      </c>
      <c r="L1117" s="7" t="inlineStr">
        <is>
          <t>Nettoyage et contrôle général</t>
        </is>
      </c>
      <c r="M1117" s="7" t="n"/>
      <c r="N1117" s="7" t="inlineStr">
        <is>
          <t>Gamme réalisée - usure constatée, à surveiller</t>
        </is>
      </c>
      <c r="O1117" s="7" t="inlineStr">
        <is>
          <t>Antoine Mercier</t>
        </is>
      </c>
      <c r="P1117" s="65" t="n">
        <v>46153.55555555555</v>
      </c>
      <c r="Q1117" s="75" t="n">
        <v>46153.46527777778</v>
      </c>
      <c r="R1117" s="75" t="n">
        <v>46153.49652777778</v>
      </c>
      <c r="S1117" s="76" t="n">
        <v>0</v>
      </c>
      <c r="T1117" s="76" t="n">
        <v>0.75</v>
      </c>
      <c r="U1117" s="70">
        <f>IF($A1117="","",IFERROR(INDEX('Techniciens'!$F$5:$F$44,MATCH(O1117,'Techniciens'!$B$5:$B$44,0)),'Paramètres'!$AA$10))</f>
        <v/>
      </c>
      <c r="V1117" s="70">
        <f>IF($A1117="","",IF(OR(AC1117="Demandé",AC1117="Planifié",AC1117="Annulé"),0,N(T1117)*N(U1117)))</f>
        <v/>
      </c>
      <c r="W1117" s="70">
        <f>IF($A1117="","",SUMIFS('Mouvements stock'!$H$5:$H$3004,'Mouvements stock'!$I$5:$I$3004,$A1117,'Mouvements stock'!$C$5:$C$3004,"Sortie")-SUMIFS('Mouvements stock'!$H$5:$H$3004,'Mouvements stock'!$I$5:$I$3004,$A1117,'Mouvements stock'!$C$5:$C$3004,"Retour"))</f>
        <v/>
      </c>
      <c r="X1117" s="66" t="n">
        <v>0</v>
      </c>
      <c r="Y1117" s="66" t="n">
        <v>0</v>
      </c>
      <c r="Z1117" s="7" t="n"/>
      <c r="AA1117" s="70">
        <f>IF($A1117="","",N(V1117)+N(W1117)+N(X1117)+N(Y1117))</f>
        <v/>
      </c>
      <c r="AB1117" s="70">
        <f>IF($A1117="","",N(S1117)*'Paramètres'!$AA$9*IFERROR(INDEX('Paramètres'!$O$5:$O$7,MATCH(G1117,'Paramètres'!$N$5:$N$7,0)),0))</f>
        <v/>
      </c>
      <c r="AC1117" s="7" t="inlineStr">
        <is>
          <t>Clôturé</t>
        </is>
      </c>
      <c r="AD1117" s="69">
        <f>IF(OR($A1117="",Q1117=""),"",(Q1117-B1117)*24)</f>
        <v/>
      </c>
      <c r="AE1117" s="69">
        <f>IF(OR(Q1117="",R1117=""),"",(R1117-Q1117)*24)</f>
        <v/>
      </c>
      <c r="AF1117" s="77">
        <f>IF(OR($A1117="",B1117=""),"",YEAR(B1117))</f>
        <v/>
      </c>
      <c r="AG1117" s="77">
        <f>IF(OR($A1117="",B1117=""),"",MONTH(B1117))</f>
        <v/>
      </c>
    </row>
    <row r="1118">
      <c r="A1118" s="7" t="inlineStr">
        <is>
          <t>OT-2026-0263</t>
        </is>
      </c>
      <c r="B1118" s="75" t="n">
        <v>46146.41666666666</v>
      </c>
      <c r="C1118" s="7" t="inlineStr">
        <is>
          <t>Plan préventif</t>
        </is>
      </c>
      <c r="D1118" s="7" t="inlineStr">
        <is>
          <t>EQ-BAT-006</t>
        </is>
      </c>
      <c r="E1118" s="9">
        <f>IF(D1118="","",IFERROR(INDEX('Équipements'!$B$5:$B$304,MATCH(D1118,'Équipements'!$A$5:$A$304,0)),"Code inconnu"))</f>
        <v/>
      </c>
      <c r="F1118" s="9">
        <f>IF(D1118="","",IFERROR(INDEX('Équipements'!$D$5:$D$304,MATCH(D1118,'Équipements'!$A$5:$A$304,0)),""))</f>
        <v/>
      </c>
      <c r="G1118" s="9">
        <f>IF(D1118="","",IFERROR(INDEX('Équipements'!$K$5:$K$304,MATCH(D1118,'Équipements'!$A$5:$A$304,0)),""))</f>
        <v/>
      </c>
      <c r="H1118" s="7" t="inlineStr">
        <is>
          <t>Préventif systématique</t>
        </is>
      </c>
      <c r="I1118" s="7" t="inlineStr">
        <is>
          <t>GP-127</t>
        </is>
      </c>
      <c r="J1118" s="7" t="inlineStr">
        <is>
          <t>Électrique</t>
        </is>
      </c>
      <c r="K1118" s="7" t="inlineStr">
        <is>
          <t>P3 - Normale</t>
        </is>
      </c>
      <c r="L1118" s="7" t="inlineStr">
        <is>
          <t>Essai de fonctionnement / contrôle visuel</t>
        </is>
      </c>
      <c r="M1118" s="7" t="n"/>
      <c r="N1118" s="7" t="inlineStr">
        <is>
          <t>Gamme réalisée - RAS</t>
        </is>
      </c>
      <c r="O1118" s="7" t="inlineStr">
        <is>
          <t>Julien Moreau</t>
        </is>
      </c>
      <c r="P1118" s="65" t="n">
        <v>46153.58333333334</v>
      </c>
      <c r="Q1118" s="75" t="n">
        <v>46153.28472222222</v>
      </c>
      <c r="R1118" s="75" t="n">
        <v>46153.33680555555</v>
      </c>
      <c r="S1118" s="76" t="n">
        <v>0</v>
      </c>
      <c r="T1118" s="76" t="n">
        <v>1.25</v>
      </c>
      <c r="U1118" s="70">
        <f>IF($A1118="","",IFERROR(INDEX('Techniciens'!$F$5:$F$44,MATCH(O1118,'Techniciens'!$B$5:$B$44,0)),'Paramètres'!$AA$10))</f>
        <v/>
      </c>
      <c r="V1118" s="70">
        <f>IF($A1118="","",IF(OR(AC1118="Demandé",AC1118="Planifié",AC1118="Annulé"),0,N(T1118)*N(U1118)))</f>
        <v/>
      </c>
      <c r="W1118" s="70">
        <f>IF($A1118="","",SUMIFS('Mouvements stock'!$H$5:$H$3004,'Mouvements stock'!$I$5:$I$3004,$A1118,'Mouvements stock'!$C$5:$C$3004,"Sortie")-SUMIFS('Mouvements stock'!$H$5:$H$3004,'Mouvements stock'!$I$5:$I$3004,$A1118,'Mouvements stock'!$C$5:$C$3004,"Retour"))</f>
        <v/>
      </c>
      <c r="X1118" s="66" t="n">
        <v>0</v>
      </c>
      <c r="Y1118" s="66" t="n">
        <v>0</v>
      </c>
      <c r="Z1118" s="7" t="n"/>
      <c r="AA1118" s="70">
        <f>IF($A1118="","",N(V1118)+N(W1118)+N(X1118)+N(Y1118))</f>
        <v/>
      </c>
      <c r="AB1118" s="70">
        <f>IF($A1118="","",N(S1118)*'Paramètres'!$AA$9*IFERROR(INDEX('Paramètres'!$O$5:$O$7,MATCH(G1118,'Paramètres'!$N$5:$N$7,0)),0))</f>
        <v/>
      </c>
      <c r="AC1118" s="7" t="inlineStr">
        <is>
          <t>Clôturé</t>
        </is>
      </c>
      <c r="AD1118" s="69">
        <f>IF(OR($A1118="",Q1118=""),"",(Q1118-B1118)*24)</f>
        <v/>
      </c>
      <c r="AE1118" s="69">
        <f>IF(OR(Q1118="",R1118=""),"",(R1118-Q1118)*24)</f>
        <v/>
      </c>
      <c r="AF1118" s="77">
        <f>IF(OR($A1118="",B1118=""),"",YEAR(B1118))</f>
        <v/>
      </c>
      <c r="AG1118" s="77">
        <f>IF(OR($A1118="",B1118=""),"",MONTH(B1118))</f>
        <v/>
      </c>
    </row>
    <row r="1119">
      <c r="A1119" s="7" t="inlineStr">
        <is>
          <t>OT-2026-0264</t>
        </is>
      </c>
      <c r="B1119" s="75" t="n">
        <v>46146.44791666666</v>
      </c>
      <c r="C1119" s="7" t="inlineStr">
        <is>
          <t>Plan préventif</t>
        </is>
      </c>
      <c r="D1119" s="7" t="inlineStr">
        <is>
          <t>EQ-USI-006</t>
        </is>
      </c>
      <c r="E1119" s="9">
        <f>IF(D1119="","",IFERROR(INDEX('Équipements'!$B$5:$B$304,MATCH(D1119,'Équipements'!$A$5:$A$304,0)),"Code inconnu"))</f>
        <v/>
      </c>
      <c r="F1119" s="9">
        <f>IF(D1119="","",IFERROR(INDEX('Équipements'!$D$5:$D$304,MATCH(D1119,'Équipements'!$A$5:$A$304,0)),""))</f>
        <v/>
      </c>
      <c r="G1119" s="9">
        <f>IF(D1119="","",IFERROR(INDEX('Équipements'!$K$5:$K$304,MATCH(D1119,'Équipements'!$A$5:$A$304,0)),""))</f>
        <v/>
      </c>
      <c r="H1119" s="7" t="inlineStr">
        <is>
          <t>Préventif systématique</t>
        </is>
      </c>
      <c r="I1119" s="7" t="inlineStr">
        <is>
          <t>GP-021</t>
        </is>
      </c>
      <c r="J1119" s="7" t="inlineStr">
        <is>
          <t>Mécanique</t>
        </is>
      </c>
      <c r="K1119" s="7" t="inlineStr">
        <is>
          <t>P3 - Normale</t>
        </is>
      </c>
      <c r="L1119" s="7" t="inlineStr">
        <is>
          <t>Contrôle niveaux, nettoyage filtres et bac à copeaux</t>
        </is>
      </c>
      <c r="M1119" s="7" t="n"/>
      <c r="N1119" s="7" t="inlineStr">
        <is>
          <t>Gamme réalisée - RAS</t>
        </is>
      </c>
      <c r="O1119" s="7" t="inlineStr">
        <is>
          <t>Lucas Fontaine</t>
        </is>
      </c>
      <c r="P1119" s="65" t="n">
        <v>46153.48958333334</v>
      </c>
      <c r="Q1119" s="75" t="n">
        <v>46153.42708333334</v>
      </c>
      <c r="R1119" s="75" t="n">
        <v>46153.48958333334</v>
      </c>
      <c r="S1119" s="76" t="n">
        <v>1.5</v>
      </c>
      <c r="T1119" s="76" t="n">
        <v>1.5</v>
      </c>
      <c r="U1119" s="70">
        <f>IF($A1119="","",IFERROR(INDEX('Techniciens'!$F$5:$F$44,MATCH(O1119,'Techniciens'!$B$5:$B$44,0)),'Paramètres'!$AA$10))</f>
        <v/>
      </c>
      <c r="V1119" s="70">
        <f>IF($A1119="","",IF(OR(AC1119="Demandé",AC1119="Planifié",AC1119="Annulé"),0,N(T1119)*N(U1119)))</f>
        <v/>
      </c>
      <c r="W1119" s="70">
        <f>IF($A1119="","",SUMIFS('Mouvements stock'!$H$5:$H$3004,'Mouvements stock'!$I$5:$I$3004,$A1119,'Mouvements stock'!$C$5:$C$3004,"Sortie")-SUMIFS('Mouvements stock'!$H$5:$H$3004,'Mouvements stock'!$I$5:$I$3004,$A1119,'Mouvements stock'!$C$5:$C$3004,"Retour"))</f>
        <v/>
      </c>
      <c r="X1119" s="66" t="n">
        <v>0</v>
      </c>
      <c r="Y1119" s="66" t="n">
        <v>0</v>
      </c>
      <c r="Z1119" s="7" t="n"/>
      <c r="AA1119" s="70">
        <f>IF($A1119="","",N(V1119)+N(W1119)+N(X1119)+N(Y1119))</f>
        <v/>
      </c>
      <c r="AB1119" s="70">
        <f>IF($A1119="","",N(S1119)*'Paramètres'!$AA$9*IFERROR(INDEX('Paramètres'!$O$5:$O$7,MATCH(G1119,'Paramètres'!$N$5:$N$7,0)),0))</f>
        <v/>
      </c>
      <c r="AC1119" s="7" t="inlineStr">
        <is>
          <t>Clôturé</t>
        </is>
      </c>
      <c r="AD1119" s="69">
        <f>IF(OR($A1119="",Q1119=""),"",(Q1119-B1119)*24)</f>
        <v/>
      </c>
      <c r="AE1119" s="69">
        <f>IF(OR(Q1119="",R1119=""),"",(R1119-Q1119)*24)</f>
        <v/>
      </c>
      <c r="AF1119" s="77">
        <f>IF(OR($A1119="",B1119=""),"",YEAR(B1119))</f>
        <v/>
      </c>
      <c r="AG1119" s="77">
        <f>IF(OR($A1119="",B1119=""),"",MONTH(B1119))</f>
        <v/>
      </c>
    </row>
    <row r="1120">
      <c r="A1120" s="7" t="inlineStr">
        <is>
          <t>OT-2026-0265</t>
        </is>
      </c>
      <c r="B1120" s="75" t="n">
        <v>46146.44791666666</v>
      </c>
      <c r="C1120" s="7" t="inlineStr">
        <is>
          <t>Plan préventif</t>
        </is>
      </c>
      <c r="D1120" s="7" t="inlineStr">
        <is>
          <t>EQ-LOG-003</t>
        </is>
      </c>
      <c r="E1120" s="9">
        <f>IF(D1120="","",IFERROR(INDEX('Équipements'!$B$5:$B$304,MATCH(D1120,'Équipements'!$A$5:$A$304,0)),"Code inconnu"))</f>
        <v/>
      </c>
      <c r="F1120" s="9">
        <f>IF(D1120="","",IFERROR(INDEX('Équipements'!$D$5:$D$304,MATCH(D1120,'Équipements'!$A$5:$A$304,0)),""))</f>
        <v/>
      </c>
      <c r="G1120" s="9">
        <f>IF(D1120="","",IFERROR(INDEX('Équipements'!$K$5:$K$304,MATCH(D1120,'Équipements'!$A$5:$A$304,0)),""))</f>
        <v/>
      </c>
      <c r="H1120" s="7" t="inlineStr">
        <is>
          <t>Préventif systématique</t>
        </is>
      </c>
      <c r="I1120" s="7" t="inlineStr">
        <is>
          <t>GP-110</t>
        </is>
      </c>
      <c r="J1120" s="7" t="inlineStr">
        <is>
          <t>Mécanique</t>
        </is>
      </c>
      <c r="K1120" s="7" t="inlineStr">
        <is>
          <t>P3 - Normale</t>
        </is>
      </c>
      <c r="L1120" s="7" t="inlineStr">
        <is>
          <t>Contrôle batterie, niveaux et bandages</t>
        </is>
      </c>
      <c r="M1120" s="7" t="n"/>
      <c r="N1120" s="7" t="inlineStr">
        <is>
          <t>Gamme réalisée - RAS</t>
        </is>
      </c>
      <c r="O1120" s="7" t="inlineStr">
        <is>
          <t>Lucas Fontaine</t>
        </is>
      </c>
      <c r="P1120" s="65" t="n">
        <v>46153.42361111111</v>
      </c>
      <c r="Q1120" s="75" t="n">
        <v>46153.32291666666</v>
      </c>
      <c r="R1120" s="75" t="n">
        <v>46153.35416666666</v>
      </c>
      <c r="S1120" s="76" t="n">
        <v>0.8</v>
      </c>
      <c r="T1120" s="76" t="n">
        <v>0.75</v>
      </c>
      <c r="U1120" s="70">
        <f>IF($A1120="","",IFERROR(INDEX('Techniciens'!$F$5:$F$44,MATCH(O1120,'Techniciens'!$B$5:$B$44,0)),'Paramètres'!$AA$10))</f>
        <v/>
      </c>
      <c r="V1120" s="70">
        <f>IF($A1120="","",IF(OR(AC1120="Demandé",AC1120="Planifié",AC1120="Annulé"),0,N(T1120)*N(U1120)))</f>
        <v/>
      </c>
      <c r="W1120" s="70">
        <f>IF($A1120="","",SUMIFS('Mouvements stock'!$H$5:$H$3004,'Mouvements stock'!$I$5:$I$3004,$A1120,'Mouvements stock'!$C$5:$C$3004,"Sortie")-SUMIFS('Mouvements stock'!$H$5:$H$3004,'Mouvements stock'!$I$5:$I$3004,$A1120,'Mouvements stock'!$C$5:$C$3004,"Retour"))</f>
        <v/>
      </c>
      <c r="X1120" s="66" t="n">
        <v>0</v>
      </c>
      <c r="Y1120" s="66" t="n">
        <v>0</v>
      </c>
      <c r="Z1120" s="7" t="n"/>
      <c r="AA1120" s="70">
        <f>IF($A1120="","",N(V1120)+N(W1120)+N(X1120)+N(Y1120))</f>
        <v/>
      </c>
      <c r="AB1120" s="70">
        <f>IF($A1120="","",N(S1120)*'Paramètres'!$AA$9*IFERROR(INDEX('Paramètres'!$O$5:$O$7,MATCH(G1120,'Paramètres'!$N$5:$N$7,0)),0))</f>
        <v/>
      </c>
      <c r="AC1120" s="7" t="inlineStr">
        <is>
          <t>Clôturé</t>
        </is>
      </c>
      <c r="AD1120" s="69">
        <f>IF(OR($A1120="",Q1120=""),"",(Q1120-B1120)*24)</f>
        <v/>
      </c>
      <c r="AE1120" s="69">
        <f>IF(OR(Q1120="",R1120=""),"",(R1120-Q1120)*24)</f>
        <v/>
      </c>
      <c r="AF1120" s="77">
        <f>IF(OR($A1120="",B1120=""),"",YEAR(B1120))</f>
        <v/>
      </c>
      <c r="AG1120" s="77">
        <f>IF(OR($A1120="",B1120=""),"",MONTH(B1120))</f>
        <v/>
      </c>
    </row>
    <row r="1121">
      <c r="A1121" s="7" t="inlineStr">
        <is>
          <t>OT-2026-0266</t>
        </is>
      </c>
      <c r="B1121" s="75" t="n">
        <v>46146.49305555555</v>
      </c>
      <c r="C1121" s="7" t="inlineStr">
        <is>
          <t>Plan préventif</t>
        </is>
      </c>
      <c r="D1121" s="7" t="inlineStr">
        <is>
          <t>EQ-TOL-007</t>
        </is>
      </c>
      <c r="E1121" s="9">
        <f>IF(D1121="","",IFERROR(INDEX('Équipements'!$B$5:$B$304,MATCH(D1121,'Équipements'!$A$5:$A$304,0)),"Code inconnu"))</f>
        <v/>
      </c>
      <c r="F1121" s="9">
        <f>IF(D1121="","",IFERROR(INDEX('Équipements'!$D$5:$D$304,MATCH(D1121,'Équipements'!$A$5:$A$304,0)),""))</f>
        <v/>
      </c>
      <c r="G1121" s="9">
        <f>IF(D1121="","",IFERROR(INDEX('Équipements'!$K$5:$K$304,MATCH(D1121,'Équipements'!$A$5:$A$304,0)),""))</f>
        <v/>
      </c>
      <c r="H1121" s="7" t="inlineStr">
        <is>
          <t>Préventif systématique</t>
        </is>
      </c>
      <c r="I1121" s="7" t="inlineStr">
        <is>
          <t>GP-056</t>
        </is>
      </c>
      <c r="J1121" s="7" t="inlineStr">
        <is>
          <t>Mécanique</t>
        </is>
      </c>
      <c r="K1121" s="7" t="inlineStr">
        <is>
          <t>P3 - Normale</t>
        </is>
      </c>
      <c r="L1121" s="7" t="inlineStr">
        <is>
          <t>Graissage chaîne / galets et contrôle tension</t>
        </is>
      </c>
      <c r="M1121" s="7" t="n"/>
      <c r="N1121" s="7" t="inlineStr">
        <is>
          <t>Gamme réalisée - RAS</t>
        </is>
      </c>
      <c r="O1121" s="7" t="inlineStr">
        <is>
          <t>Antoine Mercier</t>
        </is>
      </c>
      <c r="P1121" s="65" t="n">
        <v>46153.35416666666</v>
      </c>
      <c r="Q1121" s="75" t="n">
        <v>46153.53472222222</v>
      </c>
      <c r="R1121" s="75" t="n">
        <v>46153.64930555555</v>
      </c>
      <c r="S1121" s="76" t="n">
        <v>1.4</v>
      </c>
      <c r="T1121" s="76" t="n">
        <v>2.75</v>
      </c>
      <c r="U1121" s="70">
        <f>IF($A1121="","",IFERROR(INDEX('Techniciens'!$F$5:$F$44,MATCH(O1121,'Techniciens'!$B$5:$B$44,0)),'Paramètres'!$AA$10))</f>
        <v/>
      </c>
      <c r="V1121" s="70">
        <f>IF($A1121="","",IF(OR(AC1121="Demandé",AC1121="Planifié",AC1121="Annulé"),0,N(T1121)*N(U1121)))</f>
        <v/>
      </c>
      <c r="W1121" s="70">
        <f>IF($A1121="","",SUMIFS('Mouvements stock'!$H$5:$H$3004,'Mouvements stock'!$I$5:$I$3004,$A1121,'Mouvements stock'!$C$5:$C$3004,"Sortie")-SUMIFS('Mouvements stock'!$H$5:$H$3004,'Mouvements stock'!$I$5:$I$3004,$A1121,'Mouvements stock'!$C$5:$C$3004,"Retour"))</f>
        <v/>
      </c>
      <c r="X1121" s="66" t="n">
        <v>0</v>
      </c>
      <c r="Y1121" s="66" t="n">
        <v>0</v>
      </c>
      <c r="Z1121" s="7" t="n"/>
      <c r="AA1121" s="70">
        <f>IF($A1121="","",N(V1121)+N(W1121)+N(X1121)+N(Y1121))</f>
        <v/>
      </c>
      <c r="AB1121" s="70">
        <f>IF($A1121="","",N(S1121)*'Paramètres'!$AA$9*IFERROR(INDEX('Paramètres'!$O$5:$O$7,MATCH(G1121,'Paramètres'!$N$5:$N$7,0)),0))</f>
        <v/>
      </c>
      <c r="AC1121" s="7" t="inlineStr">
        <is>
          <t>Clôturé</t>
        </is>
      </c>
      <c r="AD1121" s="69">
        <f>IF(OR($A1121="",Q1121=""),"",(Q1121-B1121)*24)</f>
        <v/>
      </c>
      <c r="AE1121" s="69">
        <f>IF(OR(Q1121="",R1121=""),"",(R1121-Q1121)*24)</f>
        <v/>
      </c>
      <c r="AF1121" s="77">
        <f>IF(OR($A1121="",B1121=""),"",YEAR(B1121))</f>
        <v/>
      </c>
      <c r="AG1121" s="77">
        <f>IF(OR($A1121="",B1121=""),"",MONTH(B1121))</f>
        <v/>
      </c>
    </row>
    <row r="1122">
      <c r="A1122" s="7" t="inlineStr">
        <is>
          <t>OT-2026-0267</t>
        </is>
      </c>
      <c r="B1122" s="75" t="n">
        <v>46146.59375</v>
      </c>
      <c r="C1122" s="7" t="inlineStr">
        <is>
          <t>Céline Morel (cheffe d'atelier)</t>
        </is>
      </c>
      <c r="D1122" s="7" t="inlineStr">
        <is>
          <t>EQ-TOL-003</t>
        </is>
      </c>
      <c r="E1122" s="9">
        <f>IF(D1122="","",IFERROR(INDEX('Équipements'!$B$5:$B$304,MATCH(D1122,'Équipements'!$A$5:$A$304,0)),"Code inconnu"))</f>
        <v/>
      </c>
      <c r="F1122" s="9">
        <f>IF(D1122="","",IFERROR(INDEX('Équipements'!$D$5:$D$304,MATCH(D1122,'Équipements'!$A$5:$A$304,0)),""))</f>
        <v/>
      </c>
      <c r="G1122" s="9">
        <f>IF(D1122="","",IFERROR(INDEX('Équipements'!$K$5:$K$304,MATCH(D1122,'Équipements'!$A$5:$A$304,0)),""))</f>
        <v/>
      </c>
      <c r="H1122" s="7" t="inlineStr">
        <is>
          <t>Correctif</t>
        </is>
      </c>
      <c r="I1122" s="7" t="n"/>
      <c r="J1122" s="7" t="inlineStr">
        <is>
          <t>Hydraulique</t>
        </is>
      </c>
      <c r="K1122" s="7" t="inlineStr">
        <is>
          <t>P2 - Haute</t>
        </is>
      </c>
      <c r="L1122" s="7" t="inlineStr">
        <is>
          <t>Pompe hydraulique bruyante</t>
        </is>
      </c>
      <c r="M1122" s="7" t="inlineStr">
        <is>
          <t>Usure</t>
        </is>
      </c>
      <c r="N1122" s="7" t="inlineStr">
        <is>
          <t>Remplacement accouplement, contrôle débit pompe</t>
        </is>
      </c>
      <c r="O1122" s="7" t="inlineStr">
        <is>
          <t>Karim Benali</t>
        </is>
      </c>
      <c r="P1122" s="65" t="n"/>
      <c r="Q1122" s="75" t="n">
        <v>46146.67777777778</v>
      </c>
      <c r="R1122" s="75" t="n">
        <v>46147.01111111111</v>
      </c>
      <c r="S1122" s="76" t="n">
        <v>10</v>
      </c>
      <c r="T1122" s="76" t="n">
        <v>8</v>
      </c>
      <c r="U1122" s="70">
        <f>IF($A1122="","",IFERROR(INDEX('Techniciens'!$F$5:$F$44,MATCH(O1122,'Techniciens'!$B$5:$B$44,0)),'Paramètres'!$AA$10))</f>
        <v/>
      </c>
      <c r="V1122" s="70">
        <f>IF($A1122="","",IF(OR(AC1122="Demandé",AC1122="Planifié",AC1122="Annulé"),0,N(T1122)*N(U1122)))</f>
        <v/>
      </c>
      <c r="W1122" s="70">
        <f>IF($A1122="","",SUMIFS('Mouvements stock'!$H$5:$H$3004,'Mouvements stock'!$I$5:$I$3004,$A1122,'Mouvements stock'!$C$5:$C$3004,"Sortie")-SUMIFS('Mouvements stock'!$H$5:$H$3004,'Mouvements stock'!$I$5:$I$3004,$A1122,'Mouvements stock'!$C$5:$C$3004,"Retour"))</f>
        <v/>
      </c>
      <c r="X1122" s="66" t="n">
        <v>0</v>
      </c>
      <c r="Y1122" s="66" t="n">
        <v>0</v>
      </c>
      <c r="Z1122" s="7" t="n"/>
      <c r="AA1122" s="70">
        <f>IF($A1122="","",N(V1122)+N(W1122)+N(X1122)+N(Y1122))</f>
        <v/>
      </c>
      <c r="AB1122" s="70">
        <f>IF($A1122="","",N(S1122)*'Paramètres'!$AA$9*IFERROR(INDEX('Paramètres'!$O$5:$O$7,MATCH(G1122,'Paramètres'!$N$5:$N$7,0)),0))</f>
        <v/>
      </c>
      <c r="AC1122" s="7" t="inlineStr">
        <is>
          <t>Clôturé</t>
        </is>
      </c>
      <c r="AD1122" s="69">
        <f>IF(OR($A1122="",Q1122=""),"",(Q1122-B1122)*24)</f>
        <v/>
      </c>
      <c r="AE1122" s="69">
        <f>IF(OR(Q1122="",R1122=""),"",(R1122-Q1122)*24)</f>
        <v/>
      </c>
      <c r="AF1122" s="77">
        <f>IF(OR($A1122="",B1122=""),"",YEAR(B1122))</f>
        <v/>
      </c>
      <c r="AG1122" s="77">
        <f>IF(OR($A1122="",B1122=""),"",MONTH(B1122))</f>
        <v/>
      </c>
    </row>
    <row r="1123">
      <c r="A1123" s="7" t="inlineStr">
        <is>
          <t>OT-2026-0268</t>
        </is>
      </c>
      <c r="B1123" s="75" t="n">
        <v>46146.88819444444</v>
      </c>
      <c r="C1123" s="7" t="inlineStr">
        <is>
          <t>Opérateur peinture</t>
        </is>
      </c>
      <c r="D1123" s="7" t="inlineStr">
        <is>
          <t>EQ-PEI-002</t>
        </is>
      </c>
      <c r="E1123" s="9">
        <f>IF(D1123="","",IFERROR(INDEX('Équipements'!$B$5:$B$304,MATCH(D1123,'Équipements'!$A$5:$A$304,0)),"Code inconnu"))</f>
        <v/>
      </c>
      <c r="F1123" s="9">
        <f>IF(D1123="","",IFERROR(INDEX('Équipements'!$D$5:$D$304,MATCH(D1123,'Équipements'!$A$5:$A$304,0)),""))</f>
        <v/>
      </c>
      <c r="G1123" s="9">
        <f>IF(D1123="","",IFERROR(INDEX('Équipements'!$K$5:$K$304,MATCH(D1123,'Équipements'!$A$5:$A$304,0)),""))</f>
        <v/>
      </c>
      <c r="H1123" s="7" t="inlineStr">
        <is>
          <t>Correctif</t>
        </is>
      </c>
      <c r="I1123" s="7" t="n"/>
      <c r="J1123" s="7" t="inlineStr">
        <is>
          <t>Pneumatique</t>
        </is>
      </c>
      <c r="K1123" s="7" t="inlineStr">
        <is>
          <t>P2 - Haute</t>
        </is>
      </c>
      <c r="L1123" s="7" t="inlineStr">
        <is>
          <t>Pistolet poudre : débit irrégulier</t>
        </is>
      </c>
      <c r="M1123" s="7" t="inlineStr">
        <is>
          <t>Usure</t>
        </is>
      </c>
      <c r="N1123" s="7" t="inlineStr">
        <is>
          <t>Remplacement injecteur et buse</t>
        </is>
      </c>
      <c r="O1123" s="7" t="inlineStr">
        <is>
          <t>Lucas Fontaine</t>
        </is>
      </c>
      <c r="P1123" s="65" t="n"/>
      <c r="Q1123" s="75" t="n">
        <v>46146.93402777778</v>
      </c>
      <c r="R1123" s="75" t="n">
        <v>46147.07986111111</v>
      </c>
      <c r="S1123" s="76" t="n">
        <v>4.6</v>
      </c>
      <c r="T1123" s="76" t="n">
        <v>3.5</v>
      </c>
      <c r="U1123" s="70">
        <f>IF($A1123="","",IFERROR(INDEX('Techniciens'!$F$5:$F$44,MATCH(O1123,'Techniciens'!$B$5:$B$44,0)),'Paramètres'!$AA$10))</f>
        <v/>
      </c>
      <c r="V1123" s="70">
        <f>IF($A1123="","",IF(OR(AC1123="Demandé",AC1123="Planifié",AC1123="Annulé"),0,N(T1123)*N(U1123)))</f>
        <v/>
      </c>
      <c r="W1123" s="70">
        <f>IF($A1123="","",SUMIFS('Mouvements stock'!$H$5:$H$3004,'Mouvements stock'!$I$5:$I$3004,$A1123,'Mouvements stock'!$C$5:$C$3004,"Sortie")-SUMIFS('Mouvements stock'!$H$5:$H$3004,'Mouvements stock'!$I$5:$I$3004,$A1123,'Mouvements stock'!$C$5:$C$3004,"Retour"))</f>
        <v/>
      </c>
      <c r="X1123" s="66" t="n">
        <v>0</v>
      </c>
      <c r="Y1123" s="66" t="n">
        <v>0</v>
      </c>
      <c r="Z1123" s="7" t="n"/>
      <c r="AA1123" s="70">
        <f>IF($A1123="","",N(V1123)+N(W1123)+N(X1123)+N(Y1123))</f>
        <v/>
      </c>
      <c r="AB1123" s="70">
        <f>IF($A1123="","",N(S1123)*'Paramètres'!$AA$9*IFERROR(INDEX('Paramètres'!$O$5:$O$7,MATCH(G1123,'Paramètres'!$N$5:$N$7,0)),0))</f>
        <v/>
      </c>
      <c r="AC1123" s="7" t="inlineStr">
        <is>
          <t>Clôturé</t>
        </is>
      </c>
      <c r="AD1123" s="69">
        <f>IF(OR($A1123="",Q1123=""),"",(Q1123-B1123)*24)</f>
        <v/>
      </c>
      <c r="AE1123" s="69">
        <f>IF(OR(Q1123="",R1123=""),"",(R1123-Q1123)*24)</f>
        <v/>
      </c>
      <c r="AF1123" s="77">
        <f>IF(OR($A1123="",B1123=""),"",YEAR(B1123))</f>
        <v/>
      </c>
      <c r="AG1123" s="77">
        <f>IF(OR($A1123="",B1123=""),"",MONTH(B1123))</f>
        <v/>
      </c>
    </row>
    <row r="1124">
      <c r="A1124" s="7" t="inlineStr">
        <is>
          <t>OT-2026-0269</t>
        </is>
      </c>
      <c r="B1124" s="75" t="n">
        <v>46147.48194444444</v>
      </c>
      <c r="C1124" s="7" t="inlineStr">
        <is>
          <t>Opérateur peinture</t>
        </is>
      </c>
      <c r="D1124" s="7" t="inlineStr">
        <is>
          <t>EQ-PEI-004</t>
        </is>
      </c>
      <c r="E1124" s="9">
        <f>IF(D1124="","",IFERROR(INDEX('Équipements'!$B$5:$B$304,MATCH(D1124,'Équipements'!$A$5:$A$304,0)),"Code inconnu"))</f>
        <v/>
      </c>
      <c r="F1124" s="9">
        <f>IF(D1124="","",IFERROR(INDEX('Équipements'!$D$5:$D$304,MATCH(D1124,'Équipements'!$A$5:$A$304,0)),""))</f>
        <v/>
      </c>
      <c r="G1124" s="9">
        <f>IF(D1124="","",IFERROR(INDEX('Équipements'!$K$5:$K$304,MATCH(D1124,'Équipements'!$A$5:$A$304,0)),""))</f>
        <v/>
      </c>
      <c r="H1124" s="7" t="inlineStr">
        <is>
          <t>Correctif</t>
        </is>
      </c>
      <c r="I1124" s="7" t="n"/>
      <c r="J1124" s="7" t="inlineStr">
        <is>
          <t>Mécanique</t>
        </is>
      </c>
      <c r="K1124" s="7" t="inlineStr">
        <is>
          <t>P2 - Haute</t>
        </is>
      </c>
      <c r="L1124" s="7" t="inlineStr">
        <is>
          <t>Rupture / saut de chaîne</t>
        </is>
      </c>
      <c r="M1124" s="7" t="inlineStr">
        <is>
          <t>Usure</t>
        </is>
      </c>
      <c r="N1124" s="7" t="inlineStr">
        <is>
          <t>Remplacement maillons et galets, retension</t>
        </is>
      </c>
      <c r="O1124" s="7" t="inlineStr">
        <is>
          <t>Lucas Fontaine</t>
        </is>
      </c>
      <c r="P1124" s="65" t="n"/>
      <c r="Q1124" s="75" t="n">
        <v>46147.70208333333</v>
      </c>
      <c r="R1124" s="75" t="n">
        <v>46147.87916666667</v>
      </c>
      <c r="S1124" s="76" t="n">
        <v>9.5</v>
      </c>
      <c r="T1124" s="76" t="n">
        <v>4.25</v>
      </c>
      <c r="U1124" s="70">
        <f>IF($A1124="","",IFERROR(INDEX('Techniciens'!$F$5:$F$44,MATCH(O1124,'Techniciens'!$B$5:$B$44,0)),'Paramètres'!$AA$10))</f>
        <v/>
      </c>
      <c r="V1124" s="70">
        <f>IF($A1124="","",IF(OR(AC1124="Demandé",AC1124="Planifié",AC1124="Annulé"),0,N(T1124)*N(U1124)))</f>
        <v/>
      </c>
      <c r="W1124" s="70">
        <f>IF($A1124="","",SUMIFS('Mouvements stock'!$H$5:$H$3004,'Mouvements stock'!$I$5:$I$3004,$A1124,'Mouvements stock'!$C$5:$C$3004,"Sortie")-SUMIFS('Mouvements stock'!$H$5:$H$3004,'Mouvements stock'!$I$5:$I$3004,$A1124,'Mouvements stock'!$C$5:$C$3004,"Retour"))</f>
        <v/>
      </c>
      <c r="X1124" s="66" t="n">
        <v>0</v>
      </c>
      <c r="Y1124" s="66" t="n">
        <v>0</v>
      </c>
      <c r="Z1124" s="7" t="n"/>
      <c r="AA1124" s="70">
        <f>IF($A1124="","",N(V1124)+N(W1124)+N(X1124)+N(Y1124))</f>
        <v/>
      </c>
      <c r="AB1124" s="70">
        <f>IF($A1124="","",N(S1124)*'Paramètres'!$AA$9*IFERROR(INDEX('Paramètres'!$O$5:$O$7,MATCH(G1124,'Paramètres'!$N$5:$N$7,0)),0))</f>
        <v/>
      </c>
      <c r="AC1124" s="7" t="inlineStr">
        <is>
          <t>Clôturé</t>
        </is>
      </c>
      <c r="AD1124" s="69">
        <f>IF(OR($A1124="",Q1124=""),"",(Q1124-B1124)*24)</f>
        <v/>
      </c>
      <c r="AE1124" s="69">
        <f>IF(OR(Q1124="",R1124=""),"",(R1124-Q1124)*24)</f>
        <v/>
      </c>
      <c r="AF1124" s="77">
        <f>IF(OR($A1124="",B1124=""),"",YEAR(B1124))</f>
        <v/>
      </c>
      <c r="AG1124" s="77">
        <f>IF(OR($A1124="",B1124=""),"",MONTH(B1124))</f>
        <v/>
      </c>
    </row>
    <row r="1125">
      <c r="A1125" s="7" t="inlineStr">
        <is>
          <t>OT-2026-0270</t>
        </is>
      </c>
      <c r="B1125" s="75" t="n">
        <v>46148.55486111111</v>
      </c>
      <c r="C1125" s="7" t="inlineStr">
        <is>
          <t>Opérateur usinage</t>
        </is>
      </c>
      <c r="D1125" s="7" t="inlineStr">
        <is>
          <t>EQ-USI-003</t>
        </is>
      </c>
      <c r="E1125" s="9">
        <f>IF(D1125="","",IFERROR(INDEX('Équipements'!$B$5:$B$304,MATCH(D1125,'Équipements'!$A$5:$A$304,0)),"Code inconnu"))</f>
        <v/>
      </c>
      <c r="F1125" s="9">
        <f>IF(D1125="","",IFERROR(INDEX('Équipements'!$D$5:$D$304,MATCH(D1125,'Équipements'!$A$5:$A$304,0)),""))</f>
        <v/>
      </c>
      <c r="G1125" s="9">
        <f>IF(D1125="","",IFERROR(INDEX('Équipements'!$K$5:$K$304,MATCH(D1125,'Équipements'!$A$5:$A$304,0)),""))</f>
        <v/>
      </c>
      <c r="H1125" s="7" t="inlineStr">
        <is>
          <t>Correctif</t>
        </is>
      </c>
      <c r="I1125" s="7" t="n"/>
      <c r="J1125" s="7" t="inlineStr">
        <is>
          <t>Électrique</t>
        </is>
      </c>
      <c r="K1125" s="7" t="inlineStr">
        <is>
          <t>P2 - Haute</t>
        </is>
      </c>
      <c r="L1125" s="7" t="inlineStr">
        <is>
          <t>Arrêt d'urgence intempestif</t>
        </is>
      </c>
      <c r="M1125" s="7" t="inlineStr">
        <is>
          <t>Défaut électrique</t>
        </is>
      </c>
      <c r="N1125" s="7" t="inlineStr">
        <is>
          <t>Recherche de panne, remplacement relais de sécurité</t>
        </is>
      </c>
      <c r="O1125" s="7" t="inlineStr">
        <is>
          <t>Thomas Petit</t>
        </is>
      </c>
      <c r="P1125" s="65" t="n"/>
      <c r="Q1125" s="75" t="n">
        <v>46148.74652777778</v>
      </c>
      <c r="R1125" s="75" t="n">
        <v>46148.80902777778</v>
      </c>
      <c r="S1125" s="76" t="n">
        <v>6.1</v>
      </c>
      <c r="T1125" s="76" t="n">
        <v>1.5</v>
      </c>
      <c r="U1125" s="70">
        <f>IF($A1125="","",IFERROR(INDEX('Techniciens'!$F$5:$F$44,MATCH(O1125,'Techniciens'!$B$5:$B$44,0)),'Paramètres'!$AA$10))</f>
        <v/>
      </c>
      <c r="V1125" s="70">
        <f>IF($A1125="","",IF(OR(AC1125="Demandé",AC1125="Planifié",AC1125="Annulé"),0,N(T1125)*N(U1125)))</f>
        <v/>
      </c>
      <c r="W1125" s="70">
        <f>IF($A1125="","",SUMIFS('Mouvements stock'!$H$5:$H$3004,'Mouvements stock'!$I$5:$I$3004,$A1125,'Mouvements stock'!$C$5:$C$3004,"Sortie")-SUMIFS('Mouvements stock'!$H$5:$H$3004,'Mouvements stock'!$I$5:$I$3004,$A1125,'Mouvements stock'!$C$5:$C$3004,"Retour"))</f>
        <v/>
      </c>
      <c r="X1125" s="66" t="n">
        <v>0</v>
      </c>
      <c r="Y1125" s="66" t="n">
        <v>0</v>
      </c>
      <c r="Z1125" s="7" t="n"/>
      <c r="AA1125" s="70">
        <f>IF($A1125="","",N(V1125)+N(W1125)+N(X1125)+N(Y1125))</f>
        <v/>
      </c>
      <c r="AB1125" s="70">
        <f>IF($A1125="","",N(S1125)*'Paramètres'!$AA$9*IFERROR(INDEX('Paramètres'!$O$5:$O$7,MATCH(G1125,'Paramètres'!$N$5:$N$7,0)),0))</f>
        <v/>
      </c>
      <c r="AC1125" s="7" t="inlineStr">
        <is>
          <t>Clôturé</t>
        </is>
      </c>
      <c r="AD1125" s="69">
        <f>IF(OR($A1125="",Q1125=""),"",(Q1125-B1125)*24)</f>
        <v/>
      </c>
      <c r="AE1125" s="69">
        <f>IF(OR(Q1125="",R1125=""),"",(R1125-Q1125)*24)</f>
        <v/>
      </c>
      <c r="AF1125" s="77">
        <f>IF(OR($A1125="",B1125=""),"",YEAR(B1125))</f>
        <v/>
      </c>
      <c r="AG1125" s="77">
        <f>IF(OR($A1125="",B1125=""),"",MONTH(B1125))</f>
        <v/>
      </c>
    </row>
    <row r="1126">
      <c r="A1126" s="7" t="inlineStr">
        <is>
          <t>OT-2026-0271</t>
        </is>
      </c>
      <c r="B1126" s="75" t="n">
        <v>46148.59513888889</v>
      </c>
      <c r="C1126" s="7" t="inlineStr">
        <is>
          <t>Inès Girard (cheffe d'équipe)</t>
        </is>
      </c>
      <c r="D1126" s="7" t="inlineStr">
        <is>
          <t>EQ-PEI-004</t>
        </is>
      </c>
      <c r="E1126" s="9">
        <f>IF(D1126="","",IFERROR(INDEX('Équipements'!$B$5:$B$304,MATCH(D1126,'Équipements'!$A$5:$A$304,0)),"Code inconnu"))</f>
        <v/>
      </c>
      <c r="F1126" s="9">
        <f>IF(D1126="","",IFERROR(INDEX('Équipements'!$D$5:$D$304,MATCH(D1126,'Équipements'!$A$5:$A$304,0)),""))</f>
        <v/>
      </c>
      <c r="G1126" s="9">
        <f>IF(D1126="","",IFERROR(INDEX('Équipements'!$K$5:$K$304,MATCH(D1126,'Équipements'!$A$5:$A$304,0)),""))</f>
        <v/>
      </c>
      <c r="H1126" s="7" t="inlineStr">
        <is>
          <t>Correctif</t>
        </is>
      </c>
      <c r="I1126" s="7" t="n"/>
      <c r="J1126" s="7" t="inlineStr">
        <is>
          <t>Électrique</t>
        </is>
      </c>
      <c r="K1126" s="7" t="inlineStr">
        <is>
          <t>P1 - Urgent</t>
        </is>
      </c>
      <c r="L1126" s="7" t="inlineStr">
        <is>
          <t>Moteur d'entraînement en défaut thermique</t>
        </is>
      </c>
      <c r="M1126" s="7" t="inlineStr">
        <is>
          <t>Défaut électrique</t>
        </is>
      </c>
      <c r="N1126" s="7" t="inlineStr">
        <is>
          <t>Remplacement motoréducteur / disjoncteur moteur</t>
        </is>
      </c>
      <c r="O1126" s="7" t="inlineStr">
        <is>
          <t>Antoine Mercier</t>
        </is>
      </c>
      <c r="P1126" s="65" t="n"/>
      <c r="Q1126" s="75" t="n">
        <v>46148.62152777778</v>
      </c>
      <c r="R1126" s="75" t="n">
        <v>46151.87016820195</v>
      </c>
      <c r="S1126" s="76" t="n">
        <v>47.1</v>
      </c>
      <c r="T1126" s="76" t="n">
        <v>15</v>
      </c>
      <c r="U1126" s="70">
        <f>IF($A1126="","",IFERROR(INDEX('Techniciens'!$F$5:$F$44,MATCH(O1126,'Techniciens'!$B$5:$B$44,0)),'Paramètres'!$AA$10))</f>
        <v/>
      </c>
      <c r="V1126" s="70">
        <f>IF($A1126="","",IF(OR(AC1126="Demandé",AC1126="Planifié",AC1126="Annulé"),0,N(T1126)*N(U1126)))</f>
        <v/>
      </c>
      <c r="W1126" s="70">
        <f>IF($A1126="","",SUMIFS('Mouvements stock'!$H$5:$H$3004,'Mouvements stock'!$I$5:$I$3004,$A1126,'Mouvements stock'!$C$5:$C$3004,"Sortie")-SUMIFS('Mouvements stock'!$H$5:$H$3004,'Mouvements stock'!$I$5:$I$3004,$A1126,'Mouvements stock'!$C$5:$C$3004,"Retour"))</f>
        <v/>
      </c>
      <c r="X1126" s="66" t="n">
        <v>0</v>
      </c>
      <c r="Y1126" s="66" t="n">
        <v>0</v>
      </c>
      <c r="Z1126" s="7" t="n"/>
      <c r="AA1126" s="70">
        <f>IF($A1126="","",N(V1126)+N(W1126)+N(X1126)+N(Y1126))</f>
        <v/>
      </c>
      <c r="AB1126" s="70">
        <f>IF($A1126="","",N(S1126)*'Paramètres'!$AA$9*IFERROR(INDEX('Paramètres'!$O$5:$O$7,MATCH(G1126,'Paramètres'!$N$5:$N$7,0)),0))</f>
        <v/>
      </c>
      <c r="AC1126" s="7" t="inlineStr">
        <is>
          <t>Clôturé</t>
        </is>
      </c>
      <c r="AD1126" s="69">
        <f>IF(OR($A1126="",Q1126=""),"",(Q1126-B1126)*24)</f>
        <v/>
      </c>
      <c r="AE1126" s="69">
        <f>IF(OR(Q1126="",R1126=""),"",(R1126-Q1126)*24)</f>
        <v/>
      </c>
      <c r="AF1126" s="77">
        <f>IF(OR($A1126="",B1126=""),"",YEAR(B1126))</f>
        <v/>
      </c>
      <c r="AG1126" s="77">
        <f>IF(OR($A1126="",B1126=""),"",MONTH(B1126))</f>
        <v/>
      </c>
    </row>
    <row r="1127">
      <c r="A1127" s="7" t="inlineStr">
        <is>
          <t>OT-2026-0272</t>
        </is>
      </c>
      <c r="B1127" s="75" t="n">
        <v>46149.79930555556</v>
      </c>
      <c r="C1127" s="7" t="inlineStr">
        <is>
          <t>Ronde maintenance</t>
        </is>
      </c>
      <c r="D1127" s="7" t="inlineStr">
        <is>
          <t>EQ-UTI-008</t>
        </is>
      </c>
      <c r="E1127" s="9">
        <f>IF(D1127="","",IFERROR(INDEX('Équipements'!$B$5:$B$304,MATCH(D1127,'Équipements'!$A$5:$A$304,0)),"Code inconnu"))</f>
        <v/>
      </c>
      <c r="F1127" s="9">
        <f>IF(D1127="","",IFERROR(INDEX('Équipements'!$D$5:$D$304,MATCH(D1127,'Équipements'!$A$5:$A$304,0)),""))</f>
        <v/>
      </c>
      <c r="G1127" s="9">
        <f>IF(D1127="","",IFERROR(INDEX('Équipements'!$K$5:$K$304,MATCH(D1127,'Équipements'!$A$5:$A$304,0)),""))</f>
        <v/>
      </c>
      <c r="H1127" s="7" t="inlineStr">
        <is>
          <t>Correctif</t>
        </is>
      </c>
      <c r="I1127" s="7" t="n"/>
      <c r="J1127" s="7" t="inlineStr">
        <is>
          <t>Électrique</t>
        </is>
      </c>
      <c r="K1127" s="7" t="inlineStr">
        <is>
          <t>P2 - Haute</t>
        </is>
      </c>
      <c r="L1127" s="7" t="inlineStr">
        <is>
          <t>Défaut démarrage groupe / batterie</t>
        </is>
      </c>
      <c r="M1127" s="7" t="inlineStr">
        <is>
          <t>Usure</t>
        </is>
      </c>
      <c r="N1127" s="7" t="inlineStr">
        <is>
          <t>Remplacement batterie de démarrage</t>
        </is>
      </c>
      <c r="O1127" s="7" t="inlineStr">
        <is>
          <t>Julien Moreau</t>
        </is>
      </c>
      <c r="P1127" s="65" t="n"/>
      <c r="Q1127" s="75" t="n">
        <v>46149.87916666667</v>
      </c>
      <c r="R1127" s="75" t="n">
        <v>46150.01458333333</v>
      </c>
      <c r="S1127" s="76" t="n">
        <v>0</v>
      </c>
      <c r="T1127" s="76" t="n">
        <v>3.25</v>
      </c>
      <c r="U1127" s="70">
        <f>IF($A1127="","",IFERROR(INDEX('Techniciens'!$F$5:$F$44,MATCH(O1127,'Techniciens'!$B$5:$B$44,0)),'Paramètres'!$AA$10))</f>
        <v/>
      </c>
      <c r="V1127" s="70">
        <f>IF($A1127="","",IF(OR(AC1127="Demandé",AC1127="Planifié",AC1127="Annulé"),0,N(T1127)*N(U1127)))</f>
        <v/>
      </c>
      <c r="W1127" s="70">
        <f>IF($A1127="","",SUMIFS('Mouvements stock'!$H$5:$H$3004,'Mouvements stock'!$I$5:$I$3004,$A1127,'Mouvements stock'!$C$5:$C$3004,"Sortie")-SUMIFS('Mouvements stock'!$H$5:$H$3004,'Mouvements stock'!$I$5:$I$3004,$A1127,'Mouvements stock'!$C$5:$C$3004,"Retour"))</f>
        <v/>
      </c>
      <c r="X1127" s="66" t="n">
        <v>0</v>
      </c>
      <c r="Y1127" s="66" t="n">
        <v>0</v>
      </c>
      <c r="Z1127" s="7" t="n"/>
      <c r="AA1127" s="70">
        <f>IF($A1127="","",N(V1127)+N(W1127)+N(X1127)+N(Y1127))</f>
        <v/>
      </c>
      <c r="AB1127" s="70">
        <f>IF($A1127="","",N(S1127)*'Paramètres'!$AA$9*IFERROR(INDEX('Paramètres'!$O$5:$O$7,MATCH(G1127,'Paramètres'!$N$5:$N$7,0)),0))</f>
        <v/>
      </c>
      <c r="AC1127" s="7" t="inlineStr">
        <is>
          <t>Clôturé</t>
        </is>
      </c>
      <c r="AD1127" s="69">
        <f>IF(OR($A1127="",Q1127=""),"",(Q1127-B1127)*24)</f>
        <v/>
      </c>
      <c r="AE1127" s="69">
        <f>IF(OR(Q1127="",R1127=""),"",(R1127-Q1127)*24)</f>
        <v/>
      </c>
      <c r="AF1127" s="77">
        <f>IF(OR($A1127="",B1127=""),"",YEAR(B1127))</f>
        <v/>
      </c>
      <c r="AG1127" s="77">
        <f>IF(OR($A1127="",B1127=""),"",MONTH(B1127))</f>
        <v/>
      </c>
    </row>
    <row r="1128">
      <c r="A1128" s="7" t="inlineStr">
        <is>
          <t>OT-2026-0273</t>
        </is>
      </c>
      <c r="B1128" s="75" t="n">
        <v>46150.44444444445</v>
      </c>
      <c r="C1128" s="7" t="inlineStr">
        <is>
          <t>Plan préventif</t>
        </is>
      </c>
      <c r="D1128" s="7" t="inlineStr">
        <is>
          <t>EQ-PEI-002</t>
        </is>
      </c>
      <c r="E1128" s="9">
        <f>IF(D1128="","",IFERROR(INDEX('Équipements'!$B$5:$B$304,MATCH(D1128,'Équipements'!$A$5:$A$304,0)),"Code inconnu"))</f>
        <v/>
      </c>
      <c r="F1128" s="9">
        <f>IF(D1128="","",IFERROR(INDEX('Équipements'!$D$5:$D$304,MATCH(D1128,'Équipements'!$A$5:$A$304,0)),""))</f>
        <v/>
      </c>
      <c r="G1128" s="9">
        <f>IF(D1128="","",IFERROR(INDEX('Équipements'!$K$5:$K$304,MATCH(D1128,'Équipements'!$A$5:$A$304,0)),""))</f>
        <v/>
      </c>
      <c r="H1128" s="7" t="inlineStr">
        <is>
          <t>Préventif systématique</t>
        </is>
      </c>
      <c r="I1128" s="7" t="inlineStr">
        <is>
          <t>GP-068</t>
        </is>
      </c>
      <c r="J1128" s="7" t="inlineStr">
        <is>
          <t>Mécanique</t>
        </is>
      </c>
      <c r="K1128" s="7" t="inlineStr">
        <is>
          <t>P3 - Normale</t>
        </is>
      </c>
      <c r="L1128" s="7" t="inlineStr">
        <is>
          <t>Nettoyage et remplacement des filtres</t>
        </is>
      </c>
      <c r="M1128" s="7" t="n"/>
      <c r="N1128" s="7" t="inlineStr">
        <is>
          <t>Gamme réalisée - RAS</t>
        </is>
      </c>
      <c r="O1128" s="7" t="inlineStr">
        <is>
          <t>Karim Benali</t>
        </is>
      </c>
      <c r="P1128" s="65" t="n">
        <v>46157.67361111111</v>
      </c>
      <c r="Q1128" s="75" t="n">
        <v>46157.46875</v>
      </c>
      <c r="R1128" s="75" t="n">
        <v>46157.625</v>
      </c>
      <c r="S1128" s="76" t="n">
        <v>3.8</v>
      </c>
      <c r="T1128" s="76" t="n">
        <v>3.75</v>
      </c>
      <c r="U1128" s="70">
        <f>IF($A1128="","",IFERROR(INDEX('Techniciens'!$F$5:$F$44,MATCH(O1128,'Techniciens'!$B$5:$B$44,0)),'Paramètres'!$AA$10))</f>
        <v/>
      </c>
      <c r="V1128" s="70">
        <f>IF($A1128="","",IF(OR(AC1128="Demandé",AC1128="Planifié",AC1128="Annulé"),0,N(T1128)*N(U1128)))</f>
        <v/>
      </c>
      <c r="W1128" s="70">
        <f>IF($A1128="","",SUMIFS('Mouvements stock'!$H$5:$H$3004,'Mouvements stock'!$I$5:$I$3004,$A1128,'Mouvements stock'!$C$5:$C$3004,"Sortie")-SUMIFS('Mouvements stock'!$H$5:$H$3004,'Mouvements stock'!$I$5:$I$3004,$A1128,'Mouvements stock'!$C$5:$C$3004,"Retour"))</f>
        <v/>
      </c>
      <c r="X1128" s="66" t="n">
        <v>0</v>
      </c>
      <c r="Y1128" s="66" t="n">
        <v>0</v>
      </c>
      <c r="Z1128" s="7" t="n"/>
      <c r="AA1128" s="70">
        <f>IF($A1128="","",N(V1128)+N(W1128)+N(X1128)+N(Y1128))</f>
        <v/>
      </c>
      <c r="AB1128" s="70">
        <f>IF($A1128="","",N(S1128)*'Paramètres'!$AA$9*IFERROR(INDEX('Paramètres'!$O$5:$O$7,MATCH(G1128,'Paramètres'!$N$5:$N$7,0)),0))</f>
        <v/>
      </c>
      <c r="AC1128" s="7" t="inlineStr">
        <is>
          <t>Clôturé</t>
        </is>
      </c>
      <c r="AD1128" s="69">
        <f>IF(OR($A1128="",Q1128=""),"",(Q1128-B1128)*24)</f>
        <v/>
      </c>
      <c r="AE1128" s="69">
        <f>IF(OR(Q1128="",R1128=""),"",(R1128-Q1128)*24)</f>
        <v/>
      </c>
      <c r="AF1128" s="77">
        <f>IF(OR($A1128="",B1128=""),"",YEAR(B1128))</f>
        <v/>
      </c>
      <c r="AG1128" s="77">
        <f>IF(OR($A1128="",B1128=""),"",MONTH(B1128))</f>
        <v/>
      </c>
    </row>
    <row r="1129">
      <c r="A1129" s="7" t="inlineStr">
        <is>
          <t>OT-2026-0274</t>
        </is>
      </c>
      <c r="B1129" s="75" t="n">
        <v>46151.55347222222</v>
      </c>
      <c r="C1129" s="7" t="inlineStr">
        <is>
          <t>Cariste</t>
        </is>
      </c>
      <c r="D1129" s="7" t="inlineStr">
        <is>
          <t>EQ-LOG-002</t>
        </is>
      </c>
      <c r="E1129" s="9">
        <f>IF(D1129="","",IFERROR(INDEX('Équipements'!$B$5:$B$304,MATCH(D1129,'Équipements'!$A$5:$A$304,0)),"Code inconnu"))</f>
        <v/>
      </c>
      <c r="F1129" s="9">
        <f>IF(D1129="","",IFERROR(INDEX('Équipements'!$D$5:$D$304,MATCH(D1129,'Équipements'!$A$5:$A$304,0)),""))</f>
        <v/>
      </c>
      <c r="G1129" s="9">
        <f>IF(D1129="","",IFERROR(INDEX('Équipements'!$K$5:$K$304,MATCH(D1129,'Équipements'!$A$5:$A$304,0)),""))</f>
        <v/>
      </c>
      <c r="H1129" s="7" t="inlineStr">
        <is>
          <t>Correctif</t>
        </is>
      </c>
      <c r="I1129" s="7" t="n"/>
      <c r="J1129" s="7" t="inlineStr">
        <is>
          <t>Mécanique</t>
        </is>
      </c>
      <c r="K1129" s="7" t="inlineStr">
        <is>
          <t>P1 - Urgent</t>
        </is>
      </c>
      <c r="L1129" s="7" t="inlineStr">
        <is>
          <t>Freinage inefficace</t>
        </is>
      </c>
      <c r="M1129" s="7" t="inlineStr">
        <is>
          <t>Usure</t>
        </is>
      </c>
      <c r="N1129" s="7" t="inlineStr">
        <is>
          <t>Remplacement garnitures de frein</t>
        </is>
      </c>
      <c r="O1129" s="7" t="inlineStr">
        <is>
          <t>Antoine Mercier</t>
        </is>
      </c>
      <c r="P1129" s="65" t="n"/>
      <c r="Q1129" s="75" t="n">
        <v>46151.57430555556</v>
      </c>
      <c r="R1129" s="75" t="n">
        <v>46151.63680555556</v>
      </c>
      <c r="S1129" s="76" t="n">
        <v>0.6</v>
      </c>
      <c r="T1129" s="76" t="n">
        <v>1.5</v>
      </c>
      <c r="U1129" s="70">
        <f>IF($A1129="","",IFERROR(INDEX('Techniciens'!$F$5:$F$44,MATCH(O1129,'Techniciens'!$B$5:$B$44,0)),'Paramètres'!$AA$10))</f>
        <v/>
      </c>
      <c r="V1129" s="70">
        <f>IF($A1129="","",IF(OR(AC1129="Demandé",AC1129="Planifié",AC1129="Annulé"),0,N(T1129)*N(U1129)))</f>
        <v/>
      </c>
      <c r="W1129" s="70">
        <f>IF($A1129="","",SUMIFS('Mouvements stock'!$H$5:$H$3004,'Mouvements stock'!$I$5:$I$3004,$A1129,'Mouvements stock'!$C$5:$C$3004,"Sortie")-SUMIFS('Mouvements stock'!$H$5:$H$3004,'Mouvements stock'!$I$5:$I$3004,$A1129,'Mouvements stock'!$C$5:$C$3004,"Retour"))</f>
        <v/>
      </c>
      <c r="X1129" s="66" t="n">
        <v>0</v>
      </c>
      <c r="Y1129" s="66" t="n">
        <v>0</v>
      </c>
      <c r="Z1129" s="7" t="n"/>
      <c r="AA1129" s="70">
        <f>IF($A1129="","",N(V1129)+N(W1129)+N(X1129)+N(Y1129))</f>
        <v/>
      </c>
      <c r="AB1129" s="70">
        <f>IF($A1129="","",N(S1129)*'Paramètres'!$AA$9*IFERROR(INDEX('Paramètres'!$O$5:$O$7,MATCH(G1129,'Paramètres'!$N$5:$N$7,0)),0))</f>
        <v/>
      </c>
      <c r="AC1129" s="7" t="inlineStr">
        <is>
          <t>Clôturé</t>
        </is>
      </c>
      <c r="AD1129" s="69">
        <f>IF(OR($A1129="",Q1129=""),"",(Q1129-B1129)*24)</f>
        <v/>
      </c>
      <c r="AE1129" s="69">
        <f>IF(OR(Q1129="",R1129=""),"",(R1129-Q1129)*24)</f>
        <v/>
      </c>
      <c r="AF1129" s="77">
        <f>IF(OR($A1129="",B1129=""),"",YEAR(B1129))</f>
        <v/>
      </c>
      <c r="AG1129" s="77">
        <f>IF(OR($A1129="",B1129=""),"",MONTH(B1129))</f>
        <v/>
      </c>
    </row>
    <row r="1130">
      <c r="A1130" s="7" t="inlineStr">
        <is>
          <t>OT-2026-0275</t>
        </is>
      </c>
      <c r="B1130" s="75" t="n">
        <v>46153.35416666666</v>
      </c>
      <c r="C1130" s="7" t="inlineStr">
        <is>
          <t>Plan préventif</t>
        </is>
      </c>
      <c r="D1130" s="7" t="inlineStr">
        <is>
          <t>EQ-ASS-006</t>
        </is>
      </c>
      <c r="E1130" s="9">
        <f>IF(D1130="","",IFERROR(INDEX('Équipements'!$B$5:$B$304,MATCH(D1130,'Équipements'!$A$5:$A$304,0)),"Code inconnu"))</f>
        <v/>
      </c>
      <c r="F1130" s="9">
        <f>IF(D1130="","",IFERROR(INDEX('Équipements'!$D$5:$D$304,MATCH(D1130,'Équipements'!$A$5:$A$304,0)),""))</f>
        <v/>
      </c>
      <c r="G1130" s="9">
        <f>IF(D1130="","",IFERROR(INDEX('Équipements'!$K$5:$K$304,MATCH(D1130,'Équipements'!$A$5:$A$304,0)),""))</f>
        <v/>
      </c>
      <c r="H1130" s="7" t="inlineStr">
        <is>
          <t>Préventif systématique</t>
        </is>
      </c>
      <c r="I1130" s="7" t="inlineStr">
        <is>
          <t>GP-085</t>
        </is>
      </c>
      <c r="J1130" s="7" t="inlineStr">
        <is>
          <t>Mécanique</t>
        </is>
      </c>
      <c r="K1130" s="7" t="inlineStr">
        <is>
          <t>P3 - Normale</t>
        </is>
      </c>
      <c r="L1130" s="7" t="inlineStr">
        <is>
          <t>Graissage chaîne / galets et contrôle tension</t>
        </is>
      </c>
      <c r="M1130" s="7" t="n"/>
      <c r="N1130" s="7" t="inlineStr">
        <is>
          <t>Gamme réalisée - RAS</t>
        </is>
      </c>
      <c r="O1130" s="7" t="inlineStr">
        <is>
          <t>Lucas Fontaine</t>
        </is>
      </c>
      <c r="P1130" s="65" t="n">
        <v>46160.51388888889</v>
      </c>
      <c r="Q1130" s="75" t="n">
        <v>46160.47222222222</v>
      </c>
      <c r="R1130" s="75" t="n">
        <v>46160.58680555555</v>
      </c>
      <c r="S1130" s="76" t="n">
        <v>2.8</v>
      </c>
      <c r="T1130" s="76" t="n">
        <v>2.75</v>
      </c>
      <c r="U1130" s="70">
        <f>IF($A1130="","",IFERROR(INDEX('Techniciens'!$F$5:$F$44,MATCH(O1130,'Techniciens'!$B$5:$B$44,0)),'Paramètres'!$AA$10))</f>
        <v/>
      </c>
      <c r="V1130" s="70">
        <f>IF($A1130="","",IF(OR(AC1130="Demandé",AC1130="Planifié",AC1130="Annulé"),0,N(T1130)*N(U1130)))</f>
        <v/>
      </c>
      <c r="W1130" s="70">
        <f>IF($A1130="","",SUMIFS('Mouvements stock'!$H$5:$H$3004,'Mouvements stock'!$I$5:$I$3004,$A1130,'Mouvements stock'!$C$5:$C$3004,"Sortie")-SUMIFS('Mouvements stock'!$H$5:$H$3004,'Mouvements stock'!$I$5:$I$3004,$A1130,'Mouvements stock'!$C$5:$C$3004,"Retour"))</f>
        <v/>
      </c>
      <c r="X1130" s="66" t="n">
        <v>0</v>
      </c>
      <c r="Y1130" s="66" t="n">
        <v>0</v>
      </c>
      <c r="Z1130" s="7" t="n"/>
      <c r="AA1130" s="70">
        <f>IF($A1130="","",N(V1130)+N(W1130)+N(X1130)+N(Y1130))</f>
        <v/>
      </c>
      <c r="AB1130" s="70">
        <f>IF($A1130="","",N(S1130)*'Paramètres'!$AA$9*IFERROR(INDEX('Paramètres'!$O$5:$O$7,MATCH(G1130,'Paramètres'!$N$5:$N$7,0)),0))</f>
        <v/>
      </c>
      <c r="AC1130" s="7" t="inlineStr">
        <is>
          <t>Clôturé</t>
        </is>
      </c>
      <c r="AD1130" s="69">
        <f>IF(OR($A1130="",Q1130=""),"",(Q1130-B1130)*24)</f>
        <v/>
      </c>
      <c r="AE1130" s="69">
        <f>IF(OR(Q1130="",R1130=""),"",(R1130-Q1130)*24)</f>
        <v/>
      </c>
      <c r="AF1130" s="77">
        <f>IF(OR($A1130="",B1130=""),"",YEAR(B1130))</f>
        <v/>
      </c>
      <c r="AG1130" s="77">
        <f>IF(OR($A1130="",B1130=""),"",MONTH(B1130))</f>
        <v/>
      </c>
    </row>
    <row r="1131">
      <c r="A1131" s="7" t="inlineStr">
        <is>
          <t>OT-2026-0276</t>
        </is>
      </c>
      <c r="B1131" s="75" t="n">
        <v>46153.36805555555</v>
      </c>
      <c r="C1131" s="7" t="inlineStr">
        <is>
          <t>Plan préventif</t>
        </is>
      </c>
      <c r="D1131" s="7" t="inlineStr">
        <is>
          <t>EQ-PEI-005</t>
        </is>
      </c>
      <c r="E1131" s="9">
        <f>IF(D1131="","",IFERROR(INDEX('Équipements'!$B$5:$B$304,MATCH(D1131,'Équipements'!$A$5:$A$304,0)),"Code inconnu"))</f>
        <v/>
      </c>
      <c r="F1131" s="9">
        <f>IF(D1131="","",IFERROR(INDEX('Équipements'!$D$5:$D$304,MATCH(D1131,'Équipements'!$A$5:$A$304,0)),""))</f>
        <v/>
      </c>
      <c r="G1131" s="9">
        <f>IF(D1131="","",IFERROR(INDEX('Équipements'!$K$5:$K$304,MATCH(D1131,'Équipements'!$A$5:$A$304,0)),""))</f>
        <v/>
      </c>
      <c r="H1131" s="7" t="inlineStr">
        <is>
          <t>Préventif systématique</t>
        </is>
      </c>
      <c r="I1131" s="7" t="inlineStr">
        <is>
          <t>GP-075</t>
        </is>
      </c>
      <c r="J1131" s="7" t="inlineStr">
        <is>
          <t>Multi-technique</t>
        </is>
      </c>
      <c r="K1131" s="7" t="inlineStr">
        <is>
          <t>P3 - Normale</t>
        </is>
      </c>
      <c r="L1131" s="7" t="inlineStr">
        <is>
          <t>Contrôle ventilation, brûleurs, pompes et sécurités</t>
        </is>
      </c>
      <c r="M1131" s="7" t="n"/>
      <c r="N1131" s="7" t="inlineStr">
        <is>
          <t>Gamme réalisée - RAS</t>
        </is>
      </c>
      <c r="O1131" s="7" t="inlineStr">
        <is>
          <t>Antoine Mercier</t>
        </is>
      </c>
      <c r="P1131" s="65" t="n">
        <v>46160.77083333334</v>
      </c>
      <c r="Q1131" s="75" t="n">
        <v>46160.39583333334</v>
      </c>
      <c r="R1131" s="75" t="n">
        <v>46160.58333333334</v>
      </c>
      <c r="S1131" s="76" t="n">
        <v>0</v>
      </c>
      <c r="T1131" s="76" t="n">
        <v>4.5</v>
      </c>
      <c r="U1131" s="70">
        <f>IF($A1131="","",IFERROR(INDEX('Techniciens'!$F$5:$F$44,MATCH(O1131,'Techniciens'!$B$5:$B$44,0)),'Paramètres'!$AA$10))</f>
        <v/>
      </c>
      <c r="V1131" s="70">
        <f>IF($A1131="","",IF(OR(AC1131="Demandé",AC1131="Planifié",AC1131="Annulé"),0,N(T1131)*N(U1131)))</f>
        <v/>
      </c>
      <c r="W1131" s="70">
        <f>IF($A1131="","",SUMIFS('Mouvements stock'!$H$5:$H$3004,'Mouvements stock'!$I$5:$I$3004,$A1131,'Mouvements stock'!$C$5:$C$3004,"Sortie")-SUMIFS('Mouvements stock'!$H$5:$H$3004,'Mouvements stock'!$I$5:$I$3004,$A1131,'Mouvements stock'!$C$5:$C$3004,"Retour"))</f>
        <v/>
      </c>
      <c r="X1131" s="66" t="n">
        <v>0</v>
      </c>
      <c r="Y1131" s="66" t="n">
        <v>0</v>
      </c>
      <c r="Z1131" s="7" t="n"/>
      <c r="AA1131" s="70">
        <f>IF($A1131="","",N(V1131)+N(W1131)+N(X1131)+N(Y1131))</f>
        <v/>
      </c>
      <c r="AB1131" s="70">
        <f>IF($A1131="","",N(S1131)*'Paramètres'!$AA$9*IFERROR(INDEX('Paramètres'!$O$5:$O$7,MATCH(G1131,'Paramètres'!$N$5:$N$7,0)),0))</f>
        <v/>
      </c>
      <c r="AC1131" s="7" t="inlineStr">
        <is>
          <t>Clôturé</t>
        </is>
      </c>
      <c r="AD1131" s="69">
        <f>IF(OR($A1131="",Q1131=""),"",(Q1131-B1131)*24)</f>
        <v/>
      </c>
      <c r="AE1131" s="69">
        <f>IF(OR(Q1131="",R1131=""),"",(R1131-Q1131)*24)</f>
        <v/>
      </c>
      <c r="AF1131" s="77">
        <f>IF(OR($A1131="",B1131=""),"",YEAR(B1131))</f>
        <v/>
      </c>
      <c r="AG1131" s="77">
        <f>IF(OR($A1131="",B1131=""),"",MONTH(B1131))</f>
        <v/>
      </c>
    </row>
    <row r="1132">
      <c r="A1132" s="7" t="inlineStr">
        <is>
          <t>OT-2026-0277</t>
        </is>
      </c>
      <c r="B1132" s="75" t="n">
        <v>46153.38194444445</v>
      </c>
      <c r="C1132" s="7" t="inlineStr">
        <is>
          <t>Plan préventif</t>
        </is>
      </c>
      <c r="D1132" s="7" t="inlineStr">
        <is>
          <t>EQ-PEI-001</t>
        </is>
      </c>
      <c r="E1132" s="9">
        <f>IF(D1132="","",IFERROR(INDEX('Équipements'!$B$5:$B$304,MATCH(D1132,'Équipements'!$A$5:$A$304,0)),"Code inconnu"))</f>
        <v/>
      </c>
      <c r="F1132" s="9">
        <f>IF(D1132="","",IFERROR(INDEX('Équipements'!$D$5:$D$304,MATCH(D1132,'Équipements'!$A$5:$A$304,0)),""))</f>
        <v/>
      </c>
      <c r="G1132" s="9">
        <f>IF(D1132="","",IFERROR(INDEX('Équipements'!$K$5:$K$304,MATCH(D1132,'Équipements'!$A$5:$A$304,0)),""))</f>
        <v/>
      </c>
      <c r="H1132" s="7" t="inlineStr">
        <is>
          <t>Préventif systématique</t>
        </is>
      </c>
      <c r="I1132" s="7" t="inlineStr">
        <is>
          <t>GP-066</t>
        </is>
      </c>
      <c r="J1132" s="7" t="inlineStr">
        <is>
          <t>Mécanique</t>
        </is>
      </c>
      <c r="K1132" s="7" t="inlineStr">
        <is>
          <t>P3 - Normale</t>
        </is>
      </c>
      <c r="L1132" s="7" t="inlineStr">
        <is>
          <t>Nettoyage et remplacement des filtres</t>
        </is>
      </c>
      <c r="M1132" s="7" t="n"/>
      <c r="N1132" s="7" t="inlineStr">
        <is>
          <t>Gamme réalisée - RAS</t>
        </is>
      </c>
      <c r="O1132" s="7" t="inlineStr">
        <is>
          <t>Lucas Fontaine</t>
        </is>
      </c>
      <c r="P1132" s="65" t="n">
        <v>46160.40625</v>
      </c>
      <c r="Q1132" s="75" t="n">
        <v>46160.40277777778</v>
      </c>
      <c r="R1132" s="75" t="n">
        <v>46160.52777777778</v>
      </c>
      <c r="S1132" s="76" t="n">
        <v>3</v>
      </c>
      <c r="T1132" s="76" t="n">
        <v>3</v>
      </c>
      <c r="U1132" s="70">
        <f>IF($A1132="","",IFERROR(INDEX('Techniciens'!$F$5:$F$44,MATCH(O1132,'Techniciens'!$B$5:$B$44,0)),'Paramètres'!$AA$10))</f>
        <v/>
      </c>
      <c r="V1132" s="70">
        <f>IF($A1132="","",IF(OR(AC1132="Demandé",AC1132="Planifié",AC1132="Annulé"),0,N(T1132)*N(U1132)))</f>
        <v/>
      </c>
      <c r="W1132" s="70">
        <f>IF($A1132="","",SUMIFS('Mouvements stock'!$H$5:$H$3004,'Mouvements stock'!$I$5:$I$3004,$A1132,'Mouvements stock'!$C$5:$C$3004,"Sortie")-SUMIFS('Mouvements stock'!$H$5:$H$3004,'Mouvements stock'!$I$5:$I$3004,$A1132,'Mouvements stock'!$C$5:$C$3004,"Retour"))</f>
        <v/>
      </c>
      <c r="X1132" s="66" t="n">
        <v>0</v>
      </c>
      <c r="Y1132" s="66" t="n">
        <v>0</v>
      </c>
      <c r="Z1132" s="7" t="n"/>
      <c r="AA1132" s="70">
        <f>IF($A1132="","",N(V1132)+N(W1132)+N(X1132)+N(Y1132))</f>
        <v/>
      </c>
      <c r="AB1132" s="70">
        <f>IF($A1132="","",N(S1132)*'Paramètres'!$AA$9*IFERROR(INDEX('Paramètres'!$O$5:$O$7,MATCH(G1132,'Paramètres'!$N$5:$N$7,0)),0))</f>
        <v/>
      </c>
      <c r="AC1132" s="7" t="inlineStr">
        <is>
          <t>Clôturé</t>
        </is>
      </c>
      <c r="AD1132" s="69">
        <f>IF(OR($A1132="",Q1132=""),"",(Q1132-B1132)*24)</f>
        <v/>
      </c>
      <c r="AE1132" s="69">
        <f>IF(OR(Q1132="",R1132=""),"",(R1132-Q1132)*24)</f>
        <v/>
      </c>
      <c r="AF1132" s="77">
        <f>IF(OR($A1132="",B1132=""),"",YEAR(B1132))</f>
        <v/>
      </c>
      <c r="AG1132" s="77">
        <f>IF(OR($A1132="",B1132=""),"",MONTH(B1132))</f>
        <v/>
      </c>
    </row>
    <row r="1133">
      <c r="A1133" s="7" t="inlineStr">
        <is>
          <t>OT-2026-0278</t>
        </is>
      </c>
      <c r="B1133" s="75" t="n">
        <v>46153.38541666666</v>
      </c>
      <c r="C1133" s="7" t="inlineStr">
        <is>
          <t>Plan préventif</t>
        </is>
      </c>
      <c r="D1133" s="7" t="inlineStr">
        <is>
          <t>EQ-LOG-001</t>
        </is>
      </c>
      <c r="E1133" s="9">
        <f>IF(D1133="","",IFERROR(INDEX('Équipements'!$B$5:$B$304,MATCH(D1133,'Équipements'!$A$5:$A$304,0)),"Code inconnu"))</f>
        <v/>
      </c>
      <c r="F1133" s="9">
        <f>IF(D1133="","",IFERROR(INDEX('Équipements'!$D$5:$D$304,MATCH(D1133,'Équipements'!$A$5:$A$304,0)),""))</f>
        <v/>
      </c>
      <c r="G1133" s="9">
        <f>IF(D1133="","",IFERROR(INDEX('Équipements'!$K$5:$K$304,MATCH(D1133,'Équipements'!$A$5:$A$304,0)),""))</f>
        <v/>
      </c>
      <c r="H1133" s="7" t="inlineStr">
        <is>
          <t>Préventif systématique</t>
        </is>
      </c>
      <c r="I1133" s="7" t="inlineStr">
        <is>
          <t>GP-106</t>
        </is>
      </c>
      <c r="J1133" s="7" t="inlineStr">
        <is>
          <t>Mécanique</t>
        </is>
      </c>
      <c r="K1133" s="7" t="inlineStr">
        <is>
          <t>P3 - Normale</t>
        </is>
      </c>
      <c r="L1133" s="7" t="inlineStr">
        <is>
          <t>Contrôle batterie, niveaux et bandages</t>
        </is>
      </c>
      <c r="M1133" s="7" t="n"/>
      <c r="N1133" s="7" t="inlineStr">
        <is>
          <t>Gamme réalisée - RAS</t>
        </is>
      </c>
      <c r="O1133" s="7" t="inlineStr">
        <is>
          <t>Lucas Fontaine</t>
        </is>
      </c>
      <c r="P1133" s="65" t="n">
        <v>46160.64236111111</v>
      </c>
      <c r="Q1133" s="75" t="n">
        <v>46160.29861111111</v>
      </c>
      <c r="R1133" s="75" t="n">
        <v>46160.32986111111</v>
      </c>
      <c r="S1133" s="76" t="n">
        <v>0.8</v>
      </c>
      <c r="T1133" s="76" t="n">
        <v>0.75</v>
      </c>
      <c r="U1133" s="70">
        <f>IF($A1133="","",IFERROR(INDEX('Techniciens'!$F$5:$F$44,MATCH(O1133,'Techniciens'!$B$5:$B$44,0)),'Paramètres'!$AA$10))</f>
        <v/>
      </c>
      <c r="V1133" s="70">
        <f>IF($A1133="","",IF(OR(AC1133="Demandé",AC1133="Planifié",AC1133="Annulé"),0,N(T1133)*N(U1133)))</f>
        <v/>
      </c>
      <c r="W1133" s="70">
        <f>IF($A1133="","",SUMIFS('Mouvements stock'!$H$5:$H$3004,'Mouvements stock'!$I$5:$I$3004,$A1133,'Mouvements stock'!$C$5:$C$3004,"Sortie")-SUMIFS('Mouvements stock'!$H$5:$H$3004,'Mouvements stock'!$I$5:$I$3004,$A1133,'Mouvements stock'!$C$5:$C$3004,"Retour"))</f>
        <v/>
      </c>
      <c r="X1133" s="66" t="n">
        <v>0</v>
      </c>
      <c r="Y1133" s="66" t="n">
        <v>0</v>
      </c>
      <c r="Z1133" s="7" t="n"/>
      <c r="AA1133" s="70">
        <f>IF($A1133="","",N(V1133)+N(W1133)+N(X1133)+N(Y1133))</f>
        <v/>
      </c>
      <c r="AB1133" s="70">
        <f>IF($A1133="","",N(S1133)*'Paramètres'!$AA$9*IFERROR(INDEX('Paramètres'!$O$5:$O$7,MATCH(G1133,'Paramètres'!$N$5:$N$7,0)),0))</f>
        <v/>
      </c>
      <c r="AC1133" s="7" t="inlineStr">
        <is>
          <t>Clôturé</t>
        </is>
      </c>
      <c r="AD1133" s="69">
        <f>IF(OR($A1133="",Q1133=""),"",(Q1133-B1133)*24)</f>
        <v/>
      </c>
      <c r="AE1133" s="69">
        <f>IF(OR(Q1133="",R1133=""),"",(R1133-Q1133)*24)</f>
        <v/>
      </c>
      <c r="AF1133" s="77">
        <f>IF(OR($A1133="",B1133=""),"",YEAR(B1133))</f>
        <v/>
      </c>
      <c r="AG1133" s="77">
        <f>IF(OR($A1133="",B1133=""),"",MONTH(B1133))</f>
        <v/>
      </c>
    </row>
    <row r="1134">
      <c r="A1134" s="7" t="inlineStr">
        <is>
          <t>OT-2026-0279</t>
        </is>
      </c>
      <c r="B1134" s="75" t="n">
        <v>46153.40277777778</v>
      </c>
      <c r="C1134" s="7" t="inlineStr">
        <is>
          <t>Plan préventif</t>
        </is>
      </c>
      <c r="D1134" s="7" t="inlineStr">
        <is>
          <t>EQ-SOU-001</t>
        </is>
      </c>
      <c r="E1134" s="9">
        <f>IF(D1134="","",IFERROR(INDEX('Équipements'!$B$5:$B$304,MATCH(D1134,'Équipements'!$A$5:$A$304,0)),"Code inconnu"))</f>
        <v/>
      </c>
      <c r="F1134" s="9">
        <f>IF(D1134="","",IFERROR(INDEX('Équipements'!$D$5:$D$304,MATCH(D1134,'Équipements'!$A$5:$A$304,0)),""))</f>
        <v/>
      </c>
      <c r="G1134" s="9">
        <f>IF(D1134="","",IFERROR(INDEX('Équipements'!$K$5:$K$304,MATCH(D1134,'Équipements'!$A$5:$A$304,0)),""))</f>
        <v/>
      </c>
      <c r="H1134" s="7" t="inlineStr">
        <is>
          <t>Préventif systématique</t>
        </is>
      </c>
      <c r="I1134" s="7" t="inlineStr">
        <is>
          <t>GP-058</t>
        </is>
      </c>
      <c r="J1134" s="7" t="inlineStr">
        <is>
          <t>Mécanique</t>
        </is>
      </c>
      <c r="K1134" s="7" t="inlineStr">
        <is>
          <t>P3 - Normale</t>
        </is>
      </c>
      <c r="L1134" s="7" t="inlineStr">
        <is>
          <t>Nettoyage torche et contrôle faisceau</t>
        </is>
      </c>
      <c r="M1134" s="7" t="n"/>
      <c r="N1134" s="7" t="inlineStr">
        <is>
          <t>Gamme réalisée - RAS</t>
        </is>
      </c>
      <c r="O1134" s="7" t="inlineStr">
        <is>
          <t>Lucas Fontaine</t>
        </is>
      </c>
      <c r="P1134" s="65" t="n">
        <v>46160.52083333334</v>
      </c>
      <c r="Q1134" s="75" t="n">
        <v>46160.44444444445</v>
      </c>
      <c r="R1134" s="75" t="n">
        <v>46160.48611111111</v>
      </c>
      <c r="S1134" s="76" t="n">
        <v>0</v>
      </c>
      <c r="T1134" s="76" t="n">
        <v>1</v>
      </c>
      <c r="U1134" s="70">
        <f>IF($A1134="","",IFERROR(INDEX('Techniciens'!$F$5:$F$44,MATCH(O1134,'Techniciens'!$B$5:$B$44,0)),'Paramètres'!$AA$10))</f>
        <v/>
      </c>
      <c r="V1134" s="70">
        <f>IF($A1134="","",IF(OR(AC1134="Demandé",AC1134="Planifié",AC1134="Annulé"),0,N(T1134)*N(U1134)))</f>
        <v/>
      </c>
      <c r="W1134" s="70">
        <f>IF($A1134="","",SUMIFS('Mouvements stock'!$H$5:$H$3004,'Mouvements stock'!$I$5:$I$3004,$A1134,'Mouvements stock'!$C$5:$C$3004,"Sortie")-SUMIFS('Mouvements stock'!$H$5:$H$3004,'Mouvements stock'!$I$5:$I$3004,$A1134,'Mouvements stock'!$C$5:$C$3004,"Retour"))</f>
        <v/>
      </c>
      <c r="X1134" s="66" t="n">
        <v>0</v>
      </c>
      <c r="Y1134" s="66" t="n">
        <v>0</v>
      </c>
      <c r="Z1134" s="7" t="n"/>
      <c r="AA1134" s="70">
        <f>IF($A1134="","",N(V1134)+N(W1134)+N(X1134)+N(Y1134))</f>
        <v/>
      </c>
      <c r="AB1134" s="70">
        <f>IF($A1134="","",N(S1134)*'Paramètres'!$AA$9*IFERROR(INDEX('Paramètres'!$O$5:$O$7,MATCH(G1134,'Paramètres'!$N$5:$N$7,0)),0))</f>
        <v/>
      </c>
      <c r="AC1134" s="7" t="inlineStr">
        <is>
          <t>Clôturé</t>
        </is>
      </c>
      <c r="AD1134" s="69">
        <f>IF(OR($A1134="",Q1134=""),"",(Q1134-B1134)*24)</f>
        <v/>
      </c>
      <c r="AE1134" s="69">
        <f>IF(OR(Q1134="",R1134=""),"",(R1134-Q1134)*24)</f>
        <v/>
      </c>
      <c r="AF1134" s="77">
        <f>IF(OR($A1134="",B1134=""),"",YEAR(B1134))</f>
        <v/>
      </c>
      <c r="AG1134" s="77">
        <f>IF(OR($A1134="",B1134=""),"",MONTH(B1134))</f>
        <v/>
      </c>
    </row>
    <row r="1135">
      <c r="A1135" s="7" t="inlineStr">
        <is>
          <t>OT-2026-0280</t>
        </is>
      </c>
      <c r="B1135" s="75" t="n">
        <v>46153.45138888889</v>
      </c>
      <c r="C1135" s="7" t="inlineStr">
        <is>
          <t>Plan préventif</t>
        </is>
      </c>
      <c r="D1135" s="7" t="inlineStr">
        <is>
          <t>EQ-PEI-005</t>
        </is>
      </c>
      <c r="E1135" s="9">
        <f>IF(D1135="","",IFERROR(INDEX('Équipements'!$B$5:$B$304,MATCH(D1135,'Équipements'!$A$5:$A$304,0)),"Code inconnu"))</f>
        <v/>
      </c>
      <c r="F1135" s="9">
        <f>IF(D1135="","",IFERROR(INDEX('Équipements'!$D$5:$D$304,MATCH(D1135,'Équipements'!$A$5:$A$304,0)),""))</f>
        <v/>
      </c>
      <c r="G1135" s="9">
        <f>IF(D1135="","",IFERROR(INDEX('Équipements'!$K$5:$K$304,MATCH(D1135,'Équipements'!$A$5:$A$304,0)),""))</f>
        <v/>
      </c>
      <c r="H1135" s="7" t="inlineStr">
        <is>
          <t>Préventif systématique</t>
        </is>
      </c>
      <c r="I1135" s="7" t="inlineStr">
        <is>
          <t>GP-074</t>
        </is>
      </c>
      <c r="J1135" s="7" t="inlineStr">
        <is>
          <t>Mécanique</t>
        </is>
      </c>
      <c r="K1135" s="7" t="inlineStr">
        <is>
          <t>P3 - Normale</t>
        </is>
      </c>
      <c r="L1135" s="7" t="inlineStr">
        <is>
          <t>Nettoyage et remplacement des filtres</t>
        </is>
      </c>
      <c r="M1135" s="7" t="n"/>
      <c r="N1135" s="7" t="inlineStr">
        <is>
          <t>Gamme réalisée - RAS</t>
        </is>
      </c>
      <c r="O1135" s="7" t="inlineStr">
        <is>
          <t>Lucas Fontaine</t>
        </is>
      </c>
      <c r="P1135" s="65" t="n">
        <v>46160.6875</v>
      </c>
      <c r="Q1135" s="75" t="n">
        <v>46160.52083333334</v>
      </c>
      <c r="R1135" s="75" t="n">
        <v>46160.625</v>
      </c>
      <c r="S1135" s="76" t="n">
        <v>1.2</v>
      </c>
      <c r="T1135" s="76" t="n">
        <v>2.5</v>
      </c>
      <c r="U1135" s="70">
        <f>IF($A1135="","",IFERROR(INDEX('Techniciens'!$F$5:$F$44,MATCH(O1135,'Techniciens'!$B$5:$B$44,0)),'Paramètres'!$AA$10))</f>
        <v/>
      </c>
      <c r="V1135" s="70">
        <f>IF($A1135="","",IF(OR(AC1135="Demandé",AC1135="Planifié",AC1135="Annulé"),0,N(T1135)*N(U1135)))</f>
        <v/>
      </c>
      <c r="W1135" s="70">
        <f>IF($A1135="","",SUMIFS('Mouvements stock'!$H$5:$H$3004,'Mouvements stock'!$I$5:$I$3004,$A1135,'Mouvements stock'!$C$5:$C$3004,"Sortie")-SUMIFS('Mouvements stock'!$H$5:$H$3004,'Mouvements stock'!$I$5:$I$3004,$A1135,'Mouvements stock'!$C$5:$C$3004,"Retour"))</f>
        <v/>
      </c>
      <c r="X1135" s="66" t="n">
        <v>0</v>
      </c>
      <c r="Y1135" s="66" t="n">
        <v>0</v>
      </c>
      <c r="Z1135" s="7" t="n"/>
      <c r="AA1135" s="70">
        <f>IF($A1135="","",N(V1135)+N(W1135)+N(X1135)+N(Y1135))</f>
        <v/>
      </c>
      <c r="AB1135" s="70">
        <f>IF($A1135="","",N(S1135)*'Paramètres'!$AA$9*IFERROR(INDEX('Paramètres'!$O$5:$O$7,MATCH(G1135,'Paramètres'!$N$5:$N$7,0)),0))</f>
        <v/>
      </c>
      <c r="AC1135" s="7" t="inlineStr">
        <is>
          <t>Clôturé</t>
        </is>
      </c>
      <c r="AD1135" s="69">
        <f>IF(OR($A1135="",Q1135=""),"",(Q1135-B1135)*24)</f>
        <v/>
      </c>
      <c r="AE1135" s="69">
        <f>IF(OR(Q1135="",R1135=""),"",(R1135-Q1135)*24)</f>
        <v/>
      </c>
      <c r="AF1135" s="77">
        <f>IF(OR($A1135="",B1135=""),"",YEAR(B1135))</f>
        <v/>
      </c>
      <c r="AG1135" s="77">
        <f>IF(OR($A1135="",B1135=""),"",MONTH(B1135))</f>
        <v/>
      </c>
    </row>
    <row r="1136">
      <c r="A1136" s="7" t="inlineStr">
        <is>
          <t>OT-2026-0281</t>
        </is>
      </c>
      <c r="B1136" s="75" t="n">
        <v>46153.46875</v>
      </c>
      <c r="C1136" s="7" t="inlineStr">
        <is>
          <t>Plan préventif</t>
        </is>
      </c>
      <c r="D1136" s="7" t="inlineStr">
        <is>
          <t>EQ-UTI-009</t>
        </is>
      </c>
      <c r="E1136" s="9">
        <f>IF(D1136="","",IFERROR(INDEX('Équipements'!$B$5:$B$304,MATCH(D1136,'Équipements'!$A$5:$A$304,0)),"Code inconnu"))</f>
        <v/>
      </c>
      <c r="F1136" s="9">
        <f>IF(D1136="","",IFERROR(INDEX('Équipements'!$D$5:$D$304,MATCH(D1136,'Équipements'!$A$5:$A$304,0)),""))</f>
        <v/>
      </c>
      <c r="G1136" s="9">
        <f>IF(D1136="","",IFERROR(INDEX('Équipements'!$K$5:$K$304,MATCH(D1136,'Équipements'!$A$5:$A$304,0)),""))</f>
        <v/>
      </c>
      <c r="H1136" s="7" t="inlineStr">
        <is>
          <t>Préventif systématique</t>
        </is>
      </c>
      <c r="I1136" s="7" t="inlineStr">
        <is>
          <t>GP-101</t>
        </is>
      </c>
      <c r="J1136" s="7" t="inlineStr">
        <is>
          <t>Électrique</t>
        </is>
      </c>
      <c r="K1136" s="7" t="inlineStr">
        <is>
          <t>P3 - Normale</t>
        </is>
      </c>
      <c r="L1136" s="7" t="inlineStr">
        <is>
          <t>Étalonnage des sondes pH / redox</t>
        </is>
      </c>
      <c r="M1136" s="7" t="n"/>
      <c r="N1136" s="7" t="inlineStr">
        <is>
          <t>Gamme réalisée - RAS</t>
        </is>
      </c>
      <c r="O1136" s="7" t="inlineStr">
        <is>
          <t>Thomas Petit</t>
        </is>
      </c>
      <c r="P1136" s="65" t="n">
        <v>46160.48958333334</v>
      </c>
      <c r="Q1136" s="75" t="n">
        <v>46160.56944444445</v>
      </c>
      <c r="R1136" s="75" t="n">
        <v>46160.62152777778</v>
      </c>
      <c r="S1136" s="76" t="n">
        <v>0</v>
      </c>
      <c r="T1136" s="76" t="n">
        <v>1.25</v>
      </c>
      <c r="U1136" s="70">
        <f>IF($A1136="","",IFERROR(INDEX('Techniciens'!$F$5:$F$44,MATCH(O1136,'Techniciens'!$B$5:$B$44,0)),'Paramètres'!$AA$10))</f>
        <v/>
      </c>
      <c r="V1136" s="70">
        <f>IF($A1136="","",IF(OR(AC1136="Demandé",AC1136="Planifié",AC1136="Annulé"),0,N(T1136)*N(U1136)))</f>
        <v/>
      </c>
      <c r="W1136" s="70">
        <f>IF($A1136="","",SUMIFS('Mouvements stock'!$H$5:$H$3004,'Mouvements stock'!$I$5:$I$3004,$A1136,'Mouvements stock'!$C$5:$C$3004,"Sortie")-SUMIFS('Mouvements stock'!$H$5:$H$3004,'Mouvements stock'!$I$5:$I$3004,$A1136,'Mouvements stock'!$C$5:$C$3004,"Retour"))</f>
        <v/>
      </c>
      <c r="X1136" s="66" t="n">
        <v>0</v>
      </c>
      <c r="Y1136" s="66" t="n">
        <v>0</v>
      </c>
      <c r="Z1136" s="7" t="n"/>
      <c r="AA1136" s="70">
        <f>IF($A1136="","",N(V1136)+N(W1136)+N(X1136)+N(Y1136))</f>
        <v/>
      </c>
      <c r="AB1136" s="70">
        <f>IF($A1136="","",N(S1136)*'Paramètres'!$AA$9*IFERROR(INDEX('Paramètres'!$O$5:$O$7,MATCH(G1136,'Paramètres'!$N$5:$N$7,0)),0))</f>
        <v/>
      </c>
      <c r="AC1136" s="7" t="inlineStr">
        <is>
          <t>Clôturé</t>
        </is>
      </c>
      <c r="AD1136" s="69">
        <f>IF(OR($A1136="",Q1136=""),"",(Q1136-B1136)*24)</f>
        <v/>
      </c>
      <c r="AE1136" s="69">
        <f>IF(OR(Q1136="",R1136=""),"",(R1136-Q1136)*24)</f>
        <v/>
      </c>
      <c r="AF1136" s="77">
        <f>IF(OR($A1136="",B1136=""),"",YEAR(B1136))</f>
        <v/>
      </c>
      <c r="AG1136" s="77">
        <f>IF(OR($A1136="",B1136=""),"",MONTH(B1136))</f>
        <v/>
      </c>
    </row>
    <row r="1137">
      <c r="A1137" s="7" t="inlineStr">
        <is>
          <t>OT-2026-0282</t>
        </is>
      </c>
      <c r="B1137" s="75" t="n">
        <v>46153.47222222222</v>
      </c>
      <c r="C1137" s="7" t="inlineStr">
        <is>
          <t>Plan préventif</t>
        </is>
      </c>
      <c r="D1137" s="7" t="inlineStr">
        <is>
          <t>EQ-USI-003</t>
        </is>
      </c>
      <c r="E1137" s="9">
        <f>IF(D1137="","",IFERROR(INDEX('Équipements'!$B$5:$B$304,MATCH(D1137,'Équipements'!$A$5:$A$304,0)),"Code inconnu"))</f>
        <v/>
      </c>
      <c r="F1137" s="9">
        <f>IF(D1137="","",IFERROR(INDEX('Équipements'!$D$5:$D$304,MATCH(D1137,'Équipements'!$A$5:$A$304,0)),""))</f>
        <v/>
      </c>
      <c r="G1137" s="9">
        <f>IF(D1137="","",IFERROR(INDEX('Équipements'!$K$5:$K$304,MATCH(D1137,'Équipements'!$A$5:$A$304,0)),""))</f>
        <v/>
      </c>
      <c r="H1137" s="7" t="inlineStr">
        <is>
          <t>Préventif systématique</t>
        </is>
      </c>
      <c r="I1137" s="7" t="inlineStr">
        <is>
          <t>GP-009</t>
        </is>
      </c>
      <c r="J1137" s="7" t="inlineStr">
        <is>
          <t>Mécanique</t>
        </is>
      </c>
      <c r="K1137" s="7" t="inlineStr">
        <is>
          <t>P3 - Normale</t>
        </is>
      </c>
      <c r="L1137" s="7" t="inlineStr">
        <is>
          <t>Contrôle niveaux, nettoyage filtres et bac à copeaux</t>
        </is>
      </c>
      <c r="M1137" s="7" t="n"/>
      <c r="N1137" s="7" t="inlineStr">
        <is>
          <t>Gamme réalisée - RAS</t>
        </is>
      </c>
      <c r="O1137" s="7" t="inlineStr">
        <is>
          <t>Lucas Fontaine</t>
        </is>
      </c>
      <c r="P1137" s="65" t="n">
        <v>46160.58680555555</v>
      </c>
      <c r="Q1137" s="75" t="n">
        <v>46160.61111111111</v>
      </c>
      <c r="R1137" s="75" t="n">
        <v>46160.68402777778</v>
      </c>
      <c r="S1137" s="76" t="n">
        <v>0.9</v>
      </c>
      <c r="T1137" s="76" t="n">
        <v>1.75</v>
      </c>
      <c r="U1137" s="70">
        <f>IF($A1137="","",IFERROR(INDEX('Techniciens'!$F$5:$F$44,MATCH(O1137,'Techniciens'!$B$5:$B$44,0)),'Paramètres'!$AA$10))</f>
        <v/>
      </c>
      <c r="V1137" s="70">
        <f>IF($A1137="","",IF(OR(AC1137="Demandé",AC1137="Planifié",AC1137="Annulé"),0,N(T1137)*N(U1137)))</f>
        <v/>
      </c>
      <c r="W1137" s="70">
        <f>IF($A1137="","",SUMIFS('Mouvements stock'!$H$5:$H$3004,'Mouvements stock'!$I$5:$I$3004,$A1137,'Mouvements stock'!$C$5:$C$3004,"Sortie")-SUMIFS('Mouvements stock'!$H$5:$H$3004,'Mouvements stock'!$I$5:$I$3004,$A1137,'Mouvements stock'!$C$5:$C$3004,"Retour"))</f>
        <v/>
      </c>
      <c r="X1137" s="66" t="n">
        <v>0</v>
      </c>
      <c r="Y1137" s="66" t="n">
        <v>0</v>
      </c>
      <c r="Z1137" s="7" t="n"/>
      <c r="AA1137" s="70">
        <f>IF($A1137="","",N(V1137)+N(W1137)+N(X1137)+N(Y1137))</f>
        <v/>
      </c>
      <c r="AB1137" s="70">
        <f>IF($A1137="","",N(S1137)*'Paramètres'!$AA$9*IFERROR(INDEX('Paramètres'!$O$5:$O$7,MATCH(G1137,'Paramètres'!$N$5:$N$7,0)),0))</f>
        <v/>
      </c>
      <c r="AC1137" s="7" t="inlineStr">
        <is>
          <t>Clôturé</t>
        </is>
      </c>
      <c r="AD1137" s="69">
        <f>IF(OR($A1137="",Q1137=""),"",(Q1137-B1137)*24)</f>
        <v/>
      </c>
      <c r="AE1137" s="69">
        <f>IF(OR(Q1137="",R1137=""),"",(R1137-Q1137)*24)</f>
        <v/>
      </c>
      <c r="AF1137" s="77">
        <f>IF(OR($A1137="",B1137=""),"",YEAR(B1137))</f>
        <v/>
      </c>
      <c r="AG1137" s="77">
        <f>IF(OR($A1137="",B1137=""),"",MONTH(B1137))</f>
        <v/>
      </c>
    </row>
    <row r="1138">
      <c r="A1138" s="7" t="inlineStr">
        <is>
          <t>OT-2026-0283</t>
        </is>
      </c>
      <c r="B1138" s="75" t="n">
        <v>46154.39583333334</v>
      </c>
      <c r="C1138" s="7" t="inlineStr">
        <is>
          <t>Plan préventif</t>
        </is>
      </c>
      <c r="D1138" s="7" t="inlineStr">
        <is>
          <t>EQ-TOL-003</t>
        </is>
      </c>
      <c r="E1138" s="9">
        <f>IF(D1138="","",IFERROR(INDEX('Équipements'!$B$5:$B$304,MATCH(D1138,'Équipements'!$A$5:$A$304,0)),"Code inconnu"))</f>
        <v/>
      </c>
      <c r="F1138" s="9">
        <f>IF(D1138="","",IFERROR(INDEX('Équipements'!$D$5:$D$304,MATCH(D1138,'Équipements'!$A$5:$A$304,0)),""))</f>
        <v/>
      </c>
      <c r="G1138" s="9">
        <f>IF(D1138="","",IFERROR(INDEX('Équipements'!$K$5:$K$304,MATCH(D1138,'Équipements'!$A$5:$A$304,0)),""))</f>
        <v/>
      </c>
      <c r="H1138" s="7" t="inlineStr">
        <is>
          <t>Préventif systématique</t>
        </is>
      </c>
      <c r="I1138" s="7" t="inlineStr">
        <is>
          <t>GP-046</t>
        </is>
      </c>
      <c r="J1138" s="7" t="inlineStr">
        <is>
          <t>Électrique</t>
        </is>
      </c>
      <c r="K1138" s="7" t="inlineStr">
        <is>
          <t>P3 - Normale</t>
        </is>
      </c>
      <c r="L1138" s="7" t="inlineStr">
        <is>
          <t>Contrôle des sécurités (barrages, AU, pédale)</t>
        </is>
      </c>
      <c r="M1138" s="7" t="n"/>
      <c r="N1138" s="7" t="inlineStr">
        <is>
          <t>Gamme réalisée - RAS</t>
        </is>
      </c>
      <c r="O1138" s="7" t="inlineStr">
        <is>
          <t>Antoine Mercier</t>
        </is>
      </c>
      <c r="P1138" s="65" t="n">
        <v>46161.54166666666</v>
      </c>
      <c r="Q1138" s="75" t="n">
        <v>46161.55555555555</v>
      </c>
      <c r="R1138" s="75" t="n">
        <v>46161.62847222222</v>
      </c>
      <c r="S1138" s="76" t="n">
        <v>1.8</v>
      </c>
      <c r="T1138" s="76" t="n">
        <v>1.75</v>
      </c>
      <c r="U1138" s="70">
        <f>IF($A1138="","",IFERROR(INDEX('Techniciens'!$F$5:$F$44,MATCH(O1138,'Techniciens'!$B$5:$B$44,0)),'Paramètres'!$AA$10))</f>
        <v/>
      </c>
      <c r="V1138" s="70">
        <f>IF($A1138="","",IF(OR(AC1138="Demandé",AC1138="Planifié",AC1138="Annulé"),0,N(T1138)*N(U1138)))</f>
        <v/>
      </c>
      <c r="W1138" s="70">
        <f>IF($A1138="","",SUMIFS('Mouvements stock'!$H$5:$H$3004,'Mouvements stock'!$I$5:$I$3004,$A1138,'Mouvements stock'!$C$5:$C$3004,"Sortie")-SUMIFS('Mouvements stock'!$H$5:$H$3004,'Mouvements stock'!$I$5:$I$3004,$A1138,'Mouvements stock'!$C$5:$C$3004,"Retour"))</f>
        <v/>
      </c>
      <c r="X1138" s="66" t="n">
        <v>0</v>
      </c>
      <c r="Y1138" s="66" t="n">
        <v>0</v>
      </c>
      <c r="Z1138" s="7" t="n"/>
      <c r="AA1138" s="70">
        <f>IF($A1138="","",N(V1138)+N(W1138)+N(X1138)+N(Y1138))</f>
        <v/>
      </c>
      <c r="AB1138" s="70">
        <f>IF($A1138="","",N(S1138)*'Paramètres'!$AA$9*IFERROR(INDEX('Paramètres'!$O$5:$O$7,MATCH(G1138,'Paramètres'!$N$5:$N$7,0)),0))</f>
        <v/>
      </c>
      <c r="AC1138" s="7" t="inlineStr">
        <is>
          <t>Clôturé</t>
        </is>
      </c>
      <c r="AD1138" s="69">
        <f>IF(OR($A1138="",Q1138=""),"",(Q1138-B1138)*24)</f>
        <v/>
      </c>
      <c r="AE1138" s="69">
        <f>IF(OR(Q1138="",R1138=""),"",(R1138-Q1138)*24)</f>
        <v/>
      </c>
      <c r="AF1138" s="77">
        <f>IF(OR($A1138="",B1138=""),"",YEAR(B1138))</f>
        <v/>
      </c>
      <c r="AG1138" s="77">
        <f>IF(OR($A1138="",B1138=""),"",MONTH(B1138))</f>
        <v/>
      </c>
    </row>
    <row r="1139">
      <c r="A1139" s="7" t="inlineStr">
        <is>
          <t>OT-2026-0284</t>
        </is>
      </c>
      <c r="B1139" s="75" t="n">
        <v>46154.40208333333</v>
      </c>
      <c r="C1139" s="7" t="inlineStr">
        <is>
          <t>Cariste</t>
        </is>
      </c>
      <c r="D1139" s="7" t="inlineStr">
        <is>
          <t>EQ-LOG-010</t>
        </is>
      </c>
      <c r="E1139" s="9">
        <f>IF(D1139="","",IFERROR(INDEX('Équipements'!$B$5:$B$304,MATCH(D1139,'Équipements'!$A$5:$A$304,0)),"Code inconnu"))</f>
        <v/>
      </c>
      <c r="F1139" s="9">
        <f>IF(D1139="","",IFERROR(INDEX('Équipements'!$D$5:$D$304,MATCH(D1139,'Équipements'!$A$5:$A$304,0)),""))</f>
        <v/>
      </c>
      <c r="G1139" s="9">
        <f>IF(D1139="","",IFERROR(INDEX('Équipements'!$K$5:$K$304,MATCH(D1139,'Équipements'!$A$5:$A$304,0)),""))</f>
        <v/>
      </c>
      <c r="H1139" s="7" t="inlineStr">
        <is>
          <t>Correctif</t>
        </is>
      </c>
      <c r="I1139" s="7" t="n"/>
      <c r="J1139" s="7" t="inlineStr">
        <is>
          <t>Bâtiment</t>
        </is>
      </c>
      <c r="K1139" s="7" t="inlineStr">
        <is>
          <t>P4 - Basse</t>
        </is>
      </c>
      <c r="L1139" s="7" t="inlineStr">
        <is>
          <t>Porte bloquée en position ouverte</t>
        </is>
      </c>
      <c r="M1139" s="7" t="inlineStr">
        <is>
          <t>Casse mécanique</t>
        </is>
      </c>
      <c r="N1139" s="7" t="inlineStr">
        <is>
          <t>Remplacement câble, réglage ressorts</t>
        </is>
      </c>
      <c r="O1139" s="7" t="inlineStr">
        <is>
          <t>Karim Benali</t>
        </is>
      </c>
      <c r="P1139" s="65" t="n"/>
      <c r="Q1139" s="75" t="n">
        <v>46155.76944444444</v>
      </c>
      <c r="R1139" s="75" t="n">
        <v>46155.98819444444</v>
      </c>
      <c r="S1139" s="76" t="n">
        <v>0</v>
      </c>
      <c r="T1139" s="76" t="n">
        <v>5.25</v>
      </c>
      <c r="U1139" s="70">
        <f>IF($A1139="","",IFERROR(INDEX('Techniciens'!$F$5:$F$44,MATCH(O1139,'Techniciens'!$B$5:$B$44,0)),'Paramètres'!$AA$10))</f>
        <v/>
      </c>
      <c r="V1139" s="70">
        <f>IF($A1139="","",IF(OR(AC1139="Demandé",AC1139="Planifié",AC1139="Annulé"),0,N(T1139)*N(U1139)))</f>
        <v/>
      </c>
      <c r="W1139" s="70">
        <f>IF($A1139="","",SUMIFS('Mouvements stock'!$H$5:$H$3004,'Mouvements stock'!$I$5:$I$3004,$A1139,'Mouvements stock'!$C$5:$C$3004,"Sortie")-SUMIFS('Mouvements stock'!$H$5:$H$3004,'Mouvements stock'!$I$5:$I$3004,$A1139,'Mouvements stock'!$C$5:$C$3004,"Retour"))</f>
        <v/>
      </c>
      <c r="X1139" s="66" t="n">
        <v>0</v>
      </c>
      <c r="Y1139" s="66" t="n">
        <v>0</v>
      </c>
      <c r="Z1139" s="7" t="n"/>
      <c r="AA1139" s="70">
        <f>IF($A1139="","",N(V1139)+N(W1139)+N(X1139)+N(Y1139))</f>
        <v/>
      </c>
      <c r="AB1139" s="70">
        <f>IF($A1139="","",N(S1139)*'Paramètres'!$AA$9*IFERROR(INDEX('Paramètres'!$O$5:$O$7,MATCH(G1139,'Paramètres'!$N$5:$N$7,0)),0))</f>
        <v/>
      </c>
      <c r="AC1139" s="7" t="inlineStr">
        <is>
          <t>Clôturé</t>
        </is>
      </c>
      <c r="AD1139" s="69">
        <f>IF(OR($A1139="",Q1139=""),"",(Q1139-B1139)*24)</f>
        <v/>
      </c>
      <c r="AE1139" s="69">
        <f>IF(OR(Q1139="",R1139=""),"",(R1139-Q1139)*24)</f>
        <v/>
      </c>
      <c r="AF1139" s="77">
        <f>IF(OR($A1139="",B1139=""),"",YEAR(B1139))</f>
        <v/>
      </c>
      <c r="AG1139" s="77">
        <f>IF(OR($A1139="",B1139=""),"",MONTH(B1139))</f>
        <v/>
      </c>
    </row>
    <row r="1140">
      <c r="A1140" s="7" t="inlineStr">
        <is>
          <t>OT-2026-0285</t>
        </is>
      </c>
      <c r="B1140" s="75" t="n">
        <v>46154.86180555556</v>
      </c>
      <c r="C1140" s="7" t="inlineStr">
        <is>
          <t>Inès Girard (cheffe d'équipe)</t>
        </is>
      </c>
      <c r="D1140" s="7" t="inlineStr">
        <is>
          <t>EQ-PEI-002</t>
        </is>
      </c>
      <c r="E1140" s="9">
        <f>IF(D1140="","",IFERROR(INDEX('Équipements'!$B$5:$B$304,MATCH(D1140,'Équipements'!$A$5:$A$304,0)),"Code inconnu"))</f>
        <v/>
      </c>
      <c r="F1140" s="9">
        <f>IF(D1140="","",IFERROR(INDEX('Équipements'!$D$5:$D$304,MATCH(D1140,'Équipements'!$A$5:$A$304,0)),""))</f>
        <v/>
      </c>
      <c r="G1140" s="9">
        <f>IF(D1140="","",IFERROR(INDEX('Équipements'!$K$5:$K$304,MATCH(D1140,'Équipements'!$A$5:$A$304,0)),""))</f>
        <v/>
      </c>
      <c r="H1140" s="7" t="inlineStr">
        <is>
          <t>Correctif</t>
        </is>
      </c>
      <c r="I1140" s="7" t="n"/>
      <c r="J1140" s="7" t="inlineStr">
        <is>
          <t>Électrique</t>
        </is>
      </c>
      <c r="K1140" s="7" t="inlineStr">
        <is>
          <t>P2 - Haute</t>
        </is>
      </c>
      <c r="L1140" s="7" t="inlineStr">
        <is>
          <t>Ventilateur d'extraction en défaut</t>
        </is>
      </c>
      <c r="M1140" s="7" t="inlineStr">
        <is>
          <t>Défaut électrique</t>
        </is>
      </c>
      <c r="N1140" s="7" t="inlineStr">
        <is>
          <t>Remplacement contacteur et courroie</t>
        </is>
      </c>
      <c r="O1140" s="7" t="inlineStr">
        <is>
          <t>Antoine Mercier</t>
        </is>
      </c>
      <c r="P1140" s="65" t="n"/>
      <c r="Q1140" s="75" t="n">
        <v>46155.0625</v>
      </c>
      <c r="R1140" s="75" t="n">
        <v>46155.38541666666</v>
      </c>
      <c r="S1140" s="76" t="n">
        <v>0</v>
      </c>
      <c r="T1140" s="76" t="n">
        <v>7.75</v>
      </c>
      <c r="U1140" s="70">
        <f>IF($A1140="","",IFERROR(INDEX('Techniciens'!$F$5:$F$44,MATCH(O1140,'Techniciens'!$B$5:$B$44,0)),'Paramètres'!$AA$10))</f>
        <v/>
      </c>
      <c r="V1140" s="70">
        <f>IF($A1140="","",IF(OR(AC1140="Demandé",AC1140="Planifié",AC1140="Annulé"),0,N(T1140)*N(U1140)))</f>
        <v/>
      </c>
      <c r="W1140" s="70">
        <f>IF($A1140="","",SUMIFS('Mouvements stock'!$H$5:$H$3004,'Mouvements stock'!$I$5:$I$3004,$A1140,'Mouvements stock'!$C$5:$C$3004,"Sortie")-SUMIFS('Mouvements stock'!$H$5:$H$3004,'Mouvements stock'!$I$5:$I$3004,$A1140,'Mouvements stock'!$C$5:$C$3004,"Retour"))</f>
        <v/>
      </c>
      <c r="X1140" s="66" t="n">
        <v>0</v>
      </c>
      <c r="Y1140" s="66" t="n">
        <v>0</v>
      </c>
      <c r="Z1140" s="7" t="n"/>
      <c r="AA1140" s="70">
        <f>IF($A1140="","",N(V1140)+N(W1140)+N(X1140)+N(Y1140))</f>
        <v/>
      </c>
      <c r="AB1140" s="70">
        <f>IF($A1140="","",N(S1140)*'Paramètres'!$AA$9*IFERROR(INDEX('Paramètres'!$O$5:$O$7,MATCH(G1140,'Paramètres'!$N$5:$N$7,0)),0))</f>
        <v/>
      </c>
      <c r="AC1140" s="7" t="inlineStr">
        <is>
          <t>Clôturé</t>
        </is>
      </c>
      <c r="AD1140" s="69">
        <f>IF(OR($A1140="",Q1140=""),"",(Q1140-B1140)*24)</f>
        <v/>
      </c>
      <c r="AE1140" s="69">
        <f>IF(OR(Q1140="",R1140=""),"",(R1140-Q1140)*24)</f>
        <v/>
      </c>
      <c r="AF1140" s="77">
        <f>IF(OR($A1140="",B1140=""),"",YEAR(B1140))</f>
        <v/>
      </c>
      <c r="AG1140" s="77">
        <f>IF(OR($A1140="",B1140=""),"",MONTH(B1140))</f>
        <v/>
      </c>
    </row>
    <row r="1141">
      <c r="A1141" s="7" t="inlineStr">
        <is>
          <t>OT-2026-0286</t>
        </is>
      </c>
      <c r="B1141" s="75" t="n">
        <v>46155.35416666666</v>
      </c>
      <c r="C1141" s="7" t="inlineStr">
        <is>
          <t>Plan préventif</t>
        </is>
      </c>
      <c r="D1141" s="7" t="inlineStr">
        <is>
          <t>EQ-LOG-007</t>
        </is>
      </c>
      <c r="E1141" s="9">
        <f>IF(D1141="","",IFERROR(INDEX('Équipements'!$B$5:$B$304,MATCH(D1141,'Équipements'!$A$5:$A$304,0)),"Code inconnu"))</f>
        <v/>
      </c>
      <c r="F1141" s="9">
        <f>IF(D1141="","",IFERROR(INDEX('Équipements'!$D$5:$D$304,MATCH(D1141,'Équipements'!$A$5:$A$304,0)),""))</f>
        <v/>
      </c>
      <c r="G1141" s="9">
        <f>IF(D1141="","",IFERROR(INDEX('Équipements'!$K$5:$K$304,MATCH(D1141,'Équipements'!$A$5:$A$304,0)),""))</f>
        <v/>
      </c>
      <c r="H1141" s="7" t="inlineStr">
        <is>
          <t>Préventif systématique</t>
        </is>
      </c>
      <c r="I1141" s="7" t="inlineStr">
        <is>
          <t>GP-117</t>
        </is>
      </c>
      <c r="J1141" s="7" t="inlineStr">
        <is>
          <t>Mécanique</t>
        </is>
      </c>
      <c r="K1141" s="7" t="inlineStr">
        <is>
          <t>P3 - Normale</t>
        </is>
      </c>
      <c r="L1141" s="7" t="inlineStr">
        <is>
          <t>Contrôle câbles, crochets, freins et fins de course</t>
        </is>
      </c>
      <c r="M1141" s="7" t="n"/>
      <c r="N1141" s="7" t="inlineStr">
        <is>
          <t>Gamme réalisée - RAS</t>
        </is>
      </c>
      <c r="O1141" s="7" t="inlineStr">
        <is>
          <t>Karim Benali</t>
        </is>
      </c>
      <c r="P1141" s="65" t="n">
        <v>46162.375</v>
      </c>
      <c r="Q1141" s="75" t="n">
        <v>46162.26041666666</v>
      </c>
      <c r="R1141" s="75" t="n">
        <v>46162.41666666666</v>
      </c>
      <c r="S1141" s="76" t="n">
        <v>1.9</v>
      </c>
      <c r="T1141" s="76" t="n">
        <v>3.75</v>
      </c>
      <c r="U1141" s="70">
        <f>IF($A1141="","",IFERROR(INDEX('Techniciens'!$F$5:$F$44,MATCH(O1141,'Techniciens'!$B$5:$B$44,0)),'Paramètres'!$AA$10))</f>
        <v/>
      </c>
      <c r="V1141" s="70">
        <f>IF($A1141="","",IF(OR(AC1141="Demandé",AC1141="Planifié",AC1141="Annulé"),0,N(T1141)*N(U1141)))</f>
        <v/>
      </c>
      <c r="W1141" s="70">
        <f>IF($A1141="","",SUMIFS('Mouvements stock'!$H$5:$H$3004,'Mouvements stock'!$I$5:$I$3004,$A1141,'Mouvements stock'!$C$5:$C$3004,"Sortie")-SUMIFS('Mouvements stock'!$H$5:$H$3004,'Mouvements stock'!$I$5:$I$3004,$A1141,'Mouvements stock'!$C$5:$C$3004,"Retour"))</f>
        <v/>
      </c>
      <c r="X1141" s="66" t="n">
        <v>0</v>
      </c>
      <c r="Y1141" s="66" t="n">
        <v>0</v>
      </c>
      <c r="Z1141" s="7" t="n"/>
      <c r="AA1141" s="70">
        <f>IF($A1141="","",N(V1141)+N(W1141)+N(X1141)+N(Y1141))</f>
        <v/>
      </c>
      <c r="AB1141" s="70">
        <f>IF($A1141="","",N(S1141)*'Paramètres'!$AA$9*IFERROR(INDEX('Paramètres'!$O$5:$O$7,MATCH(G1141,'Paramètres'!$N$5:$N$7,0)),0))</f>
        <v/>
      </c>
      <c r="AC1141" s="7" t="inlineStr">
        <is>
          <t>Clôturé</t>
        </is>
      </c>
      <c r="AD1141" s="69">
        <f>IF(OR($A1141="",Q1141=""),"",(Q1141-B1141)*24)</f>
        <v/>
      </c>
      <c r="AE1141" s="69">
        <f>IF(OR(Q1141="",R1141=""),"",(R1141-Q1141)*24)</f>
        <v/>
      </c>
      <c r="AF1141" s="77">
        <f>IF(OR($A1141="",B1141=""),"",YEAR(B1141))</f>
        <v/>
      </c>
      <c r="AG1141" s="77">
        <f>IF(OR($A1141="",B1141=""),"",MONTH(B1141))</f>
        <v/>
      </c>
    </row>
    <row r="1142">
      <c r="A1142" s="7" t="inlineStr">
        <is>
          <t>OT-2026-0287</t>
        </is>
      </c>
      <c r="B1142" s="75" t="n">
        <v>46156.34027777778</v>
      </c>
      <c r="C1142" s="7" t="inlineStr">
        <is>
          <t>Plan préventif</t>
        </is>
      </c>
      <c r="D1142" s="7" t="inlineStr">
        <is>
          <t>EQ-ASS-001</t>
        </is>
      </c>
      <c r="E1142" s="9">
        <f>IF(D1142="","",IFERROR(INDEX('Équipements'!$B$5:$B$304,MATCH(D1142,'Équipements'!$A$5:$A$304,0)),"Code inconnu"))</f>
        <v/>
      </c>
      <c r="F1142" s="9">
        <f>IF(D1142="","",IFERROR(INDEX('Équipements'!$D$5:$D$304,MATCH(D1142,'Équipements'!$A$5:$A$304,0)),""))</f>
        <v/>
      </c>
      <c r="G1142" s="9">
        <f>IF(D1142="","",IFERROR(INDEX('Équipements'!$K$5:$K$304,MATCH(D1142,'Équipements'!$A$5:$A$304,0)),""))</f>
        <v/>
      </c>
      <c r="H1142" s="7" t="inlineStr">
        <is>
          <t>Préventif systématique</t>
        </is>
      </c>
      <c r="I1142" s="7" t="inlineStr">
        <is>
          <t>GP-077</t>
        </is>
      </c>
      <c r="J1142" s="7" t="inlineStr">
        <is>
          <t>Mécanique</t>
        </is>
      </c>
      <c r="K1142" s="7" t="inlineStr">
        <is>
          <t>P3 - Normale</t>
        </is>
      </c>
      <c r="L1142" s="7" t="inlineStr">
        <is>
          <t>Contrôle motoréducteurs et usure</t>
        </is>
      </c>
      <c r="M1142" s="7" t="n"/>
      <c r="N1142" s="7" t="inlineStr">
        <is>
          <t>Gamme réalisée - petite fuite corrigée</t>
        </is>
      </c>
      <c r="O1142" s="7" t="inlineStr">
        <is>
          <t>Karim Benali</t>
        </is>
      </c>
      <c r="P1142" s="65" t="n">
        <v>46163.72916666666</v>
      </c>
      <c r="Q1142" s="75" t="n">
        <v>46163.32638888889</v>
      </c>
      <c r="R1142" s="75" t="n">
        <v>46163.55555555555</v>
      </c>
      <c r="S1142" s="76" t="n">
        <v>5.5</v>
      </c>
      <c r="T1142" s="76" t="n">
        <v>5.5</v>
      </c>
      <c r="U1142" s="70">
        <f>IF($A1142="","",IFERROR(INDEX('Techniciens'!$F$5:$F$44,MATCH(O1142,'Techniciens'!$B$5:$B$44,0)),'Paramètres'!$AA$10))</f>
        <v/>
      </c>
      <c r="V1142" s="70">
        <f>IF($A1142="","",IF(OR(AC1142="Demandé",AC1142="Planifié",AC1142="Annulé"),0,N(T1142)*N(U1142)))</f>
        <v/>
      </c>
      <c r="W1142" s="70">
        <f>IF($A1142="","",SUMIFS('Mouvements stock'!$H$5:$H$3004,'Mouvements stock'!$I$5:$I$3004,$A1142,'Mouvements stock'!$C$5:$C$3004,"Sortie")-SUMIFS('Mouvements stock'!$H$5:$H$3004,'Mouvements stock'!$I$5:$I$3004,$A1142,'Mouvements stock'!$C$5:$C$3004,"Retour"))</f>
        <v/>
      </c>
      <c r="X1142" s="66" t="n">
        <v>0</v>
      </c>
      <c r="Y1142" s="66" t="n">
        <v>0</v>
      </c>
      <c r="Z1142" s="7" t="n"/>
      <c r="AA1142" s="70">
        <f>IF($A1142="","",N(V1142)+N(W1142)+N(X1142)+N(Y1142))</f>
        <v/>
      </c>
      <c r="AB1142" s="70">
        <f>IF($A1142="","",N(S1142)*'Paramètres'!$AA$9*IFERROR(INDEX('Paramètres'!$O$5:$O$7,MATCH(G1142,'Paramètres'!$N$5:$N$7,0)),0))</f>
        <v/>
      </c>
      <c r="AC1142" s="7" t="inlineStr">
        <is>
          <t>Clôturé</t>
        </is>
      </c>
      <c r="AD1142" s="69">
        <f>IF(OR($A1142="",Q1142=""),"",(Q1142-B1142)*24)</f>
        <v/>
      </c>
      <c r="AE1142" s="69">
        <f>IF(OR(Q1142="",R1142=""),"",(R1142-Q1142)*24)</f>
        <v/>
      </c>
      <c r="AF1142" s="77">
        <f>IF(OR($A1142="",B1142=""),"",YEAR(B1142))</f>
        <v/>
      </c>
      <c r="AG1142" s="77">
        <f>IF(OR($A1142="",B1142=""),"",MONTH(B1142))</f>
        <v/>
      </c>
    </row>
    <row r="1143">
      <c r="A1143" s="7" t="inlineStr">
        <is>
          <t>OT-2026-0288</t>
        </is>
      </c>
      <c r="B1143" s="75" t="n">
        <v>46156.34722222222</v>
      </c>
      <c r="C1143" s="7" t="inlineStr">
        <is>
          <t>Plan préventif</t>
        </is>
      </c>
      <c r="D1143" s="7" t="inlineStr">
        <is>
          <t>EQ-TOL-005</t>
        </is>
      </c>
      <c r="E1143" s="9">
        <f>IF(D1143="","",IFERROR(INDEX('Équipements'!$B$5:$B$304,MATCH(D1143,'Équipements'!$A$5:$A$304,0)),"Code inconnu"))</f>
        <v/>
      </c>
      <c r="F1143" s="9">
        <f>IF(D1143="","",IFERROR(INDEX('Équipements'!$D$5:$D$304,MATCH(D1143,'Équipements'!$A$5:$A$304,0)),""))</f>
        <v/>
      </c>
      <c r="G1143" s="9">
        <f>IF(D1143="","",IFERROR(INDEX('Équipements'!$K$5:$K$304,MATCH(D1143,'Équipements'!$A$5:$A$304,0)),""))</f>
        <v/>
      </c>
      <c r="H1143" s="7" t="inlineStr">
        <is>
          <t>Préventif systématique</t>
        </is>
      </c>
      <c r="I1143" s="7" t="inlineStr">
        <is>
          <t>GP-050</t>
        </is>
      </c>
      <c r="J1143" s="7" t="inlineStr">
        <is>
          <t>Hydraulique</t>
        </is>
      </c>
      <c r="K1143" s="7" t="inlineStr">
        <is>
          <t>P3 - Normale</t>
        </is>
      </c>
      <c r="L1143" s="7" t="inlineStr">
        <is>
          <t>Contrôle hydraulique : fuites, niveaux, pressions</t>
        </is>
      </c>
      <c r="M1143" s="7" t="n"/>
      <c r="N1143" s="7" t="inlineStr">
        <is>
          <t>Gamme réalisée - RAS</t>
        </is>
      </c>
      <c r="O1143" s="7" t="inlineStr">
        <is>
          <t>Antoine Mercier</t>
        </is>
      </c>
      <c r="P1143" s="65" t="n">
        <v>46163.52430555555</v>
      </c>
      <c r="Q1143" s="75" t="n">
        <v>46163.5</v>
      </c>
      <c r="R1143" s="75" t="n">
        <v>46163.61458333334</v>
      </c>
      <c r="S1143" s="76" t="n">
        <v>1.4</v>
      </c>
      <c r="T1143" s="76" t="n">
        <v>2.75</v>
      </c>
      <c r="U1143" s="70">
        <f>IF($A1143="","",IFERROR(INDEX('Techniciens'!$F$5:$F$44,MATCH(O1143,'Techniciens'!$B$5:$B$44,0)),'Paramètres'!$AA$10))</f>
        <v/>
      </c>
      <c r="V1143" s="70">
        <f>IF($A1143="","",IF(OR(AC1143="Demandé",AC1143="Planifié",AC1143="Annulé"),0,N(T1143)*N(U1143)))</f>
        <v/>
      </c>
      <c r="W1143" s="70">
        <f>IF($A1143="","",SUMIFS('Mouvements stock'!$H$5:$H$3004,'Mouvements stock'!$I$5:$I$3004,$A1143,'Mouvements stock'!$C$5:$C$3004,"Sortie")-SUMIFS('Mouvements stock'!$H$5:$H$3004,'Mouvements stock'!$I$5:$I$3004,$A1143,'Mouvements stock'!$C$5:$C$3004,"Retour"))</f>
        <v/>
      </c>
      <c r="X1143" s="66" t="n">
        <v>0</v>
      </c>
      <c r="Y1143" s="66" t="n">
        <v>0</v>
      </c>
      <c r="Z1143" s="7" t="n"/>
      <c r="AA1143" s="70">
        <f>IF($A1143="","",N(V1143)+N(W1143)+N(X1143)+N(Y1143))</f>
        <v/>
      </c>
      <c r="AB1143" s="70">
        <f>IF($A1143="","",N(S1143)*'Paramètres'!$AA$9*IFERROR(INDEX('Paramètres'!$O$5:$O$7,MATCH(G1143,'Paramètres'!$N$5:$N$7,0)),0))</f>
        <v/>
      </c>
      <c r="AC1143" s="7" t="inlineStr">
        <is>
          <t>Clôturé</t>
        </is>
      </c>
      <c r="AD1143" s="69">
        <f>IF(OR($A1143="",Q1143=""),"",(Q1143-B1143)*24)</f>
        <v/>
      </c>
      <c r="AE1143" s="69">
        <f>IF(OR(Q1143="",R1143=""),"",(R1143-Q1143)*24)</f>
        <v/>
      </c>
      <c r="AF1143" s="77">
        <f>IF(OR($A1143="",B1143=""),"",YEAR(B1143))</f>
        <v/>
      </c>
      <c r="AG1143" s="77">
        <f>IF(OR($A1143="",B1143=""),"",MONTH(B1143))</f>
        <v/>
      </c>
    </row>
    <row r="1144">
      <c r="A1144" s="7" t="inlineStr">
        <is>
          <t>OT-2026-0289</t>
        </is>
      </c>
      <c r="B1144" s="75" t="n">
        <v>46156.38194444445</v>
      </c>
      <c r="C1144" s="7" t="inlineStr">
        <is>
          <t>Plan préventif</t>
        </is>
      </c>
      <c r="D1144" s="7" t="inlineStr">
        <is>
          <t>EQ-USI-012</t>
        </is>
      </c>
      <c r="E1144" s="9">
        <f>IF(D1144="","",IFERROR(INDEX('Équipements'!$B$5:$B$304,MATCH(D1144,'Équipements'!$A$5:$A$304,0)),"Code inconnu"))</f>
        <v/>
      </c>
      <c r="F1144" s="9">
        <f>IF(D1144="","",IFERROR(INDEX('Équipements'!$D$5:$D$304,MATCH(D1144,'Équipements'!$A$5:$A$304,0)),""))</f>
        <v/>
      </c>
      <c r="G1144" s="9">
        <f>IF(D1144="","",IFERROR(INDEX('Équipements'!$K$5:$K$304,MATCH(D1144,'Équipements'!$A$5:$A$304,0)),""))</f>
        <v/>
      </c>
      <c r="H1144" s="7" t="inlineStr">
        <is>
          <t>Préventif systématique</t>
        </is>
      </c>
      <c r="I1144" s="7" t="inlineStr">
        <is>
          <t>GP-035</t>
        </is>
      </c>
      <c r="J1144" s="7" t="inlineStr">
        <is>
          <t>Mécanique</t>
        </is>
      </c>
      <c r="K1144" s="7" t="inlineStr">
        <is>
          <t>P3 - Normale</t>
        </is>
      </c>
      <c r="L1144" s="7" t="inlineStr">
        <is>
          <t>Nettoyage torche et contrôle faisceau</t>
        </is>
      </c>
      <c r="M1144" s="7" t="n"/>
      <c r="N1144" s="7" t="inlineStr">
        <is>
          <t>Gamme réalisée - RAS</t>
        </is>
      </c>
      <c r="O1144" s="7" t="inlineStr">
        <is>
          <t>Lucas Fontaine</t>
        </is>
      </c>
      <c r="P1144" s="65" t="n">
        <v>46163.32638888889</v>
      </c>
      <c r="Q1144" s="75" t="n">
        <v>46163.45833333334</v>
      </c>
      <c r="R1144" s="75" t="n">
        <v>46163.47916666666</v>
      </c>
      <c r="S1144" s="76" t="n">
        <v>0.2</v>
      </c>
      <c r="T1144" s="76" t="n">
        <v>0.5</v>
      </c>
      <c r="U1144" s="70">
        <f>IF($A1144="","",IFERROR(INDEX('Techniciens'!$F$5:$F$44,MATCH(O1144,'Techniciens'!$B$5:$B$44,0)),'Paramètres'!$AA$10))</f>
        <v/>
      </c>
      <c r="V1144" s="70">
        <f>IF($A1144="","",IF(OR(AC1144="Demandé",AC1144="Planifié",AC1144="Annulé"),0,N(T1144)*N(U1144)))</f>
        <v/>
      </c>
      <c r="W1144" s="70">
        <f>IF($A1144="","",SUMIFS('Mouvements stock'!$H$5:$H$3004,'Mouvements stock'!$I$5:$I$3004,$A1144,'Mouvements stock'!$C$5:$C$3004,"Sortie")-SUMIFS('Mouvements stock'!$H$5:$H$3004,'Mouvements stock'!$I$5:$I$3004,$A1144,'Mouvements stock'!$C$5:$C$3004,"Retour"))</f>
        <v/>
      </c>
      <c r="X1144" s="66" t="n">
        <v>0</v>
      </c>
      <c r="Y1144" s="66" t="n">
        <v>0</v>
      </c>
      <c r="Z1144" s="7" t="n"/>
      <c r="AA1144" s="70">
        <f>IF($A1144="","",N(V1144)+N(W1144)+N(X1144)+N(Y1144))</f>
        <v/>
      </c>
      <c r="AB1144" s="70">
        <f>IF($A1144="","",N(S1144)*'Paramètres'!$AA$9*IFERROR(INDEX('Paramètres'!$O$5:$O$7,MATCH(G1144,'Paramètres'!$N$5:$N$7,0)),0))</f>
        <v/>
      </c>
      <c r="AC1144" s="7" t="inlineStr">
        <is>
          <t>Clôturé</t>
        </is>
      </c>
      <c r="AD1144" s="69">
        <f>IF(OR($A1144="",Q1144=""),"",(Q1144-B1144)*24)</f>
        <v/>
      </c>
      <c r="AE1144" s="69">
        <f>IF(OR(Q1144="",R1144=""),"",(R1144-Q1144)*24)</f>
        <v/>
      </c>
      <c r="AF1144" s="77">
        <f>IF(OR($A1144="",B1144=""),"",YEAR(B1144))</f>
        <v/>
      </c>
      <c r="AG1144" s="77">
        <f>IF(OR($A1144="",B1144=""),"",MONTH(B1144))</f>
        <v/>
      </c>
    </row>
    <row r="1145">
      <c r="A1145" s="7" t="inlineStr">
        <is>
          <t>OT-2026-0290</t>
        </is>
      </c>
      <c r="B1145" s="75" t="n">
        <v>46156.46527777778</v>
      </c>
      <c r="C1145" s="7" t="inlineStr">
        <is>
          <t>Plan préventif</t>
        </is>
      </c>
      <c r="D1145" s="7" t="inlineStr">
        <is>
          <t>EQ-USI-010</t>
        </is>
      </c>
      <c r="E1145" s="9">
        <f>IF(D1145="","",IFERROR(INDEX('Équipements'!$B$5:$B$304,MATCH(D1145,'Équipements'!$A$5:$A$304,0)),"Code inconnu"))</f>
        <v/>
      </c>
      <c r="F1145" s="9">
        <f>IF(D1145="","",IFERROR(INDEX('Équipements'!$D$5:$D$304,MATCH(D1145,'Équipements'!$A$5:$A$304,0)),""))</f>
        <v/>
      </c>
      <c r="G1145" s="9">
        <f>IF(D1145="","",IFERROR(INDEX('Équipements'!$K$5:$K$304,MATCH(D1145,'Équipements'!$A$5:$A$304,0)),""))</f>
        <v/>
      </c>
      <c r="H1145" s="7" t="inlineStr">
        <is>
          <t>Préventif systématique</t>
        </is>
      </c>
      <c r="I1145" s="7" t="inlineStr">
        <is>
          <t>GP-033</t>
        </is>
      </c>
      <c r="J1145" s="7" t="inlineStr">
        <is>
          <t>Mécanique</t>
        </is>
      </c>
      <c r="K1145" s="7" t="inlineStr">
        <is>
          <t>P3 - Normale</t>
        </is>
      </c>
      <c r="L1145" s="7" t="inlineStr">
        <is>
          <t>Nettoyage et contrôle général</t>
        </is>
      </c>
      <c r="M1145" s="7" t="n"/>
      <c r="N1145" s="7" t="inlineStr">
        <is>
          <t>Gamme réalisée - RAS</t>
        </is>
      </c>
      <c r="O1145" s="7" t="inlineStr">
        <is>
          <t>Antoine Mercier</t>
        </is>
      </c>
      <c r="P1145" s="65" t="n">
        <v>46163.63541666666</v>
      </c>
      <c r="Q1145" s="75" t="n">
        <v>46163.38194444445</v>
      </c>
      <c r="R1145" s="75" t="n">
        <v>46163.40277777778</v>
      </c>
      <c r="S1145" s="76" t="n">
        <v>0</v>
      </c>
      <c r="T1145" s="76" t="n">
        <v>0.5</v>
      </c>
      <c r="U1145" s="70">
        <f>IF($A1145="","",IFERROR(INDEX('Techniciens'!$F$5:$F$44,MATCH(O1145,'Techniciens'!$B$5:$B$44,0)),'Paramètres'!$AA$10))</f>
        <v/>
      </c>
      <c r="V1145" s="70">
        <f>IF($A1145="","",IF(OR(AC1145="Demandé",AC1145="Planifié",AC1145="Annulé"),0,N(T1145)*N(U1145)))</f>
        <v/>
      </c>
      <c r="W1145" s="70">
        <f>IF($A1145="","",SUMIFS('Mouvements stock'!$H$5:$H$3004,'Mouvements stock'!$I$5:$I$3004,$A1145,'Mouvements stock'!$C$5:$C$3004,"Sortie")-SUMIFS('Mouvements stock'!$H$5:$H$3004,'Mouvements stock'!$I$5:$I$3004,$A1145,'Mouvements stock'!$C$5:$C$3004,"Retour"))</f>
        <v/>
      </c>
      <c r="X1145" s="66" t="n">
        <v>0</v>
      </c>
      <c r="Y1145" s="66" t="n">
        <v>0</v>
      </c>
      <c r="Z1145" s="7" t="n"/>
      <c r="AA1145" s="70">
        <f>IF($A1145="","",N(V1145)+N(W1145)+N(X1145)+N(Y1145))</f>
        <v/>
      </c>
      <c r="AB1145" s="70">
        <f>IF($A1145="","",N(S1145)*'Paramètres'!$AA$9*IFERROR(INDEX('Paramètres'!$O$5:$O$7,MATCH(G1145,'Paramètres'!$N$5:$N$7,0)),0))</f>
        <v/>
      </c>
      <c r="AC1145" s="7" t="inlineStr">
        <is>
          <t>Clôturé</t>
        </is>
      </c>
      <c r="AD1145" s="69">
        <f>IF(OR($A1145="",Q1145=""),"",(Q1145-B1145)*24)</f>
        <v/>
      </c>
      <c r="AE1145" s="69">
        <f>IF(OR(Q1145="",R1145=""),"",(R1145-Q1145)*24)</f>
        <v/>
      </c>
      <c r="AF1145" s="77">
        <f>IF(OR($A1145="",B1145=""),"",YEAR(B1145))</f>
        <v/>
      </c>
      <c r="AG1145" s="77">
        <f>IF(OR($A1145="",B1145=""),"",MONTH(B1145))</f>
        <v/>
      </c>
    </row>
    <row r="1146">
      <c r="A1146" s="7" t="inlineStr">
        <is>
          <t>OT-2026-0291</t>
        </is>
      </c>
      <c r="B1146" s="75" t="n">
        <v>46156.49305555555</v>
      </c>
      <c r="C1146" s="7" t="inlineStr">
        <is>
          <t>Plan préventif</t>
        </is>
      </c>
      <c r="D1146" s="7" t="inlineStr">
        <is>
          <t>EQ-LOG-010</t>
        </is>
      </c>
      <c r="E1146" s="9">
        <f>IF(D1146="","",IFERROR(INDEX('Équipements'!$B$5:$B$304,MATCH(D1146,'Équipements'!$A$5:$A$304,0)),"Code inconnu"))</f>
        <v/>
      </c>
      <c r="F1146" s="9">
        <f>IF(D1146="","",IFERROR(INDEX('Équipements'!$D$5:$D$304,MATCH(D1146,'Équipements'!$A$5:$A$304,0)),""))</f>
        <v/>
      </c>
      <c r="G1146" s="9">
        <f>IF(D1146="","",IFERROR(INDEX('Équipements'!$K$5:$K$304,MATCH(D1146,'Équipements'!$A$5:$A$304,0)),""))</f>
        <v/>
      </c>
      <c r="H1146" s="7" t="inlineStr">
        <is>
          <t>Préventif systématique</t>
        </is>
      </c>
      <c r="I1146" s="7" t="inlineStr">
        <is>
          <t>GP-121</t>
        </is>
      </c>
      <c r="J1146" s="7" t="inlineStr">
        <is>
          <t>Bâtiment</t>
        </is>
      </c>
      <c r="K1146" s="7" t="inlineStr">
        <is>
          <t>P3 - Normale</t>
        </is>
      </c>
      <c r="L1146" s="7" t="inlineStr">
        <is>
          <t>Graissage et contrôle des sécurités</t>
        </is>
      </c>
      <c r="M1146" s="7" t="n"/>
      <c r="N1146" s="7" t="inlineStr">
        <is>
          <t>Gamme réalisée - RAS</t>
        </is>
      </c>
      <c r="O1146" s="7" t="inlineStr">
        <is>
          <t>Karim Benali</t>
        </is>
      </c>
      <c r="P1146" s="65" t="n">
        <v>46163.38194444445</v>
      </c>
      <c r="Q1146" s="75" t="n">
        <v>46163.34722222222</v>
      </c>
      <c r="R1146" s="75" t="n">
        <v>46163.43055555555</v>
      </c>
      <c r="S1146" s="76" t="n">
        <v>0</v>
      </c>
      <c r="T1146" s="76" t="n">
        <v>2</v>
      </c>
      <c r="U1146" s="70">
        <f>IF($A1146="","",IFERROR(INDEX('Techniciens'!$F$5:$F$44,MATCH(O1146,'Techniciens'!$B$5:$B$44,0)),'Paramètres'!$AA$10))</f>
        <v/>
      </c>
      <c r="V1146" s="70">
        <f>IF($A1146="","",IF(OR(AC1146="Demandé",AC1146="Planifié",AC1146="Annulé"),0,N(T1146)*N(U1146)))</f>
        <v/>
      </c>
      <c r="W1146" s="70">
        <f>IF($A1146="","",SUMIFS('Mouvements stock'!$H$5:$H$3004,'Mouvements stock'!$I$5:$I$3004,$A1146,'Mouvements stock'!$C$5:$C$3004,"Sortie")-SUMIFS('Mouvements stock'!$H$5:$H$3004,'Mouvements stock'!$I$5:$I$3004,$A1146,'Mouvements stock'!$C$5:$C$3004,"Retour"))</f>
        <v/>
      </c>
      <c r="X1146" s="66" t="n">
        <v>0</v>
      </c>
      <c r="Y1146" s="66" t="n">
        <v>0</v>
      </c>
      <c r="Z1146" s="7" t="n"/>
      <c r="AA1146" s="70">
        <f>IF($A1146="","",N(V1146)+N(W1146)+N(X1146)+N(Y1146))</f>
        <v/>
      </c>
      <c r="AB1146" s="70">
        <f>IF($A1146="","",N(S1146)*'Paramètres'!$AA$9*IFERROR(INDEX('Paramètres'!$O$5:$O$7,MATCH(G1146,'Paramètres'!$N$5:$N$7,0)),0))</f>
        <v/>
      </c>
      <c r="AC1146" s="7" t="inlineStr">
        <is>
          <t>Clôturé</t>
        </is>
      </c>
      <c r="AD1146" s="69">
        <f>IF(OR($A1146="",Q1146=""),"",(Q1146-B1146)*24)</f>
        <v/>
      </c>
      <c r="AE1146" s="69">
        <f>IF(OR(Q1146="",R1146=""),"",(R1146-Q1146)*24)</f>
        <v/>
      </c>
      <c r="AF1146" s="77">
        <f>IF(OR($A1146="",B1146=""),"",YEAR(B1146))</f>
        <v/>
      </c>
      <c r="AG1146" s="77">
        <f>IF(OR($A1146="",B1146=""),"",MONTH(B1146))</f>
        <v/>
      </c>
    </row>
    <row r="1147">
      <c r="A1147" s="7" t="inlineStr">
        <is>
          <t>OT-2026-0292</t>
        </is>
      </c>
      <c r="B1147" s="75" t="n">
        <v>46156.63541666666</v>
      </c>
      <c r="C1147" s="7" t="inlineStr">
        <is>
          <t>Opérateur usinage</t>
        </is>
      </c>
      <c r="D1147" s="7" t="inlineStr">
        <is>
          <t>EQ-USI-001</t>
        </is>
      </c>
      <c r="E1147" s="9">
        <f>IF(D1147="","",IFERROR(INDEX('Équipements'!$B$5:$B$304,MATCH(D1147,'Équipements'!$A$5:$A$304,0)),"Code inconnu"))</f>
        <v/>
      </c>
      <c r="F1147" s="9">
        <f>IF(D1147="","",IFERROR(INDEX('Équipements'!$D$5:$D$304,MATCH(D1147,'Équipements'!$A$5:$A$304,0)),""))</f>
        <v/>
      </c>
      <c r="G1147" s="9">
        <f>IF(D1147="","",IFERROR(INDEX('Équipements'!$K$5:$K$304,MATCH(D1147,'Équipements'!$A$5:$A$304,0)),""))</f>
        <v/>
      </c>
      <c r="H1147" s="7" t="inlineStr">
        <is>
          <t>Correctif</t>
        </is>
      </c>
      <c r="I1147" s="7" t="n"/>
      <c r="J1147" s="7" t="inlineStr">
        <is>
          <t>Électrique</t>
        </is>
      </c>
      <c r="K1147" s="7" t="inlineStr">
        <is>
          <t>P1 - Urgent</t>
        </is>
      </c>
      <c r="L1147" s="7" t="inlineStr">
        <is>
          <t>Arrêt d'urgence intempestif</t>
        </is>
      </c>
      <c r="M1147" s="7" t="inlineStr">
        <is>
          <t>Défaut électrique</t>
        </is>
      </c>
      <c r="N1147" s="7" t="inlineStr">
        <is>
          <t>Recherche de panne, remplacement relais de sécurité</t>
        </is>
      </c>
      <c r="O1147" s="7" t="inlineStr">
        <is>
          <t>Julien Moreau</t>
        </is>
      </c>
      <c r="P1147" s="65" t="n"/>
      <c r="Q1147" s="75" t="n">
        <v>46156.65972222222</v>
      </c>
      <c r="R1147" s="75" t="n">
        <v>46156.94097222222</v>
      </c>
      <c r="S1147" s="76" t="n">
        <v>7.3</v>
      </c>
      <c r="T1147" s="76" t="n">
        <v>6.75</v>
      </c>
      <c r="U1147" s="70">
        <f>IF($A1147="","",IFERROR(INDEX('Techniciens'!$F$5:$F$44,MATCH(O1147,'Techniciens'!$B$5:$B$44,0)),'Paramètres'!$AA$10))</f>
        <v/>
      </c>
      <c r="V1147" s="70">
        <f>IF($A1147="","",IF(OR(AC1147="Demandé",AC1147="Planifié",AC1147="Annulé"),0,N(T1147)*N(U1147)))</f>
        <v/>
      </c>
      <c r="W1147" s="70">
        <f>IF($A1147="","",SUMIFS('Mouvements stock'!$H$5:$H$3004,'Mouvements stock'!$I$5:$I$3004,$A1147,'Mouvements stock'!$C$5:$C$3004,"Sortie")-SUMIFS('Mouvements stock'!$H$5:$H$3004,'Mouvements stock'!$I$5:$I$3004,$A1147,'Mouvements stock'!$C$5:$C$3004,"Retour"))</f>
        <v/>
      </c>
      <c r="X1147" s="66" t="n">
        <v>0</v>
      </c>
      <c r="Y1147" s="66" t="n">
        <v>0</v>
      </c>
      <c r="Z1147" s="7" t="n"/>
      <c r="AA1147" s="70">
        <f>IF($A1147="","",N(V1147)+N(W1147)+N(X1147)+N(Y1147))</f>
        <v/>
      </c>
      <c r="AB1147" s="70">
        <f>IF($A1147="","",N(S1147)*'Paramètres'!$AA$9*IFERROR(INDEX('Paramètres'!$O$5:$O$7,MATCH(G1147,'Paramètres'!$N$5:$N$7,0)),0))</f>
        <v/>
      </c>
      <c r="AC1147" s="7" t="inlineStr">
        <is>
          <t>Clôturé</t>
        </is>
      </c>
      <c r="AD1147" s="69">
        <f>IF(OR($A1147="",Q1147=""),"",(Q1147-B1147)*24)</f>
        <v/>
      </c>
      <c r="AE1147" s="69">
        <f>IF(OR(Q1147="",R1147=""),"",(R1147-Q1147)*24)</f>
        <v/>
      </c>
      <c r="AF1147" s="77">
        <f>IF(OR($A1147="",B1147=""),"",YEAR(B1147))</f>
        <v/>
      </c>
      <c r="AG1147" s="77">
        <f>IF(OR($A1147="",B1147=""),"",MONTH(B1147))</f>
        <v/>
      </c>
    </row>
    <row r="1148">
      <c r="A1148" s="7" t="inlineStr">
        <is>
          <t>OT-2026-0293</t>
        </is>
      </c>
      <c r="B1148" s="75" t="n">
        <v>46157.40277777778</v>
      </c>
      <c r="C1148" s="7" t="inlineStr">
        <is>
          <t>Plan préventif</t>
        </is>
      </c>
      <c r="D1148" s="7" t="inlineStr">
        <is>
          <t>EQ-SOU-003</t>
        </is>
      </c>
      <c r="E1148" s="9">
        <f>IF(D1148="","",IFERROR(INDEX('Équipements'!$B$5:$B$304,MATCH(D1148,'Équipements'!$A$5:$A$304,0)),"Code inconnu"))</f>
        <v/>
      </c>
      <c r="F1148" s="9">
        <f>IF(D1148="","",IFERROR(INDEX('Équipements'!$D$5:$D$304,MATCH(D1148,'Équipements'!$A$5:$A$304,0)),""))</f>
        <v/>
      </c>
      <c r="G1148" s="9">
        <f>IF(D1148="","",IFERROR(INDEX('Équipements'!$K$5:$K$304,MATCH(D1148,'Équipements'!$A$5:$A$304,0)),""))</f>
        <v/>
      </c>
      <c r="H1148" s="7" t="inlineStr">
        <is>
          <t>Préventif systématique</t>
        </is>
      </c>
      <c r="I1148" s="7" t="inlineStr">
        <is>
          <t>GP-062</t>
        </is>
      </c>
      <c r="J1148" s="7" t="inlineStr">
        <is>
          <t>Électrique</t>
        </is>
      </c>
      <c r="K1148" s="7" t="inlineStr">
        <is>
          <t>P3 - Normale</t>
        </is>
      </c>
      <c r="L1148" s="7" t="inlineStr">
        <is>
          <t>Contrôle et nettoyage poste, dévidoir, câbles</t>
        </is>
      </c>
      <c r="M1148" s="7" t="n"/>
      <c r="N1148" s="7" t="inlineStr">
        <is>
          <t>Gamme réalisée - RAS</t>
        </is>
      </c>
      <c r="O1148" s="7" t="inlineStr">
        <is>
          <t>Julien Moreau</t>
        </is>
      </c>
      <c r="P1148" s="65" t="n">
        <v>46164.32986111111</v>
      </c>
      <c r="Q1148" s="75" t="n">
        <v>46164.375</v>
      </c>
      <c r="R1148" s="75" t="n">
        <v>46164.4375</v>
      </c>
      <c r="S1148" s="76" t="n">
        <v>0</v>
      </c>
      <c r="T1148" s="76" t="n">
        <v>1.5</v>
      </c>
      <c r="U1148" s="70">
        <f>IF($A1148="","",IFERROR(INDEX('Techniciens'!$F$5:$F$44,MATCH(O1148,'Techniciens'!$B$5:$B$44,0)),'Paramètres'!$AA$10))</f>
        <v/>
      </c>
      <c r="V1148" s="70">
        <f>IF($A1148="","",IF(OR(AC1148="Demandé",AC1148="Planifié",AC1148="Annulé"),0,N(T1148)*N(U1148)))</f>
        <v/>
      </c>
      <c r="W1148" s="70">
        <f>IF($A1148="","",SUMIFS('Mouvements stock'!$H$5:$H$3004,'Mouvements stock'!$I$5:$I$3004,$A1148,'Mouvements stock'!$C$5:$C$3004,"Sortie")-SUMIFS('Mouvements stock'!$H$5:$H$3004,'Mouvements stock'!$I$5:$I$3004,$A1148,'Mouvements stock'!$C$5:$C$3004,"Retour"))</f>
        <v/>
      </c>
      <c r="X1148" s="66" t="n">
        <v>0</v>
      </c>
      <c r="Y1148" s="66" t="n">
        <v>0</v>
      </c>
      <c r="Z1148" s="7" t="n"/>
      <c r="AA1148" s="70">
        <f>IF($A1148="","",N(V1148)+N(W1148)+N(X1148)+N(Y1148))</f>
        <v/>
      </c>
      <c r="AB1148" s="70">
        <f>IF($A1148="","",N(S1148)*'Paramètres'!$AA$9*IFERROR(INDEX('Paramètres'!$O$5:$O$7,MATCH(G1148,'Paramètres'!$N$5:$N$7,0)),0))</f>
        <v/>
      </c>
      <c r="AC1148" s="7" t="inlineStr">
        <is>
          <t>Clôturé</t>
        </is>
      </c>
      <c r="AD1148" s="69">
        <f>IF(OR($A1148="",Q1148=""),"",(Q1148-B1148)*24)</f>
        <v/>
      </c>
      <c r="AE1148" s="69">
        <f>IF(OR(Q1148="",R1148=""),"",(R1148-Q1148)*24)</f>
        <v/>
      </c>
      <c r="AF1148" s="77">
        <f>IF(OR($A1148="",B1148=""),"",YEAR(B1148))</f>
        <v/>
      </c>
      <c r="AG1148" s="77">
        <f>IF(OR($A1148="",B1148=""),"",MONTH(B1148))</f>
        <v/>
      </c>
    </row>
    <row r="1149">
      <c r="A1149" s="7" t="inlineStr">
        <is>
          <t>OT-2026-0294</t>
        </is>
      </c>
      <c r="B1149" s="75" t="n">
        <v>46157.40277777778</v>
      </c>
      <c r="C1149" s="7" t="inlineStr">
        <is>
          <t>Plan préventif</t>
        </is>
      </c>
      <c r="D1149" s="7" t="inlineStr">
        <is>
          <t>EQ-LOG-006</t>
        </is>
      </c>
      <c r="E1149" s="9">
        <f>IF(D1149="","",IFERROR(INDEX('Équipements'!$B$5:$B$304,MATCH(D1149,'Équipements'!$A$5:$A$304,0)),"Code inconnu"))</f>
        <v/>
      </c>
      <c r="F1149" s="9">
        <f>IF(D1149="","",IFERROR(INDEX('Équipements'!$D$5:$D$304,MATCH(D1149,'Équipements'!$A$5:$A$304,0)),""))</f>
        <v/>
      </c>
      <c r="G1149" s="9">
        <f>IF(D1149="","",IFERROR(INDEX('Équipements'!$K$5:$K$304,MATCH(D1149,'Équipements'!$A$5:$A$304,0)),""))</f>
        <v/>
      </c>
      <c r="H1149" s="7" t="inlineStr">
        <is>
          <t>Préventif systématique</t>
        </is>
      </c>
      <c r="I1149" s="7" t="inlineStr">
        <is>
          <t>GP-115</t>
        </is>
      </c>
      <c r="J1149" s="7" t="inlineStr">
        <is>
          <t>Mécanique</t>
        </is>
      </c>
      <c r="K1149" s="7" t="inlineStr">
        <is>
          <t>P3 - Normale</t>
        </is>
      </c>
      <c r="L1149" s="7" t="inlineStr">
        <is>
          <t>Contrôle câbles, crochets, freins et fins de course</t>
        </is>
      </c>
      <c r="M1149" s="7" t="n"/>
      <c r="N1149" s="7" t="inlineStr">
        <is>
          <t>Gamme réalisée - serrages repris</t>
        </is>
      </c>
      <c r="O1149" s="7" t="inlineStr">
        <is>
          <t>Karim Benali</t>
        </is>
      </c>
      <c r="P1149" s="65" t="n">
        <v>46164.45833333334</v>
      </c>
      <c r="Q1149" s="75" t="n">
        <v>46164.42361111111</v>
      </c>
      <c r="R1149" s="75" t="n">
        <v>46164.55902777778</v>
      </c>
      <c r="S1149" s="76" t="n">
        <v>3.2</v>
      </c>
      <c r="T1149" s="76" t="n">
        <v>3.25</v>
      </c>
      <c r="U1149" s="70">
        <f>IF($A1149="","",IFERROR(INDEX('Techniciens'!$F$5:$F$44,MATCH(O1149,'Techniciens'!$B$5:$B$44,0)),'Paramètres'!$AA$10))</f>
        <v/>
      </c>
      <c r="V1149" s="70">
        <f>IF($A1149="","",IF(OR(AC1149="Demandé",AC1149="Planifié",AC1149="Annulé"),0,N(T1149)*N(U1149)))</f>
        <v/>
      </c>
      <c r="W1149" s="70">
        <f>IF($A1149="","",SUMIFS('Mouvements stock'!$H$5:$H$3004,'Mouvements stock'!$I$5:$I$3004,$A1149,'Mouvements stock'!$C$5:$C$3004,"Sortie")-SUMIFS('Mouvements stock'!$H$5:$H$3004,'Mouvements stock'!$I$5:$I$3004,$A1149,'Mouvements stock'!$C$5:$C$3004,"Retour"))</f>
        <v/>
      </c>
      <c r="X1149" s="66" t="n">
        <v>0</v>
      </c>
      <c r="Y1149" s="66" t="n">
        <v>0</v>
      </c>
      <c r="Z1149" s="7" t="n"/>
      <c r="AA1149" s="70">
        <f>IF($A1149="","",N(V1149)+N(W1149)+N(X1149)+N(Y1149))</f>
        <v/>
      </c>
      <c r="AB1149" s="70">
        <f>IF($A1149="","",N(S1149)*'Paramètres'!$AA$9*IFERROR(INDEX('Paramètres'!$O$5:$O$7,MATCH(G1149,'Paramètres'!$N$5:$N$7,0)),0))</f>
        <v/>
      </c>
      <c r="AC1149" s="7" t="inlineStr">
        <is>
          <t>Clôturé</t>
        </is>
      </c>
      <c r="AD1149" s="69">
        <f>IF(OR($A1149="",Q1149=""),"",(Q1149-B1149)*24)</f>
        <v/>
      </c>
      <c r="AE1149" s="69">
        <f>IF(OR(Q1149="",R1149=""),"",(R1149-Q1149)*24)</f>
        <v/>
      </c>
      <c r="AF1149" s="77">
        <f>IF(OR($A1149="",B1149=""),"",YEAR(B1149))</f>
        <v/>
      </c>
      <c r="AG1149" s="77">
        <f>IF(OR($A1149="",B1149=""),"",MONTH(B1149))</f>
        <v/>
      </c>
    </row>
    <row r="1150">
      <c r="A1150" s="7" t="inlineStr">
        <is>
          <t>OT-2026-0295</t>
        </is>
      </c>
      <c r="B1150" s="75" t="n">
        <v>46157.53888888889</v>
      </c>
      <c r="C1150" s="7" t="inlineStr">
        <is>
          <t>Sylvie Mathieu (resp. logistique)</t>
        </is>
      </c>
      <c r="D1150" s="7" t="inlineStr">
        <is>
          <t>EQ-LOG-001</t>
        </is>
      </c>
      <c r="E1150" s="9">
        <f>IF(D1150="","",IFERROR(INDEX('Équipements'!$B$5:$B$304,MATCH(D1150,'Équipements'!$A$5:$A$304,0)),"Code inconnu"))</f>
        <v/>
      </c>
      <c r="F1150" s="9">
        <f>IF(D1150="","",IFERROR(INDEX('Équipements'!$D$5:$D$304,MATCH(D1150,'Équipements'!$A$5:$A$304,0)),""))</f>
        <v/>
      </c>
      <c r="G1150" s="9">
        <f>IF(D1150="","",IFERROR(INDEX('Équipements'!$K$5:$K$304,MATCH(D1150,'Équipements'!$A$5:$A$304,0)),""))</f>
        <v/>
      </c>
      <c r="H1150" s="7" t="inlineStr">
        <is>
          <t>Correctif</t>
        </is>
      </c>
      <c r="I1150" s="7" t="n"/>
      <c r="J1150" s="7" t="inlineStr">
        <is>
          <t>Mécanique</t>
        </is>
      </c>
      <c r="K1150" s="7" t="inlineStr">
        <is>
          <t>P3 - Normale</t>
        </is>
      </c>
      <c r="L1150" s="7" t="inlineStr">
        <is>
          <t>Choc sur mât (dommage cariste)</t>
        </is>
      </c>
      <c r="M1150" s="7" t="inlineStr">
        <is>
          <t>Choc / accident</t>
        </is>
      </c>
      <c r="N1150" s="7" t="inlineStr">
        <is>
          <t>Redressage protège-conducteur, contrôle mât</t>
        </is>
      </c>
      <c r="O1150" s="7" t="inlineStr">
        <is>
          <t>Antoine Mercier</t>
        </is>
      </c>
      <c r="P1150" s="65" t="n"/>
      <c r="Q1150" s="75" t="n">
        <v>46158.35972222222</v>
      </c>
      <c r="R1150" s="75" t="n">
        <v>46158.45347222222</v>
      </c>
      <c r="S1150" s="76" t="n">
        <v>0.7</v>
      </c>
      <c r="T1150" s="76" t="n">
        <v>2.25</v>
      </c>
      <c r="U1150" s="70">
        <f>IF($A1150="","",IFERROR(INDEX('Techniciens'!$F$5:$F$44,MATCH(O1150,'Techniciens'!$B$5:$B$44,0)),'Paramètres'!$AA$10))</f>
        <v/>
      </c>
      <c r="V1150" s="70">
        <f>IF($A1150="","",IF(OR(AC1150="Demandé",AC1150="Planifié",AC1150="Annulé"),0,N(T1150)*N(U1150)))</f>
        <v/>
      </c>
      <c r="W1150" s="70">
        <f>IF($A1150="","",SUMIFS('Mouvements stock'!$H$5:$H$3004,'Mouvements stock'!$I$5:$I$3004,$A1150,'Mouvements stock'!$C$5:$C$3004,"Sortie")-SUMIFS('Mouvements stock'!$H$5:$H$3004,'Mouvements stock'!$I$5:$I$3004,$A1150,'Mouvements stock'!$C$5:$C$3004,"Retour"))</f>
        <v/>
      </c>
      <c r="X1150" s="66" t="n">
        <v>0</v>
      </c>
      <c r="Y1150" s="66" t="n">
        <v>880</v>
      </c>
      <c r="Z1150" s="7" t="inlineStr">
        <is>
          <t>Manutention Services 44</t>
        </is>
      </c>
      <c r="AA1150" s="70">
        <f>IF($A1150="","",N(V1150)+N(W1150)+N(X1150)+N(Y1150))</f>
        <v/>
      </c>
      <c r="AB1150" s="70">
        <f>IF($A1150="","",N(S1150)*'Paramètres'!$AA$9*IFERROR(INDEX('Paramètres'!$O$5:$O$7,MATCH(G1150,'Paramètres'!$N$5:$N$7,0)),0))</f>
        <v/>
      </c>
      <c r="AC1150" s="7" t="inlineStr">
        <is>
          <t>Clôturé</t>
        </is>
      </c>
      <c r="AD1150" s="69">
        <f>IF(OR($A1150="",Q1150=""),"",(Q1150-B1150)*24)</f>
        <v/>
      </c>
      <c r="AE1150" s="69">
        <f>IF(OR(Q1150="",R1150=""),"",(R1150-Q1150)*24)</f>
        <v/>
      </c>
      <c r="AF1150" s="77">
        <f>IF(OR($A1150="",B1150=""),"",YEAR(B1150))</f>
        <v/>
      </c>
      <c r="AG1150" s="77">
        <f>IF(OR($A1150="",B1150=""),"",MONTH(B1150))</f>
        <v/>
      </c>
    </row>
    <row r="1151">
      <c r="A1151" s="7" t="inlineStr">
        <is>
          <t>OT-2026-0296</t>
        </is>
      </c>
      <c r="B1151" s="75" t="n">
        <v>46158.24930555555</v>
      </c>
      <c r="C1151" s="7" t="inlineStr">
        <is>
          <t>Opérateur usinage</t>
        </is>
      </c>
      <c r="D1151" s="7" t="inlineStr">
        <is>
          <t>EQ-USI-003</t>
        </is>
      </c>
      <c r="E1151" s="9">
        <f>IF(D1151="","",IFERROR(INDEX('Équipements'!$B$5:$B$304,MATCH(D1151,'Équipements'!$A$5:$A$304,0)),"Code inconnu"))</f>
        <v/>
      </c>
      <c r="F1151" s="9">
        <f>IF(D1151="","",IFERROR(INDEX('Équipements'!$D$5:$D$304,MATCH(D1151,'Équipements'!$A$5:$A$304,0)),""))</f>
        <v/>
      </c>
      <c r="G1151" s="9">
        <f>IF(D1151="","",IFERROR(INDEX('Équipements'!$K$5:$K$304,MATCH(D1151,'Équipements'!$A$5:$A$304,0)),""))</f>
        <v/>
      </c>
      <c r="H1151" s="7" t="inlineStr">
        <is>
          <t>Correctif</t>
        </is>
      </c>
      <c r="I1151" s="7" t="n"/>
      <c r="J1151" s="7" t="inlineStr">
        <is>
          <t>Mécanique</t>
        </is>
      </c>
      <c r="K1151" s="7" t="inlineStr">
        <is>
          <t>P3 - Normale</t>
        </is>
      </c>
      <c r="L1151" s="7" t="inlineStr">
        <is>
          <t>Broche bruyante / vibrations anormales</t>
        </is>
      </c>
      <c r="M1151" s="7" t="inlineStr">
        <is>
          <t>Usure</t>
        </is>
      </c>
      <c r="N1151" s="7" t="inlineStr">
        <is>
          <t>Analyse vibratoire puis remplacement roulements de broche</t>
        </is>
      </c>
      <c r="O1151" s="7" t="inlineStr">
        <is>
          <t>Antoine Mercier</t>
        </is>
      </c>
      <c r="P1151" s="65" t="n"/>
      <c r="Q1151" s="75" t="n">
        <v>46158.59375</v>
      </c>
      <c r="R1151" s="75" t="n">
        <v>46158.75</v>
      </c>
      <c r="S1151" s="76" t="n">
        <v>0</v>
      </c>
      <c r="T1151" s="76" t="n">
        <v>3.75</v>
      </c>
      <c r="U1151" s="70">
        <f>IF($A1151="","",IFERROR(INDEX('Techniciens'!$F$5:$F$44,MATCH(O1151,'Techniciens'!$B$5:$B$44,0)),'Paramètres'!$AA$10))</f>
        <v/>
      </c>
      <c r="V1151" s="70">
        <f>IF($A1151="","",IF(OR(AC1151="Demandé",AC1151="Planifié",AC1151="Annulé"),0,N(T1151)*N(U1151)))</f>
        <v/>
      </c>
      <c r="W1151" s="70">
        <f>IF($A1151="","",SUMIFS('Mouvements stock'!$H$5:$H$3004,'Mouvements stock'!$I$5:$I$3004,$A1151,'Mouvements stock'!$C$5:$C$3004,"Sortie")-SUMIFS('Mouvements stock'!$H$5:$H$3004,'Mouvements stock'!$I$5:$I$3004,$A1151,'Mouvements stock'!$C$5:$C$3004,"Retour"))</f>
        <v/>
      </c>
      <c r="X1151" s="66" t="n">
        <v>0</v>
      </c>
      <c r="Y1151" s="66" t="n">
        <v>730</v>
      </c>
      <c r="Z1151" s="7" t="inlineStr">
        <is>
          <t>SAV Machines-Outils Atlantique</t>
        </is>
      </c>
      <c r="AA1151" s="70">
        <f>IF($A1151="","",N(V1151)+N(W1151)+N(X1151)+N(Y1151))</f>
        <v/>
      </c>
      <c r="AB1151" s="70">
        <f>IF($A1151="","",N(S1151)*'Paramètres'!$AA$9*IFERROR(INDEX('Paramètres'!$O$5:$O$7,MATCH(G1151,'Paramètres'!$N$5:$N$7,0)),0))</f>
        <v/>
      </c>
      <c r="AC1151" s="7" t="inlineStr">
        <is>
          <t>Clôturé</t>
        </is>
      </c>
      <c r="AD1151" s="69">
        <f>IF(OR($A1151="",Q1151=""),"",(Q1151-B1151)*24)</f>
        <v/>
      </c>
      <c r="AE1151" s="69">
        <f>IF(OR(Q1151="",R1151=""),"",(R1151-Q1151)*24)</f>
        <v/>
      </c>
      <c r="AF1151" s="77">
        <f>IF(OR($A1151="",B1151=""),"",YEAR(B1151))</f>
        <v/>
      </c>
      <c r="AG1151" s="77">
        <f>IF(OR($A1151="",B1151=""),"",MONTH(B1151))</f>
        <v/>
      </c>
    </row>
    <row r="1152">
      <c r="A1152" s="7" t="inlineStr">
        <is>
          <t>OT-2026-0297</t>
        </is>
      </c>
      <c r="B1152" s="75" t="n">
        <v>46158.57152777778</v>
      </c>
      <c r="C1152" s="7" t="inlineStr">
        <is>
          <t>Hugo Blanc (chef d'équipe)</t>
        </is>
      </c>
      <c r="D1152" s="7" t="inlineStr">
        <is>
          <t>EQ-SOU-001</t>
        </is>
      </c>
      <c r="E1152" s="9">
        <f>IF(D1152="","",IFERROR(INDEX('Équipements'!$B$5:$B$304,MATCH(D1152,'Équipements'!$A$5:$A$304,0)),"Code inconnu"))</f>
        <v/>
      </c>
      <c r="F1152" s="9">
        <f>IF(D1152="","",IFERROR(INDEX('Équipements'!$D$5:$D$304,MATCH(D1152,'Équipements'!$A$5:$A$304,0)),""))</f>
        <v/>
      </c>
      <c r="G1152" s="9">
        <f>IF(D1152="","",IFERROR(INDEX('Équipements'!$K$5:$K$304,MATCH(D1152,'Équipements'!$A$5:$A$304,0)),""))</f>
        <v/>
      </c>
      <c r="H1152" s="7" t="inlineStr">
        <is>
          <t>Correctif</t>
        </is>
      </c>
      <c r="I1152" s="7" t="n"/>
      <c r="J1152" s="7" t="inlineStr">
        <is>
          <t>Mécanique</t>
        </is>
      </c>
      <c r="K1152" s="7" t="inlineStr">
        <is>
          <t>P1 - Urgent</t>
        </is>
      </c>
      <c r="L1152" s="7" t="inlineStr">
        <is>
          <t>Défaut dévidage fil</t>
        </is>
      </c>
      <c r="M1152" s="7" t="inlineStr">
        <is>
          <t>Usure</t>
        </is>
      </c>
      <c r="N1152" s="7" t="inlineStr">
        <is>
          <t>Remplacement gaine guide-fil et galets</t>
        </is>
      </c>
      <c r="O1152" s="7" t="inlineStr">
        <is>
          <t>Karim Benali</t>
        </is>
      </c>
      <c r="P1152" s="65" t="n"/>
      <c r="Q1152" s="75" t="n">
        <v>46158.58263888889</v>
      </c>
      <c r="R1152" s="75" t="n">
        <v>46158.62430555555</v>
      </c>
      <c r="S1152" s="76" t="n">
        <v>1.3</v>
      </c>
      <c r="T1152" s="76" t="n">
        <v>1</v>
      </c>
      <c r="U1152" s="70">
        <f>IF($A1152="","",IFERROR(INDEX('Techniciens'!$F$5:$F$44,MATCH(O1152,'Techniciens'!$B$5:$B$44,0)),'Paramètres'!$AA$10))</f>
        <v/>
      </c>
      <c r="V1152" s="70">
        <f>IF($A1152="","",IF(OR(AC1152="Demandé",AC1152="Planifié",AC1152="Annulé"),0,N(T1152)*N(U1152)))</f>
        <v/>
      </c>
      <c r="W1152" s="70">
        <f>IF($A1152="","",SUMIFS('Mouvements stock'!$H$5:$H$3004,'Mouvements stock'!$I$5:$I$3004,$A1152,'Mouvements stock'!$C$5:$C$3004,"Sortie")-SUMIFS('Mouvements stock'!$H$5:$H$3004,'Mouvements stock'!$I$5:$I$3004,$A1152,'Mouvements stock'!$C$5:$C$3004,"Retour"))</f>
        <v/>
      </c>
      <c r="X1152" s="66" t="n">
        <v>134</v>
      </c>
      <c r="Y1152" s="66" t="n">
        <v>0</v>
      </c>
      <c r="Z1152" s="7" t="n"/>
      <c r="AA1152" s="70">
        <f>IF($A1152="","",N(V1152)+N(W1152)+N(X1152)+N(Y1152))</f>
        <v/>
      </c>
      <c r="AB1152" s="70">
        <f>IF($A1152="","",N(S1152)*'Paramètres'!$AA$9*IFERROR(INDEX('Paramètres'!$O$5:$O$7,MATCH(G1152,'Paramètres'!$N$5:$N$7,0)),0))</f>
        <v/>
      </c>
      <c r="AC1152" s="7" t="inlineStr">
        <is>
          <t>Clôturé</t>
        </is>
      </c>
      <c r="AD1152" s="69">
        <f>IF(OR($A1152="",Q1152=""),"",(Q1152-B1152)*24)</f>
        <v/>
      </c>
      <c r="AE1152" s="69">
        <f>IF(OR(Q1152="",R1152=""),"",(R1152-Q1152)*24)</f>
        <v/>
      </c>
      <c r="AF1152" s="77">
        <f>IF(OR($A1152="",B1152=""),"",YEAR(B1152))</f>
        <v/>
      </c>
      <c r="AG1152" s="77">
        <f>IF(OR($A1152="",B1152=""),"",MONTH(B1152))</f>
        <v/>
      </c>
    </row>
    <row r="1153">
      <c r="A1153" s="7" t="inlineStr">
        <is>
          <t>OT-2026-0298</t>
        </is>
      </c>
      <c r="B1153" s="75" t="n">
        <v>46160.36666666667</v>
      </c>
      <c r="C1153" s="7" t="inlineStr">
        <is>
          <t>Éric Laurent (chef d'atelier)</t>
        </is>
      </c>
      <c r="D1153" s="7" t="inlineStr">
        <is>
          <t>EQ-USI-007</t>
        </is>
      </c>
      <c r="E1153" s="9">
        <f>IF(D1153="","",IFERROR(INDEX('Équipements'!$B$5:$B$304,MATCH(D1153,'Équipements'!$A$5:$A$304,0)),"Code inconnu"))</f>
        <v/>
      </c>
      <c r="F1153" s="9">
        <f>IF(D1153="","",IFERROR(INDEX('Équipements'!$D$5:$D$304,MATCH(D1153,'Équipements'!$A$5:$A$304,0)),""))</f>
        <v/>
      </c>
      <c r="G1153" s="9">
        <f>IF(D1153="","",IFERROR(INDEX('Équipements'!$K$5:$K$304,MATCH(D1153,'Équipements'!$A$5:$A$304,0)),""))</f>
        <v/>
      </c>
      <c r="H1153" s="7" t="inlineStr">
        <is>
          <t>Correctif</t>
        </is>
      </c>
      <c r="I1153" s="7" t="n"/>
      <c r="J1153" s="7" t="inlineStr">
        <is>
          <t>Hydraulique</t>
        </is>
      </c>
      <c r="K1153" s="7" t="inlineStr">
        <is>
          <t>P2 - Haute</t>
        </is>
      </c>
      <c r="L1153" s="7" t="inlineStr">
        <is>
          <t>Fuite d'huile hydraulique sous la table</t>
        </is>
      </c>
      <c r="M1153" s="7" t="inlineStr">
        <is>
          <t>Fuite</t>
        </is>
      </c>
      <c r="N1153" s="7" t="inlineStr">
        <is>
          <t>Remplacement flexible et joints, appoint huile</t>
        </is>
      </c>
      <c r="O1153" s="7" t="inlineStr">
        <is>
          <t>Karim Benali</t>
        </is>
      </c>
      <c r="P1153" s="65" t="n"/>
      <c r="Q1153" s="75" t="n">
        <v>46160.47361111111</v>
      </c>
      <c r="R1153" s="75" t="n">
        <v>46160.62986111111</v>
      </c>
      <c r="S1153" s="76" t="n">
        <v>6.3</v>
      </c>
      <c r="T1153" s="76" t="n">
        <v>3.75</v>
      </c>
      <c r="U1153" s="70">
        <f>IF($A1153="","",IFERROR(INDEX('Techniciens'!$F$5:$F$44,MATCH(O1153,'Techniciens'!$B$5:$B$44,0)),'Paramètres'!$AA$10))</f>
        <v/>
      </c>
      <c r="V1153" s="70">
        <f>IF($A1153="","",IF(OR(AC1153="Demandé",AC1153="Planifié",AC1153="Annulé"),0,N(T1153)*N(U1153)))</f>
        <v/>
      </c>
      <c r="W1153" s="70">
        <f>IF($A1153="","",SUMIFS('Mouvements stock'!$H$5:$H$3004,'Mouvements stock'!$I$5:$I$3004,$A1153,'Mouvements stock'!$C$5:$C$3004,"Sortie")-SUMIFS('Mouvements stock'!$H$5:$H$3004,'Mouvements stock'!$I$5:$I$3004,$A1153,'Mouvements stock'!$C$5:$C$3004,"Retour"))</f>
        <v/>
      </c>
      <c r="X1153" s="66" t="n">
        <v>0</v>
      </c>
      <c r="Y1153" s="66" t="n">
        <v>0</v>
      </c>
      <c r="Z1153" s="7" t="n"/>
      <c r="AA1153" s="70">
        <f>IF($A1153="","",N(V1153)+N(W1153)+N(X1153)+N(Y1153))</f>
        <v/>
      </c>
      <c r="AB1153" s="70">
        <f>IF($A1153="","",N(S1153)*'Paramètres'!$AA$9*IFERROR(INDEX('Paramètres'!$O$5:$O$7,MATCH(G1153,'Paramètres'!$N$5:$N$7,0)),0))</f>
        <v/>
      </c>
      <c r="AC1153" s="7" t="inlineStr">
        <is>
          <t>Clôturé</t>
        </is>
      </c>
      <c r="AD1153" s="69">
        <f>IF(OR($A1153="",Q1153=""),"",(Q1153-B1153)*24)</f>
        <v/>
      </c>
      <c r="AE1153" s="69">
        <f>IF(OR(Q1153="",R1153=""),"",(R1153-Q1153)*24)</f>
        <v/>
      </c>
      <c r="AF1153" s="77">
        <f>IF(OR($A1153="",B1153=""),"",YEAR(B1153))</f>
        <v/>
      </c>
      <c r="AG1153" s="77">
        <f>IF(OR($A1153="",B1153=""),"",MONTH(B1153))</f>
        <v/>
      </c>
    </row>
    <row r="1154">
      <c r="A1154" s="7" t="inlineStr">
        <is>
          <t>OT-2026-0299</t>
        </is>
      </c>
      <c r="B1154" s="75" t="n">
        <v>46160.36805555555</v>
      </c>
      <c r="C1154" s="7" t="inlineStr">
        <is>
          <t>Plan préventif</t>
        </is>
      </c>
      <c r="D1154" s="7" t="inlineStr">
        <is>
          <t>EQ-USI-002</t>
        </is>
      </c>
      <c r="E1154" s="9">
        <f>IF(D1154="","",IFERROR(INDEX('Équipements'!$B$5:$B$304,MATCH(D1154,'Équipements'!$A$5:$A$304,0)),"Code inconnu"))</f>
        <v/>
      </c>
      <c r="F1154" s="9">
        <f>IF(D1154="","",IFERROR(INDEX('Équipements'!$D$5:$D$304,MATCH(D1154,'Équipements'!$A$5:$A$304,0)),""))</f>
        <v/>
      </c>
      <c r="G1154" s="9">
        <f>IF(D1154="","",IFERROR(INDEX('Équipements'!$K$5:$K$304,MATCH(D1154,'Équipements'!$A$5:$A$304,0)),""))</f>
        <v/>
      </c>
      <c r="H1154" s="7" t="inlineStr">
        <is>
          <t>Préventif systématique</t>
        </is>
      </c>
      <c r="I1154" s="7" t="inlineStr">
        <is>
          <t>GP-005</t>
        </is>
      </c>
      <c r="J1154" s="7" t="inlineStr">
        <is>
          <t>Mécanique</t>
        </is>
      </c>
      <c r="K1154" s="7" t="inlineStr">
        <is>
          <t>P3 - Normale</t>
        </is>
      </c>
      <c r="L1154" s="7" t="inlineStr">
        <is>
          <t>Contrôle niveaux, nettoyage filtres et bac à copeaux</t>
        </is>
      </c>
      <c r="M1154" s="7" t="n"/>
      <c r="N1154" s="7" t="inlineStr">
        <is>
          <t>Gamme réalisée - petite fuite corrigée</t>
        </is>
      </c>
      <c r="O1154" s="7" t="inlineStr">
        <is>
          <t>Antoine Mercier</t>
        </is>
      </c>
      <c r="P1154" s="65" t="n">
        <v>46167.59027777778</v>
      </c>
      <c r="Q1154" s="75" t="n">
        <v>46167.41666666666</v>
      </c>
      <c r="R1154" s="75" t="n">
        <v>46167.47916666666</v>
      </c>
      <c r="S1154" s="76" t="n">
        <v>1.5</v>
      </c>
      <c r="T1154" s="76" t="n">
        <v>1.5</v>
      </c>
      <c r="U1154" s="70">
        <f>IF($A1154="","",IFERROR(INDEX('Techniciens'!$F$5:$F$44,MATCH(O1154,'Techniciens'!$B$5:$B$44,0)),'Paramètres'!$AA$10))</f>
        <v/>
      </c>
      <c r="V1154" s="70">
        <f>IF($A1154="","",IF(OR(AC1154="Demandé",AC1154="Planifié",AC1154="Annulé"),0,N(T1154)*N(U1154)))</f>
        <v/>
      </c>
      <c r="W1154" s="70">
        <f>IF($A1154="","",SUMIFS('Mouvements stock'!$H$5:$H$3004,'Mouvements stock'!$I$5:$I$3004,$A1154,'Mouvements stock'!$C$5:$C$3004,"Sortie")-SUMIFS('Mouvements stock'!$H$5:$H$3004,'Mouvements stock'!$I$5:$I$3004,$A1154,'Mouvements stock'!$C$5:$C$3004,"Retour"))</f>
        <v/>
      </c>
      <c r="X1154" s="66" t="n">
        <v>0</v>
      </c>
      <c r="Y1154" s="66" t="n">
        <v>0</v>
      </c>
      <c r="Z1154" s="7" t="n"/>
      <c r="AA1154" s="70">
        <f>IF($A1154="","",N(V1154)+N(W1154)+N(X1154)+N(Y1154))</f>
        <v/>
      </c>
      <c r="AB1154" s="70">
        <f>IF($A1154="","",N(S1154)*'Paramètres'!$AA$9*IFERROR(INDEX('Paramètres'!$O$5:$O$7,MATCH(G1154,'Paramètres'!$N$5:$N$7,0)),0))</f>
        <v/>
      </c>
      <c r="AC1154" s="7" t="inlineStr">
        <is>
          <t>Clôturé</t>
        </is>
      </c>
      <c r="AD1154" s="69">
        <f>IF(OR($A1154="",Q1154=""),"",(Q1154-B1154)*24)</f>
        <v/>
      </c>
      <c r="AE1154" s="69">
        <f>IF(OR(Q1154="",R1154=""),"",(R1154-Q1154)*24)</f>
        <v/>
      </c>
      <c r="AF1154" s="77">
        <f>IF(OR($A1154="",B1154=""),"",YEAR(B1154))</f>
        <v/>
      </c>
      <c r="AG1154" s="77">
        <f>IF(OR($A1154="",B1154=""),"",MONTH(B1154))</f>
        <v/>
      </c>
    </row>
    <row r="1155">
      <c r="A1155" s="7" t="inlineStr">
        <is>
          <t>OT-2026-0300</t>
        </is>
      </c>
      <c r="B1155" s="75" t="n">
        <v>46160.40972222222</v>
      </c>
      <c r="C1155" s="7" t="inlineStr">
        <is>
          <t>Plan préventif</t>
        </is>
      </c>
      <c r="D1155" s="7" t="inlineStr">
        <is>
          <t>EQ-TOL-004</t>
        </is>
      </c>
      <c r="E1155" s="9">
        <f>IF(D1155="","",IFERROR(INDEX('Équipements'!$B$5:$B$304,MATCH(D1155,'Équipements'!$A$5:$A$304,0)),"Code inconnu"))</f>
        <v/>
      </c>
      <c r="F1155" s="9">
        <f>IF(D1155="","",IFERROR(INDEX('Équipements'!$D$5:$D$304,MATCH(D1155,'Équipements'!$A$5:$A$304,0)),""))</f>
        <v/>
      </c>
      <c r="G1155" s="9">
        <f>IF(D1155="","",IFERROR(INDEX('Équipements'!$K$5:$K$304,MATCH(D1155,'Équipements'!$A$5:$A$304,0)),""))</f>
        <v/>
      </c>
      <c r="H1155" s="7" t="inlineStr">
        <is>
          <t>Préventif systématique</t>
        </is>
      </c>
      <c r="I1155" s="7" t="inlineStr">
        <is>
          <t>GP-047</t>
        </is>
      </c>
      <c r="J1155" s="7" t="inlineStr">
        <is>
          <t>Hydraulique</t>
        </is>
      </c>
      <c r="K1155" s="7" t="inlineStr">
        <is>
          <t>P3 - Normale</t>
        </is>
      </c>
      <c r="L1155" s="7" t="inlineStr">
        <is>
          <t>Contrôle hydraulique : fuites, niveaux, pressions</t>
        </is>
      </c>
      <c r="M1155" s="7" t="n"/>
      <c r="N1155" s="7" t="inlineStr">
        <is>
          <t>Gamme réalisée - RAS</t>
        </is>
      </c>
      <c r="O1155" s="7" t="inlineStr">
        <is>
          <t>Antoine Mercier</t>
        </is>
      </c>
      <c r="P1155" s="65" t="n">
        <v>46167.37847222222</v>
      </c>
      <c r="Q1155" s="75" t="n">
        <v>46167.56944444445</v>
      </c>
      <c r="R1155" s="75" t="n">
        <v>46167.65277777778</v>
      </c>
      <c r="S1155" s="76" t="n">
        <v>1</v>
      </c>
      <c r="T1155" s="76" t="n">
        <v>2</v>
      </c>
      <c r="U1155" s="70">
        <f>IF($A1155="","",IFERROR(INDEX('Techniciens'!$F$5:$F$44,MATCH(O1155,'Techniciens'!$B$5:$B$44,0)),'Paramètres'!$AA$10))</f>
        <v/>
      </c>
      <c r="V1155" s="70">
        <f>IF($A1155="","",IF(OR(AC1155="Demandé",AC1155="Planifié",AC1155="Annulé"),0,N(T1155)*N(U1155)))</f>
        <v/>
      </c>
      <c r="W1155" s="70">
        <f>IF($A1155="","",SUMIFS('Mouvements stock'!$H$5:$H$3004,'Mouvements stock'!$I$5:$I$3004,$A1155,'Mouvements stock'!$C$5:$C$3004,"Sortie")-SUMIFS('Mouvements stock'!$H$5:$H$3004,'Mouvements stock'!$I$5:$I$3004,$A1155,'Mouvements stock'!$C$5:$C$3004,"Retour"))</f>
        <v/>
      </c>
      <c r="X1155" s="66" t="n">
        <v>0</v>
      </c>
      <c r="Y1155" s="66" t="n">
        <v>0</v>
      </c>
      <c r="Z1155" s="7" t="n"/>
      <c r="AA1155" s="70">
        <f>IF($A1155="","",N(V1155)+N(W1155)+N(X1155)+N(Y1155))</f>
        <v/>
      </c>
      <c r="AB1155" s="70">
        <f>IF($A1155="","",N(S1155)*'Paramètres'!$AA$9*IFERROR(INDEX('Paramètres'!$O$5:$O$7,MATCH(G1155,'Paramètres'!$N$5:$N$7,0)),0))</f>
        <v/>
      </c>
      <c r="AC1155" s="7" t="inlineStr">
        <is>
          <t>Clôturé</t>
        </is>
      </c>
      <c r="AD1155" s="69">
        <f>IF(OR($A1155="",Q1155=""),"",(Q1155-B1155)*24)</f>
        <v/>
      </c>
      <c r="AE1155" s="69">
        <f>IF(OR(Q1155="",R1155=""),"",(R1155-Q1155)*24)</f>
        <v/>
      </c>
      <c r="AF1155" s="77">
        <f>IF(OR($A1155="",B1155=""),"",YEAR(B1155))</f>
        <v/>
      </c>
      <c r="AG1155" s="77">
        <f>IF(OR($A1155="",B1155=""),"",MONTH(B1155))</f>
        <v/>
      </c>
    </row>
    <row r="1156">
      <c r="A1156" s="7" t="inlineStr">
        <is>
          <t>OT-2026-0301</t>
        </is>
      </c>
      <c r="B1156" s="75" t="n">
        <v>46160.48958333334</v>
      </c>
      <c r="C1156" s="7" t="inlineStr">
        <is>
          <t>Plan préventif</t>
        </is>
      </c>
      <c r="D1156" s="7" t="inlineStr">
        <is>
          <t>EQ-USI-003</t>
        </is>
      </c>
      <c r="E1156" s="9">
        <f>IF(D1156="","",IFERROR(INDEX('Équipements'!$B$5:$B$304,MATCH(D1156,'Équipements'!$A$5:$A$304,0)),"Code inconnu"))</f>
        <v/>
      </c>
      <c r="F1156" s="9">
        <f>IF(D1156="","",IFERROR(INDEX('Équipements'!$D$5:$D$304,MATCH(D1156,'Équipements'!$A$5:$A$304,0)),""))</f>
        <v/>
      </c>
      <c r="G1156" s="9">
        <f>IF(D1156="","",IFERROR(INDEX('Équipements'!$K$5:$K$304,MATCH(D1156,'Équipements'!$A$5:$A$304,0)),""))</f>
        <v/>
      </c>
      <c r="H1156" s="7" t="inlineStr">
        <is>
          <t>Préventif systématique</t>
        </is>
      </c>
      <c r="I1156" s="7" t="inlineStr">
        <is>
          <t>GP-010</t>
        </is>
      </c>
      <c r="J1156" s="7" t="inlineStr">
        <is>
          <t>Mécanique</t>
        </is>
      </c>
      <c r="K1156" s="7" t="inlineStr">
        <is>
          <t>P3 - Normale</t>
        </is>
      </c>
      <c r="L1156" s="7" t="inlineStr">
        <is>
          <t>Contrôle géométrie, jeux et graissage des axes</t>
        </is>
      </c>
      <c r="M1156" s="7" t="n"/>
      <c r="N1156" s="7" t="inlineStr">
        <is>
          <t>Gamme réalisée - usure constatée, à surveiller</t>
        </is>
      </c>
      <c r="O1156" s="7" t="inlineStr">
        <is>
          <t>Antoine Mercier</t>
        </is>
      </c>
      <c r="P1156" s="65" t="n">
        <v>46167.82638888889</v>
      </c>
      <c r="Q1156" s="75" t="n">
        <v>46167.40277777778</v>
      </c>
      <c r="R1156" s="75" t="n">
        <v>46167.72569444445</v>
      </c>
      <c r="S1156" s="76" t="n">
        <v>7.8</v>
      </c>
      <c r="T1156" s="76" t="n">
        <v>7.75</v>
      </c>
      <c r="U1156" s="70">
        <f>IF($A1156="","",IFERROR(INDEX('Techniciens'!$F$5:$F$44,MATCH(O1156,'Techniciens'!$B$5:$B$44,0)),'Paramètres'!$AA$10))</f>
        <v/>
      </c>
      <c r="V1156" s="70">
        <f>IF($A1156="","",IF(OR(AC1156="Demandé",AC1156="Planifié",AC1156="Annulé"),0,N(T1156)*N(U1156)))</f>
        <v/>
      </c>
      <c r="W1156" s="70">
        <f>IF($A1156="","",SUMIFS('Mouvements stock'!$H$5:$H$3004,'Mouvements stock'!$I$5:$I$3004,$A1156,'Mouvements stock'!$C$5:$C$3004,"Sortie")-SUMIFS('Mouvements stock'!$H$5:$H$3004,'Mouvements stock'!$I$5:$I$3004,$A1156,'Mouvements stock'!$C$5:$C$3004,"Retour"))</f>
        <v/>
      </c>
      <c r="X1156" s="66" t="n">
        <v>0</v>
      </c>
      <c r="Y1156" s="66" t="n">
        <v>0</v>
      </c>
      <c r="Z1156" s="7" t="n"/>
      <c r="AA1156" s="70">
        <f>IF($A1156="","",N(V1156)+N(W1156)+N(X1156)+N(Y1156))</f>
        <v/>
      </c>
      <c r="AB1156" s="70">
        <f>IF($A1156="","",N(S1156)*'Paramètres'!$AA$9*IFERROR(INDEX('Paramètres'!$O$5:$O$7,MATCH(G1156,'Paramètres'!$N$5:$N$7,0)),0))</f>
        <v/>
      </c>
      <c r="AC1156" s="7" t="inlineStr">
        <is>
          <t>Clôturé</t>
        </is>
      </c>
      <c r="AD1156" s="69">
        <f>IF(OR($A1156="",Q1156=""),"",(Q1156-B1156)*24)</f>
        <v/>
      </c>
      <c r="AE1156" s="69">
        <f>IF(OR(Q1156="",R1156=""),"",(R1156-Q1156)*24)</f>
        <v/>
      </c>
      <c r="AF1156" s="77">
        <f>IF(OR($A1156="",B1156=""),"",YEAR(B1156))</f>
        <v/>
      </c>
      <c r="AG1156" s="77">
        <f>IF(OR($A1156="",B1156=""),"",MONTH(B1156))</f>
        <v/>
      </c>
    </row>
    <row r="1157">
      <c r="A1157" s="7" t="inlineStr">
        <is>
          <t>OT-2026-0302</t>
        </is>
      </c>
      <c r="B1157" s="75" t="n">
        <v>46160.48958333334</v>
      </c>
      <c r="C1157" s="7" t="inlineStr">
        <is>
          <t>Plan préventif</t>
        </is>
      </c>
      <c r="D1157" s="7" t="inlineStr">
        <is>
          <t>EQ-TOL-001</t>
        </is>
      </c>
      <c r="E1157" s="9">
        <f>IF(D1157="","",IFERROR(INDEX('Équipements'!$B$5:$B$304,MATCH(D1157,'Équipements'!$A$5:$A$304,0)),"Code inconnu"))</f>
        <v/>
      </c>
      <c r="F1157" s="9">
        <f>IF(D1157="","",IFERROR(INDEX('Équipements'!$D$5:$D$304,MATCH(D1157,'Équipements'!$A$5:$A$304,0)),""))</f>
        <v/>
      </c>
      <c r="G1157" s="9">
        <f>IF(D1157="","",IFERROR(INDEX('Équipements'!$K$5:$K$304,MATCH(D1157,'Équipements'!$A$5:$A$304,0)),""))</f>
        <v/>
      </c>
      <c r="H1157" s="7" t="inlineStr">
        <is>
          <t>Préventif systématique</t>
        </is>
      </c>
      <c r="I1157" s="7" t="inlineStr">
        <is>
          <t>GP-038</t>
        </is>
      </c>
      <c r="J1157" s="7" t="inlineStr">
        <is>
          <t>Mécanique</t>
        </is>
      </c>
      <c r="K1157" s="7" t="inlineStr">
        <is>
          <t>P3 - Normale</t>
        </is>
      </c>
      <c r="L1157" s="7" t="inlineStr">
        <is>
          <t>Nettoyage optique, contrôle buse et lentille</t>
        </is>
      </c>
      <c r="M1157" s="7" t="n"/>
      <c r="N1157" s="7" t="inlineStr">
        <is>
          <t>Gamme réalisée - RAS</t>
        </is>
      </c>
      <c r="O1157" s="7" t="inlineStr">
        <is>
          <t>Karim Benali</t>
        </is>
      </c>
      <c r="P1157" s="65" t="n">
        <v>46167.71527777778</v>
      </c>
      <c r="Q1157" s="75" t="n">
        <v>46167.39583333334</v>
      </c>
      <c r="R1157" s="75" t="n">
        <v>46167.51041666666</v>
      </c>
      <c r="S1157" s="76" t="n">
        <v>1.4</v>
      </c>
      <c r="T1157" s="76" t="n">
        <v>2.75</v>
      </c>
      <c r="U1157" s="70">
        <f>IF($A1157="","",IFERROR(INDEX('Techniciens'!$F$5:$F$44,MATCH(O1157,'Techniciens'!$B$5:$B$44,0)),'Paramètres'!$AA$10))</f>
        <v/>
      </c>
      <c r="V1157" s="70">
        <f>IF($A1157="","",IF(OR(AC1157="Demandé",AC1157="Planifié",AC1157="Annulé"),0,N(T1157)*N(U1157)))</f>
        <v/>
      </c>
      <c r="W1157" s="70">
        <f>IF($A1157="","",SUMIFS('Mouvements stock'!$H$5:$H$3004,'Mouvements stock'!$I$5:$I$3004,$A1157,'Mouvements stock'!$C$5:$C$3004,"Sortie")-SUMIFS('Mouvements stock'!$H$5:$H$3004,'Mouvements stock'!$I$5:$I$3004,$A1157,'Mouvements stock'!$C$5:$C$3004,"Retour"))</f>
        <v/>
      </c>
      <c r="X1157" s="66" t="n">
        <v>0</v>
      </c>
      <c r="Y1157" s="66" t="n">
        <v>0</v>
      </c>
      <c r="Z1157" s="7" t="n"/>
      <c r="AA1157" s="70">
        <f>IF($A1157="","",N(V1157)+N(W1157)+N(X1157)+N(Y1157))</f>
        <v/>
      </c>
      <c r="AB1157" s="70">
        <f>IF($A1157="","",N(S1157)*'Paramètres'!$AA$9*IFERROR(INDEX('Paramètres'!$O$5:$O$7,MATCH(G1157,'Paramètres'!$N$5:$N$7,0)),0))</f>
        <v/>
      </c>
      <c r="AC1157" s="7" t="inlineStr">
        <is>
          <t>Clôturé</t>
        </is>
      </c>
      <c r="AD1157" s="69">
        <f>IF(OR($A1157="",Q1157=""),"",(Q1157-B1157)*24)</f>
        <v/>
      </c>
      <c r="AE1157" s="69">
        <f>IF(OR(Q1157="",R1157=""),"",(R1157-Q1157)*24)</f>
        <v/>
      </c>
      <c r="AF1157" s="77">
        <f>IF(OR($A1157="",B1157=""),"",YEAR(B1157))</f>
        <v/>
      </c>
      <c r="AG1157" s="77">
        <f>IF(OR($A1157="",B1157=""),"",MONTH(B1157))</f>
        <v/>
      </c>
    </row>
    <row r="1158">
      <c r="A1158" s="7" t="inlineStr">
        <is>
          <t>OT-2026-0303</t>
        </is>
      </c>
      <c r="B1158" s="75" t="n">
        <v>46161.35416666666</v>
      </c>
      <c r="C1158" s="7" t="inlineStr">
        <is>
          <t>Plan préventif</t>
        </is>
      </c>
      <c r="D1158" s="7" t="inlineStr">
        <is>
          <t>EQ-UTI-003</t>
        </is>
      </c>
      <c r="E1158" s="9">
        <f>IF(D1158="","",IFERROR(INDEX('Équipements'!$B$5:$B$304,MATCH(D1158,'Équipements'!$A$5:$A$304,0)),"Code inconnu"))</f>
        <v/>
      </c>
      <c r="F1158" s="9">
        <f>IF(D1158="","",IFERROR(INDEX('Équipements'!$D$5:$D$304,MATCH(D1158,'Équipements'!$A$5:$A$304,0)),""))</f>
        <v/>
      </c>
      <c r="G1158" s="9">
        <f>IF(D1158="","",IFERROR(INDEX('Équipements'!$K$5:$K$304,MATCH(D1158,'Équipements'!$A$5:$A$304,0)),""))</f>
        <v/>
      </c>
      <c r="H1158" s="7" t="inlineStr">
        <is>
          <t>Préventif systématique</t>
        </is>
      </c>
      <c r="I1158" s="7" t="inlineStr">
        <is>
          <t>GP-092</t>
        </is>
      </c>
      <c r="J1158" s="7" t="inlineStr">
        <is>
          <t>Pneumatique</t>
        </is>
      </c>
      <c r="K1158" s="7" t="inlineStr">
        <is>
          <t>P3 - Normale</t>
        </is>
      </c>
      <c r="L1158" s="7" t="inlineStr">
        <is>
          <t>Purge, contrôle fuites et point de rosée</t>
        </is>
      </c>
      <c r="M1158" s="7" t="n"/>
      <c r="N1158" s="7" t="inlineStr">
        <is>
          <t>Gamme réalisée - DI émise pour remplacement pièce</t>
        </is>
      </c>
      <c r="O1158" s="7" t="inlineStr">
        <is>
          <t>Julien Moreau</t>
        </is>
      </c>
      <c r="P1158" s="65" t="n">
        <v>46168.55208333334</v>
      </c>
      <c r="Q1158" s="75" t="n">
        <v>46168.40972222222</v>
      </c>
      <c r="R1158" s="75" t="n">
        <v>46168.47222222222</v>
      </c>
      <c r="S1158" s="76" t="n">
        <v>0</v>
      </c>
      <c r="T1158" s="76" t="n">
        <v>1.5</v>
      </c>
      <c r="U1158" s="70">
        <f>IF($A1158="","",IFERROR(INDEX('Techniciens'!$F$5:$F$44,MATCH(O1158,'Techniciens'!$B$5:$B$44,0)),'Paramètres'!$AA$10))</f>
        <v/>
      </c>
      <c r="V1158" s="70">
        <f>IF($A1158="","",IF(OR(AC1158="Demandé",AC1158="Planifié",AC1158="Annulé"),0,N(T1158)*N(U1158)))</f>
        <v/>
      </c>
      <c r="W1158" s="70">
        <f>IF($A1158="","",SUMIFS('Mouvements stock'!$H$5:$H$3004,'Mouvements stock'!$I$5:$I$3004,$A1158,'Mouvements stock'!$C$5:$C$3004,"Sortie")-SUMIFS('Mouvements stock'!$H$5:$H$3004,'Mouvements stock'!$I$5:$I$3004,$A1158,'Mouvements stock'!$C$5:$C$3004,"Retour"))</f>
        <v/>
      </c>
      <c r="X1158" s="66" t="n">
        <v>0</v>
      </c>
      <c r="Y1158" s="66" t="n">
        <v>0</v>
      </c>
      <c r="Z1158" s="7" t="n"/>
      <c r="AA1158" s="70">
        <f>IF($A1158="","",N(V1158)+N(W1158)+N(X1158)+N(Y1158))</f>
        <v/>
      </c>
      <c r="AB1158" s="70">
        <f>IF($A1158="","",N(S1158)*'Paramètres'!$AA$9*IFERROR(INDEX('Paramètres'!$O$5:$O$7,MATCH(G1158,'Paramètres'!$N$5:$N$7,0)),0))</f>
        <v/>
      </c>
      <c r="AC1158" s="7" t="inlineStr">
        <is>
          <t>Clôturé</t>
        </is>
      </c>
      <c r="AD1158" s="69">
        <f>IF(OR($A1158="",Q1158=""),"",(Q1158-B1158)*24)</f>
        <v/>
      </c>
      <c r="AE1158" s="69">
        <f>IF(OR(Q1158="",R1158=""),"",(R1158-Q1158)*24)</f>
        <v/>
      </c>
      <c r="AF1158" s="77">
        <f>IF(OR($A1158="",B1158=""),"",YEAR(B1158))</f>
        <v/>
      </c>
      <c r="AG1158" s="77">
        <f>IF(OR($A1158="",B1158=""),"",MONTH(B1158))</f>
        <v/>
      </c>
    </row>
    <row r="1159">
      <c r="A1159" s="7" t="inlineStr">
        <is>
          <t>OT-2026-0304</t>
        </is>
      </c>
      <c r="B1159" s="75" t="n">
        <v>46161.47083333333</v>
      </c>
      <c r="C1159" s="7" t="inlineStr">
        <is>
          <t>Opérateur usinage</t>
        </is>
      </c>
      <c r="D1159" s="7" t="inlineStr">
        <is>
          <t>EQ-USI-009</t>
        </is>
      </c>
      <c r="E1159" s="9">
        <f>IF(D1159="","",IFERROR(INDEX('Équipements'!$B$5:$B$304,MATCH(D1159,'Équipements'!$A$5:$A$304,0)),"Code inconnu"))</f>
        <v/>
      </c>
      <c r="F1159" s="9">
        <f>IF(D1159="","",IFERROR(INDEX('Équipements'!$D$5:$D$304,MATCH(D1159,'Équipements'!$A$5:$A$304,0)),""))</f>
        <v/>
      </c>
      <c r="G1159" s="9">
        <f>IF(D1159="","",IFERROR(INDEX('Équipements'!$K$5:$K$304,MATCH(D1159,'Équipements'!$A$5:$A$304,0)),""))</f>
        <v/>
      </c>
      <c r="H1159" s="7" t="inlineStr">
        <is>
          <t>Correctif</t>
        </is>
      </c>
      <c r="I1159" s="7" t="n"/>
      <c r="J1159" s="7" t="inlineStr">
        <is>
          <t>Électrique</t>
        </is>
      </c>
      <c r="K1159" s="7" t="inlineStr">
        <is>
          <t>P2 - Haute</t>
        </is>
      </c>
      <c r="L1159" s="7" t="inlineStr">
        <is>
          <t>Pompe d'arrosage en défaut</t>
        </is>
      </c>
      <c r="M1159" s="7" t="inlineStr">
        <is>
          <t>Défaut électrique</t>
        </is>
      </c>
      <c r="N1159" s="7" t="inlineStr">
        <is>
          <t>Remplacement moteur de pompe</t>
        </is>
      </c>
      <c r="O1159" s="7" t="inlineStr">
        <is>
          <t>Julien Moreau</t>
        </is>
      </c>
      <c r="P1159" s="65" t="n"/>
      <c r="Q1159" s="75" t="n">
        <v>46161.64861111111</v>
      </c>
      <c r="R1159" s="75" t="n">
        <v>46161.74236111111</v>
      </c>
      <c r="S1159" s="76" t="n">
        <v>0</v>
      </c>
      <c r="T1159" s="76" t="n">
        <v>2.25</v>
      </c>
      <c r="U1159" s="70">
        <f>IF($A1159="","",IFERROR(INDEX('Techniciens'!$F$5:$F$44,MATCH(O1159,'Techniciens'!$B$5:$B$44,0)),'Paramètres'!$AA$10))</f>
        <v/>
      </c>
      <c r="V1159" s="70">
        <f>IF($A1159="","",IF(OR(AC1159="Demandé",AC1159="Planifié",AC1159="Annulé"),0,N(T1159)*N(U1159)))</f>
        <v/>
      </c>
      <c r="W1159" s="70">
        <f>IF($A1159="","",SUMIFS('Mouvements stock'!$H$5:$H$3004,'Mouvements stock'!$I$5:$I$3004,$A1159,'Mouvements stock'!$C$5:$C$3004,"Sortie")-SUMIFS('Mouvements stock'!$H$5:$H$3004,'Mouvements stock'!$I$5:$I$3004,$A1159,'Mouvements stock'!$C$5:$C$3004,"Retour"))</f>
        <v/>
      </c>
      <c r="X1159" s="66" t="n">
        <v>0</v>
      </c>
      <c r="Y1159" s="66" t="n">
        <v>0</v>
      </c>
      <c r="Z1159" s="7" t="n"/>
      <c r="AA1159" s="70">
        <f>IF($A1159="","",N(V1159)+N(W1159)+N(X1159)+N(Y1159))</f>
        <v/>
      </c>
      <c r="AB1159" s="70">
        <f>IF($A1159="","",N(S1159)*'Paramètres'!$AA$9*IFERROR(INDEX('Paramètres'!$O$5:$O$7,MATCH(G1159,'Paramètres'!$N$5:$N$7,0)),0))</f>
        <v/>
      </c>
      <c r="AC1159" s="7" t="inlineStr">
        <is>
          <t>Clôturé</t>
        </is>
      </c>
      <c r="AD1159" s="69">
        <f>IF(OR($A1159="",Q1159=""),"",(Q1159-B1159)*24)</f>
        <v/>
      </c>
      <c r="AE1159" s="69">
        <f>IF(OR(Q1159="",R1159=""),"",(R1159-Q1159)*24)</f>
        <v/>
      </c>
      <c r="AF1159" s="77">
        <f>IF(OR($A1159="",B1159=""),"",YEAR(B1159))</f>
        <v/>
      </c>
      <c r="AG1159" s="77">
        <f>IF(OR($A1159="",B1159=""),"",MONTH(B1159))</f>
        <v/>
      </c>
    </row>
    <row r="1160">
      <c r="A1160" s="7" t="inlineStr">
        <is>
          <t>OT-2026-0305</t>
        </is>
      </c>
      <c r="B1160" s="75" t="n">
        <v>46162.38194444445</v>
      </c>
      <c r="C1160" s="7" t="inlineStr">
        <is>
          <t>Plan préventif</t>
        </is>
      </c>
      <c r="D1160" s="7" t="inlineStr">
        <is>
          <t>EQ-UTI-009</t>
        </is>
      </c>
      <c r="E1160" s="9">
        <f>IF(D1160="","",IFERROR(INDEX('Équipements'!$B$5:$B$304,MATCH(D1160,'Équipements'!$A$5:$A$304,0)),"Code inconnu"))</f>
        <v/>
      </c>
      <c r="F1160" s="9">
        <f>IF(D1160="","",IFERROR(INDEX('Équipements'!$D$5:$D$304,MATCH(D1160,'Équipements'!$A$5:$A$304,0)),""))</f>
        <v/>
      </c>
      <c r="G1160" s="9">
        <f>IF(D1160="","",IFERROR(INDEX('Équipements'!$K$5:$K$304,MATCH(D1160,'Équipements'!$A$5:$A$304,0)),""))</f>
        <v/>
      </c>
      <c r="H1160" s="7" t="inlineStr">
        <is>
          <t>Préventif systématique</t>
        </is>
      </c>
      <c r="I1160" s="7" t="inlineStr">
        <is>
          <t>GP-102</t>
        </is>
      </c>
      <c r="J1160" s="7" t="inlineStr">
        <is>
          <t>Mécanique</t>
        </is>
      </c>
      <c r="K1160" s="7" t="inlineStr">
        <is>
          <t>P3 - Normale</t>
        </is>
      </c>
      <c r="L1160" s="7" t="inlineStr">
        <is>
          <t>Nettoyage décanteur et filtre-presse</t>
        </is>
      </c>
      <c r="M1160" s="7" t="n"/>
      <c r="N1160" s="7" t="inlineStr">
        <is>
          <t>Gamme réalisée - RAS</t>
        </is>
      </c>
      <c r="O1160" s="7" t="inlineStr">
        <is>
          <t>Lucas Fontaine</t>
        </is>
      </c>
      <c r="P1160" s="65" t="n">
        <v>46169.76041666666</v>
      </c>
      <c r="Q1160" s="75" t="n">
        <v>46169.27777777778</v>
      </c>
      <c r="R1160" s="75" t="n">
        <v>46169.44444444445</v>
      </c>
      <c r="S1160" s="76" t="n">
        <v>0</v>
      </c>
      <c r="T1160" s="76" t="n">
        <v>4</v>
      </c>
      <c r="U1160" s="70">
        <f>IF($A1160="","",IFERROR(INDEX('Techniciens'!$F$5:$F$44,MATCH(O1160,'Techniciens'!$B$5:$B$44,0)),'Paramètres'!$AA$10))</f>
        <v/>
      </c>
      <c r="V1160" s="70">
        <f>IF($A1160="","",IF(OR(AC1160="Demandé",AC1160="Planifié",AC1160="Annulé"),0,N(T1160)*N(U1160)))</f>
        <v/>
      </c>
      <c r="W1160" s="70">
        <f>IF($A1160="","",SUMIFS('Mouvements stock'!$H$5:$H$3004,'Mouvements stock'!$I$5:$I$3004,$A1160,'Mouvements stock'!$C$5:$C$3004,"Sortie")-SUMIFS('Mouvements stock'!$H$5:$H$3004,'Mouvements stock'!$I$5:$I$3004,$A1160,'Mouvements stock'!$C$5:$C$3004,"Retour"))</f>
        <v/>
      </c>
      <c r="X1160" s="66" t="n">
        <v>0</v>
      </c>
      <c r="Y1160" s="66" t="n">
        <v>0</v>
      </c>
      <c r="Z1160" s="7" t="n"/>
      <c r="AA1160" s="70">
        <f>IF($A1160="","",N(V1160)+N(W1160)+N(X1160)+N(Y1160))</f>
        <v/>
      </c>
      <c r="AB1160" s="70">
        <f>IF($A1160="","",N(S1160)*'Paramètres'!$AA$9*IFERROR(INDEX('Paramètres'!$O$5:$O$7,MATCH(G1160,'Paramètres'!$N$5:$N$7,0)),0))</f>
        <v/>
      </c>
      <c r="AC1160" s="7" t="inlineStr">
        <is>
          <t>Clôturé</t>
        </is>
      </c>
      <c r="AD1160" s="69">
        <f>IF(OR($A1160="",Q1160=""),"",(Q1160-B1160)*24)</f>
        <v/>
      </c>
      <c r="AE1160" s="69">
        <f>IF(OR(Q1160="",R1160=""),"",(R1160-Q1160)*24)</f>
        <v/>
      </c>
      <c r="AF1160" s="77">
        <f>IF(OR($A1160="",B1160=""),"",YEAR(B1160))</f>
        <v/>
      </c>
      <c r="AG1160" s="77">
        <f>IF(OR($A1160="",B1160=""),"",MONTH(B1160))</f>
        <v/>
      </c>
    </row>
    <row r="1161">
      <c r="A1161" s="7" t="inlineStr">
        <is>
          <t>OT-2026-0306</t>
        </is>
      </c>
      <c r="B1161" s="75" t="n">
        <v>46162.48611111111</v>
      </c>
      <c r="C1161" s="7" t="inlineStr">
        <is>
          <t>Plan préventif</t>
        </is>
      </c>
      <c r="D1161" s="7" t="inlineStr">
        <is>
          <t>EQ-USI-007</t>
        </is>
      </c>
      <c r="E1161" s="9">
        <f>IF(D1161="","",IFERROR(INDEX('Équipements'!$B$5:$B$304,MATCH(D1161,'Équipements'!$A$5:$A$304,0)),"Code inconnu"))</f>
        <v/>
      </c>
      <c r="F1161" s="9">
        <f>IF(D1161="","",IFERROR(INDEX('Équipements'!$D$5:$D$304,MATCH(D1161,'Équipements'!$A$5:$A$304,0)),""))</f>
        <v/>
      </c>
      <c r="G1161" s="9">
        <f>IF(D1161="","",IFERROR(INDEX('Équipements'!$K$5:$K$304,MATCH(D1161,'Équipements'!$A$5:$A$304,0)),""))</f>
        <v/>
      </c>
      <c r="H1161" s="7" t="inlineStr">
        <is>
          <t>Préventif systématique</t>
        </is>
      </c>
      <c r="I1161" s="7" t="inlineStr">
        <is>
          <t>GP-025</t>
        </is>
      </c>
      <c r="J1161" s="7" t="inlineStr">
        <is>
          <t>Mécanique</t>
        </is>
      </c>
      <c r="K1161" s="7" t="inlineStr">
        <is>
          <t>P3 - Normale</t>
        </is>
      </c>
      <c r="L1161" s="7" t="inlineStr">
        <is>
          <t>Contrôle niveaux, nettoyage filtres et bac à copeaux</t>
        </is>
      </c>
      <c r="M1161" s="7" t="n"/>
      <c r="N1161" s="7" t="inlineStr">
        <is>
          <t>Gamme réalisée - RAS</t>
        </is>
      </c>
      <c r="O1161" s="7" t="inlineStr">
        <is>
          <t>Lucas Fontaine</t>
        </is>
      </c>
      <c r="P1161" s="65" t="n">
        <v>46169.45833333334</v>
      </c>
      <c r="Q1161" s="75" t="n">
        <v>46169.61458333334</v>
      </c>
      <c r="R1161" s="75" t="n">
        <v>46169.67708333334</v>
      </c>
      <c r="S1161" s="76" t="n">
        <v>1.5</v>
      </c>
      <c r="T1161" s="76" t="n">
        <v>1.5</v>
      </c>
      <c r="U1161" s="70">
        <f>IF($A1161="","",IFERROR(INDEX('Techniciens'!$F$5:$F$44,MATCH(O1161,'Techniciens'!$B$5:$B$44,0)),'Paramètres'!$AA$10))</f>
        <v/>
      </c>
      <c r="V1161" s="70">
        <f>IF($A1161="","",IF(OR(AC1161="Demandé",AC1161="Planifié",AC1161="Annulé"),0,N(T1161)*N(U1161)))</f>
        <v/>
      </c>
      <c r="W1161" s="70">
        <f>IF($A1161="","",SUMIFS('Mouvements stock'!$H$5:$H$3004,'Mouvements stock'!$I$5:$I$3004,$A1161,'Mouvements stock'!$C$5:$C$3004,"Sortie")-SUMIFS('Mouvements stock'!$H$5:$H$3004,'Mouvements stock'!$I$5:$I$3004,$A1161,'Mouvements stock'!$C$5:$C$3004,"Retour"))</f>
        <v/>
      </c>
      <c r="X1161" s="66" t="n">
        <v>0</v>
      </c>
      <c r="Y1161" s="66" t="n">
        <v>0</v>
      </c>
      <c r="Z1161" s="7" t="n"/>
      <c r="AA1161" s="70">
        <f>IF($A1161="","",N(V1161)+N(W1161)+N(X1161)+N(Y1161))</f>
        <v/>
      </c>
      <c r="AB1161" s="70">
        <f>IF($A1161="","",N(S1161)*'Paramètres'!$AA$9*IFERROR(INDEX('Paramètres'!$O$5:$O$7,MATCH(G1161,'Paramètres'!$N$5:$N$7,0)),0))</f>
        <v/>
      </c>
      <c r="AC1161" s="7" t="inlineStr">
        <is>
          <t>Clôturé</t>
        </is>
      </c>
      <c r="AD1161" s="69">
        <f>IF(OR($A1161="",Q1161=""),"",(Q1161-B1161)*24)</f>
        <v/>
      </c>
      <c r="AE1161" s="69">
        <f>IF(OR(Q1161="",R1161=""),"",(R1161-Q1161)*24)</f>
        <v/>
      </c>
      <c r="AF1161" s="77">
        <f>IF(OR($A1161="",B1161=""),"",YEAR(B1161))</f>
        <v/>
      </c>
      <c r="AG1161" s="77">
        <f>IF(OR($A1161="",B1161=""),"",MONTH(B1161))</f>
        <v/>
      </c>
    </row>
    <row r="1162">
      <c r="A1162" s="7" t="inlineStr">
        <is>
          <t>OT-2026-0307</t>
        </is>
      </c>
      <c r="B1162" s="75" t="n">
        <v>46162.52569444444</v>
      </c>
      <c r="C1162" s="7" t="inlineStr">
        <is>
          <t>Céline Morel (cheffe d'atelier)</t>
        </is>
      </c>
      <c r="D1162" s="7" t="inlineStr">
        <is>
          <t>EQ-TOL-002</t>
        </is>
      </c>
      <c r="E1162" s="9">
        <f>IF(D1162="","",IFERROR(INDEX('Équipements'!$B$5:$B$304,MATCH(D1162,'Équipements'!$A$5:$A$304,0)),"Code inconnu"))</f>
        <v/>
      </c>
      <c r="F1162" s="9">
        <f>IF(D1162="","",IFERROR(INDEX('Équipements'!$D$5:$D$304,MATCH(D1162,'Équipements'!$A$5:$A$304,0)),""))</f>
        <v/>
      </c>
      <c r="G1162" s="9">
        <f>IF(D1162="","",IFERROR(INDEX('Équipements'!$K$5:$K$304,MATCH(D1162,'Équipements'!$A$5:$A$304,0)),""))</f>
        <v/>
      </c>
      <c r="H1162" s="7" t="inlineStr">
        <is>
          <t>Correctif</t>
        </is>
      </c>
      <c r="I1162" s="7" t="n"/>
      <c r="J1162" s="7" t="inlineStr">
        <is>
          <t>Électrique</t>
        </is>
      </c>
      <c r="K1162" s="7" t="inlineStr">
        <is>
          <t>P2 - Haute</t>
        </is>
      </c>
      <c r="L1162" s="7" t="inlineStr">
        <is>
          <t>Pédale de commande défectueuse</t>
        </is>
      </c>
      <c r="M1162" s="7" t="inlineStr">
        <is>
          <t>Usure</t>
        </is>
      </c>
      <c r="N1162" s="7" t="inlineStr">
        <is>
          <t>Remplacement contacts de pédale</t>
        </is>
      </c>
      <c r="O1162" s="7" t="inlineStr">
        <is>
          <t>Antoine Mercier</t>
        </is>
      </c>
      <c r="P1162" s="65" t="n"/>
      <c r="Q1162" s="75" t="n">
        <v>46162.65347222222</v>
      </c>
      <c r="R1162" s="75" t="n">
        <v>46165.75836930174</v>
      </c>
      <c r="S1162" s="76" t="n">
        <v>44.2</v>
      </c>
      <c r="T1162" s="76" t="n">
        <v>7.75</v>
      </c>
      <c r="U1162" s="70">
        <f>IF($A1162="","",IFERROR(INDEX('Techniciens'!$F$5:$F$44,MATCH(O1162,'Techniciens'!$B$5:$B$44,0)),'Paramètres'!$AA$10))</f>
        <v/>
      </c>
      <c r="V1162" s="70">
        <f>IF($A1162="","",IF(OR(AC1162="Demandé",AC1162="Planifié",AC1162="Annulé"),0,N(T1162)*N(U1162)))</f>
        <v/>
      </c>
      <c r="W1162" s="70">
        <f>IF($A1162="","",SUMIFS('Mouvements stock'!$H$5:$H$3004,'Mouvements stock'!$I$5:$I$3004,$A1162,'Mouvements stock'!$C$5:$C$3004,"Sortie")-SUMIFS('Mouvements stock'!$H$5:$H$3004,'Mouvements stock'!$I$5:$I$3004,$A1162,'Mouvements stock'!$C$5:$C$3004,"Retour"))</f>
        <v/>
      </c>
      <c r="X1162" s="66" t="n">
        <v>0</v>
      </c>
      <c r="Y1162" s="66" t="n">
        <v>0</v>
      </c>
      <c r="Z1162" s="7" t="n"/>
      <c r="AA1162" s="70">
        <f>IF($A1162="","",N(V1162)+N(W1162)+N(X1162)+N(Y1162))</f>
        <v/>
      </c>
      <c r="AB1162" s="70">
        <f>IF($A1162="","",N(S1162)*'Paramètres'!$AA$9*IFERROR(INDEX('Paramètres'!$O$5:$O$7,MATCH(G1162,'Paramètres'!$N$5:$N$7,0)),0))</f>
        <v/>
      </c>
      <c r="AC1162" s="7" t="inlineStr">
        <is>
          <t>Clôturé</t>
        </is>
      </c>
      <c r="AD1162" s="69">
        <f>IF(OR($A1162="",Q1162=""),"",(Q1162-B1162)*24)</f>
        <v/>
      </c>
      <c r="AE1162" s="69">
        <f>IF(OR(Q1162="",R1162=""),"",(R1162-Q1162)*24)</f>
        <v/>
      </c>
      <c r="AF1162" s="77">
        <f>IF(OR($A1162="",B1162=""),"",YEAR(B1162))</f>
        <v/>
      </c>
      <c r="AG1162" s="77">
        <f>IF(OR($A1162="",B1162=""),"",MONTH(B1162))</f>
        <v/>
      </c>
    </row>
    <row r="1163">
      <c r="A1163" s="7" t="inlineStr">
        <is>
          <t>OT-2026-0308</t>
        </is>
      </c>
      <c r="B1163" s="75" t="n">
        <v>46162.80972222222</v>
      </c>
      <c r="C1163" s="7" t="inlineStr">
        <is>
          <t>Marc Lefèvre</t>
        </is>
      </c>
      <c r="D1163" s="7" t="inlineStr">
        <is>
          <t>EQ-UTI-005</t>
        </is>
      </c>
      <c r="E1163" s="9">
        <f>IF(D1163="","",IFERROR(INDEX('Équipements'!$B$5:$B$304,MATCH(D1163,'Équipements'!$A$5:$A$304,0)),"Code inconnu"))</f>
        <v/>
      </c>
      <c r="F1163" s="9">
        <f>IF(D1163="","",IFERROR(INDEX('Équipements'!$D$5:$D$304,MATCH(D1163,'Équipements'!$A$5:$A$304,0)),""))</f>
        <v/>
      </c>
      <c r="G1163" s="9">
        <f>IF(D1163="","",IFERROR(INDEX('Équipements'!$K$5:$K$304,MATCH(D1163,'Équipements'!$A$5:$A$304,0)),""))</f>
        <v/>
      </c>
      <c r="H1163" s="7" t="inlineStr">
        <is>
          <t>Correctif</t>
        </is>
      </c>
      <c r="I1163" s="7" t="n"/>
      <c r="J1163" s="7" t="inlineStr">
        <is>
          <t>Mécanique</t>
        </is>
      </c>
      <c r="K1163" s="7" t="inlineStr">
        <is>
          <t>P3 - Normale</t>
        </is>
      </c>
      <c r="L1163" s="7" t="inlineStr">
        <is>
          <t>Perte d'aspiration / débit insuffisant</t>
        </is>
      </c>
      <c r="M1163" s="7" t="inlineStr">
        <is>
          <t>Encrassement</t>
        </is>
      </c>
      <c r="N1163" s="7" t="inlineStr">
        <is>
          <t>Remplacement cartouches filtrantes</t>
        </is>
      </c>
      <c r="O1163" s="7" t="inlineStr">
        <is>
          <t>Karim Benali</t>
        </is>
      </c>
      <c r="P1163" s="65" t="n"/>
      <c r="Q1163" s="75" t="n">
        <v>46163.68333333333</v>
      </c>
      <c r="R1163" s="75" t="n">
        <v>46163.98541666667</v>
      </c>
      <c r="S1163" s="76" t="n">
        <v>7.2</v>
      </c>
      <c r="T1163" s="76" t="n">
        <v>7.25</v>
      </c>
      <c r="U1163" s="70">
        <f>IF($A1163="","",IFERROR(INDEX('Techniciens'!$F$5:$F$44,MATCH(O1163,'Techniciens'!$B$5:$B$44,0)),'Paramètres'!$AA$10))</f>
        <v/>
      </c>
      <c r="V1163" s="70">
        <f>IF($A1163="","",IF(OR(AC1163="Demandé",AC1163="Planifié",AC1163="Annulé"),0,N(T1163)*N(U1163)))</f>
        <v/>
      </c>
      <c r="W1163" s="70">
        <f>IF($A1163="","",SUMIFS('Mouvements stock'!$H$5:$H$3004,'Mouvements stock'!$I$5:$I$3004,$A1163,'Mouvements stock'!$C$5:$C$3004,"Sortie")-SUMIFS('Mouvements stock'!$H$5:$H$3004,'Mouvements stock'!$I$5:$I$3004,$A1163,'Mouvements stock'!$C$5:$C$3004,"Retour"))</f>
        <v/>
      </c>
      <c r="X1163" s="66" t="n">
        <v>0</v>
      </c>
      <c r="Y1163" s="66" t="n">
        <v>0</v>
      </c>
      <c r="Z1163" s="7" t="n"/>
      <c r="AA1163" s="70">
        <f>IF($A1163="","",N(V1163)+N(W1163)+N(X1163)+N(Y1163))</f>
        <v/>
      </c>
      <c r="AB1163" s="70">
        <f>IF($A1163="","",N(S1163)*'Paramètres'!$AA$9*IFERROR(INDEX('Paramètres'!$O$5:$O$7,MATCH(G1163,'Paramètres'!$N$5:$N$7,0)),0))</f>
        <v/>
      </c>
      <c r="AC1163" s="7" t="inlineStr">
        <is>
          <t>Clôturé</t>
        </is>
      </c>
      <c r="AD1163" s="69">
        <f>IF(OR($A1163="",Q1163=""),"",(Q1163-B1163)*24)</f>
        <v/>
      </c>
      <c r="AE1163" s="69">
        <f>IF(OR(Q1163="",R1163=""),"",(R1163-Q1163)*24)</f>
        <v/>
      </c>
      <c r="AF1163" s="77">
        <f>IF(OR($A1163="",B1163=""),"",YEAR(B1163))</f>
        <v/>
      </c>
      <c r="AG1163" s="77">
        <f>IF(OR($A1163="",B1163=""),"",MONTH(B1163))</f>
        <v/>
      </c>
    </row>
    <row r="1164">
      <c r="A1164" s="7" t="inlineStr">
        <is>
          <t>OT-2026-0309</t>
        </is>
      </c>
      <c r="B1164" s="75" t="n">
        <v>46163.34722222222</v>
      </c>
      <c r="C1164" s="7" t="inlineStr">
        <is>
          <t>Plan préventif</t>
        </is>
      </c>
      <c r="D1164" s="7" t="inlineStr">
        <is>
          <t>EQ-UTI-002</t>
        </is>
      </c>
      <c r="E1164" s="9">
        <f>IF(D1164="","",IFERROR(INDEX('Équipements'!$B$5:$B$304,MATCH(D1164,'Équipements'!$A$5:$A$304,0)),"Code inconnu"))</f>
        <v/>
      </c>
      <c r="F1164" s="9">
        <f>IF(D1164="","",IFERROR(INDEX('Équipements'!$D$5:$D$304,MATCH(D1164,'Équipements'!$A$5:$A$304,0)),""))</f>
        <v/>
      </c>
      <c r="G1164" s="9">
        <f>IF(D1164="","",IFERROR(INDEX('Équipements'!$K$5:$K$304,MATCH(D1164,'Équipements'!$A$5:$A$304,0)),""))</f>
        <v/>
      </c>
      <c r="H1164" s="7" t="inlineStr">
        <is>
          <t>Préventif systématique</t>
        </is>
      </c>
      <c r="I1164" s="7" t="inlineStr">
        <is>
          <t>GP-090</t>
        </is>
      </c>
      <c r="J1164" s="7" t="inlineStr">
        <is>
          <t>Pneumatique</t>
        </is>
      </c>
      <c r="K1164" s="7" t="inlineStr">
        <is>
          <t>P3 - Normale</t>
        </is>
      </c>
      <c r="L1164" s="7" t="inlineStr">
        <is>
          <t>Purge, contrôle fuites et point de rosée</t>
        </is>
      </c>
      <c r="M1164" s="7" t="n"/>
      <c r="N1164" s="7" t="inlineStr">
        <is>
          <t>Gamme réalisée - RAS</t>
        </is>
      </c>
      <c r="O1164" s="7" t="inlineStr">
        <is>
          <t>Lucas Fontaine</t>
        </is>
      </c>
      <c r="P1164" s="65" t="n">
        <v>46170.63888888889</v>
      </c>
      <c r="Q1164" s="75" t="n">
        <v>46170.34375</v>
      </c>
      <c r="R1164" s="75" t="n">
        <v>46170.39583333334</v>
      </c>
      <c r="S1164" s="76" t="n">
        <v>0</v>
      </c>
      <c r="T1164" s="76" t="n">
        <v>1.25</v>
      </c>
      <c r="U1164" s="70">
        <f>IF($A1164="","",IFERROR(INDEX('Techniciens'!$F$5:$F$44,MATCH(O1164,'Techniciens'!$B$5:$B$44,0)),'Paramètres'!$AA$10))</f>
        <v/>
      </c>
      <c r="V1164" s="70">
        <f>IF($A1164="","",IF(OR(AC1164="Demandé",AC1164="Planifié",AC1164="Annulé"),0,N(T1164)*N(U1164)))</f>
        <v/>
      </c>
      <c r="W1164" s="70">
        <f>IF($A1164="","",SUMIFS('Mouvements stock'!$H$5:$H$3004,'Mouvements stock'!$I$5:$I$3004,$A1164,'Mouvements stock'!$C$5:$C$3004,"Sortie")-SUMIFS('Mouvements stock'!$H$5:$H$3004,'Mouvements stock'!$I$5:$I$3004,$A1164,'Mouvements stock'!$C$5:$C$3004,"Retour"))</f>
        <v/>
      </c>
      <c r="X1164" s="66" t="n">
        <v>0</v>
      </c>
      <c r="Y1164" s="66" t="n">
        <v>0</v>
      </c>
      <c r="Z1164" s="7" t="n"/>
      <c r="AA1164" s="70">
        <f>IF($A1164="","",N(V1164)+N(W1164)+N(X1164)+N(Y1164))</f>
        <v/>
      </c>
      <c r="AB1164" s="70">
        <f>IF($A1164="","",N(S1164)*'Paramètres'!$AA$9*IFERROR(INDEX('Paramètres'!$O$5:$O$7,MATCH(G1164,'Paramètres'!$N$5:$N$7,0)),0))</f>
        <v/>
      </c>
      <c r="AC1164" s="7" t="inlineStr">
        <is>
          <t>Clôturé</t>
        </is>
      </c>
      <c r="AD1164" s="69">
        <f>IF(OR($A1164="",Q1164=""),"",(Q1164-B1164)*24)</f>
        <v/>
      </c>
      <c r="AE1164" s="69">
        <f>IF(OR(Q1164="",R1164=""),"",(R1164-Q1164)*24)</f>
        <v/>
      </c>
      <c r="AF1164" s="77">
        <f>IF(OR($A1164="",B1164=""),"",YEAR(B1164))</f>
        <v/>
      </c>
      <c r="AG1164" s="77">
        <f>IF(OR($A1164="",B1164=""),"",MONTH(B1164))</f>
        <v/>
      </c>
    </row>
    <row r="1165">
      <c r="A1165" s="7" t="inlineStr">
        <is>
          <t>OT-2026-0310</t>
        </is>
      </c>
      <c r="B1165" s="75" t="n">
        <v>46163.40625</v>
      </c>
      <c r="C1165" s="7" t="inlineStr">
        <is>
          <t>Planning réglementaire</t>
        </is>
      </c>
      <c r="D1165" s="7" t="inlineStr">
        <is>
          <t>EQ-LOG-002</t>
        </is>
      </c>
      <c r="E1165" s="9">
        <f>IF(D1165="","",IFERROR(INDEX('Équipements'!$B$5:$B$304,MATCH(D1165,'Équipements'!$A$5:$A$304,0)),"Code inconnu"))</f>
        <v/>
      </c>
      <c r="F1165" s="9">
        <f>IF(D1165="","",IFERROR(INDEX('Équipements'!$D$5:$D$304,MATCH(D1165,'Équipements'!$A$5:$A$304,0)),""))</f>
        <v/>
      </c>
      <c r="G1165" s="9">
        <f>IF(D1165="","",IFERROR(INDEX('Équipements'!$K$5:$K$304,MATCH(D1165,'Équipements'!$A$5:$A$304,0)),""))</f>
        <v/>
      </c>
      <c r="H1165" s="7" t="inlineStr">
        <is>
          <t>Réglementaire</t>
        </is>
      </c>
      <c r="I1165" s="7" t="inlineStr">
        <is>
          <t>CR-005</t>
        </is>
      </c>
      <c r="J1165" s="7" t="inlineStr">
        <is>
          <t>Multi-technique</t>
        </is>
      </c>
      <c r="K1165" s="7" t="inlineStr">
        <is>
          <t>P2 - Haute</t>
        </is>
      </c>
      <c r="L1165" s="7" t="inlineStr">
        <is>
          <t>VGP chariot automoteur</t>
        </is>
      </c>
      <c r="M1165" s="7" t="n"/>
      <c r="N1165" s="7" t="inlineStr">
        <is>
          <t>Contrôle réalisé - observations mineures au rapport</t>
        </is>
      </c>
      <c r="O1165" s="7" t="inlineStr">
        <is>
          <t>Marc Lefèvre</t>
        </is>
      </c>
      <c r="P1165" s="65" t="n">
        <v>46184</v>
      </c>
      <c r="Q1165" s="75" t="n">
        <v>46184.45833333334</v>
      </c>
      <c r="R1165" s="75" t="n">
        <v>46184.48958333334</v>
      </c>
      <c r="S1165" s="76" t="n">
        <v>0</v>
      </c>
      <c r="T1165" s="76" t="n">
        <v>0.75</v>
      </c>
      <c r="U1165" s="70">
        <f>IF($A1165="","",IFERROR(INDEX('Techniciens'!$F$5:$F$44,MATCH(O1165,'Techniciens'!$B$5:$B$44,0)),'Paramètres'!$AA$10))</f>
        <v/>
      </c>
      <c r="V1165" s="70">
        <f>IF($A1165="","",IF(OR(AC1165="Demandé",AC1165="Planifié",AC1165="Annulé"),0,N(T1165)*N(U1165)))</f>
        <v/>
      </c>
      <c r="W1165" s="70">
        <f>IF($A1165="","",SUMIFS('Mouvements stock'!$H$5:$H$3004,'Mouvements stock'!$I$5:$I$3004,$A1165,'Mouvements stock'!$C$5:$C$3004,"Sortie")-SUMIFS('Mouvements stock'!$H$5:$H$3004,'Mouvements stock'!$I$5:$I$3004,$A1165,'Mouvements stock'!$C$5:$C$3004,"Retour"))</f>
        <v/>
      </c>
      <c r="X1165" s="66" t="n">
        <v>0</v>
      </c>
      <c r="Y1165" s="66" t="n">
        <v>130</v>
      </c>
      <c r="Z1165" s="7" t="inlineStr">
        <is>
          <t>CONTROLIS (organisme fictif)</t>
        </is>
      </c>
      <c r="AA1165" s="70">
        <f>IF($A1165="","",N(V1165)+N(W1165)+N(X1165)+N(Y1165))</f>
        <v/>
      </c>
      <c r="AB1165" s="70">
        <f>IF($A1165="","",N(S1165)*'Paramètres'!$AA$9*IFERROR(INDEX('Paramètres'!$O$5:$O$7,MATCH(G1165,'Paramètres'!$N$5:$N$7,0)),0))</f>
        <v/>
      </c>
      <c r="AC1165" s="7" t="inlineStr">
        <is>
          <t>Clôturé</t>
        </is>
      </c>
      <c r="AD1165" s="69">
        <f>IF(OR($A1165="",Q1165=""),"",(Q1165-B1165)*24)</f>
        <v/>
      </c>
      <c r="AE1165" s="69">
        <f>IF(OR(Q1165="",R1165=""),"",(R1165-Q1165)*24)</f>
        <v/>
      </c>
      <c r="AF1165" s="77">
        <f>IF(OR($A1165="",B1165=""),"",YEAR(B1165))</f>
        <v/>
      </c>
      <c r="AG1165" s="77">
        <f>IF(OR($A1165="",B1165=""),"",MONTH(B1165))</f>
        <v/>
      </c>
    </row>
    <row r="1166">
      <c r="A1166" s="7" t="inlineStr">
        <is>
          <t>OT-2026-0311</t>
        </is>
      </c>
      <c r="B1166" s="75" t="n">
        <v>46163.47222222222</v>
      </c>
      <c r="C1166" s="7" t="inlineStr">
        <is>
          <t>Plan préventif</t>
        </is>
      </c>
      <c r="D1166" s="7" t="inlineStr">
        <is>
          <t>EQ-PEI-004</t>
        </is>
      </c>
      <c r="E1166" s="9">
        <f>IF(D1166="","",IFERROR(INDEX('Équipements'!$B$5:$B$304,MATCH(D1166,'Équipements'!$A$5:$A$304,0)),"Code inconnu"))</f>
        <v/>
      </c>
      <c r="F1166" s="9">
        <f>IF(D1166="","",IFERROR(INDEX('Équipements'!$D$5:$D$304,MATCH(D1166,'Équipements'!$A$5:$A$304,0)),""))</f>
        <v/>
      </c>
      <c r="G1166" s="9">
        <f>IF(D1166="","",IFERROR(INDEX('Équipements'!$K$5:$K$304,MATCH(D1166,'Équipements'!$A$5:$A$304,0)),""))</f>
        <v/>
      </c>
      <c r="H1166" s="7" t="inlineStr">
        <is>
          <t>Préventif systématique</t>
        </is>
      </c>
      <c r="I1166" s="7" t="inlineStr">
        <is>
          <t>GP-072</t>
        </is>
      </c>
      <c r="J1166" s="7" t="inlineStr">
        <is>
          <t>Mécanique</t>
        </is>
      </c>
      <c r="K1166" s="7" t="inlineStr">
        <is>
          <t>P3 - Normale</t>
        </is>
      </c>
      <c r="L1166" s="7" t="inlineStr">
        <is>
          <t>Graissage chaîne / galets et contrôle tension</t>
        </is>
      </c>
      <c r="M1166" s="7" t="n"/>
      <c r="N1166" s="7" t="inlineStr">
        <is>
          <t>Gamme réalisée - RAS</t>
        </is>
      </c>
      <c r="O1166" s="7" t="inlineStr">
        <is>
          <t>Karim Benali</t>
        </is>
      </c>
      <c r="P1166" s="65" t="n">
        <v>46170.65625</v>
      </c>
      <c r="Q1166" s="75" t="n">
        <v>46170.59027777778</v>
      </c>
      <c r="R1166" s="75" t="n">
        <v>46170.67361111111</v>
      </c>
      <c r="S1166" s="76" t="n">
        <v>1</v>
      </c>
      <c r="T1166" s="76" t="n">
        <v>2</v>
      </c>
      <c r="U1166" s="70">
        <f>IF($A1166="","",IFERROR(INDEX('Techniciens'!$F$5:$F$44,MATCH(O1166,'Techniciens'!$B$5:$B$44,0)),'Paramètres'!$AA$10))</f>
        <v/>
      </c>
      <c r="V1166" s="70">
        <f>IF($A1166="","",IF(OR(AC1166="Demandé",AC1166="Planifié",AC1166="Annulé"),0,N(T1166)*N(U1166)))</f>
        <v/>
      </c>
      <c r="W1166" s="70">
        <f>IF($A1166="","",SUMIFS('Mouvements stock'!$H$5:$H$3004,'Mouvements stock'!$I$5:$I$3004,$A1166,'Mouvements stock'!$C$5:$C$3004,"Sortie")-SUMIFS('Mouvements stock'!$H$5:$H$3004,'Mouvements stock'!$I$5:$I$3004,$A1166,'Mouvements stock'!$C$5:$C$3004,"Retour"))</f>
        <v/>
      </c>
      <c r="X1166" s="66" t="n">
        <v>0</v>
      </c>
      <c r="Y1166" s="66" t="n">
        <v>0</v>
      </c>
      <c r="Z1166" s="7" t="n"/>
      <c r="AA1166" s="70">
        <f>IF($A1166="","",N(V1166)+N(W1166)+N(X1166)+N(Y1166))</f>
        <v/>
      </c>
      <c r="AB1166" s="70">
        <f>IF($A1166="","",N(S1166)*'Paramètres'!$AA$9*IFERROR(INDEX('Paramètres'!$O$5:$O$7,MATCH(G1166,'Paramètres'!$N$5:$N$7,0)),0))</f>
        <v/>
      </c>
      <c r="AC1166" s="7" t="inlineStr">
        <is>
          <t>Clôturé</t>
        </is>
      </c>
      <c r="AD1166" s="69">
        <f>IF(OR($A1166="",Q1166=""),"",(Q1166-B1166)*24)</f>
        <v/>
      </c>
      <c r="AE1166" s="69">
        <f>IF(OR(Q1166="",R1166=""),"",(R1166-Q1166)*24)</f>
        <v/>
      </c>
      <c r="AF1166" s="77">
        <f>IF(OR($A1166="",B1166=""),"",YEAR(B1166))</f>
        <v/>
      </c>
      <c r="AG1166" s="77">
        <f>IF(OR($A1166="",B1166=""),"",MONTH(B1166))</f>
        <v/>
      </c>
    </row>
    <row r="1167">
      <c r="A1167" s="7" t="inlineStr">
        <is>
          <t>OT-2026-0312</t>
        </is>
      </c>
      <c r="B1167" s="75" t="n">
        <v>46163.86527777778</v>
      </c>
      <c r="C1167" s="7" t="inlineStr">
        <is>
          <t>Éric Laurent (chef d'atelier)</t>
        </is>
      </c>
      <c r="D1167" s="7" t="inlineStr">
        <is>
          <t>EQ-USI-003</t>
        </is>
      </c>
      <c r="E1167" s="9">
        <f>IF(D1167="","",IFERROR(INDEX('Équipements'!$B$5:$B$304,MATCH(D1167,'Équipements'!$A$5:$A$304,0)),"Code inconnu"))</f>
        <v/>
      </c>
      <c r="F1167" s="9">
        <f>IF(D1167="","",IFERROR(INDEX('Équipements'!$D$5:$D$304,MATCH(D1167,'Équipements'!$A$5:$A$304,0)),""))</f>
        <v/>
      </c>
      <c r="G1167" s="9">
        <f>IF(D1167="","",IFERROR(INDEX('Équipements'!$K$5:$K$304,MATCH(D1167,'Équipements'!$A$5:$A$304,0)),""))</f>
        <v/>
      </c>
      <c r="H1167" s="7" t="inlineStr">
        <is>
          <t>Correctif</t>
        </is>
      </c>
      <c r="I1167" s="7" t="n"/>
      <c r="J1167" s="7" t="inlineStr">
        <is>
          <t>Mécanique</t>
        </is>
      </c>
      <c r="K1167" s="7" t="inlineStr">
        <is>
          <t>P2 - Haute</t>
        </is>
      </c>
      <c r="L1167" s="7" t="inlineStr">
        <is>
          <t>Alarme surchauffe broche</t>
        </is>
      </c>
      <c r="M1167" s="7" t="inlineStr">
        <is>
          <t>Défaut lubrification</t>
        </is>
      </c>
      <c r="N1167" s="7" t="inlineStr">
        <is>
          <t>Nettoyage circuit de refroidissement broche, appoint huile, contrôle groupe froid</t>
        </is>
      </c>
      <c r="O1167" s="7" t="inlineStr">
        <is>
          <t>Antoine Mercier</t>
        </is>
      </c>
      <c r="P1167" s="65" t="n"/>
      <c r="Q1167" s="75" t="n">
        <v>46164.09652777778</v>
      </c>
      <c r="R1167" s="75" t="n">
        <v>46164.35694444444</v>
      </c>
      <c r="S1167" s="76" t="n">
        <v>11.8</v>
      </c>
      <c r="T1167" s="76" t="n">
        <v>6.25</v>
      </c>
      <c r="U1167" s="70">
        <f>IF($A1167="","",IFERROR(INDEX('Techniciens'!$F$5:$F$44,MATCH(O1167,'Techniciens'!$B$5:$B$44,0)),'Paramètres'!$AA$10))</f>
        <v/>
      </c>
      <c r="V1167" s="70">
        <f>IF($A1167="","",IF(OR(AC1167="Demandé",AC1167="Planifié",AC1167="Annulé"),0,N(T1167)*N(U1167)))</f>
        <v/>
      </c>
      <c r="W1167" s="70">
        <f>IF($A1167="","",SUMIFS('Mouvements stock'!$H$5:$H$3004,'Mouvements stock'!$I$5:$I$3004,$A1167,'Mouvements stock'!$C$5:$C$3004,"Sortie")-SUMIFS('Mouvements stock'!$H$5:$H$3004,'Mouvements stock'!$I$5:$I$3004,$A1167,'Mouvements stock'!$C$5:$C$3004,"Retour"))</f>
        <v/>
      </c>
      <c r="X1167" s="66" t="n">
        <v>0</v>
      </c>
      <c r="Y1167" s="66" t="n">
        <v>660</v>
      </c>
      <c r="Z1167" s="7" t="inlineStr">
        <is>
          <t>SAV Machines-Outils Atlantique</t>
        </is>
      </c>
      <c r="AA1167" s="70">
        <f>IF($A1167="","",N(V1167)+N(W1167)+N(X1167)+N(Y1167))</f>
        <v/>
      </c>
      <c r="AB1167" s="70">
        <f>IF($A1167="","",N(S1167)*'Paramètres'!$AA$9*IFERROR(INDEX('Paramètres'!$O$5:$O$7,MATCH(G1167,'Paramètres'!$N$5:$N$7,0)),0))</f>
        <v/>
      </c>
      <c r="AC1167" s="7" t="inlineStr">
        <is>
          <t>Clôturé</t>
        </is>
      </c>
      <c r="AD1167" s="69">
        <f>IF(OR($A1167="",Q1167=""),"",(Q1167-B1167)*24)</f>
        <v/>
      </c>
      <c r="AE1167" s="69">
        <f>IF(OR(Q1167="",R1167=""),"",(R1167-Q1167)*24)</f>
        <v/>
      </c>
      <c r="AF1167" s="77">
        <f>IF(OR($A1167="",B1167=""),"",YEAR(B1167))</f>
        <v/>
      </c>
      <c r="AG1167" s="77">
        <f>IF(OR($A1167="",B1167=""),"",MONTH(B1167))</f>
        <v/>
      </c>
    </row>
    <row r="1168">
      <c r="A1168" s="7" t="inlineStr">
        <is>
          <t>OT-2026-0313</t>
        </is>
      </c>
      <c r="B1168" s="75" t="n">
        <v>46165.73541666667</v>
      </c>
      <c r="C1168" s="7" t="inlineStr">
        <is>
          <t>Éric Laurent (chef d'atelier)</t>
        </is>
      </c>
      <c r="D1168" s="7" t="inlineStr">
        <is>
          <t>EQ-USI-012</t>
        </is>
      </c>
      <c r="E1168" s="9">
        <f>IF(D1168="","",IFERROR(INDEX('Équipements'!$B$5:$B$304,MATCH(D1168,'Équipements'!$A$5:$A$304,0)),"Code inconnu"))</f>
        <v/>
      </c>
      <c r="F1168" s="9">
        <f>IF(D1168="","",IFERROR(INDEX('Équipements'!$D$5:$D$304,MATCH(D1168,'Équipements'!$A$5:$A$304,0)),""))</f>
        <v/>
      </c>
      <c r="G1168" s="9">
        <f>IF(D1168="","",IFERROR(INDEX('Équipements'!$K$5:$K$304,MATCH(D1168,'Équipements'!$A$5:$A$304,0)),""))</f>
        <v/>
      </c>
      <c r="H1168" s="7" t="inlineStr">
        <is>
          <t>Correctif</t>
        </is>
      </c>
      <c r="I1168" s="7" t="n"/>
      <c r="J1168" s="7" t="inlineStr">
        <is>
          <t>Automatisme</t>
        </is>
      </c>
      <c r="K1168" s="7" t="inlineStr">
        <is>
          <t>P2 - Haute</t>
        </is>
      </c>
      <c r="L1168" s="7" t="inlineStr">
        <is>
          <t>Perte de communication automate / robot</t>
        </is>
      </c>
      <c r="M1168" s="7" t="inlineStr">
        <is>
          <t>Défaut logiciel/automate</t>
        </is>
      </c>
      <c r="N1168" s="7" t="inlineStr">
        <is>
          <t>Remplacement câble réseau, redémarrage, sauvegarde</t>
        </is>
      </c>
      <c r="O1168" s="7" t="inlineStr">
        <is>
          <t>Julien Moreau</t>
        </is>
      </c>
      <c r="P1168" s="65" t="n"/>
      <c r="Q1168" s="75" t="n">
        <v>46165.91944444444</v>
      </c>
      <c r="R1168" s="75" t="n">
        <v>46167.53046728738</v>
      </c>
      <c r="S1168" s="76" t="n">
        <v>0</v>
      </c>
      <c r="T1168" s="76" t="n">
        <v>2.75</v>
      </c>
      <c r="U1168" s="70">
        <f>IF($A1168="","",IFERROR(INDEX('Techniciens'!$F$5:$F$44,MATCH(O1168,'Techniciens'!$B$5:$B$44,0)),'Paramètres'!$AA$10))</f>
        <v/>
      </c>
      <c r="V1168" s="70">
        <f>IF($A1168="","",IF(OR(AC1168="Demandé",AC1168="Planifié",AC1168="Annulé"),0,N(T1168)*N(U1168)))</f>
        <v/>
      </c>
      <c r="W1168" s="70">
        <f>IF($A1168="","",SUMIFS('Mouvements stock'!$H$5:$H$3004,'Mouvements stock'!$I$5:$I$3004,$A1168,'Mouvements stock'!$C$5:$C$3004,"Sortie")-SUMIFS('Mouvements stock'!$H$5:$H$3004,'Mouvements stock'!$I$5:$I$3004,$A1168,'Mouvements stock'!$C$5:$C$3004,"Retour"))</f>
        <v/>
      </c>
      <c r="X1168" s="66" t="n">
        <v>0</v>
      </c>
      <c r="Y1168" s="66" t="n">
        <v>740</v>
      </c>
      <c r="Z1168" s="7" t="inlineStr">
        <is>
          <t>AutomaSys Ingénierie</t>
        </is>
      </c>
      <c r="AA1168" s="70">
        <f>IF($A1168="","",N(V1168)+N(W1168)+N(X1168)+N(Y1168))</f>
        <v/>
      </c>
      <c r="AB1168" s="70">
        <f>IF($A1168="","",N(S1168)*'Paramètres'!$AA$9*IFERROR(INDEX('Paramètres'!$O$5:$O$7,MATCH(G1168,'Paramètres'!$N$5:$N$7,0)),0))</f>
        <v/>
      </c>
      <c r="AC1168" s="7" t="inlineStr">
        <is>
          <t>Clôturé</t>
        </is>
      </c>
      <c r="AD1168" s="69">
        <f>IF(OR($A1168="",Q1168=""),"",(Q1168-B1168)*24)</f>
        <v/>
      </c>
      <c r="AE1168" s="69">
        <f>IF(OR(Q1168="",R1168=""),"",(R1168-Q1168)*24)</f>
        <v/>
      </c>
      <c r="AF1168" s="77">
        <f>IF(OR($A1168="",B1168=""),"",YEAR(B1168))</f>
        <v/>
      </c>
      <c r="AG1168" s="77">
        <f>IF(OR($A1168="",B1168=""),"",MONTH(B1168))</f>
        <v/>
      </c>
    </row>
    <row r="1169">
      <c r="A1169" s="7" t="inlineStr">
        <is>
          <t>OT-2026-0314</t>
        </is>
      </c>
      <c r="B1169" s="75" t="n">
        <v>46167.38541666666</v>
      </c>
      <c r="C1169" s="7" t="inlineStr">
        <is>
          <t>Plan préventif</t>
        </is>
      </c>
      <c r="D1169" s="7" t="inlineStr">
        <is>
          <t>EQ-SOU-005</t>
        </is>
      </c>
      <c r="E1169" s="9">
        <f>IF(D1169="","",IFERROR(INDEX('Équipements'!$B$5:$B$304,MATCH(D1169,'Équipements'!$A$5:$A$304,0)),"Code inconnu"))</f>
        <v/>
      </c>
      <c r="F1169" s="9">
        <f>IF(D1169="","",IFERROR(INDEX('Équipements'!$D$5:$D$304,MATCH(D1169,'Équipements'!$A$5:$A$304,0)),""))</f>
        <v/>
      </c>
      <c r="G1169" s="9">
        <f>IF(D1169="","",IFERROR(INDEX('Équipements'!$K$5:$K$304,MATCH(D1169,'Équipements'!$A$5:$A$304,0)),""))</f>
        <v/>
      </c>
      <c r="H1169" s="7" t="inlineStr">
        <is>
          <t>Préventif systématique</t>
        </is>
      </c>
      <c r="I1169" s="7" t="inlineStr">
        <is>
          <t>GP-064</t>
        </is>
      </c>
      <c r="J1169" s="7" t="inlineStr">
        <is>
          <t>Mécanique</t>
        </is>
      </c>
      <c r="K1169" s="7" t="inlineStr">
        <is>
          <t>P3 - Normale</t>
        </is>
      </c>
      <c r="L1169" s="7" t="inlineStr">
        <is>
          <t>Remplacement filtres et nettoyage batteries</t>
        </is>
      </c>
      <c r="M1169" s="7" t="n"/>
      <c r="N1169" s="7" t="inlineStr">
        <is>
          <t>Gamme réalisée - RAS</t>
        </is>
      </c>
      <c r="O1169" s="7" t="inlineStr">
        <is>
          <t>Antoine Mercier</t>
        </is>
      </c>
      <c r="P1169" s="65" t="n">
        <v>46174.38541666666</v>
      </c>
      <c r="Q1169" s="75" t="n">
        <v>46174.34722222222</v>
      </c>
      <c r="R1169" s="75" t="n">
        <v>46174.44097222222</v>
      </c>
      <c r="S1169" s="76" t="n">
        <v>0</v>
      </c>
      <c r="T1169" s="76" t="n">
        <v>2.25</v>
      </c>
      <c r="U1169" s="70">
        <f>IF($A1169="","",IFERROR(INDEX('Techniciens'!$F$5:$F$44,MATCH(O1169,'Techniciens'!$B$5:$B$44,0)),'Paramètres'!$AA$10))</f>
        <v/>
      </c>
      <c r="V1169" s="70">
        <f>IF($A1169="","",IF(OR(AC1169="Demandé",AC1169="Planifié",AC1169="Annulé"),0,N(T1169)*N(U1169)))</f>
        <v/>
      </c>
      <c r="W1169" s="70">
        <f>IF($A1169="","",SUMIFS('Mouvements stock'!$H$5:$H$3004,'Mouvements stock'!$I$5:$I$3004,$A1169,'Mouvements stock'!$C$5:$C$3004,"Sortie")-SUMIFS('Mouvements stock'!$H$5:$H$3004,'Mouvements stock'!$I$5:$I$3004,$A1169,'Mouvements stock'!$C$5:$C$3004,"Retour"))</f>
        <v/>
      </c>
      <c r="X1169" s="66" t="n">
        <v>0</v>
      </c>
      <c r="Y1169" s="66" t="n">
        <v>0</v>
      </c>
      <c r="Z1169" s="7" t="n"/>
      <c r="AA1169" s="70">
        <f>IF($A1169="","",N(V1169)+N(W1169)+N(X1169)+N(Y1169))</f>
        <v/>
      </c>
      <c r="AB1169" s="70">
        <f>IF($A1169="","",N(S1169)*'Paramètres'!$AA$9*IFERROR(INDEX('Paramètres'!$O$5:$O$7,MATCH(G1169,'Paramètres'!$N$5:$N$7,0)),0))</f>
        <v/>
      </c>
      <c r="AC1169" s="7" t="inlineStr">
        <is>
          <t>Clôturé</t>
        </is>
      </c>
      <c r="AD1169" s="69">
        <f>IF(OR($A1169="",Q1169=""),"",(Q1169-B1169)*24)</f>
        <v/>
      </c>
      <c r="AE1169" s="69">
        <f>IF(OR(Q1169="",R1169=""),"",(R1169-Q1169)*24)</f>
        <v/>
      </c>
      <c r="AF1169" s="77">
        <f>IF(OR($A1169="",B1169=""),"",YEAR(B1169))</f>
        <v/>
      </c>
      <c r="AG1169" s="77">
        <f>IF(OR($A1169="",B1169=""),"",MONTH(B1169))</f>
        <v/>
      </c>
    </row>
    <row r="1170">
      <c r="A1170" s="7" t="inlineStr">
        <is>
          <t>OT-2026-0315</t>
        </is>
      </c>
      <c r="B1170" s="75" t="n">
        <v>46167.39513888889</v>
      </c>
      <c r="C1170" s="7" t="inlineStr">
        <is>
          <t>Éric Laurent (chef d'atelier)</t>
        </is>
      </c>
      <c r="D1170" s="7" t="inlineStr">
        <is>
          <t>EQ-USI-001</t>
        </is>
      </c>
      <c r="E1170" s="9">
        <f>IF(D1170="","",IFERROR(INDEX('Équipements'!$B$5:$B$304,MATCH(D1170,'Équipements'!$A$5:$A$304,0)),"Code inconnu"))</f>
        <v/>
      </c>
      <c r="F1170" s="9">
        <f>IF(D1170="","",IFERROR(INDEX('Équipements'!$D$5:$D$304,MATCH(D1170,'Équipements'!$A$5:$A$304,0)),""))</f>
        <v/>
      </c>
      <c r="G1170" s="9">
        <f>IF(D1170="","",IFERROR(INDEX('Équipements'!$K$5:$K$304,MATCH(D1170,'Équipements'!$A$5:$A$304,0)),""))</f>
        <v/>
      </c>
      <c r="H1170" s="7" t="inlineStr">
        <is>
          <t>Correctif</t>
        </is>
      </c>
      <c r="I1170" s="7" t="n"/>
      <c r="J1170" s="7" t="inlineStr">
        <is>
          <t>Mécanique</t>
        </is>
      </c>
      <c r="K1170" s="7" t="inlineStr">
        <is>
          <t>P1 - Urgent</t>
        </is>
      </c>
      <c r="L1170" s="7" t="inlineStr">
        <is>
          <t>Alarme surchauffe broche</t>
        </is>
      </c>
      <c r="M1170" s="7" t="inlineStr">
        <is>
          <t>Défaut lubrification</t>
        </is>
      </c>
      <c r="N1170" s="7" t="inlineStr">
        <is>
          <t>Nettoyage circuit de refroidissement broche, appoint huile, contrôle groupe froid</t>
        </is>
      </c>
      <c r="O1170" s="7" t="inlineStr">
        <is>
          <t>Lucas Fontaine</t>
        </is>
      </c>
      <c r="P1170" s="65" t="n"/>
      <c r="Q1170" s="75" t="n">
        <v>46167.40833333333</v>
      </c>
      <c r="R1170" s="75" t="n">
        <v>46167.48125</v>
      </c>
      <c r="S1170" s="76" t="n">
        <v>2.1</v>
      </c>
      <c r="T1170" s="76" t="n">
        <v>1.75</v>
      </c>
      <c r="U1170" s="70">
        <f>IF($A1170="","",IFERROR(INDEX('Techniciens'!$F$5:$F$44,MATCH(O1170,'Techniciens'!$B$5:$B$44,0)),'Paramètres'!$AA$10))</f>
        <v/>
      </c>
      <c r="V1170" s="70">
        <f>IF($A1170="","",IF(OR(AC1170="Demandé",AC1170="Planifié",AC1170="Annulé"),0,N(T1170)*N(U1170)))</f>
        <v/>
      </c>
      <c r="W1170" s="70">
        <f>IF($A1170="","",SUMIFS('Mouvements stock'!$H$5:$H$3004,'Mouvements stock'!$I$5:$I$3004,$A1170,'Mouvements stock'!$C$5:$C$3004,"Sortie")-SUMIFS('Mouvements stock'!$H$5:$H$3004,'Mouvements stock'!$I$5:$I$3004,$A1170,'Mouvements stock'!$C$5:$C$3004,"Retour"))</f>
        <v/>
      </c>
      <c r="X1170" s="66" t="n">
        <v>0</v>
      </c>
      <c r="Y1170" s="66" t="n">
        <v>0</v>
      </c>
      <c r="Z1170" s="7" t="n"/>
      <c r="AA1170" s="70">
        <f>IF($A1170="","",N(V1170)+N(W1170)+N(X1170)+N(Y1170))</f>
        <v/>
      </c>
      <c r="AB1170" s="70">
        <f>IF($A1170="","",N(S1170)*'Paramètres'!$AA$9*IFERROR(INDEX('Paramètres'!$O$5:$O$7,MATCH(G1170,'Paramètres'!$N$5:$N$7,0)),0))</f>
        <v/>
      </c>
      <c r="AC1170" s="7" t="inlineStr">
        <is>
          <t>Clôturé</t>
        </is>
      </c>
      <c r="AD1170" s="69">
        <f>IF(OR($A1170="",Q1170=""),"",(Q1170-B1170)*24)</f>
        <v/>
      </c>
      <c r="AE1170" s="69">
        <f>IF(OR(Q1170="",R1170=""),"",(R1170-Q1170)*24)</f>
        <v/>
      </c>
      <c r="AF1170" s="77">
        <f>IF(OR($A1170="",B1170=""),"",YEAR(B1170))</f>
        <v/>
      </c>
      <c r="AG1170" s="77">
        <f>IF(OR($A1170="",B1170=""),"",MONTH(B1170))</f>
        <v/>
      </c>
    </row>
    <row r="1171">
      <c r="A1171" s="7" t="inlineStr">
        <is>
          <t>OT-2026-0316</t>
        </is>
      </c>
      <c r="B1171" s="75" t="n">
        <v>46167.39583333334</v>
      </c>
      <c r="C1171" s="7" t="inlineStr">
        <is>
          <t>Plan préventif</t>
        </is>
      </c>
      <c r="D1171" s="7" t="inlineStr">
        <is>
          <t>EQ-USI-005</t>
        </is>
      </c>
      <c r="E1171" s="9">
        <f>IF(D1171="","",IFERROR(INDEX('Équipements'!$B$5:$B$304,MATCH(D1171,'Équipements'!$A$5:$A$304,0)),"Code inconnu"))</f>
        <v/>
      </c>
      <c r="F1171" s="9">
        <f>IF(D1171="","",IFERROR(INDEX('Équipements'!$D$5:$D$304,MATCH(D1171,'Équipements'!$A$5:$A$304,0)),""))</f>
        <v/>
      </c>
      <c r="G1171" s="9">
        <f>IF(D1171="","",IFERROR(INDEX('Équipements'!$K$5:$K$304,MATCH(D1171,'Équipements'!$A$5:$A$304,0)),""))</f>
        <v/>
      </c>
      <c r="H1171" s="7" t="inlineStr">
        <is>
          <t>Préventif systématique</t>
        </is>
      </c>
      <c r="I1171" s="7" t="inlineStr">
        <is>
          <t>GP-017</t>
        </is>
      </c>
      <c r="J1171" s="7" t="inlineStr">
        <is>
          <t>Mécanique</t>
        </is>
      </c>
      <c r="K1171" s="7" t="inlineStr">
        <is>
          <t>P3 - Normale</t>
        </is>
      </c>
      <c r="L1171" s="7" t="inlineStr">
        <is>
          <t>Contrôle niveaux, nettoyage filtres et bac à copeaux</t>
        </is>
      </c>
      <c r="M1171" s="7" t="n"/>
      <c r="N1171" s="7" t="inlineStr">
        <is>
          <t>Gamme réalisée - RAS</t>
        </is>
      </c>
      <c r="O1171" s="7" t="inlineStr">
        <is>
          <t>Karim Benali</t>
        </is>
      </c>
      <c r="P1171" s="65" t="n">
        <v>46174.54166666666</v>
      </c>
      <c r="Q1171" s="75" t="n">
        <v>46174.25694444445</v>
      </c>
      <c r="R1171" s="75" t="n">
        <v>46174.32986111111</v>
      </c>
      <c r="S1171" s="76" t="n">
        <v>0</v>
      </c>
      <c r="T1171" s="76" t="n">
        <v>1.75</v>
      </c>
      <c r="U1171" s="70">
        <f>IF($A1171="","",IFERROR(INDEX('Techniciens'!$F$5:$F$44,MATCH(O1171,'Techniciens'!$B$5:$B$44,0)),'Paramètres'!$AA$10))</f>
        <v/>
      </c>
      <c r="V1171" s="70">
        <f>IF($A1171="","",IF(OR(AC1171="Demandé",AC1171="Planifié",AC1171="Annulé"),0,N(T1171)*N(U1171)))</f>
        <v/>
      </c>
      <c r="W1171" s="70">
        <f>IF($A1171="","",SUMIFS('Mouvements stock'!$H$5:$H$3004,'Mouvements stock'!$I$5:$I$3004,$A1171,'Mouvements stock'!$C$5:$C$3004,"Sortie")-SUMIFS('Mouvements stock'!$H$5:$H$3004,'Mouvements stock'!$I$5:$I$3004,$A1171,'Mouvements stock'!$C$5:$C$3004,"Retour"))</f>
        <v/>
      </c>
      <c r="X1171" s="66" t="n">
        <v>0</v>
      </c>
      <c r="Y1171" s="66" t="n">
        <v>0</v>
      </c>
      <c r="Z1171" s="7" t="n"/>
      <c r="AA1171" s="70">
        <f>IF($A1171="","",N(V1171)+N(W1171)+N(X1171)+N(Y1171))</f>
        <v/>
      </c>
      <c r="AB1171" s="70">
        <f>IF($A1171="","",N(S1171)*'Paramètres'!$AA$9*IFERROR(INDEX('Paramètres'!$O$5:$O$7,MATCH(G1171,'Paramètres'!$N$5:$N$7,0)),0))</f>
        <v/>
      </c>
      <c r="AC1171" s="7" t="inlineStr">
        <is>
          <t>Clôturé</t>
        </is>
      </c>
      <c r="AD1171" s="69">
        <f>IF(OR($A1171="",Q1171=""),"",(Q1171-B1171)*24)</f>
        <v/>
      </c>
      <c r="AE1171" s="69">
        <f>IF(OR(Q1171="",R1171=""),"",(R1171-Q1171)*24)</f>
        <v/>
      </c>
      <c r="AF1171" s="77">
        <f>IF(OR($A1171="",B1171=""),"",YEAR(B1171))</f>
        <v/>
      </c>
      <c r="AG1171" s="77">
        <f>IF(OR($A1171="",B1171=""),"",MONTH(B1171))</f>
        <v/>
      </c>
    </row>
    <row r="1172">
      <c r="A1172" s="7" t="inlineStr">
        <is>
          <t>OT-2026-0317</t>
        </is>
      </c>
      <c r="B1172" s="75" t="n">
        <v>46167.39583333334</v>
      </c>
      <c r="C1172" s="7" t="inlineStr">
        <is>
          <t>Plan préventif</t>
        </is>
      </c>
      <c r="D1172" s="7" t="inlineStr">
        <is>
          <t>EQ-USI-007</t>
        </is>
      </c>
      <c r="E1172" s="9">
        <f>IF(D1172="","",IFERROR(INDEX('Équipements'!$B$5:$B$304,MATCH(D1172,'Équipements'!$A$5:$A$304,0)),"Code inconnu"))</f>
        <v/>
      </c>
      <c r="F1172" s="9">
        <f>IF(D1172="","",IFERROR(INDEX('Équipements'!$D$5:$D$304,MATCH(D1172,'Équipements'!$A$5:$A$304,0)),""))</f>
        <v/>
      </c>
      <c r="G1172" s="9">
        <f>IF(D1172="","",IFERROR(INDEX('Équipements'!$K$5:$K$304,MATCH(D1172,'Équipements'!$A$5:$A$304,0)),""))</f>
        <v/>
      </c>
      <c r="H1172" s="7" t="inlineStr">
        <is>
          <t>Préventif systématique</t>
        </is>
      </c>
      <c r="I1172" s="7" t="inlineStr">
        <is>
          <t>GP-027</t>
        </is>
      </c>
      <c r="J1172" s="7" t="inlineStr">
        <is>
          <t>Hydraulique</t>
        </is>
      </c>
      <c r="K1172" s="7" t="inlineStr">
        <is>
          <t>P3 - Normale</t>
        </is>
      </c>
      <c r="L1172" s="7" t="inlineStr">
        <is>
          <t>Vidange groupe hydraulique et remplacement filtres</t>
        </is>
      </c>
      <c r="M1172" s="7" t="n"/>
      <c r="N1172" s="7" t="inlineStr">
        <is>
          <t>Gamme réalisée - RAS</t>
        </is>
      </c>
      <c r="O1172" s="7" t="inlineStr">
        <is>
          <t>Antoine Mercier</t>
        </is>
      </c>
      <c r="P1172" s="65" t="n">
        <v>46174.77083333334</v>
      </c>
      <c r="Q1172" s="75" t="n">
        <v>46174.5</v>
      </c>
      <c r="R1172" s="75" t="n">
        <v>46174.65625</v>
      </c>
      <c r="S1172" s="76" t="n">
        <v>3.8</v>
      </c>
      <c r="T1172" s="76" t="n">
        <v>3.75</v>
      </c>
      <c r="U1172" s="70">
        <f>IF($A1172="","",IFERROR(INDEX('Techniciens'!$F$5:$F$44,MATCH(O1172,'Techniciens'!$B$5:$B$44,0)),'Paramètres'!$AA$10))</f>
        <v/>
      </c>
      <c r="V1172" s="70">
        <f>IF($A1172="","",IF(OR(AC1172="Demandé",AC1172="Planifié",AC1172="Annulé"),0,N(T1172)*N(U1172)))</f>
        <v/>
      </c>
      <c r="W1172" s="70">
        <f>IF($A1172="","",SUMIFS('Mouvements stock'!$H$5:$H$3004,'Mouvements stock'!$I$5:$I$3004,$A1172,'Mouvements stock'!$C$5:$C$3004,"Sortie")-SUMIFS('Mouvements stock'!$H$5:$H$3004,'Mouvements stock'!$I$5:$I$3004,$A1172,'Mouvements stock'!$C$5:$C$3004,"Retour"))</f>
        <v/>
      </c>
      <c r="X1172" s="66" t="n">
        <v>0</v>
      </c>
      <c r="Y1172" s="66" t="n">
        <v>0</v>
      </c>
      <c r="Z1172" s="7" t="n"/>
      <c r="AA1172" s="70">
        <f>IF($A1172="","",N(V1172)+N(W1172)+N(X1172)+N(Y1172))</f>
        <v/>
      </c>
      <c r="AB1172" s="70">
        <f>IF($A1172="","",N(S1172)*'Paramètres'!$AA$9*IFERROR(INDEX('Paramètres'!$O$5:$O$7,MATCH(G1172,'Paramètres'!$N$5:$N$7,0)),0))</f>
        <v/>
      </c>
      <c r="AC1172" s="7" t="inlineStr">
        <is>
          <t>Clôturé</t>
        </is>
      </c>
      <c r="AD1172" s="69">
        <f>IF(OR($A1172="",Q1172=""),"",(Q1172-B1172)*24)</f>
        <v/>
      </c>
      <c r="AE1172" s="69">
        <f>IF(OR(Q1172="",R1172=""),"",(R1172-Q1172)*24)</f>
        <v/>
      </c>
      <c r="AF1172" s="77">
        <f>IF(OR($A1172="",B1172=""),"",YEAR(B1172))</f>
        <v/>
      </c>
      <c r="AG1172" s="77">
        <f>IF(OR($A1172="",B1172=""),"",MONTH(B1172))</f>
        <v/>
      </c>
    </row>
    <row r="1173">
      <c r="A1173" s="7" t="inlineStr">
        <is>
          <t>OT-2026-0318</t>
        </is>
      </c>
      <c r="B1173" s="75" t="n">
        <v>46167.39583333334</v>
      </c>
      <c r="C1173" s="7" t="inlineStr">
        <is>
          <t>Plan préventif</t>
        </is>
      </c>
      <c r="D1173" s="7" t="inlineStr">
        <is>
          <t>EQ-SOU-004</t>
        </is>
      </c>
      <c r="E1173" s="9">
        <f>IF(D1173="","",IFERROR(INDEX('Équipements'!$B$5:$B$304,MATCH(D1173,'Équipements'!$A$5:$A$304,0)),"Code inconnu"))</f>
        <v/>
      </c>
      <c r="F1173" s="9">
        <f>IF(D1173="","",IFERROR(INDEX('Équipements'!$D$5:$D$304,MATCH(D1173,'Équipements'!$A$5:$A$304,0)),""))</f>
        <v/>
      </c>
      <c r="G1173" s="9">
        <f>IF(D1173="","",IFERROR(INDEX('Équipements'!$K$5:$K$304,MATCH(D1173,'Équipements'!$A$5:$A$304,0)),""))</f>
        <v/>
      </c>
      <c r="H1173" s="7" t="inlineStr">
        <is>
          <t>Préventif systématique</t>
        </is>
      </c>
      <c r="I1173" s="7" t="inlineStr">
        <is>
          <t>GP-063</t>
        </is>
      </c>
      <c r="J1173" s="7" t="inlineStr">
        <is>
          <t>Électrique</t>
        </is>
      </c>
      <c r="K1173" s="7" t="inlineStr">
        <is>
          <t>P3 - Normale</t>
        </is>
      </c>
      <c r="L1173" s="7" t="inlineStr">
        <is>
          <t>Contrôle et nettoyage poste, dévidoir, câbles</t>
        </is>
      </c>
      <c r="M1173" s="7" t="n"/>
      <c r="N1173" s="7" t="inlineStr">
        <is>
          <t>Gamme réalisée - RAS</t>
        </is>
      </c>
      <c r="O1173" s="7" t="inlineStr">
        <is>
          <t>Antoine Mercier</t>
        </is>
      </c>
      <c r="P1173" s="65" t="n">
        <v>46174.47916666666</v>
      </c>
      <c r="Q1173" s="75" t="n">
        <v>46174.32291666666</v>
      </c>
      <c r="R1173" s="75" t="n">
        <v>46174.38541666666</v>
      </c>
      <c r="S1173" s="76" t="n">
        <v>1.5</v>
      </c>
      <c r="T1173" s="76" t="n">
        <v>1.5</v>
      </c>
      <c r="U1173" s="70">
        <f>IF($A1173="","",IFERROR(INDEX('Techniciens'!$F$5:$F$44,MATCH(O1173,'Techniciens'!$B$5:$B$44,0)),'Paramètres'!$AA$10))</f>
        <v/>
      </c>
      <c r="V1173" s="70">
        <f>IF($A1173="","",IF(OR(AC1173="Demandé",AC1173="Planifié",AC1173="Annulé"),0,N(T1173)*N(U1173)))</f>
        <v/>
      </c>
      <c r="W1173" s="70">
        <f>IF($A1173="","",SUMIFS('Mouvements stock'!$H$5:$H$3004,'Mouvements stock'!$I$5:$I$3004,$A1173,'Mouvements stock'!$C$5:$C$3004,"Sortie")-SUMIFS('Mouvements stock'!$H$5:$H$3004,'Mouvements stock'!$I$5:$I$3004,$A1173,'Mouvements stock'!$C$5:$C$3004,"Retour"))</f>
        <v/>
      </c>
      <c r="X1173" s="66" t="n">
        <v>0</v>
      </c>
      <c r="Y1173" s="66" t="n">
        <v>0</v>
      </c>
      <c r="Z1173" s="7" t="n"/>
      <c r="AA1173" s="70">
        <f>IF($A1173="","",N(V1173)+N(W1173)+N(X1173)+N(Y1173))</f>
        <v/>
      </c>
      <c r="AB1173" s="70">
        <f>IF($A1173="","",N(S1173)*'Paramètres'!$AA$9*IFERROR(INDEX('Paramètres'!$O$5:$O$7,MATCH(G1173,'Paramètres'!$N$5:$N$7,0)),0))</f>
        <v/>
      </c>
      <c r="AC1173" s="7" t="inlineStr">
        <is>
          <t>Clôturé</t>
        </is>
      </c>
      <c r="AD1173" s="69">
        <f>IF(OR($A1173="",Q1173=""),"",(Q1173-B1173)*24)</f>
        <v/>
      </c>
      <c r="AE1173" s="69">
        <f>IF(OR(Q1173="",R1173=""),"",(R1173-Q1173)*24)</f>
        <v/>
      </c>
      <c r="AF1173" s="77">
        <f>IF(OR($A1173="",B1173=""),"",YEAR(B1173))</f>
        <v/>
      </c>
      <c r="AG1173" s="77">
        <f>IF(OR($A1173="",B1173=""),"",MONTH(B1173))</f>
        <v/>
      </c>
    </row>
    <row r="1174">
      <c r="A1174" s="7" t="inlineStr">
        <is>
          <t>OT-2026-0319</t>
        </is>
      </c>
      <c r="B1174" s="75" t="n">
        <v>46167.44791666666</v>
      </c>
      <c r="C1174" s="7" t="inlineStr">
        <is>
          <t>Plan préventif</t>
        </is>
      </c>
      <c r="D1174" s="7" t="inlineStr">
        <is>
          <t>EQ-UTI-007</t>
        </is>
      </c>
      <c r="E1174" s="9">
        <f>IF(D1174="","",IFERROR(INDEX('Équipements'!$B$5:$B$304,MATCH(D1174,'Équipements'!$A$5:$A$304,0)),"Code inconnu"))</f>
        <v/>
      </c>
      <c r="F1174" s="9">
        <f>IF(D1174="","",IFERROR(INDEX('Équipements'!$D$5:$D$304,MATCH(D1174,'Équipements'!$A$5:$A$304,0)),""))</f>
        <v/>
      </c>
      <c r="G1174" s="9">
        <f>IF(D1174="","",IFERROR(INDEX('Équipements'!$K$5:$K$304,MATCH(D1174,'Équipements'!$A$5:$A$304,0)),""))</f>
        <v/>
      </c>
      <c r="H1174" s="7" t="inlineStr">
        <is>
          <t>Préventif systématique</t>
        </is>
      </c>
      <c r="I1174" s="7" t="inlineStr">
        <is>
          <t>GP-098</t>
        </is>
      </c>
      <c r="J1174" s="7" t="inlineStr">
        <is>
          <t>Électrique</t>
        </is>
      </c>
      <c r="K1174" s="7" t="inlineStr">
        <is>
          <t>P3 - Normale</t>
        </is>
      </c>
      <c r="L1174" s="7" t="inlineStr">
        <is>
          <t>Essai de fonctionnement / contrôle visuel</t>
        </is>
      </c>
      <c r="M1174" s="7" t="n"/>
      <c r="N1174" s="7" t="inlineStr">
        <is>
          <t>Gamme réalisée - RAS</t>
        </is>
      </c>
      <c r="O1174" s="7" t="inlineStr">
        <is>
          <t>Antoine Mercier</t>
        </is>
      </c>
      <c r="P1174" s="65" t="n">
        <v>46174.52777777778</v>
      </c>
      <c r="Q1174" s="75" t="n">
        <v>46174.55208333334</v>
      </c>
      <c r="R1174" s="75" t="n">
        <v>46174.61458333334</v>
      </c>
      <c r="S1174" s="76" t="n">
        <v>0</v>
      </c>
      <c r="T1174" s="76" t="n">
        <v>1.5</v>
      </c>
      <c r="U1174" s="70">
        <f>IF($A1174="","",IFERROR(INDEX('Techniciens'!$F$5:$F$44,MATCH(O1174,'Techniciens'!$B$5:$B$44,0)),'Paramètres'!$AA$10))</f>
        <v/>
      </c>
      <c r="V1174" s="70">
        <f>IF($A1174="","",IF(OR(AC1174="Demandé",AC1174="Planifié",AC1174="Annulé"),0,N(T1174)*N(U1174)))</f>
        <v/>
      </c>
      <c r="W1174" s="70">
        <f>IF($A1174="","",SUMIFS('Mouvements stock'!$H$5:$H$3004,'Mouvements stock'!$I$5:$I$3004,$A1174,'Mouvements stock'!$C$5:$C$3004,"Sortie")-SUMIFS('Mouvements stock'!$H$5:$H$3004,'Mouvements stock'!$I$5:$I$3004,$A1174,'Mouvements stock'!$C$5:$C$3004,"Retour"))</f>
        <v/>
      </c>
      <c r="X1174" s="66" t="n">
        <v>0</v>
      </c>
      <c r="Y1174" s="66" t="n">
        <v>0</v>
      </c>
      <c r="Z1174" s="7" t="n"/>
      <c r="AA1174" s="70">
        <f>IF($A1174="","",N(V1174)+N(W1174)+N(X1174)+N(Y1174))</f>
        <v/>
      </c>
      <c r="AB1174" s="70">
        <f>IF($A1174="","",N(S1174)*'Paramètres'!$AA$9*IFERROR(INDEX('Paramètres'!$O$5:$O$7,MATCH(G1174,'Paramètres'!$N$5:$N$7,0)),0))</f>
        <v/>
      </c>
      <c r="AC1174" s="7" t="inlineStr">
        <is>
          <t>Clôturé</t>
        </is>
      </c>
      <c r="AD1174" s="69">
        <f>IF(OR($A1174="",Q1174=""),"",(Q1174-B1174)*24)</f>
        <v/>
      </c>
      <c r="AE1174" s="69">
        <f>IF(OR(Q1174="",R1174=""),"",(R1174-Q1174)*24)</f>
        <v/>
      </c>
      <c r="AF1174" s="77">
        <f>IF(OR($A1174="",B1174=""),"",YEAR(B1174))</f>
        <v/>
      </c>
      <c r="AG1174" s="77">
        <f>IF(OR($A1174="",B1174=""),"",MONTH(B1174))</f>
        <v/>
      </c>
    </row>
    <row r="1175">
      <c r="A1175" s="7" t="inlineStr">
        <is>
          <t>OT-2026-0320</t>
        </is>
      </c>
      <c r="B1175" s="75" t="n">
        <v>46167.46875</v>
      </c>
      <c r="C1175" s="7" t="inlineStr">
        <is>
          <t>Plan préventif</t>
        </is>
      </c>
      <c r="D1175" s="7" t="inlineStr">
        <is>
          <t>EQ-USI-002</t>
        </is>
      </c>
      <c r="E1175" s="9">
        <f>IF(D1175="","",IFERROR(INDEX('Équipements'!$B$5:$B$304,MATCH(D1175,'Équipements'!$A$5:$A$304,0)),"Code inconnu"))</f>
        <v/>
      </c>
      <c r="F1175" s="9">
        <f>IF(D1175="","",IFERROR(INDEX('Équipements'!$D$5:$D$304,MATCH(D1175,'Équipements'!$A$5:$A$304,0)),""))</f>
        <v/>
      </c>
      <c r="G1175" s="9">
        <f>IF(D1175="","",IFERROR(INDEX('Équipements'!$K$5:$K$304,MATCH(D1175,'Équipements'!$A$5:$A$304,0)),""))</f>
        <v/>
      </c>
      <c r="H1175" s="7" t="inlineStr">
        <is>
          <t>Préventif systématique</t>
        </is>
      </c>
      <c r="I1175" s="7" t="inlineStr">
        <is>
          <t>GP-008</t>
        </is>
      </c>
      <c r="J1175" s="7" t="inlineStr">
        <is>
          <t>Électrique</t>
        </is>
      </c>
      <c r="K1175" s="7" t="inlineStr">
        <is>
          <t>P3 - Normale</t>
        </is>
      </c>
      <c r="L1175" s="7" t="inlineStr">
        <is>
          <t>Contrôle armoire électrique (ventilation, serrages)</t>
        </is>
      </c>
      <c r="M1175" s="7" t="n"/>
      <c r="N1175" s="7" t="inlineStr">
        <is>
          <t>Gamme réalisée - RAS</t>
        </is>
      </c>
      <c r="O1175" s="7" t="inlineStr">
        <is>
          <t>Thomas Petit</t>
        </is>
      </c>
      <c r="P1175" s="65" t="n">
        <v>46174.74652777778</v>
      </c>
      <c r="Q1175" s="75" t="n">
        <v>46174.59027777778</v>
      </c>
      <c r="R1175" s="75" t="n">
        <v>46174.71527777778</v>
      </c>
      <c r="S1175" s="76" t="n">
        <v>0</v>
      </c>
      <c r="T1175" s="76" t="n">
        <v>3</v>
      </c>
      <c r="U1175" s="70">
        <f>IF($A1175="","",IFERROR(INDEX('Techniciens'!$F$5:$F$44,MATCH(O1175,'Techniciens'!$B$5:$B$44,0)),'Paramètres'!$AA$10))</f>
        <v/>
      </c>
      <c r="V1175" s="70">
        <f>IF($A1175="","",IF(OR(AC1175="Demandé",AC1175="Planifié",AC1175="Annulé"),0,N(T1175)*N(U1175)))</f>
        <v/>
      </c>
      <c r="W1175" s="70">
        <f>IF($A1175="","",SUMIFS('Mouvements stock'!$H$5:$H$3004,'Mouvements stock'!$I$5:$I$3004,$A1175,'Mouvements stock'!$C$5:$C$3004,"Sortie")-SUMIFS('Mouvements stock'!$H$5:$H$3004,'Mouvements stock'!$I$5:$I$3004,$A1175,'Mouvements stock'!$C$5:$C$3004,"Retour"))</f>
        <v/>
      </c>
      <c r="X1175" s="66" t="n">
        <v>0</v>
      </c>
      <c r="Y1175" s="66" t="n">
        <v>0</v>
      </c>
      <c r="Z1175" s="7" t="n"/>
      <c r="AA1175" s="70">
        <f>IF($A1175="","",N(V1175)+N(W1175)+N(X1175)+N(Y1175))</f>
        <v/>
      </c>
      <c r="AB1175" s="70">
        <f>IF($A1175="","",N(S1175)*'Paramètres'!$AA$9*IFERROR(INDEX('Paramètres'!$O$5:$O$7,MATCH(G1175,'Paramètres'!$N$5:$N$7,0)),0))</f>
        <v/>
      </c>
      <c r="AC1175" s="7" t="inlineStr">
        <is>
          <t>Clôturé</t>
        </is>
      </c>
      <c r="AD1175" s="69">
        <f>IF(OR($A1175="",Q1175=""),"",(Q1175-B1175)*24)</f>
        <v/>
      </c>
      <c r="AE1175" s="69">
        <f>IF(OR(Q1175="",R1175=""),"",(R1175-Q1175)*24)</f>
        <v/>
      </c>
      <c r="AF1175" s="77">
        <f>IF(OR($A1175="",B1175=""),"",YEAR(B1175))</f>
        <v/>
      </c>
      <c r="AG1175" s="77">
        <f>IF(OR($A1175="",B1175=""),"",MONTH(B1175))</f>
        <v/>
      </c>
    </row>
    <row r="1176">
      <c r="A1176" s="7" t="inlineStr">
        <is>
          <t>OT-2026-0321</t>
        </is>
      </c>
      <c r="B1176" s="75" t="n">
        <v>46167.49305555555</v>
      </c>
      <c r="C1176" s="7" t="inlineStr">
        <is>
          <t>Plan préventif</t>
        </is>
      </c>
      <c r="D1176" s="7" t="inlineStr">
        <is>
          <t>EQ-LOG-004</t>
        </is>
      </c>
      <c r="E1176" s="9">
        <f>IF(D1176="","",IFERROR(INDEX('Équipements'!$B$5:$B$304,MATCH(D1176,'Équipements'!$A$5:$A$304,0)),"Code inconnu"))</f>
        <v/>
      </c>
      <c r="F1176" s="9">
        <f>IF(D1176="","",IFERROR(INDEX('Équipements'!$D$5:$D$304,MATCH(D1176,'Équipements'!$A$5:$A$304,0)),""))</f>
        <v/>
      </c>
      <c r="G1176" s="9">
        <f>IF(D1176="","",IFERROR(INDEX('Équipements'!$K$5:$K$304,MATCH(D1176,'Équipements'!$A$5:$A$304,0)),""))</f>
        <v/>
      </c>
      <c r="H1176" s="7" t="inlineStr">
        <is>
          <t>Préventif systématique</t>
        </is>
      </c>
      <c r="I1176" s="7" t="inlineStr">
        <is>
          <t>GP-111</t>
        </is>
      </c>
      <c r="J1176" s="7" t="inlineStr">
        <is>
          <t>Multi-technique</t>
        </is>
      </c>
      <c r="K1176" s="7" t="inlineStr">
        <is>
          <t>P3 - Normale</t>
        </is>
      </c>
      <c r="L1176" s="7" t="inlineStr">
        <is>
          <t>Entretien périodique constructeur</t>
        </is>
      </c>
      <c r="M1176" s="7" t="n"/>
      <c r="N1176" s="7" t="inlineStr">
        <is>
          <t>Gamme réalisée - RAS</t>
        </is>
      </c>
      <c r="O1176" s="7" t="inlineStr">
        <is>
          <t>Antoine Mercier</t>
        </is>
      </c>
      <c r="P1176" s="65" t="n">
        <v>46174.77083333334</v>
      </c>
      <c r="Q1176" s="75" t="n">
        <v>46174.38888888889</v>
      </c>
      <c r="R1176" s="75" t="n">
        <v>46174.53472222222</v>
      </c>
      <c r="S1176" s="76" t="n">
        <v>3.5</v>
      </c>
      <c r="T1176" s="76" t="n">
        <v>2</v>
      </c>
      <c r="U1176" s="70">
        <f>IF($A1176="","",IFERROR(INDEX('Techniciens'!$F$5:$F$44,MATCH(O1176,'Techniciens'!$B$5:$B$44,0)),'Paramètres'!$AA$10))</f>
        <v/>
      </c>
      <c r="V1176" s="70">
        <f>IF($A1176="","",IF(OR(AC1176="Demandé",AC1176="Planifié",AC1176="Annulé"),0,N(T1176)*N(U1176)))</f>
        <v/>
      </c>
      <c r="W1176" s="70">
        <f>IF($A1176="","",SUMIFS('Mouvements stock'!$H$5:$H$3004,'Mouvements stock'!$I$5:$I$3004,$A1176,'Mouvements stock'!$C$5:$C$3004,"Sortie")-SUMIFS('Mouvements stock'!$H$5:$H$3004,'Mouvements stock'!$I$5:$I$3004,$A1176,'Mouvements stock'!$C$5:$C$3004,"Retour"))</f>
        <v/>
      </c>
      <c r="X1176" s="66" t="n">
        <v>0</v>
      </c>
      <c r="Y1176" s="66" t="n">
        <v>450</v>
      </c>
      <c r="Z1176" s="7" t="inlineStr">
        <is>
          <t>Manutention Services 44</t>
        </is>
      </c>
      <c r="AA1176" s="70">
        <f>IF($A1176="","",N(V1176)+N(W1176)+N(X1176)+N(Y1176))</f>
        <v/>
      </c>
      <c r="AB1176" s="70">
        <f>IF($A1176="","",N(S1176)*'Paramètres'!$AA$9*IFERROR(INDEX('Paramètres'!$O$5:$O$7,MATCH(G1176,'Paramètres'!$N$5:$N$7,0)),0))</f>
        <v/>
      </c>
      <c r="AC1176" s="7" t="inlineStr">
        <is>
          <t>Clôturé</t>
        </is>
      </c>
      <c r="AD1176" s="69">
        <f>IF(OR($A1176="",Q1176=""),"",(Q1176-B1176)*24)</f>
        <v/>
      </c>
      <c r="AE1176" s="69">
        <f>IF(OR(Q1176="",R1176=""),"",(R1176-Q1176)*24)</f>
        <v/>
      </c>
      <c r="AF1176" s="77">
        <f>IF(OR($A1176="",B1176=""),"",YEAR(B1176))</f>
        <v/>
      </c>
      <c r="AG1176" s="77">
        <f>IF(OR($A1176="",B1176=""),"",MONTH(B1176))</f>
        <v/>
      </c>
    </row>
    <row r="1177">
      <c r="A1177" s="7" t="inlineStr">
        <is>
          <t>OT-2026-0322</t>
        </is>
      </c>
      <c r="B1177" s="75" t="n">
        <v>46168.40625</v>
      </c>
      <c r="C1177" s="7" t="inlineStr">
        <is>
          <t>Plan préventif</t>
        </is>
      </c>
      <c r="D1177" s="7" t="inlineStr">
        <is>
          <t>EQ-UTI-008</t>
        </is>
      </c>
      <c r="E1177" s="9">
        <f>IF(D1177="","",IFERROR(INDEX('Équipements'!$B$5:$B$304,MATCH(D1177,'Équipements'!$A$5:$A$304,0)),"Code inconnu"))</f>
        <v/>
      </c>
      <c r="F1177" s="9">
        <f>IF(D1177="","",IFERROR(INDEX('Équipements'!$D$5:$D$304,MATCH(D1177,'Équipements'!$A$5:$A$304,0)),""))</f>
        <v/>
      </c>
      <c r="G1177" s="9">
        <f>IF(D1177="","",IFERROR(INDEX('Équipements'!$K$5:$K$304,MATCH(D1177,'Équipements'!$A$5:$A$304,0)),""))</f>
        <v/>
      </c>
      <c r="H1177" s="7" t="inlineStr">
        <is>
          <t>Préventif systématique</t>
        </is>
      </c>
      <c r="I1177" s="7" t="inlineStr">
        <is>
          <t>GP-100</t>
        </is>
      </c>
      <c r="J1177" s="7" t="inlineStr">
        <is>
          <t>Électrique</t>
        </is>
      </c>
      <c r="K1177" s="7" t="inlineStr">
        <is>
          <t>P3 - Normale</t>
        </is>
      </c>
      <c r="L1177" s="7" t="inlineStr">
        <is>
          <t>Essai de fonctionnement / contrôle visuel</t>
        </is>
      </c>
      <c r="M1177" s="7" t="n"/>
      <c r="N1177" s="7" t="inlineStr">
        <is>
          <t>Gamme réalisée - DI émise pour remplacement pièce</t>
        </is>
      </c>
      <c r="O1177" s="7" t="inlineStr">
        <is>
          <t>Julien Moreau</t>
        </is>
      </c>
      <c r="P1177" s="65" t="n">
        <v>46175.43055555555</v>
      </c>
      <c r="Q1177" s="75" t="n">
        <v>46175.46875</v>
      </c>
      <c r="R1177" s="75" t="n">
        <v>46175.52083333334</v>
      </c>
      <c r="S1177" s="76" t="n">
        <v>0</v>
      </c>
      <c r="T1177" s="76" t="n">
        <v>1.25</v>
      </c>
      <c r="U1177" s="70">
        <f>IF($A1177="","",IFERROR(INDEX('Techniciens'!$F$5:$F$44,MATCH(O1177,'Techniciens'!$B$5:$B$44,0)),'Paramètres'!$AA$10))</f>
        <v/>
      </c>
      <c r="V1177" s="70">
        <f>IF($A1177="","",IF(OR(AC1177="Demandé",AC1177="Planifié",AC1177="Annulé"),0,N(T1177)*N(U1177)))</f>
        <v/>
      </c>
      <c r="W1177" s="70">
        <f>IF($A1177="","",SUMIFS('Mouvements stock'!$H$5:$H$3004,'Mouvements stock'!$I$5:$I$3004,$A1177,'Mouvements stock'!$C$5:$C$3004,"Sortie")-SUMIFS('Mouvements stock'!$H$5:$H$3004,'Mouvements stock'!$I$5:$I$3004,$A1177,'Mouvements stock'!$C$5:$C$3004,"Retour"))</f>
        <v/>
      </c>
      <c r="X1177" s="66" t="n">
        <v>0</v>
      </c>
      <c r="Y1177" s="66" t="n">
        <v>0</v>
      </c>
      <c r="Z1177" s="7" t="n"/>
      <c r="AA1177" s="70">
        <f>IF($A1177="","",N(V1177)+N(W1177)+N(X1177)+N(Y1177))</f>
        <v/>
      </c>
      <c r="AB1177" s="70">
        <f>IF($A1177="","",N(S1177)*'Paramètres'!$AA$9*IFERROR(INDEX('Paramètres'!$O$5:$O$7,MATCH(G1177,'Paramètres'!$N$5:$N$7,0)),0))</f>
        <v/>
      </c>
      <c r="AC1177" s="7" t="inlineStr">
        <is>
          <t>Clôturé</t>
        </is>
      </c>
      <c r="AD1177" s="69">
        <f>IF(OR($A1177="",Q1177=""),"",(Q1177-B1177)*24)</f>
        <v/>
      </c>
      <c r="AE1177" s="69">
        <f>IF(OR(Q1177="",R1177=""),"",(R1177-Q1177)*24)</f>
        <v/>
      </c>
      <c r="AF1177" s="77">
        <f>IF(OR($A1177="",B1177=""),"",YEAR(B1177))</f>
        <v/>
      </c>
      <c r="AG1177" s="77">
        <f>IF(OR($A1177="",B1177=""),"",MONTH(B1177))</f>
        <v/>
      </c>
    </row>
    <row r="1178">
      <c r="A1178" s="7" t="inlineStr">
        <is>
          <t>OT-2026-0323</t>
        </is>
      </c>
      <c r="B1178" s="75" t="n">
        <v>46168.70486111111</v>
      </c>
      <c r="C1178" s="7" t="inlineStr">
        <is>
          <t>Sylvie Mathieu (resp. logistique)</t>
        </is>
      </c>
      <c r="D1178" s="7" t="inlineStr">
        <is>
          <t>EQ-LOG-001</t>
        </is>
      </c>
      <c r="E1178" s="9">
        <f>IF(D1178="","",IFERROR(INDEX('Équipements'!$B$5:$B$304,MATCH(D1178,'Équipements'!$A$5:$A$304,0)),"Code inconnu"))</f>
        <v/>
      </c>
      <c r="F1178" s="9">
        <f>IF(D1178="","",IFERROR(INDEX('Équipements'!$D$5:$D$304,MATCH(D1178,'Équipements'!$A$5:$A$304,0)),""))</f>
        <v/>
      </c>
      <c r="G1178" s="9">
        <f>IF(D1178="","",IFERROR(INDEX('Équipements'!$K$5:$K$304,MATCH(D1178,'Équipements'!$A$5:$A$304,0)),""))</f>
        <v/>
      </c>
      <c r="H1178" s="7" t="inlineStr">
        <is>
          <t>Correctif</t>
        </is>
      </c>
      <c r="I1178" s="7" t="n"/>
      <c r="J1178" s="7" t="inlineStr">
        <is>
          <t>Mécanique</t>
        </is>
      </c>
      <c r="K1178" s="7" t="inlineStr">
        <is>
          <t>P2 - Haute</t>
        </is>
      </c>
      <c r="L1178" s="7" t="inlineStr">
        <is>
          <t>Bandage de roue usé / arraché</t>
        </is>
      </c>
      <c r="M1178" s="7" t="inlineStr">
        <is>
          <t>Usure</t>
        </is>
      </c>
      <c r="N1178" s="7" t="inlineStr">
        <is>
          <t>Remplacement bandage</t>
        </is>
      </c>
      <c r="O1178" s="7" t="inlineStr">
        <is>
          <t>Karim Benali</t>
        </is>
      </c>
      <c r="P1178" s="65" t="n"/>
      <c r="Q1178" s="75" t="n">
        <v>46168.79791666667</v>
      </c>
      <c r="R1178" s="75" t="n">
        <v>46168.90208333333</v>
      </c>
      <c r="S1178" s="76" t="n">
        <v>0</v>
      </c>
      <c r="T1178" s="76" t="n">
        <v>2.5</v>
      </c>
      <c r="U1178" s="70">
        <f>IF($A1178="","",IFERROR(INDEX('Techniciens'!$F$5:$F$44,MATCH(O1178,'Techniciens'!$B$5:$B$44,0)),'Paramètres'!$AA$10))</f>
        <v/>
      </c>
      <c r="V1178" s="70">
        <f>IF($A1178="","",IF(OR(AC1178="Demandé",AC1178="Planifié",AC1178="Annulé"),0,N(T1178)*N(U1178)))</f>
        <v/>
      </c>
      <c r="W1178" s="70">
        <f>IF($A1178="","",SUMIFS('Mouvements stock'!$H$5:$H$3004,'Mouvements stock'!$I$5:$I$3004,$A1178,'Mouvements stock'!$C$5:$C$3004,"Sortie")-SUMIFS('Mouvements stock'!$H$5:$H$3004,'Mouvements stock'!$I$5:$I$3004,$A1178,'Mouvements stock'!$C$5:$C$3004,"Retour"))</f>
        <v/>
      </c>
      <c r="X1178" s="66" t="n">
        <v>0</v>
      </c>
      <c r="Y1178" s="66" t="n">
        <v>0</v>
      </c>
      <c r="Z1178" s="7" t="n"/>
      <c r="AA1178" s="70">
        <f>IF($A1178="","",N(V1178)+N(W1178)+N(X1178)+N(Y1178))</f>
        <v/>
      </c>
      <c r="AB1178" s="70">
        <f>IF($A1178="","",N(S1178)*'Paramètres'!$AA$9*IFERROR(INDEX('Paramètres'!$O$5:$O$7,MATCH(G1178,'Paramètres'!$N$5:$N$7,0)),0))</f>
        <v/>
      </c>
      <c r="AC1178" s="7" t="inlineStr">
        <is>
          <t>Clôturé</t>
        </is>
      </c>
      <c r="AD1178" s="69">
        <f>IF(OR($A1178="",Q1178=""),"",(Q1178-B1178)*24)</f>
        <v/>
      </c>
      <c r="AE1178" s="69">
        <f>IF(OR(Q1178="",R1178=""),"",(R1178-Q1178)*24)</f>
        <v/>
      </c>
      <c r="AF1178" s="77">
        <f>IF(OR($A1178="",B1178=""),"",YEAR(B1178))</f>
        <v/>
      </c>
      <c r="AG1178" s="77">
        <f>IF(OR($A1178="",B1178=""),"",MONTH(B1178))</f>
        <v/>
      </c>
    </row>
    <row r="1179">
      <c r="A1179" s="7" t="inlineStr">
        <is>
          <t>OT-2026-0324</t>
        </is>
      </c>
      <c r="B1179" s="75" t="n">
        <v>46169.27569444444</v>
      </c>
      <c r="C1179" s="7" t="inlineStr">
        <is>
          <t>Opérateur usinage</t>
        </is>
      </c>
      <c r="D1179" s="7" t="inlineStr">
        <is>
          <t>EQ-USI-008</t>
        </is>
      </c>
      <c r="E1179" s="9">
        <f>IF(D1179="","",IFERROR(INDEX('Équipements'!$B$5:$B$304,MATCH(D1179,'Équipements'!$A$5:$A$304,0)),"Code inconnu"))</f>
        <v/>
      </c>
      <c r="F1179" s="9">
        <f>IF(D1179="","",IFERROR(INDEX('Équipements'!$D$5:$D$304,MATCH(D1179,'Équipements'!$A$5:$A$304,0)),""))</f>
        <v/>
      </c>
      <c r="G1179" s="9">
        <f>IF(D1179="","",IFERROR(INDEX('Équipements'!$K$5:$K$304,MATCH(D1179,'Équipements'!$A$5:$A$304,0)),""))</f>
        <v/>
      </c>
      <c r="H1179" s="7" t="inlineStr">
        <is>
          <t>Correctif</t>
        </is>
      </c>
      <c r="I1179" s="7" t="n"/>
      <c r="J1179" s="7" t="inlineStr">
        <is>
          <t>Électrique</t>
        </is>
      </c>
      <c r="K1179" s="7" t="inlineStr">
        <is>
          <t>P3 - Normale</t>
        </is>
      </c>
      <c r="L1179" s="7" t="inlineStr">
        <is>
          <t>Moteur ne démarre pas</t>
        </is>
      </c>
      <c r="M1179" s="7" t="inlineStr">
        <is>
          <t>Défaut électrique</t>
        </is>
      </c>
      <c r="N1179" s="7" t="inlineStr">
        <is>
          <t>Remplacement contacteur</t>
        </is>
      </c>
      <c r="O1179" s="7" t="inlineStr">
        <is>
          <t>Antoine Mercier</t>
        </is>
      </c>
      <c r="P1179" s="65" t="n"/>
      <c r="Q1179" s="75" t="n">
        <v>46170.80486111111</v>
      </c>
      <c r="R1179" s="75" t="n">
        <v>46170.95069444444</v>
      </c>
      <c r="S1179" s="76" t="n">
        <v>0</v>
      </c>
      <c r="T1179" s="76" t="n">
        <v>3.5</v>
      </c>
      <c r="U1179" s="70">
        <f>IF($A1179="","",IFERROR(INDEX('Techniciens'!$F$5:$F$44,MATCH(O1179,'Techniciens'!$B$5:$B$44,0)),'Paramètres'!$AA$10))</f>
        <v/>
      </c>
      <c r="V1179" s="70">
        <f>IF($A1179="","",IF(OR(AC1179="Demandé",AC1179="Planifié",AC1179="Annulé"),0,N(T1179)*N(U1179)))</f>
        <v/>
      </c>
      <c r="W1179" s="70">
        <f>IF($A1179="","",SUMIFS('Mouvements stock'!$H$5:$H$3004,'Mouvements stock'!$I$5:$I$3004,$A1179,'Mouvements stock'!$C$5:$C$3004,"Sortie")-SUMIFS('Mouvements stock'!$H$5:$H$3004,'Mouvements stock'!$I$5:$I$3004,$A1179,'Mouvements stock'!$C$5:$C$3004,"Retour"))</f>
        <v/>
      </c>
      <c r="X1179" s="66" t="n">
        <v>0</v>
      </c>
      <c r="Y1179" s="66" t="n">
        <v>0</v>
      </c>
      <c r="Z1179" s="7" t="n"/>
      <c r="AA1179" s="70">
        <f>IF($A1179="","",N(V1179)+N(W1179)+N(X1179)+N(Y1179))</f>
        <v/>
      </c>
      <c r="AB1179" s="70">
        <f>IF($A1179="","",N(S1179)*'Paramètres'!$AA$9*IFERROR(INDEX('Paramètres'!$O$5:$O$7,MATCH(G1179,'Paramètres'!$N$5:$N$7,0)),0))</f>
        <v/>
      </c>
      <c r="AC1179" s="7" t="inlineStr">
        <is>
          <t>Clôturé</t>
        </is>
      </c>
      <c r="AD1179" s="69">
        <f>IF(OR($A1179="",Q1179=""),"",(Q1179-B1179)*24)</f>
        <v/>
      </c>
      <c r="AE1179" s="69">
        <f>IF(OR(Q1179="",R1179=""),"",(R1179-Q1179)*24)</f>
        <v/>
      </c>
      <c r="AF1179" s="77">
        <f>IF(OR($A1179="",B1179=""),"",YEAR(B1179))</f>
        <v/>
      </c>
      <c r="AG1179" s="77">
        <f>IF(OR($A1179="",B1179=""),"",MONTH(B1179))</f>
        <v/>
      </c>
    </row>
    <row r="1180">
      <c r="A1180" s="7" t="inlineStr">
        <is>
          <t>OT-2026-0325</t>
        </is>
      </c>
      <c r="B1180" s="75" t="n">
        <v>46169.41597222222</v>
      </c>
      <c r="C1180" s="7" t="inlineStr">
        <is>
          <t>Éric Laurent (chef d'atelier)</t>
        </is>
      </c>
      <c r="D1180" s="7" t="inlineStr">
        <is>
          <t>EQ-USI-006</t>
        </is>
      </c>
      <c r="E1180" s="9">
        <f>IF(D1180="","",IFERROR(INDEX('Équipements'!$B$5:$B$304,MATCH(D1180,'Équipements'!$A$5:$A$304,0)),"Code inconnu"))</f>
        <v/>
      </c>
      <c r="F1180" s="9">
        <f>IF(D1180="","",IFERROR(INDEX('Équipements'!$D$5:$D$304,MATCH(D1180,'Équipements'!$A$5:$A$304,0)),""))</f>
        <v/>
      </c>
      <c r="G1180" s="9">
        <f>IF(D1180="","",IFERROR(INDEX('Équipements'!$K$5:$K$304,MATCH(D1180,'Équipements'!$A$5:$A$304,0)),""))</f>
        <v/>
      </c>
      <c r="H1180" s="7" t="inlineStr">
        <is>
          <t>Correctif</t>
        </is>
      </c>
      <c r="I1180" s="7" t="n"/>
      <c r="J1180" s="7" t="inlineStr">
        <is>
          <t>Électrique</t>
        </is>
      </c>
      <c r="K1180" s="7" t="inlineStr">
        <is>
          <t>P2 - Haute</t>
        </is>
      </c>
      <c r="L1180" s="7" t="inlineStr">
        <is>
          <t>Alarme codeur axe X</t>
        </is>
      </c>
      <c r="M1180" s="7" t="inlineStr">
        <is>
          <t>Défaut capteur</t>
        </is>
      </c>
      <c r="N1180" s="7" t="inlineStr">
        <is>
          <t>Contrôle câblage, remplacement codeur</t>
        </is>
      </c>
      <c r="O1180" s="7" t="inlineStr">
        <is>
          <t>Julien Moreau</t>
        </is>
      </c>
      <c r="P1180" s="65" t="n"/>
      <c r="Q1180" s="75" t="n">
        <v>46169.57916666667</v>
      </c>
      <c r="R1180" s="75" t="n">
        <v>46172.90303595413</v>
      </c>
      <c r="S1180" s="76" t="n">
        <v>49.3</v>
      </c>
      <c r="T1180" s="76" t="n">
        <v>11</v>
      </c>
      <c r="U1180" s="70">
        <f>IF($A1180="","",IFERROR(INDEX('Techniciens'!$F$5:$F$44,MATCH(O1180,'Techniciens'!$B$5:$B$44,0)),'Paramètres'!$AA$10))</f>
        <v/>
      </c>
      <c r="V1180" s="70">
        <f>IF($A1180="","",IF(OR(AC1180="Demandé",AC1180="Planifié",AC1180="Annulé"),0,N(T1180)*N(U1180)))</f>
        <v/>
      </c>
      <c r="W1180" s="70">
        <f>IF($A1180="","",SUMIFS('Mouvements stock'!$H$5:$H$3004,'Mouvements stock'!$I$5:$I$3004,$A1180,'Mouvements stock'!$C$5:$C$3004,"Sortie")-SUMIFS('Mouvements stock'!$H$5:$H$3004,'Mouvements stock'!$I$5:$I$3004,$A1180,'Mouvements stock'!$C$5:$C$3004,"Retour"))</f>
        <v/>
      </c>
      <c r="X1180" s="66" t="n">
        <v>0</v>
      </c>
      <c r="Y1180" s="66" t="n">
        <v>0</v>
      </c>
      <c r="Z1180" s="7" t="n"/>
      <c r="AA1180" s="70">
        <f>IF($A1180="","",N(V1180)+N(W1180)+N(X1180)+N(Y1180))</f>
        <v/>
      </c>
      <c r="AB1180" s="70">
        <f>IF($A1180="","",N(S1180)*'Paramètres'!$AA$9*IFERROR(INDEX('Paramètres'!$O$5:$O$7,MATCH(G1180,'Paramètres'!$N$5:$N$7,0)),0))</f>
        <v/>
      </c>
      <c r="AC1180" s="7" t="inlineStr">
        <is>
          <t>Clôturé</t>
        </is>
      </c>
      <c r="AD1180" s="69">
        <f>IF(OR($A1180="",Q1180=""),"",(Q1180-B1180)*24)</f>
        <v/>
      </c>
      <c r="AE1180" s="69">
        <f>IF(OR(Q1180="",R1180=""),"",(R1180-Q1180)*24)</f>
        <v/>
      </c>
      <c r="AF1180" s="77">
        <f>IF(OR($A1180="",B1180=""),"",YEAR(B1180))</f>
        <v/>
      </c>
      <c r="AG1180" s="77">
        <f>IF(OR($A1180="",B1180=""),"",MONTH(B1180))</f>
        <v/>
      </c>
    </row>
    <row r="1181">
      <c r="A1181" s="7" t="inlineStr">
        <is>
          <t>OT-2026-0326</t>
        </is>
      </c>
      <c r="B1181" s="75" t="n">
        <v>46169.47222222222</v>
      </c>
      <c r="C1181" s="7" t="inlineStr">
        <is>
          <t>Plan préventif</t>
        </is>
      </c>
      <c r="D1181" s="7" t="inlineStr">
        <is>
          <t>EQ-ASS-001</t>
        </is>
      </c>
      <c r="E1181" s="9">
        <f>IF(D1181="","",IFERROR(INDEX('Équipements'!$B$5:$B$304,MATCH(D1181,'Équipements'!$A$5:$A$304,0)),"Code inconnu"))</f>
        <v/>
      </c>
      <c r="F1181" s="9">
        <f>IF(D1181="","",IFERROR(INDEX('Équipements'!$D$5:$D$304,MATCH(D1181,'Équipements'!$A$5:$A$304,0)),""))</f>
        <v/>
      </c>
      <c r="G1181" s="9">
        <f>IF(D1181="","",IFERROR(INDEX('Équipements'!$K$5:$K$304,MATCH(D1181,'Équipements'!$A$5:$A$304,0)),""))</f>
        <v/>
      </c>
      <c r="H1181" s="7" t="inlineStr">
        <is>
          <t>Préventif systématique</t>
        </is>
      </c>
      <c r="I1181" s="7" t="inlineStr">
        <is>
          <t>GP-076</t>
        </is>
      </c>
      <c r="J1181" s="7" t="inlineStr">
        <is>
          <t>Mécanique</t>
        </is>
      </c>
      <c r="K1181" s="7" t="inlineStr">
        <is>
          <t>P3 - Normale</t>
        </is>
      </c>
      <c r="L1181" s="7" t="inlineStr">
        <is>
          <t>Graissage chaîne / galets et contrôle tension</t>
        </is>
      </c>
      <c r="M1181" s="7" t="n"/>
      <c r="N1181" s="7" t="inlineStr">
        <is>
          <t>Gamme réalisée - DI émise pour remplacement pièce</t>
        </is>
      </c>
      <c r="O1181" s="7" t="inlineStr">
        <is>
          <t>Lucas Fontaine</t>
        </is>
      </c>
      <c r="P1181" s="65" t="n">
        <v>46176.49652777778</v>
      </c>
      <c r="Q1181" s="75" t="n">
        <v>46176.33333333334</v>
      </c>
      <c r="R1181" s="75" t="n">
        <v>46176.41666666666</v>
      </c>
      <c r="S1181" s="76" t="n">
        <v>0</v>
      </c>
      <c r="T1181" s="76" t="n">
        <v>2</v>
      </c>
      <c r="U1181" s="70">
        <f>IF($A1181="","",IFERROR(INDEX('Techniciens'!$F$5:$F$44,MATCH(O1181,'Techniciens'!$B$5:$B$44,0)),'Paramètres'!$AA$10))</f>
        <v/>
      </c>
      <c r="V1181" s="70">
        <f>IF($A1181="","",IF(OR(AC1181="Demandé",AC1181="Planifié",AC1181="Annulé"),0,N(T1181)*N(U1181)))</f>
        <v/>
      </c>
      <c r="W1181" s="70">
        <f>IF($A1181="","",SUMIFS('Mouvements stock'!$H$5:$H$3004,'Mouvements stock'!$I$5:$I$3004,$A1181,'Mouvements stock'!$C$5:$C$3004,"Sortie")-SUMIFS('Mouvements stock'!$H$5:$H$3004,'Mouvements stock'!$I$5:$I$3004,$A1181,'Mouvements stock'!$C$5:$C$3004,"Retour"))</f>
        <v/>
      </c>
      <c r="X1181" s="66" t="n">
        <v>0</v>
      </c>
      <c r="Y1181" s="66" t="n">
        <v>0</v>
      </c>
      <c r="Z1181" s="7" t="n"/>
      <c r="AA1181" s="70">
        <f>IF($A1181="","",N(V1181)+N(W1181)+N(X1181)+N(Y1181))</f>
        <v/>
      </c>
      <c r="AB1181" s="70">
        <f>IF($A1181="","",N(S1181)*'Paramètres'!$AA$9*IFERROR(INDEX('Paramètres'!$O$5:$O$7,MATCH(G1181,'Paramètres'!$N$5:$N$7,0)),0))</f>
        <v/>
      </c>
      <c r="AC1181" s="7" t="inlineStr">
        <is>
          <t>Clôturé</t>
        </is>
      </c>
      <c r="AD1181" s="69">
        <f>IF(OR($A1181="",Q1181=""),"",(Q1181-B1181)*24)</f>
        <v/>
      </c>
      <c r="AE1181" s="69">
        <f>IF(OR(Q1181="",R1181=""),"",(R1181-Q1181)*24)</f>
        <v/>
      </c>
      <c r="AF1181" s="77">
        <f>IF(OR($A1181="",B1181=""),"",YEAR(B1181))</f>
        <v/>
      </c>
      <c r="AG1181" s="77">
        <f>IF(OR($A1181="",B1181=""),"",MONTH(B1181))</f>
        <v/>
      </c>
    </row>
    <row r="1182">
      <c r="A1182" s="7" t="inlineStr">
        <is>
          <t>OT-2026-0327</t>
        </is>
      </c>
      <c r="B1182" s="75" t="n">
        <v>46169.48958333334</v>
      </c>
      <c r="C1182" s="7" t="inlineStr">
        <is>
          <t>Plan préventif</t>
        </is>
      </c>
      <c r="D1182" s="7" t="inlineStr">
        <is>
          <t>EQ-UTI-010</t>
        </is>
      </c>
      <c r="E1182" s="9">
        <f>IF(D1182="","",IFERROR(INDEX('Équipements'!$B$5:$B$304,MATCH(D1182,'Équipements'!$A$5:$A$304,0)),"Code inconnu"))</f>
        <v/>
      </c>
      <c r="F1182" s="9">
        <f>IF(D1182="","",IFERROR(INDEX('Équipements'!$D$5:$D$304,MATCH(D1182,'Équipements'!$A$5:$A$304,0)),""))</f>
        <v/>
      </c>
      <c r="G1182" s="9">
        <f>IF(D1182="","",IFERROR(INDEX('Équipements'!$K$5:$K$304,MATCH(D1182,'Équipements'!$A$5:$A$304,0)),""))</f>
        <v/>
      </c>
      <c r="H1182" s="7" t="inlineStr">
        <is>
          <t>Préventif systématique</t>
        </is>
      </c>
      <c r="I1182" s="7" t="inlineStr">
        <is>
          <t>GP-104</t>
        </is>
      </c>
      <c r="J1182" s="7" t="inlineStr">
        <is>
          <t>Électrique</t>
        </is>
      </c>
      <c r="K1182" s="7" t="inlineStr">
        <is>
          <t>P3 - Normale</t>
        </is>
      </c>
      <c r="L1182" s="7" t="inlineStr">
        <is>
          <t>Essai mensuel à charge du groupe électrogène</t>
        </is>
      </c>
      <c r="M1182" s="7" t="n"/>
      <c r="N1182" s="7" t="inlineStr">
        <is>
          <t>Gamme réalisée - RAS</t>
        </is>
      </c>
      <c r="O1182" s="7" t="inlineStr">
        <is>
          <t>Julien Moreau</t>
        </is>
      </c>
      <c r="P1182" s="65" t="n">
        <v>46176.5625</v>
      </c>
      <c r="Q1182" s="75" t="n">
        <v>46176.46875</v>
      </c>
      <c r="R1182" s="75" t="n">
        <v>46176.54166666666</v>
      </c>
      <c r="S1182" s="76" t="n">
        <v>0</v>
      </c>
      <c r="T1182" s="76" t="n">
        <v>1.75</v>
      </c>
      <c r="U1182" s="70">
        <f>IF($A1182="","",IFERROR(INDEX('Techniciens'!$F$5:$F$44,MATCH(O1182,'Techniciens'!$B$5:$B$44,0)),'Paramètres'!$AA$10))</f>
        <v/>
      </c>
      <c r="V1182" s="70">
        <f>IF($A1182="","",IF(OR(AC1182="Demandé",AC1182="Planifié",AC1182="Annulé"),0,N(T1182)*N(U1182)))</f>
        <v/>
      </c>
      <c r="W1182" s="70">
        <f>IF($A1182="","",SUMIFS('Mouvements stock'!$H$5:$H$3004,'Mouvements stock'!$I$5:$I$3004,$A1182,'Mouvements stock'!$C$5:$C$3004,"Sortie")-SUMIFS('Mouvements stock'!$H$5:$H$3004,'Mouvements stock'!$I$5:$I$3004,$A1182,'Mouvements stock'!$C$5:$C$3004,"Retour"))</f>
        <v/>
      </c>
      <c r="X1182" s="66" t="n">
        <v>0</v>
      </c>
      <c r="Y1182" s="66" t="n">
        <v>0</v>
      </c>
      <c r="Z1182" s="7" t="n"/>
      <c r="AA1182" s="70">
        <f>IF($A1182="","",N(V1182)+N(W1182)+N(X1182)+N(Y1182))</f>
        <v/>
      </c>
      <c r="AB1182" s="70">
        <f>IF($A1182="","",N(S1182)*'Paramètres'!$AA$9*IFERROR(INDEX('Paramètres'!$O$5:$O$7,MATCH(G1182,'Paramètres'!$N$5:$N$7,0)),0))</f>
        <v/>
      </c>
      <c r="AC1182" s="7" t="inlineStr">
        <is>
          <t>Clôturé</t>
        </is>
      </c>
      <c r="AD1182" s="69">
        <f>IF(OR($A1182="",Q1182=""),"",(Q1182-B1182)*24)</f>
        <v/>
      </c>
      <c r="AE1182" s="69">
        <f>IF(OR(Q1182="",R1182=""),"",(R1182-Q1182)*24)</f>
        <v/>
      </c>
      <c r="AF1182" s="77">
        <f>IF(OR($A1182="",B1182=""),"",YEAR(B1182))</f>
        <v/>
      </c>
      <c r="AG1182" s="77">
        <f>IF(OR($A1182="",B1182=""),"",MONTH(B1182))</f>
        <v/>
      </c>
    </row>
    <row r="1183">
      <c r="A1183" s="7" t="inlineStr">
        <is>
          <t>OT-2026-0328</t>
        </is>
      </c>
      <c r="B1183" s="75" t="n">
        <v>46169.59861111111</v>
      </c>
      <c r="C1183" s="7" t="inlineStr">
        <is>
          <t>Opérateur tôlerie</t>
        </is>
      </c>
      <c r="D1183" s="7" t="inlineStr">
        <is>
          <t>EQ-TOL-004</t>
        </is>
      </c>
      <c r="E1183" s="9">
        <f>IF(D1183="","",IFERROR(INDEX('Équipements'!$B$5:$B$304,MATCH(D1183,'Équipements'!$A$5:$A$304,0)),"Code inconnu"))</f>
        <v/>
      </c>
      <c r="F1183" s="9">
        <f>IF(D1183="","",IFERROR(INDEX('Équipements'!$D$5:$D$304,MATCH(D1183,'Équipements'!$A$5:$A$304,0)),""))</f>
        <v/>
      </c>
      <c r="G1183" s="9">
        <f>IF(D1183="","",IFERROR(INDEX('Équipements'!$K$5:$K$304,MATCH(D1183,'Équipements'!$A$5:$A$304,0)),""))</f>
        <v/>
      </c>
      <c r="H1183" s="7" t="inlineStr">
        <is>
          <t>Correctif</t>
        </is>
      </c>
      <c r="I1183" s="7" t="n"/>
      <c r="J1183" s="7" t="inlineStr">
        <is>
          <t>Électrique</t>
        </is>
      </c>
      <c r="K1183" s="7" t="inlineStr">
        <is>
          <t>P2 - Haute</t>
        </is>
      </c>
      <c r="L1183" s="7" t="inlineStr">
        <is>
          <t>Défaut barrage immatériel</t>
        </is>
      </c>
      <c r="M1183" s="7" t="inlineStr">
        <is>
          <t>Défaut capteur</t>
        </is>
      </c>
      <c r="N1183" s="7" t="inlineStr">
        <is>
          <t>Nettoyage / réalignement, remplacement émetteur</t>
        </is>
      </c>
      <c r="O1183" s="7" t="inlineStr">
        <is>
          <t>Thomas Petit</t>
        </is>
      </c>
      <c r="P1183" s="65" t="n"/>
      <c r="Q1183" s="75" t="n">
        <v>46169.67430555556</v>
      </c>
      <c r="R1183" s="75" t="n">
        <v>46169.82013888889</v>
      </c>
      <c r="S1183" s="76" t="n">
        <v>0</v>
      </c>
      <c r="T1183" s="76" t="n">
        <v>3.5</v>
      </c>
      <c r="U1183" s="70">
        <f>IF($A1183="","",IFERROR(INDEX('Techniciens'!$F$5:$F$44,MATCH(O1183,'Techniciens'!$B$5:$B$44,0)),'Paramètres'!$AA$10))</f>
        <v/>
      </c>
      <c r="V1183" s="70">
        <f>IF($A1183="","",IF(OR(AC1183="Demandé",AC1183="Planifié",AC1183="Annulé"),0,N(T1183)*N(U1183)))</f>
        <v/>
      </c>
      <c r="W1183" s="70">
        <f>IF($A1183="","",SUMIFS('Mouvements stock'!$H$5:$H$3004,'Mouvements stock'!$I$5:$I$3004,$A1183,'Mouvements stock'!$C$5:$C$3004,"Sortie")-SUMIFS('Mouvements stock'!$H$5:$H$3004,'Mouvements stock'!$I$5:$I$3004,$A1183,'Mouvements stock'!$C$5:$C$3004,"Retour"))</f>
        <v/>
      </c>
      <c r="X1183" s="66" t="n">
        <v>0</v>
      </c>
      <c r="Y1183" s="66" t="n">
        <v>0</v>
      </c>
      <c r="Z1183" s="7" t="n"/>
      <c r="AA1183" s="70">
        <f>IF($A1183="","",N(V1183)+N(W1183)+N(X1183)+N(Y1183))</f>
        <v/>
      </c>
      <c r="AB1183" s="70">
        <f>IF($A1183="","",N(S1183)*'Paramètres'!$AA$9*IFERROR(INDEX('Paramètres'!$O$5:$O$7,MATCH(G1183,'Paramètres'!$N$5:$N$7,0)),0))</f>
        <v/>
      </c>
      <c r="AC1183" s="7" t="inlineStr">
        <is>
          <t>Clôturé</t>
        </is>
      </c>
      <c r="AD1183" s="69">
        <f>IF(OR($A1183="",Q1183=""),"",(Q1183-B1183)*24)</f>
        <v/>
      </c>
      <c r="AE1183" s="69">
        <f>IF(OR(Q1183="",R1183=""),"",(R1183-Q1183)*24)</f>
        <v/>
      </c>
      <c r="AF1183" s="77">
        <f>IF(OR($A1183="",B1183=""),"",YEAR(B1183))</f>
        <v/>
      </c>
      <c r="AG1183" s="77">
        <f>IF(OR($A1183="",B1183=""),"",MONTH(B1183))</f>
        <v/>
      </c>
    </row>
    <row r="1184">
      <c r="A1184" s="7" t="inlineStr">
        <is>
          <t>OT-2026-0329</t>
        </is>
      </c>
      <c r="B1184" s="75" t="n">
        <v>46170.75416666667</v>
      </c>
      <c r="C1184" s="7" t="inlineStr">
        <is>
          <t>Inès Girard (cheffe d'équipe)</t>
        </is>
      </c>
      <c r="D1184" s="7" t="inlineStr">
        <is>
          <t>EQ-PEI-004</t>
        </is>
      </c>
      <c r="E1184" s="9">
        <f>IF(D1184="","",IFERROR(INDEX('Équipements'!$B$5:$B$304,MATCH(D1184,'Équipements'!$A$5:$A$304,0)),"Code inconnu"))</f>
        <v/>
      </c>
      <c r="F1184" s="9">
        <f>IF(D1184="","",IFERROR(INDEX('Équipements'!$D$5:$D$304,MATCH(D1184,'Équipements'!$A$5:$A$304,0)),""))</f>
        <v/>
      </c>
      <c r="G1184" s="9">
        <f>IF(D1184="","",IFERROR(INDEX('Équipements'!$K$5:$K$304,MATCH(D1184,'Équipements'!$A$5:$A$304,0)),""))</f>
        <v/>
      </c>
      <c r="H1184" s="7" t="inlineStr">
        <is>
          <t>Correctif</t>
        </is>
      </c>
      <c r="I1184" s="7" t="n"/>
      <c r="J1184" s="7" t="inlineStr">
        <is>
          <t>Électrique</t>
        </is>
      </c>
      <c r="K1184" s="7" t="inlineStr">
        <is>
          <t>P2 - Haute</t>
        </is>
      </c>
      <c r="L1184" s="7" t="inlineStr">
        <is>
          <t>Défaut variateur de vitesse</t>
        </is>
      </c>
      <c r="M1184" s="7" t="inlineStr">
        <is>
          <t>Défaut électrique</t>
        </is>
      </c>
      <c r="N1184" s="7" t="inlineStr">
        <is>
          <t>Remplacement variateur et paramétrage</t>
        </is>
      </c>
      <c r="O1184" s="7" t="inlineStr">
        <is>
          <t>Thomas Petit</t>
        </is>
      </c>
      <c r="P1184" s="65" t="n"/>
      <c r="Q1184" s="75" t="n">
        <v>46170.97986111111</v>
      </c>
      <c r="R1184" s="75" t="n">
        <v>46171.05277777778</v>
      </c>
      <c r="S1184" s="76" t="n">
        <v>0</v>
      </c>
      <c r="T1184" s="76" t="n">
        <v>1.75</v>
      </c>
      <c r="U1184" s="70">
        <f>IF($A1184="","",IFERROR(INDEX('Techniciens'!$F$5:$F$44,MATCH(O1184,'Techniciens'!$B$5:$B$44,0)),'Paramètres'!$AA$10))</f>
        <v/>
      </c>
      <c r="V1184" s="70">
        <f>IF($A1184="","",IF(OR(AC1184="Demandé",AC1184="Planifié",AC1184="Annulé"),0,N(T1184)*N(U1184)))</f>
        <v/>
      </c>
      <c r="W1184" s="70">
        <f>IF($A1184="","",SUMIFS('Mouvements stock'!$H$5:$H$3004,'Mouvements stock'!$I$5:$I$3004,$A1184,'Mouvements stock'!$C$5:$C$3004,"Sortie")-SUMIFS('Mouvements stock'!$H$5:$H$3004,'Mouvements stock'!$I$5:$I$3004,$A1184,'Mouvements stock'!$C$5:$C$3004,"Retour"))</f>
        <v/>
      </c>
      <c r="X1184" s="66" t="n">
        <v>0</v>
      </c>
      <c r="Y1184" s="66" t="n">
        <v>0</v>
      </c>
      <c r="Z1184" s="7" t="n"/>
      <c r="AA1184" s="70">
        <f>IF($A1184="","",N(V1184)+N(W1184)+N(X1184)+N(Y1184))</f>
        <v/>
      </c>
      <c r="AB1184" s="70">
        <f>IF($A1184="","",N(S1184)*'Paramètres'!$AA$9*IFERROR(INDEX('Paramètres'!$O$5:$O$7,MATCH(G1184,'Paramètres'!$N$5:$N$7,0)),0))</f>
        <v/>
      </c>
      <c r="AC1184" s="7" t="inlineStr">
        <is>
          <t>Clôturé</t>
        </is>
      </c>
      <c r="AD1184" s="69">
        <f>IF(OR($A1184="",Q1184=""),"",(Q1184-B1184)*24)</f>
        <v/>
      </c>
      <c r="AE1184" s="69">
        <f>IF(OR(Q1184="",R1184=""),"",(R1184-Q1184)*24)</f>
        <v/>
      </c>
      <c r="AF1184" s="77">
        <f>IF(OR($A1184="",B1184=""),"",YEAR(B1184))</f>
        <v/>
      </c>
      <c r="AG1184" s="77">
        <f>IF(OR($A1184="",B1184=""),"",MONTH(B1184))</f>
        <v/>
      </c>
    </row>
    <row r="1185">
      <c r="A1185" s="7" t="inlineStr">
        <is>
          <t>OT-2026-0330</t>
        </is>
      </c>
      <c r="B1185" s="75" t="n">
        <v>46171.47430555556</v>
      </c>
      <c r="C1185" s="7" t="inlineStr">
        <is>
          <t>Hugo Blanc (chef d'équipe)</t>
        </is>
      </c>
      <c r="D1185" s="7" t="inlineStr">
        <is>
          <t>EQ-SOU-001</t>
        </is>
      </c>
      <c r="E1185" s="9">
        <f>IF(D1185="","",IFERROR(INDEX('Équipements'!$B$5:$B$304,MATCH(D1185,'Équipements'!$A$5:$A$304,0)),"Code inconnu"))</f>
        <v/>
      </c>
      <c r="F1185" s="9">
        <f>IF(D1185="","",IFERROR(INDEX('Équipements'!$D$5:$D$304,MATCH(D1185,'Équipements'!$A$5:$A$304,0)),""))</f>
        <v/>
      </c>
      <c r="G1185" s="9">
        <f>IF(D1185="","",IFERROR(INDEX('Équipements'!$K$5:$K$304,MATCH(D1185,'Équipements'!$A$5:$A$304,0)),""))</f>
        <v/>
      </c>
      <c r="H1185" s="7" t="inlineStr">
        <is>
          <t>Correctif</t>
        </is>
      </c>
      <c r="I1185" s="7" t="n"/>
      <c r="J1185" s="7" t="inlineStr">
        <is>
          <t>Automatisme</t>
        </is>
      </c>
      <c r="K1185" s="7" t="inlineStr">
        <is>
          <t>P1 - Urgent</t>
        </is>
      </c>
      <c r="L1185" s="7" t="inlineStr">
        <is>
          <t>Défaut collision robot</t>
        </is>
      </c>
      <c r="M1185" s="7" t="inlineStr">
        <is>
          <t>Erreur opérateur</t>
        </is>
      </c>
      <c r="N1185" s="7" t="inlineStr">
        <is>
          <t>Recalage TCP, remplacement buse et tube contact</t>
        </is>
      </c>
      <c r="O1185" s="7" t="inlineStr">
        <is>
          <t>Sophie Garnier</t>
        </is>
      </c>
      <c r="P1185" s="65" t="n"/>
      <c r="Q1185" s="75" t="n">
        <v>46171.48611111111</v>
      </c>
      <c r="R1185" s="75" t="n">
        <v>46172.05902777778</v>
      </c>
      <c r="S1185" s="76" t="n">
        <v>14</v>
      </c>
      <c r="T1185" s="76" t="n">
        <v>13.75</v>
      </c>
      <c r="U1185" s="70">
        <f>IF($A1185="","",IFERROR(INDEX('Techniciens'!$F$5:$F$44,MATCH(O1185,'Techniciens'!$B$5:$B$44,0)),'Paramètres'!$AA$10))</f>
        <v/>
      </c>
      <c r="V1185" s="70">
        <f>IF($A1185="","",IF(OR(AC1185="Demandé",AC1185="Planifié",AC1185="Annulé"),0,N(T1185)*N(U1185)))</f>
        <v/>
      </c>
      <c r="W1185" s="70">
        <f>IF($A1185="","",SUMIFS('Mouvements stock'!$H$5:$H$3004,'Mouvements stock'!$I$5:$I$3004,$A1185,'Mouvements stock'!$C$5:$C$3004,"Sortie")-SUMIFS('Mouvements stock'!$H$5:$H$3004,'Mouvements stock'!$I$5:$I$3004,$A1185,'Mouvements stock'!$C$5:$C$3004,"Retour"))</f>
        <v/>
      </c>
      <c r="X1185" s="66" t="n">
        <v>0</v>
      </c>
      <c r="Y1185" s="66" t="n">
        <v>0</v>
      </c>
      <c r="Z1185" s="7" t="n"/>
      <c r="AA1185" s="70">
        <f>IF($A1185="","",N(V1185)+N(W1185)+N(X1185)+N(Y1185))</f>
        <v/>
      </c>
      <c r="AB1185" s="70">
        <f>IF($A1185="","",N(S1185)*'Paramètres'!$AA$9*IFERROR(INDEX('Paramètres'!$O$5:$O$7,MATCH(G1185,'Paramètres'!$N$5:$N$7,0)),0))</f>
        <v/>
      </c>
      <c r="AC1185" s="7" t="inlineStr">
        <is>
          <t>Clôturé</t>
        </is>
      </c>
      <c r="AD1185" s="69">
        <f>IF(OR($A1185="",Q1185=""),"",(Q1185-B1185)*24)</f>
        <v/>
      </c>
      <c r="AE1185" s="69">
        <f>IF(OR(Q1185="",R1185=""),"",(R1185-Q1185)*24)</f>
        <v/>
      </c>
      <c r="AF1185" s="77">
        <f>IF(OR($A1185="",B1185=""),"",YEAR(B1185))</f>
        <v/>
      </c>
      <c r="AG1185" s="77">
        <f>IF(OR($A1185="",B1185=""),"",MONTH(B1185))</f>
        <v/>
      </c>
    </row>
    <row r="1186">
      <c r="A1186" s="7" t="inlineStr">
        <is>
          <t>OT-2026-0331</t>
        </is>
      </c>
      <c r="B1186" s="75" t="n">
        <v>46172.31736111111</v>
      </c>
      <c r="C1186" s="7" t="inlineStr">
        <is>
          <t>Opérateur tôlerie</t>
        </is>
      </c>
      <c r="D1186" s="7" t="inlineStr">
        <is>
          <t>EQ-TOL-002</t>
        </is>
      </c>
      <c r="E1186" s="9">
        <f>IF(D1186="","",IFERROR(INDEX('Équipements'!$B$5:$B$304,MATCH(D1186,'Équipements'!$A$5:$A$304,0)),"Code inconnu"))</f>
        <v/>
      </c>
      <c r="F1186" s="9">
        <f>IF(D1186="","",IFERROR(INDEX('Équipements'!$D$5:$D$304,MATCH(D1186,'Équipements'!$A$5:$A$304,0)),""))</f>
        <v/>
      </c>
      <c r="G1186" s="9">
        <f>IF(D1186="","",IFERROR(INDEX('Équipements'!$K$5:$K$304,MATCH(D1186,'Équipements'!$A$5:$A$304,0)),""))</f>
        <v/>
      </c>
      <c r="H1186" s="7" t="inlineStr">
        <is>
          <t>Correctif</t>
        </is>
      </c>
      <c r="I1186" s="7" t="n"/>
      <c r="J1186" s="7" t="inlineStr">
        <is>
          <t>Hydraulique</t>
        </is>
      </c>
      <c r="K1186" s="7" t="inlineStr">
        <is>
          <t>P1 - Urgent</t>
        </is>
      </c>
      <c r="L1186" s="7" t="inlineStr">
        <is>
          <t>Pompe hydraulique bruyante</t>
        </is>
      </c>
      <c r="M1186" s="7" t="inlineStr">
        <is>
          <t>Usure</t>
        </is>
      </c>
      <c r="N1186" s="7" t="inlineStr">
        <is>
          <t>Remplacement accouplement, contrôle débit pompe</t>
        </is>
      </c>
      <c r="O1186" s="7" t="inlineStr">
        <is>
          <t>Antoine Mercier</t>
        </is>
      </c>
      <c r="P1186" s="65" t="n"/>
      <c r="Q1186" s="75" t="n">
        <v>46172.35277777778</v>
      </c>
      <c r="R1186" s="75" t="n">
        <v>46172.51944444444</v>
      </c>
      <c r="S1186" s="76" t="n">
        <v>4.9</v>
      </c>
      <c r="T1186" s="76" t="n">
        <v>4</v>
      </c>
      <c r="U1186" s="70">
        <f>IF($A1186="","",IFERROR(INDEX('Techniciens'!$F$5:$F$44,MATCH(O1186,'Techniciens'!$B$5:$B$44,0)),'Paramètres'!$AA$10))</f>
        <v/>
      </c>
      <c r="V1186" s="70">
        <f>IF($A1186="","",IF(OR(AC1186="Demandé",AC1186="Planifié",AC1186="Annulé"),0,N(T1186)*N(U1186)))</f>
        <v/>
      </c>
      <c r="W1186" s="70">
        <f>IF($A1186="","",SUMIFS('Mouvements stock'!$H$5:$H$3004,'Mouvements stock'!$I$5:$I$3004,$A1186,'Mouvements stock'!$C$5:$C$3004,"Sortie")-SUMIFS('Mouvements stock'!$H$5:$H$3004,'Mouvements stock'!$I$5:$I$3004,$A1186,'Mouvements stock'!$C$5:$C$3004,"Retour"))</f>
        <v/>
      </c>
      <c r="X1186" s="66" t="n">
        <v>0</v>
      </c>
      <c r="Y1186" s="66" t="n">
        <v>710</v>
      </c>
      <c r="Z1186" s="7" t="inlineStr">
        <is>
          <t>HydroFluid Services</t>
        </is>
      </c>
      <c r="AA1186" s="70">
        <f>IF($A1186="","",N(V1186)+N(W1186)+N(X1186)+N(Y1186))</f>
        <v/>
      </c>
      <c r="AB1186" s="70">
        <f>IF($A1186="","",N(S1186)*'Paramètres'!$AA$9*IFERROR(INDEX('Paramètres'!$O$5:$O$7,MATCH(G1186,'Paramètres'!$N$5:$N$7,0)),0))</f>
        <v/>
      </c>
      <c r="AC1186" s="7" t="inlineStr">
        <is>
          <t>Clôturé</t>
        </is>
      </c>
      <c r="AD1186" s="69">
        <f>IF(OR($A1186="",Q1186=""),"",(Q1186-B1186)*24)</f>
        <v/>
      </c>
      <c r="AE1186" s="69">
        <f>IF(OR(Q1186="",R1186=""),"",(R1186-Q1186)*24)</f>
        <v/>
      </c>
      <c r="AF1186" s="77">
        <f>IF(OR($A1186="",B1186=""),"",YEAR(B1186))</f>
        <v/>
      </c>
      <c r="AG1186" s="77">
        <f>IF(OR($A1186="",B1186=""),"",MONTH(B1186))</f>
        <v/>
      </c>
    </row>
    <row r="1187">
      <c r="A1187" s="7" t="inlineStr">
        <is>
          <t>OT-2026-0332</t>
        </is>
      </c>
      <c r="B1187" s="75" t="n">
        <v>46172.575</v>
      </c>
      <c r="C1187" s="7" t="inlineStr">
        <is>
          <t>Opérateur soudure</t>
        </is>
      </c>
      <c r="D1187" s="7" t="inlineStr">
        <is>
          <t>EQ-SOU-005</t>
        </is>
      </c>
      <c r="E1187" s="9">
        <f>IF(D1187="","",IFERROR(INDEX('Équipements'!$B$5:$B$304,MATCH(D1187,'Équipements'!$A$5:$A$304,0)),"Code inconnu"))</f>
        <v/>
      </c>
      <c r="F1187" s="9">
        <f>IF(D1187="","",IFERROR(INDEX('Équipements'!$D$5:$D$304,MATCH(D1187,'Équipements'!$A$5:$A$304,0)),""))</f>
        <v/>
      </c>
      <c r="G1187" s="9">
        <f>IF(D1187="","",IFERROR(INDEX('Équipements'!$K$5:$K$304,MATCH(D1187,'Équipements'!$A$5:$A$304,0)),""))</f>
        <v/>
      </c>
      <c r="H1187" s="7" t="inlineStr">
        <is>
          <t>Correctif</t>
        </is>
      </c>
      <c r="I1187" s="7" t="n"/>
      <c r="J1187" s="7" t="inlineStr">
        <is>
          <t>Mécanique</t>
        </is>
      </c>
      <c r="K1187" s="7" t="inlineStr">
        <is>
          <t>P2 - Haute</t>
        </is>
      </c>
      <c r="L1187" s="7" t="inlineStr">
        <is>
          <t>Groupe en défaut haute pression</t>
        </is>
      </c>
      <c r="M1187" s="7" t="inlineStr">
        <is>
          <t>Encrassement</t>
        </is>
      </c>
      <c r="N1187" s="7" t="inlineStr">
        <is>
          <t>Nettoyage condenseur, contrôle charge fluide</t>
        </is>
      </c>
      <c r="O1187" s="7" t="inlineStr">
        <is>
          <t>Karim Benali</t>
        </is>
      </c>
      <c r="P1187" s="65" t="n"/>
      <c r="Q1187" s="75" t="n">
        <v>46172.69097222222</v>
      </c>
      <c r="R1187" s="75" t="n">
        <v>46172.97222222222</v>
      </c>
      <c r="S1187" s="76" t="n">
        <v>0</v>
      </c>
      <c r="T1187" s="76" t="n">
        <v>6.75</v>
      </c>
      <c r="U1187" s="70">
        <f>IF($A1187="","",IFERROR(INDEX('Techniciens'!$F$5:$F$44,MATCH(O1187,'Techniciens'!$B$5:$B$44,0)),'Paramètres'!$AA$10))</f>
        <v/>
      </c>
      <c r="V1187" s="70">
        <f>IF($A1187="","",IF(OR(AC1187="Demandé",AC1187="Planifié",AC1187="Annulé"),0,N(T1187)*N(U1187)))</f>
        <v/>
      </c>
      <c r="W1187" s="70">
        <f>IF($A1187="","",SUMIFS('Mouvements stock'!$H$5:$H$3004,'Mouvements stock'!$I$5:$I$3004,$A1187,'Mouvements stock'!$C$5:$C$3004,"Sortie")-SUMIFS('Mouvements stock'!$H$5:$H$3004,'Mouvements stock'!$I$5:$I$3004,$A1187,'Mouvements stock'!$C$5:$C$3004,"Retour"))</f>
        <v/>
      </c>
      <c r="X1187" s="66" t="n">
        <v>0</v>
      </c>
      <c r="Y1187" s="66" t="n">
        <v>0</v>
      </c>
      <c r="Z1187" s="7" t="n"/>
      <c r="AA1187" s="70">
        <f>IF($A1187="","",N(V1187)+N(W1187)+N(X1187)+N(Y1187))</f>
        <v/>
      </c>
      <c r="AB1187" s="70">
        <f>IF($A1187="","",N(S1187)*'Paramètres'!$AA$9*IFERROR(INDEX('Paramètres'!$O$5:$O$7,MATCH(G1187,'Paramètres'!$N$5:$N$7,0)),0))</f>
        <v/>
      </c>
      <c r="AC1187" s="7" t="inlineStr">
        <is>
          <t>Clôturé</t>
        </is>
      </c>
      <c r="AD1187" s="69">
        <f>IF(OR($A1187="",Q1187=""),"",(Q1187-B1187)*24)</f>
        <v/>
      </c>
      <c r="AE1187" s="69">
        <f>IF(OR(Q1187="",R1187=""),"",(R1187-Q1187)*24)</f>
        <v/>
      </c>
      <c r="AF1187" s="77">
        <f>IF(OR($A1187="",B1187=""),"",YEAR(B1187))</f>
        <v/>
      </c>
      <c r="AG1187" s="77">
        <f>IF(OR($A1187="",B1187=""),"",MONTH(B1187))</f>
        <v/>
      </c>
    </row>
    <row r="1188">
      <c r="A1188" s="7" t="inlineStr">
        <is>
          <t>OT-2026-0333</t>
        </is>
      </c>
      <c r="B1188" s="75" t="n">
        <v>46174.34722222222</v>
      </c>
      <c r="C1188" s="7" t="inlineStr">
        <is>
          <t>Planning réglementaire</t>
        </is>
      </c>
      <c r="D1188" s="7" t="inlineStr">
        <is>
          <t>EQ-BAT-004</t>
        </is>
      </c>
      <c r="E1188" s="9">
        <f>IF(D1188="","",IFERROR(INDEX('Équipements'!$B$5:$B$304,MATCH(D1188,'Équipements'!$A$5:$A$304,0)),"Code inconnu"))</f>
        <v/>
      </c>
      <c r="F1188" s="9">
        <f>IF(D1188="","",IFERROR(INDEX('Équipements'!$D$5:$D$304,MATCH(D1188,'Équipements'!$A$5:$A$304,0)),""))</f>
        <v/>
      </c>
      <c r="G1188" s="9">
        <f>IF(D1188="","",IFERROR(INDEX('Équipements'!$K$5:$K$304,MATCH(D1188,'Équipements'!$A$5:$A$304,0)),""))</f>
        <v/>
      </c>
      <c r="H1188" s="7" t="inlineStr">
        <is>
          <t>Réglementaire</t>
        </is>
      </c>
      <c r="I1188" s="7" t="inlineStr">
        <is>
          <t>CR-018</t>
        </is>
      </c>
      <c r="J1188" s="7" t="inlineStr">
        <is>
          <t>Multi-technique</t>
        </is>
      </c>
      <c r="K1188" s="7" t="inlineStr">
        <is>
          <t>P2 - Haute</t>
        </is>
      </c>
      <c r="L1188" s="7" t="inlineStr">
        <is>
          <t>Vérification semestrielle installation sprinklers</t>
        </is>
      </c>
      <c r="M1188" s="7" t="n"/>
      <c r="N1188" s="7" t="inlineStr">
        <is>
          <t>Contrôle réalisé - rapport reçu</t>
        </is>
      </c>
      <c r="O1188" s="7" t="inlineStr">
        <is>
          <t>Nadia Rousseau</t>
        </is>
      </c>
      <c r="P1188" s="65" t="n">
        <v>46195</v>
      </c>
      <c r="Q1188" s="75" t="n">
        <v>46195.40625</v>
      </c>
      <c r="R1188" s="75" t="n">
        <v>46195.46875</v>
      </c>
      <c r="S1188" s="76" t="n">
        <v>0</v>
      </c>
      <c r="T1188" s="76" t="n">
        <v>1.5</v>
      </c>
      <c r="U1188" s="70">
        <f>IF($A1188="","",IFERROR(INDEX('Techniciens'!$F$5:$F$44,MATCH(O1188,'Techniciens'!$B$5:$B$44,0)),'Paramètres'!$AA$10))</f>
        <v/>
      </c>
      <c r="V1188" s="70">
        <f>IF($A1188="","",IF(OR(AC1188="Demandé",AC1188="Planifié",AC1188="Annulé"),0,N(T1188)*N(U1188)))</f>
        <v/>
      </c>
      <c r="W1188" s="70">
        <f>IF($A1188="","",SUMIFS('Mouvements stock'!$H$5:$H$3004,'Mouvements stock'!$I$5:$I$3004,$A1188,'Mouvements stock'!$C$5:$C$3004,"Sortie")-SUMIFS('Mouvements stock'!$H$5:$H$3004,'Mouvements stock'!$I$5:$I$3004,$A1188,'Mouvements stock'!$C$5:$C$3004,"Retour"))</f>
        <v/>
      </c>
      <c r="X1188" s="66" t="n">
        <v>0</v>
      </c>
      <c r="Y1188" s="66" t="n">
        <v>920</v>
      </c>
      <c r="Z1188" s="7" t="inlineStr">
        <is>
          <t>Sécurité Incendie Ouest</t>
        </is>
      </c>
      <c r="AA1188" s="70">
        <f>IF($A1188="","",N(V1188)+N(W1188)+N(X1188)+N(Y1188))</f>
        <v/>
      </c>
      <c r="AB1188" s="70">
        <f>IF($A1188="","",N(S1188)*'Paramètres'!$AA$9*IFERROR(INDEX('Paramètres'!$O$5:$O$7,MATCH(G1188,'Paramètres'!$N$5:$N$7,0)),0))</f>
        <v/>
      </c>
      <c r="AC1188" s="7" t="inlineStr">
        <is>
          <t>Clôturé</t>
        </is>
      </c>
      <c r="AD1188" s="69">
        <f>IF(OR($A1188="",Q1188=""),"",(Q1188-B1188)*24)</f>
        <v/>
      </c>
      <c r="AE1188" s="69">
        <f>IF(OR(Q1188="",R1188=""),"",(R1188-Q1188)*24)</f>
        <v/>
      </c>
      <c r="AF1188" s="77">
        <f>IF(OR($A1188="",B1188=""),"",YEAR(B1188))</f>
        <v/>
      </c>
      <c r="AG1188" s="77">
        <f>IF(OR($A1188="",B1188=""),"",MONTH(B1188))</f>
        <v/>
      </c>
    </row>
    <row r="1189">
      <c r="A1189" s="7" t="inlineStr">
        <is>
          <t>OT-2026-0334</t>
        </is>
      </c>
      <c r="B1189" s="75" t="n">
        <v>46174.36805555555</v>
      </c>
      <c r="C1189" s="7" t="inlineStr">
        <is>
          <t>Plan préventif</t>
        </is>
      </c>
      <c r="D1189" s="7" t="inlineStr">
        <is>
          <t>EQ-USI-009</t>
        </is>
      </c>
      <c r="E1189" s="9">
        <f>IF(D1189="","",IFERROR(INDEX('Équipements'!$B$5:$B$304,MATCH(D1189,'Équipements'!$A$5:$A$304,0)),"Code inconnu"))</f>
        <v/>
      </c>
      <c r="F1189" s="9">
        <f>IF(D1189="","",IFERROR(INDEX('Équipements'!$D$5:$D$304,MATCH(D1189,'Équipements'!$A$5:$A$304,0)),""))</f>
        <v/>
      </c>
      <c r="G1189" s="9">
        <f>IF(D1189="","",IFERROR(INDEX('Équipements'!$K$5:$K$304,MATCH(D1189,'Équipements'!$A$5:$A$304,0)),""))</f>
        <v/>
      </c>
      <c r="H1189" s="7" t="inlineStr">
        <is>
          <t>Préventif systématique</t>
        </is>
      </c>
      <c r="I1189" s="7" t="inlineStr">
        <is>
          <t>GP-030</t>
        </is>
      </c>
      <c r="J1189" s="7" t="inlineStr">
        <is>
          <t>Mécanique</t>
        </is>
      </c>
      <c r="K1189" s="7" t="inlineStr">
        <is>
          <t>P3 - Normale</t>
        </is>
      </c>
      <c r="L1189" s="7" t="inlineStr">
        <is>
          <t>Contrôle lame, guides et liquide de coupe</t>
        </is>
      </c>
      <c r="M1189" s="7" t="n"/>
      <c r="N1189" s="7" t="inlineStr">
        <is>
          <t>Gamme réalisée - RAS</t>
        </is>
      </c>
      <c r="O1189" s="7" t="inlineStr">
        <is>
          <t>Karim Benali</t>
        </is>
      </c>
      <c r="P1189" s="65" t="n">
        <v>46181.52083333334</v>
      </c>
      <c r="Q1189" s="75" t="n">
        <v>46181.47222222222</v>
      </c>
      <c r="R1189" s="75" t="n">
        <v>46181.50347222222</v>
      </c>
      <c r="S1189" s="76" t="n">
        <v>0.4</v>
      </c>
      <c r="T1189" s="76" t="n">
        <v>0.75</v>
      </c>
      <c r="U1189" s="70">
        <f>IF($A1189="","",IFERROR(INDEX('Techniciens'!$F$5:$F$44,MATCH(O1189,'Techniciens'!$B$5:$B$44,0)),'Paramètres'!$AA$10))</f>
        <v/>
      </c>
      <c r="V1189" s="70">
        <f>IF($A1189="","",IF(OR(AC1189="Demandé",AC1189="Planifié",AC1189="Annulé"),0,N(T1189)*N(U1189)))</f>
        <v/>
      </c>
      <c r="W1189" s="70">
        <f>IF($A1189="","",SUMIFS('Mouvements stock'!$H$5:$H$3004,'Mouvements stock'!$I$5:$I$3004,$A1189,'Mouvements stock'!$C$5:$C$3004,"Sortie")-SUMIFS('Mouvements stock'!$H$5:$H$3004,'Mouvements stock'!$I$5:$I$3004,$A1189,'Mouvements stock'!$C$5:$C$3004,"Retour"))</f>
        <v/>
      </c>
      <c r="X1189" s="66" t="n">
        <v>0</v>
      </c>
      <c r="Y1189" s="66" t="n">
        <v>0</v>
      </c>
      <c r="Z1189" s="7" t="n"/>
      <c r="AA1189" s="70">
        <f>IF($A1189="","",N(V1189)+N(W1189)+N(X1189)+N(Y1189))</f>
        <v/>
      </c>
      <c r="AB1189" s="70">
        <f>IF($A1189="","",N(S1189)*'Paramètres'!$AA$9*IFERROR(INDEX('Paramètres'!$O$5:$O$7,MATCH(G1189,'Paramètres'!$N$5:$N$7,0)),0))</f>
        <v/>
      </c>
      <c r="AC1189" s="7" t="inlineStr">
        <is>
          <t>Clôturé</t>
        </is>
      </c>
      <c r="AD1189" s="69">
        <f>IF(OR($A1189="",Q1189=""),"",(Q1189-B1189)*24)</f>
        <v/>
      </c>
      <c r="AE1189" s="69">
        <f>IF(OR(Q1189="",R1189=""),"",(R1189-Q1189)*24)</f>
        <v/>
      </c>
      <c r="AF1189" s="77">
        <f>IF(OR($A1189="",B1189=""),"",YEAR(B1189))</f>
        <v/>
      </c>
      <c r="AG1189" s="77">
        <f>IF(OR($A1189="",B1189=""),"",MONTH(B1189))</f>
        <v/>
      </c>
    </row>
    <row r="1190">
      <c r="A1190" s="7" t="inlineStr">
        <is>
          <t>OT-2026-0335</t>
        </is>
      </c>
      <c r="B1190" s="75" t="n">
        <v>46174.43055555555</v>
      </c>
      <c r="C1190" s="7" t="inlineStr">
        <is>
          <t>Marc Lefèvre</t>
        </is>
      </c>
      <c r="D1190" s="7" t="inlineStr">
        <is>
          <t>EQ-BAT-002</t>
        </is>
      </c>
      <c r="E1190" s="9">
        <f>IF(D1190="","",IFERROR(INDEX('Équipements'!$B$5:$B$304,MATCH(D1190,'Équipements'!$A$5:$A$304,0)),"Code inconnu"))</f>
        <v/>
      </c>
      <c r="F1190" s="9">
        <f>IF(D1190="","",IFERROR(INDEX('Équipements'!$D$5:$D$304,MATCH(D1190,'Équipements'!$A$5:$A$304,0)),""))</f>
        <v/>
      </c>
      <c r="G1190" s="9">
        <f>IF(D1190="","",IFERROR(INDEX('Équipements'!$K$5:$K$304,MATCH(D1190,'Équipements'!$A$5:$A$304,0)),""))</f>
        <v/>
      </c>
      <c r="H1190" s="7" t="inlineStr">
        <is>
          <t>Amélioratif</t>
        </is>
      </c>
      <c r="I1190" s="7" t="n"/>
      <c r="J1190" s="7" t="inlineStr">
        <is>
          <t>Électrique</t>
        </is>
      </c>
      <c r="K1190" s="7" t="inlineStr">
        <is>
          <t>P4 - Basse</t>
        </is>
      </c>
      <c r="L1190" s="7" t="inlineStr">
        <is>
          <t>Ajout barre palpeuse de sécurité portail</t>
        </is>
      </c>
      <c r="M1190" s="7" t="n"/>
      <c r="N1190" s="7" t="inlineStr">
        <is>
          <t>Réalisé conformément au devis / dossier technique</t>
        </is>
      </c>
      <c r="O1190" s="7" t="inlineStr">
        <is>
          <t>Julien Moreau</t>
        </is>
      </c>
      <c r="P1190" s="65" t="n">
        <v>46202</v>
      </c>
      <c r="Q1190" s="75" t="n">
        <v>46202.40972222222</v>
      </c>
      <c r="R1190" s="75" t="n">
        <v>46202.64305555556</v>
      </c>
      <c r="S1190" s="76" t="n">
        <v>0</v>
      </c>
      <c r="T1190" s="76" t="n">
        <v>4</v>
      </c>
      <c r="U1190" s="70">
        <f>IF($A1190="","",IFERROR(INDEX('Techniciens'!$F$5:$F$44,MATCH(O1190,'Techniciens'!$B$5:$B$44,0)),'Paramètres'!$AA$10))</f>
        <v/>
      </c>
      <c r="V1190" s="70">
        <f>IF($A1190="","",IF(OR(AC1190="Demandé",AC1190="Planifié",AC1190="Annulé"),0,N(T1190)*N(U1190)))</f>
        <v/>
      </c>
      <c r="W1190" s="70">
        <f>IF($A1190="","",SUMIFS('Mouvements stock'!$H$5:$H$3004,'Mouvements stock'!$I$5:$I$3004,$A1190,'Mouvements stock'!$C$5:$C$3004,"Sortie")-SUMIFS('Mouvements stock'!$H$5:$H$3004,'Mouvements stock'!$I$5:$I$3004,$A1190,'Mouvements stock'!$C$5:$C$3004,"Retour"))</f>
        <v/>
      </c>
      <c r="X1190" s="66" t="n">
        <v>380</v>
      </c>
      <c r="Y1190" s="66" t="n">
        <v>0</v>
      </c>
      <c r="Z1190" s="7" t="n"/>
      <c r="AA1190" s="70">
        <f>IF($A1190="","",N(V1190)+N(W1190)+N(X1190)+N(Y1190))</f>
        <v/>
      </c>
      <c r="AB1190" s="70">
        <f>IF($A1190="","",N(S1190)*'Paramètres'!$AA$9*IFERROR(INDEX('Paramètres'!$O$5:$O$7,MATCH(G1190,'Paramètres'!$N$5:$N$7,0)),0))</f>
        <v/>
      </c>
      <c r="AC1190" s="7" t="inlineStr">
        <is>
          <t>Clôturé</t>
        </is>
      </c>
      <c r="AD1190" s="69">
        <f>IF(OR($A1190="",Q1190=""),"",(Q1190-B1190)*24)</f>
        <v/>
      </c>
      <c r="AE1190" s="69">
        <f>IF(OR(Q1190="",R1190=""),"",(R1190-Q1190)*24)</f>
        <v/>
      </c>
      <c r="AF1190" s="77">
        <f>IF(OR($A1190="",B1190=""),"",YEAR(B1190))</f>
        <v/>
      </c>
      <c r="AG1190" s="77">
        <f>IF(OR($A1190="",B1190=""),"",MONTH(B1190))</f>
        <v/>
      </c>
    </row>
    <row r="1191">
      <c r="A1191" s="7" t="inlineStr">
        <is>
          <t>OT-2026-0336</t>
        </is>
      </c>
      <c r="B1191" s="75" t="n">
        <v>46174.45138888889</v>
      </c>
      <c r="C1191" s="7" t="inlineStr">
        <is>
          <t>Plan préventif</t>
        </is>
      </c>
      <c r="D1191" s="7" t="inlineStr">
        <is>
          <t>EQ-PEI-003</t>
        </is>
      </c>
      <c r="E1191" s="9">
        <f>IF(D1191="","",IFERROR(INDEX('Équipements'!$B$5:$B$304,MATCH(D1191,'Équipements'!$A$5:$A$304,0)),"Code inconnu"))</f>
        <v/>
      </c>
      <c r="F1191" s="9">
        <f>IF(D1191="","",IFERROR(INDEX('Équipements'!$D$5:$D$304,MATCH(D1191,'Équipements'!$A$5:$A$304,0)),""))</f>
        <v/>
      </c>
      <c r="G1191" s="9">
        <f>IF(D1191="","",IFERROR(INDEX('Équipements'!$K$5:$K$304,MATCH(D1191,'Équipements'!$A$5:$A$304,0)),""))</f>
        <v/>
      </c>
      <c r="H1191" s="7" t="inlineStr">
        <is>
          <t>Préventif systématique</t>
        </is>
      </c>
      <c r="I1191" s="7" t="inlineStr">
        <is>
          <t>GP-071</t>
        </is>
      </c>
      <c r="J1191" s="7" t="inlineStr">
        <is>
          <t>Multi-technique</t>
        </is>
      </c>
      <c r="K1191" s="7" t="inlineStr">
        <is>
          <t>P3 - Normale</t>
        </is>
      </c>
      <c r="L1191" s="7" t="inlineStr">
        <is>
          <t>Contrôle ventilation, brûleurs, pompes et sécurités</t>
        </is>
      </c>
      <c r="M1191" s="7" t="n"/>
      <c r="N1191" s="7" t="inlineStr">
        <is>
          <t>Gamme réalisée - RAS</t>
        </is>
      </c>
      <c r="O1191" s="7" t="inlineStr">
        <is>
          <t>Antoine Mercier</t>
        </is>
      </c>
      <c r="P1191" s="65" t="n">
        <v>46181.55555555555</v>
      </c>
      <c r="Q1191" s="75" t="n">
        <v>46181.47916666666</v>
      </c>
      <c r="R1191" s="75" t="n">
        <v>46181.6875</v>
      </c>
      <c r="S1191" s="76" t="n">
        <v>2.5</v>
      </c>
      <c r="T1191" s="76" t="n">
        <v>5</v>
      </c>
      <c r="U1191" s="70">
        <f>IF($A1191="","",IFERROR(INDEX('Techniciens'!$F$5:$F$44,MATCH(O1191,'Techniciens'!$B$5:$B$44,0)),'Paramètres'!$AA$10))</f>
        <v/>
      </c>
      <c r="V1191" s="70">
        <f>IF($A1191="","",IF(OR(AC1191="Demandé",AC1191="Planifié",AC1191="Annulé"),0,N(T1191)*N(U1191)))</f>
        <v/>
      </c>
      <c r="W1191" s="70">
        <f>IF($A1191="","",SUMIFS('Mouvements stock'!$H$5:$H$3004,'Mouvements stock'!$I$5:$I$3004,$A1191,'Mouvements stock'!$C$5:$C$3004,"Sortie")-SUMIFS('Mouvements stock'!$H$5:$H$3004,'Mouvements stock'!$I$5:$I$3004,$A1191,'Mouvements stock'!$C$5:$C$3004,"Retour"))</f>
        <v/>
      </c>
      <c r="X1191" s="66" t="n">
        <v>0</v>
      </c>
      <c r="Y1191" s="66" t="n">
        <v>0</v>
      </c>
      <c r="Z1191" s="7" t="n"/>
      <c r="AA1191" s="70">
        <f>IF($A1191="","",N(V1191)+N(W1191)+N(X1191)+N(Y1191))</f>
        <v/>
      </c>
      <c r="AB1191" s="70">
        <f>IF($A1191="","",N(S1191)*'Paramètres'!$AA$9*IFERROR(INDEX('Paramètres'!$O$5:$O$7,MATCH(G1191,'Paramètres'!$N$5:$N$7,0)),0))</f>
        <v/>
      </c>
      <c r="AC1191" s="7" t="inlineStr">
        <is>
          <t>Clôturé</t>
        </is>
      </c>
      <c r="AD1191" s="69">
        <f>IF(OR($A1191="",Q1191=""),"",(Q1191-B1191)*24)</f>
        <v/>
      </c>
      <c r="AE1191" s="69">
        <f>IF(OR(Q1191="",R1191=""),"",(R1191-Q1191)*24)</f>
        <v/>
      </c>
      <c r="AF1191" s="77">
        <f>IF(OR($A1191="",B1191=""),"",YEAR(B1191))</f>
        <v/>
      </c>
      <c r="AG1191" s="77">
        <f>IF(OR($A1191="",B1191=""),"",MONTH(B1191))</f>
        <v/>
      </c>
    </row>
    <row r="1192">
      <c r="A1192" s="7" t="inlineStr">
        <is>
          <t>OT-2026-0337</t>
        </is>
      </c>
      <c r="B1192" s="75" t="n">
        <v>46174.47916666666</v>
      </c>
      <c r="C1192" s="7" t="inlineStr">
        <is>
          <t>Plan préventif</t>
        </is>
      </c>
      <c r="D1192" s="7" t="inlineStr">
        <is>
          <t>EQ-USI-001</t>
        </is>
      </c>
      <c r="E1192" s="9">
        <f>IF(D1192="","",IFERROR(INDEX('Équipements'!$B$5:$B$304,MATCH(D1192,'Équipements'!$A$5:$A$304,0)),"Code inconnu"))</f>
        <v/>
      </c>
      <c r="F1192" s="9">
        <f>IF(D1192="","",IFERROR(INDEX('Équipements'!$D$5:$D$304,MATCH(D1192,'Équipements'!$A$5:$A$304,0)),""))</f>
        <v/>
      </c>
      <c r="G1192" s="9">
        <f>IF(D1192="","",IFERROR(INDEX('Équipements'!$K$5:$K$304,MATCH(D1192,'Équipements'!$A$5:$A$304,0)),""))</f>
        <v/>
      </c>
      <c r="H1192" s="7" t="inlineStr">
        <is>
          <t>Préventif systématique</t>
        </is>
      </c>
      <c r="I1192" s="7" t="inlineStr">
        <is>
          <t>GP-001</t>
        </is>
      </c>
      <c r="J1192" s="7" t="inlineStr">
        <is>
          <t>Mécanique</t>
        </is>
      </c>
      <c r="K1192" s="7" t="inlineStr">
        <is>
          <t>P3 - Normale</t>
        </is>
      </c>
      <c r="L1192" s="7" t="inlineStr">
        <is>
          <t>Contrôle niveaux, nettoyage filtres et bac à copeaux</t>
        </is>
      </c>
      <c r="M1192" s="7" t="n"/>
      <c r="N1192" s="7" t="inlineStr">
        <is>
          <t>Gamme réalisée - RAS</t>
        </is>
      </c>
      <c r="O1192" s="7" t="inlineStr">
        <is>
          <t>Antoine Mercier</t>
        </is>
      </c>
      <c r="P1192" s="65" t="n">
        <v>46181.44097222222</v>
      </c>
      <c r="Q1192" s="75" t="n">
        <v>46181.57291666666</v>
      </c>
      <c r="R1192" s="75" t="n">
        <v>46181.64583333334</v>
      </c>
      <c r="S1192" s="76" t="n">
        <v>0.9</v>
      </c>
      <c r="T1192" s="76" t="n">
        <v>1.75</v>
      </c>
      <c r="U1192" s="70">
        <f>IF($A1192="","",IFERROR(INDEX('Techniciens'!$F$5:$F$44,MATCH(O1192,'Techniciens'!$B$5:$B$44,0)),'Paramètres'!$AA$10))</f>
        <v/>
      </c>
      <c r="V1192" s="70">
        <f>IF($A1192="","",IF(OR(AC1192="Demandé",AC1192="Planifié",AC1192="Annulé"),0,N(T1192)*N(U1192)))</f>
        <v/>
      </c>
      <c r="W1192" s="70">
        <f>IF($A1192="","",SUMIFS('Mouvements stock'!$H$5:$H$3004,'Mouvements stock'!$I$5:$I$3004,$A1192,'Mouvements stock'!$C$5:$C$3004,"Sortie")-SUMIFS('Mouvements stock'!$H$5:$H$3004,'Mouvements stock'!$I$5:$I$3004,$A1192,'Mouvements stock'!$C$5:$C$3004,"Retour"))</f>
        <v/>
      </c>
      <c r="X1192" s="66" t="n">
        <v>0</v>
      </c>
      <c r="Y1192" s="66" t="n">
        <v>0</v>
      </c>
      <c r="Z1192" s="7" t="n"/>
      <c r="AA1192" s="70">
        <f>IF($A1192="","",N(V1192)+N(W1192)+N(X1192)+N(Y1192))</f>
        <v/>
      </c>
      <c r="AB1192" s="70">
        <f>IF($A1192="","",N(S1192)*'Paramètres'!$AA$9*IFERROR(INDEX('Paramètres'!$O$5:$O$7,MATCH(G1192,'Paramètres'!$N$5:$N$7,0)),0))</f>
        <v/>
      </c>
      <c r="AC1192" s="7" t="inlineStr">
        <is>
          <t>Clôturé</t>
        </is>
      </c>
      <c r="AD1192" s="69">
        <f>IF(OR($A1192="",Q1192=""),"",(Q1192-B1192)*24)</f>
        <v/>
      </c>
      <c r="AE1192" s="69">
        <f>IF(OR(Q1192="",R1192=""),"",(R1192-Q1192)*24)</f>
        <v/>
      </c>
      <c r="AF1192" s="77">
        <f>IF(OR($A1192="",B1192=""),"",YEAR(B1192))</f>
        <v/>
      </c>
      <c r="AG1192" s="77">
        <f>IF(OR($A1192="",B1192=""),"",MONTH(B1192))</f>
        <v/>
      </c>
    </row>
    <row r="1193">
      <c r="A1193" s="7" t="inlineStr">
        <is>
          <t>OT-2026-0338</t>
        </is>
      </c>
      <c r="B1193" s="75" t="n">
        <v>46174.53611111111</v>
      </c>
      <c r="C1193" s="7" t="inlineStr">
        <is>
          <t>Cariste</t>
        </is>
      </c>
      <c r="D1193" s="7" t="inlineStr">
        <is>
          <t>EQ-LOG-001</t>
        </is>
      </c>
      <c r="E1193" s="9">
        <f>IF(D1193="","",IFERROR(INDEX('Équipements'!$B$5:$B$304,MATCH(D1193,'Équipements'!$A$5:$A$304,0)),"Code inconnu"))</f>
        <v/>
      </c>
      <c r="F1193" s="9">
        <f>IF(D1193="","",IFERROR(INDEX('Équipements'!$D$5:$D$304,MATCH(D1193,'Équipements'!$A$5:$A$304,0)),""))</f>
        <v/>
      </c>
      <c r="G1193" s="9">
        <f>IF(D1193="","",IFERROR(INDEX('Équipements'!$K$5:$K$304,MATCH(D1193,'Équipements'!$A$5:$A$304,0)),""))</f>
        <v/>
      </c>
      <c r="H1193" s="7" t="inlineStr">
        <is>
          <t>Correctif</t>
        </is>
      </c>
      <c r="I1193" s="7" t="n"/>
      <c r="J1193" s="7" t="inlineStr">
        <is>
          <t>Hydraulique</t>
        </is>
      </c>
      <c r="K1193" s="7" t="inlineStr">
        <is>
          <t>P4 - Basse</t>
        </is>
      </c>
      <c r="L1193" s="7" t="inlineStr">
        <is>
          <t>Fuite vérin de levée</t>
        </is>
      </c>
      <c r="M1193" s="7" t="inlineStr">
        <is>
          <t>Fuite</t>
        </is>
      </c>
      <c r="N1193" s="7" t="inlineStr">
        <is>
          <t>Remplacement kit joints</t>
        </is>
      </c>
      <c r="O1193" s="7" t="inlineStr">
        <is>
          <t>Antoine Mercier</t>
        </is>
      </c>
      <c r="P1193" s="65" t="n"/>
      <c r="Q1193" s="75" t="n">
        <v>46176.98611111111</v>
      </c>
      <c r="R1193" s="75" t="n">
        <v>46177.14236111111</v>
      </c>
      <c r="S1193" s="76" t="n">
        <v>0</v>
      </c>
      <c r="T1193" s="76" t="n">
        <v>3.75</v>
      </c>
      <c r="U1193" s="70">
        <f>IF($A1193="","",IFERROR(INDEX('Techniciens'!$F$5:$F$44,MATCH(O1193,'Techniciens'!$B$5:$B$44,0)),'Paramètres'!$AA$10))</f>
        <v/>
      </c>
      <c r="V1193" s="70">
        <f>IF($A1193="","",IF(OR(AC1193="Demandé",AC1193="Planifié",AC1193="Annulé"),0,N(T1193)*N(U1193)))</f>
        <v/>
      </c>
      <c r="W1193" s="70">
        <f>IF($A1193="","",SUMIFS('Mouvements stock'!$H$5:$H$3004,'Mouvements stock'!$I$5:$I$3004,$A1193,'Mouvements stock'!$C$5:$C$3004,"Sortie")-SUMIFS('Mouvements stock'!$H$5:$H$3004,'Mouvements stock'!$I$5:$I$3004,$A1193,'Mouvements stock'!$C$5:$C$3004,"Retour"))</f>
        <v/>
      </c>
      <c r="X1193" s="66" t="n">
        <v>0</v>
      </c>
      <c r="Y1193" s="66" t="n">
        <v>420</v>
      </c>
      <c r="Z1193" s="7" t="inlineStr">
        <is>
          <t>Manutention Services 44</t>
        </is>
      </c>
      <c r="AA1193" s="70">
        <f>IF($A1193="","",N(V1193)+N(W1193)+N(X1193)+N(Y1193))</f>
        <v/>
      </c>
      <c r="AB1193" s="70">
        <f>IF($A1193="","",N(S1193)*'Paramètres'!$AA$9*IFERROR(INDEX('Paramètres'!$O$5:$O$7,MATCH(G1193,'Paramètres'!$N$5:$N$7,0)),0))</f>
        <v/>
      </c>
      <c r="AC1193" s="7" t="inlineStr">
        <is>
          <t>Clôturé</t>
        </is>
      </c>
      <c r="AD1193" s="69">
        <f>IF(OR($A1193="",Q1193=""),"",(Q1193-B1193)*24)</f>
        <v/>
      </c>
      <c r="AE1193" s="69">
        <f>IF(OR(Q1193="",R1193=""),"",(R1193-Q1193)*24)</f>
        <v/>
      </c>
      <c r="AF1193" s="77">
        <f>IF(OR($A1193="",B1193=""),"",YEAR(B1193))</f>
        <v/>
      </c>
      <c r="AG1193" s="77">
        <f>IF(OR($A1193="",B1193=""),"",MONTH(B1193))</f>
        <v/>
      </c>
    </row>
    <row r="1194">
      <c r="A1194" s="7" t="inlineStr">
        <is>
          <t>OT-2026-0339</t>
        </is>
      </c>
      <c r="B1194" s="75" t="n">
        <v>46175.36666666667</v>
      </c>
      <c r="C1194" s="7" t="inlineStr">
        <is>
          <t>Marc Lefèvre</t>
        </is>
      </c>
      <c r="D1194" s="7" t="inlineStr">
        <is>
          <t>EQ-BAT-003</t>
        </is>
      </c>
      <c r="E1194" s="9">
        <f>IF(D1194="","",IFERROR(INDEX('Équipements'!$B$5:$B$304,MATCH(D1194,'Équipements'!$A$5:$A$304,0)),"Code inconnu"))</f>
        <v/>
      </c>
      <c r="F1194" s="9">
        <f>IF(D1194="","",IFERROR(INDEX('Équipements'!$D$5:$D$304,MATCH(D1194,'Équipements'!$A$5:$A$304,0)),""))</f>
        <v/>
      </c>
      <c r="G1194" s="9">
        <f>IF(D1194="","",IFERROR(INDEX('Équipements'!$K$5:$K$304,MATCH(D1194,'Équipements'!$A$5:$A$304,0)),""))</f>
        <v/>
      </c>
      <c r="H1194" s="7" t="inlineStr">
        <is>
          <t>Correctif</t>
        </is>
      </c>
      <c r="I1194" s="7" t="n"/>
      <c r="J1194" s="7" t="inlineStr">
        <is>
          <t>Mécanique</t>
        </is>
      </c>
      <c r="K1194" s="7" t="inlineStr">
        <is>
          <t>P4 - Basse</t>
        </is>
      </c>
      <c r="L1194" s="7" t="inlineStr">
        <is>
          <t>Groupe en défaut haute pression</t>
        </is>
      </c>
      <c r="M1194" s="7" t="inlineStr">
        <is>
          <t>Encrassement</t>
        </is>
      </c>
      <c r="N1194" s="7" t="inlineStr">
        <is>
          <t>Nettoyage condenseur, contrôle charge fluide</t>
        </is>
      </c>
      <c r="O1194" s="7" t="inlineStr">
        <is>
          <t>Karim Benali</t>
        </is>
      </c>
      <c r="P1194" s="65" t="n"/>
      <c r="Q1194" s="75" t="n">
        <v>46181.55763888889</v>
      </c>
      <c r="R1194" s="75" t="n">
        <v>46181.68263888889</v>
      </c>
      <c r="S1194" s="76" t="n">
        <v>0</v>
      </c>
      <c r="T1194" s="76" t="n">
        <v>3</v>
      </c>
      <c r="U1194" s="70">
        <f>IF($A1194="","",IFERROR(INDEX('Techniciens'!$F$5:$F$44,MATCH(O1194,'Techniciens'!$B$5:$B$44,0)),'Paramètres'!$AA$10))</f>
        <v/>
      </c>
      <c r="V1194" s="70">
        <f>IF($A1194="","",IF(OR(AC1194="Demandé",AC1194="Planifié",AC1194="Annulé"),0,N(T1194)*N(U1194)))</f>
        <v/>
      </c>
      <c r="W1194" s="70">
        <f>IF($A1194="","",SUMIFS('Mouvements stock'!$H$5:$H$3004,'Mouvements stock'!$I$5:$I$3004,$A1194,'Mouvements stock'!$C$5:$C$3004,"Sortie")-SUMIFS('Mouvements stock'!$H$5:$H$3004,'Mouvements stock'!$I$5:$I$3004,$A1194,'Mouvements stock'!$C$5:$C$3004,"Retour"))</f>
        <v/>
      </c>
      <c r="X1194" s="66" t="n">
        <v>0</v>
      </c>
      <c r="Y1194" s="66" t="n">
        <v>0</v>
      </c>
      <c r="Z1194" s="7" t="n"/>
      <c r="AA1194" s="70">
        <f>IF($A1194="","",N(V1194)+N(W1194)+N(X1194)+N(Y1194))</f>
        <v/>
      </c>
      <c r="AB1194" s="70">
        <f>IF($A1194="","",N(S1194)*'Paramètres'!$AA$9*IFERROR(INDEX('Paramètres'!$O$5:$O$7,MATCH(G1194,'Paramètres'!$N$5:$N$7,0)),0))</f>
        <v/>
      </c>
      <c r="AC1194" s="7" t="inlineStr">
        <is>
          <t>Clôturé</t>
        </is>
      </c>
      <c r="AD1194" s="69">
        <f>IF(OR($A1194="",Q1194=""),"",(Q1194-B1194)*24)</f>
        <v/>
      </c>
      <c r="AE1194" s="69">
        <f>IF(OR(Q1194="",R1194=""),"",(R1194-Q1194)*24)</f>
        <v/>
      </c>
      <c r="AF1194" s="77">
        <f>IF(OR($A1194="",B1194=""),"",YEAR(B1194))</f>
        <v/>
      </c>
      <c r="AG1194" s="77">
        <f>IF(OR($A1194="",B1194=""),"",MONTH(B1194))</f>
        <v/>
      </c>
    </row>
    <row r="1195">
      <c r="A1195" s="7" t="inlineStr">
        <is>
          <t>OT-2026-0340</t>
        </is>
      </c>
      <c r="B1195" s="75" t="n">
        <v>46175.40486111111</v>
      </c>
      <c r="C1195" s="7" t="inlineStr">
        <is>
          <t>Céline Morel (cheffe d'atelier)</t>
        </is>
      </c>
      <c r="D1195" s="7" t="inlineStr">
        <is>
          <t>EQ-TOL-005</t>
        </is>
      </c>
      <c r="E1195" s="9">
        <f>IF(D1195="","",IFERROR(INDEX('Équipements'!$B$5:$B$304,MATCH(D1195,'Équipements'!$A$5:$A$304,0)),"Code inconnu"))</f>
        <v/>
      </c>
      <c r="F1195" s="9">
        <f>IF(D1195="","",IFERROR(INDEX('Équipements'!$D$5:$D$304,MATCH(D1195,'Équipements'!$A$5:$A$304,0)),""))</f>
        <v/>
      </c>
      <c r="G1195" s="9">
        <f>IF(D1195="","",IFERROR(INDEX('Équipements'!$K$5:$K$304,MATCH(D1195,'Équipements'!$A$5:$A$304,0)),""))</f>
        <v/>
      </c>
      <c r="H1195" s="7" t="inlineStr">
        <is>
          <t>Correctif</t>
        </is>
      </c>
      <c r="I1195" s="7" t="n"/>
      <c r="J1195" s="7" t="inlineStr">
        <is>
          <t>Électrique</t>
        </is>
      </c>
      <c r="K1195" s="7" t="inlineStr">
        <is>
          <t>P2 - Haute</t>
        </is>
      </c>
      <c r="L1195" s="7" t="inlineStr">
        <is>
          <t>Pédale de commande défectueuse</t>
        </is>
      </c>
      <c r="M1195" s="7" t="inlineStr">
        <is>
          <t>Usure</t>
        </is>
      </c>
      <c r="N1195" s="7" t="inlineStr">
        <is>
          <t>Remplacement contacts de pédale</t>
        </is>
      </c>
      <c r="O1195" s="7" t="inlineStr">
        <is>
          <t>Thomas Petit</t>
        </is>
      </c>
      <c r="P1195" s="65" t="n"/>
      <c r="Q1195" s="75" t="n">
        <v>46175.49444444444</v>
      </c>
      <c r="R1195" s="75" t="n">
        <v>46175.59861111111</v>
      </c>
      <c r="S1195" s="76" t="n">
        <v>4.7</v>
      </c>
      <c r="T1195" s="76" t="n">
        <v>2.5</v>
      </c>
      <c r="U1195" s="70">
        <f>IF($A1195="","",IFERROR(INDEX('Techniciens'!$F$5:$F$44,MATCH(O1195,'Techniciens'!$B$5:$B$44,0)),'Paramètres'!$AA$10))</f>
        <v/>
      </c>
      <c r="V1195" s="70">
        <f>IF($A1195="","",IF(OR(AC1195="Demandé",AC1195="Planifié",AC1195="Annulé"),0,N(T1195)*N(U1195)))</f>
        <v/>
      </c>
      <c r="W1195" s="70">
        <f>IF($A1195="","",SUMIFS('Mouvements stock'!$H$5:$H$3004,'Mouvements stock'!$I$5:$I$3004,$A1195,'Mouvements stock'!$C$5:$C$3004,"Sortie")-SUMIFS('Mouvements stock'!$H$5:$H$3004,'Mouvements stock'!$I$5:$I$3004,$A1195,'Mouvements stock'!$C$5:$C$3004,"Retour"))</f>
        <v/>
      </c>
      <c r="X1195" s="66" t="n">
        <v>775</v>
      </c>
      <c r="Y1195" s="66" t="n">
        <v>0</v>
      </c>
      <c r="Z1195" s="7" t="n"/>
      <c r="AA1195" s="70">
        <f>IF($A1195="","",N(V1195)+N(W1195)+N(X1195)+N(Y1195))</f>
        <v/>
      </c>
      <c r="AB1195" s="70">
        <f>IF($A1195="","",N(S1195)*'Paramètres'!$AA$9*IFERROR(INDEX('Paramètres'!$O$5:$O$7,MATCH(G1195,'Paramètres'!$N$5:$N$7,0)),0))</f>
        <v/>
      </c>
      <c r="AC1195" s="7" t="inlineStr">
        <is>
          <t>Clôturé</t>
        </is>
      </c>
      <c r="AD1195" s="69">
        <f>IF(OR($A1195="",Q1195=""),"",(Q1195-B1195)*24)</f>
        <v/>
      </c>
      <c r="AE1195" s="69">
        <f>IF(OR(Q1195="",R1195=""),"",(R1195-Q1195)*24)</f>
        <v/>
      </c>
      <c r="AF1195" s="77">
        <f>IF(OR($A1195="",B1195=""),"",YEAR(B1195))</f>
        <v/>
      </c>
      <c r="AG1195" s="77">
        <f>IF(OR($A1195="",B1195=""),"",MONTH(B1195))</f>
        <v/>
      </c>
    </row>
    <row r="1196">
      <c r="A1196" s="7" t="inlineStr">
        <is>
          <t>OT-2026-0341</t>
        </is>
      </c>
      <c r="B1196" s="75" t="n">
        <v>46175.41666666666</v>
      </c>
      <c r="C1196" s="7" t="inlineStr">
        <is>
          <t>Marc Lefèvre</t>
        </is>
      </c>
      <c r="D1196" s="7" t="inlineStr">
        <is>
          <t>EQ-UTI-008</t>
        </is>
      </c>
      <c r="E1196" s="9">
        <f>IF(D1196="","",IFERROR(INDEX('Équipements'!$B$5:$B$304,MATCH(D1196,'Équipements'!$A$5:$A$304,0)),"Code inconnu"))</f>
        <v/>
      </c>
      <c r="F1196" s="9">
        <f>IF(D1196="","",IFERROR(INDEX('Équipements'!$D$5:$D$304,MATCH(D1196,'Équipements'!$A$5:$A$304,0)),""))</f>
        <v/>
      </c>
      <c r="G1196" s="9">
        <f>IF(D1196="","",IFERROR(INDEX('Équipements'!$K$5:$K$304,MATCH(D1196,'Équipements'!$A$5:$A$304,0)),""))</f>
        <v/>
      </c>
      <c r="H1196" s="7" t="inlineStr">
        <is>
          <t>Amélioratif</t>
        </is>
      </c>
      <c r="I1196" s="7" t="n"/>
      <c r="J1196" s="7" t="inlineStr">
        <is>
          <t>Électrique</t>
        </is>
      </c>
      <c r="K1196" s="7" t="inlineStr">
        <is>
          <t>P4 - Basse</t>
        </is>
      </c>
      <c r="L1196" s="7" t="inlineStr">
        <is>
          <t>Ajout analyseurs de réseau sur départs principaux</t>
        </is>
      </c>
      <c r="M1196" s="7" t="n"/>
      <c r="N1196" s="7" t="inlineStr">
        <is>
          <t>Réalisé conformément au devis / dossier technique</t>
        </is>
      </c>
      <c r="O1196" s="7" t="inlineStr">
        <is>
          <t>Thomas Petit</t>
        </is>
      </c>
      <c r="P1196" s="65" t="n">
        <v>46209</v>
      </c>
      <c r="Q1196" s="75" t="n">
        <v>46209.39583333334</v>
      </c>
      <c r="R1196" s="75" t="n">
        <v>46209.97916666666</v>
      </c>
      <c r="S1196" s="76" t="n">
        <v>5</v>
      </c>
      <c r="T1196" s="76" t="n">
        <v>10</v>
      </c>
      <c r="U1196" s="70">
        <f>IF($A1196="","",IFERROR(INDEX('Techniciens'!$F$5:$F$44,MATCH(O1196,'Techniciens'!$B$5:$B$44,0)),'Paramètres'!$AA$10))</f>
        <v/>
      </c>
      <c r="V1196" s="70">
        <f>IF($A1196="","",IF(OR(AC1196="Demandé",AC1196="Planifié",AC1196="Annulé"),0,N(T1196)*N(U1196)))</f>
        <v/>
      </c>
      <c r="W1196" s="70">
        <f>IF($A1196="","",SUMIFS('Mouvements stock'!$H$5:$H$3004,'Mouvements stock'!$I$5:$I$3004,$A1196,'Mouvements stock'!$C$5:$C$3004,"Sortie")-SUMIFS('Mouvements stock'!$H$5:$H$3004,'Mouvements stock'!$I$5:$I$3004,$A1196,'Mouvements stock'!$C$5:$C$3004,"Retour"))</f>
        <v/>
      </c>
      <c r="X1196" s="66" t="n">
        <v>2900</v>
      </c>
      <c r="Y1196" s="66" t="n">
        <v>0</v>
      </c>
      <c r="Z1196" s="7" t="n"/>
      <c r="AA1196" s="70">
        <f>IF($A1196="","",N(V1196)+N(W1196)+N(X1196)+N(Y1196))</f>
        <v/>
      </c>
      <c r="AB1196" s="70">
        <f>IF($A1196="","",N(S1196)*'Paramètres'!$AA$9*IFERROR(INDEX('Paramètres'!$O$5:$O$7,MATCH(G1196,'Paramètres'!$N$5:$N$7,0)),0))</f>
        <v/>
      </c>
      <c r="AC1196" s="7" t="inlineStr">
        <is>
          <t>Clôturé</t>
        </is>
      </c>
      <c r="AD1196" s="69">
        <f>IF(OR($A1196="",Q1196=""),"",(Q1196-B1196)*24)</f>
        <v/>
      </c>
      <c r="AE1196" s="69">
        <f>IF(OR(Q1196="",R1196=""),"",(R1196-Q1196)*24)</f>
        <v/>
      </c>
      <c r="AF1196" s="77">
        <f>IF(OR($A1196="",B1196=""),"",YEAR(B1196))</f>
        <v/>
      </c>
      <c r="AG1196" s="77">
        <f>IF(OR($A1196="",B1196=""),"",MONTH(B1196))</f>
        <v/>
      </c>
    </row>
    <row r="1197">
      <c r="A1197" s="7" t="inlineStr">
        <is>
          <t>OT-2026-0342</t>
        </is>
      </c>
      <c r="B1197" s="75" t="n">
        <v>46175.48958333334</v>
      </c>
      <c r="C1197" s="7" t="inlineStr">
        <is>
          <t>Plan préventif</t>
        </is>
      </c>
      <c r="D1197" s="7" t="inlineStr">
        <is>
          <t>EQ-TOL-005</t>
        </is>
      </c>
      <c r="E1197" s="9">
        <f>IF(D1197="","",IFERROR(INDEX('Équipements'!$B$5:$B$304,MATCH(D1197,'Équipements'!$A$5:$A$304,0)),"Code inconnu"))</f>
        <v/>
      </c>
      <c r="F1197" s="9">
        <f>IF(D1197="","",IFERROR(INDEX('Équipements'!$D$5:$D$304,MATCH(D1197,'Équipements'!$A$5:$A$304,0)),""))</f>
        <v/>
      </c>
      <c r="G1197" s="9">
        <f>IF(D1197="","",IFERROR(INDEX('Équipements'!$K$5:$K$304,MATCH(D1197,'Équipements'!$A$5:$A$304,0)),""))</f>
        <v/>
      </c>
      <c r="H1197" s="7" t="inlineStr">
        <is>
          <t>Préventif systématique</t>
        </is>
      </c>
      <c r="I1197" s="7" t="inlineStr">
        <is>
          <t>GP-052</t>
        </is>
      </c>
      <c r="J1197" s="7" t="inlineStr">
        <is>
          <t>Électrique</t>
        </is>
      </c>
      <c r="K1197" s="7" t="inlineStr">
        <is>
          <t>P3 - Normale</t>
        </is>
      </c>
      <c r="L1197" s="7" t="inlineStr">
        <is>
          <t>Contrôle des sécurités (barrages, AU, pédale)</t>
        </is>
      </c>
      <c r="M1197" s="7" t="n"/>
      <c r="N1197" s="7" t="inlineStr">
        <is>
          <t>Gamme réalisée - RAS</t>
        </is>
      </c>
      <c r="O1197" s="7" t="inlineStr">
        <is>
          <t>Julien Moreau</t>
        </is>
      </c>
      <c r="P1197" s="65" t="n">
        <v>46182.39583333334</v>
      </c>
      <c r="Q1197" s="75" t="n">
        <v>46182.36111111111</v>
      </c>
      <c r="R1197" s="75" t="n">
        <v>46182.42361111111</v>
      </c>
      <c r="S1197" s="76" t="n">
        <v>0</v>
      </c>
      <c r="T1197" s="76" t="n">
        <v>1.5</v>
      </c>
      <c r="U1197" s="70">
        <f>IF($A1197="","",IFERROR(INDEX('Techniciens'!$F$5:$F$44,MATCH(O1197,'Techniciens'!$B$5:$B$44,0)),'Paramètres'!$AA$10))</f>
        <v/>
      </c>
      <c r="V1197" s="70">
        <f>IF($A1197="","",IF(OR(AC1197="Demandé",AC1197="Planifié",AC1197="Annulé"),0,N(T1197)*N(U1197)))</f>
        <v/>
      </c>
      <c r="W1197" s="70">
        <f>IF($A1197="","",SUMIFS('Mouvements stock'!$H$5:$H$3004,'Mouvements stock'!$I$5:$I$3004,$A1197,'Mouvements stock'!$C$5:$C$3004,"Sortie")-SUMIFS('Mouvements stock'!$H$5:$H$3004,'Mouvements stock'!$I$5:$I$3004,$A1197,'Mouvements stock'!$C$5:$C$3004,"Retour"))</f>
        <v/>
      </c>
      <c r="X1197" s="66" t="n">
        <v>0</v>
      </c>
      <c r="Y1197" s="66" t="n">
        <v>0</v>
      </c>
      <c r="Z1197" s="7" t="n"/>
      <c r="AA1197" s="70">
        <f>IF($A1197="","",N(V1197)+N(W1197)+N(X1197)+N(Y1197))</f>
        <v/>
      </c>
      <c r="AB1197" s="70">
        <f>IF($A1197="","",N(S1197)*'Paramètres'!$AA$9*IFERROR(INDEX('Paramètres'!$O$5:$O$7,MATCH(G1197,'Paramètres'!$N$5:$N$7,0)),0))</f>
        <v/>
      </c>
      <c r="AC1197" s="7" t="inlineStr">
        <is>
          <t>Clôturé</t>
        </is>
      </c>
      <c r="AD1197" s="69">
        <f>IF(OR($A1197="",Q1197=""),"",(Q1197-B1197)*24)</f>
        <v/>
      </c>
      <c r="AE1197" s="69">
        <f>IF(OR(Q1197="",R1197=""),"",(R1197-Q1197)*24)</f>
        <v/>
      </c>
      <c r="AF1197" s="77">
        <f>IF(OR($A1197="",B1197=""),"",YEAR(B1197))</f>
        <v/>
      </c>
      <c r="AG1197" s="77">
        <f>IF(OR($A1197="",B1197=""),"",MONTH(B1197))</f>
        <v/>
      </c>
    </row>
    <row r="1198">
      <c r="A1198" s="7" t="inlineStr">
        <is>
          <t>OT-2026-0343</t>
        </is>
      </c>
      <c r="B1198" s="75" t="n">
        <v>46176.38194444445</v>
      </c>
      <c r="C1198" s="7" t="inlineStr">
        <is>
          <t>Plan préventif</t>
        </is>
      </c>
      <c r="D1198" s="7" t="inlineStr">
        <is>
          <t>EQ-PEI-003</t>
        </is>
      </c>
      <c r="E1198" s="9">
        <f>IF(D1198="","",IFERROR(INDEX('Équipements'!$B$5:$B$304,MATCH(D1198,'Équipements'!$A$5:$A$304,0)),"Code inconnu"))</f>
        <v/>
      </c>
      <c r="F1198" s="9">
        <f>IF(D1198="","",IFERROR(INDEX('Équipements'!$D$5:$D$304,MATCH(D1198,'Équipements'!$A$5:$A$304,0)),""))</f>
        <v/>
      </c>
      <c r="G1198" s="9">
        <f>IF(D1198="","",IFERROR(INDEX('Équipements'!$K$5:$K$304,MATCH(D1198,'Équipements'!$A$5:$A$304,0)),""))</f>
        <v/>
      </c>
      <c r="H1198" s="7" t="inlineStr">
        <is>
          <t>Préventif systématique</t>
        </is>
      </c>
      <c r="I1198" s="7" t="inlineStr">
        <is>
          <t>GP-070</t>
        </is>
      </c>
      <c r="J1198" s="7" t="inlineStr">
        <is>
          <t>Mécanique</t>
        </is>
      </c>
      <c r="K1198" s="7" t="inlineStr">
        <is>
          <t>P3 - Normale</t>
        </is>
      </c>
      <c r="L1198" s="7" t="inlineStr">
        <is>
          <t>Nettoyage et remplacement des filtres</t>
        </is>
      </c>
      <c r="M1198" s="7" t="n"/>
      <c r="N1198" s="7" t="inlineStr">
        <is>
          <t>Gamme réalisée - RAS</t>
        </is>
      </c>
      <c r="O1198" s="7" t="inlineStr">
        <is>
          <t>Antoine Mercier</t>
        </is>
      </c>
      <c r="P1198" s="65" t="n">
        <v>46183.78125</v>
      </c>
      <c r="Q1198" s="75" t="n">
        <v>46183.54861111111</v>
      </c>
      <c r="R1198" s="75" t="n">
        <v>46183.69444444445</v>
      </c>
      <c r="S1198" s="76" t="n">
        <v>0</v>
      </c>
      <c r="T1198" s="76" t="n">
        <v>3.5</v>
      </c>
      <c r="U1198" s="70">
        <f>IF($A1198="","",IFERROR(INDEX('Techniciens'!$F$5:$F$44,MATCH(O1198,'Techniciens'!$B$5:$B$44,0)),'Paramètres'!$AA$10))</f>
        <v/>
      </c>
      <c r="V1198" s="70">
        <f>IF($A1198="","",IF(OR(AC1198="Demandé",AC1198="Planifié",AC1198="Annulé"),0,N(T1198)*N(U1198)))</f>
        <v/>
      </c>
      <c r="W1198" s="70">
        <f>IF($A1198="","",SUMIFS('Mouvements stock'!$H$5:$H$3004,'Mouvements stock'!$I$5:$I$3004,$A1198,'Mouvements stock'!$C$5:$C$3004,"Sortie")-SUMIFS('Mouvements stock'!$H$5:$H$3004,'Mouvements stock'!$I$5:$I$3004,$A1198,'Mouvements stock'!$C$5:$C$3004,"Retour"))</f>
        <v/>
      </c>
      <c r="X1198" s="66" t="n">
        <v>0</v>
      </c>
      <c r="Y1198" s="66" t="n">
        <v>0</v>
      </c>
      <c r="Z1198" s="7" t="n"/>
      <c r="AA1198" s="70">
        <f>IF($A1198="","",N(V1198)+N(W1198)+N(X1198)+N(Y1198))</f>
        <v/>
      </c>
      <c r="AB1198" s="70">
        <f>IF($A1198="","",N(S1198)*'Paramètres'!$AA$9*IFERROR(INDEX('Paramètres'!$O$5:$O$7,MATCH(G1198,'Paramètres'!$N$5:$N$7,0)),0))</f>
        <v/>
      </c>
      <c r="AC1198" s="7" t="inlineStr">
        <is>
          <t>Clôturé</t>
        </is>
      </c>
      <c r="AD1198" s="69">
        <f>IF(OR($A1198="",Q1198=""),"",(Q1198-B1198)*24)</f>
        <v/>
      </c>
      <c r="AE1198" s="69">
        <f>IF(OR(Q1198="",R1198=""),"",(R1198-Q1198)*24)</f>
        <v/>
      </c>
      <c r="AF1198" s="77">
        <f>IF(OR($A1198="",B1198=""),"",YEAR(B1198))</f>
        <v/>
      </c>
      <c r="AG1198" s="77">
        <f>IF(OR($A1198="",B1198=""),"",MONTH(B1198))</f>
        <v/>
      </c>
    </row>
    <row r="1199">
      <c r="A1199" s="7" t="inlineStr">
        <is>
          <t>OT-2026-0344</t>
        </is>
      </c>
      <c r="B1199" s="75" t="n">
        <v>46176.38888888889</v>
      </c>
      <c r="C1199" s="7" t="inlineStr">
        <is>
          <t>Plan préventif</t>
        </is>
      </c>
      <c r="D1199" s="7" t="inlineStr">
        <is>
          <t>EQ-USI-004</t>
        </is>
      </c>
      <c r="E1199" s="9">
        <f>IF(D1199="","",IFERROR(INDEX('Équipements'!$B$5:$B$304,MATCH(D1199,'Équipements'!$A$5:$A$304,0)),"Code inconnu"))</f>
        <v/>
      </c>
      <c r="F1199" s="9">
        <f>IF(D1199="","",IFERROR(INDEX('Équipements'!$D$5:$D$304,MATCH(D1199,'Équipements'!$A$5:$A$304,0)),""))</f>
        <v/>
      </c>
      <c r="G1199" s="9">
        <f>IF(D1199="","",IFERROR(INDEX('Équipements'!$K$5:$K$304,MATCH(D1199,'Équipements'!$A$5:$A$304,0)),""))</f>
        <v/>
      </c>
      <c r="H1199" s="7" t="inlineStr">
        <is>
          <t>Préventif systématique</t>
        </is>
      </c>
      <c r="I1199" s="7" t="inlineStr">
        <is>
          <t>GP-013</t>
        </is>
      </c>
      <c r="J1199" s="7" t="inlineStr">
        <is>
          <t>Mécanique</t>
        </is>
      </c>
      <c r="K1199" s="7" t="inlineStr">
        <is>
          <t>P3 - Normale</t>
        </is>
      </c>
      <c r="L1199" s="7" t="inlineStr">
        <is>
          <t>Contrôle niveaux, nettoyage filtres et bac à copeaux</t>
        </is>
      </c>
      <c r="M1199" s="7" t="n"/>
      <c r="N1199" s="7" t="inlineStr">
        <is>
          <t>Gamme réalisée - RAS</t>
        </is>
      </c>
      <c r="O1199" s="7" t="inlineStr">
        <is>
          <t>Lucas Fontaine</t>
        </is>
      </c>
      <c r="P1199" s="65" t="n">
        <v>46183.60763888889</v>
      </c>
      <c r="Q1199" s="75" t="n">
        <v>46183.61111111111</v>
      </c>
      <c r="R1199" s="75" t="n">
        <v>46183.69444444445</v>
      </c>
      <c r="S1199" s="76" t="n">
        <v>1</v>
      </c>
      <c r="T1199" s="76" t="n">
        <v>2</v>
      </c>
      <c r="U1199" s="70">
        <f>IF($A1199="","",IFERROR(INDEX('Techniciens'!$F$5:$F$44,MATCH(O1199,'Techniciens'!$B$5:$B$44,0)),'Paramètres'!$AA$10))</f>
        <v/>
      </c>
      <c r="V1199" s="70">
        <f>IF($A1199="","",IF(OR(AC1199="Demandé",AC1199="Planifié",AC1199="Annulé"),0,N(T1199)*N(U1199)))</f>
        <v/>
      </c>
      <c r="W1199" s="70">
        <f>IF($A1199="","",SUMIFS('Mouvements stock'!$H$5:$H$3004,'Mouvements stock'!$I$5:$I$3004,$A1199,'Mouvements stock'!$C$5:$C$3004,"Sortie")-SUMIFS('Mouvements stock'!$H$5:$H$3004,'Mouvements stock'!$I$5:$I$3004,$A1199,'Mouvements stock'!$C$5:$C$3004,"Retour"))</f>
        <v/>
      </c>
      <c r="X1199" s="66" t="n">
        <v>0</v>
      </c>
      <c r="Y1199" s="66" t="n">
        <v>0</v>
      </c>
      <c r="Z1199" s="7" t="n"/>
      <c r="AA1199" s="70">
        <f>IF($A1199="","",N(V1199)+N(W1199)+N(X1199)+N(Y1199))</f>
        <v/>
      </c>
      <c r="AB1199" s="70">
        <f>IF($A1199="","",N(S1199)*'Paramètres'!$AA$9*IFERROR(INDEX('Paramètres'!$O$5:$O$7,MATCH(G1199,'Paramètres'!$N$5:$N$7,0)),0))</f>
        <v/>
      </c>
      <c r="AC1199" s="7" t="inlineStr">
        <is>
          <t>Clôturé</t>
        </is>
      </c>
      <c r="AD1199" s="69">
        <f>IF(OR($A1199="",Q1199=""),"",(Q1199-B1199)*24)</f>
        <v/>
      </c>
      <c r="AE1199" s="69">
        <f>IF(OR(Q1199="",R1199=""),"",(R1199-Q1199)*24)</f>
        <v/>
      </c>
      <c r="AF1199" s="77">
        <f>IF(OR($A1199="",B1199=""),"",YEAR(B1199))</f>
        <v/>
      </c>
      <c r="AG1199" s="77">
        <f>IF(OR($A1199="",B1199=""),"",MONTH(B1199))</f>
        <v/>
      </c>
    </row>
    <row r="1200">
      <c r="A1200" s="7" t="inlineStr">
        <is>
          <t>OT-2026-0345</t>
        </is>
      </c>
      <c r="B1200" s="75" t="n">
        <v>46176.47916666666</v>
      </c>
      <c r="C1200" s="7" t="inlineStr">
        <is>
          <t>Plan préventif</t>
        </is>
      </c>
      <c r="D1200" s="7" t="inlineStr">
        <is>
          <t>EQ-TOL-006</t>
        </is>
      </c>
      <c r="E1200" s="9">
        <f>IF(D1200="","",IFERROR(INDEX('Équipements'!$B$5:$B$304,MATCH(D1200,'Équipements'!$A$5:$A$304,0)),"Code inconnu"))</f>
        <v/>
      </c>
      <c r="F1200" s="9">
        <f>IF(D1200="","",IFERROR(INDEX('Équipements'!$D$5:$D$304,MATCH(D1200,'Équipements'!$A$5:$A$304,0)),""))</f>
        <v/>
      </c>
      <c r="G1200" s="9">
        <f>IF(D1200="","",IFERROR(INDEX('Équipements'!$K$5:$K$304,MATCH(D1200,'Équipements'!$A$5:$A$304,0)),""))</f>
        <v/>
      </c>
      <c r="H1200" s="7" t="inlineStr">
        <is>
          <t>Préventif systématique</t>
        </is>
      </c>
      <c r="I1200" s="7" t="inlineStr">
        <is>
          <t>GP-053</t>
        </is>
      </c>
      <c r="J1200" s="7" t="inlineStr">
        <is>
          <t>Hydraulique</t>
        </is>
      </c>
      <c r="K1200" s="7" t="inlineStr">
        <is>
          <t>P3 - Normale</t>
        </is>
      </c>
      <c r="L1200" s="7" t="inlineStr">
        <is>
          <t>Contrôle hydraulique : fuites, niveaux, pressions</t>
        </is>
      </c>
      <c r="M1200" s="7" t="n"/>
      <c r="N1200" s="7" t="inlineStr">
        <is>
          <t>Gamme réalisée - RAS</t>
        </is>
      </c>
      <c r="O1200" s="7" t="inlineStr">
        <is>
          <t>Antoine Mercier</t>
        </is>
      </c>
      <c r="P1200" s="65" t="n">
        <v>46183.42013888889</v>
      </c>
      <c r="Q1200" s="75" t="n">
        <v>46183.40277777778</v>
      </c>
      <c r="R1200" s="75" t="n">
        <v>46183.49652777778</v>
      </c>
      <c r="S1200" s="76" t="n">
        <v>2.2</v>
      </c>
      <c r="T1200" s="76" t="n">
        <v>2.25</v>
      </c>
      <c r="U1200" s="70">
        <f>IF($A1200="","",IFERROR(INDEX('Techniciens'!$F$5:$F$44,MATCH(O1200,'Techniciens'!$B$5:$B$44,0)),'Paramètres'!$AA$10))</f>
        <v/>
      </c>
      <c r="V1200" s="70">
        <f>IF($A1200="","",IF(OR(AC1200="Demandé",AC1200="Planifié",AC1200="Annulé"),0,N(T1200)*N(U1200)))</f>
        <v/>
      </c>
      <c r="W1200" s="70">
        <f>IF($A1200="","",SUMIFS('Mouvements stock'!$H$5:$H$3004,'Mouvements stock'!$I$5:$I$3004,$A1200,'Mouvements stock'!$C$5:$C$3004,"Sortie")-SUMIFS('Mouvements stock'!$H$5:$H$3004,'Mouvements stock'!$I$5:$I$3004,$A1200,'Mouvements stock'!$C$5:$C$3004,"Retour"))</f>
        <v/>
      </c>
      <c r="X1200" s="66" t="n">
        <v>0</v>
      </c>
      <c r="Y1200" s="66" t="n">
        <v>0</v>
      </c>
      <c r="Z1200" s="7" t="n"/>
      <c r="AA1200" s="70">
        <f>IF($A1200="","",N(V1200)+N(W1200)+N(X1200)+N(Y1200))</f>
        <v/>
      </c>
      <c r="AB1200" s="70">
        <f>IF($A1200="","",N(S1200)*'Paramètres'!$AA$9*IFERROR(INDEX('Paramètres'!$O$5:$O$7,MATCH(G1200,'Paramètres'!$N$5:$N$7,0)),0))</f>
        <v/>
      </c>
      <c r="AC1200" s="7" t="inlineStr">
        <is>
          <t>Clôturé</t>
        </is>
      </c>
      <c r="AD1200" s="69">
        <f>IF(OR($A1200="",Q1200=""),"",(Q1200-B1200)*24)</f>
        <v/>
      </c>
      <c r="AE1200" s="69">
        <f>IF(OR(Q1200="",R1200=""),"",(R1200-Q1200)*24)</f>
        <v/>
      </c>
      <c r="AF1200" s="77">
        <f>IF(OR($A1200="",B1200=""),"",YEAR(B1200))</f>
        <v/>
      </c>
      <c r="AG1200" s="77">
        <f>IF(OR($A1200="",B1200=""),"",MONTH(B1200))</f>
        <v/>
      </c>
    </row>
    <row r="1201">
      <c r="A1201" s="7" t="inlineStr">
        <is>
          <t>OT-2026-0346</t>
        </is>
      </c>
      <c r="B1201" s="75" t="n">
        <v>46177.84305555555</v>
      </c>
      <c r="C1201" s="7" t="inlineStr">
        <is>
          <t>Marc Lefèvre</t>
        </is>
      </c>
      <c r="D1201" s="7" t="inlineStr">
        <is>
          <t>EQ-UTI-002</t>
        </is>
      </c>
      <c r="E1201" s="9">
        <f>IF(D1201="","",IFERROR(INDEX('Équipements'!$B$5:$B$304,MATCH(D1201,'Équipements'!$A$5:$A$304,0)),"Code inconnu"))</f>
        <v/>
      </c>
      <c r="F1201" s="9">
        <f>IF(D1201="","",IFERROR(INDEX('Équipements'!$D$5:$D$304,MATCH(D1201,'Équipements'!$A$5:$A$304,0)),""))</f>
        <v/>
      </c>
      <c r="G1201" s="9">
        <f>IF(D1201="","",IFERROR(INDEX('Équipements'!$K$5:$K$304,MATCH(D1201,'Équipements'!$A$5:$A$304,0)),""))</f>
        <v/>
      </c>
      <c r="H1201" s="7" t="inlineStr">
        <is>
          <t>Correctif</t>
        </is>
      </c>
      <c r="I1201" s="7" t="n"/>
      <c r="J1201" s="7" t="inlineStr">
        <is>
          <t>Électrique</t>
        </is>
      </c>
      <c r="K1201" s="7" t="inlineStr">
        <is>
          <t>P2 - Haute</t>
        </is>
      </c>
      <c r="L1201" s="7" t="inlineStr">
        <is>
          <t>Défaut capteur de pression</t>
        </is>
      </c>
      <c r="M1201" s="7" t="inlineStr">
        <is>
          <t>Défaut capteur</t>
        </is>
      </c>
      <c r="N1201" s="7" t="inlineStr">
        <is>
          <t>Remplacement capteur</t>
        </is>
      </c>
      <c r="O1201" s="7" t="inlineStr">
        <is>
          <t>Thomas Petit</t>
        </is>
      </c>
      <c r="P1201" s="65" t="n"/>
      <c r="Q1201" s="75" t="n">
        <v>46177.98819444444</v>
      </c>
      <c r="R1201" s="75" t="n">
        <v>46178.30069444444</v>
      </c>
      <c r="S1201" s="76" t="n">
        <v>11</v>
      </c>
      <c r="T1201" s="76" t="n">
        <v>7.5</v>
      </c>
      <c r="U1201" s="70">
        <f>IF($A1201="","",IFERROR(INDEX('Techniciens'!$F$5:$F$44,MATCH(O1201,'Techniciens'!$B$5:$B$44,0)),'Paramètres'!$AA$10))</f>
        <v/>
      </c>
      <c r="V1201" s="70">
        <f>IF($A1201="","",IF(OR(AC1201="Demandé",AC1201="Planifié",AC1201="Annulé"),0,N(T1201)*N(U1201)))</f>
        <v/>
      </c>
      <c r="W1201" s="70">
        <f>IF($A1201="","",SUMIFS('Mouvements stock'!$H$5:$H$3004,'Mouvements stock'!$I$5:$I$3004,$A1201,'Mouvements stock'!$C$5:$C$3004,"Sortie")-SUMIFS('Mouvements stock'!$H$5:$H$3004,'Mouvements stock'!$I$5:$I$3004,$A1201,'Mouvements stock'!$C$5:$C$3004,"Retour"))</f>
        <v/>
      </c>
      <c r="X1201" s="66" t="n">
        <v>0</v>
      </c>
      <c r="Y1201" s="66" t="n">
        <v>0</v>
      </c>
      <c r="Z1201" s="7" t="n"/>
      <c r="AA1201" s="70">
        <f>IF($A1201="","",N(V1201)+N(W1201)+N(X1201)+N(Y1201))</f>
        <v/>
      </c>
      <c r="AB1201" s="70">
        <f>IF($A1201="","",N(S1201)*'Paramètres'!$AA$9*IFERROR(INDEX('Paramètres'!$O$5:$O$7,MATCH(G1201,'Paramètres'!$N$5:$N$7,0)),0))</f>
        <v/>
      </c>
      <c r="AC1201" s="7" t="inlineStr">
        <is>
          <t>Clôturé</t>
        </is>
      </c>
      <c r="AD1201" s="69">
        <f>IF(OR($A1201="",Q1201=""),"",(Q1201-B1201)*24)</f>
        <v/>
      </c>
      <c r="AE1201" s="69">
        <f>IF(OR(Q1201="",R1201=""),"",(R1201-Q1201)*24)</f>
        <v/>
      </c>
      <c r="AF1201" s="77">
        <f>IF(OR($A1201="",B1201=""),"",YEAR(B1201))</f>
        <v/>
      </c>
      <c r="AG1201" s="77">
        <f>IF(OR($A1201="",B1201=""),"",MONTH(B1201))</f>
        <v/>
      </c>
    </row>
    <row r="1202">
      <c r="A1202" s="7" t="inlineStr">
        <is>
          <t>OT-2026-0347</t>
        </is>
      </c>
      <c r="B1202" s="75" t="n">
        <v>46178.32013888889</v>
      </c>
      <c r="C1202" s="7" t="inlineStr">
        <is>
          <t>Opérateur tôlerie</t>
        </is>
      </c>
      <c r="D1202" s="7" t="inlineStr">
        <is>
          <t>EQ-TOL-002</t>
        </is>
      </c>
      <c r="E1202" s="9">
        <f>IF(D1202="","",IFERROR(INDEX('Équipements'!$B$5:$B$304,MATCH(D1202,'Équipements'!$A$5:$A$304,0)),"Code inconnu"))</f>
        <v/>
      </c>
      <c r="F1202" s="9">
        <f>IF(D1202="","",IFERROR(INDEX('Équipements'!$D$5:$D$304,MATCH(D1202,'Équipements'!$A$5:$A$304,0)),""))</f>
        <v/>
      </c>
      <c r="G1202" s="9">
        <f>IF(D1202="","",IFERROR(INDEX('Équipements'!$K$5:$K$304,MATCH(D1202,'Équipements'!$A$5:$A$304,0)),""))</f>
        <v/>
      </c>
      <c r="H1202" s="7" t="inlineStr">
        <is>
          <t>Correctif</t>
        </is>
      </c>
      <c r="I1202" s="7" t="n"/>
      <c r="J1202" s="7" t="inlineStr">
        <is>
          <t>Hydraulique</t>
        </is>
      </c>
      <c r="K1202" s="7" t="inlineStr">
        <is>
          <t>P1 - Urgent</t>
        </is>
      </c>
      <c r="L1202" s="7" t="inlineStr">
        <is>
          <t>Fuite d'huile vérin principal</t>
        </is>
      </c>
      <c r="M1202" s="7" t="inlineStr">
        <is>
          <t>Fuite</t>
        </is>
      </c>
      <c r="N1202" s="7" t="inlineStr">
        <is>
          <t>Remplacement kit joints vérin</t>
        </is>
      </c>
      <c r="O1202" s="7" t="inlineStr">
        <is>
          <t>Karim Benali</t>
        </is>
      </c>
      <c r="P1202" s="65" t="n"/>
      <c r="Q1202" s="75" t="n">
        <v>46178.34444444445</v>
      </c>
      <c r="R1202" s="75" t="n">
        <v>46178.42777777778</v>
      </c>
      <c r="S1202" s="76" t="n">
        <v>2.6</v>
      </c>
      <c r="T1202" s="76" t="n">
        <v>2</v>
      </c>
      <c r="U1202" s="70">
        <f>IF($A1202="","",IFERROR(INDEX('Techniciens'!$F$5:$F$44,MATCH(O1202,'Techniciens'!$B$5:$B$44,0)),'Paramètres'!$AA$10))</f>
        <v/>
      </c>
      <c r="V1202" s="70">
        <f>IF($A1202="","",IF(OR(AC1202="Demandé",AC1202="Planifié",AC1202="Annulé"),0,N(T1202)*N(U1202)))</f>
        <v/>
      </c>
      <c r="W1202" s="70">
        <f>IF($A1202="","",SUMIFS('Mouvements stock'!$H$5:$H$3004,'Mouvements stock'!$I$5:$I$3004,$A1202,'Mouvements stock'!$C$5:$C$3004,"Sortie")-SUMIFS('Mouvements stock'!$H$5:$H$3004,'Mouvements stock'!$I$5:$I$3004,$A1202,'Mouvements stock'!$C$5:$C$3004,"Retour"))</f>
        <v/>
      </c>
      <c r="X1202" s="66" t="n">
        <v>0</v>
      </c>
      <c r="Y1202" s="66" t="n">
        <v>0</v>
      </c>
      <c r="Z1202" s="7" t="n"/>
      <c r="AA1202" s="70">
        <f>IF($A1202="","",N(V1202)+N(W1202)+N(X1202)+N(Y1202))</f>
        <v/>
      </c>
      <c r="AB1202" s="70">
        <f>IF($A1202="","",N(S1202)*'Paramètres'!$AA$9*IFERROR(INDEX('Paramètres'!$O$5:$O$7,MATCH(G1202,'Paramètres'!$N$5:$N$7,0)),0))</f>
        <v/>
      </c>
      <c r="AC1202" s="7" t="inlineStr">
        <is>
          <t>Clôturé</t>
        </is>
      </c>
      <c r="AD1202" s="69">
        <f>IF(OR($A1202="",Q1202=""),"",(Q1202-B1202)*24)</f>
        <v/>
      </c>
      <c r="AE1202" s="69">
        <f>IF(OR(Q1202="",R1202=""),"",(R1202-Q1202)*24)</f>
        <v/>
      </c>
      <c r="AF1202" s="77">
        <f>IF(OR($A1202="",B1202=""),"",YEAR(B1202))</f>
        <v/>
      </c>
      <c r="AG1202" s="77">
        <f>IF(OR($A1202="",B1202=""),"",MONTH(B1202))</f>
        <v/>
      </c>
    </row>
    <row r="1203">
      <c r="A1203" s="7" t="inlineStr">
        <is>
          <t>OT-2026-0348</t>
        </is>
      </c>
      <c r="B1203" s="75" t="n">
        <v>46178.44791666666</v>
      </c>
      <c r="C1203" s="7" t="inlineStr">
        <is>
          <t>Opérateur peinture</t>
        </is>
      </c>
      <c r="D1203" s="7" t="inlineStr">
        <is>
          <t>EQ-PEI-004</t>
        </is>
      </c>
      <c r="E1203" s="9">
        <f>IF(D1203="","",IFERROR(INDEX('Équipements'!$B$5:$B$304,MATCH(D1203,'Équipements'!$A$5:$A$304,0)),"Code inconnu"))</f>
        <v/>
      </c>
      <c r="F1203" s="9">
        <f>IF(D1203="","",IFERROR(INDEX('Équipements'!$D$5:$D$304,MATCH(D1203,'Équipements'!$A$5:$A$304,0)),""))</f>
        <v/>
      </c>
      <c r="G1203" s="9">
        <f>IF(D1203="","",IFERROR(INDEX('Équipements'!$K$5:$K$304,MATCH(D1203,'Équipements'!$A$5:$A$304,0)),""))</f>
        <v/>
      </c>
      <c r="H1203" s="7" t="inlineStr">
        <is>
          <t>Correctif</t>
        </is>
      </c>
      <c r="I1203" s="7" t="n"/>
      <c r="J1203" s="7" t="inlineStr">
        <is>
          <t>Mécanique</t>
        </is>
      </c>
      <c r="K1203" s="7" t="inlineStr">
        <is>
          <t>P2 - Haute</t>
        </is>
      </c>
      <c r="L1203" s="7" t="inlineStr">
        <is>
          <t>Roulement de tambour bruyant</t>
        </is>
      </c>
      <c r="M1203" s="7" t="inlineStr">
        <is>
          <t>Cause inconnue</t>
        </is>
      </c>
      <c r="N1203" s="7" t="inlineStr">
        <is>
          <t>Remplacement roulements et palier</t>
        </is>
      </c>
      <c r="O1203" s="7" t="inlineStr">
        <is>
          <t>Karim Benali</t>
        </is>
      </c>
      <c r="P1203" s="65" t="n"/>
      <c r="Q1203" s="75" t="n">
        <v>46178.50486111111</v>
      </c>
      <c r="R1203" s="75" t="n">
        <v>46178.69236111111</v>
      </c>
      <c r="S1203" s="76" t="n">
        <v>5.9</v>
      </c>
      <c r="T1203" s="76" t="n">
        <v>4.5</v>
      </c>
      <c r="U1203" s="70">
        <f>IF($A1203="","",IFERROR(INDEX('Techniciens'!$F$5:$F$44,MATCH(O1203,'Techniciens'!$B$5:$B$44,0)),'Paramètres'!$AA$10))</f>
        <v/>
      </c>
      <c r="V1203" s="70">
        <f>IF($A1203="","",IF(OR(AC1203="Demandé",AC1203="Planifié",AC1203="Annulé"),0,N(T1203)*N(U1203)))</f>
        <v/>
      </c>
      <c r="W1203" s="70">
        <f>IF($A1203="","",SUMIFS('Mouvements stock'!$H$5:$H$3004,'Mouvements stock'!$I$5:$I$3004,$A1203,'Mouvements stock'!$C$5:$C$3004,"Sortie")-SUMIFS('Mouvements stock'!$H$5:$H$3004,'Mouvements stock'!$I$5:$I$3004,$A1203,'Mouvements stock'!$C$5:$C$3004,"Retour"))</f>
        <v/>
      </c>
      <c r="X1203" s="66" t="n">
        <v>0</v>
      </c>
      <c r="Y1203" s="66" t="n">
        <v>0</v>
      </c>
      <c r="Z1203" s="7" t="n"/>
      <c r="AA1203" s="70">
        <f>IF($A1203="","",N(V1203)+N(W1203)+N(X1203)+N(Y1203))</f>
        <v/>
      </c>
      <c r="AB1203" s="70">
        <f>IF($A1203="","",N(S1203)*'Paramètres'!$AA$9*IFERROR(INDEX('Paramètres'!$O$5:$O$7,MATCH(G1203,'Paramètres'!$N$5:$N$7,0)),0))</f>
        <v/>
      </c>
      <c r="AC1203" s="7" t="inlineStr">
        <is>
          <t>Clôturé</t>
        </is>
      </c>
      <c r="AD1203" s="69">
        <f>IF(OR($A1203="",Q1203=""),"",(Q1203-B1203)*24)</f>
        <v/>
      </c>
      <c r="AE1203" s="69">
        <f>IF(OR(Q1203="",R1203=""),"",(R1203-Q1203)*24)</f>
        <v/>
      </c>
      <c r="AF1203" s="77">
        <f>IF(OR($A1203="",B1203=""),"",YEAR(B1203))</f>
        <v/>
      </c>
      <c r="AG1203" s="77">
        <f>IF(OR($A1203="",B1203=""),"",MONTH(B1203))</f>
        <v/>
      </c>
    </row>
    <row r="1204">
      <c r="A1204" s="7" t="inlineStr">
        <is>
          <t>OT-2026-0349</t>
        </is>
      </c>
      <c r="B1204" s="75" t="n">
        <v>46179.40277777778</v>
      </c>
      <c r="C1204" s="7" t="inlineStr">
        <is>
          <t>Inès Girard (cheffe d'équipe)</t>
        </is>
      </c>
      <c r="D1204" s="7" t="inlineStr">
        <is>
          <t>EQ-PEI-001</t>
        </is>
      </c>
      <c r="E1204" s="9">
        <f>IF(D1204="","",IFERROR(INDEX('Équipements'!$B$5:$B$304,MATCH(D1204,'Équipements'!$A$5:$A$304,0)),"Code inconnu"))</f>
        <v/>
      </c>
      <c r="F1204" s="9">
        <f>IF(D1204="","",IFERROR(INDEX('Équipements'!$D$5:$D$304,MATCH(D1204,'Équipements'!$A$5:$A$304,0)),""))</f>
        <v/>
      </c>
      <c r="G1204" s="9">
        <f>IF(D1204="","",IFERROR(INDEX('Équipements'!$K$5:$K$304,MATCH(D1204,'Équipements'!$A$5:$A$304,0)),""))</f>
        <v/>
      </c>
      <c r="H1204" s="7" t="inlineStr">
        <is>
          <t>Correctif</t>
        </is>
      </c>
      <c r="I1204" s="7" t="n"/>
      <c r="J1204" s="7" t="inlineStr">
        <is>
          <t>Électrique</t>
        </is>
      </c>
      <c r="K1204" s="7" t="inlineStr">
        <is>
          <t>P1 - Urgent</t>
        </is>
      </c>
      <c r="L1204" s="7" t="inlineStr">
        <is>
          <t>Ventilateur d'extraction en défaut</t>
        </is>
      </c>
      <c r="M1204" s="7" t="inlineStr">
        <is>
          <t>Défaut électrique</t>
        </is>
      </c>
      <c r="N1204" s="7" t="inlineStr">
        <is>
          <t>Remplacement contacteur et courroie</t>
        </is>
      </c>
      <c r="O1204" s="7" t="inlineStr">
        <is>
          <t>Julien Moreau</t>
        </is>
      </c>
      <c r="P1204" s="65" t="n"/>
      <c r="Q1204" s="75" t="n">
        <v>46179.41458333333</v>
      </c>
      <c r="R1204" s="75" t="n">
        <v>46179.55</v>
      </c>
      <c r="S1204" s="76" t="n">
        <v>3.5</v>
      </c>
      <c r="T1204" s="76" t="n">
        <v>3.25</v>
      </c>
      <c r="U1204" s="70">
        <f>IF($A1204="","",IFERROR(INDEX('Techniciens'!$F$5:$F$44,MATCH(O1204,'Techniciens'!$B$5:$B$44,0)),'Paramètres'!$AA$10))</f>
        <v/>
      </c>
      <c r="V1204" s="70">
        <f>IF($A1204="","",IF(OR(AC1204="Demandé",AC1204="Planifié",AC1204="Annulé"),0,N(T1204)*N(U1204)))</f>
        <v/>
      </c>
      <c r="W1204" s="70">
        <f>IF($A1204="","",SUMIFS('Mouvements stock'!$H$5:$H$3004,'Mouvements stock'!$I$5:$I$3004,$A1204,'Mouvements stock'!$C$5:$C$3004,"Sortie")-SUMIFS('Mouvements stock'!$H$5:$H$3004,'Mouvements stock'!$I$5:$I$3004,$A1204,'Mouvements stock'!$C$5:$C$3004,"Retour"))</f>
        <v/>
      </c>
      <c r="X1204" s="66" t="n">
        <v>0</v>
      </c>
      <c r="Y1204" s="66" t="n">
        <v>0</v>
      </c>
      <c r="Z1204" s="7" t="n"/>
      <c r="AA1204" s="70">
        <f>IF($A1204="","",N(V1204)+N(W1204)+N(X1204)+N(Y1204))</f>
        <v/>
      </c>
      <c r="AB1204" s="70">
        <f>IF($A1204="","",N(S1204)*'Paramètres'!$AA$9*IFERROR(INDEX('Paramètres'!$O$5:$O$7,MATCH(G1204,'Paramètres'!$N$5:$N$7,0)),0))</f>
        <v/>
      </c>
      <c r="AC1204" s="7" t="inlineStr">
        <is>
          <t>Clôturé</t>
        </is>
      </c>
      <c r="AD1204" s="69">
        <f>IF(OR($A1204="",Q1204=""),"",(Q1204-B1204)*24)</f>
        <v/>
      </c>
      <c r="AE1204" s="69">
        <f>IF(OR(Q1204="",R1204=""),"",(R1204-Q1204)*24)</f>
        <v/>
      </c>
      <c r="AF1204" s="77">
        <f>IF(OR($A1204="",B1204=""),"",YEAR(B1204))</f>
        <v/>
      </c>
      <c r="AG1204" s="77">
        <f>IF(OR($A1204="",B1204=""),"",MONTH(B1204))</f>
        <v/>
      </c>
    </row>
    <row r="1205">
      <c r="A1205" s="7" t="inlineStr">
        <is>
          <t>OT-2026-0350</t>
        </is>
      </c>
      <c r="B1205" s="75" t="n">
        <v>46179.78333333333</v>
      </c>
      <c r="C1205" s="7" t="inlineStr">
        <is>
          <t>Opérateur assemblage</t>
        </is>
      </c>
      <c r="D1205" s="7" t="inlineStr">
        <is>
          <t>EQ-ASS-001</t>
        </is>
      </c>
      <c r="E1205" s="9">
        <f>IF(D1205="","",IFERROR(INDEX('Équipements'!$B$5:$B$304,MATCH(D1205,'Équipements'!$A$5:$A$304,0)),"Code inconnu"))</f>
        <v/>
      </c>
      <c r="F1205" s="9">
        <f>IF(D1205="","",IFERROR(INDEX('Équipements'!$D$5:$D$304,MATCH(D1205,'Équipements'!$A$5:$A$304,0)),""))</f>
        <v/>
      </c>
      <c r="G1205" s="9">
        <f>IF(D1205="","",IFERROR(INDEX('Équipements'!$K$5:$K$304,MATCH(D1205,'Équipements'!$A$5:$A$304,0)),""))</f>
        <v/>
      </c>
      <c r="H1205" s="7" t="inlineStr">
        <is>
          <t>Correctif</t>
        </is>
      </c>
      <c r="I1205" s="7" t="n"/>
      <c r="J1205" s="7" t="inlineStr">
        <is>
          <t>Mécanique</t>
        </is>
      </c>
      <c r="K1205" s="7" t="inlineStr">
        <is>
          <t>P2 - Haute</t>
        </is>
      </c>
      <c r="L1205" s="7" t="inlineStr">
        <is>
          <t>Galets bloqués / bruit anormal</t>
        </is>
      </c>
      <c r="M1205" s="7" t="inlineStr">
        <is>
          <t>Défaut lubrification</t>
        </is>
      </c>
      <c r="N1205" s="7" t="inlineStr">
        <is>
          <t>Graissage et remplacement galets</t>
        </is>
      </c>
      <c r="O1205" s="7" t="inlineStr">
        <is>
          <t>Antoine Mercier</t>
        </is>
      </c>
      <c r="P1205" s="65" t="n"/>
      <c r="Q1205" s="75" t="n">
        <v>46179.85138888889</v>
      </c>
      <c r="R1205" s="75" t="n">
        <v>46180.42430555556</v>
      </c>
      <c r="S1205" s="76" t="n">
        <v>0</v>
      </c>
      <c r="T1205" s="76" t="n">
        <v>13.75</v>
      </c>
      <c r="U1205" s="70">
        <f>IF($A1205="","",IFERROR(INDEX('Techniciens'!$F$5:$F$44,MATCH(O1205,'Techniciens'!$B$5:$B$44,0)),'Paramètres'!$AA$10))</f>
        <v/>
      </c>
      <c r="V1205" s="70">
        <f>IF($A1205="","",IF(OR(AC1205="Demandé",AC1205="Planifié",AC1205="Annulé"),0,N(T1205)*N(U1205)))</f>
        <v/>
      </c>
      <c r="W1205" s="70">
        <f>IF($A1205="","",SUMIFS('Mouvements stock'!$H$5:$H$3004,'Mouvements stock'!$I$5:$I$3004,$A1205,'Mouvements stock'!$C$5:$C$3004,"Sortie")-SUMIFS('Mouvements stock'!$H$5:$H$3004,'Mouvements stock'!$I$5:$I$3004,$A1205,'Mouvements stock'!$C$5:$C$3004,"Retour"))</f>
        <v/>
      </c>
      <c r="X1205" s="66" t="n">
        <v>0</v>
      </c>
      <c r="Y1205" s="66" t="n">
        <v>0</v>
      </c>
      <c r="Z1205" s="7" t="n"/>
      <c r="AA1205" s="70">
        <f>IF($A1205="","",N(V1205)+N(W1205)+N(X1205)+N(Y1205))</f>
        <v/>
      </c>
      <c r="AB1205" s="70">
        <f>IF($A1205="","",N(S1205)*'Paramètres'!$AA$9*IFERROR(INDEX('Paramètres'!$O$5:$O$7,MATCH(G1205,'Paramètres'!$N$5:$N$7,0)),0))</f>
        <v/>
      </c>
      <c r="AC1205" s="7" t="inlineStr">
        <is>
          <t>Clôturé</t>
        </is>
      </c>
      <c r="AD1205" s="69">
        <f>IF(OR($A1205="",Q1205=""),"",(Q1205-B1205)*24)</f>
        <v/>
      </c>
      <c r="AE1205" s="69">
        <f>IF(OR(Q1205="",R1205=""),"",(R1205-Q1205)*24)</f>
        <v/>
      </c>
      <c r="AF1205" s="77">
        <f>IF(OR($A1205="",B1205=""),"",YEAR(B1205))</f>
        <v/>
      </c>
      <c r="AG1205" s="77">
        <f>IF(OR($A1205="",B1205=""),"",MONTH(B1205))</f>
        <v/>
      </c>
    </row>
    <row r="1206">
      <c r="A1206" s="7" t="inlineStr">
        <is>
          <t>OT-2026-0351</t>
        </is>
      </c>
      <c r="B1206" s="75" t="n">
        <v>46181.33333333334</v>
      </c>
      <c r="C1206" s="7" t="inlineStr">
        <is>
          <t>Planning réglementaire</t>
        </is>
      </c>
      <c r="D1206" s="7" t="inlineStr">
        <is>
          <t>EQ-TOL-002</t>
        </is>
      </c>
      <c r="E1206" s="9">
        <f>IF(D1206="","",IFERROR(INDEX('Équipements'!$B$5:$B$304,MATCH(D1206,'Équipements'!$A$5:$A$304,0)),"Code inconnu"))</f>
        <v/>
      </c>
      <c r="F1206" s="9">
        <f>IF(D1206="","",IFERROR(INDEX('Équipements'!$D$5:$D$304,MATCH(D1206,'Équipements'!$A$5:$A$304,0)),""))</f>
        <v/>
      </c>
      <c r="G1206" s="9">
        <f>IF(D1206="","",IFERROR(INDEX('Équipements'!$K$5:$K$304,MATCH(D1206,'Équipements'!$A$5:$A$304,0)),""))</f>
        <v/>
      </c>
      <c r="H1206" s="7" t="inlineStr">
        <is>
          <t>Réglementaire</t>
        </is>
      </c>
      <c r="I1206" s="7" t="inlineStr">
        <is>
          <t>CR-010</t>
        </is>
      </c>
      <c r="J1206" s="7" t="inlineStr">
        <is>
          <t>Multi-technique</t>
        </is>
      </c>
      <c r="K1206" s="7" t="inlineStr">
        <is>
          <t>P2 - Haute</t>
        </is>
      </c>
      <c r="L1206" s="7" t="inlineStr">
        <is>
          <t>Vérification périodique presse plieuse</t>
        </is>
      </c>
      <c r="M1206" s="7" t="n"/>
      <c r="N1206" s="7" t="inlineStr">
        <is>
          <t>Contrôle réalisé - observations mineures au rapport</t>
        </is>
      </c>
      <c r="O1206" s="7" t="inlineStr">
        <is>
          <t>Marc Lefèvre</t>
        </is>
      </c>
      <c r="P1206" s="65" t="n">
        <v>46202</v>
      </c>
      <c r="Q1206" s="75" t="n">
        <v>46202.47916666666</v>
      </c>
      <c r="R1206" s="75" t="n">
        <v>46202.57291666666</v>
      </c>
      <c r="S1206" s="76" t="n">
        <v>1</v>
      </c>
      <c r="T1206" s="76" t="n">
        <v>2.25</v>
      </c>
      <c r="U1206" s="70">
        <f>IF($A1206="","",IFERROR(INDEX('Techniciens'!$F$5:$F$44,MATCH(O1206,'Techniciens'!$B$5:$B$44,0)),'Paramètres'!$AA$10))</f>
        <v/>
      </c>
      <c r="V1206" s="70">
        <f>IF($A1206="","",IF(OR(AC1206="Demandé",AC1206="Planifié",AC1206="Annulé"),0,N(T1206)*N(U1206)))</f>
        <v/>
      </c>
      <c r="W1206" s="70">
        <f>IF($A1206="","",SUMIFS('Mouvements stock'!$H$5:$H$3004,'Mouvements stock'!$I$5:$I$3004,$A1206,'Mouvements stock'!$C$5:$C$3004,"Sortie")-SUMIFS('Mouvements stock'!$H$5:$H$3004,'Mouvements stock'!$I$5:$I$3004,$A1206,'Mouvements stock'!$C$5:$C$3004,"Retour"))</f>
        <v/>
      </c>
      <c r="X1206" s="66" t="n">
        <v>0</v>
      </c>
      <c r="Y1206" s="66" t="n">
        <v>230</v>
      </c>
      <c r="Z1206" s="7" t="inlineStr">
        <is>
          <t>CONTROLIS (organisme fictif)</t>
        </is>
      </c>
      <c r="AA1206" s="70">
        <f>IF($A1206="","",N(V1206)+N(W1206)+N(X1206)+N(Y1206))</f>
        <v/>
      </c>
      <c r="AB1206" s="70">
        <f>IF($A1206="","",N(S1206)*'Paramètres'!$AA$9*IFERROR(INDEX('Paramètres'!$O$5:$O$7,MATCH(G1206,'Paramètres'!$N$5:$N$7,0)),0))</f>
        <v/>
      </c>
      <c r="AC1206" s="7" t="inlineStr">
        <is>
          <t>Clôturé</t>
        </is>
      </c>
      <c r="AD1206" s="69">
        <f>IF(OR($A1206="",Q1206=""),"",(Q1206-B1206)*24)</f>
        <v/>
      </c>
      <c r="AE1206" s="69">
        <f>IF(OR(Q1206="",R1206=""),"",(R1206-Q1206)*24)</f>
        <v/>
      </c>
      <c r="AF1206" s="77">
        <f>IF(OR($A1206="",B1206=""),"",YEAR(B1206))</f>
        <v/>
      </c>
      <c r="AG1206" s="77">
        <f>IF(OR($A1206="",B1206=""),"",MONTH(B1206))</f>
        <v/>
      </c>
    </row>
    <row r="1207">
      <c r="A1207" s="7" t="inlineStr">
        <is>
          <t>OT-2026-0352</t>
        </is>
      </c>
      <c r="B1207" s="75" t="n">
        <v>46181.36458333334</v>
      </c>
      <c r="C1207" s="7" t="inlineStr">
        <is>
          <t>Plan préventif</t>
        </is>
      </c>
      <c r="D1207" s="7" t="inlineStr">
        <is>
          <t>EQ-UTI-001</t>
        </is>
      </c>
      <c r="E1207" s="9">
        <f>IF(D1207="","",IFERROR(INDEX('Équipements'!$B$5:$B$304,MATCH(D1207,'Équipements'!$A$5:$A$304,0)),"Code inconnu"))</f>
        <v/>
      </c>
      <c r="F1207" s="9">
        <f>IF(D1207="","",IFERROR(INDEX('Équipements'!$D$5:$D$304,MATCH(D1207,'Équipements'!$A$5:$A$304,0)),""))</f>
        <v/>
      </c>
      <c r="G1207" s="9">
        <f>IF(D1207="","",IFERROR(INDEX('Équipements'!$K$5:$K$304,MATCH(D1207,'Équipements'!$A$5:$A$304,0)),""))</f>
        <v/>
      </c>
      <c r="H1207" s="7" t="inlineStr">
        <is>
          <t>Préventif systématique</t>
        </is>
      </c>
      <c r="I1207" s="7" t="inlineStr">
        <is>
          <t>GP-088</t>
        </is>
      </c>
      <c r="J1207" s="7" t="inlineStr">
        <is>
          <t>Pneumatique</t>
        </is>
      </c>
      <c r="K1207" s="7" t="inlineStr">
        <is>
          <t>P3 - Normale</t>
        </is>
      </c>
      <c r="L1207" s="7" t="inlineStr">
        <is>
          <t>Purge, contrôle fuites et point de rosée</t>
        </is>
      </c>
      <c r="M1207" s="7" t="n"/>
      <c r="N1207" s="7" t="inlineStr">
        <is>
          <t>Gamme réalisée - RAS</t>
        </is>
      </c>
      <c r="O1207" s="7" t="inlineStr">
        <is>
          <t>Julien Moreau</t>
        </is>
      </c>
      <c r="P1207" s="65" t="n">
        <v>46188.58680555555</v>
      </c>
      <c r="Q1207" s="75" t="n">
        <v>46188.32291666666</v>
      </c>
      <c r="R1207" s="75" t="n">
        <v>46188.38541666666</v>
      </c>
      <c r="S1207" s="76" t="n">
        <v>0</v>
      </c>
      <c r="T1207" s="76" t="n">
        <v>1.5</v>
      </c>
      <c r="U1207" s="70">
        <f>IF($A1207="","",IFERROR(INDEX('Techniciens'!$F$5:$F$44,MATCH(O1207,'Techniciens'!$B$5:$B$44,0)),'Paramètres'!$AA$10))</f>
        <v/>
      </c>
      <c r="V1207" s="70">
        <f>IF($A1207="","",IF(OR(AC1207="Demandé",AC1207="Planifié",AC1207="Annulé"),0,N(T1207)*N(U1207)))</f>
        <v/>
      </c>
      <c r="W1207" s="70">
        <f>IF($A1207="","",SUMIFS('Mouvements stock'!$H$5:$H$3004,'Mouvements stock'!$I$5:$I$3004,$A1207,'Mouvements stock'!$C$5:$C$3004,"Sortie")-SUMIFS('Mouvements stock'!$H$5:$H$3004,'Mouvements stock'!$I$5:$I$3004,$A1207,'Mouvements stock'!$C$5:$C$3004,"Retour"))</f>
        <v/>
      </c>
      <c r="X1207" s="66" t="n">
        <v>0</v>
      </c>
      <c r="Y1207" s="66" t="n">
        <v>0</v>
      </c>
      <c r="Z1207" s="7" t="n"/>
      <c r="AA1207" s="70">
        <f>IF($A1207="","",N(V1207)+N(W1207)+N(X1207)+N(Y1207))</f>
        <v/>
      </c>
      <c r="AB1207" s="70">
        <f>IF($A1207="","",N(S1207)*'Paramètres'!$AA$9*IFERROR(INDEX('Paramètres'!$O$5:$O$7,MATCH(G1207,'Paramètres'!$N$5:$N$7,0)),0))</f>
        <v/>
      </c>
      <c r="AC1207" s="7" t="inlineStr">
        <is>
          <t>Clôturé</t>
        </is>
      </c>
      <c r="AD1207" s="69">
        <f>IF(OR($A1207="",Q1207=""),"",(Q1207-B1207)*24)</f>
        <v/>
      </c>
      <c r="AE1207" s="69">
        <f>IF(OR(Q1207="",R1207=""),"",(R1207-Q1207)*24)</f>
        <v/>
      </c>
      <c r="AF1207" s="77">
        <f>IF(OR($A1207="",B1207=""),"",YEAR(B1207))</f>
        <v/>
      </c>
      <c r="AG1207" s="77">
        <f>IF(OR($A1207="",B1207=""),"",MONTH(B1207))</f>
        <v/>
      </c>
    </row>
    <row r="1208">
      <c r="A1208" s="7" t="inlineStr">
        <is>
          <t>OT-2026-0353</t>
        </is>
      </c>
      <c r="B1208" s="75" t="n">
        <v>46181.44791666666</v>
      </c>
      <c r="C1208" s="7" t="inlineStr">
        <is>
          <t>Plan préventif</t>
        </is>
      </c>
      <c r="D1208" s="7" t="inlineStr">
        <is>
          <t>EQ-TOL-007</t>
        </is>
      </c>
      <c r="E1208" s="9">
        <f>IF(D1208="","",IFERROR(INDEX('Équipements'!$B$5:$B$304,MATCH(D1208,'Équipements'!$A$5:$A$304,0)),"Code inconnu"))</f>
        <v/>
      </c>
      <c r="F1208" s="9">
        <f>IF(D1208="","",IFERROR(INDEX('Équipements'!$D$5:$D$304,MATCH(D1208,'Équipements'!$A$5:$A$304,0)),""))</f>
        <v/>
      </c>
      <c r="G1208" s="9">
        <f>IF(D1208="","",IFERROR(INDEX('Équipements'!$K$5:$K$304,MATCH(D1208,'Équipements'!$A$5:$A$304,0)),""))</f>
        <v/>
      </c>
      <c r="H1208" s="7" t="inlineStr">
        <is>
          <t>Préventif systématique</t>
        </is>
      </c>
      <c r="I1208" s="7" t="inlineStr">
        <is>
          <t>GP-056</t>
        </is>
      </c>
      <c r="J1208" s="7" t="inlineStr">
        <is>
          <t>Mécanique</t>
        </is>
      </c>
      <c r="K1208" s="7" t="inlineStr">
        <is>
          <t>P3 - Normale</t>
        </is>
      </c>
      <c r="L1208" s="7" t="inlineStr">
        <is>
          <t>Graissage chaîne / galets et contrôle tension</t>
        </is>
      </c>
      <c r="M1208" s="7" t="n"/>
      <c r="N1208" s="7" t="inlineStr">
        <is>
          <t>Gamme réalisée - RAS</t>
        </is>
      </c>
      <c r="O1208" s="7" t="inlineStr">
        <is>
          <t>Antoine Mercier</t>
        </is>
      </c>
      <c r="P1208" s="65" t="n">
        <v>46188.64930555555</v>
      </c>
      <c r="Q1208" s="75" t="n">
        <v>46188.50694444445</v>
      </c>
      <c r="R1208" s="75" t="n">
        <v>46188.60069444445</v>
      </c>
      <c r="S1208" s="76" t="n">
        <v>0</v>
      </c>
      <c r="T1208" s="76" t="n">
        <v>2.25</v>
      </c>
      <c r="U1208" s="70">
        <f>IF($A1208="","",IFERROR(INDEX('Techniciens'!$F$5:$F$44,MATCH(O1208,'Techniciens'!$B$5:$B$44,0)),'Paramètres'!$AA$10))</f>
        <v/>
      </c>
      <c r="V1208" s="70">
        <f>IF($A1208="","",IF(OR(AC1208="Demandé",AC1208="Planifié",AC1208="Annulé"),0,N(T1208)*N(U1208)))</f>
        <v/>
      </c>
      <c r="W1208" s="70">
        <f>IF($A1208="","",SUMIFS('Mouvements stock'!$H$5:$H$3004,'Mouvements stock'!$I$5:$I$3004,$A1208,'Mouvements stock'!$C$5:$C$3004,"Sortie")-SUMIFS('Mouvements stock'!$H$5:$H$3004,'Mouvements stock'!$I$5:$I$3004,$A1208,'Mouvements stock'!$C$5:$C$3004,"Retour"))</f>
        <v/>
      </c>
      <c r="X1208" s="66" t="n">
        <v>0</v>
      </c>
      <c r="Y1208" s="66" t="n">
        <v>0</v>
      </c>
      <c r="Z1208" s="7" t="n"/>
      <c r="AA1208" s="70">
        <f>IF($A1208="","",N(V1208)+N(W1208)+N(X1208)+N(Y1208))</f>
        <v/>
      </c>
      <c r="AB1208" s="70">
        <f>IF($A1208="","",N(S1208)*'Paramètres'!$AA$9*IFERROR(INDEX('Paramètres'!$O$5:$O$7,MATCH(G1208,'Paramètres'!$N$5:$N$7,0)),0))</f>
        <v/>
      </c>
      <c r="AC1208" s="7" t="inlineStr">
        <is>
          <t>Clôturé</t>
        </is>
      </c>
      <c r="AD1208" s="69">
        <f>IF(OR($A1208="",Q1208=""),"",(Q1208-B1208)*24)</f>
        <v/>
      </c>
      <c r="AE1208" s="69">
        <f>IF(OR(Q1208="",R1208=""),"",(R1208-Q1208)*24)</f>
        <v/>
      </c>
      <c r="AF1208" s="77">
        <f>IF(OR($A1208="",B1208=""),"",YEAR(B1208))</f>
        <v/>
      </c>
      <c r="AG1208" s="77">
        <f>IF(OR($A1208="",B1208=""),"",MONTH(B1208))</f>
        <v/>
      </c>
    </row>
    <row r="1209">
      <c r="A1209" s="7" t="inlineStr">
        <is>
          <t>OT-2026-0354</t>
        </is>
      </c>
      <c r="B1209" s="75" t="n">
        <v>46182.34027777778</v>
      </c>
      <c r="C1209" s="7" t="inlineStr">
        <is>
          <t>Plan préventif</t>
        </is>
      </c>
      <c r="D1209" s="7" t="inlineStr">
        <is>
          <t>EQ-PEI-005</t>
        </is>
      </c>
      <c r="E1209" s="9">
        <f>IF(D1209="","",IFERROR(INDEX('Équipements'!$B$5:$B$304,MATCH(D1209,'Équipements'!$A$5:$A$304,0)),"Code inconnu"))</f>
        <v/>
      </c>
      <c r="F1209" s="9">
        <f>IF(D1209="","",IFERROR(INDEX('Équipements'!$D$5:$D$304,MATCH(D1209,'Équipements'!$A$5:$A$304,0)),""))</f>
        <v/>
      </c>
      <c r="G1209" s="9">
        <f>IF(D1209="","",IFERROR(INDEX('Équipements'!$K$5:$K$304,MATCH(D1209,'Équipements'!$A$5:$A$304,0)),""))</f>
        <v/>
      </c>
      <c r="H1209" s="7" t="inlineStr">
        <is>
          <t>Préventif systématique</t>
        </is>
      </c>
      <c r="I1209" s="7" t="inlineStr">
        <is>
          <t>GP-074</t>
        </is>
      </c>
      <c r="J1209" s="7" t="inlineStr">
        <is>
          <t>Mécanique</t>
        </is>
      </c>
      <c r="K1209" s="7" t="inlineStr">
        <is>
          <t>P3 - Normale</t>
        </is>
      </c>
      <c r="L1209" s="7" t="inlineStr">
        <is>
          <t>Nettoyage et remplacement des filtres</t>
        </is>
      </c>
      <c r="M1209" s="7" t="n"/>
      <c r="N1209" s="7" t="inlineStr">
        <is>
          <t>Gamme réalisée - usure constatée, à surveiller</t>
        </is>
      </c>
      <c r="O1209" s="7" t="inlineStr">
        <is>
          <t>Lucas Fontaine</t>
        </is>
      </c>
      <c r="P1209" s="65" t="n">
        <v>46189.625</v>
      </c>
      <c r="Q1209" s="75" t="n">
        <v>46189.57638888889</v>
      </c>
      <c r="R1209" s="75" t="n">
        <v>46189.73263888889</v>
      </c>
      <c r="S1209" s="76" t="n">
        <v>1.9</v>
      </c>
      <c r="T1209" s="76" t="n">
        <v>3.75</v>
      </c>
      <c r="U1209" s="70">
        <f>IF($A1209="","",IFERROR(INDEX('Techniciens'!$F$5:$F$44,MATCH(O1209,'Techniciens'!$B$5:$B$44,0)),'Paramètres'!$AA$10))</f>
        <v/>
      </c>
      <c r="V1209" s="70">
        <f>IF($A1209="","",IF(OR(AC1209="Demandé",AC1209="Planifié",AC1209="Annulé"),0,N(T1209)*N(U1209)))</f>
        <v/>
      </c>
      <c r="W1209" s="70">
        <f>IF($A1209="","",SUMIFS('Mouvements stock'!$H$5:$H$3004,'Mouvements stock'!$I$5:$I$3004,$A1209,'Mouvements stock'!$C$5:$C$3004,"Sortie")-SUMIFS('Mouvements stock'!$H$5:$H$3004,'Mouvements stock'!$I$5:$I$3004,$A1209,'Mouvements stock'!$C$5:$C$3004,"Retour"))</f>
        <v/>
      </c>
      <c r="X1209" s="66" t="n">
        <v>0</v>
      </c>
      <c r="Y1209" s="66" t="n">
        <v>0</v>
      </c>
      <c r="Z1209" s="7" t="n"/>
      <c r="AA1209" s="70">
        <f>IF($A1209="","",N(V1209)+N(W1209)+N(X1209)+N(Y1209))</f>
        <v/>
      </c>
      <c r="AB1209" s="70">
        <f>IF($A1209="","",N(S1209)*'Paramètres'!$AA$9*IFERROR(INDEX('Paramètres'!$O$5:$O$7,MATCH(G1209,'Paramètres'!$N$5:$N$7,0)),0))</f>
        <v/>
      </c>
      <c r="AC1209" s="7" t="inlineStr">
        <is>
          <t>Clôturé</t>
        </is>
      </c>
      <c r="AD1209" s="69">
        <f>IF(OR($A1209="",Q1209=""),"",(Q1209-B1209)*24)</f>
        <v/>
      </c>
      <c r="AE1209" s="69">
        <f>IF(OR(Q1209="",R1209=""),"",(R1209-Q1209)*24)</f>
        <v/>
      </c>
      <c r="AF1209" s="77">
        <f>IF(OR($A1209="",B1209=""),"",YEAR(B1209))</f>
        <v/>
      </c>
      <c r="AG1209" s="77">
        <f>IF(OR($A1209="",B1209=""),"",MONTH(B1209))</f>
        <v/>
      </c>
    </row>
    <row r="1210">
      <c r="A1210" s="7" t="inlineStr">
        <is>
          <t>OT-2026-0355</t>
        </is>
      </c>
      <c r="B1210" s="75" t="n">
        <v>46182.38541666666</v>
      </c>
      <c r="C1210" s="7" t="inlineStr">
        <is>
          <t>Plan préventif</t>
        </is>
      </c>
      <c r="D1210" s="7" t="inlineStr">
        <is>
          <t>EQ-BAT-003</t>
        </is>
      </c>
      <c r="E1210" s="9">
        <f>IF(D1210="","",IFERROR(INDEX('Équipements'!$B$5:$B$304,MATCH(D1210,'Équipements'!$A$5:$A$304,0)),"Code inconnu"))</f>
        <v/>
      </c>
      <c r="F1210" s="9">
        <f>IF(D1210="","",IFERROR(INDEX('Équipements'!$D$5:$D$304,MATCH(D1210,'Équipements'!$A$5:$A$304,0)),""))</f>
        <v/>
      </c>
      <c r="G1210" s="9">
        <f>IF(D1210="","",IFERROR(INDEX('Équipements'!$K$5:$K$304,MATCH(D1210,'Équipements'!$A$5:$A$304,0)),""))</f>
        <v/>
      </c>
      <c r="H1210" s="7" t="inlineStr">
        <is>
          <t>Préventif systématique</t>
        </is>
      </c>
      <c r="I1210" s="7" t="inlineStr">
        <is>
          <t>GP-125</t>
        </is>
      </c>
      <c r="J1210" s="7" t="inlineStr">
        <is>
          <t>Multi-technique</t>
        </is>
      </c>
      <c r="K1210" s="7" t="inlineStr">
        <is>
          <t>P3 - Normale</t>
        </is>
      </c>
      <c r="L1210" s="7" t="inlineStr">
        <is>
          <t>Entretien annuel complet</t>
        </is>
      </c>
      <c r="M1210" s="7" t="n"/>
      <c r="N1210" s="7" t="inlineStr">
        <is>
          <t>Gamme réalisée - RAS</t>
        </is>
      </c>
      <c r="O1210" s="7" t="inlineStr">
        <is>
          <t>Antoine Mercier</t>
        </is>
      </c>
      <c r="P1210" s="65" t="n">
        <v>46189.88541666666</v>
      </c>
      <c r="Q1210" s="75" t="n">
        <v>46189.29861111111</v>
      </c>
      <c r="R1210" s="75" t="n">
        <v>46189.61111111111</v>
      </c>
      <c r="S1210" s="76" t="n">
        <v>0</v>
      </c>
      <c r="T1210" s="76" t="n">
        <v>2</v>
      </c>
      <c r="U1210" s="70">
        <f>IF($A1210="","",IFERROR(INDEX('Techniciens'!$F$5:$F$44,MATCH(O1210,'Techniciens'!$B$5:$B$44,0)),'Paramètres'!$AA$10))</f>
        <v/>
      </c>
      <c r="V1210" s="70">
        <f>IF($A1210="","",IF(OR(AC1210="Demandé",AC1210="Planifié",AC1210="Annulé"),0,N(T1210)*N(U1210)))</f>
        <v/>
      </c>
      <c r="W1210" s="70">
        <f>IF($A1210="","",SUMIFS('Mouvements stock'!$H$5:$H$3004,'Mouvements stock'!$I$5:$I$3004,$A1210,'Mouvements stock'!$C$5:$C$3004,"Sortie")-SUMIFS('Mouvements stock'!$H$5:$H$3004,'Mouvements stock'!$I$5:$I$3004,$A1210,'Mouvements stock'!$C$5:$C$3004,"Retour"))</f>
        <v/>
      </c>
      <c r="X1210" s="66" t="n">
        <v>0</v>
      </c>
      <c r="Y1210" s="66" t="n">
        <v>750</v>
      </c>
      <c r="Z1210" s="7" t="inlineStr">
        <is>
          <t>Thermique &amp; Clim Services</t>
        </is>
      </c>
      <c r="AA1210" s="70">
        <f>IF($A1210="","",N(V1210)+N(W1210)+N(X1210)+N(Y1210))</f>
        <v/>
      </c>
      <c r="AB1210" s="70">
        <f>IF($A1210="","",N(S1210)*'Paramètres'!$AA$9*IFERROR(INDEX('Paramètres'!$O$5:$O$7,MATCH(G1210,'Paramètres'!$N$5:$N$7,0)),0))</f>
        <v/>
      </c>
      <c r="AC1210" s="7" t="inlineStr">
        <is>
          <t>Clôturé</t>
        </is>
      </c>
      <c r="AD1210" s="69">
        <f>IF(OR($A1210="",Q1210=""),"",(Q1210-B1210)*24)</f>
        <v/>
      </c>
      <c r="AE1210" s="69">
        <f>IF(OR(Q1210="",R1210=""),"",(R1210-Q1210)*24)</f>
        <v/>
      </c>
      <c r="AF1210" s="77">
        <f>IF(OR($A1210="",B1210=""),"",YEAR(B1210))</f>
        <v/>
      </c>
      <c r="AG1210" s="77">
        <f>IF(OR($A1210="",B1210=""),"",MONTH(B1210))</f>
        <v/>
      </c>
    </row>
    <row r="1211">
      <c r="A1211" s="7" t="inlineStr">
        <is>
          <t>OT-2026-0356</t>
        </is>
      </c>
      <c r="B1211" s="75" t="n">
        <v>46182.40972222222</v>
      </c>
      <c r="C1211" s="7" t="inlineStr">
        <is>
          <t>Plan préventif</t>
        </is>
      </c>
      <c r="D1211" s="7" t="inlineStr">
        <is>
          <t>EQ-USI-012</t>
        </is>
      </c>
      <c r="E1211" s="9">
        <f>IF(D1211="","",IFERROR(INDEX('Équipements'!$B$5:$B$304,MATCH(D1211,'Équipements'!$A$5:$A$304,0)),"Code inconnu"))</f>
        <v/>
      </c>
      <c r="F1211" s="9">
        <f>IF(D1211="","",IFERROR(INDEX('Équipements'!$D$5:$D$304,MATCH(D1211,'Équipements'!$A$5:$A$304,0)),""))</f>
        <v/>
      </c>
      <c r="G1211" s="9">
        <f>IF(D1211="","",IFERROR(INDEX('Équipements'!$K$5:$K$304,MATCH(D1211,'Équipements'!$A$5:$A$304,0)),""))</f>
        <v/>
      </c>
      <c r="H1211" s="7" t="inlineStr">
        <is>
          <t>Préventif systématique</t>
        </is>
      </c>
      <c r="I1211" s="7" t="inlineStr">
        <is>
          <t>GP-036</t>
        </is>
      </c>
      <c r="J1211" s="7" t="inlineStr">
        <is>
          <t>Mécanique</t>
        </is>
      </c>
      <c r="K1211" s="7" t="inlineStr">
        <is>
          <t>P3 - Normale</t>
        </is>
      </c>
      <c r="L1211" s="7" t="inlineStr">
        <is>
          <t>Graissage réducteurs et contrôle câblage</t>
        </is>
      </c>
      <c r="M1211" s="7" t="n"/>
      <c r="N1211" s="7" t="inlineStr">
        <is>
          <t>Gamme réalisée - RAS</t>
        </is>
      </c>
      <c r="O1211" s="7" t="inlineStr">
        <is>
          <t>Lucas Fontaine</t>
        </is>
      </c>
      <c r="P1211" s="65" t="n">
        <v>46189.54513888889</v>
      </c>
      <c r="Q1211" s="75" t="n">
        <v>46189.47916666666</v>
      </c>
      <c r="R1211" s="75" t="n">
        <v>46189.64583333334</v>
      </c>
      <c r="S1211" s="76" t="n">
        <v>4</v>
      </c>
      <c r="T1211" s="76" t="n">
        <v>4</v>
      </c>
      <c r="U1211" s="70">
        <f>IF($A1211="","",IFERROR(INDEX('Techniciens'!$F$5:$F$44,MATCH(O1211,'Techniciens'!$B$5:$B$44,0)),'Paramètres'!$AA$10))</f>
        <v/>
      </c>
      <c r="V1211" s="70">
        <f>IF($A1211="","",IF(OR(AC1211="Demandé",AC1211="Planifié",AC1211="Annulé"),0,N(T1211)*N(U1211)))</f>
        <v/>
      </c>
      <c r="W1211" s="70">
        <f>IF($A1211="","",SUMIFS('Mouvements stock'!$H$5:$H$3004,'Mouvements stock'!$I$5:$I$3004,$A1211,'Mouvements stock'!$C$5:$C$3004,"Sortie")-SUMIFS('Mouvements stock'!$H$5:$H$3004,'Mouvements stock'!$I$5:$I$3004,$A1211,'Mouvements stock'!$C$5:$C$3004,"Retour"))</f>
        <v/>
      </c>
      <c r="X1211" s="66" t="n">
        <v>0</v>
      </c>
      <c r="Y1211" s="66" t="n">
        <v>0</v>
      </c>
      <c r="Z1211" s="7" t="n"/>
      <c r="AA1211" s="70">
        <f>IF($A1211="","",N(V1211)+N(W1211)+N(X1211)+N(Y1211))</f>
        <v/>
      </c>
      <c r="AB1211" s="70">
        <f>IF($A1211="","",N(S1211)*'Paramètres'!$AA$9*IFERROR(INDEX('Paramètres'!$O$5:$O$7,MATCH(G1211,'Paramètres'!$N$5:$N$7,0)),0))</f>
        <v/>
      </c>
      <c r="AC1211" s="7" t="inlineStr">
        <is>
          <t>Clôturé</t>
        </is>
      </c>
      <c r="AD1211" s="69">
        <f>IF(OR($A1211="",Q1211=""),"",(Q1211-B1211)*24)</f>
        <v/>
      </c>
      <c r="AE1211" s="69">
        <f>IF(OR(Q1211="",R1211=""),"",(R1211-Q1211)*24)</f>
        <v/>
      </c>
      <c r="AF1211" s="77">
        <f>IF(OR($A1211="",B1211=""),"",YEAR(B1211))</f>
        <v/>
      </c>
      <c r="AG1211" s="77">
        <f>IF(OR($A1211="",B1211=""),"",MONTH(B1211))</f>
        <v/>
      </c>
    </row>
    <row r="1212">
      <c r="A1212" s="7" t="inlineStr">
        <is>
          <t>OT-2026-0357</t>
        </is>
      </c>
      <c r="B1212" s="75" t="n">
        <v>46183.59305555555</v>
      </c>
      <c r="C1212" s="7" t="inlineStr">
        <is>
          <t>Paul Roux (chef d'atelier)</t>
        </is>
      </c>
      <c r="D1212" s="7" t="inlineStr">
        <is>
          <t>EQ-ASS-004</t>
        </is>
      </c>
      <c r="E1212" s="9">
        <f>IF(D1212="","",IFERROR(INDEX('Équipements'!$B$5:$B$304,MATCH(D1212,'Équipements'!$A$5:$A$304,0)),"Code inconnu"))</f>
        <v/>
      </c>
      <c r="F1212" s="9">
        <f>IF(D1212="","",IFERROR(INDEX('Équipements'!$D$5:$D$304,MATCH(D1212,'Équipements'!$A$5:$A$304,0)),""))</f>
        <v/>
      </c>
      <c r="G1212" s="9">
        <f>IF(D1212="","",IFERROR(INDEX('Équipements'!$K$5:$K$304,MATCH(D1212,'Équipements'!$A$5:$A$304,0)),""))</f>
        <v/>
      </c>
      <c r="H1212" s="7" t="inlineStr">
        <is>
          <t>Correctif</t>
        </is>
      </c>
      <c r="I1212" s="7" t="n"/>
      <c r="J1212" s="7" t="inlineStr">
        <is>
          <t>Électrique</t>
        </is>
      </c>
      <c r="K1212" s="7" t="inlineStr">
        <is>
          <t>P3 - Normale</t>
        </is>
      </c>
      <c r="L1212" s="7" t="inlineStr">
        <is>
          <t>Mesures incohérentes / défaut palpeur</t>
        </is>
      </c>
      <c r="M1212" s="7" t="n"/>
      <c r="N1212" s="7" t="inlineStr">
        <is>
          <t>Doublon de demande - annulé</t>
        </is>
      </c>
      <c r="O1212" s="7" t="inlineStr">
        <is>
          <t>Julien Moreau</t>
        </is>
      </c>
      <c r="P1212" s="65" t="n"/>
      <c r="Q1212" s="75" t="n"/>
      <c r="R1212" s="75" t="n"/>
      <c r="S1212" s="76" t="n">
        <v>0</v>
      </c>
      <c r="T1212" s="76" t="n">
        <v>0</v>
      </c>
      <c r="U1212" s="70">
        <f>IF($A1212="","",IFERROR(INDEX('Techniciens'!$F$5:$F$44,MATCH(O1212,'Techniciens'!$B$5:$B$44,0)),'Paramètres'!$AA$10))</f>
        <v/>
      </c>
      <c r="V1212" s="70">
        <f>IF($A1212="","",IF(OR(AC1212="Demandé",AC1212="Planifié",AC1212="Annulé"),0,N(T1212)*N(U1212)))</f>
        <v/>
      </c>
      <c r="W1212" s="70">
        <f>IF($A1212="","",SUMIFS('Mouvements stock'!$H$5:$H$3004,'Mouvements stock'!$I$5:$I$3004,$A1212,'Mouvements stock'!$C$5:$C$3004,"Sortie")-SUMIFS('Mouvements stock'!$H$5:$H$3004,'Mouvements stock'!$I$5:$I$3004,$A1212,'Mouvements stock'!$C$5:$C$3004,"Retour"))</f>
        <v/>
      </c>
      <c r="X1212" s="66" t="n">
        <v>0</v>
      </c>
      <c r="Y1212" s="66" t="n">
        <v>0</v>
      </c>
      <c r="Z1212" s="7" t="n"/>
      <c r="AA1212" s="70">
        <f>IF($A1212="","",N(V1212)+N(W1212)+N(X1212)+N(Y1212))</f>
        <v/>
      </c>
      <c r="AB1212" s="70">
        <f>IF($A1212="","",N(S1212)*'Paramètres'!$AA$9*IFERROR(INDEX('Paramètres'!$O$5:$O$7,MATCH(G1212,'Paramètres'!$N$5:$N$7,0)),0))</f>
        <v/>
      </c>
      <c r="AC1212" s="7" t="inlineStr">
        <is>
          <t>Annulé</t>
        </is>
      </c>
      <c r="AD1212" s="69">
        <f>IF(OR($A1212="",Q1212=""),"",(Q1212-B1212)*24)</f>
        <v/>
      </c>
      <c r="AE1212" s="69">
        <f>IF(OR(Q1212="",R1212=""),"",(R1212-Q1212)*24)</f>
        <v/>
      </c>
      <c r="AF1212" s="77">
        <f>IF(OR($A1212="",B1212=""),"",YEAR(B1212))</f>
        <v/>
      </c>
      <c r="AG1212" s="77">
        <f>IF(OR($A1212="",B1212=""),"",MONTH(B1212))</f>
        <v/>
      </c>
    </row>
    <row r="1213">
      <c r="A1213" s="7" t="inlineStr">
        <is>
          <t>OT-2026-0358</t>
        </is>
      </c>
      <c r="B1213" s="75" t="n">
        <v>46184.27152777778</v>
      </c>
      <c r="C1213" s="7" t="inlineStr">
        <is>
          <t>Paul Roux (chef d'atelier)</t>
        </is>
      </c>
      <c r="D1213" s="7" t="inlineStr">
        <is>
          <t>EQ-ASS-002</t>
        </is>
      </c>
      <c r="E1213" s="9">
        <f>IF(D1213="","",IFERROR(INDEX('Équipements'!$B$5:$B$304,MATCH(D1213,'Équipements'!$A$5:$A$304,0)),"Code inconnu"))</f>
        <v/>
      </c>
      <c r="F1213" s="9">
        <f>IF(D1213="","",IFERROR(INDEX('Équipements'!$D$5:$D$304,MATCH(D1213,'Équipements'!$A$5:$A$304,0)),""))</f>
        <v/>
      </c>
      <c r="G1213" s="9">
        <f>IF(D1213="","",IFERROR(INDEX('Équipements'!$K$5:$K$304,MATCH(D1213,'Équipements'!$A$5:$A$304,0)),""))</f>
        <v/>
      </c>
      <c r="H1213" s="7" t="inlineStr">
        <is>
          <t>Correctif</t>
        </is>
      </c>
      <c r="I1213" s="7" t="n"/>
      <c r="J1213" s="7" t="inlineStr">
        <is>
          <t>Hydraulique</t>
        </is>
      </c>
      <c r="K1213" s="7" t="inlineStr">
        <is>
          <t>P3 - Normale</t>
        </is>
      </c>
      <c r="L1213" s="7" t="inlineStr">
        <is>
          <t>Pompe hydraulique bruyante</t>
        </is>
      </c>
      <c r="M1213" s="7" t="inlineStr">
        <is>
          <t>Usure</t>
        </is>
      </c>
      <c r="N1213" s="7" t="inlineStr">
        <is>
          <t>Remplacement accouplement, contrôle débit pompe</t>
        </is>
      </c>
      <c r="O1213" s="7" t="inlineStr">
        <is>
          <t>Karim Benali</t>
        </is>
      </c>
      <c r="P1213" s="65" t="n"/>
      <c r="Q1213" s="75" t="n">
        <v>46184.55069444444</v>
      </c>
      <c r="R1213" s="75" t="n">
        <v>46184.79027777778</v>
      </c>
      <c r="S1213" s="76" t="n">
        <v>0</v>
      </c>
      <c r="T1213" s="76" t="n">
        <v>5.75</v>
      </c>
      <c r="U1213" s="70">
        <f>IF($A1213="","",IFERROR(INDEX('Techniciens'!$F$5:$F$44,MATCH(O1213,'Techniciens'!$B$5:$B$44,0)),'Paramètres'!$AA$10))</f>
        <v/>
      </c>
      <c r="V1213" s="70">
        <f>IF($A1213="","",IF(OR(AC1213="Demandé",AC1213="Planifié",AC1213="Annulé"),0,N(T1213)*N(U1213)))</f>
        <v/>
      </c>
      <c r="W1213" s="70">
        <f>IF($A1213="","",SUMIFS('Mouvements stock'!$H$5:$H$3004,'Mouvements stock'!$I$5:$I$3004,$A1213,'Mouvements stock'!$C$5:$C$3004,"Sortie")-SUMIFS('Mouvements stock'!$H$5:$H$3004,'Mouvements stock'!$I$5:$I$3004,$A1213,'Mouvements stock'!$C$5:$C$3004,"Retour"))</f>
        <v/>
      </c>
      <c r="X1213" s="66" t="n">
        <v>0</v>
      </c>
      <c r="Y1213" s="66" t="n">
        <v>0</v>
      </c>
      <c r="Z1213" s="7" t="n"/>
      <c r="AA1213" s="70">
        <f>IF($A1213="","",N(V1213)+N(W1213)+N(X1213)+N(Y1213))</f>
        <v/>
      </c>
      <c r="AB1213" s="70">
        <f>IF($A1213="","",N(S1213)*'Paramètres'!$AA$9*IFERROR(INDEX('Paramètres'!$O$5:$O$7,MATCH(G1213,'Paramètres'!$N$5:$N$7,0)),0))</f>
        <v/>
      </c>
      <c r="AC1213" s="7" t="inlineStr">
        <is>
          <t>Clôturé</t>
        </is>
      </c>
      <c r="AD1213" s="69">
        <f>IF(OR($A1213="",Q1213=""),"",(Q1213-B1213)*24)</f>
        <v/>
      </c>
      <c r="AE1213" s="69">
        <f>IF(OR(Q1213="",R1213=""),"",(R1213-Q1213)*24)</f>
        <v/>
      </c>
      <c r="AF1213" s="77">
        <f>IF(OR($A1213="",B1213=""),"",YEAR(B1213))</f>
        <v/>
      </c>
      <c r="AG1213" s="77">
        <f>IF(OR($A1213="",B1213=""),"",MONTH(B1213))</f>
        <v/>
      </c>
    </row>
    <row r="1214">
      <c r="A1214" s="7" t="inlineStr">
        <is>
          <t>OT-2026-0359</t>
        </is>
      </c>
      <c r="B1214" s="75" t="n">
        <v>46184.33333333334</v>
      </c>
      <c r="C1214" s="7" t="inlineStr">
        <is>
          <t>Plan préventif</t>
        </is>
      </c>
      <c r="D1214" s="7" t="inlineStr">
        <is>
          <t>EQ-ASS-006</t>
        </is>
      </c>
      <c r="E1214" s="9">
        <f>IF(D1214="","",IFERROR(INDEX('Équipements'!$B$5:$B$304,MATCH(D1214,'Équipements'!$A$5:$A$304,0)),"Code inconnu"))</f>
        <v/>
      </c>
      <c r="F1214" s="9">
        <f>IF(D1214="","",IFERROR(INDEX('Équipements'!$D$5:$D$304,MATCH(D1214,'Équipements'!$A$5:$A$304,0)),""))</f>
        <v/>
      </c>
      <c r="G1214" s="9">
        <f>IF(D1214="","",IFERROR(INDEX('Équipements'!$K$5:$K$304,MATCH(D1214,'Équipements'!$A$5:$A$304,0)),""))</f>
        <v/>
      </c>
      <c r="H1214" s="7" t="inlineStr">
        <is>
          <t>Préventif systématique</t>
        </is>
      </c>
      <c r="I1214" s="7" t="inlineStr">
        <is>
          <t>GP-085</t>
        </is>
      </c>
      <c r="J1214" s="7" t="inlineStr">
        <is>
          <t>Mécanique</t>
        </is>
      </c>
      <c r="K1214" s="7" t="inlineStr">
        <is>
          <t>P3 - Normale</t>
        </is>
      </c>
      <c r="L1214" s="7" t="inlineStr">
        <is>
          <t>Graissage chaîne / galets et contrôle tension</t>
        </is>
      </c>
      <c r="M1214" s="7" t="n"/>
      <c r="N1214" s="7" t="inlineStr">
        <is>
          <t>Gamme réalisée - RAS</t>
        </is>
      </c>
      <c r="O1214" s="7" t="inlineStr">
        <is>
          <t>Lucas Fontaine</t>
        </is>
      </c>
      <c r="P1214" s="65" t="n">
        <v>46191.58680555555</v>
      </c>
      <c r="Q1214" s="75" t="n">
        <v>46191.42361111111</v>
      </c>
      <c r="R1214" s="75" t="n">
        <v>46191.52777777778</v>
      </c>
      <c r="S1214" s="76" t="n">
        <v>2.5</v>
      </c>
      <c r="T1214" s="76" t="n">
        <v>2.5</v>
      </c>
      <c r="U1214" s="70">
        <f>IF($A1214="","",IFERROR(INDEX('Techniciens'!$F$5:$F$44,MATCH(O1214,'Techniciens'!$B$5:$B$44,0)),'Paramètres'!$AA$10))</f>
        <v/>
      </c>
      <c r="V1214" s="70">
        <f>IF($A1214="","",IF(OR(AC1214="Demandé",AC1214="Planifié",AC1214="Annulé"),0,N(T1214)*N(U1214)))</f>
        <v/>
      </c>
      <c r="W1214" s="70">
        <f>IF($A1214="","",SUMIFS('Mouvements stock'!$H$5:$H$3004,'Mouvements stock'!$I$5:$I$3004,$A1214,'Mouvements stock'!$C$5:$C$3004,"Sortie")-SUMIFS('Mouvements stock'!$H$5:$H$3004,'Mouvements stock'!$I$5:$I$3004,$A1214,'Mouvements stock'!$C$5:$C$3004,"Retour"))</f>
        <v/>
      </c>
      <c r="X1214" s="66" t="n">
        <v>0</v>
      </c>
      <c r="Y1214" s="66" t="n">
        <v>0</v>
      </c>
      <c r="Z1214" s="7" t="n"/>
      <c r="AA1214" s="70">
        <f>IF($A1214="","",N(V1214)+N(W1214)+N(X1214)+N(Y1214))</f>
        <v/>
      </c>
      <c r="AB1214" s="70">
        <f>IF($A1214="","",N(S1214)*'Paramètres'!$AA$9*IFERROR(INDEX('Paramètres'!$O$5:$O$7,MATCH(G1214,'Paramètres'!$N$5:$N$7,0)),0))</f>
        <v/>
      </c>
      <c r="AC1214" s="7" t="inlineStr">
        <is>
          <t>Clôturé</t>
        </is>
      </c>
      <c r="AD1214" s="69">
        <f>IF(OR($A1214="",Q1214=""),"",(Q1214-B1214)*24)</f>
        <v/>
      </c>
      <c r="AE1214" s="69">
        <f>IF(OR(Q1214="",R1214=""),"",(R1214-Q1214)*24)</f>
        <v/>
      </c>
      <c r="AF1214" s="77">
        <f>IF(OR($A1214="",B1214=""),"",YEAR(B1214))</f>
        <v/>
      </c>
      <c r="AG1214" s="77">
        <f>IF(OR($A1214="",B1214=""),"",MONTH(B1214))</f>
        <v/>
      </c>
    </row>
    <row r="1215">
      <c r="A1215" s="7" t="inlineStr">
        <is>
          <t>OT-2026-0360</t>
        </is>
      </c>
      <c r="B1215" s="75" t="n">
        <v>46184.38541666666</v>
      </c>
      <c r="C1215" s="7" t="inlineStr">
        <is>
          <t>Plan préventif</t>
        </is>
      </c>
      <c r="D1215" s="7" t="inlineStr">
        <is>
          <t>EQ-USI-012</t>
        </is>
      </c>
      <c r="E1215" s="9">
        <f>IF(D1215="","",IFERROR(INDEX('Équipements'!$B$5:$B$304,MATCH(D1215,'Équipements'!$A$5:$A$304,0)),"Code inconnu"))</f>
        <v/>
      </c>
      <c r="F1215" s="9">
        <f>IF(D1215="","",IFERROR(INDEX('Équipements'!$D$5:$D$304,MATCH(D1215,'Équipements'!$A$5:$A$304,0)),""))</f>
        <v/>
      </c>
      <c r="G1215" s="9">
        <f>IF(D1215="","",IFERROR(INDEX('Équipements'!$K$5:$K$304,MATCH(D1215,'Équipements'!$A$5:$A$304,0)),""))</f>
        <v/>
      </c>
      <c r="H1215" s="7" t="inlineStr">
        <is>
          <t>Préventif systématique</t>
        </is>
      </c>
      <c r="I1215" s="7" t="inlineStr">
        <is>
          <t>GP-035</t>
        </is>
      </c>
      <c r="J1215" s="7" t="inlineStr">
        <is>
          <t>Mécanique</t>
        </is>
      </c>
      <c r="K1215" s="7" t="inlineStr">
        <is>
          <t>P3 - Normale</t>
        </is>
      </c>
      <c r="L1215" s="7" t="inlineStr">
        <is>
          <t>Nettoyage torche et contrôle faisceau</t>
        </is>
      </c>
      <c r="M1215" s="7" t="n"/>
      <c r="N1215" s="7" t="inlineStr">
        <is>
          <t>Gamme réalisée - RAS</t>
        </is>
      </c>
      <c r="O1215" s="7" t="inlineStr">
        <is>
          <t>Lucas Fontaine</t>
        </is>
      </c>
      <c r="P1215" s="65" t="n">
        <v>46191.47916666666</v>
      </c>
      <c r="Q1215" s="75" t="n">
        <v>46191.36805555555</v>
      </c>
      <c r="R1215" s="75" t="n">
        <v>46191.39930555555</v>
      </c>
      <c r="S1215" s="76" t="n">
        <v>0.4</v>
      </c>
      <c r="T1215" s="76" t="n">
        <v>0.75</v>
      </c>
      <c r="U1215" s="70">
        <f>IF($A1215="","",IFERROR(INDEX('Techniciens'!$F$5:$F$44,MATCH(O1215,'Techniciens'!$B$5:$B$44,0)),'Paramètres'!$AA$10))</f>
        <v/>
      </c>
      <c r="V1215" s="70">
        <f>IF($A1215="","",IF(OR(AC1215="Demandé",AC1215="Planifié",AC1215="Annulé"),0,N(T1215)*N(U1215)))</f>
        <v/>
      </c>
      <c r="W1215" s="70">
        <f>IF($A1215="","",SUMIFS('Mouvements stock'!$H$5:$H$3004,'Mouvements stock'!$I$5:$I$3004,$A1215,'Mouvements stock'!$C$5:$C$3004,"Sortie")-SUMIFS('Mouvements stock'!$H$5:$H$3004,'Mouvements stock'!$I$5:$I$3004,$A1215,'Mouvements stock'!$C$5:$C$3004,"Retour"))</f>
        <v/>
      </c>
      <c r="X1215" s="66" t="n">
        <v>0</v>
      </c>
      <c r="Y1215" s="66" t="n">
        <v>0</v>
      </c>
      <c r="Z1215" s="7" t="n"/>
      <c r="AA1215" s="70">
        <f>IF($A1215="","",N(V1215)+N(W1215)+N(X1215)+N(Y1215))</f>
        <v/>
      </c>
      <c r="AB1215" s="70">
        <f>IF($A1215="","",N(S1215)*'Paramètres'!$AA$9*IFERROR(INDEX('Paramètres'!$O$5:$O$7,MATCH(G1215,'Paramètres'!$N$5:$N$7,0)),0))</f>
        <v/>
      </c>
      <c r="AC1215" s="7" t="inlineStr">
        <is>
          <t>Clôturé</t>
        </is>
      </c>
      <c r="AD1215" s="69">
        <f>IF(OR($A1215="",Q1215=""),"",(Q1215-B1215)*24)</f>
        <v/>
      </c>
      <c r="AE1215" s="69">
        <f>IF(OR(Q1215="",R1215=""),"",(R1215-Q1215)*24)</f>
        <v/>
      </c>
      <c r="AF1215" s="77">
        <f>IF(OR($A1215="",B1215=""),"",YEAR(B1215))</f>
        <v/>
      </c>
      <c r="AG1215" s="77">
        <f>IF(OR($A1215="",B1215=""),"",MONTH(B1215))</f>
        <v/>
      </c>
    </row>
    <row r="1216">
      <c r="A1216" s="7" t="inlineStr">
        <is>
          <t>OT-2026-0361</t>
        </is>
      </c>
      <c r="B1216" s="75" t="n">
        <v>46184.45138888889</v>
      </c>
      <c r="C1216" s="7" t="inlineStr">
        <is>
          <t>Plan préventif</t>
        </is>
      </c>
      <c r="D1216" s="7" t="inlineStr">
        <is>
          <t>EQ-SOU-001</t>
        </is>
      </c>
      <c r="E1216" s="9">
        <f>IF(D1216="","",IFERROR(INDEX('Équipements'!$B$5:$B$304,MATCH(D1216,'Équipements'!$A$5:$A$304,0)),"Code inconnu"))</f>
        <v/>
      </c>
      <c r="F1216" s="9">
        <f>IF(D1216="","",IFERROR(INDEX('Équipements'!$D$5:$D$304,MATCH(D1216,'Équipements'!$A$5:$A$304,0)),""))</f>
        <v/>
      </c>
      <c r="G1216" s="9">
        <f>IF(D1216="","",IFERROR(INDEX('Équipements'!$K$5:$K$304,MATCH(D1216,'Équipements'!$A$5:$A$304,0)),""))</f>
        <v/>
      </c>
      <c r="H1216" s="7" t="inlineStr">
        <is>
          <t>Préventif systématique</t>
        </is>
      </c>
      <c r="I1216" s="7" t="inlineStr">
        <is>
          <t>GP-058</t>
        </is>
      </c>
      <c r="J1216" s="7" t="inlineStr">
        <is>
          <t>Mécanique</t>
        </is>
      </c>
      <c r="K1216" s="7" t="inlineStr">
        <is>
          <t>P3 - Normale</t>
        </is>
      </c>
      <c r="L1216" s="7" t="inlineStr">
        <is>
          <t>Nettoyage torche et contrôle faisceau</t>
        </is>
      </c>
      <c r="M1216" s="7" t="n"/>
      <c r="N1216" s="7" t="inlineStr">
        <is>
          <t>Gamme réalisée - usure constatée, à surveiller</t>
        </is>
      </c>
      <c r="O1216" s="7" t="inlineStr">
        <is>
          <t>Lucas Fontaine</t>
        </is>
      </c>
      <c r="P1216" s="65" t="n">
        <v>46191.48611111111</v>
      </c>
      <c r="Q1216" s="75" t="n">
        <v>46191.5625</v>
      </c>
      <c r="R1216" s="75" t="n">
        <v>46191.59375</v>
      </c>
      <c r="S1216" s="76" t="n">
        <v>0</v>
      </c>
      <c r="T1216" s="76" t="n">
        <v>0.75</v>
      </c>
      <c r="U1216" s="70">
        <f>IF($A1216="","",IFERROR(INDEX('Techniciens'!$F$5:$F$44,MATCH(O1216,'Techniciens'!$B$5:$B$44,0)),'Paramètres'!$AA$10))</f>
        <v/>
      </c>
      <c r="V1216" s="70">
        <f>IF($A1216="","",IF(OR(AC1216="Demandé",AC1216="Planifié",AC1216="Annulé"),0,N(T1216)*N(U1216)))</f>
        <v/>
      </c>
      <c r="W1216" s="70">
        <f>IF($A1216="","",SUMIFS('Mouvements stock'!$H$5:$H$3004,'Mouvements stock'!$I$5:$I$3004,$A1216,'Mouvements stock'!$C$5:$C$3004,"Sortie")-SUMIFS('Mouvements stock'!$H$5:$H$3004,'Mouvements stock'!$I$5:$I$3004,$A1216,'Mouvements stock'!$C$5:$C$3004,"Retour"))</f>
        <v/>
      </c>
      <c r="X1216" s="66" t="n">
        <v>0</v>
      </c>
      <c r="Y1216" s="66" t="n">
        <v>0</v>
      </c>
      <c r="Z1216" s="7" t="n"/>
      <c r="AA1216" s="70">
        <f>IF($A1216="","",N(V1216)+N(W1216)+N(X1216)+N(Y1216))</f>
        <v/>
      </c>
      <c r="AB1216" s="70">
        <f>IF($A1216="","",N(S1216)*'Paramètres'!$AA$9*IFERROR(INDEX('Paramètres'!$O$5:$O$7,MATCH(G1216,'Paramètres'!$N$5:$N$7,0)),0))</f>
        <v/>
      </c>
      <c r="AC1216" s="7" t="inlineStr">
        <is>
          <t>Clôturé</t>
        </is>
      </c>
      <c r="AD1216" s="69">
        <f>IF(OR($A1216="",Q1216=""),"",(Q1216-B1216)*24)</f>
        <v/>
      </c>
      <c r="AE1216" s="69">
        <f>IF(OR(Q1216="",R1216=""),"",(R1216-Q1216)*24)</f>
        <v/>
      </c>
      <c r="AF1216" s="77">
        <f>IF(OR($A1216="",B1216=""),"",YEAR(B1216))</f>
        <v/>
      </c>
      <c r="AG1216" s="77">
        <f>IF(OR($A1216="",B1216=""),"",MONTH(B1216))</f>
        <v/>
      </c>
    </row>
    <row r="1217">
      <c r="A1217" s="7" t="inlineStr">
        <is>
          <t>OT-2026-0362</t>
        </is>
      </c>
      <c r="B1217" s="75" t="n">
        <v>46184.47222222222</v>
      </c>
      <c r="C1217" s="7" t="inlineStr">
        <is>
          <t>Plan préventif</t>
        </is>
      </c>
      <c r="D1217" s="7" t="inlineStr">
        <is>
          <t>EQ-PEI-001</t>
        </is>
      </c>
      <c r="E1217" s="9">
        <f>IF(D1217="","",IFERROR(INDEX('Équipements'!$B$5:$B$304,MATCH(D1217,'Équipements'!$A$5:$A$304,0)),"Code inconnu"))</f>
        <v/>
      </c>
      <c r="F1217" s="9">
        <f>IF(D1217="","",IFERROR(INDEX('Équipements'!$D$5:$D$304,MATCH(D1217,'Équipements'!$A$5:$A$304,0)),""))</f>
        <v/>
      </c>
      <c r="G1217" s="9">
        <f>IF(D1217="","",IFERROR(INDEX('Équipements'!$K$5:$K$304,MATCH(D1217,'Équipements'!$A$5:$A$304,0)),""))</f>
        <v/>
      </c>
      <c r="H1217" s="7" t="inlineStr">
        <is>
          <t>Préventif systématique</t>
        </is>
      </c>
      <c r="I1217" s="7" t="inlineStr">
        <is>
          <t>GP-067</t>
        </is>
      </c>
      <c r="J1217" s="7" t="inlineStr">
        <is>
          <t>Multi-technique</t>
        </is>
      </c>
      <c r="K1217" s="7" t="inlineStr">
        <is>
          <t>P3 - Normale</t>
        </is>
      </c>
      <c r="L1217" s="7" t="inlineStr">
        <is>
          <t>Contrôle ventilation, brûleurs, pompes et sécurités</t>
        </is>
      </c>
      <c r="M1217" s="7" t="n"/>
      <c r="N1217" s="7" t="inlineStr">
        <is>
          <t>Gamme réalisée - RAS</t>
        </is>
      </c>
      <c r="O1217" s="7" t="inlineStr">
        <is>
          <t>Antoine Mercier</t>
        </is>
      </c>
      <c r="P1217" s="65" t="n">
        <v>46191.76041666666</v>
      </c>
      <c r="Q1217" s="75" t="n">
        <v>46191.35416666666</v>
      </c>
      <c r="R1217" s="75" t="n">
        <v>46191.51041666666</v>
      </c>
      <c r="S1217" s="76" t="n">
        <v>1.9</v>
      </c>
      <c r="T1217" s="76" t="n">
        <v>3.75</v>
      </c>
      <c r="U1217" s="70">
        <f>IF($A1217="","",IFERROR(INDEX('Techniciens'!$F$5:$F$44,MATCH(O1217,'Techniciens'!$B$5:$B$44,0)),'Paramètres'!$AA$10))</f>
        <v/>
      </c>
      <c r="V1217" s="70">
        <f>IF($A1217="","",IF(OR(AC1217="Demandé",AC1217="Planifié",AC1217="Annulé"),0,N(T1217)*N(U1217)))</f>
        <v/>
      </c>
      <c r="W1217" s="70">
        <f>IF($A1217="","",SUMIFS('Mouvements stock'!$H$5:$H$3004,'Mouvements stock'!$I$5:$I$3004,$A1217,'Mouvements stock'!$C$5:$C$3004,"Sortie")-SUMIFS('Mouvements stock'!$H$5:$H$3004,'Mouvements stock'!$I$5:$I$3004,$A1217,'Mouvements stock'!$C$5:$C$3004,"Retour"))</f>
        <v/>
      </c>
      <c r="X1217" s="66" t="n">
        <v>0</v>
      </c>
      <c r="Y1217" s="66" t="n">
        <v>0</v>
      </c>
      <c r="Z1217" s="7" t="n"/>
      <c r="AA1217" s="70">
        <f>IF($A1217="","",N(V1217)+N(W1217)+N(X1217)+N(Y1217))</f>
        <v/>
      </c>
      <c r="AB1217" s="70">
        <f>IF($A1217="","",N(S1217)*'Paramètres'!$AA$9*IFERROR(INDEX('Paramètres'!$O$5:$O$7,MATCH(G1217,'Paramètres'!$N$5:$N$7,0)),0))</f>
        <v/>
      </c>
      <c r="AC1217" s="7" t="inlineStr">
        <is>
          <t>Clôturé</t>
        </is>
      </c>
      <c r="AD1217" s="69">
        <f>IF(OR($A1217="",Q1217=""),"",(Q1217-B1217)*24)</f>
        <v/>
      </c>
      <c r="AE1217" s="69">
        <f>IF(OR(Q1217="",R1217=""),"",(R1217-Q1217)*24)</f>
        <v/>
      </c>
      <c r="AF1217" s="77">
        <f>IF(OR($A1217="",B1217=""),"",YEAR(B1217))</f>
        <v/>
      </c>
      <c r="AG1217" s="77">
        <f>IF(OR($A1217="",B1217=""),"",MONTH(B1217))</f>
        <v/>
      </c>
    </row>
    <row r="1218">
      <c r="A1218" s="7" t="inlineStr">
        <is>
          <t>OT-2026-0363</t>
        </is>
      </c>
      <c r="B1218" s="75" t="n">
        <v>46184.48958333334</v>
      </c>
      <c r="C1218" s="7" t="inlineStr">
        <is>
          <t>Plan préventif</t>
        </is>
      </c>
      <c r="D1218" s="7" t="inlineStr">
        <is>
          <t>EQ-TOL-004</t>
        </is>
      </c>
      <c r="E1218" s="9">
        <f>IF(D1218="","",IFERROR(INDEX('Équipements'!$B$5:$B$304,MATCH(D1218,'Équipements'!$A$5:$A$304,0)),"Code inconnu"))</f>
        <v/>
      </c>
      <c r="F1218" s="9">
        <f>IF(D1218="","",IFERROR(INDEX('Équipements'!$D$5:$D$304,MATCH(D1218,'Équipements'!$A$5:$A$304,0)),""))</f>
        <v/>
      </c>
      <c r="G1218" s="9">
        <f>IF(D1218="","",IFERROR(INDEX('Équipements'!$K$5:$K$304,MATCH(D1218,'Équipements'!$A$5:$A$304,0)),""))</f>
        <v/>
      </c>
      <c r="H1218" s="7" t="inlineStr">
        <is>
          <t>Préventif systématique</t>
        </is>
      </c>
      <c r="I1218" s="7" t="inlineStr">
        <is>
          <t>GP-049</t>
        </is>
      </c>
      <c r="J1218" s="7" t="inlineStr">
        <is>
          <t>Électrique</t>
        </is>
      </c>
      <c r="K1218" s="7" t="inlineStr">
        <is>
          <t>P3 - Normale</t>
        </is>
      </c>
      <c r="L1218" s="7" t="inlineStr">
        <is>
          <t>Contrôle des sécurités (barrages, AU, pédale)</t>
        </is>
      </c>
      <c r="M1218" s="7" t="n"/>
      <c r="N1218" s="7" t="inlineStr">
        <is>
          <t>Gamme réalisée - RAS</t>
        </is>
      </c>
      <c r="O1218" s="7" t="inlineStr">
        <is>
          <t>Antoine Mercier</t>
        </is>
      </c>
      <c r="P1218" s="65" t="n">
        <v>46191.40972222222</v>
      </c>
      <c r="Q1218" s="75" t="n">
        <v>46191.36111111111</v>
      </c>
      <c r="R1218" s="75" t="n">
        <v>46191.43402777778</v>
      </c>
      <c r="S1218" s="76" t="n">
        <v>1.8</v>
      </c>
      <c r="T1218" s="76" t="n">
        <v>1.75</v>
      </c>
      <c r="U1218" s="70">
        <f>IF($A1218="","",IFERROR(INDEX('Techniciens'!$F$5:$F$44,MATCH(O1218,'Techniciens'!$B$5:$B$44,0)),'Paramètres'!$AA$10))</f>
        <v/>
      </c>
      <c r="V1218" s="70">
        <f>IF($A1218="","",IF(OR(AC1218="Demandé",AC1218="Planifié",AC1218="Annulé"),0,N(T1218)*N(U1218)))</f>
        <v/>
      </c>
      <c r="W1218" s="70">
        <f>IF($A1218="","",SUMIFS('Mouvements stock'!$H$5:$H$3004,'Mouvements stock'!$I$5:$I$3004,$A1218,'Mouvements stock'!$C$5:$C$3004,"Sortie")-SUMIFS('Mouvements stock'!$H$5:$H$3004,'Mouvements stock'!$I$5:$I$3004,$A1218,'Mouvements stock'!$C$5:$C$3004,"Retour"))</f>
        <v/>
      </c>
      <c r="X1218" s="66" t="n">
        <v>0</v>
      </c>
      <c r="Y1218" s="66" t="n">
        <v>0</v>
      </c>
      <c r="Z1218" s="7" t="n"/>
      <c r="AA1218" s="70">
        <f>IF($A1218="","",N(V1218)+N(W1218)+N(X1218)+N(Y1218))</f>
        <v/>
      </c>
      <c r="AB1218" s="70">
        <f>IF($A1218="","",N(S1218)*'Paramètres'!$AA$9*IFERROR(INDEX('Paramètres'!$O$5:$O$7,MATCH(G1218,'Paramètres'!$N$5:$N$7,0)),0))</f>
        <v/>
      </c>
      <c r="AC1218" s="7" t="inlineStr">
        <is>
          <t>Clôturé</t>
        </is>
      </c>
      <c r="AD1218" s="69">
        <f>IF(OR($A1218="",Q1218=""),"",(Q1218-B1218)*24)</f>
        <v/>
      </c>
      <c r="AE1218" s="69">
        <f>IF(OR(Q1218="",R1218=""),"",(R1218-Q1218)*24)</f>
        <v/>
      </c>
      <c r="AF1218" s="77">
        <f>IF(OR($A1218="",B1218=""),"",YEAR(B1218))</f>
        <v/>
      </c>
      <c r="AG1218" s="77">
        <f>IF(OR($A1218="",B1218=""),"",MONTH(B1218))</f>
        <v/>
      </c>
    </row>
    <row r="1219">
      <c r="A1219" s="7" t="inlineStr">
        <is>
          <t>OT-2026-0364</t>
        </is>
      </c>
      <c r="B1219" s="75" t="n">
        <v>46185.34722222222</v>
      </c>
      <c r="C1219" s="7" t="inlineStr">
        <is>
          <t>Plan préventif</t>
        </is>
      </c>
      <c r="D1219" s="7" t="inlineStr">
        <is>
          <t>EQ-USI-007</t>
        </is>
      </c>
      <c r="E1219" s="9">
        <f>IF(D1219="","",IFERROR(INDEX('Équipements'!$B$5:$B$304,MATCH(D1219,'Équipements'!$A$5:$A$304,0)),"Code inconnu"))</f>
        <v/>
      </c>
      <c r="F1219" s="9">
        <f>IF(D1219="","",IFERROR(INDEX('Équipements'!$D$5:$D$304,MATCH(D1219,'Équipements'!$A$5:$A$304,0)),""))</f>
        <v/>
      </c>
      <c r="G1219" s="9">
        <f>IF(D1219="","",IFERROR(INDEX('Équipements'!$K$5:$K$304,MATCH(D1219,'Équipements'!$A$5:$A$304,0)),""))</f>
        <v/>
      </c>
      <c r="H1219" s="7" t="inlineStr">
        <is>
          <t>Préventif systématique</t>
        </is>
      </c>
      <c r="I1219" s="7" t="inlineStr">
        <is>
          <t>GP-028</t>
        </is>
      </c>
      <c r="J1219" s="7" t="inlineStr">
        <is>
          <t>Électrique</t>
        </is>
      </c>
      <c r="K1219" s="7" t="inlineStr">
        <is>
          <t>P3 - Normale</t>
        </is>
      </c>
      <c r="L1219" s="7" t="inlineStr">
        <is>
          <t>Contrôle armoire électrique (ventilation, serrages)</t>
        </is>
      </c>
      <c r="M1219" s="7" t="n"/>
      <c r="N1219" s="7" t="inlineStr">
        <is>
          <t>Gamme réalisée - RAS</t>
        </is>
      </c>
      <c r="O1219" s="7" t="inlineStr">
        <is>
          <t>Antoine Mercier</t>
        </is>
      </c>
      <c r="P1219" s="65" t="n">
        <v>46192.46180555555</v>
      </c>
      <c r="Q1219" s="75" t="n">
        <v>46192.33333333334</v>
      </c>
      <c r="R1219" s="75" t="n">
        <v>46192.45833333334</v>
      </c>
      <c r="S1219" s="76" t="n">
        <v>1.5</v>
      </c>
      <c r="T1219" s="76" t="n">
        <v>3</v>
      </c>
      <c r="U1219" s="70">
        <f>IF($A1219="","",IFERROR(INDEX('Techniciens'!$F$5:$F$44,MATCH(O1219,'Techniciens'!$B$5:$B$44,0)),'Paramètres'!$AA$10))</f>
        <v/>
      </c>
      <c r="V1219" s="70">
        <f>IF($A1219="","",IF(OR(AC1219="Demandé",AC1219="Planifié",AC1219="Annulé"),0,N(T1219)*N(U1219)))</f>
        <v/>
      </c>
      <c r="W1219" s="70">
        <f>IF($A1219="","",SUMIFS('Mouvements stock'!$H$5:$H$3004,'Mouvements stock'!$I$5:$I$3004,$A1219,'Mouvements stock'!$C$5:$C$3004,"Sortie")-SUMIFS('Mouvements stock'!$H$5:$H$3004,'Mouvements stock'!$I$5:$I$3004,$A1219,'Mouvements stock'!$C$5:$C$3004,"Retour"))</f>
        <v/>
      </c>
      <c r="X1219" s="66" t="n">
        <v>0</v>
      </c>
      <c r="Y1219" s="66" t="n">
        <v>0</v>
      </c>
      <c r="Z1219" s="7" t="n"/>
      <c r="AA1219" s="70">
        <f>IF($A1219="","",N(V1219)+N(W1219)+N(X1219)+N(Y1219))</f>
        <v/>
      </c>
      <c r="AB1219" s="70">
        <f>IF($A1219="","",N(S1219)*'Paramètres'!$AA$9*IFERROR(INDEX('Paramètres'!$O$5:$O$7,MATCH(G1219,'Paramètres'!$N$5:$N$7,0)),0))</f>
        <v/>
      </c>
      <c r="AC1219" s="7" t="inlineStr">
        <is>
          <t>Clôturé</t>
        </is>
      </c>
      <c r="AD1219" s="69">
        <f>IF(OR($A1219="",Q1219=""),"",(Q1219-B1219)*24)</f>
        <v/>
      </c>
      <c r="AE1219" s="69">
        <f>IF(OR(Q1219="",R1219=""),"",(R1219-Q1219)*24)</f>
        <v/>
      </c>
      <c r="AF1219" s="77">
        <f>IF(OR($A1219="",B1219=""),"",YEAR(B1219))</f>
        <v/>
      </c>
      <c r="AG1219" s="77">
        <f>IF(OR($A1219="",B1219=""),"",MONTH(B1219))</f>
        <v/>
      </c>
    </row>
    <row r="1220">
      <c r="A1220" s="7" t="inlineStr">
        <is>
          <t>OT-2026-0365</t>
        </is>
      </c>
      <c r="B1220" s="75" t="n">
        <v>46185.47916666666</v>
      </c>
      <c r="C1220" s="7" t="inlineStr">
        <is>
          <t>Plan préventif</t>
        </is>
      </c>
      <c r="D1220" s="7" t="inlineStr">
        <is>
          <t>EQ-USI-012</t>
        </is>
      </c>
      <c r="E1220" s="9">
        <f>IF(D1220="","",IFERROR(INDEX('Équipements'!$B$5:$B$304,MATCH(D1220,'Équipements'!$A$5:$A$304,0)),"Code inconnu"))</f>
        <v/>
      </c>
      <c r="F1220" s="9">
        <f>IF(D1220="","",IFERROR(INDEX('Équipements'!$D$5:$D$304,MATCH(D1220,'Équipements'!$A$5:$A$304,0)),""))</f>
        <v/>
      </c>
      <c r="G1220" s="9">
        <f>IF(D1220="","",IFERROR(INDEX('Équipements'!$K$5:$K$304,MATCH(D1220,'Équipements'!$A$5:$A$304,0)),""))</f>
        <v/>
      </c>
      <c r="H1220" s="7" t="inlineStr">
        <is>
          <t>Préventif systématique</t>
        </is>
      </c>
      <c r="I1220" s="7" t="inlineStr">
        <is>
          <t>GP-037</t>
        </is>
      </c>
      <c r="J1220" s="7" t="inlineStr">
        <is>
          <t>Électrique</t>
        </is>
      </c>
      <c r="K1220" s="7" t="inlineStr">
        <is>
          <t>P3 - Normale</t>
        </is>
      </c>
      <c r="L1220" s="7" t="inlineStr">
        <is>
          <t>Remplacement batteries codeurs et sauvegarde</t>
        </is>
      </c>
      <c r="M1220" s="7" t="n"/>
      <c r="N1220" s="7" t="inlineStr">
        <is>
          <t>Gamme réalisée - RAS</t>
        </is>
      </c>
      <c r="O1220" s="7" t="inlineStr">
        <is>
          <t>Julien Moreau</t>
        </is>
      </c>
      <c r="P1220" s="65" t="n">
        <v>46192</v>
      </c>
      <c r="Q1220" s="75" t="n">
        <v>46192.5</v>
      </c>
      <c r="R1220" s="75" t="n">
        <v>46192.57291666666</v>
      </c>
      <c r="S1220" s="76" t="n">
        <v>1.8</v>
      </c>
      <c r="T1220" s="76" t="n">
        <v>1.75</v>
      </c>
      <c r="U1220" s="70">
        <f>IF($A1220="","",IFERROR(INDEX('Techniciens'!$F$5:$F$44,MATCH(O1220,'Techniciens'!$B$5:$B$44,0)),'Paramètres'!$AA$10))</f>
        <v/>
      </c>
      <c r="V1220" s="70">
        <f>IF($A1220="","",IF(OR(AC1220="Demandé",AC1220="Planifié",AC1220="Annulé"),0,N(T1220)*N(U1220)))</f>
        <v/>
      </c>
      <c r="W1220" s="70">
        <f>IF($A1220="","",SUMIFS('Mouvements stock'!$H$5:$H$3004,'Mouvements stock'!$I$5:$I$3004,$A1220,'Mouvements stock'!$C$5:$C$3004,"Sortie")-SUMIFS('Mouvements stock'!$H$5:$H$3004,'Mouvements stock'!$I$5:$I$3004,$A1220,'Mouvements stock'!$C$5:$C$3004,"Retour"))</f>
        <v/>
      </c>
      <c r="X1220" s="66" t="n">
        <v>0</v>
      </c>
      <c r="Y1220" s="66" t="n">
        <v>0</v>
      </c>
      <c r="Z1220" s="7" t="n"/>
      <c r="AA1220" s="70">
        <f>IF($A1220="","",N(V1220)+N(W1220)+N(X1220)+N(Y1220))</f>
        <v/>
      </c>
      <c r="AB1220" s="70">
        <f>IF($A1220="","",N(S1220)*'Paramètres'!$AA$9*IFERROR(INDEX('Paramètres'!$O$5:$O$7,MATCH(G1220,'Paramètres'!$N$5:$N$7,0)),0))</f>
        <v/>
      </c>
      <c r="AC1220" s="7" t="inlineStr">
        <is>
          <t>Clôturé</t>
        </is>
      </c>
      <c r="AD1220" s="69">
        <f>IF(OR($A1220="",Q1220=""),"",(Q1220-B1220)*24)</f>
        <v/>
      </c>
      <c r="AE1220" s="69">
        <f>IF(OR(Q1220="",R1220=""),"",(R1220-Q1220)*24)</f>
        <v/>
      </c>
      <c r="AF1220" s="77">
        <f>IF(OR($A1220="",B1220=""),"",YEAR(B1220))</f>
        <v/>
      </c>
      <c r="AG1220" s="77">
        <f>IF(OR($A1220="",B1220=""),"",MONTH(B1220))</f>
        <v/>
      </c>
    </row>
    <row r="1221">
      <c r="A1221" s="7" t="inlineStr">
        <is>
          <t>OT-2026-0366</t>
        </is>
      </c>
      <c r="B1221" s="75" t="n">
        <v>46188.34375</v>
      </c>
      <c r="C1221" s="7" t="inlineStr">
        <is>
          <t>Plan préventif</t>
        </is>
      </c>
      <c r="D1221" s="7" t="inlineStr">
        <is>
          <t>EQ-UTI-003</t>
        </is>
      </c>
      <c r="E1221" s="9">
        <f>IF(D1221="","",IFERROR(INDEX('Équipements'!$B$5:$B$304,MATCH(D1221,'Équipements'!$A$5:$A$304,0)),"Code inconnu"))</f>
        <v/>
      </c>
      <c r="F1221" s="9">
        <f>IF(D1221="","",IFERROR(INDEX('Équipements'!$D$5:$D$304,MATCH(D1221,'Équipements'!$A$5:$A$304,0)),""))</f>
        <v/>
      </c>
      <c r="G1221" s="9">
        <f>IF(D1221="","",IFERROR(INDEX('Équipements'!$K$5:$K$304,MATCH(D1221,'Équipements'!$A$5:$A$304,0)),""))</f>
        <v/>
      </c>
      <c r="H1221" s="7" t="inlineStr">
        <is>
          <t>Préventif systématique</t>
        </is>
      </c>
      <c r="I1221" s="7" t="inlineStr">
        <is>
          <t>GP-092</t>
        </is>
      </c>
      <c r="J1221" s="7" t="inlineStr">
        <is>
          <t>Pneumatique</t>
        </is>
      </c>
      <c r="K1221" s="7" t="inlineStr">
        <is>
          <t>P3 - Normale</t>
        </is>
      </c>
      <c r="L1221" s="7" t="inlineStr">
        <is>
          <t>Purge, contrôle fuites et point de rosée</t>
        </is>
      </c>
      <c r="M1221" s="7" t="n"/>
      <c r="N1221" s="7" t="inlineStr">
        <is>
          <t>Gamme réalisée - RAS</t>
        </is>
      </c>
      <c r="O1221" s="7" t="inlineStr">
        <is>
          <t>Julien Moreau</t>
        </is>
      </c>
      <c r="P1221" s="65" t="n">
        <v>46195.47222222222</v>
      </c>
      <c r="Q1221" s="75" t="n">
        <v>46195.56944444445</v>
      </c>
      <c r="R1221" s="75" t="n">
        <v>46195.63194444445</v>
      </c>
      <c r="S1221" s="76" t="n">
        <v>0</v>
      </c>
      <c r="T1221" s="76" t="n">
        <v>1.5</v>
      </c>
      <c r="U1221" s="70">
        <f>IF($A1221="","",IFERROR(INDEX('Techniciens'!$F$5:$F$44,MATCH(O1221,'Techniciens'!$B$5:$B$44,0)),'Paramètres'!$AA$10))</f>
        <v/>
      </c>
      <c r="V1221" s="70">
        <f>IF($A1221="","",IF(OR(AC1221="Demandé",AC1221="Planifié",AC1221="Annulé"),0,N(T1221)*N(U1221)))</f>
        <v/>
      </c>
      <c r="W1221" s="70">
        <f>IF($A1221="","",SUMIFS('Mouvements stock'!$H$5:$H$3004,'Mouvements stock'!$I$5:$I$3004,$A1221,'Mouvements stock'!$C$5:$C$3004,"Sortie")-SUMIFS('Mouvements stock'!$H$5:$H$3004,'Mouvements stock'!$I$5:$I$3004,$A1221,'Mouvements stock'!$C$5:$C$3004,"Retour"))</f>
        <v/>
      </c>
      <c r="X1221" s="66" t="n">
        <v>0</v>
      </c>
      <c r="Y1221" s="66" t="n">
        <v>0</v>
      </c>
      <c r="Z1221" s="7" t="n"/>
      <c r="AA1221" s="70">
        <f>IF($A1221="","",N(V1221)+N(W1221)+N(X1221)+N(Y1221))</f>
        <v/>
      </c>
      <c r="AB1221" s="70">
        <f>IF($A1221="","",N(S1221)*'Paramètres'!$AA$9*IFERROR(INDEX('Paramètres'!$O$5:$O$7,MATCH(G1221,'Paramètres'!$N$5:$N$7,0)),0))</f>
        <v/>
      </c>
      <c r="AC1221" s="7" t="inlineStr">
        <is>
          <t>Clôturé</t>
        </is>
      </c>
      <c r="AD1221" s="69">
        <f>IF(OR($A1221="",Q1221=""),"",(Q1221-B1221)*24)</f>
        <v/>
      </c>
      <c r="AE1221" s="69">
        <f>IF(OR(Q1221="",R1221=""),"",(R1221-Q1221)*24)</f>
        <v/>
      </c>
      <c r="AF1221" s="77">
        <f>IF(OR($A1221="",B1221=""),"",YEAR(B1221))</f>
        <v/>
      </c>
      <c r="AG1221" s="77">
        <f>IF(OR($A1221="",B1221=""),"",MONTH(B1221))</f>
        <v/>
      </c>
    </row>
    <row r="1222">
      <c r="A1222" s="7" t="inlineStr">
        <is>
          <t>OT-2026-0367</t>
        </is>
      </c>
      <c r="B1222" s="75" t="n">
        <v>46188.35416666666</v>
      </c>
      <c r="C1222" s="7" t="inlineStr">
        <is>
          <t>Plan préventif</t>
        </is>
      </c>
      <c r="D1222" s="7" t="inlineStr">
        <is>
          <t>EQ-PEI-002</t>
        </is>
      </c>
      <c r="E1222" s="9">
        <f>IF(D1222="","",IFERROR(INDEX('Équipements'!$B$5:$B$304,MATCH(D1222,'Équipements'!$A$5:$A$304,0)),"Code inconnu"))</f>
        <v/>
      </c>
      <c r="F1222" s="9">
        <f>IF(D1222="","",IFERROR(INDEX('Équipements'!$D$5:$D$304,MATCH(D1222,'Équipements'!$A$5:$A$304,0)),""))</f>
        <v/>
      </c>
      <c r="G1222" s="9">
        <f>IF(D1222="","",IFERROR(INDEX('Équipements'!$K$5:$K$304,MATCH(D1222,'Équipements'!$A$5:$A$304,0)),""))</f>
        <v/>
      </c>
      <c r="H1222" s="7" t="inlineStr">
        <is>
          <t>Préventif systématique</t>
        </is>
      </c>
      <c r="I1222" s="7" t="inlineStr">
        <is>
          <t>GP-068</t>
        </is>
      </c>
      <c r="J1222" s="7" t="inlineStr">
        <is>
          <t>Mécanique</t>
        </is>
      </c>
      <c r="K1222" s="7" t="inlineStr">
        <is>
          <t>P3 - Normale</t>
        </is>
      </c>
      <c r="L1222" s="7" t="inlineStr">
        <is>
          <t>Nettoyage et remplacement des filtres</t>
        </is>
      </c>
      <c r="M1222" s="7" t="n"/>
      <c r="N1222" s="7" t="inlineStr">
        <is>
          <t>Gamme réalisée - RAS</t>
        </is>
      </c>
      <c r="O1222" s="7" t="inlineStr">
        <is>
          <t>Karim Benali</t>
        </is>
      </c>
      <c r="P1222" s="65" t="n">
        <v>46195.625</v>
      </c>
      <c r="Q1222" s="75" t="n">
        <v>46195.34027777778</v>
      </c>
      <c r="R1222" s="75" t="n">
        <v>46195.48611111111</v>
      </c>
      <c r="S1222" s="76" t="n">
        <v>3.5</v>
      </c>
      <c r="T1222" s="76" t="n">
        <v>3.5</v>
      </c>
      <c r="U1222" s="70">
        <f>IF($A1222="","",IFERROR(INDEX('Techniciens'!$F$5:$F$44,MATCH(O1222,'Techniciens'!$B$5:$B$44,0)),'Paramètres'!$AA$10))</f>
        <v/>
      </c>
      <c r="V1222" s="70">
        <f>IF($A1222="","",IF(OR(AC1222="Demandé",AC1222="Planifié",AC1222="Annulé"),0,N(T1222)*N(U1222)))</f>
        <v/>
      </c>
      <c r="W1222" s="70">
        <f>IF($A1222="","",SUMIFS('Mouvements stock'!$H$5:$H$3004,'Mouvements stock'!$I$5:$I$3004,$A1222,'Mouvements stock'!$C$5:$C$3004,"Sortie")-SUMIFS('Mouvements stock'!$H$5:$H$3004,'Mouvements stock'!$I$5:$I$3004,$A1222,'Mouvements stock'!$C$5:$C$3004,"Retour"))</f>
        <v/>
      </c>
      <c r="X1222" s="66" t="n">
        <v>0</v>
      </c>
      <c r="Y1222" s="66" t="n">
        <v>0</v>
      </c>
      <c r="Z1222" s="7" t="n"/>
      <c r="AA1222" s="70">
        <f>IF($A1222="","",N(V1222)+N(W1222)+N(X1222)+N(Y1222))</f>
        <v/>
      </c>
      <c r="AB1222" s="70">
        <f>IF($A1222="","",N(S1222)*'Paramètres'!$AA$9*IFERROR(INDEX('Paramètres'!$O$5:$O$7,MATCH(G1222,'Paramètres'!$N$5:$N$7,0)),0))</f>
        <v/>
      </c>
      <c r="AC1222" s="7" t="inlineStr">
        <is>
          <t>Clôturé</t>
        </is>
      </c>
      <c r="AD1222" s="69">
        <f>IF(OR($A1222="",Q1222=""),"",(Q1222-B1222)*24)</f>
        <v/>
      </c>
      <c r="AE1222" s="69">
        <f>IF(OR(Q1222="",R1222=""),"",(R1222-Q1222)*24)</f>
        <v/>
      </c>
      <c r="AF1222" s="77">
        <f>IF(OR($A1222="",B1222=""),"",YEAR(B1222))</f>
        <v/>
      </c>
      <c r="AG1222" s="77">
        <f>IF(OR($A1222="",B1222=""),"",MONTH(B1222))</f>
        <v/>
      </c>
    </row>
    <row r="1223">
      <c r="A1223" s="7" t="inlineStr">
        <is>
          <t>OT-2026-0368</t>
        </is>
      </c>
      <c r="B1223" s="75" t="n">
        <v>46188.38194444445</v>
      </c>
      <c r="C1223" s="7" t="inlineStr">
        <is>
          <t>Plan préventif</t>
        </is>
      </c>
      <c r="D1223" s="7" t="inlineStr">
        <is>
          <t>EQ-USI-009</t>
        </is>
      </c>
      <c r="E1223" s="9">
        <f>IF(D1223="","",IFERROR(INDEX('Équipements'!$B$5:$B$304,MATCH(D1223,'Équipements'!$A$5:$A$304,0)),"Code inconnu"))</f>
        <v/>
      </c>
      <c r="F1223" s="9">
        <f>IF(D1223="","",IFERROR(INDEX('Équipements'!$D$5:$D$304,MATCH(D1223,'Équipements'!$A$5:$A$304,0)),""))</f>
        <v/>
      </c>
      <c r="G1223" s="9">
        <f>IF(D1223="","",IFERROR(INDEX('Équipements'!$K$5:$K$304,MATCH(D1223,'Équipements'!$A$5:$A$304,0)),""))</f>
        <v/>
      </c>
      <c r="H1223" s="7" t="inlineStr">
        <is>
          <t>Préventif systématique</t>
        </is>
      </c>
      <c r="I1223" s="7" t="inlineStr">
        <is>
          <t>GP-031</t>
        </is>
      </c>
      <c r="J1223" s="7" t="inlineStr">
        <is>
          <t>Hydraulique</t>
        </is>
      </c>
      <c r="K1223" s="7" t="inlineStr">
        <is>
          <t>P3 - Normale</t>
        </is>
      </c>
      <c r="L1223" s="7" t="inlineStr">
        <is>
          <t>Vidange hydraulique</t>
        </is>
      </c>
      <c r="M1223" s="7" t="n"/>
      <c r="N1223" s="7" t="inlineStr">
        <is>
          <t>Gamme réalisée - usure constatée, à surveiller</t>
        </is>
      </c>
      <c r="O1223" s="7" t="inlineStr">
        <is>
          <t>Karim Benali</t>
        </is>
      </c>
      <c r="P1223" s="65" t="n">
        <v>46195.71180555555</v>
      </c>
      <c r="Q1223" s="75" t="n">
        <v>46195.35416666666</v>
      </c>
      <c r="R1223" s="75" t="n">
        <v>46195.45833333334</v>
      </c>
      <c r="S1223" s="76" t="n">
        <v>0</v>
      </c>
      <c r="T1223" s="76" t="n">
        <v>2.5</v>
      </c>
      <c r="U1223" s="70">
        <f>IF($A1223="","",IFERROR(INDEX('Techniciens'!$F$5:$F$44,MATCH(O1223,'Techniciens'!$B$5:$B$44,0)),'Paramètres'!$AA$10))</f>
        <v/>
      </c>
      <c r="V1223" s="70">
        <f>IF($A1223="","",IF(OR(AC1223="Demandé",AC1223="Planifié",AC1223="Annulé"),0,N(T1223)*N(U1223)))</f>
        <v/>
      </c>
      <c r="W1223" s="70">
        <f>IF($A1223="","",SUMIFS('Mouvements stock'!$H$5:$H$3004,'Mouvements stock'!$I$5:$I$3004,$A1223,'Mouvements stock'!$C$5:$C$3004,"Sortie")-SUMIFS('Mouvements stock'!$H$5:$H$3004,'Mouvements stock'!$I$5:$I$3004,$A1223,'Mouvements stock'!$C$5:$C$3004,"Retour"))</f>
        <v/>
      </c>
      <c r="X1223" s="66" t="n">
        <v>0</v>
      </c>
      <c r="Y1223" s="66" t="n">
        <v>0</v>
      </c>
      <c r="Z1223" s="7" t="n"/>
      <c r="AA1223" s="70">
        <f>IF($A1223="","",N(V1223)+N(W1223)+N(X1223)+N(Y1223))</f>
        <v/>
      </c>
      <c r="AB1223" s="70">
        <f>IF($A1223="","",N(S1223)*'Paramètres'!$AA$9*IFERROR(INDEX('Paramètres'!$O$5:$O$7,MATCH(G1223,'Paramètres'!$N$5:$N$7,0)),0))</f>
        <v/>
      </c>
      <c r="AC1223" s="7" t="inlineStr">
        <is>
          <t>Clôturé</t>
        </is>
      </c>
      <c r="AD1223" s="69">
        <f>IF(OR($A1223="",Q1223=""),"",(Q1223-B1223)*24)</f>
        <v/>
      </c>
      <c r="AE1223" s="69">
        <f>IF(OR(Q1223="",R1223=""),"",(R1223-Q1223)*24)</f>
        <v/>
      </c>
      <c r="AF1223" s="77">
        <f>IF(OR($A1223="",B1223=""),"",YEAR(B1223))</f>
        <v/>
      </c>
      <c r="AG1223" s="77">
        <f>IF(OR($A1223="",B1223=""),"",MONTH(B1223))</f>
        <v/>
      </c>
    </row>
    <row r="1224">
      <c r="A1224" s="7" t="inlineStr">
        <is>
          <t>OT-2026-0369</t>
        </is>
      </c>
      <c r="B1224" s="75" t="n">
        <v>46188.38541666666</v>
      </c>
      <c r="C1224" s="7" t="inlineStr">
        <is>
          <t>Plan préventif</t>
        </is>
      </c>
      <c r="D1224" s="7" t="inlineStr">
        <is>
          <t>EQ-ASS-002</t>
        </is>
      </c>
      <c r="E1224" s="9">
        <f>IF(D1224="","",IFERROR(INDEX('Équipements'!$B$5:$B$304,MATCH(D1224,'Équipements'!$A$5:$A$304,0)),"Code inconnu"))</f>
        <v/>
      </c>
      <c r="F1224" s="9">
        <f>IF(D1224="","",IFERROR(INDEX('Équipements'!$D$5:$D$304,MATCH(D1224,'Équipements'!$A$5:$A$304,0)),""))</f>
        <v/>
      </c>
      <c r="G1224" s="9">
        <f>IF(D1224="","",IFERROR(INDEX('Équipements'!$K$5:$K$304,MATCH(D1224,'Équipements'!$A$5:$A$304,0)),""))</f>
        <v/>
      </c>
      <c r="H1224" s="7" t="inlineStr">
        <is>
          <t>Préventif systématique</t>
        </is>
      </c>
      <c r="I1224" s="7" t="inlineStr">
        <is>
          <t>GP-080</t>
        </is>
      </c>
      <c r="J1224" s="7" t="inlineStr">
        <is>
          <t>Électrique</t>
        </is>
      </c>
      <c r="K1224" s="7" t="inlineStr">
        <is>
          <t>P3 - Normale</t>
        </is>
      </c>
      <c r="L1224" s="7" t="inlineStr">
        <is>
          <t>Contrôle des sécurités (barrages, AU, pédale)</t>
        </is>
      </c>
      <c r="M1224" s="7" t="n"/>
      <c r="N1224" s="7" t="inlineStr">
        <is>
          <t>Gamme réalisée - RAS</t>
        </is>
      </c>
      <c r="O1224" s="7" t="inlineStr">
        <is>
          <t>Thomas Petit</t>
        </is>
      </c>
      <c r="P1224" s="65" t="n">
        <v>46195.35763888889</v>
      </c>
      <c r="Q1224" s="75" t="n">
        <v>46195.54861111111</v>
      </c>
      <c r="R1224" s="75" t="n">
        <v>46195.61111111111</v>
      </c>
      <c r="S1224" s="76" t="n">
        <v>1.5</v>
      </c>
      <c r="T1224" s="76" t="n">
        <v>1.5</v>
      </c>
      <c r="U1224" s="70">
        <f>IF($A1224="","",IFERROR(INDEX('Techniciens'!$F$5:$F$44,MATCH(O1224,'Techniciens'!$B$5:$B$44,0)),'Paramètres'!$AA$10))</f>
        <v/>
      </c>
      <c r="V1224" s="70">
        <f>IF($A1224="","",IF(OR(AC1224="Demandé",AC1224="Planifié",AC1224="Annulé"),0,N(T1224)*N(U1224)))</f>
        <v/>
      </c>
      <c r="W1224" s="70">
        <f>IF($A1224="","",SUMIFS('Mouvements stock'!$H$5:$H$3004,'Mouvements stock'!$I$5:$I$3004,$A1224,'Mouvements stock'!$C$5:$C$3004,"Sortie")-SUMIFS('Mouvements stock'!$H$5:$H$3004,'Mouvements stock'!$I$5:$I$3004,$A1224,'Mouvements stock'!$C$5:$C$3004,"Retour"))</f>
        <v/>
      </c>
      <c r="X1224" s="66" t="n">
        <v>0</v>
      </c>
      <c r="Y1224" s="66" t="n">
        <v>0</v>
      </c>
      <c r="Z1224" s="7" t="n"/>
      <c r="AA1224" s="70">
        <f>IF($A1224="","",N(V1224)+N(W1224)+N(X1224)+N(Y1224))</f>
        <v/>
      </c>
      <c r="AB1224" s="70">
        <f>IF($A1224="","",N(S1224)*'Paramètres'!$AA$9*IFERROR(INDEX('Paramètres'!$O$5:$O$7,MATCH(G1224,'Paramètres'!$N$5:$N$7,0)),0))</f>
        <v/>
      </c>
      <c r="AC1224" s="7" t="inlineStr">
        <is>
          <t>Clôturé</t>
        </is>
      </c>
      <c r="AD1224" s="69">
        <f>IF(OR($A1224="",Q1224=""),"",(Q1224-B1224)*24)</f>
        <v/>
      </c>
      <c r="AE1224" s="69">
        <f>IF(OR(Q1224="",R1224=""),"",(R1224-Q1224)*24)</f>
        <v/>
      </c>
      <c r="AF1224" s="77">
        <f>IF(OR($A1224="",B1224=""),"",YEAR(B1224))</f>
        <v/>
      </c>
      <c r="AG1224" s="77">
        <f>IF(OR($A1224="",B1224=""),"",MONTH(B1224))</f>
        <v/>
      </c>
    </row>
    <row r="1225">
      <c r="A1225" s="7" t="inlineStr">
        <is>
          <t>OT-2026-0370</t>
        </is>
      </c>
      <c r="B1225" s="75" t="n">
        <v>46188.38541666666</v>
      </c>
      <c r="C1225" s="7" t="inlineStr">
        <is>
          <t>Plan préventif</t>
        </is>
      </c>
      <c r="D1225" s="7" t="inlineStr">
        <is>
          <t>EQ-UTI-009</t>
        </is>
      </c>
      <c r="E1225" s="9">
        <f>IF(D1225="","",IFERROR(INDEX('Équipements'!$B$5:$B$304,MATCH(D1225,'Équipements'!$A$5:$A$304,0)),"Code inconnu"))</f>
        <v/>
      </c>
      <c r="F1225" s="9">
        <f>IF(D1225="","",IFERROR(INDEX('Équipements'!$D$5:$D$304,MATCH(D1225,'Équipements'!$A$5:$A$304,0)),""))</f>
        <v/>
      </c>
      <c r="G1225" s="9">
        <f>IF(D1225="","",IFERROR(INDEX('Équipements'!$K$5:$K$304,MATCH(D1225,'Équipements'!$A$5:$A$304,0)),""))</f>
        <v/>
      </c>
      <c r="H1225" s="7" t="inlineStr">
        <is>
          <t>Préventif systématique</t>
        </is>
      </c>
      <c r="I1225" s="7" t="inlineStr">
        <is>
          <t>GP-101</t>
        </is>
      </c>
      <c r="J1225" s="7" t="inlineStr">
        <is>
          <t>Électrique</t>
        </is>
      </c>
      <c r="K1225" s="7" t="inlineStr">
        <is>
          <t>P3 - Normale</t>
        </is>
      </c>
      <c r="L1225" s="7" t="inlineStr">
        <is>
          <t>Étalonnage des sondes pH / redox</t>
        </is>
      </c>
      <c r="M1225" s="7" t="n"/>
      <c r="N1225" s="7" t="inlineStr">
        <is>
          <t>Gamme réalisée - RAS</t>
        </is>
      </c>
      <c r="O1225" s="7" t="inlineStr">
        <is>
          <t>Thomas Petit</t>
        </is>
      </c>
      <c r="P1225" s="65" t="n">
        <v>46195.62152777778</v>
      </c>
      <c r="Q1225" s="75" t="n">
        <v>46195.47222222222</v>
      </c>
      <c r="R1225" s="75" t="n">
        <v>46195.55555555555</v>
      </c>
      <c r="S1225" s="76" t="n">
        <v>0</v>
      </c>
      <c r="T1225" s="76" t="n">
        <v>2</v>
      </c>
      <c r="U1225" s="70">
        <f>IF($A1225="","",IFERROR(INDEX('Techniciens'!$F$5:$F$44,MATCH(O1225,'Techniciens'!$B$5:$B$44,0)),'Paramètres'!$AA$10))</f>
        <v/>
      </c>
      <c r="V1225" s="70">
        <f>IF($A1225="","",IF(OR(AC1225="Demandé",AC1225="Planifié",AC1225="Annulé"),0,N(T1225)*N(U1225)))</f>
        <v/>
      </c>
      <c r="W1225" s="70">
        <f>IF($A1225="","",SUMIFS('Mouvements stock'!$H$5:$H$3004,'Mouvements stock'!$I$5:$I$3004,$A1225,'Mouvements stock'!$C$5:$C$3004,"Sortie")-SUMIFS('Mouvements stock'!$H$5:$H$3004,'Mouvements stock'!$I$5:$I$3004,$A1225,'Mouvements stock'!$C$5:$C$3004,"Retour"))</f>
        <v/>
      </c>
      <c r="X1225" s="66" t="n">
        <v>0</v>
      </c>
      <c r="Y1225" s="66" t="n">
        <v>0</v>
      </c>
      <c r="Z1225" s="7" t="n"/>
      <c r="AA1225" s="70">
        <f>IF($A1225="","",N(V1225)+N(W1225)+N(X1225)+N(Y1225))</f>
        <v/>
      </c>
      <c r="AB1225" s="70">
        <f>IF($A1225="","",N(S1225)*'Paramètres'!$AA$9*IFERROR(INDEX('Paramètres'!$O$5:$O$7,MATCH(G1225,'Paramètres'!$N$5:$N$7,0)),0))</f>
        <v/>
      </c>
      <c r="AC1225" s="7" t="inlineStr">
        <is>
          <t>Clôturé</t>
        </is>
      </c>
      <c r="AD1225" s="69">
        <f>IF(OR($A1225="",Q1225=""),"",(Q1225-B1225)*24)</f>
        <v/>
      </c>
      <c r="AE1225" s="69">
        <f>IF(OR(Q1225="",R1225=""),"",(R1225-Q1225)*24)</f>
        <v/>
      </c>
      <c r="AF1225" s="77">
        <f>IF(OR($A1225="",B1225=""),"",YEAR(B1225))</f>
        <v/>
      </c>
      <c r="AG1225" s="77">
        <f>IF(OR($A1225="",B1225=""),"",MONTH(B1225))</f>
        <v/>
      </c>
    </row>
    <row r="1226">
      <c r="A1226" s="7" t="inlineStr">
        <is>
          <t>OT-2026-0371</t>
        </is>
      </c>
      <c r="B1226" s="75" t="n">
        <v>46188.46875</v>
      </c>
      <c r="C1226" s="7" t="inlineStr">
        <is>
          <t>Plan préventif</t>
        </is>
      </c>
      <c r="D1226" s="7" t="inlineStr">
        <is>
          <t>EQ-SOU-002</t>
        </is>
      </c>
      <c r="E1226" s="9">
        <f>IF(D1226="","",IFERROR(INDEX('Équipements'!$B$5:$B$304,MATCH(D1226,'Équipements'!$A$5:$A$304,0)),"Code inconnu"))</f>
        <v/>
      </c>
      <c r="F1226" s="9">
        <f>IF(D1226="","",IFERROR(INDEX('Équipements'!$D$5:$D$304,MATCH(D1226,'Équipements'!$A$5:$A$304,0)),""))</f>
        <v/>
      </c>
      <c r="G1226" s="9">
        <f>IF(D1226="","",IFERROR(INDEX('Équipements'!$K$5:$K$304,MATCH(D1226,'Équipements'!$A$5:$A$304,0)),""))</f>
        <v/>
      </c>
      <c r="H1226" s="7" t="inlineStr">
        <is>
          <t>Préventif systématique</t>
        </is>
      </c>
      <c r="I1226" s="7" t="inlineStr">
        <is>
          <t>GP-061</t>
        </is>
      </c>
      <c r="J1226" s="7" t="inlineStr">
        <is>
          <t>Électrique</t>
        </is>
      </c>
      <c r="K1226" s="7" t="inlineStr">
        <is>
          <t>P3 - Normale</t>
        </is>
      </c>
      <c r="L1226" s="7" t="inlineStr">
        <is>
          <t>Contrôle et nettoyage poste, dévidoir, câbles</t>
        </is>
      </c>
      <c r="M1226" s="7" t="n"/>
      <c r="N1226" s="7" t="inlineStr">
        <is>
          <t>Gamme réalisée - RAS</t>
        </is>
      </c>
      <c r="O1226" s="7" t="inlineStr">
        <is>
          <t>Julien Moreau</t>
        </is>
      </c>
      <c r="P1226" s="65" t="n">
        <v>46195.68055555555</v>
      </c>
      <c r="Q1226" s="75" t="n">
        <v>46195.42708333334</v>
      </c>
      <c r="R1226" s="75" t="n">
        <v>46195.5</v>
      </c>
      <c r="S1226" s="76" t="n">
        <v>0.9</v>
      </c>
      <c r="T1226" s="76" t="n">
        <v>1.75</v>
      </c>
      <c r="U1226" s="70">
        <f>IF($A1226="","",IFERROR(INDEX('Techniciens'!$F$5:$F$44,MATCH(O1226,'Techniciens'!$B$5:$B$44,0)),'Paramètres'!$AA$10))</f>
        <v/>
      </c>
      <c r="V1226" s="70">
        <f>IF($A1226="","",IF(OR(AC1226="Demandé",AC1226="Planifié",AC1226="Annulé"),0,N(T1226)*N(U1226)))</f>
        <v/>
      </c>
      <c r="W1226" s="70">
        <f>IF($A1226="","",SUMIFS('Mouvements stock'!$H$5:$H$3004,'Mouvements stock'!$I$5:$I$3004,$A1226,'Mouvements stock'!$C$5:$C$3004,"Sortie")-SUMIFS('Mouvements stock'!$H$5:$H$3004,'Mouvements stock'!$I$5:$I$3004,$A1226,'Mouvements stock'!$C$5:$C$3004,"Retour"))</f>
        <v/>
      </c>
      <c r="X1226" s="66" t="n">
        <v>0</v>
      </c>
      <c r="Y1226" s="66" t="n">
        <v>0</v>
      </c>
      <c r="Z1226" s="7" t="n"/>
      <c r="AA1226" s="70">
        <f>IF($A1226="","",N(V1226)+N(W1226)+N(X1226)+N(Y1226))</f>
        <v/>
      </c>
      <c r="AB1226" s="70">
        <f>IF($A1226="","",N(S1226)*'Paramètres'!$AA$9*IFERROR(INDEX('Paramètres'!$O$5:$O$7,MATCH(G1226,'Paramètres'!$N$5:$N$7,0)),0))</f>
        <v/>
      </c>
      <c r="AC1226" s="7" t="inlineStr">
        <is>
          <t>Clôturé</t>
        </is>
      </c>
      <c r="AD1226" s="69">
        <f>IF(OR($A1226="",Q1226=""),"",(Q1226-B1226)*24)</f>
        <v/>
      </c>
      <c r="AE1226" s="69">
        <f>IF(OR(Q1226="",R1226=""),"",(R1226-Q1226)*24)</f>
        <v/>
      </c>
      <c r="AF1226" s="77">
        <f>IF(OR($A1226="",B1226=""),"",YEAR(B1226))</f>
        <v/>
      </c>
      <c r="AG1226" s="77">
        <f>IF(OR($A1226="",B1226=""),"",MONTH(B1226))</f>
        <v/>
      </c>
    </row>
    <row r="1227">
      <c r="A1227" s="7" t="inlineStr">
        <is>
          <t>OT-2026-0372</t>
        </is>
      </c>
      <c r="B1227" s="75" t="n">
        <v>46188.49305555555</v>
      </c>
      <c r="C1227" s="7" t="inlineStr">
        <is>
          <t>Plan préventif</t>
        </is>
      </c>
      <c r="D1227" s="7" t="inlineStr">
        <is>
          <t>EQ-USI-002</t>
        </is>
      </c>
      <c r="E1227" s="9">
        <f>IF(D1227="","",IFERROR(INDEX('Équipements'!$B$5:$B$304,MATCH(D1227,'Équipements'!$A$5:$A$304,0)),"Code inconnu"))</f>
        <v/>
      </c>
      <c r="F1227" s="9">
        <f>IF(D1227="","",IFERROR(INDEX('Équipements'!$D$5:$D$304,MATCH(D1227,'Équipements'!$A$5:$A$304,0)),""))</f>
        <v/>
      </c>
      <c r="G1227" s="9">
        <f>IF(D1227="","",IFERROR(INDEX('Équipements'!$K$5:$K$304,MATCH(D1227,'Équipements'!$A$5:$A$304,0)),""))</f>
        <v/>
      </c>
      <c r="H1227" s="7" t="inlineStr">
        <is>
          <t>Préventif systématique</t>
        </is>
      </c>
      <c r="I1227" s="7" t="inlineStr">
        <is>
          <t>GP-005</t>
        </is>
      </c>
      <c r="J1227" s="7" t="inlineStr">
        <is>
          <t>Mécanique</t>
        </is>
      </c>
      <c r="K1227" s="7" t="inlineStr">
        <is>
          <t>P3 - Normale</t>
        </is>
      </c>
      <c r="L1227" s="7" t="inlineStr">
        <is>
          <t>Contrôle niveaux, nettoyage filtres et bac à copeaux</t>
        </is>
      </c>
      <c r="M1227" s="7" t="n"/>
      <c r="N1227" s="7" t="inlineStr">
        <is>
          <t>Gamme réalisée - RAS</t>
        </is>
      </c>
      <c r="O1227" s="7" t="inlineStr">
        <is>
          <t>Antoine Mercier</t>
        </is>
      </c>
      <c r="P1227" s="65" t="n">
        <v>46195.47916666666</v>
      </c>
      <c r="Q1227" s="75" t="n">
        <v>46195.40277777778</v>
      </c>
      <c r="R1227" s="75" t="n">
        <v>46195.46527777778</v>
      </c>
      <c r="S1227" s="76" t="n">
        <v>1.5</v>
      </c>
      <c r="T1227" s="76" t="n">
        <v>1.5</v>
      </c>
      <c r="U1227" s="70">
        <f>IF($A1227="","",IFERROR(INDEX('Techniciens'!$F$5:$F$44,MATCH(O1227,'Techniciens'!$B$5:$B$44,0)),'Paramètres'!$AA$10))</f>
        <v/>
      </c>
      <c r="V1227" s="70">
        <f>IF($A1227="","",IF(OR(AC1227="Demandé",AC1227="Planifié",AC1227="Annulé"),0,N(T1227)*N(U1227)))</f>
        <v/>
      </c>
      <c r="W1227" s="70">
        <f>IF($A1227="","",SUMIFS('Mouvements stock'!$H$5:$H$3004,'Mouvements stock'!$I$5:$I$3004,$A1227,'Mouvements stock'!$C$5:$C$3004,"Sortie")-SUMIFS('Mouvements stock'!$H$5:$H$3004,'Mouvements stock'!$I$5:$I$3004,$A1227,'Mouvements stock'!$C$5:$C$3004,"Retour"))</f>
        <v/>
      </c>
      <c r="X1227" s="66" t="n">
        <v>0</v>
      </c>
      <c r="Y1227" s="66" t="n">
        <v>0</v>
      </c>
      <c r="Z1227" s="7" t="n"/>
      <c r="AA1227" s="70">
        <f>IF($A1227="","",N(V1227)+N(W1227)+N(X1227)+N(Y1227))</f>
        <v/>
      </c>
      <c r="AB1227" s="70">
        <f>IF($A1227="","",N(S1227)*'Paramètres'!$AA$9*IFERROR(INDEX('Paramètres'!$O$5:$O$7,MATCH(G1227,'Paramètres'!$N$5:$N$7,0)),0))</f>
        <v/>
      </c>
      <c r="AC1227" s="7" t="inlineStr">
        <is>
          <t>Clôturé</t>
        </is>
      </c>
      <c r="AD1227" s="69">
        <f>IF(OR($A1227="",Q1227=""),"",(Q1227-B1227)*24)</f>
        <v/>
      </c>
      <c r="AE1227" s="69">
        <f>IF(OR(Q1227="",R1227=""),"",(R1227-Q1227)*24)</f>
        <v/>
      </c>
      <c r="AF1227" s="77">
        <f>IF(OR($A1227="",B1227=""),"",YEAR(B1227))</f>
        <v/>
      </c>
      <c r="AG1227" s="77">
        <f>IF(OR($A1227="",B1227=""),"",MONTH(B1227))</f>
        <v/>
      </c>
    </row>
    <row r="1228">
      <c r="A1228" s="7" t="inlineStr">
        <is>
          <t>OT-2026-0373</t>
        </is>
      </c>
      <c r="B1228" s="75" t="n">
        <v>46189.34375</v>
      </c>
      <c r="C1228" s="7" t="inlineStr">
        <is>
          <t>Plan préventif</t>
        </is>
      </c>
      <c r="D1228" s="7" t="inlineStr">
        <is>
          <t>EQ-TOL-002</t>
        </is>
      </c>
      <c r="E1228" s="9">
        <f>IF(D1228="","",IFERROR(INDEX('Équipements'!$B$5:$B$304,MATCH(D1228,'Équipements'!$A$5:$A$304,0)),"Code inconnu"))</f>
        <v/>
      </c>
      <c r="F1228" s="9">
        <f>IF(D1228="","",IFERROR(INDEX('Équipements'!$D$5:$D$304,MATCH(D1228,'Équipements'!$A$5:$A$304,0)),""))</f>
        <v/>
      </c>
      <c r="G1228" s="9">
        <f>IF(D1228="","",IFERROR(INDEX('Équipements'!$K$5:$K$304,MATCH(D1228,'Équipements'!$A$5:$A$304,0)),""))</f>
        <v/>
      </c>
      <c r="H1228" s="7" t="inlineStr">
        <is>
          <t>Préventif systématique</t>
        </is>
      </c>
      <c r="I1228" s="7" t="inlineStr">
        <is>
          <t>GP-043</t>
        </is>
      </c>
      <c r="J1228" s="7" t="inlineStr">
        <is>
          <t>Électrique</t>
        </is>
      </c>
      <c r="K1228" s="7" t="inlineStr">
        <is>
          <t>P3 - Normale</t>
        </is>
      </c>
      <c r="L1228" s="7" t="inlineStr">
        <is>
          <t>Contrôle des sécurités (barrages, AU, pédale)</t>
        </is>
      </c>
      <c r="M1228" s="7" t="n"/>
      <c r="N1228" s="7" t="inlineStr">
        <is>
          <t>Gamme réalisée - RAS</t>
        </is>
      </c>
      <c r="O1228" s="7" t="inlineStr">
        <is>
          <t>Julien Moreau</t>
        </is>
      </c>
      <c r="P1228" s="65" t="n">
        <v>46196.65625</v>
      </c>
      <c r="Q1228" s="75" t="n">
        <v>46196.5625</v>
      </c>
      <c r="R1228" s="75" t="n">
        <v>46196.64583333334</v>
      </c>
      <c r="S1228" s="76" t="n">
        <v>0</v>
      </c>
      <c r="T1228" s="76" t="n">
        <v>2</v>
      </c>
      <c r="U1228" s="70">
        <f>IF($A1228="","",IFERROR(INDEX('Techniciens'!$F$5:$F$44,MATCH(O1228,'Techniciens'!$B$5:$B$44,0)),'Paramètres'!$AA$10))</f>
        <v/>
      </c>
      <c r="V1228" s="70">
        <f>IF($A1228="","",IF(OR(AC1228="Demandé",AC1228="Planifié",AC1228="Annulé"),0,N(T1228)*N(U1228)))</f>
        <v/>
      </c>
      <c r="W1228" s="70">
        <f>IF($A1228="","",SUMIFS('Mouvements stock'!$H$5:$H$3004,'Mouvements stock'!$I$5:$I$3004,$A1228,'Mouvements stock'!$C$5:$C$3004,"Sortie")-SUMIFS('Mouvements stock'!$H$5:$H$3004,'Mouvements stock'!$I$5:$I$3004,$A1228,'Mouvements stock'!$C$5:$C$3004,"Retour"))</f>
        <v/>
      </c>
      <c r="X1228" s="66" t="n">
        <v>0</v>
      </c>
      <c r="Y1228" s="66" t="n">
        <v>0</v>
      </c>
      <c r="Z1228" s="7" t="n"/>
      <c r="AA1228" s="70">
        <f>IF($A1228="","",N(V1228)+N(W1228)+N(X1228)+N(Y1228))</f>
        <v/>
      </c>
      <c r="AB1228" s="70">
        <f>IF($A1228="","",N(S1228)*'Paramètres'!$AA$9*IFERROR(INDEX('Paramètres'!$O$5:$O$7,MATCH(G1228,'Paramètres'!$N$5:$N$7,0)),0))</f>
        <v/>
      </c>
      <c r="AC1228" s="7" t="inlineStr">
        <is>
          <t>Clôturé</t>
        </is>
      </c>
      <c r="AD1228" s="69">
        <f>IF(OR($A1228="",Q1228=""),"",(Q1228-B1228)*24)</f>
        <v/>
      </c>
      <c r="AE1228" s="69">
        <f>IF(OR(Q1228="",R1228=""),"",(R1228-Q1228)*24)</f>
        <v/>
      </c>
      <c r="AF1228" s="77">
        <f>IF(OR($A1228="",B1228=""),"",YEAR(B1228))</f>
        <v/>
      </c>
      <c r="AG1228" s="77">
        <f>IF(OR($A1228="",B1228=""),"",MONTH(B1228))</f>
        <v/>
      </c>
    </row>
    <row r="1229">
      <c r="A1229" s="7" t="inlineStr">
        <is>
          <t>OT-2026-0374</t>
        </is>
      </c>
      <c r="B1229" s="75" t="n">
        <v>46189.36805555555</v>
      </c>
      <c r="C1229" s="7" t="inlineStr">
        <is>
          <t>Plan préventif</t>
        </is>
      </c>
      <c r="D1229" s="7" t="inlineStr">
        <is>
          <t>EQ-USI-005</t>
        </is>
      </c>
      <c r="E1229" s="9">
        <f>IF(D1229="","",IFERROR(INDEX('Équipements'!$B$5:$B$304,MATCH(D1229,'Équipements'!$A$5:$A$304,0)),"Code inconnu"))</f>
        <v/>
      </c>
      <c r="F1229" s="9">
        <f>IF(D1229="","",IFERROR(INDEX('Équipements'!$D$5:$D$304,MATCH(D1229,'Équipements'!$A$5:$A$304,0)),""))</f>
        <v/>
      </c>
      <c r="G1229" s="9">
        <f>IF(D1229="","",IFERROR(INDEX('Équipements'!$K$5:$K$304,MATCH(D1229,'Équipements'!$A$5:$A$304,0)),""))</f>
        <v/>
      </c>
      <c r="H1229" s="7" t="inlineStr">
        <is>
          <t>Préventif systématique</t>
        </is>
      </c>
      <c r="I1229" s="7" t="inlineStr">
        <is>
          <t>GP-020</t>
        </is>
      </c>
      <c r="J1229" s="7" t="inlineStr">
        <is>
          <t>Électrique</t>
        </is>
      </c>
      <c r="K1229" s="7" t="inlineStr">
        <is>
          <t>P3 - Normale</t>
        </is>
      </c>
      <c r="L1229" s="7" t="inlineStr">
        <is>
          <t>Contrôle armoire électrique (ventilation, serrages)</t>
        </is>
      </c>
      <c r="M1229" s="7" t="n"/>
      <c r="N1229" s="7" t="inlineStr">
        <is>
          <t>Gamme réalisée - RAS</t>
        </is>
      </c>
      <c r="O1229" s="7" t="inlineStr">
        <is>
          <t>Antoine Mercier</t>
        </is>
      </c>
      <c r="P1229" s="65" t="n">
        <v>46196.71875</v>
      </c>
      <c r="Q1229" s="75" t="n">
        <v>46196.47222222222</v>
      </c>
      <c r="R1229" s="75" t="n">
        <v>46196.57638888889</v>
      </c>
      <c r="S1229" s="76" t="n">
        <v>2.5</v>
      </c>
      <c r="T1229" s="76" t="n">
        <v>2.5</v>
      </c>
      <c r="U1229" s="70">
        <f>IF($A1229="","",IFERROR(INDEX('Techniciens'!$F$5:$F$44,MATCH(O1229,'Techniciens'!$B$5:$B$44,0)),'Paramètres'!$AA$10))</f>
        <v/>
      </c>
      <c r="V1229" s="70">
        <f>IF($A1229="","",IF(OR(AC1229="Demandé",AC1229="Planifié",AC1229="Annulé"),0,N(T1229)*N(U1229)))</f>
        <v/>
      </c>
      <c r="W1229" s="70">
        <f>IF($A1229="","",SUMIFS('Mouvements stock'!$H$5:$H$3004,'Mouvements stock'!$I$5:$I$3004,$A1229,'Mouvements stock'!$C$5:$C$3004,"Sortie")-SUMIFS('Mouvements stock'!$H$5:$H$3004,'Mouvements stock'!$I$5:$I$3004,$A1229,'Mouvements stock'!$C$5:$C$3004,"Retour"))</f>
        <v/>
      </c>
      <c r="X1229" s="66" t="n">
        <v>0</v>
      </c>
      <c r="Y1229" s="66" t="n">
        <v>0</v>
      </c>
      <c r="Z1229" s="7" t="n"/>
      <c r="AA1229" s="70">
        <f>IF($A1229="","",N(V1229)+N(W1229)+N(X1229)+N(Y1229))</f>
        <v/>
      </c>
      <c r="AB1229" s="70">
        <f>IF($A1229="","",N(S1229)*'Paramètres'!$AA$9*IFERROR(INDEX('Paramètres'!$O$5:$O$7,MATCH(G1229,'Paramètres'!$N$5:$N$7,0)),0))</f>
        <v/>
      </c>
      <c r="AC1229" s="7" t="inlineStr">
        <is>
          <t>Clôturé</t>
        </is>
      </c>
      <c r="AD1229" s="69">
        <f>IF(OR($A1229="",Q1229=""),"",(Q1229-B1229)*24)</f>
        <v/>
      </c>
      <c r="AE1229" s="69">
        <f>IF(OR(Q1229="",R1229=""),"",(R1229-Q1229)*24)</f>
        <v/>
      </c>
      <c r="AF1229" s="77">
        <f>IF(OR($A1229="",B1229=""),"",YEAR(B1229))</f>
        <v/>
      </c>
      <c r="AG1229" s="77">
        <f>IF(OR($A1229="",B1229=""),"",MONTH(B1229))</f>
        <v/>
      </c>
    </row>
    <row r="1230">
      <c r="A1230" s="7" t="inlineStr">
        <is>
          <t>OT-2026-0375</t>
        </is>
      </c>
      <c r="B1230" s="75" t="n">
        <v>46189.46527777778</v>
      </c>
      <c r="C1230" s="7" t="inlineStr">
        <is>
          <t>Plan préventif</t>
        </is>
      </c>
      <c r="D1230" s="7" t="inlineStr">
        <is>
          <t>EQ-PEI-002</t>
        </is>
      </c>
      <c r="E1230" s="9">
        <f>IF(D1230="","",IFERROR(INDEX('Équipements'!$B$5:$B$304,MATCH(D1230,'Équipements'!$A$5:$A$304,0)),"Code inconnu"))</f>
        <v/>
      </c>
      <c r="F1230" s="9">
        <f>IF(D1230="","",IFERROR(INDEX('Équipements'!$D$5:$D$304,MATCH(D1230,'Équipements'!$A$5:$A$304,0)),""))</f>
        <v/>
      </c>
      <c r="G1230" s="9">
        <f>IF(D1230="","",IFERROR(INDEX('Équipements'!$K$5:$K$304,MATCH(D1230,'Équipements'!$A$5:$A$304,0)),""))</f>
        <v/>
      </c>
      <c r="H1230" s="7" t="inlineStr">
        <is>
          <t>Préventif systématique</t>
        </is>
      </c>
      <c r="I1230" s="7" t="inlineStr">
        <is>
          <t>GP-069</t>
        </is>
      </c>
      <c r="J1230" s="7" t="inlineStr">
        <is>
          <t>Multi-technique</t>
        </is>
      </c>
      <c r="K1230" s="7" t="inlineStr">
        <is>
          <t>P3 - Normale</t>
        </is>
      </c>
      <c r="L1230" s="7" t="inlineStr">
        <is>
          <t>Contrôle ventilation, brûleurs, pompes et sécurités</t>
        </is>
      </c>
      <c r="M1230" s="7" t="n"/>
      <c r="N1230" s="7" t="inlineStr">
        <is>
          <t>Gamme réalisée - RAS</t>
        </is>
      </c>
      <c r="O1230" s="7" t="inlineStr">
        <is>
          <t>Antoine Mercier</t>
        </is>
      </c>
      <c r="P1230" s="65" t="n">
        <v>46196.75694444445</v>
      </c>
      <c r="Q1230" s="75" t="n">
        <v>46196.4375</v>
      </c>
      <c r="R1230" s="75" t="n">
        <v>46196.60416666666</v>
      </c>
      <c r="S1230" s="76" t="n">
        <v>2</v>
      </c>
      <c r="T1230" s="76" t="n">
        <v>4</v>
      </c>
      <c r="U1230" s="70">
        <f>IF($A1230="","",IFERROR(INDEX('Techniciens'!$F$5:$F$44,MATCH(O1230,'Techniciens'!$B$5:$B$44,0)),'Paramètres'!$AA$10))</f>
        <v/>
      </c>
      <c r="V1230" s="70">
        <f>IF($A1230="","",IF(OR(AC1230="Demandé",AC1230="Planifié",AC1230="Annulé"),0,N(T1230)*N(U1230)))</f>
        <v/>
      </c>
      <c r="W1230" s="70">
        <f>IF($A1230="","",SUMIFS('Mouvements stock'!$H$5:$H$3004,'Mouvements stock'!$I$5:$I$3004,$A1230,'Mouvements stock'!$C$5:$C$3004,"Sortie")-SUMIFS('Mouvements stock'!$H$5:$H$3004,'Mouvements stock'!$I$5:$I$3004,$A1230,'Mouvements stock'!$C$5:$C$3004,"Retour"))</f>
        <v/>
      </c>
      <c r="X1230" s="66" t="n">
        <v>0</v>
      </c>
      <c r="Y1230" s="66" t="n">
        <v>0</v>
      </c>
      <c r="Z1230" s="7" t="n"/>
      <c r="AA1230" s="70">
        <f>IF($A1230="","",N(V1230)+N(W1230)+N(X1230)+N(Y1230))</f>
        <v/>
      </c>
      <c r="AB1230" s="70">
        <f>IF($A1230="","",N(S1230)*'Paramètres'!$AA$9*IFERROR(INDEX('Paramètres'!$O$5:$O$7,MATCH(G1230,'Paramètres'!$N$5:$N$7,0)),0))</f>
        <v/>
      </c>
      <c r="AC1230" s="7" t="inlineStr">
        <is>
          <t>Clôturé</t>
        </is>
      </c>
      <c r="AD1230" s="69">
        <f>IF(OR($A1230="",Q1230=""),"",(Q1230-B1230)*24)</f>
        <v/>
      </c>
      <c r="AE1230" s="69">
        <f>IF(OR(Q1230="",R1230=""),"",(R1230-Q1230)*24)</f>
        <v/>
      </c>
      <c r="AF1230" s="77">
        <f>IF(OR($A1230="",B1230=""),"",YEAR(B1230))</f>
        <v/>
      </c>
      <c r="AG1230" s="77">
        <f>IF(OR($A1230="",B1230=""),"",MONTH(B1230))</f>
        <v/>
      </c>
    </row>
    <row r="1231">
      <c r="A1231" s="7" t="inlineStr">
        <is>
          <t>OT-2026-0376</t>
        </is>
      </c>
      <c r="B1231" s="75" t="n">
        <v>46189.48611111111</v>
      </c>
      <c r="C1231" s="7" t="inlineStr">
        <is>
          <t>Plan préventif</t>
        </is>
      </c>
      <c r="D1231" s="7" t="inlineStr">
        <is>
          <t>EQ-PEI-001</t>
        </is>
      </c>
      <c r="E1231" s="9">
        <f>IF(D1231="","",IFERROR(INDEX('Équipements'!$B$5:$B$304,MATCH(D1231,'Équipements'!$A$5:$A$304,0)),"Code inconnu"))</f>
        <v/>
      </c>
      <c r="F1231" s="9">
        <f>IF(D1231="","",IFERROR(INDEX('Équipements'!$D$5:$D$304,MATCH(D1231,'Équipements'!$A$5:$A$304,0)),""))</f>
        <v/>
      </c>
      <c r="G1231" s="9">
        <f>IF(D1231="","",IFERROR(INDEX('Équipements'!$K$5:$K$304,MATCH(D1231,'Équipements'!$A$5:$A$304,0)),""))</f>
        <v/>
      </c>
      <c r="H1231" s="7" t="inlineStr">
        <is>
          <t>Préventif systématique</t>
        </is>
      </c>
      <c r="I1231" s="7" t="inlineStr">
        <is>
          <t>GP-066</t>
        </is>
      </c>
      <c r="J1231" s="7" t="inlineStr">
        <is>
          <t>Mécanique</t>
        </is>
      </c>
      <c r="K1231" s="7" t="inlineStr">
        <is>
          <t>P3 - Normale</t>
        </is>
      </c>
      <c r="L1231" s="7" t="inlineStr">
        <is>
          <t>Nettoyage et remplacement des filtres</t>
        </is>
      </c>
      <c r="M1231" s="7" t="n"/>
      <c r="N1231" s="7" t="inlineStr">
        <is>
          <t>Gamme réalisée - RAS</t>
        </is>
      </c>
      <c r="O1231" s="7" t="inlineStr">
        <is>
          <t>Lucas Fontaine</t>
        </is>
      </c>
      <c r="P1231" s="65" t="n">
        <v>46196.52777777778</v>
      </c>
      <c r="Q1231" s="75" t="n">
        <v>46196.59027777778</v>
      </c>
      <c r="R1231" s="75" t="n">
        <v>46196.73611111111</v>
      </c>
      <c r="S1231" s="76" t="n">
        <v>3.5</v>
      </c>
      <c r="T1231" s="76" t="n">
        <v>3.5</v>
      </c>
      <c r="U1231" s="70">
        <f>IF($A1231="","",IFERROR(INDEX('Techniciens'!$F$5:$F$44,MATCH(O1231,'Techniciens'!$B$5:$B$44,0)),'Paramètres'!$AA$10))</f>
        <v/>
      </c>
      <c r="V1231" s="70">
        <f>IF($A1231="","",IF(OR(AC1231="Demandé",AC1231="Planifié",AC1231="Annulé"),0,N(T1231)*N(U1231)))</f>
        <v/>
      </c>
      <c r="W1231" s="70">
        <f>IF($A1231="","",SUMIFS('Mouvements stock'!$H$5:$H$3004,'Mouvements stock'!$I$5:$I$3004,$A1231,'Mouvements stock'!$C$5:$C$3004,"Sortie")-SUMIFS('Mouvements stock'!$H$5:$H$3004,'Mouvements stock'!$I$5:$I$3004,$A1231,'Mouvements stock'!$C$5:$C$3004,"Retour"))</f>
        <v/>
      </c>
      <c r="X1231" s="66" t="n">
        <v>0</v>
      </c>
      <c r="Y1231" s="66" t="n">
        <v>0</v>
      </c>
      <c r="Z1231" s="7" t="n"/>
      <c r="AA1231" s="70">
        <f>IF($A1231="","",N(V1231)+N(W1231)+N(X1231)+N(Y1231))</f>
        <v/>
      </c>
      <c r="AB1231" s="70">
        <f>IF($A1231="","",N(S1231)*'Paramètres'!$AA$9*IFERROR(INDEX('Paramètres'!$O$5:$O$7,MATCH(G1231,'Paramètres'!$N$5:$N$7,0)),0))</f>
        <v/>
      </c>
      <c r="AC1231" s="7" t="inlineStr">
        <is>
          <t>Clôturé</t>
        </is>
      </c>
      <c r="AD1231" s="69">
        <f>IF(OR($A1231="",Q1231=""),"",(Q1231-B1231)*24)</f>
        <v/>
      </c>
      <c r="AE1231" s="69">
        <f>IF(OR(Q1231="",R1231=""),"",(R1231-Q1231)*24)</f>
        <v/>
      </c>
      <c r="AF1231" s="77">
        <f>IF(OR($A1231="",B1231=""),"",YEAR(B1231))</f>
        <v/>
      </c>
      <c r="AG1231" s="77">
        <f>IF(OR($A1231="",B1231=""),"",MONTH(B1231))</f>
        <v/>
      </c>
    </row>
    <row r="1232">
      <c r="A1232" s="7" t="inlineStr">
        <is>
          <t>OT-2026-0377</t>
        </is>
      </c>
      <c r="B1232" s="75" t="n">
        <v>46189.48958333334</v>
      </c>
      <c r="C1232" s="7" t="inlineStr">
        <is>
          <t>Plan préventif</t>
        </is>
      </c>
      <c r="D1232" s="7" t="inlineStr">
        <is>
          <t>EQ-PEI-004</t>
        </is>
      </c>
      <c r="E1232" s="9">
        <f>IF(D1232="","",IFERROR(INDEX('Équipements'!$B$5:$B$304,MATCH(D1232,'Équipements'!$A$5:$A$304,0)),"Code inconnu"))</f>
        <v/>
      </c>
      <c r="F1232" s="9">
        <f>IF(D1232="","",IFERROR(INDEX('Équipements'!$D$5:$D$304,MATCH(D1232,'Équipements'!$A$5:$A$304,0)),""))</f>
        <v/>
      </c>
      <c r="G1232" s="9">
        <f>IF(D1232="","",IFERROR(INDEX('Équipements'!$K$5:$K$304,MATCH(D1232,'Équipements'!$A$5:$A$304,0)),""))</f>
        <v/>
      </c>
      <c r="H1232" s="7" t="inlineStr">
        <is>
          <t>Préventif systématique</t>
        </is>
      </c>
      <c r="I1232" s="7" t="inlineStr">
        <is>
          <t>GP-072</t>
        </is>
      </c>
      <c r="J1232" s="7" t="inlineStr">
        <is>
          <t>Mécanique</t>
        </is>
      </c>
      <c r="K1232" s="7" t="inlineStr">
        <is>
          <t>P3 - Normale</t>
        </is>
      </c>
      <c r="L1232" s="7" t="inlineStr">
        <is>
          <t>Graissage chaîne / galets et contrôle tension</t>
        </is>
      </c>
      <c r="M1232" s="7" t="n"/>
      <c r="N1232" s="7" t="inlineStr">
        <is>
          <t>Gamme réalisée - RAS</t>
        </is>
      </c>
      <c r="O1232" s="7" t="inlineStr">
        <is>
          <t>Karim Benali</t>
        </is>
      </c>
      <c r="P1232" s="65" t="n">
        <v>46196.67361111111</v>
      </c>
      <c r="Q1232" s="75" t="n">
        <v>46196.30555555555</v>
      </c>
      <c r="R1232" s="75" t="n">
        <v>46196.42013888889</v>
      </c>
      <c r="S1232" s="76" t="n">
        <v>0</v>
      </c>
      <c r="T1232" s="76" t="n">
        <v>2.75</v>
      </c>
      <c r="U1232" s="70">
        <f>IF($A1232="","",IFERROR(INDEX('Techniciens'!$F$5:$F$44,MATCH(O1232,'Techniciens'!$B$5:$B$44,0)),'Paramètres'!$AA$10))</f>
        <v/>
      </c>
      <c r="V1232" s="70">
        <f>IF($A1232="","",IF(OR(AC1232="Demandé",AC1232="Planifié",AC1232="Annulé"),0,N(T1232)*N(U1232)))</f>
        <v/>
      </c>
      <c r="W1232" s="70">
        <f>IF($A1232="","",SUMIFS('Mouvements stock'!$H$5:$H$3004,'Mouvements stock'!$I$5:$I$3004,$A1232,'Mouvements stock'!$C$5:$C$3004,"Sortie")-SUMIFS('Mouvements stock'!$H$5:$H$3004,'Mouvements stock'!$I$5:$I$3004,$A1232,'Mouvements stock'!$C$5:$C$3004,"Retour"))</f>
        <v/>
      </c>
      <c r="X1232" s="66" t="n">
        <v>0</v>
      </c>
      <c r="Y1232" s="66" t="n">
        <v>0</v>
      </c>
      <c r="Z1232" s="7" t="n"/>
      <c r="AA1232" s="70">
        <f>IF($A1232="","",N(V1232)+N(W1232)+N(X1232)+N(Y1232))</f>
        <v/>
      </c>
      <c r="AB1232" s="70">
        <f>IF($A1232="","",N(S1232)*'Paramètres'!$AA$9*IFERROR(INDEX('Paramètres'!$O$5:$O$7,MATCH(G1232,'Paramètres'!$N$5:$N$7,0)),0))</f>
        <v/>
      </c>
      <c r="AC1232" s="7" t="inlineStr">
        <is>
          <t>Clôturé</t>
        </is>
      </c>
      <c r="AD1232" s="69">
        <f>IF(OR($A1232="",Q1232=""),"",(Q1232-B1232)*24)</f>
        <v/>
      </c>
      <c r="AE1232" s="69">
        <f>IF(OR(Q1232="",R1232=""),"",(R1232-Q1232)*24)</f>
        <v/>
      </c>
      <c r="AF1232" s="77">
        <f>IF(OR($A1232="",B1232=""),"",YEAR(B1232))</f>
        <v/>
      </c>
      <c r="AG1232" s="77">
        <f>IF(OR($A1232="",B1232=""),"",MONTH(B1232))</f>
        <v/>
      </c>
    </row>
    <row r="1233">
      <c r="A1233" s="7" t="inlineStr">
        <is>
          <t>OT-2026-0378</t>
        </is>
      </c>
      <c r="B1233" s="75" t="n">
        <v>46190.21180555555</v>
      </c>
      <c r="C1233" s="7" t="inlineStr">
        <is>
          <t>Opérateur assemblage</t>
        </is>
      </c>
      <c r="D1233" s="7" t="inlineStr">
        <is>
          <t>EQ-ASS-002</t>
        </is>
      </c>
      <c r="E1233" s="9">
        <f>IF(D1233="","",IFERROR(INDEX('Équipements'!$B$5:$B$304,MATCH(D1233,'Équipements'!$A$5:$A$304,0)),"Code inconnu"))</f>
        <v/>
      </c>
      <c r="F1233" s="9">
        <f>IF(D1233="","",IFERROR(INDEX('Équipements'!$D$5:$D$304,MATCH(D1233,'Équipements'!$A$5:$A$304,0)),""))</f>
        <v/>
      </c>
      <c r="G1233" s="9">
        <f>IF(D1233="","",IFERROR(INDEX('Équipements'!$K$5:$K$304,MATCH(D1233,'Équipements'!$A$5:$A$304,0)),""))</f>
        <v/>
      </c>
      <c r="H1233" s="7" t="inlineStr">
        <is>
          <t>Correctif</t>
        </is>
      </c>
      <c r="I1233" s="7" t="n"/>
      <c r="J1233" s="7" t="inlineStr">
        <is>
          <t>Électrique</t>
        </is>
      </c>
      <c r="K1233" s="7" t="inlineStr">
        <is>
          <t>P1 - Urgent</t>
        </is>
      </c>
      <c r="L1233" s="7" t="inlineStr">
        <is>
          <t>Défaut barrage immatériel</t>
        </is>
      </c>
      <c r="M1233" s="7" t="inlineStr">
        <is>
          <t>Défaut capteur</t>
        </is>
      </c>
      <c r="N1233" s="7" t="inlineStr">
        <is>
          <t>Nettoyage / réalignement, remplacement émetteur</t>
        </is>
      </c>
      <c r="O1233" s="7" t="inlineStr">
        <is>
          <t>Julien Moreau</t>
        </is>
      </c>
      <c r="P1233" s="65" t="n"/>
      <c r="Q1233" s="75" t="n">
        <v>46190.23055555556</v>
      </c>
      <c r="R1233" s="75" t="n">
        <v>46192.82107902528</v>
      </c>
      <c r="S1233" s="76" t="n">
        <v>34.2</v>
      </c>
      <c r="T1233" s="76" t="n">
        <v>5.25</v>
      </c>
      <c r="U1233" s="70">
        <f>IF($A1233="","",IFERROR(INDEX('Techniciens'!$F$5:$F$44,MATCH(O1233,'Techniciens'!$B$5:$B$44,0)),'Paramètres'!$AA$10))</f>
        <v/>
      </c>
      <c r="V1233" s="70">
        <f>IF($A1233="","",IF(OR(AC1233="Demandé",AC1233="Planifié",AC1233="Annulé"),0,N(T1233)*N(U1233)))</f>
        <v/>
      </c>
      <c r="W1233" s="70">
        <f>IF($A1233="","",SUMIFS('Mouvements stock'!$H$5:$H$3004,'Mouvements stock'!$I$5:$I$3004,$A1233,'Mouvements stock'!$C$5:$C$3004,"Sortie")-SUMIFS('Mouvements stock'!$H$5:$H$3004,'Mouvements stock'!$I$5:$I$3004,$A1233,'Mouvements stock'!$C$5:$C$3004,"Retour"))</f>
        <v/>
      </c>
      <c r="X1233" s="66" t="n">
        <v>0</v>
      </c>
      <c r="Y1233" s="66" t="n">
        <v>0</v>
      </c>
      <c r="Z1233" s="7" t="n"/>
      <c r="AA1233" s="70">
        <f>IF($A1233="","",N(V1233)+N(W1233)+N(X1233)+N(Y1233))</f>
        <v/>
      </c>
      <c r="AB1233" s="70">
        <f>IF($A1233="","",N(S1233)*'Paramètres'!$AA$9*IFERROR(INDEX('Paramètres'!$O$5:$O$7,MATCH(G1233,'Paramètres'!$N$5:$N$7,0)),0))</f>
        <v/>
      </c>
      <c r="AC1233" s="7" t="inlineStr">
        <is>
          <t>Clôturé</t>
        </is>
      </c>
      <c r="AD1233" s="69">
        <f>IF(OR($A1233="",Q1233=""),"",(Q1233-B1233)*24)</f>
        <v/>
      </c>
      <c r="AE1233" s="69">
        <f>IF(OR(Q1233="",R1233=""),"",(R1233-Q1233)*24)</f>
        <v/>
      </c>
      <c r="AF1233" s="77">
        <f>IF(OR($A1233="",B1233=""),"",YEAR(B1233))</f>
        <v/>
      </c>
      <c r="AG1233" s="77">
        <f>IF(OR($A1233="",B1233=""),"",MONTH(B1233))</f>
        <v/>
      </c>
    </row>
    <row r="1234">
      <c r="A1234" s="7" t="inlineStr">
        <is>
          <t>OT-2026-0379</t>
        </is>
      </c>
      <c r="B1234" s="75" t="n">
        <v>46190.41666666666</v>
      </c>
      <c r="C1234" s="7" t="inlineStr">
        <is>
          <t>Planning réglementaire</t>
        </is>
      </c>
      <c r="D1234" s="7" t="inlineStr">
        <is>
          <t>EQ-ASS-002</t>
        </is>
      </c>
      <c r="E1234" s="9">
        <f>IF(D1234="","",IFERROR(INDEX('Équipements'!$B$5:$B$304,MATCH(D1234,'Équipements'!$A$5:$A$304,0)),"Code inconnu"))</f>
        <v/>
      </c>
      <c r="F1234" s="9">
        <f>IF(D1234="","",IFERROR(INDEX('Équipements'!$D$5:$D$304,MATCH(D1234,'Équipements'!$A$5:$A$304,0)),""))</f>
        <v/>
      </c>
      <c r="G1234" s="9">
        <f>IF(D1234="","",IFERROR(INDEX('Équipements'!$K$5:$K$304,MATCH(D1234,'Équipements'!$A$5:$A$304,0)),""))</f>
        <v/>
      </c>
      <c r="H1234" s="7" t="inlineStr">
        <is>
          <t>Réglementaire</t>
        </is>
      </c>
      <c r="I1234" s="7" t="inlineStr">
        <is>
          <t>CR-012</t>
        </is>
      </c>
      <c r="J1234" s="7" t="inlineStr">
        <is>
          <t>Multi-technique</t>
        </is>
      </c>
      <c r="K1234" s="7" t="inlineStr">
        <is>
          <t>P2 - Haute</t>
        </is>
      </c>
      <c r="L1234" s="7" t="inlineStr">
        <is>
          <t>Vérification périodique presse hydraulique</t>
        </is>
      </c>
      <c r="M1234" s="7" t="n"/>
      <c r="N1234" s="7" t="inlineStr">
        <is>
          <t>Contrôle réalisé - observations mineures au rapport</t>
        </is>
      </c>
      <c r="O1234" s="7" t="inlineStr">
        <is>
          <t>Nadia Rousseau</t>
        </is>
      </c>
      <c r="P1234" s="65" t="n">
        <v>46211</v>
      </c>
      <c r="Q1234" s="75" t="n">
        <v>46211.47222222222</v>
      </c>
      <c r="R1234" s="75" t="n">
        <v>46211.55555555555</v>
      </c>
      <c r="S1234" s="76" t="n">
        <v>1</v>
      </c>
      <c r="T1234" s="76" t="n">
        <v>2</v>
      </c>
      <c r="U1234" s="70">
        <f>IF($A1234="","",IFERROR(INDEX('Techniciens'!$F$5:$F$44,MATCH(O1234,'Techniciens'!$B$5:$B$44,0)),'Paramètres'!$AA$10))</f>
        <v/>
      </c>
      <c r="V1234" s="70">
        <f>IF($A1234="","",IF(OR(AC1234="Demandé",AC1234="Planifié",AC1234="Annulé"),0,N(T1234)*N(U1234)))</f>
        <v/>
      </c>
      <c r="W1234" s="70">
        <f>IF($A1234="","",SUMIFS('Mouvements stock'!$H$5:$H$3004,'Mouvements stock'!$I$5:$I$3004,$A1234,'Mouvements stock'!$C$5:$C$3004,"Sortie")-SUMIFS('Mouvements stock'!$H$5:$H$3004,'Mouvements stock'!$I$5:$I$3004,$A1234,'Mouvements stock'!$C$5:$C$3004,"Retour"))</f>
        <v/>
      </c>
      <c r="X1234" s="66" t="n">
        <v>0</v>
      </c>
      <c r="Y1234" s="66" t="n">
        <v>180</v>
      </c>
      <c r="Z1234" s="7" t="inlineStr">
        <is>
          <t>CONTROLIS (organisme fictif)</t>
        </is>
      </c>
      <c r="AA1234" s="70">
        <f>IF($A1234="","",N(V1234)+N(W1234)+N(X1234)+N(Y1234))</f>
        <v/>
      </c>
      <c r="AB1234" s="70">
        <f>IF($A1234="","",N(S1234)*'Paramètres'!$AA$9*IFERROR(INDEX('Paramètres'!$O$5:$O$7,MATCH(G1234,'Paramètres'!$N$5:$N$7,0)),0))</f>
        <v/>
      </c>
      <c r="AC1234" s="7" t="inlineStr">
        <is>
          <t>Clôturé</t>
        </is>
      </c>
      <c r="AD1234" s="69">
        <f>IF(OR($A1234="",Q1234=""),"",(Q1234-B1234)*24)</f>
        <v/>
      </c>
      <c r="AE1234" s="69">
        <f>IF(OR(Q1234="",R1234=""),"",(R1234-Q1234)*24)</f>
        <v/>
      </c>
      <c r="AF1234" s="77">
        <f>IF(OR($A1234="",B1234=""),"",YEAR(B1234))</f>
        <v/>
      </c>
      <c r="AG1234" s="77">
        <f>IF(OR($A1234="",B1234=""),"",MONTH(B1234))</f>
        <v/>
      </c>
    </row>
    <row r="1235">
      <c r="A1235" s="7" t="inlineStr">
        <is>
          <t>OT-2026-0380</t>
        </is>
      </c>
      <c r="B1235" s="75" t="n">
        <v>46191.46527777778</v>
      </c>
      <c r="C1235" s="7" t="inlineStr">
        <is>
          <t>Plan préventif</t>
        </is>
      </c>
      <c r="D1235" s="7" t="inlineStr">
        <is>
          <t>EQ-UTI-002</t>
        </is>
      </c>
      <c r="E1235" s="9">
        <f>IF(D1235="","",IFERROR(INDEX('Équipements'!$B$5:$B$304,MATCH(D1235,'Équipements'!$A$5:$A$304,0)),"Code inconnu"))</f>
        <v/>
      </c>
      <c r="F1235" s="9">
        <f>IF(D1235="","",IFERROR(INDEX('Équipements'!$D$5:$D$304,MATCH(D1235,'Équipements'!$A$5:$A$304,0)),""))</f>
        <v/>
      </c>
      <c r="G1235" s="9">
        <f>IF(D1235="","",IFERROR(INDEX('Équipements'!$K$5:$K$304,MATCH(D1235,'Équipements'!$A$5:$A$304,0)),""))</f>
        <v/>
      </c>
      <c r="H1235" s="7" t="inlineStr">
        <is>
          <t>Préventif systématique</t>
        </is>
      </c>
      <c r="I1235" s="7" t="inlineStr">
        <is>
          <t>GP-090</t>
        </is>
      </c>
      <c r="J1235" s="7" t="inlineStr">
        <is>
          <t>Pneumatique</t>
        </is>
      </c>
      <c r="K1235" s="7" t="inlineStr">
        <is>
          <t>P3 - Normale</t>
        </is>
      </c>
      <c r="L1235" s="7" t="inlineStr">
        <is>
          <t>Purge, contrôle fuites et point de rosée</t>
        </is>
      </c>
      <c r="M1235" s="7" t="n"/>
      <c r="N1235" s="7" t="inlineStr">
        <is>
          <t>Gamme réalisée - RAS</t>
        </is>
      </c>
      <c r="O1235" s="7" t="inlineStr">
        <is>
          <t>Lucas Fontaine</t>
        </is>
      </c>
      <c r="P1235" s="65" t="n">
        <v>46198.39583333334</v>
      </c>
      <c r="Q1235" s="75" t="n">
        <v>46198.25</v>
      </c>
      <c r="R1235" s="75" t="n">
        <v>46198.3125</v>
      </c>
      <c r="S1235" s="76" t="n">
        <v>0</v>
      </c>
      <c r="T1235" s="76" t="n">
        <v>1.5</v>
      </c>
      <c r="U1235" s="70">
        <f>IF($A1235="","",IFERROR(INDEX('Techniciens'!$F$5:$F$44,MATCH(O1235,'Techniciens'!$B$5:$B$44,0)),'Paramètres'!$AA$10))</f>
        <v/>
      </c>
      <c r="V1235" s="70">
        <f>IF($A1235="","",IF(OR(AC1235="Demandé",AC1235="Planifié",AC1235="Annulé"),0,N(T1235)*N(U1235)))</f>
        <v/>
      </c>
      <c r="W1235" s="70">
        <f>IF($A1235="","",SUMIFS('Mouvements stock'!$H$5:$H$3004,'Mouvements stock'!$I$5:$I$3004,$A1235,'Mouvements stock'!$C$5:$C$3004,"Sortie")-SUMIFS('Mouvements stock'!$H$5:$H$3004,'Mouvements stock'!$I$5:$I$3004,$A1235,'Mouvements stock'!$C$5:$C$3004,"Retour"))</f>
        <v/>
      </c>
      <c r="X1235" s="66" t="n">
        <v>0</v>
      </c>
      <c r="Y1235" s="66" t="n">
        <v>0</v>
      </c>
      <c r="Z1235" s="7" t="n"/>
      <c r="AA1235" s="70">
        <f>IF($A1235="","",N(V1235)+N(W1235)+N(X1235)+N(Y1235))</f>
        <v/>
      </c>
      <c r="AB1235" s="70">
        <f>IF($A1235="","",N(S1235)*'Paramètres'!$AA$9*IFERROR(INDEX('Paramètres'!$O$5:$O$7,MATCH(G1235,'Paramètres'!$N$5:$N$7,0)),0))</f>
        <v/>
      </c>
      <c r="AC1235" s="7" t="inlineStr">
        <is>
          <t>Clôturé</t>
        </is>
      </c>
      <c r="AD1235" s="69">
        <f>IF(OR($A1235="",Q1235=""),"",(Q1235-B1235)*24)</f>
        <v/>
      </c>
      <c r="AE1235" s="69">
        <f>IF(OR(Q1235="",R1235=""),"",(R1235-Q1235)*24)</f>
        <v/>
      </c>
      <c r="AF1235" s="77">
        <f>IF(OR($A1235="",B1235=""),"",YEAR(B1235))</f>
        <v/>
      </c>
      <c r="AG1235" s="77">
        <f>IF(OR($A1235="",B1235=""),"",MONTH(B1235))</f>
        <v/>
      </c>
    </row>
    <row r="1236">
      <c r="A1236" s="7" t="inlineStr">
        <is>
          <t>OT-2026-0381</t>
        </is>
      </c>
      <c r="B1236" s="75" t="n">
        <v>46192.36805555555</v>
      </c>
      <c r="C1236" s="7" t="inlineStr">
        <is>
          <t>Plan préventif</t>
        </is>
      </c>
      <c r="D1236" s="7" t="inlineStr">
        <is>
          <t>EQ-LOG-001</t>
        </is>
      </c>
      <c r="E1236" s="9">
        <f>IF(D1236="","",IFERROR(INDEX('Équipements'!$B$5:$B$304,MATCH(D1236,'Équipements'!$A$5:$A$304,0)),"Code inconnu"))</f>
        <v/>
      </c>
      <c r="F1236" s="9">
        <f>IF(D1236="","",IFERROR(INDEX('Équipements'!$D$5:$D$304,MATCH(D1236,'Équipements'!$A$5:$A$304,0)),""))</f>
        <v/>
      </c>
      <c r="G1236" s="9">
        <f>IF(D1236="","",IFERROR(INDEX('Équipements'!$K$5:$K$304,MATCH(D1236,'Équipements'!$A$5:$A$304,0)),""))</f>
        <v/>
      </c>
      <c r="H1236" s="7" t="inlineStr">
        <is>
          <t>Préventif systématique</t>
        </is>
      </c>
      <c r="I1236" s="7" t="inlineStr">
        <is>
          <t>GP-105</t>
        </is>
      </c>
      <c r="J1236" s="7" t="inlineStr">
        <is>
          <t>Multi-technique</t>
        </is>
      </c>
      <c r="K1236" s="7" t="inlineStr">
        <is>
          <t>P3 - Normale</t>
        </is>
      </c>
      <c r="L1236" s="7" t="inlineStr">
        <is>
          <t>Entretien périodique constructeur</t>
        </is>
      </c>
      <c r="M1236" s="7" t="n"/>
      <c r="N1236" s="7" t="inlineStr">
        <is>
          <t>Gamme réalisée - RAS</t>
        </is>
      </c>
      <c r="O1236" s="7" t="inlineStr">
        <is>
          <t>Antoine Mercier</t>
        </is>
      </c>
      <c r="P1236" s="65" t="n">
        <v>46199.69444444445</v>
      </c>
      <c r="Q1236" s="75" t="n">
        <v>46199.27083333334</v>
      </c>
      <c r="R1236" s="75" t="n">
        <v>46199.45833333334</v>
      </c>
      <c r="S1236" s="76" t="n">
        <v>4.5</v>
      </c>
      <c r="T1236" s="76" t="n">
        <v>2</v>
      </c>
      <c r="U1236" s="70">
        <f>IF($A1236="","",IFERROR(INDEX('Techniciens'!$F$5:$F$44,MATCH(O1236,'Techniciens'!$B$5:$B$44,0)),'Paramètres'!$AA$10))</f>
        <v/>
      </c>
      <c r="V1236" s="70">
        <f>IF($A1236="","",IF(OR(AC1236="Demandé",AC1236="Planifié",AC1236="Annulé"),0,N(T1236)*N(U1236)))</f>
        <v/>
      </c>
      <c r="W1236" s="70">
        <f>IF($A1236="","",SUMIFS('Mouvements stock'!$H$5:$H$3004,'Mouvements stock'!$I$5:$I$3004,$A1236,'Mouvements stock'!$C$5:$C$3004,"Sortie")-SUMIFS('Mouvements stock'!$H$5:$H$3004,'Mouvements stock'!$I$5:$I$3004,$A1236,'Mouvements stock'!$C$5:$C$3004,"Retour"))</f>
        <v/>
      </c>
      <c r="X1236" s="66" t="n">
        <v>0</v>
      </c>
      <c r="Y1236" s="66" t="n">
        <v>400</v>
      </c>
      <c r="Z1236" s="7" t="inlineStr">
        <is>
          <t>Manutention Services 44</t>
        </is>
      </c>
      <c r="AA1236" s="70">
        <f>IF($A1236="","",N(V1236)+N(W1236)+N(X1236)+N(Y1236))</f>
        <v/>
      </c>
      <c r="AB1236" s="70">
        <f>IF($A1236="","",N(S1236)*'Paramètres'!$AA$9*IFERROR(INDEX('Paramètres'!$O$5:$O$7,MATCH(G1236,'Paramètres'!$N$5:$N$7,0)),0))</f>
        <v/>
      </c>
      <c r="AC1236" s="7" t="inlineStr">
        <is>
          <t>Clôturé</t>
        </is>
      </c>
      <c r="AD1236" s="69">
        <f>IF(OR($A1236="",Q1236=""),"",(Q1236-B1236)*24)</f>
        <v/>
      </c>
      <c r="AE1236" s="69">
        <f>IF(OR(Q1236="",R1236=""),"",(R1236-Q1236)*24)</f>
        <v/>
      </c>
      <c r="AF1236" s="77">
        <f>IF(OR($A1236="",B1236=""),"",YEAR(B1236))</f>
        <v/>
      </c>
      <c r="AG1236" s="77">
        <f>IF(OR($A1236="",B1236=""),"",MONTH(B1236))</f>
        <v/>
      </c>
    </row>
    <row r="1237">
      <c r="A1237" s="7" t="inlineStr">
        <is>
          <t>OT-2026-0382</t>
        </is>
      </c>
      <c r="B1237" s="75" t="n">
        <v>46192.39236111111</v>
      </c>
      <c r="C1237" s="7" t="inlineStr">
        <is>
          <t>Cariste</t>
        </is>
      </c>
      <c r="D1237" s="7" t="inlineStr">
        <is>
          <t>EQ-LOG-006</t>
        </is>
      </c>
      <c r="E1237" s="9">
        <f>IF(D1237="","",IFERROR(INDEX('Équipements'!$B$5:$B$304,MATCH(D1237,'Équipements'!$A$5:$A$304,0)),"Code inconnu"))</f>
        <v/>
      </c>
      <c r="F1237" s="9">
        <f>IF(D1237="","",IFERROR(INDEX('Équipements'!$D$5:$D$304,MATCH(D1237,'Équipements'!$A$5:$A$304,0)),""))</f>
        <v/>
      </c>
      <c r="G1237" s="9">
        <f>IF(D1237="","",IFERROR(INDEX('Équipements'!$K$5:$K$304,MATCH(D1237,'Équipements'!$A$5:$A$304,0)),""))</f>
        <v/>
      </c>
      <c r="H1237" s="7" t="inlineStr">
        <is>
          <t>Correctif</t>
        </is>
      </c>
      <c r="I1237" s="7" t="n"/>
      <c r="J1237" s="7" t="inlineStr">
        <is>
          <t>Mécanique</t>
        </is>
      </c>
      <c r="K1237" s="7" t="inlineStr">
        <is>
          <t>P1 - Urgent</t>
        </is>
      </c>
      <c r="L1237" s="7" t="inlineStr">
        <is>
          <t>Frein de levée bruyant</t>
        </is>
      </c>
      <c r="M1237" s="7" t="inlineStr">
        <is>
          <t>Usure</t>
        </is>
      </c>
      <c r="N1237" s="7" t="inlineStr">
        <is>
          <t>Réglage et remplacement garnitures</t>
        </is>
      </c>
      <c r="O1237" s="7" t="inlineStr">
        <is>
          <t>Karim Benali</t>
        </is>
      </c>
      <c r="P1237" s="65" t="n"/>
      <c r="Q1237" s="75" t="n">
        <v>46192.41458333333</v>
      </c>
      <c r="R1237" s="75" t="n">
        <v>46192.49791666667</v>
      </c>
      <c r="S1237" s="76" t="n">
        <v>2.5</v>
      </c>
      <c r="T1237" s="76" t="n">
        <v>2</v>
      </c>
      <c r="U1237" s="70">
        <f>IF($A1237="","",IFERROR(INDEX('Techniciens'!$F$5:$F$44,MATCH(O1237,'Techniciens'!$B$5:$B$44,0)),'Paramètres'!$AA$10))</f>
        <v/>
      </c>
      <c r="V1237" s="70">
        <f>IF($A1237="","",IF(OR(AC1237="Demandé",AC1237="Planifié",AC1237="Annulé"),0,N(T1237)*N(U1237)))</f>
        <v/>
      </c>
      <c r="W1237" s="70">
        <f>IF($A1237="","",SUMIFS('Mouvements stock'!$H$5:$H$3004,'Mouvements stock'!$I$5:$I$3004,$A1237,'Mouvements stock'!$C$5:$C$3004,"Sortie")-SUMIFS('Mouvements stock'!$H$5:$H$3004,'Mouvements stock'!$I$5:$I$3004,$A1237,'Mouvements stock'!$C$5:$C$3004,"Retour"))</f>
        <v/>
      </c>
      <c r="X1237" s="66" t="n">
        <v>0</v>
      </c>
      <c r="Y1237" s="66" t="n">
        <v>1220</v>
      </c>
      <c r="Z1237" s="7" t="inlineStr">
        <is>
          <t>Levage Expertise Ouest</t>
        </is>
      </c>
      <c r="AA1237" s="70">
        <f>IF($A1237="","",N(V1237)+N(W1237)+N(X1237)+N(Y1237))</f>
        <v/>
      </c>
      <c r="AB1237" s="70">
        <f>IF($A1237="","",N(S1237)*'Paramètres'!$AA$9*IFERROR(INDEX('Paramètres'!$O$5:$O$7,MATCH(G1237,'Paramètres'!$N$5:$N$7,0)),0))</f>
        <v/>
      </c>
      <c r="AC1237" s="7" t="inlineStr">
        <is>
          <t>Clôturé</t>
        </is>
      </c>
      <c r="AD1237" s="69">
        <f>IF(OR($A1237="",Q1237=""),"",(Q1237-B1237)*24)</f>
        <v/>
      </c>
      <c r="AE1237" s="69">
        <f>IF(OR(Q1237="",R1237=""),"",(R1237-Q1237)*24)</f>
        <v/>
      </c>
      <c r="AF1237" s="77">
        <f>IF(OR($A1237="",B1237=""),"",YEAR(B1237))</f>
        <v/>
      </c>
      <c r="AG1237" s="77">
        <f>IF(OR($A1237="",B1237=""),"",MONTH(B1237))</f>
        <v/>
      </c>
    </row>
    <row r="1238">
      <c r="A1238" s="7" t="inlineStr">
        <is>
          <t>OT-2026-0383</t>
        </is>
      </c>
      <c r="B1238" s="75" t="n">
        <v>46192.4375</v>
      </c>
      <c r="C1238" s="7" t="inlineStr">
        <is>
          <t>Plan préventif</t>
        </is>
      </c>
      <c r="D1238" s="7" t="inlineStr">
        <is>
          <t>EQ-PEI-004</t>
        </is>
      </c>
      <c r="E1238" s="9">
        <f>IF(D1238="","",IFERROR(INDEX('Équipements'!$B$5:$B$304,MATCH(D1238,'Équipements'!$A$5:$A$304,0)),"Code inconnu"))</f>
        <v/>
      </c>
      <c r="F1238" s="9">
        <f>IF(D1238="","",IFERROR(INDEX('Équipements'!$D$5:$D$304,MATCH(D1238,'Équipements'!$A$5:$A$304,0)),""))</f>
        <v/>
      </c>
      <c r="G1238" s="9">
        <f>IF(D1238="","",IFERROR(INDEX('Équipements'!$K$5:$K$304,MATCH(D1238,'Équipements'!$A$5:$A$304,0)),""))</f>
        <v/>
      </c>
      <c r="H1238" s="7" t="inlineStr">
        <is>
          <t>Préventif systématique</t>
        </is>
      </c>
      <c r="I1238" s="7" t="inlineStr">
        <is>
          <t>GP-073</t>
        </is>
      </c>
      <c r="J1238" s="7" t="inlineStr">
        <is>
          <t>Mécanique</t>
        </is>
      </c>
      <c r="K1238" s="7" t="inlineStr">
        <is>
          <t>P3 - Normale</t>
        </is>
      </c>
      <c r="L1238" s="7" t="inlineStr">
        <is>
          <t>Contrôle motoréducteurs et usure</t>
        </is>
      </c>
      <c r="M1238" s="7" t="n"/>
      <c r="N1238" s="7" t="inlineStr">
        <is>
          <t>Gamme réalisée - RAS</t>
        </is>
      </c>
      <c r="O1238" s="7" t="inlineStr">
        <is>
          <t>Antoine Mercier</t>
        </is>
      </c>
      <c r="P1238" s="65" t="n">
        <v>46199.70138888889</v>
      </c>
      <c r="Q1238" s="75" t="n">
        <v>46199.48611111111</v>
      </c>
      <c r="R1238" s="75" t="n">
        <v>46199.67361111111</v>
      </c>
      <c r="S1238" s="76" t="n">
        <v>4.5</v>
      </c>
      <c r="T1238" s="76" t="n">
        <v>4.5</v>
      </c>
      <c r="U1238" s="70">
        <f>IF($A1238="","",IFERROR(INDEX('Techniciens'!$F$5:$F$44,MATCH(O1238,'Techniciens'!$B$5:$B$44,0)),'Paramètres'!$AA$10))</f>
        <v/>
      </c>
      <c r="V1238" s="70">
        <f>IF($A1238="","",IF(OR(AC1238="Demandé",AC1238="Planifié",AC1238="Annulé"),0,N(T1238)*N(U1238)))</f>
        <v/>
      </c>
      <c r="W1238" s="70">
        <f>IF($A1238="","",SUMIFS('Mouvements stock'!$H$5:$H$3004,'Mouvements stock'!$I$5:$I$3004,$A1238,'Mouvements stock'!$C$5:$C$3004,"Sortie")-SUMIFS('Mouvements stock'!$H$5:$H$3004,'Mouvements stock'!$I$5:$I$3004,$A1238,'Mouvements stock'!$C$5:$C$3004,"Retour"))</f>
        <v/>
      </c>
      <c r="X1238" s="66" t="n">
        <v>0</v>
      </c>
      <c r="Y1238" s="66" t="n">
        <v>0</v>
      </c>
      <c r="Z1238" s="7" t="n"/>
      <c r="AA1238" s="70">
        <f>IF($A1238="","",N(V1238)+N(W1238)+N(X1238)+N(Y1238))</f>
        <v/>
      </c>
      <c r="AB1238" s="70">
        <f>IF($A1238="","",N(S1238)*'Paramètres'!$AA$9*IFERROR(INDEX('Paramètres'!$O$5:$O$7,MATCH(G1238,'Paramètres'!$N$5:$N$7,0)),0))</f>
        <v/>
      </c>
      <c r="AC1238" s="7" t="inlineStr">
        <is>
          <t>Clôturé</t>
        </is>
      </c>
      <c r="AD1238" s="69">
        <f>IF(OR($A1238="",Q1238=""),"",(Q1238-B1238)*24)</f>
        <v/>
      </c>
      <c r="AE1238" s="69">
        <f>IF(OR(Q1238="",R1238=""),"",(R1238-Q1238)*24)</f>
        <v/>
      </c>
      <c r="AF1238" s="77">
        <f>IF(OR($A1238="",B1238=""),"",YEAR(B1238))</f>
        <v/>
      </c>
      <c r="AG1238" s="77">
        <f>IF(OR($A1238="",B1238=""),"",MONTH(B1238))</f>
        <v/>
      </c>
    </row>
    <row r="1239">
      <c r="A1239" s="7" t="inlineStr">
        <is>
          <t>OT-2026-0384</t>
        </is>
      </c>
      <c r="B1239" s="75" t="n">
        <v>46195.65972222222</v>
      </c>
      <c r="C1239" s="7" t="inlineStr">
        <is>
          <t>Éric Laurent (chef d'atelier)</t>
        </is>
      </c>
      <c r="D1239" s="7" t="inlineStr">
        <is>
          <t>EQ-USI-006</t>
        </is>
      </c>
      <c r="E1239" s="9">
        <f>IF(D1239="","",IFERROR(INDEX('Équipements'!$B$5:$B$304,MATCH(D1239,'Équipements'!$A$5:$A$304,0)),"Code inconnu"))</f>
        <v/>
      </c>
      <c r="F1239" s="9">
        <f>IF(D1239="","",IFERROR(INDEX('Équipements'!$D$5:$D$304,MATCH(D1239,'Équipements'!$A$5:$A$304,0)),""))</f>
        <v/>
      </c>
      <c r="G1239" s="9">
        <f>IF(D1239="","",IFERROR(INDEX('Équipements'!$K$5:$K$304,MATCH(D1239,'Équipements'!$A$5:$A$304,0)),""))</f>
        <v/>
      </c>
      <c r="H1239" s="7" t="inlineStr">
        <is>
          <t>Correctif</t>
        </is>
      </c>
      <c r="I1239" s="7" t="n"/>
      <c r="J1239" s="7" t="inlineStr">
        <is>
          <t>Électrique</t>
        </is>
      </c>
      <c r="K1239" s="7" t="inlineStr">
        <is>
          <t>P2 - Haute</t>
        </is>
      </c>
      <c r="L1239" s="7" t="inlineStr">
        <is>
          <t>Alarme codeur axe X</t>
        </is>
      </c>
      <c r="M1239" s="7" t="inlineStr">
        <is>
          <t>Défaut capteur</t>
        </is>
      </c>
      <c r="N1239" s="7" t="inlineStr">
        <is>
          <t>Contrôle câblage, remplacement codeur</t>
        </is>
      </c>
      <c r="O1239" s="7" t="inlineStr">
        <is>
          <t>Julien Moreau</t>
        </is>
      </c>
      <c r="P1239" s="65" t="n"/>
      <c r="Q1239" s="75" t="n">
        <v>46195.81875</v>
      </c>
      <c r="R1239" s="75" t="n">
        <v>46195.95416666667</v>
      </c>
      <c r="S1239" s="76" t="n">
        <v>7.1</v>
      </c>
      <c r="T1239" s="76" t="n">
        <v>3.25</v>
      </c>
      <c r="U1239" s="70">
        <f>IF($A1239="","",IFERROR(INDEX('Techniciens'!$F$5:$F$44,MATCH(O1239,'Techniciens'!$B$5:$B$44,0)),'Paramètres'!$AA$10))</f>
        <v/>
      </c>
      <c r="V1239" s="70">
        <f>IF($A1239="","",IF(OR(AC1239="Demandé",AC1239="Planifié",AC1239="Annulé"),0,N(T1239)*N(U1239)))</f>
        <v/>
      </c>
      <c r="W1239" s="70">
        <f>IF($A1239="","",SUMIFS('Mouvements stock'!$H$5:$H$3004,'Mouvements stock'!$I$5:$I$3004,$A1239,'Mouvements stock'!$C$5:$C$3004,"Sortie")-SUMIFS('Mouvements stock'!$H$5:$H$3004,'Mouvements stock'!$I$5:$I$3004,$A1239,'Mouvements stock'!$C$5:$C$3004,"Retour"))</f>
        <v/>
      </c>
      <c r="X1239" s="66" t="n">
        <v>0</v>
      </c>
      <c r="Y1239" s="66" t="n">
        <v>790</v>
      </c>
      <c r="Z1239" s="7" t="inlineStr">
        <is>
          <t>SAV Machines-Outils Atlantique</t>
        </is>
      </c>
      <c r="AA1239" s="70">
        <f>IF($A1239="","",N(V1239)+N(W1239)+N(X1239)+N(Y1239))</f>
        <v/>
      </c>
      <c r="AB1239" s="70">
        <f>IF($A1239="","",N(S1239)*'Paramètres'!$AA$9*IFERROR(INDEX('Paramètres'!$O$5:$O$7,MATCH(G1239,'Paramètres'!$N$5:$N$7,0)),0))</f>
        <v/>
      </c>
      <c r="AC1239" s="7" t="inlineStr">
        <is>
          <t>Clôturé</t>
        </is>
      </c>
      <c r="AD1239" s="69">
        <f>IF(OR($A1239="",Q1239=""),"",(Q1239-B1239)*24)</f>
        <v/>
      </c>
      <c r="AE1239" s="69">
        <f>IF(OR(Q1239="",R1239=""),"",(R1239-Q1239)*24)</f>
        <v/>
      </c>
      <c r="AF1239" s="77">
        <f>IF(OR($A1239="",B1239=""),"",YEAR(B1239))</f>
        <v/>
      </c>
      <c r="AG1239" s="77">
        <f>IF(OR($A1239="",B1239=""),"",MONTH(B1239))</f>
        <v/>
      </c>
    </row>
    <row r="1240">
      <c r="A1240" s="7" t="inlineStr">
        <is>
          <t>OT-2026-0385</t>
        </is>
      </c>
      <c r="B1240" s="75" t="n">
        <v>46195.78402777778</v>
      </c>
      <c r="C1240" s="7" t="inlineStr">
        <is>
          <t>Céline Morel (cheffe d'atelier)</t>
        </is>
      </c>
      <c r="D1240" s="7" t="inlineStr">
        <is>
          <t>EQ-TOL-003</t>
        </is>
      </c>
      <c r="E1240" s="9">
        <f>IF(D1240="","",IFERROR(INDEX('Équipements'!$B$5:$B$304,MATCH(D1240,'Équipements'!$A$5:$A$304,0)),"Code inconnu"))</f>
        <v/>
      </c>
      <c r="F1240" s="9">
        <f>IF(D1240="","",IFERROR(INDEX('Équipements'!$D$5:$D$304,MATCH(D1240,'Équipements'!$A$5:$A$304,0)),""))</f>
        <v/>
      </c>
      <c r="G1240" s="9">
        <f>IF(D1240="","",IFERROR(INDEX('Équipements'!$K$5:$K$304,MATCH(D1240,'Équipements'!$A$5:$A$304,0)),""))</f>
        <v/>
      </c>
      <c r="H1240" s="7" t="inlineStr">
        <is>
          <t>Correctif</t>
        </is>
      </c>
      <c r="I1240" s="7" t="n"/>
      <c r="J1240" s="7" t="inlineStr">
        <is>
          <t>Électrique</t>
        </is>
      </c>
      <c r="K1240" s="7" t="inlineStr">
        <is>
          <t>P1 - Urgent</t>
        </is>
      </c>
      <c r="L1240" s="7" t="inlineStr">
        <is>
          <t>Pédale de commande défectueuse</t>
        </is>
      </c>
      <c r="M1240" s="7" t="inlineStr">
        <is>
          <t>Usure</t>
        </is>
      </c>
      <c r="N1240" s="7" t="inlineStr">
        <is>
          <t>Remplacement contacts de pédale</t>
        </is>
      </c>
      <c r="O1240" s="7" t="inlineStr">
        <is>
          <t>Thomas Petit</t>
        </is>
      </c>
      <c r="P1240" s="65" t="n"/>
      <c r="Q1240" s="75" t="n">
        <v>46195.80277777778</v>
      </c>
      <c r="R1240" s="75" t="n">
        <v>46196.09444444445</v>
      </c>
      <c r="S1240" s="76" t="n">
        <v>7.5</v>
      </c>
      <c r="T1240" s="76" t="n">
        <v>7</v>
      </c>
      <c r="U1240" s="70">
        <f>IF($A1240="","",IFERROR(INDEX('Techniciens'!$F$5:$F$44,MATCH(O1240,'Techniciens'!$B$5:$B$44,0)),'Paramètres'!$AA$10))</f>
        <v/>
      </c>
      <c r="V1240" s="70">
        <f>IF($A1240="","",IF(OR(AC1240="Demandé",AC1240="Planifié",AC1240="Annulé"),0,N(T1240)*N(U1240)))</f>
        <v/>
      </c>
      <c r="W1240" s="70">
        <f>IF($A1240="","",SUMIFS('Mouvements stock'!$H$5:$H$3004,'Mouvements stock'!$I$5:$I$3004,$A1240,'Mouvements stock'!$C$5:$C$3004,"Sortie")-SUMIFS('Mouvements stock'!$H$5:$H$3004,'Mouvements stock'!$I$5:$I$3004,$A1240,'Mouvements stock'!$C$5:$C$3004,"Retour"))</f>
        <v/>
      </c>
      <c r="X1240" s="66" t="n">
        <v>0</v>
      </c>
      <c r="Y1240" s="66" t="n">
        <v>0</v>
      </c>
      <c r="Z1240" s="7" t="n"/>
      <c r="AA1240" s="70">
        <f>IF($A1240="","",N(V1240)+N(W1240)+N(X1240)+N(Y1240))</f>
        <v/>
      </c>
      <c r="AB1240" s="70">
        <f>IF($A1240="","",N(S1240)*'Paramètres'!$AA$9*IFERROR(INDEX('Paramètres'!$O$5:$O$7,MATCH(G1240,'Paramètres'!$N$5:$N$7,0)),0))</f>
        <v/>
      </c>
      <c r="AC1240" s="7" t="inlineStr">
        <is>
          <t>Clôturé</t>
        </is>
      </c>
      <c r="AD1240" s="69">
        <f>IF(OR($A1240="",Q1240=""),"",(Q1240-B1240)*24)</f>
        <v/>
      </c>
      <c r="AE1240" s="69">
        <f>IF(OR(Q1240="",R1240=""),"",(R1240-Q1240)*24)</f>
        <v/>
      </c>
      <c r="AF1240" s="77">
        <f>IF(OR($A1240="",B1240=""),"",YEAR(B1240))</f>
        <v/>
      </c>
      <c r="AG1240" s="77">
        <f>IF(OR($A1240="",B1240=""),"",MONTH(B1240))</f>
        <v/>
      </c>
    </row>
    <row r="1241">
      <c r="A1241" s="7" t="inlineStr">
        <is>
          <t>OT-2026-0386</t>
        </is>
      </c>
      <c r="B1241" s="75" t="n">
        <v>46196.47916666666</v>
      </c>
      <c r="C1241" s="7" t="inlineStr">
        <is>
          <t>Plan préventif</t>
        </is>
      </c>
      <c r="D1241" s="7" t="inlineStr">
        <is>
          <t>EQ-TOL-001</t>
        </is>
      </c>
      <c r="E1241" s="9">
        <f>IF(D1241="","",IFERROR(INDEX('Équipements'!$B$5:$B$304,MATCH(D1241,'Équipements'!$A$5:$A$304,0)),"Code inconnu"))</f>
        <v/>
      </c>
      <c r="F1241" s="9">
        <f>IF(D1241="","",IFERROR(INDEX('Équipements'!$D$5:$D$304,MATCH(D1241,'Équipements'!$A$5:$A$304,0)),""))</f>
        <v/>
      </c>
      <c r="G1241" s="9">
        <f>IF(D1241="","",IFERROR(INDEX('Équipements'!$K$5:$K$304,MATCH(D1241,'Équipements'!$A$5:$A$304,0)),""))</f>
        <v/>
      </c>
      <c r="H1241" s="7" t="inlineStr">
        <is>
          <t>Préventif systématique</t>
        </is>
      </c>
      <c r="I1241" s="7" t="inlineStr">
        <is>
          <t>GP-038</t>
        </is>
      </c>
      <c r="J1241" s="7" t="inlineStr">
        <is>
          <t>Mécanique</t>
        </is>
      </c>
      <c r="K1241" s="7" t="inlineStr">
        <is>
          <t>P3 - Normale</t>
        </is>
      </c>
      <c r="L1241" s="7" t="inlineStr">
        <is>
          <t>Nettoyage optique, contrôle buse et lentille</t>
        </is>
      </c>
      <c r="M1241" s="7" t="n"/>
      <c r="N1241" s="7" t="inlineStr">
        <is>
          <t>Gamme réalisée - RAS</t>
        </is>
      </c>
      <c r="O1241" s="7" t="inlineStr">
        <is>
          <t>Karim Benali</t>
        </is>
      </c>
      <c r="P1241" s="65" t="n">
        <v>46203.51041666666</v>
      </c>
      <c r="Q1241" s="75" t="n">
        <v>46203.26388888889</v>
      </c>
      <c r="R1241" s="75" t="n">
        <v>46203.35763888889</v>
      </c>
      <c r="S1241" s="76" t="n">
        <v>2.2</v>
      </c>
      <c r="T1241" s="76" t="n">
        <v>2.25</v>
      </c>
      <c r="U1241" s="70">
        <f>IF($A1241="","",IFERROR(INDEX('Techniciens'!$F$5:$F$44,MATCH(O1241,'Techniciens'!$B$5:$B$44,0)),'Paramètres'!$AA$10))</f>
        <v/>
      </c>
      <c r="V1241" s="70">
        <f>IF($A1241="","",IF(OR(AC1241="Demandé",AC1241="Planifié",AC1241="Annulé"),0,N(T1241)*N(U1241)))</f>
        <v/>
      </c>
      <c r="W1241" s="70">
        <f>IF($A1241="","",SUMIFS('Mouvements stock'!$H$5:$H$3004,'Mouvements stock'!$I$5:$I$3004,$A1241,'Mouvements stock'!$C$5:$C$3004,"Sortie")-SUMIFS('Mouvements stock'!$H$5:$H$3004,'Mouvements stock'!$I$5:$I$3004,$A1241,'Mouvements stock'!$C$5:$C$3004,"Retour"))</f>
        <v/>
      </c>
      <c r="X1241" s="66" t="n">
        <v>0</v>
      </c>
      <c r="Y1241" s="66" t="n">
        <v>0</v>
      </c>
      <c r="Z1241" s="7" t="n"/>
      <c r="AA1241" s="70">
        <f>IF($A1241="","",N(V1241)+N(W1241)+N(X1241)+N(Y1241))</f>
        <v/>
      </c>
      <c r="AB1241" s="70">
        <f>IF($A1241="","",N(S1241)*'Paramètres'!$AA$9*IFERROR(INDEX('Paramètres'!$O$5:$O$7,MATCH(G1241,'Paramètres'!$N$5:$N$7,0)),0))</f>
        <v/>
      </c>
      <c r="AC1241" s="7" t="inlineStr">
        <is>
          <t>Clôturé</t>
        </is>
      </c>
      <c r="AD1241" s="69">
        <f>IF(OR($A1241="",Q1241=""),"",(Q1241-B1241)*24)</f>
        <v/>
      </c>
      <c r="AE1241" s="69">
        <f>IF(OR(Q1241="",R1241=""),"",(R1241-Q1241)*24)</f>
        <v/>
      </c>
      <c r="AF1241" s="77">
        <f>IF(OR($A1241="",B1241=""),"",YEAR(B1241))</f>
        <v/>
      </c>
      <c r="AG1241" s="77">
        <f>IF(OR($A1241="",B1241=""),"",MONTH(B1241))</f>
        <v/>
      </c>
    </row>
    <row r="1242">
      <c r="A1242" s="7" t="inlineStr">
        <is>
          <t>OT-2026-0387</t>
        </is>
      </c>
      <c r="B1242" s="75" t="n">
        <v>46197.38541666666</v>
      </c>
      <c r="C1242" s="7" t="inlineStr">
        <is>
          <t>Plan préventif</t>
        </is>
      </c>
      <c r="D1242" s="7" t="inlineStr">
        <is>
          <t>EQ-USI-005</t>
        </is>
      </c>
      <c r="E1242" s="9">
        <f>IF(D1242="","",IFERROR(INDEX('Équipements'!$B$5:$B$304,MATCH(D1242,'Équipements'!$A$5:$A$304,0)),"Code inconnu"))</f>
        <v/>
      </c>
      <c r="F1242" s="9">
        <f>IF(D1242="","",IFERROR(INDEX('Équipements'!$D$5:$D$304,MATCH(D1242,'Équipements'!$A$5:$A$304,0)),""))</f>
        <v/>
      </c>
      <c r="G1242" s="9">
        <f>IF(D1242="","",IFERROR(INDEX('Équipements'!$K$5:$K$304,MATCH(D1242,'Équipements'!$A$5:$A$304,0)),""))</f>
        <v/>
      </c>
      <c r="H1242" s="7" t="inlineStr">
        <is>
          <t>Préventif systématique</t>
        </is>
      </c>
      <c r="I1242" s="7" t="inlineStr">
        <is>
          <t>GP-017</t>
        </is>
      </c>
      <c r="J1242" s="7" t="inlineStr">
        <is>
          <t>Mécanique</t>
        </is>
      </c>
      <c r="K1242" s="7" t="inlineStr">
        <is>
          <t>P3 - Normale</t>
        </is>
      </c>
      <c r="L1242" s="7" t="inlineStr">
        <is>
          <t>Contrôle niveaux, nettoyage filtres et bac à copeaux</t>
        </is>
      </c>
      <c r="M1242" s="7" t="n"/>
      <c r="N1242" s="7" t="inlineStr">
        <is>
          <t>Gamme réalisée - RAS</t>
        </is>
      </c>
      <c r="O1242" s="7" t="inlineStr">
        <is>
          <t>Karim Benali</t>
        </is>
      </c>
      <c r="P1242" s="65" t="n">
        <v>46204.32986111111</v>
      </c>
      <c r="Q1242" s="75" t="n">
        <v>46204.46875</v>
      </c>
      <c r="R1242" s="75" t="n">
        <v>46204.53125</v>
      </c>
      <c r="S1242" s="76" t="n">
        <v>0.8</v>
      </c>
      <c r="T1242" s="76" t="n">
        <v>1.5</v>
      </c>
      <c r="U1242" s="70">
        <f>IF($A1242="","",IFERROR(INDEX('Techniciens'!$F$5:$F$44,MATCH(O1242,'Techniciens'!$B$5:$B$44,0)),'Paramètres'!$AA$10))</f>
        <v/>
      </c>
      <c r="V1242" s="70">
        <f>IF($A1242="","",IF(OR(AC1242="Demandé",AC1242="Planifié",AC1242="Annulé"),0,N(T1242)*N(U1242)))</f>
        <v/>
      </c>
      <c r="W1242" s="70">
        <f>IF($A1242="","",SUMIFS('Mouvements stock'!$H$5:$H$3004,'Mouvements stock'!$I$5:$I$3004,$A1242,'Mouvements stock'!$C$5:$C$3004,"Sortie")-SUMIFS('Mouvements stock'!$H$5:$H$3004,'Mouvements stock'!$I$5:$I$3004,$A1242,'Mouvements stock'!$C$5:$C$3004,"Retour"))</f>
        <v/>
      </c>
      <c r="X1242" s="66" t="n">
        <v>0</v>
      </c>
      <c r="Y1242" s="66" t="n">
        <v>0</v>
      </c>
      <c r="Z1242" s="7" t="n"/>
      <c r="AA1242" s="70">
        <f>IF($A1242="","",N(V1242)+N(W1242)+N(X1242)+N(Y1242))</f>
        <v/>
      </c>
      <c r="AB1242" s="70">
        <f>IF($A1242="","",N(S1242)*'Paramètres'!$AA$9*IFERROR(INDEX('Paramètres'!$O$5:$O$7,MATCH(G1242,'Paramètres'!$N$5:$N$7,0)),0))</f>
        <v/>
      </c>
      <c r="AC1242" s="7" t="inlineStr">
        <is>
          <t>Clôturé</t>
        </is>
      </c>
      <c r="AD1242" s="69">
        <f>IF(OR($A1242="",Q1242=""),"",(Q1242-B1242)*24)</f>
        <v/>
      </c>
      <c r="AE1242" s="69">
        <f>IF(OR(Q1242="",R1242=""),"",(R1242-Q1242)*24)</f>
        <v/>
      </c>
      <c r="AF1242" s="77">
        <f>IF(OR($A1242="",B1242=""),"",YEAR(B1242))</f>
        <v/>
      </c>
      <c r="AG1242" s="77">
        <f>IF(OR($A1242="",B1242=""),"",MONTH(B1242))</f>
        <v/>
      </c>
    </row>
    <row r="1243">
      <c r="A1243" s="7" t="inlineStr">
        <is>
          <t>OT-2026-0388</t>
        </is>
      </c>
      <c r="B1243" s="75" t="n">
        <v>46197.38888888889</v>
      </c>
      <c r="C1243" s="7" t="inlineStr">
        <is>
          <t>Éric Laurent (chef d'atelier)</t>
        </is>
      </c>
      <c r="D1243" s="7" t="inlineStr">
        <is>
          <t>EQ-USI-002</t>
        </is>
      </c>
      <c r="E1243" s="9">
        <f>IF(D1243="","",IFERROR(INDEX('Équipements'!$B$5:$B$304,MATCH(D1243,'Équipements'!$A$5:$A$304,0)),"Code inconnu"))</f>
        <v/>
      </c>
      <c r="F1243" s="9">
        <f>IF(D1243="","",IFERROR(INDEX('Équipements'!$D$5:$D$304,MATCH(D1243,'Équipements'!$A$5:$A$304,0)),""))</f>
        <v/>
      </c>
      <c r="G1243" s="9">
        <f>IF(D1243="","",IFERROR(INDEX('Équipements'!$K$5:$K$304,MATCH(D1243,'Équipements'!$A$5:$A$304,0)),""))</f>
        <v/>
      </c>
      <c r="H1243" s="7" t="inlineStr">
        <is>
          <t>Correctif</t>
        </is>
      </c>
      <c r="I1243" s="7" t="n"/>
      <c r="J1243" s="7" t="inlineStr">
        <is>
          <t>Mécanique</t>
        </is>
      </c>
      <c r="K1243" s="7" t="inlineStr">
        <is>
          <t>P2 - Haute</t>
        </is>
      </c>
      <c r="L1243" s="7" t="inlineStr">
        <is>
          <t>Broche bruyante / vibrations anormales</t>
        </is>
      </c>
      <c r="M1243" s="7" t="inlineStr">
        <is>
          <t>Usure</t>
        </is>
      </c>
      <c r="N1243" s="7" t="inlineStr">
        <is>
          <t>Analyse vibratoire puis remplacement roulements de broche</t>
        </is>
      </c>
      <c r="O1243" s="7" t="inlineStr">
        <is>
          <t>Antoine Mercier</t>
        </is>
      </c>
      <c r="P1243" s="65" t="n"/>
      <c r="Q1243" s="75" t="n">
        <v>46197.5</v>
      </c>
      <c r="R1243" s="75" t="n">
        <v>46197.70833333334</v>
      </c>
      <c r="S1243" s="76" t="n">
        <v>7.7</v>
      </c>
      <c r="T1243" s="76" t="n">
        <v>5</v>
      </c>
      <c r="U1243" s="70">
        <f>IF($A1243="","",IFERROR(INDEX('Techniciens'!$F$5:$F$44,MATCH(O1243,'Techniciens'!$B$5:$B$44,0)),'Paramètres'!$AA$10))</f>
        <v/>
      </c>
      <c r="V1243" s="70">
        <f>IF($A1243="","",IF(OR(AC1243="Demandé",AC1243="Planifié",AC1243="Annulé"),0,N(T1243)*N(U1243)))</f>
        <v/>
      </c>
      <c r="W1243" s="70">
        <f>IF($A1243="","",SUMIFS('Mouvements stock'!$H$5:$H$3004,'Mouvements stock'!$I$5:$I$3004,$A1243,'Mouvements stock'!$C$5:$C$3004,"Sortie")-SUMIFS('Mouvements stock'!$H$5:$H$3004,'Mouvements stock'!$I$5:$I$3004,$A1243,'Mouvements stock'!$C$5:$C$3004,"Retour"))</f>
        <v/>
      </c>
      <c r="X1243" s="66" t="n">
        <v>0</v>
      </c>
      <c r="Y1243" s="66" t="n">
        <v>0</v>
      </c>
      <c r="Z1243" s="7" t="n"/>
      <c r="AA1243" s="70">
        <f>IF($A1243="","",N(V1243)+N(W1243)+N(X1243)+N(Y1243))</f>
        <v/>
      </c>
      <c r="AB1243" s="70">
        <f>IF($A1243="","",N(S1243)*'Paramètres'!$AA$9*IFERROR(INDEX('Paramètres'!$O$5:$O$7,MATCH(G1243,'Paramètres'!$N$5:$N$7,0)),0))</f>
        <v/>
      </c>
      <c r="AC1243" s="7" t="inlineStr">
        <is>
          <t>Clôturé</t>
        </is>
      </c>
      <c r="AD1243" s="69">
        <f>IF(OR($A1243="",Q1243=""),"",(Q1243-B1243)*24)</f>
        <v/>
      </c>
      <c r="AE1243" s="69">
        <f>IF(OR(Q1243="",R1243=""),"",(R1243-Q1243)*24)</f>
        <v/>
      </c>
      <c r="AF1243" s="77">
        <f>IF(OR($A1243="",B1243=""),"",YEAR(B1243))</f>
        <v/>
      </c>
      <c r="AG1243" s="77">
        <f>IF(OR($A1243="",B1243=""),"",MONTH(B1243))</f>
        <v/>
      </c>
    </row>
    <row r="1244">
      <c r="A1244" s="7" t="inlineStr">
        <is>
          <t>OT-2026-0389</t>
        </is>
      </c>
      <c r="B1244" s="75" t="n">
        <v>46197.46875</v>
      </c>
      <c r="C1244" s="7" t="inlineStr">
        <is>
          <t>Plan préventif</t>
        </is>
      </c>
      <c r="D1244" s="7" t="inlineStr">
        <is>
          <t>EQ-UTI-006</t>
        </is>
      </c>
      <c r="E1244" s="9">
        <f>IF(D1244="","",IFERROR(INDEX('Équipements'!$B$5:$B$304,MATCH(D1244,'Équipements'!$A$5:$A$304,0)),"Code inconnu"))</f>
        <v/>
      </c>
      <c r="F1244" s="9">
        <f>IF(D1244="","",IFERROR(INDEX('Équipements'!$D$5:$D$304,MATCH(D1244,'Équipements'!$A$5:$A$304,0)),""))</f>
        <v/>
      </c>
      <c r="G1244" s="9">
        <f>IF(D1244="","",IFERROR(INDEX('Équipements'!$K$5:$K$304,MATCH(D1244,'Équipements'!$A$5:$A$304,0)),""))</f>
        <v/>
      </c>
      <c r="H1244" s="7" t="inlineStr">
        <is>
          <t>Préventif systématique</t>
        </is>
      </c>
      <c r="I1244" s="7" t="inlineStr">
        <is>
          <t>GP-095</t>
        </is>
      </c>
      <c r="J1244" s="7" t="inlineStr">
        <is>
          <t>Mécanique</t>
        </is>
      </c>
      <c r="K1244" s="7" t="inlineStr">
        <is>
          <t>P3 - Normale</t>
        </is>
      </c>
      <c r="L1244" s="7" t="inlineStr">
        <is>
          <t>Remplacement filtres et nettoyage batteries</t>
        </is>
      </c>
      <c r="M1244" s="7" t="n"/>
      <c r="N1244" s="7" t="inlineStr">
        <is>
          <t>Gamme réalisée - RAS</t>
        </is>
      </c>
      <c r="O1244" s="7" t="inlineStr">
        <is>
          <t>Karim Benali</t>
        </is>
      </c>
      <c r="P1244" s="65" t="n">
        <v>46204.38541666666</v>
      </c>
      <c r="Q1244" s="75" t="n">
        <v>46204.47916666666</v>
      </c>
      <c r="R1244" s="75" t="n">
        <v>46204.58333333334</v>
      </c>
      <c r="S1244" s="76" t="n">
        <v>0</v>
      </c>
      <c r="T1244" s="76" t="n">
        <v>2.5</v>
      </c>
      <c r="U1244" s="70">
        <f>IF($A1244="","",IFERROR(INDEX('Techniciens'!$F$5:$F$44,MATCH(O1244,'Techniciens'!$B$5:$B$44,0)),'Paramètres'!$AA$10))</f>
        <v/>
      </c>
      <c r="V1244" s="70">
        <f>IF($A1244="","",IF(OR(AC1244="Demandé",AC1244="Planifié",AC1244="Annulé"),0,N(T1244)*N(U1244)))</f>
        <v/>
      </c>
      <c r="W1244" s="70">
        <f>IF($A1244="","",SUMIFS('Mouvements stock'!$H$5:$H$3004,'Mouvements stock'!$I$5:$I$3004,$A1244,'Mouvements stock'!$C$5:$C$3004,"Sortie")-SUMIFS('Mouvements stock'!$H$5:$H$3004,'Mouvements stock'!$I$5:$I$3004,$A1244,'Mouvements stock'!$C$5:$C$3004,"Retour"))</f>
        <v/>
      </c>
      <c r="X1244" s="66" t="n">
        <v>0</v>
      </c>
      <c r="Y1244" s="66" t="n">
        <v>0</v>
      </c>
      <c r="Z1244" s="7" t="n"/>
      <c r="AA1244" s="70">
        <f>IF($A1244="","",N(V1244)+N(W1244)+N(X1244)+N(Y1244))</f>
        <v/>
      </c>
      <c r="AB1244" s="70">
        <f>IF($A1244="","",N(S1244)*'Paramètres'!$AA$9*IFERROR(INDEX('Paramètres'!$O$5:$O$7,MATCH(G1244,'Paramètres'!$N$5:$N$7,0)),0))</f>
        <v/>
      </c>
      <c r="AC1244" s="7" t="inlineStr">
        <is>
          <t>Clôturé</t>
        </is>
      </c>
      <c r="AD1244" s="69">
        <f>IF(OR($A1244="",Q1244=""),"",(Q1244-B1244)*24)</f>
        <v/>
      </c>
      <c r="AE1244" s="69">
        <f>IF(OR(Q1244="",R1244=""),"",(R1244-Q1244)*24)</f>
        <v/>
      </c>
      <c r="AF1244" s="77">
        <f>IF(OR($A1244="",B1244=""),"",YEAR(B1244))</f>
        <v/>
      </c>
      <c r="AG1244" s="77">
        <f>IF(OR($A1244="",B1244=""),"",MONTH(B1244))</f>
        <v/>
      </c>
    </row>
    <row r="1245">
      <c r="A1245" s="7" t="inlineStr">
        <is>
          <t>OT-2026-0390</t>
        </is>
      </c>
      <c r="B1245" s="75" t="n">
        <v>46198.39583333334</v>
      </c>
      <c r="C1245" s="7" t="inlineStr">
        <is>
          <t>Plan préventif</t>
        </is>
      </c>
      <c r="D1245" s="7" t="inlineStr">
        <is>
          <t>EQ-SOU-001</t>
        </is>
      </c>
      <c r="E1245" s="9">
        <f>IF(D1245="","",IFERROR(INDEX('Équipements'!$B$5:$B$304,MATCH(D1245,'Équipements'!$A$5:$A$304,0)),"Code inconnu"))</f>
        <v/>
      </c>
      <c r="F1245" s="9">
        <f>IF(D1245="","",IFERROR(INDEX('Équipements'!$D$5:$D$304,MATCH(D1245,'Équipements'!$A$5:$A$304,0)),""))</f>
        <v/>
      </c>
      <c r="G1245" s="9">
        <f>IF(D1245="","",IFERROR(INDEX('Équipements'!$K$5:$K$304,MATCH(D1245,'Équipements'!$A$5:$A$304,0)),""))</f>
        <v/>
      </c>
      <c r="H1245" s="7" t="inlineStr">
        <is>
          <t>Préventif systématique</t>
        </is>
      </c>
      <c r="I1245" s="7" t="inlineStr">
        <is>
          <t>GP-059</t>
        </is>
      </c>
      <c r="J1245" s="7" t="inlineStr">
        <is>
          <t>Mécanique</t>
        </is>
      </c>
      <c r="K1245" s="7" t="inlineStr">
        <is>
          <t>P3 - Normale</t>
        </is>
      </c>
      <c r="L1245" s="7" t="inlineStr">
        <is>
          <t>Graissage réducteurs et contrôle câblage</t>
        </is>
      </c>
      <c r="M1245" s="7" t="n"/>
      <c r="N1245" s="7" t="inlineStr">
        <is>
          <t>Gamme réalisée - RAS</t>
        </is>
      </c>
      <c r="O1245" s="7" t="inlineStr">
        <is>
          <t>Karim Benali</t>
        </is>
      </c>
      <c r="P1245" s="65" t="n">
        <v>46205.75</v>
      </c>
      <c r="Q1245" s="75" t="n">
        <v>46205.61805555555</v>
      </c>
      <c r="R1245" s="75" t="n">
        <v>46205.83680555555</v>
      </c>
      <c r="S1245" s="76" t="n">
        <v>5.2</v>
      </c>
      <c r="T1245" s="76" t="n">
        <v>5.25</v>
      </c>
      <c r="U1245" s="70">
        <f>IF($A1245="","",IFERROR(INDEX('Techniciens'!$F$5:$F$44,MATCH(O1245,'Techniciens'!$B$5:$B$44,0)),'Paramètres'!$AA$10))</f>
        <v/>
      </c>
      <c r="V1245" s="70">
        <f>IF($A1245="","",IF(OR(AC1245="Demandé",AC1245="Planifié",AC1245="Annulé"),0,N(T1245)*N(U1245)))</f>
        <v/>
      </c>
      <c r="W1245" s="70">
        <f>IF($A1245="","",SUMIFS('Mouvements stock'!$H$5:$H$3004,'Mouvements stock'!$I$5:$I$3004,$A1245,'Mouvements stock'!$C$5:$C$3004,"Sortie")-SUMIFS('Mouvements stock'!$H$5:$H$3004,'Mouvements stock'!$I$5:$I$3004,$A1245,'Mouvements stock'!$C$5:$C$3004,"Retour"))</f>
        <v/>
      </c>
      <c r="X1245" s="66" t="n">
        <v>0</v>
      </c>
      <c r="Y1245" s="66" t="n">
        <v>0</v>
      </c>
      <c r="Z1245" s="7" t="n"/>
      <c r="AA1245" s="70">
        <f>IF($A1245="","",N(V1245)+N(W1245)+N(X1245)+N(Y1245))</f>
        <v/>
      </c>
      <c r="AB1245" s="70">
        <f>IF($A1245="","",N(S1245)*'Paramètres'!$AA$9*IFERROR(INDEX('Paramètres'!$O$5:$O$7,MATCH(G1245,'Paramètres'!$N$5:$N$7,0)),0))</f>
        <v/>
      </c>
      <c r="AC1245" s="7" t="inlineStr">
        <is>
          <t>Clôturé</t>
        </is>
      </c>
      <c r="AD1245" s="69">
        <f>IF(OR($A1245="",Q1245=""),"",(Q1245-B1245)*24)</f>
        <v/>
      </c>
      <c r="AE1245" s="69">
        <f>IF(OR(Q1245="",R1245=""),"",(R1245-Q1245)*24)</f>
        <v/>
      </c>
      <c r="AF1245" s="77">
        <f>IF(OR($A1245="",B1245=""),"",YEAR(B1245))</f>
        <v/>
      </c>
      <c r="AG1245" s="77">
        <f>IF(OR($A1245="",B1245=""),"",MONTH(B1245))</f>
        <v/>
      </c>
    </row>
    <row r="1246">
      <c r="A1246" s="7" t="inlineStr">
        <is>
          <t>OT-2026-0391</t>
        </is>
      </c>
      <c r="B1246" s="75" t="n">
        <v>46199.34722222222</v>
      </c>
      <c r="C1246" s="7" t="inlineStr">
        <is>
          <t>Plan préventif</t>
        </is>
      </c>
      <c r="D1246" s="7" t="inlineStr">
        <is>
          <t>EQ-TOL-003</t>
        </is>
      </c>
      <c r="E1246" s="9">
        <f>IF(D1246="","",IFERROR(INDEX('Équipements'!$B$5:$B$304,MATCH(D1246,'Équipements'!$A$5:$A$304,0)),"Code inconnu"))</f>
        <v/>
      </c>
      <c r="F1246" s="9">
        <f>IF(D1246="","",IFERROR(INDEX('Équipements'!$D$5:$D$304,MATCH(D1246,'Équipements'!$A$5:$A$304,0)),""))</f>
        <v/>
      </c>
      <c r="G1246" s="9">
        <f>IF(D1246="","",IFERROR(INDEX('Équipements'!$K$5:$K$304,MATCH(D1246,'Équipements'!$A$5:$A$304,0)),""))</f>
        <v/>
      </c>
      <c r="H1246" s="7" t="inlineStr">
        <is>
          <t>Préventif systématique</t>
        </is>
      </c>
      <c r="I1246" s="7" t="inlineStr">
        <is>
          <t>GP-044</t>
        </is>
      </c>
      <c r="J1246" s="7" t="inlineStr">
        <is>
          <t>Hydraulique</t>
        </is>
      </c>
      <c r="K1246" s="7" t="inlineStr">
        <is>
          <t>P3 - Normale</t>
        </is>
      </c>
      <c r="L1246" s="7" t="inlineStr">
        <is>
          <t>Contrôle hydraulique : fuites, niveaux, pressions</t>
        </is>
      </c>
      <c r="M1246" s="7" t="n"/>
      <c r="N1246" s="7" t="inlineStr">
        <is>
          <t>Gamme réalisée - RAS</t>
        </is>
      </c>
      <c r="O1246" s="7" t="inlineStr">
        <is>
          <t>Karim Benali</t>
        </is>
      </c>
      <c r="P1246" s="65" t="n">
        <v>46206.35763888889</v>
      </c>
      <c r="Q1246" s="75" t="n">
        <v>46206.55208333334</v>
      </c>
      <c r="R1246" s="75" t="n">
        <v>46206.63541666666</v>
      </c>
      <c r="S1246" s="76" t="n">
        <v>2</v>
      </c>
      <c r="T1246" s="76" t="n">
        <v>2</v>
      </c>
      <c r="U1246" s="70">
        <f>IF($A1246="","",IFERROR(INDEX('Techniciens'!$F$5:$F$44,MATCH(O1246,'Techniciens'!$B$5:$B$44,0)),'Paramètres'!$AA$10))</f>
        <v/>
      </c>
      <c r="V1246" s="70">
        <f>IF($A1246="","",IF(OR(AC1246="Demandé",AC1246="Planifié",AC1246="Annulé"),0,N(T1246)*N(U1246)))</f>
        <v/>
      </c>
      <c r="W1246" s="70">
        <f>IF($A1246="","",SUMIFS('Mouvements stock'!$H$5:$H$3004,'Mouvements stock'!$I$5:$I$3004,$A1246,'Mouvements stock'!$C$5:$C$3004,"Sortie")-SUMIFS('Mouvements stock'!$H$5:$H$3004,'Mouvements stock'!$I$5:$I$3004,$A1246,'Mouvements stock'!$C$5:$C$3004,"Retour"))</f>
        <v/>
      </c>
      <c r="X1246" s="66" t="n">
        <v>0</v>
      </c>
      <c r="Y1246" s="66" t="n">
        <v>0</v>
      </c>
      <c r="Z1246" s="7" t="n"/>
      <c r="AA1246" s="70">
        <f>IF($A1246="","",N(V1246)+N(W1246)+N(X1246)+N(Y1246))</f>
        <v/>
      </c>
      <c r="AB1246" s="70">
        <f>IF($A1246="","",N(S1246)*'Paramètres'!$AA$9*IFERROR(INDEX('Paramètres'!$O$5:$O$7,MATCH(G1246,'Paramètres'!$N$5:$N$7,0)),0))</f>
        <v/>
      </c>
      <c r="AC1246" s="7" t="inlineStr">
        <is>
          <t>Clôturé</t>
        </is>
      </c>
      <c r="AD1246" s="69">
        <f>IF(OR($A1246="",Q1246=""),"",(Q1246-B1246)*24)</f>
        <v/>
      </c>
      <c r="AE1246" s="69">
        <f>IF(OR(Q1246="",R1246=""),"",(R1246-Q1246)*24)</f>
        <v/>
      </c>
      <c r="AF1246" s="77">
        <f>IF(OR($A1246="",B1246=""),"",YEAR(B1246))</f>
        <v/>
      </c>
      <c r="AG1246" s="77">
        <f>IF(OR($A1246="",B1246=""),"",MONTH(B1246))</f>
        <v/>
      </c>
    </row>
    <row r="1247">
      <c r="A1247" s="7" t="inlineStr">
        <is>
          <t>OT-2026-0392</t>
        </is>
      </c>
      <c r="B1247" s="75" t="n">
        <v>46199.39583333334</v>
      </c>
      <c r="C1247" s="7" t="inlineStr">
        <is>
          <t>Plan préventif</t>
        </is>
      </c>
      <c r="D1247" s="7" t="inlineStr">
        <is>
          <t>EQ-ASS-006</t>
        </is>
      </c>
      <c r="E1247" s="9">
        <f>IF(D1247="","",IFERROR(INDEX('Équipements'!$B$5:$B$304,MATCH(D1247,'Équipements'!$A$5:$A$304,0)),"Code inconnu"))</f>
        <v/>
      </c>
      <c r="F1247" s="9">
        <f>IF(D1247="","",IFERROR(INDEX('Équipements'!$D$5:$D$304,MATCH(D1247,'Équipements'!$A$5:$A$304,0)),""))</f>
        <v/>
      </c>
      <c r="G1247" s="9">
        <f>IF(D1247="","",IFERROR(INDEX('Équipements'!$K$5:$K$304,MATCH(D1247,'Équipements'!$A$5:$A$304,0)),""))</f>
        <v/>
      </c>
      <c r="H1247" s="7" t="inlineStr">
        <is>
          <t>Préventif systématique</t>
        </is>
      </c>
      <c r="I1247" s="7" t="inlineStr">
        <is>
          <t>GP-086</t>
        </is>
      </c>
      <c r="J1247" s="7" t="inlineStr">
        <is>
          <t>Mécanique</t>
        </is>
      </c>
      <c r="K1247" s="7" t="inlineStr">
        <is>
          <t>P3 - Normale</t>
        </is>
      </c>
      <c r="L1247" s="7" t="inlineStr">
        <is>
          <t>Contrôle motoréducteurs et usure</t>
        </is>
      </c>
      <c r="M1247" s="7" t="n"/>
      <c r="N1247" s="7" t="inlineStr">
        <is>
          <t>Gamme réalisée - serrages repris</t>
        </is>
      </c>
      <c r="O1247" s="7" t="inlineStr">
        <is>
          <t>Karim Benali</t>
        </is>
      </c>
      <c r="P1247" s="65" t="n">
        <v>46206.74652777778</v>
      </c>
      <c r="Q1247" s="75" t="n">
        <v>46206.35416666666</v>
      </c>
      <c r="R1247" s="75" t="n">
        <v>46206.55208333334</v>
      </c>
      <c r="S1247" s="76" t="n">
        <v>4.8</v>
      </c>
      <c r="T1247" s="76" t="n">
        <v>4.75</v>
      </c>
      <c r="U1247" s="70">
        <f>IF($A1247="","",IFERROR(INDEX('Techniciens'!$F$5:$F$44,MATCH(O1247,'Techniciens'!$B$5:$B$44,0)),'Paramètres'!$AA$10))</f>
        <v/>
      </c>
      <c r="V1247" s="70">
        <f>IF($A1247="","",IF(OR(AC1247="Demandé",AC1247="Planifié",AC1247="Annulé"),0,N(T1247)*N(U1247)))</f>
        <v/>
      </c>
      <c r="W1247" s="70">
        <f>IF($A1247="","",SUMIFS('Mouvements stock'!$H$5:$H$3004,'Mouvements stock'!$I$5:$I$3004,$A1247,'Mouvements stock'!$C$5:$C$3004,"Sortie")-SUMIFS('Mouvements stock'!$H$5:$H$3004,'Mouvements stock'!$I$5:$I$3004,$A1247,'Mouvements stock'!$C$5:$C$3004,"Retour"))</f>
        <v/>
      </c>
      <c r="X1247" s="66" t="n">
        <v>0</v>
      </c>
      <c r="Y1247" s="66" t="n">
        <v>0</v>
      </c>
      <c r="Z1247" s="7" t="n"/>
      <c r="AA1247" s="70">
        <f>IF($A1247="","",N(V1247)+N(W1247)+N(X1247)+N(Y1247))</f>
        <v/>
      </c>
      <c r="AB1247" s="70">
        <f>IF($A1247="","",N(S1247)*'Paramètres'!$AA$9*IFERROR(INDEX('Paramètres'!$O$5:$O$7,MATCH(G1247,'Paramètres'!$N$5:$N$7,0)),0))</f>
        <v/>
      </c>
      <c r="AC1247" s="7" t="inlineStr">
        <is>
          <t>Clôturé</t>
        </is>
      </c>
      <c r="AD1247" s="69">
        <f>IF(OR($A1247="",Q1247=""),"",(Q1247-B1247)*24)</f>
        <v/>
      </c>
      <c r="AE1247" s="69">
        <f>IF(OR(Q1247="",R1247=""),"",(R1247-Q1247)*24)</f>
        <v/>
      </c>
      <c r="AF1247" s="77">
        <f>IF(OR($A1247="",B1247=""),"",YEAR(B1247))</f>
        <v/>
      </c>
      <c r="AG1247" s="77">
        <f>IF(OR($A1247="",B1247=""),"",MONTH(B1247))</f>
        <v/>
      </c>
    </row>
    <row r="1248">
      <c r="A1248" s="7" t="inlineStr">
        <is>
          <t>OT-2026-0393</t>
        </is>
      </c>
      <c r="B1248" s="75" t="n">
        <v>46199.45138888889</v>
      </c>
      <c r="C1248" s="7" t="inlineStr">
        <is>
          <t>Planning réglementaire</t>
        </is>
      </c>
      <c r="D1248" s="7" t="inlineStr">
        <is>
          <t>EQ-SOU-005</t>
        </is>
      </c>
      <c r="E1248" s="9">
        <f>IF(D1248="","",IFERROR(INDEX('Équipements'!$B$5:$B$304,MATCH(D1248,'Équipements'!$A$5:$A$304,0)),"Code inconnu"))</f>
        <v/>
      </c>
      <c r="F1248" s="9">
        <f>IF(D1248="","",IFERROR(INDEX('Équipements'!$D$5:$D$304,MATCH(D1248,'Équipements'!$A$5:$A$304,0)),""))</f>
        <v/>
      </c>
      <c r="G1248" s="9">
        <f>IF(D1248="","",IFERROR(INDEX('Équipements'!$K$5:$K$304,MATCH(D1248,'Équipements'!$A$5:$A$304,0)),""))</f>
        <v/>
      </c>
      <c r="H1248" s="7" t="inlineStr">
        <is>
          <t>Réglementaire</t>
        </is>
      </c>
      <c r="I1248" s="7" t="inlineStr">
        <is>
          <t>CR-023</t>
        </is>
      </c>
      <c r="J1248" s="7" t="inlineStr">
        <is>
          <t>Multi-technique</t>
        </is>
      </c>
      <c r="K1248" s="7" t="inlineStr">
        <is>
          <t>P2 - Haute</t>
        </is>
      </c>
      <c r="L1248" s="7" t="inlineStr">
        <is>
          <t>Contrôle annuel installation d'aspiration (ventilation)</t>
        </is>
      </c>
      <c r="M1248" s="7" t="n"/>
      <c r="N1248" s="7" t="inlineStr">
        <is>
          <t>Contrôle réalisé - aucune observation</t>
        </is>
      </c>
      <c r="O1248" s="7" t="inlineStr">
        <is>
          <t>Nadia Rousseau</t>
        </is>
      </c>
      <c r="P1248" s="65" t="n">
        <v>46220</v>
      </c>
      <c r="Q1248" s="75" t="n">
        <v>46220.42708333334</v>
      </c>
      <c r="R1248" s="75" t="n">
        <v>46220.46875</v>
      </c>
      <c r="S1248" s="76" t="n">
        <v>0</v>
      </c>
      <c r="T1248" s="76" t="n">
        <v>1</v>
      </c>
      <c r="U1248" s="70">
        <f>IF($A1248="","",IFERROR(INDEX('Techniciens'!$F$5:$F$44,MATCH(O1248,'Techniciens'!$B$5:$B$44,0)),'Paramètres'!$AA$10))</f>
        <v/>
      </c>
      <c r="V1248" s="70">
        <f>IF($A1248="","",IF(OR(AC1248="Demandé",AC1248="Planifié",AC1248="Annulé"),0,N(T1248)*N(U1248)))</f>
        <v/>
      </c>
      <c r="W1248" s="70">
        <f>IF($A1248="","",SUMIFS('Mouvements stock'!$H$5:$H$3004,'Mouvements stock'!$I$5:$I$3004,$A1248,'Mouvements stock'!$C$5:$C$3004,"Sortie")-SUMIFS('Mouvements stock'!$H$5:$H$3004,'Mouvements stock'!$I$5:$I$3004,$A1248,'Mouvements stock'!$C$5:$C$3004,"Retour"))</f>
        <v/>
      </c>
      <c r="X1248" s="66" t="n">
        <v>0</v>
      </c>
      <c r="Y1248" s="66" t="n">
        <v>600</v>
      </c>
      <c r="Z1248" s="7" t="inlineStr">
        <is>
          <t>CONTROLIS (organisme fictif)</t>
        </is>
      </c>
      <c r="AA1248" s="70">
        <f>IF($A1248="","",N(V1248)+N(W1248)+N(X1248)+N(Y1248))</f>
        <v/>
      </c>
      <c r="AB1248" s="70">
        <f>IF($A1248="","",N(S1248)*'Paramètres'!$AA$9*IFERROR(INDEX('Paramètres'!$O$5:$O$7,MATCH(G1248,'Paramètres'!$N$5:$N$7,0)),0))</f>
        <v/>
      </c>
      <c r="AC1248" s="7" t="inlineStr">
        <is>
          <t>Clôturé</t>
        </is>
      </c>
      <c r="AD1248" s="69">
        <f>IF(OR($A1248="",Q1248=""),"",(Q1248-B1248)*24)</f>
        <v/>
      </c>
      <c r="AE1248" s="69">
        <f>IF(OR(Q1248="",R1248=""),"",(R1248-Q1248)*24)</f>
        <v/>
      </c>
      <c r="AF1248" s="77">
        <f>IF(OR($A1248="",B1248=""),"",YEAR(B1248))</f>
        <v/>
      </c>
      <c r="AG1248" s="77">
        <f>IF(OR($A1248="",B1248=""),"",MONTH(B1248))</f>
        <v/>
      </c>
    </row>
    <row r="1249">
      <c r="A1249" s="7" t="inlineStr">
        <is>
          <t>OT-2026-0394</t>
        </is>
      </c>
      <c r="B1249" s="75" t="n">
        <v>46199.48958333334</v>
      </c>
      <c r="C1249" s="7" t="inlineStr">
        <is>
          <t>Plan préventif</t>
        </is>
      </c>
      <c r="D1249" s="7" t="inlineStr">
        <is>
          <t>EQ-UTI-010</t>
        </is>
      </c>
      <c r="E1249" s="9">
        <f>IF(D1249="","",IFERROR(INDEX('Équipements'!$B$5:$B$304,MATCH(D1249,'Équipements'!$A$5:$A$304,0)),"Code inconnu"))</f>
        <v/>
      </c>
      <c r="F1249" s="9">
        <f>IF(D1249="","",IFERROR(INDEX('Équipements'!$D$5:$D$304,MATCH(D1249,'Équipements'!$A$5:$A$304,0)),""))</f>
        <v/>
      </c>
      <c r="G1249" s="9">
        <f>IF(D1249="","",IFERROR(INDEX('Équipements'!$K$5:$K$304,MATCH(D1249,'Équipements'!$A$5:$A$304,0)),""))</f>
        <v/>
      </c>
      <c r="H1249" s="7" t="inlineStr">
        <is>
          <t>Préventif systématique</t>
        </is>
      </c>
      <c r="I1249" s="7" t="inlineStr">
        <is>
          <t>GP-104</t>
        </is>
      </c>
      <c r="J1249" s="7" t="inlineStr">
        <is>
          <t>Électrique</t>
        </is>
      </c>
      <c r="K1249" s="7" t="inlineStr">
        <is>
          <t>P3 - Normale</t>
        </is>
      </c>
      <c r="L1249" s="7" t="inlineStr">
        <is>
          <t>Essai mensuel à charge du groupe électrogène</t>
        </is>
      </c>
      <c r="M1249" s="7" t="n"/>
      <c r="N1249" s="7" t="inlineStr">
        <is>
          <t>Gamme réalisée - RAS</t>
        </is>
      </c>
      <c r="O1249" s="7" t="inlineStr">
        <is>
          <t>Julien Moreau</t>
        </is>
      </c>
      <c r="P1249" s="65" t="n">
        <v>46206.54166666666</v>
      </c>
      <c r="Q1249" s="75" t="n">
        <v>46206.26388888889</v>
      </c>
      <c r="R1249" s="75" t="n">
        <v>46206.32638888889</v>
      </c>
      <c r="S1249" s="76" t="n">
        <v>0</v>
      </c>
      <c r="T1249" s="76" t="n">
        <v>1.5</v>
      </c>
      <c r="U1249" s="70">
        <f>IF($A1249="","",IFERROR(INDEX('Techniciens'!$F$5:$F$44,MATCH(O1249,'Techniciens'!$B$5:$B$44,0)),'Paramètres'!$AA$10))</f>
        <v/>
      </c>
      <c r="V1249" s="70">
        <f>IF($A1249="","",IF(OR(AC1249="Demandé",AC1249="Planifié",AC1249="Annulé"),0,N(T1249)*N(U1249)))</f>
        <v/>
      </c>
      <c r="W1249" s="70">
        <f>IF($A1249="","",SUMIFS('Mouvements stock'!$H$5:$H$3004,'Mouvements stock'!$I$5:$I$3004,$A1249,'Mouvements stock'!$C$5:$C$3004,"Sortie")-SUMIFS('Mouvements stock'!$H$5:$H$3004,'Mouvements stock'!$I$5:$I$3004,$A1249,'Mouvements stock'!$C$5:$C$3004,"Retour"))</f>
        <v/>
      </c>
      <c r="X1249" s="66" t="n">
        <v>0</v>
      </c>
      <c r="Y1249" s="66" t="n">
        <v>0</v>
      </c>
      <c r="Z1249" s="7" t="n"/>
      <c r="AA1249" s="70">
        <f>IF($A1249="","",N(V1249)+N(W1249)+N(X1249)+N(Y1249))</f>
        <v/>
      </c>
      <c r="AB1249" s="70">
        <f>IF($A1249="","",N(S1249)*'Paramètres'!$AA$9*IFERROR(INDEX('Paramètres'!$O$5:$O$7,MATCH(G1249,'Paramètres'!$N$5:$N$7,0)),0))</f>
        <v/>
      </c>
      <c r="AC1249" s="7" t="inlineStr">
        <is>
          <t>Clôturé</t>
        </is>
      </c>
      <c r="AD1249" s="69">
        <f>IF(OR($A1249="",Q1249=""),"",(Q1249-B1249)*24)</f>
        <v/>
      </c>
      <c r="AE1249" s="69">
        <f>IF(OR(Q1249="",R1249=""),"",(R1249-Q1249)*24)</f>
        <v/>
      </c>
      <c r="AF1249" s="77">
        <f>IF(OR($A1249="",B1249=""),"",YEAR(B1249))</f>
        <v/>
      </c>
      <c r="AG1249" s="77">
        <f>IF(OR($A1249="",B1249=""),"",MONTH(B1249))</f>
        <v/>
      </c>
    </row>
    <row r="1250">
      <c r="A1250" s="7" t="inlineStr">
        <is>
          <t>OT-2026-0395</t>
        </is>
      </c>
      <c r="B1250" s="75" t="n">
        <v>46202.39583333334</v>
      </c>
      <c r="C1250" s="7" t="inlineStr">
        <is>
          <t>Plan préventif</t>
        </is>
      </c>
      <c r="D1250" s="7" t="inlineStr">
        <is>
          <t>EQ-LOG-004</t>
        </is>
      </c>
      <c r="E1250" s="9">
        <f>IF(D1250="","",IFERROR(INDEX('Équipements'!$B$5:$B$304,MATCH(D1250,'Équipements'!$A$5:$A$304,0)),"Code inconnu"))</f>
        <v/>
      </c>
      <c r="F1250" s="9">
        <f>IF(D1250="","",IFERROR(INDEX('Équipements'!$D$5:$D$304,MATCH(D1250,'Équipements'!$A$5:$A$304,0)),""))</f>
        <v/>
      </c>
      <c r="G1250" s="9">
        <f>IF(D1250="","",IFERROR(INDEX('Équipements'!$K$5:$K$304,MATCH(D1250,'Équipements'!$A$5:$A$304,0)),""))</f>
        <v/>
      </c>
      <c r="H1250" s="7" t="inlineStr">
        <is>
          <t>Préventif systématique</t>
        </is>
      </c>
      <c r="I1250" s="7" t="inlineStr">
        <is>
          <t>GP-112</t>
        </is>
      </c>
      <c r="J1250" s="7" t="inlineStr">
        <is>
          <t>Mécanique</t>
        </is>
      </c>
      <c r="K1250" s="7" t="inlineStr">
        <is>
          <t>P3 - Normale</t>
        </is>
      </c>
      <c r="L1250" s="7" t="inlineStr">
        <is>
          <t>Contrôle batterie, niveaux et bandages</t>
        </is>
      </c>
      <c r="M1250" s="7" t="n"/>
      <c r="N1250" s="7" t="inlineStr">
        <is>
          <t>Gamme réalisée - RAS</t>
        </is>
      </c>
      <c r="O1250" s="7" t="inlineStr">
        <is>
          <t>Karim Benali</t>
        </is>
      </c>
      <c r="P1250" s="65" t="n">
        <v>46209.40625</v>
      </c>
      <c r="Q1250" s="75" t="n">
        <v>46209.55208333334</v>
      </c>
      <c r="R1250" s="75" t="n">
        <v>46209.58333333334</v>
      </c>
      <c r="S1250" s="76" t="n">
        <v>0.8</v>
      </c>
      <c r="T1250" s="76" t="n">
        <v>0.75</v>
      </c>
      <c r="U1250" s="70">
        <f>IF($A1250="","",IFERROR(INDEX('Techniciens'!$F$5:$F$44,MATCH(O1250,'Techniciens'!$B$5:$B$44,0)),'Paramètres'!$AA$10))</f>
        <v/>
      </c>
      <c r="V1250" s="70">
        <f>IF($A1250="","",IF(OR(AC1250="Demandé",AC1250="Planifié",AC1250="Annulé"),0,N(T1250)*N(U1250)))</f>
        <v/>
      </c>
      <c r="W1250" s="70">
        <f>IF($A1250="","",SUMIFS('Mouvements stock'!$H$5:$H$3004,'Mouvements stock'!$I$5:$I$3004,$A1250,'Mouvements stock'!$C$5:$C$3004,"Sortie")-SUMIFS('Mouvements stock'!$H$5:$H$3004,'Mouvements stock'!$I$5:$I$3004,$A1250,'Mouvements stock'!$C$5:$C$3004,"Retour"))</f>
        <v/>
      </c>
      <c r="X1250" s="66" t="n">
        <v>0</v>
      </c>
      <c r="Y1250" s="66" t="n">
        <v>0</v>
      </c>
      <c r="Z1250" s="7" t="n"/>
      <c r="AA1250" s="70">
        <f>IF($A1250="","",N(V1250)+N(W1250)+N(X1250)+N(Y1250))</f>
        <v/>
      </c>
      <c r="AB1250" s="70">
        <f>IF($A1250="","",N(S1250)*'Paramètres'!$AA$9*IFERROR(INDEX('Paramètres'!$O$5:$O$7,MATCH(G1250,'Paramètres'!$N$5:$N$7,0)),0))</f>
        <v/>
      </c>
      <c r="AC1250" s="7" t="inlineStr">
        <is>
          <t>Clôturé</t>
        </is>
      </c>
      <c r="AD1250" s="69">
        <f>IF(OR($A1250="",Q1250=""),"",(Q1250-B1250)*24)</f>
        <v/>
      </c>
      <c r="AE1250" s="69">
        <f>IF(OR(Q1250="",R1250=""),"",(R1250-Q1250)*24)</f>
        <v/>
      </c>
      <c r="AF1250" s="77">
        <f>IF(OR($A1250="",B1250=""),"",YEAR(B1250))</f>
        <v/>
      </c>
      <c r="AG1250" s="77">
        <f>IF(OR($A1250="",B1250=""),"",MONTH(B1250))</f>
        <v/>
      </c>
    </row>
    <row r="1251">
      <c r="A1251" s="7" t="inlineStr">
        <is>
          <t>OT-2026-0396</t>
        </is>
      </c>
      <c r="B1251" s="75" t="n">
        <v>46202.39583333334</v>
      </c>
      <c r="C1251" s="7" t="inlineStr">
        <is>
          <t>Planning réglementaire</t>
        </is>
      </c>
      <c r="D1251" s="7" t="inlineStr">
        <is>
          <t>EQ-LOG-005</t>
        </is>
      </c>
      <c r="E1251" s="9">
        <f>IF(D1251="","",IFERROR(INDEX('Équipements'!$B$5:$B$304,MATCH(D1251,'Équipements'!$A$5:$A$304,0)),"Code inconnu"))</f>
        <v/>
      </c>
      <c r="F1251" s="9">
        <f>IF(D1251="","",IFERROR(INDEX('Équipements'!$D$5:$D$304,MATCH(D1251,'Équipements'!$A$5:$A$304,0)),""))</f>
        <v/>
      </c>
      <c r="G1251" s="9">
        <f>IF(D1251="","",IFERROR(INDEX('Équipements'!$K$5:$K$304,MATCH(D1251,'Équipements'!$A$5:$A$304,0)),""))</f>
        <v/>
      </c>
      <c r="H1251" s="7" t="inlineStr">
        <is>
          <t>Réglementaire</t>
        </is>
      </c>
      <c r="I1251" s="7" t="inlineStr">
        <is>
          <t>CR-008</t>
        </is>
      </c>
      <c r="J1251" s="7" t="inlineStr">
        <is>
          <t>Multi-technique</t>
        </is>
      </c>
      <c r="K1251" s="7" t="inlineStr">
        <is>
          <t>P2 - Haute</t>
        </is>
      </c>
      <c r="L1251" s="7" t="inlineStr">
        <is>
          <t>VGP plateforme élévatrice mobile de personnes</t>
        </is>
      </c>
      <c r="M1251" s="7" t="n"/>
      <c r="N1251" s="7" t="inlineStr">
        <is>
          <t>Contrôle réalisé - rapport reçu</t>
        </is>
      </c>
      <c r="O1251" s="7" t="inlineStr">
        <is>
          <t>Nadia Rousseau</t>
        </is>
      </c>
      <c r="P1251" s="65" t="n">
        <v>46223</v>
      </c>
      <c r="Q1251" s="75" t="n">
        <v>46223.5625</v>
      </c>
      <c r="R1251" s="75" t="n">
        <v>46223.61458333334</v>
      </c>
      <c r="S1251" s="76" t="n">
        <v>0</v>
      </c>
      <c r="T1251" s="76" t="n">
        <v>1.25</v>
      </c>
      <c r="U1251" s="70">
        <f>IF($A1251="","",IFERROR(INDEX('Techniciens'!$F$5:$F$44,MATCH(O1251,'Techniciens'!$B$5:$B$44,0)),'Paramètres'!$AA$10))</f>
        <v/>
      </c>
      <c r="V1251" s="70">
        <f>IF($A1251="","",IF(OR(AC1251="Demandé",AC1251="Planifié",AC1251="Annulé"),0,N(T1251)*N(U1251)))</f>
        <v/>
      </c>
      <c r="W1251" s="70">
        <f>IF($A1251="","",SUMIFS('Mouvements stock'!$H$5:$H$3004,'Mouvements stock'!$I$5:$I$3004,$A1251,'Mouvements stock'!$C$5:$C$3004,"Sortie")-SUMIFS('Mouvements stock'!$H$5:$H$3004,'Mouvements stock'!$I$5:$I$3004,$A1251,'Mouvements stock'!$C$5:$C$3004,"Retour"))</f>
        <v/>
      </c>
      <c r="X1251" s="66" t="n">
        <v>0</v>
      </c>
      <c r="Y1251" s="66" t="n">
        <v>140</v>
      </c>
      <c r="Z1251" s="7" t="inlineStr">
        <is>
          <t>CONTROLIS (organisme fictif)</t>
        </is>
      </c>
      <c r="AA1251" s="70">
        <f>IF($A1251="","",N(V1251)+N(W1251)+N(X1251)+N(Y1251))</f>
        <v/>
      </c>
      <c r="AB1251" s="70">
        <f>IF($A1251="","",N(S1251)*'Paramètres'!$AA$9*IFERROR(INDEX('Paramètres'!$O$5:$O$7,MATCH(G1251,'Paramètres'!$N$5:$N$7,0)),0))</f>
        <v/>
      </c>
      <c r="AC1251" s="7" t="inlineStr">
        <is>
          <t>Clôturé</t>
        </is>
      </c>
      <c r="AD1251" s="69">
        <f>IF(OR($A1251="",Q1251=""),"",(Q1251-B1251)*24)</f>
        <v/>
      </c>
      <c r="AE1251" s="69">
        <f>IF(OR(Q1251="",R1251=""),"",(R1251-Q1251)*24)</f>
        <v/>
      </c>
      <c r="AF1251" s="77">
        <f>IF(OR($A1251="",B1251=""),"",YEAR(B1251))</f>
        <v/>
      </c>
      <c r="AG1251" s="77">
        <f>IF(OR($A1251="",B1251=""),"",MONTH(B1251))</f>
        <v/>
      </c>
    </row>
    <row r="1252">
      <c r="A1252" s="7" t="inlineStr">
        <is>
          <t>OT-2026-0397</t>
        </is>
      </c>
      <c r="B1252" s="75" t="n">
        <v>46202.48611111111</v>
      </c>
      <c r="C1252" s="7" t="inlineStr">
        <is>
          <t>Plan préventif</t>
        </is>
      </c>
      <c r="D1252" s="7" t="inlineStr">
        <is>
          <t>EQ-USI-009</t>
        </is>
      </c>
      <c r="E1252" s="9">
        <f>IF(D1252="","",IFERROR(INDEX('Équipements'!$B$5:$B$304,MATCH(D1252,'Équipements'!$A$5:$A$304,0)),"Code inconnu"))</f>
        <v/>
      </c>
      <c r="F1252" s="9">
        <f>IF(D1252="","",IFERROR(INDEX('Équipements'!$D$5:$D$304,MATCH(D1252,'Équipements'!$A$5:$A$304,0)),""))</f>
        <v/>
      </c>
      <c r="G1252" s="9">
        <f>IF(D1252="","",IFERROR(INDEX('Équipements'!$K$5:$K$304,MATCH(D1252,'Équipements'!$A$5:$A$304,0)),""))</f>
        <v/>
      </c>
      <c r="H1252" s="7" t="inlineStr">
        <is>
          <t>Préventif systématique</t>
        </is>
      </c>
      <c r="I1252" s="7" t="inlineStr">
        <is>
          <t>GP-030</t>
        </is>
      </c>
      <c r="J1252" s="7" t="inlineStr">
        <is>
          <t>Mécanique</t>
        </is>
      </c>
      <c r="K1252" s="7" t="inlineStr">
        <is>
          <t>P3 - Normale</t>
        </is>
      </c>
      <c r="L1252" s="7" t="inlineStr">
        <is>
          <t>Contrôle lame, guides et liquide de coupe</t>
        </is>
      </c>
      <c r="M1252" s="7" t="n"/>
      <c r="N1252" s="7" t="inlineStr">
        <is>
          <t>Gamme réalisée - RAS</t>
        </is>
      </c>
      <c r="O1252" s="7" t="inlineStr">
        <is>
          <t>Karim Benali</t>
        </is>
      </c>
      <c r="P1252" s="65" t="n">
        <v>46209.50347222222</v>
      </c>
      <c r="Q1252" s="75" t="n">
        <v>46209.30555555555</v>
      </c>
      <c r="R1252" s="75" t="n">
        <v>46209.33680555555</v>
      </c>
      <c r="S1252" s="76" t="n">
        <v>0.4</v>
      </c>
      <c r="T1252" s="76" t="n">
        <v>0.75</v>
      </c>
      <c r="U1252" s="70">
        <f>IF($A1252="","",IFERROR(INDEX('Techniciens'!$F$5:$F$44,MATCH(O1252,'Techniciens'!$B$5:$B$44,0)),'Paramètres'!$AA$10))</f>
        <v/>
      </c>
      <c r="V1252" s="70">
        <f>IF($A1252="","",IF(OR(AC1252="Demandé",AC1252="Planifié",AC1252="Annulé"),0,N(T1252)*N(U1252)))</f>
        <v/>
      </c>
      <c r="W1252" s="70">
        <f>IF($A1252="","",SUMIFS('Mouvements stock'!$H$5:$H$3004,'Mouvements stock'!$I$5:$I$3004,$A1252,'Mouvements stock'!$C$5:$C$3004,"Sortie")-SUMIFS('Mouvements stock'!$H$5:$H$3004,'Mouvements stock'!$I$5:$I$3004,$A1252,'Mouvements stock'!$C$5:$C$3004,"Retour"))</f>
        <v/>
      </c>
      <c r="X1252" s="66" t="n">
        <v>0</v>
      </c>
      <c r="Y1252" s="66" t="n">
        <v>0</v>
      </c>
      <c r="Z1252" s="7" t="n"/>
      <c r="AA1252" s="70">
        <f>IF($A1252="","",N(V1252)+N(W1252)+N(X1252)+N(Y1252))</f>
        <v/>
      </c>
      <c r="AB1252" s="70">
        <f>IF($A1252="","",N(S1252)*'Paramètres'!$AA$9*IFERROR(INDEX('Paramètres'!$O$5:$O$7,MATCH(G1252,'Paramètres'!$N$5:$N$7,0)),0))</f>
        <v/>
      </c>
      <c r="AC1252" s="7" t="inlineStr">
        <is>
          <t>Clôturé</t>
        </is>
      </c>
      <c r="AD1252" s="69">
        <f>IF(OR($A1252="",Q1252=""),"",(Q1252-B1252)*24)</f>
        <v/>
      </c>
      <c r="AE1252" s="69">
        <f>IF(OR(Q1252="",R1252=""),"",(R1252-Q1252)*24)</f>
        <v/>
      </c>
      <c r="AF1252" s="77">
        <f>IF(OR($A1252="",B1252=""),"",YEAR(B1252))</f>
        <v/>
      </c>
      <c r="AG1252" s="77">
        <f>IF(OR($A1252="",B1252=""),"",MONTH(B1252))</f>
        <v/>
      </c>
    </row>
    <row r="1253">
      <c r="A1253" s="7" t="inlineStr">
        <is>
          <t>OT-2026-0398</t>
        </is>
      </c>
      <c r="B1253" s="75" t="n">
        <v>46203.41666666666</v>
      </c>
      <c r="C1253" s="7" t="inlineStr">
        <is>
          <t>Plan préventif</t>
        </is>
      </c>
      <c r="D1253" s="7" t="inlineStr">
        <is>
          <t>EQ-ASS-001</t>
        </is>
      </c>
      <c r="E1253" s="9">
        <f>IF(D1253="","",IFERROR(INDEX('Équipements'!$B$5:$B$304,MATCH(D1253,'Équipements'!$A$5:$A$304,0)),"Code inconnu"))</f>
        <v/>
      </c>
      <c r="F1253" s="9">
        <f>IF(D1253="","",IFERROR(INDEX('Équipements'!$D$5:$D$304,MATCH(D1253,'Équipements'!$A$5:$A$304,0)),""))</f>
        <v/>
      </c>
      <c r="G1253" s="9">
        <f>IF(D1253="","",IFERROR(INDEX('Équipements'!$K$5:$K$304,MATCH(D1253,'Équipements'!$A$5:$A$304,0)),""))</f>
        <v/>
      </c>
      <c r="H1253" s="7" t="inlineStr">
        <is>
          <t>Préventif systématique</t>
        </is>
      </c>
      <c r="I1253" s="7" t="inlineStr">
        <is>
          <t>GP-076</t>
        </is>
      </c>
      <c r="J1253" s="7" t="inlineStr">
        <is>
          <t>Mécanique</t>
        </is>
      </c>
      <c r="K1253" s="7" t="inlineStr">
        <is>
          <t>P3 - Normale</t>
        </is>
      </c>
      <c r="L1253" s="7" t="inlineStr">
        <is>
          <t>Graissage chaîne / galets et contrôle tension</t>
        </is>
      </c>
      <c r="M1253" s="7" t="n"/>
      <c r="N1253" s="7" t="inlineStr">
        <is>
          <t>Gamme réalisée - DI émise pour remplacement pièce</t>
        </is>
      </c>
      <c r="O1253" s="7" t="inlineStr">
        <is>
          <t>Lucas Fontaine</t>
        </is>
      </c>
      <c r="P1253" s="65" t="n">
        <v>46210.41666666666</v>
      </c>
      <c r="Q1253" s="75" t="n">
        <v>46210.38541666666</v>
      </c>
      <c r="R1253" s="75" t="n">
        <v>46210.47916666666</v>
      </c>
      <c r="S1253" s="76" t="n">
        <v>2.2</v>
      </c>
      <c r="T1253" s="76" t="n">
        <v>2.25</v>
      </c>
      <c r="U1253" s="70">
        <f>IF($A1253="","",IFERROR(INDEX('Techniciens'!$F$5:$F$44,MATCH(O1253,'Techniciens'!$B$5:$B$44,0)),'Paramètres'!$AA$10))</f>
        <v/>
      </c>
      <c r="V1253" s="70">
        <f>IF($A1253="","",IF(OR(AC1253="Demandé",AC1253="Planifié",AC1253="Annulé"),0,N(T1253)*N(U1253)))</f>
        <v/>
      </c>
      <c r="W1253" s="70">
        <f>IF($A1253="","",SUMIFS('Mouvements stock'!$H$5:$H$3004,'Mouvements stock'!$I$5:$I$3004,$A1253,'Mouvements stock'!$C$5:$C$3004,"Sortie")-SUMIFS('Mouvements stock'!$H$5:$H$3004,'Mouvements stock'!$I$5:$I$3004,$A1253,'Mouvements stock'!$C$5:$C$3004,"Retour"))</f>
        <v/>
      </c>
      <c r="X1253" s="66" t="n">
        <v>0</v>
      </c>
      <c r="Y1253" s="66" t="n">
        <v>0</v>
      </c>
      <c r="Z1253" s="7" t="n"/>
      <c r="AA1253" s="70">
        <f>IF($A1253="","",N(V1253)+N(W1253)+N(X1253)+N(Y1253))</f>
        <v/>
      </c>
      <c r="AB1253" s="70">
        <f>IF($A1253="","",N(S1253)*'Paramètres'!$AA$9*IFERROR(INDEX('Paramètres'!$O$5:$O$7,MATCH(G1253,'Paramètres'!$N$5:$N$7,0)),0))</f>
        <v/>
      </c>
      <c r="AC1253" s="7" t="inlineStr">
        <is>
          <t>Clôturé</t>
        </is>
      </c>
      <c r="AD1253" s="69">
        <f>IF(OR($A1253="",Q1253=""),"",(Q1253-B1253)*24)</f>
        <v/>
      </c>
      <c r="AE1253" s="69">
        <f>IF(OR(Q1253="",R1253=""),"",(R1253-Q1253)*24)</f>
        <v/>
      </c>
      <c r="AF1253" s="77">
        <f>IF(OR($A1253="",B1253=""),"",YEAR(B1253))</f>
        <v/>
      </c>
      <c r="AG1253" s="77">
        <f>IF(OR($A1253="",B1253=""),"",MONTH(B1253))</f>
        <v/>
      </c>
    </row>
    <row r="1254">
      <c r="A1254" s="7" t="inlineStr">
        <is>
          <t>OT-2026-0399</t>
        </is>
      </c>
      <c r="B1254" s="75" t="n">
        <v>46203.43055555555</v>
      </c>
      <c r="C1254" s="7" t="inlineStr">
        <is>
          <t>Plan préventif</t>
        </is>
      </c>
      <c r="D1254" s="7" t="inlineStr">
        <is>
          <t>EQ-USI-007</t>
        </is>
      </c>
      <c r="E1254" s="9">
        <f>IF(D1254="","",IFERROR(INDEX('Équipements'!$B$5:$B$304,MATCH(D1254,'Équipements'!$A$5:$A$304,0)),"Code inconnu"))</f>
        <v/>
      </c>
      <c r="F1254" s="9">
        <f>IF(D1254="","",IFERROR(INDEX('Équipements'!$D$5:$D$304,MATCH(D1254,'Équipements'!$A$5:$A$304,0)),""))</f>
        <v/>
      </c>
      <c r="G1254" s="9">
        <f>IF(D1254="","",IFERROR(INDEX('Équipements'!$K$5:$K$304,MATCH(D1254,'Équipements'!$A$5:$A$304,0)),""))</f>
        <v/>
      </c>
      <c r="H1254" s="7" t="inlineStr">
        <is>
          <t>Préventif systématique</t>
        </is>
      </c>
      <c r="I1254" s="7" t="inlineStr">
        <is>
          <t>GP-026</t>
        </is>
      </c>
      <c r="J1254" s="7" t="inlineStr">
        <is>
          <t>Mécanique</t>
        </is>
      </c>
      <c r="K1254" s="7" t="inlineStr">
        <is>
          <t>P3 - Normale</t>
        </is>
      </c>
      <c r="L1254" s="7" t="inlineStr">
        <is>
          <t>Contrôle géométrie, jeux et graissage des axes</t>
        </is>
      </c>
      <c r="M1254" s="7" t="n"/>
      <c r="N1254" s="7" t="inlineStr">
        <is>
          <t>Gamme réalisée - RAS</t>
        </is>
      </c>
      <c r="O1254" s="7" t="inlineStr">
        <is>
          <t>Karim Benali</t>
        </is>
      </c>
      <c r="P1254" s="65" t="n">
        <v>46210.78819444445</v>
      </c>
      <c r="Q1254" s="75" t="n">
        <v>46210.47916666666</v>
      </c>
      <c r="R1254" s="75" t="n">
        <v>46210.73958333334</v>
      </c>
      <c r="S1254" s="76" t="n">
        <v>0</v>
      </c>
      <c r="T1254" s="76" t="n">
        <v>6.25</v>
      </c>
      <c r="U1254" s="70">
        <f>IF($A1254="","",IFERROR(INDEX('Techniciens'!$F$5:$F$44,MATCH(O1254,'Techniciens'!$B$5:$B$44,0)),'Paramètres'!$AA$10))</f>
        <v/>
      </c>
      <c r="V1254" s="70">
        <f>IF($A1254="","",IF(OR(AC1254="Demandé",AC1254="Planifié",AC1254="Annulé"),0,N(T1254)*N(U1254)))</f>
        <v/>
      </c>
      <c r="W1254" s="70">
        <f>IF($A1254="","",SUMIFS('Mouvements stock'!$H$5:$H$3004,'Mouvements stock'!$I$5:$I$3004,$A1254,'Mouvements stock'!$C$5:$C$3004,"Sortie")-SUMIFS('Mouvements stock'!$H$5:$H$3004,'Mouvements stock'!$I$5:$I$3004,$A1254,'Mouvements stock'!$C$5:$C$3004,"Retour"))</f>
        <v/>
      </c>
      <c r="X1254" s="66" t="n">
        <v>0</v>
      </c>
      <c r="Y1254" s="66" t="n">
        <v>0</v>
      </c>
      <c r="Z1254" s="7" t="n"/>
      <c r="AA1254" s="70">
        <f>IF($A1254="","",N(V1254)+N(W1254)+N(X1254)+N(Y1254))</f>
        <v/>
      </c>
      <c r="AB1254" s="70">
        <f>IF($A1254="","",N(S1254)*'Paramètres'!$AA$9*IFERROR(INDEX('Paramètres'!$O$5:$O$7,MATCH(G1254,'Paramètres'!$N$5:$N$7,0)),0))</f>
        <v/>
      </c>
      <c r="AC1254" s="7" t="inlineStr">
        <is>
          <t>Clôturé</t>
        </is>
      </c>
      <c r="AD1254" s="69">
        <f>IF(OR($A1254="",Q1254=""),"",(Q1254-B1254)*24)</f>
        <v/>
      </c>
      <c r="AE1254" s="69">
        <f>IF(OR(Q1254="",R1254=""),"",(R1254-Q1254)*24)</f>
        <v/>
      </c>
      <c r="AF1254" s="77">
        <f>IF(OR($A1254="",B1254=""),"",YEAR(B1254))</f>
        <v/>
      </c>
      <c r="AG1254" s="77">
        <f>IF(OR($A1254="",B1254=""),"",MONTH(B1254))</f>
        <v/>
      </c>
    </row>
    <row r="1255">
      <c r="A1255" s="7" t="inlineStr">
        <is>
          <t>OT-2026-0400</t>
        </is>
      </c>
      <c r="B1255" s="75" t="n">
        <v>46203.45138888889</v>
      </c>
      <c r="C1255" s="7" t="inlineStr">
        <is>
          <t>Plan préventif</t>
        </is>
      </c>
      <c r="D1255" s="7" t="inlineStr">
        <is>
          <t>EQ-USI-001</t>
        </is>
      </c>
      <c r="E1255" s="9">
        <f>IF(D1255="","",IFERROR(INDEX('Équipements'!$B$5:$B$304,MATCH(D1255,'Équipements'!$A$5:$A$304,0)),"Code inconnu"))</f>
        <v/>
      </c>
      <c r="F1255" s="9">
        <f>IF(D1255="","",IFERROR(INDEX('Équipements'!$D$5:$D$304,MATCH(D1255,'Équipements'!$A$5:$A$304,0)),""))</f>
        <v/>
      </c>
      <c r="G1255" s="9">
        <f>IF(D1255="","",IFERROR(INDEX('Équipements'!$K$5:$K$304,MATCH(D1255,'Équipements'!$A$5:$A$304,0)),""))</f>
        <v/>
      </c>
      <c r="H1255" s="7" t="inlineStr">
        <is>
          <t>Préventif systématique</t>
        </is>
      </c>
      <c r="I1255" s="7" t="inlineStr">
        <is>
          <t>GP-001</t>
        </is>
      </c>
      <c r="J1255" s="7" t="inlineStr">
        <is>
          <t>Mécanique</t>
        </is>
      </c>
      <c r="K1255" s="7" t="inlineStr">
        <is>
          <t>P3 - Normale</t>
        </is>
      </c>
      <c r="L1255" s="7" t="inlineStr">
        <is>
          <t>Contrôle niveaux, nettoyage filtres et bac à copeaux</t>
        </is>
      </c>
      <c r="M1255" s="7" t="n"/>
      <c r="N1255" s="7" t="inlineStr">
        <is>
          <t>Gamme réalisée - RAS</t>
        </is>
      </c>
      <c r="O1255" s="7" t="inlineStr">
        <is>
          <t>Antoine Mercier</t>
        </is>
      </c>
      <c r="P1255" s="65" t="n">
        <v>46210.64583333334</v>
      </c>
      <c r="Q1255" s="75" t="n">
        <v>46210.40972222222</v>
      </c>
      <c r="R1255" s="75" t="n">
        <v>46210.46180555555</v>
      </c>
      <c r="S1255" s="76" t="n">
        <v>1.2</v>
      </c>
      <c r="T1255" s="76" t="n">
        <v>1.25</v>
      </c>
      <c r="U1255" s="70">
        <f>IF($A1255="","",IFERROR(INDEX('Techniciens'!$F$5:$F$44,MATCH(O1255,'Techniciens'!$B$5:$B$44,0)),'Paramètres'!$AA$10))</f>
        <v/>
      </c>
      <c r="V1255" s="70">
        <f>IF($A1255="","",IF(OR(AC1255="Demandé",AC1255="Planifié",AC1255="Annulé"),0,N(T1255)*N(U1255)))</f>
        <v/>
      </c>
      <c r="W1255" s="70">
        <f>IF($A1255="","",SUMIFS('Mouvements stock'!$H$5:$H$3004,'Mouvements stock'!$I$5:$I$3004,$A1255,'Mouvements stock'!$C$5:$C$3004,"Sortie")-SUMIFS('Mouvements stock'!$H$5:$H$3004,'Mouvements stock'!$I$5:$I$3004,$A1255,'Mouvements stock'!$C$5:$C$3004,"Retour"))</f>
        <v/>
      </c>
      <c r="X1255" s="66" t="n">
        <v>0</v>
      </c>
      <c r="Y1255" s="66" t="n">
        <v>0</v>
      </c>
      <c r="Z1255" s="7" t="n"/>
      <c r="AA1255" s="70">
        <f>IF($A1255="","",N(V1255)+N(W1255)+N(X1255)+N(Y1255))</f>
        <v/>
      </c>
      <c r="AB1255" s="70">
        <f>IF($A1255="","",N(S1255)*'Paramètres'!$AA$9*IFERROR(INDEX('Paramètres'!$O$5:$O$7,MATCH(G1255,'Paramètres'!$N$5:$N$7,0)),0))</f>
        <v/>
      </c>
      <c r="AC1255" s="7" t="inlineStr">
        <is>
          <t>Clôturé</t>
        </is>
      </c>
      <c r="AD1255" s="69">
        <f>IF(OR($A1255="",Q1255=""),"",(Q1255-B1255)*24)</f>
        <v/>
      </c>
      <c r="AE1255" s="69">
        <f>IF(OR(Q1255="",R1255=""),"",(R1255-Q1255)*24)</f>
        <v/>
      </c>
      <c r="AF1255" s="77">
        <f>IF(OR($A1255="",B1255=""),"",YEAR(B1255))</f>
        <v/>
      </c>
      <c r="AG1255" s="77">
        <f>IF(OR($A1255="",B1255=""),"",MONTH(B1255))</f>
        <v/>
      </c>
    </row>
    <row r="1256">
      <c r="A1256" s="7" t="inlineStr">
        <is>
          <t>OT-2026-0401</t>
        </is>
      </c>
      <c r="B1256" s="75" t="n">
        <v>46203.49305555555</v>
      </c>
      <c r="C1256" s="7" t="inlineStr">
        <is>
          <t>Plan préventif</t>
        </is>
      </c>
      <c r="D1256" s="7" t="inlineStr">
        <is>
          <t>EQ-TOL-002</t>
        </is>
      </c>
      <c r="E1256" s="9">
        <f>IF(D1256="","",IFERROR(INDEX('Équipements'!$B$5:$B$304,MATCH(D1256,'Équipements'!$A$5:$A$304,0)),"Code inconnu"))</f>
        <v/>
      </c>
      <c r="F1256" s="9">
        <f>IF(D1256="","",IFERROR(INDEX('Équipements'!$D$5:$D$304,MATCH(D1256,'Équipements'!$A$5:$A$304,0)),""))</f>
        <v/>
      </c>
      <c r="G1256" s="9">
        <f>IF(D1256="","",IFERROR(INDEX('Équipements'!$K$5:$K$304,MATCH(D1256,'Équipements'!$A$5:$A$304,0)),""))</f>
        <v/>
      </c>
      <c r="H1256" s="7" t="inlineStr">
        <is>
          <t>Préventif systématique</t>
        </is>
      </c>
      <c r="I1256" s="7" t="inlineStr">
        <is>
          <t>GP-041</t>
        </is>
      </c>
      <c r="J1256" s="7" t="inlineStr">
        <is>
          <t>Hydraulique</t>
        </is>
      </c>
      <c r="K1256" s="7" t="inlineStr">
        <is>
          <t>P3 - Normale</t>
        </is>
      </c>
      <c r="L1256" s="7" t="inlineStr">
        <is>
          <t>Contrôle hydraulique : fuites, niveaux, pressions</t>
        </is>
      </c>
      <c r="M1256" s="7" t="n"/>
      <c r="N1256" s="7" t="inlineStr">
        <is>
          <t>Gamme réalisée - RAS</t>
        </is>
      </c>
      <c r="O1256" s="7" t="inlineStr">
        <is>
          <t>Antoine Mercier</t>
        </is>
      </c>
      <c r="P1256" s="65" t="n">
        <v>46210.38541666666</v>
      </c>
      <c r="Q1256" s="75" t="n">
        <v>46210.49305555555</v>
      </c>
      <c r="R1256" s="75" t="n">
        <v>46210.56597222222</v>
      </c>
      <c r="S1256" s="76" t="n">
        <v>0</v>
      </c>
      <c r="T1256" s="76" t="n">
        <v>1.75</v>
      </c>
      <c r="U1256" s="70">
        <f>IF($A1256="","",IFERROR(INDEX('Techniciens'!$F$5:$F$44,MATCH(O1256,'Techniciens'!$B$5:$B$44,0)),'Paramètres'!$AA$10))</f>
        <v/>
      </c>
      <c r="V1256" s="70">
        <f>IF($A1256="","",IF(OR(AC1256="Demandé",AC1256="Planifié",AC1256="Annulé"),0,N(T1256)*N(U1256)))</f>
        <v/>
      </c>
      <c r="W1256" s="70">
        <f>IF($A1256="","",SUMIFS('Mouvements stock'!$H$5:$H$3004,'Mouvements stock'!$I$5:$I$3004,$A1256,'Mouvements stock'!$C$5:$C$3004,"Sortie")-SUMIFS('Mouvements stock'!$H$5:$H$3004,'Mouvements stock'!$I$5:$I$3004,$A1256,'Mouvements stock'!$C$5:$C$3004,"Retour"))</f>
        <v/>
      </c>
      <c r="X1256" s="66" t="n">
        <v>0</v>
      </c>
      <c r="Y1256" s="66" t="n">
        <v>0</v>
      </c>
      <c r="Z1256" s="7" t="n"/>
      <c r="AA1256" s="70">
        <f>IF($A1256="","",N(V1256)+N(W1256)+N(X1256)+N(Y1256))</f>
        <v/>
      </c>
      <c r="AB1256" s="70">
        <f>IF($A1256="","",N(S1256)*'Paramètres'!$AA$9*IFERROR(INDEX('Paramètres'!$O$5:$O$7,MATCH(G1256,'Paramètres'!$N$5:$N$7,0)),0))</f>
        <v/>
      </c>
      <c r="AC1256" s="7" t="inlineStr">
        <is>
          <t>Clôturé</t>
        </is>
      </c>
      <c r="AD1256" s="69">
        <f>IF(OR($A1256="",Q1256=""),"",(Q1256-B1256)*24)</f>
        <v/>
      </c>
      <c r="AE1256" s="69">
        <f>IF(OR(Q1256="",R1256=""),"",(R1256-Q1256)*24)</f>
        <v/>
      </c>
      <c r="AF1256" s="77">
        <f>IF(OR($A1256="",B1256=""),"",YEAR(B1256))</f>
        <v/>
      </c>
      <c r="AG1256" s="77">
        <f>IF(OR($A1256="",B1256=""),"",MONTH(B1256))</f>
        <v/>
      </c>
    </row>
    <row r="1257">
      <c r="A1257" s="7" t="inlineStr">
        <is>
          <t>OT-2026-0402</t>
        </is>
      </c>
      <c r="B1257" s="75" t="n">
        <v>46204.46875</v>
      </c>
      <c r="C1257" s="7" t="inlineStr">
        <is>
          <t>Plan préventif</t>
        </is>
      </c>
      <c r="D1257" s="7" t="inlineStr">
        <is>
          <t>EQ-USI-006</t>
        </is>
      </c>
      <c r="E1257" s="9">
        <f>IF(D1257="","",IFERROR(INDEX('Équipements'!$B$5:$B$304,MATCH(D1257,'Équipements'!$A$5:$A$304,0)),"Code inconnu"))</f>
        <v/>
      </c>
      <c r="F1257" s="9">
        <f>IF(D1257="","",IFERROR(INDEX('Équipements'!$D$5:$D$304,MATCH(D1257,'Équipements'!$A$5:$A$304,0)),""))</f>
        <v/>
      </c>
      <c r="G1257" s="9">
        <f>IF(D1257="","",IFERROR(INDEX('Équipements'!$K$5:$K$304,MATCH(D1257,'Équipements'!$A$5:$A$304,0)),""))</f>
        <v/>
      </c>
      <c r="H1257" s="7" t="inlineStr">
        <is>
          <t>Préventif systématique</t>
        </is>
      </c>
      <c r="I1257" s="7" t="inlineStr">
        <is>
          <t>GP-021</t>
        </is>
      </c>
      <c r="J1257" s="7" t="inlineStr">
        <is>
          <t>Mécanique</t>
        </is>
      </c>
      <c r="K1257" s="7" t="inlineStr">
        <is>
          <t>P3 - Normale</t>
        </is>
      </c>
      <c r="L1257" s="7" t="inlineStr">
        <is>
          <t>Contrôle niveaux, nettoyage filtres et bac à copeaux</t>
        </is>
      </c>
      <c r="M1257" s="7" t="n"/>
      <c r="N1257" s="7" t="inlineStr">
        <is>
          <t>Gamme réalisée - RAS</t>
        </is>
      </c>
      <c r="O1257" s="7" t="inlineStr">
        <is>
          <t>Lucas Fontaine</t>
        </is>
      </c>
      <c r="P1257" s="65" t="n">
        <v>46211.48958333334</v>
      </c>
      <c r="Q1257" s="75" t="n">
        <v>46211.28472222222</v>
      </c>
      <c r="R1257" s="75" t="n">
        <v>46211.33680555555</v>
      </c>
      <c r="S1257" s="76" t="n">
        <v>0</v>
      </c>
      <c r="T1257" s="76" t="n">
        <v>1.25</v>
      </c>
      <c r="U1257" s="70">
        <f>IF($A1257="","",IFERROR(INDEX('Techniciens'!$F$5:$F$44,MATCH(O1257,'Techniciens'!$B$5:$B$44,0)),'Paramètres'!$AA$10))</f>
        <v/>
      </c>
      <c r="V1257" s="70">
        <f>IF($A1257="","",IF(OR(AC1257="Demandé",AC1257="Planifié",AC1257="Annulé"),0,N(T1257)*N(U1257)))</f>
        <v/>
      </c>
      <c r="W1257" s="70">
        <f>IF($A1257="","",SUMIFS('Mouvements stock'!$H$5:$H$3004,'Mouvements stock'!$I$5:$I$3004,$A1257,'Mouvements stock'!$C$5:$C$3004,"Sortie")-SUMIFS('Mouvements stock'!$H$5:$H$3004,'Mouvements stock'!$I$5:$I$3004,$A1257,'Mouvements stock'!$C$5:$C$3004,"Retour"))</f>
        <v/>
      </c>
      <c r="X1257" s="66" t="n">
        <v>0</v>
      </c>
      <c r="Y1257" s="66" t="n">
        <v>0</v>
      </c>
      <c r="Z1257" s="7" t="n"/>
      <c r="AA1257" s="70">
        <f>IF($A1257="","",N(V1257)+N(W1257)+N(X1257)+N(Y1257))</f>
        <v/>
      </c>
      <c r="AB1257" s="70">
        <f>IF($A1257="","",N(S1257)*'Paramètres'!$AA$9*IFERROR(INDEX('Paramètres'!$O$5:$O$7,MATCH(G1257,'Paramètres'!$N$5:$N$7,0)),0))</f>
        <v/>
      </c>
      <c r="AC1257" s="7" t="inlineStr">
        <is>
          <t>Clôturé</t>
        </is>
      </c>
      <c r="AD1257" s="69">
        <f>IF(OR($A1257="",Q1257=""),"",(Q1257-B1257)*24)</f>
        <v/>
      </c>
      <c r="AE1257" s="69">
        <f>IF(OR(Q1257="",R1257=""),"",(R1257-Q1257)*24)</f>
        <v/>
      </c>
      <c r="AF1257" s="77">
        <f>IF(OR($A1257="",B1257=""),"",YEAR(B1257))</f>
        <v/>
      </c>
      <c r="AG1257" s="77">
        <f>IF(OR($A1257="",B1257=""),"",MONTH(B1257))</f>
        <v/>
      </c>
    </row>
    <row r="1258">
      <c r="A1258" s="7" t="inlineStr">
        <is>
          <t>OT-2026-0403</t>
        </is>
      </c>
      <c r="B1258" s="75" t="n">
        <v>46204.525</v>
      </c>
      <c r="C1258" s="7" t="inlineStr">
        <is>
          <t>Éric Laurent (chef d'atelier)</t>
        </is>
      </c>
      <c r="D1258" s="7" t="inlineStr">
        <is>
          <t>EQ-USI-012</t>
        </is>
      </c>
      <c r="E1258" s="9">
        <f>IF(D1258="","",IFERROR(INDEX('Équipements'!$B$5:$B$304,MATCH(D1258,'Équipements'!$A$5:$A$304,0)),"Code inconnu"))</f>
        <v/>
      </c>
      <c r="F1258" s="9">
        <f>IF(D1258="","",IFERROR(INDEX('Équipements'!$D$5:$D$304,MATCH(D1258,'Équipements'!$A$5:$A$304,0)),""))</f>
        <v/>
      </c>
      <c r="G1258" s="9">
        <f>IF(D1258="","",IFERROR(INDEX('Équipements'!$K$5:$K$304,MATCH(D1258,'Équipements'!$A$5:$A$304,0)),""))</f>
        <v/>
      </c>
      <c r="H1258" s="7" t="inlineStr">
        <is>
          <t>Correctif</t>
        </is>
      </c>
      <c r="I1258" s="7" t="n"/>
      <c r="J1258" s="7" t="inlineStr">
        <is>
          <t>Électrique</t>
        </is>
      </c>
      <c r="K1258" s="7" t="inlineStr">
        <is>
          <t>P2 - Haute</t>
        </is>
      </c>
      <c r="L1258" s="7" t="inlineStr">
        <is>
          <t>Alarme batterie codeurs</t>
        </is>
      </c>
      <c r="M1258" s="7" t="inlineStr">
        <is>
          <t>Cause inconnue</t>
        </is>
      </c>
      <c r="N1258" s="7" t="inlineStr">
        <is>
          <t>Remplacement batteries codeurs, sauvegarde programmes</t>
        </is>
      </c>
      <c r="O1258" s="7" t="inlineStr">
        <is>
          <t>Antoine Mercier</t>
        </is>
      </c>
      <c r="P1258" s="65" t="n"/>
      <c r="Q1258" s="75" t="n">
        <v>46204.62847222222</v>
      </c>
      <c r="R1258" s="75" t="n">
        <v>46204.78472222222</v>
      </c>
      <c r="S1258" s="76" t="n">
        <v>0</v>
      </c>
      <c r="T1258" s="76" t="n">
        <v>3.75</v>
      </c>
      <c r="U1258" s="70">
        <f>IF($A1258="","",IFERROR(INDEX('Techniciens'!$F$5:$F$44,MATCH(O1258,'Techniciens'!$B$5:$B$44,0)),'Paramètres'!$AA$10))</f>
        <v/>
      </c>
      <c r="V1258" s="70">
        <f>IF($A1258="","",IF(OR(AC1258="Demandé",AC1258="Planifié",AC1258="Annulé"),0,N(T1258)*N(U1258)))</f>
        <v/>
      </c>
      <c r="W1258" s="70">
        <f>IF($A1258="","",SUMIFS('Mouvements stock'!$H$5:$H$3004,'Mouvements stock'!$I$5:$I$3004,$A1258,'Mouvements stock'!$C$5:$C$3004,"Sortie")-SUMIFS('Mouvements stock'!$H$5:$H$3004,'Mouvements stock'!$I$5:$I$3004,$A1258,'Mouvements stock'!$C$5:$C$3004,"Retour"))</f>
        <v/>
      </c>
      <c r="X1258" s="66" t="n">
        <v>0</v>
      </c>
      <c r="Y1258" s="66" t="n">
        <v>0</v>
      </c>
      <c r="Z1258" s="7" t="n"/>
      <c r="AA1258" s="70">
        <f>IF($A1258="","",N(V1258)+N(W1258)+N(X1258)+N(Y1258))</f>
        <v/>
      </c>
      <c r="AB1258" s="70">
        <f>IF($A1258="","",N(S1258)*'Paramètres'!$AA$9*IFERROR(INDEX('Paramètres'!$O$5:$O$7,MATCH(G1258,'Paramètres'!$N$5:$N$7,0)),0))</f>
        <v/>
      </c>
      <c r="AC1258" s="7" t="inlineStr">
        <is>
          <t>Clôturé</t>
        </is>
      </c>
      <c r="AD1258" s="69">
        <f>IF(OR($A1258="",Q1258=""),"",(Q1258-B1258)*24)</f>
        <v/>
      </c>
      <c r="AE1258" s="69">
        <f>IF(OR(Q1258="",R1258=""),"",(R1258-Q1258)*24)</f>
        <v/>
      </c>
      <c r="AF1258" s="77">
        <f>IF(OR($A1258="",B1258=""),"",YEAR(B1258))</f>
        <v/>
      </c>
      <c r="AG1258" s="77">
        <f>IF(OR($A1258="",B1258=""),"",MONTH(B1258))</f>
        <v/>
      </c>
    </row>
    <row r="1259">
      <c r="A1259" s="7" t="inlineStr">
        <is>
          <t>OT-2026-0404</t>
        </is>
      </c>
      <c r="B1259" s="75" t="n">
        <v>46204.82777777778</v>
      </c>
      <c r="C1259" s="7" t="inlineStr">
        <is>
          <t>Hugo Blanc (chef d'équipe)</t>
        </is>
      </c>
      <c r="D1259" s="7" t="inlineStr">
        <is>
          <t>EQ-SOU-001</t>
        </is>
      </c>
      <c r="E1259" s="9">
        <f>IF(D1259="","",IFERROR(INDEX('Équipements'!$B$5:$B$304,MATCH(D1259,'Équipements'!$A$5:$A$304,0)),"Code inconnu"))</f>
        <v/>
      </c>
      <c r="F1259" s="9">
        <f>IF(D1259="","",IFERROR(INDEX('Équipements'!$D$5:$D$304,MATCH(D1259,'Équipements'!$A$5:$A$304,0)),""))</f>
        <v/>
      </c>
      <c r="G1259" s="9">
        <f>IF(D1259="","",IFERROR(INDEX('Équipements'!$K$5:$K$304,MATCH(D1259,'Équipements'!$A$5:$A$304,0)),""))</f>
        <v/>
      </c>
      <c r="H1259" s="7" t="inlineStr">
        <is>
          <t>Correctif</t>
        </is>
      </c>
      <c r="I1259" s="7" t="n"/>
      <c r="J1259" s="7" t="inlineStr">
        <is>
          <t>Automatisme</t>
        </is>
      </c>
      <c r="K1259" s="7" t="inlineStr">
        <is>
          <t>P1 - Urgent</t>
        </is>
      </c>
      <c r="L1259" s="7" t="inlineStr">
        <is>
          <t>Défaut préhenseur / capteur de présence pièce</t>
        </is>
      </c>
      <c r="M1259" s="7" t="inlineStr">
        <is>
          <t>Défaut capteur</t>
        </is>
      </c>
      <c r="N1259" s="7" t="inlineStr">
        <is>
          <t>Remplacement détecteur, réglage préhenseur</t>
        </is>
      </c>
      <c r="O1259" s="7" t="inlineStr">
        <is>
          <t>Julien Moreau</t>
        </is>
      </c>
      <c r="P1259" s="65" t="n"/>
      <c r="Q1259" s="75" t="n">
        <v>46204.84236111111</v>
      </c>
      <c r="R1259" s="75" t="n">
        <v>46205.00902777778</v>
      </c>
      <c r="S1259" s="76" t="n">
        <v>4.4</v>
      </c>
      <c r="T1259" s="76" t="n">
        <v>4</v>
      </c>
      <c r="U1259" s="70">
        <f>IF($A1259="","",IFERROR(INDEX('Techniciens'!$F$5:$F$44,MATCH(O1259,'Techniciens'!$B$5:$B$44,0)),'Paramètres'!$AA$10))</f>
        <v/>
      </c>
      <c r="V1259" s="70">
        <f>IF($A1259="","",IF(OR(AC1259="Demandé",AC1259="Planifié",AC1259="Annulé"),0,N(T1259)*N(U1259)))</f>
        <v/>
      </c>
      <c r="W1259" s="70">
        <f>IF($A1259="","",SUMIFS('Mouvements stock'!$H$5:$H$3004,'Mouvements stock'!$I$5:$I$3004,$A1259,'Mouvements stock'!$C$5:$C$3004,"Sortie")-SUMIFS('Mouvements stock'!$H$5:$H$3004,'Mouvements stock'!$I$5:$I$3004,$A1259,'Mouvements stock'!$C$5:$C$3004,"Retour"))</f>
        <v/>
      </c>
      <c r="X1259" s="66" t="n">
        <v>0</v>
      </c>
      <c r="Y1259" s="66" t="n">
        <v>0</v>
      </c>
      <c r="Z1259" s="7" t="n"/>
      <c r="AA1259" s="70">
        <f>IF($A1259="","",N(V1259)+N(W1259)+N(X1259)+N(Y1259))</f>
        <v/>
      </c>
      <c r="AB1259" s="70">
        <f>IF($A1259="","",N(S1259)*'Paramètres'!$AA$9*IFERROR(INDEX('Paramètres'!$O$5:$O$7,MATCH(G1259,'Paramètres'!$N$5:$N$7,0)),0))</f>
        <v/>
      </c>
      <c r="AC1259" s="7" t="inlineStr">
        <is>
          <t>Clôturé</t>
        </is>
      </c>
      <c r="AD1259" s="69">
        <f>IF(OR($A1259="",Q1259=""),"",(Q1259-B1259)*24)</f>
        <v/>
      </c>
      <c r="AE1259" s="69">
        <f>IF(OR(Q1259="",R1259=""),"",(R1259-Q1259)*24)</f>
        <v/>
      </c>
      <c r="AF1259" s="77">
        <f>IF(OR($A1259="",B1259=""),"",YEAR(B1259))</f>
        <v/>
      </c>
      <c r="AG1259" s="77">
        <f>IF(OR($A1259="",B1259=""),"",MONTH(B1259))</f>
        <v/>
      </c>
    </row>
    <row r="1260">
      <c r="A1260" s="7" t="inlineStr">
        <is>
          <t>OT-2026-0405</t>
        </is>
      </c>
      <c r="B1260" s="75" t="n">
        <v>46205.46527777778</v>
      </c>
      <c r="C1260" s="7" t="inlineStr">
        <is>
          <t>Plan préventif</t>
        </is>
      </c>
      <c r="D1260" s="7" t="inlineStr">
        <is>
          <t>EQ-LOG-008</t>
        </is>
      </c>
      <c r="E1260" s="9">
        <f>IF(D1260="","",IFERROR(INDEX('Équipements'!$B$5:$B$304,MATCH(D1260,'Équipements'!$A$5:$A$304,0)),"Code inconnu"))</f>
        <v/>
      </c>
      <c r="F1260" s="9">
        <f>IF(D1260="","",IFERROR(INDEX('Équipements'!$D$5:$D$304,MATCH(D1260,'Équipements'!$A$5:$A$304,0)),""))</f>
        <v/>
      </c>
      <c r="G1260" s="9">
        <f>IF(D1260="","",IFERROR(INDEX('Équipements'!$K$5:$K$304,MATCH(D1260,'Équipements'!$A$5:$A$304,0)),""))</f>
        <v/>
      </c>
      <c r="H1260" s="7" t="inlineStr">
        <is>
          <t>Préventif systématique</t>
        </is>
      </c>
      <c r="I1260" s="7" t="inlineStr">
        <is>
          <t>GP-119</t>
        </is>
      </c>
      <c r="J1260" s="7" t="inlineStr">
        <is>
          <t>Mécanique</t>
        </is>
      </c>
      <c r="K1260" s="7" t="inlineStr">
        <is>
          <t>P3 - Normale</t>
        </is>
      </c>
      <c r="L1260" s="7" t="inlineStr">
        <is>
          <t>Contrôle câbles, crochets, freins et fins de course</t>
        </is>
      </c>
      <c r="M1260" s="7" t="n"/>
      <c r="N1260" s="7" t="inlineStr">
        <is>
          <t>Gamme réalisée - RAS</t>
        </is>
      </c>
      <c r="O1260" s="7" t="inlineStr">
        <is>
          <t>Karim Benali</t>
        </is>
      </c>
      <c r="P1260" s="65" t="n">
        <v>46212.53125</v>
      </c>
      <c r="Q1260" s="75" t="n">
        <v>46212.61458333334</v>
      </c>
      <c r="R1260" s="75" t="n">
        <v>46212.76041666666</v>
      </c>
      <c r="S1260" s="76" t="n">
        <v>0</v>
      </c>
      <c r="T1260" s="76" t="n">
        <v>3.5</v>
      </c>
      <c r="U1260" s="70">
        <f>IF($A1260="","",IFERROR(INDEX('Techniciens'!$F$5:$F$44,MATCH(O1260,'Techniciens'!$B$5:$B$44,0)),'Paramètres'!$AA$10))</f>
        <v/>
      </c>
      <c r="V1260" s="70">
        <f>IF($A1260="","",IF(OR(AC1260="Demandé",AC1260="Planifié",AC1260="Annulé"),0,N(T1260)*N(U1260)))</f>
        <v/>
      </c>
      <c r="W1260" s="70">
        <f>IF($A1260="","",SUMIFS('Mouvements stock'!$H$5:$H$3004,'Mouvements stock'!$I$5:$I$3004,$A1260,'Mouvements stock'!$C$5:$C$3004,"Sortie")-SUMIFS('Mouvements stock'!$H$5:$H$3004,'Mouvements stock'!$I$5:$I$3004,$A1260,'Mouvements stock'!$C$5:$C$3004,"Retour"))</f>
        <v/>
      </c>
      <c r="X1260" s="66" t="n">
        <v>0</v>
      </c>
      <c r="Y1260" s="66" t="n">
        <v>0</v>
      </c>
      <c r="Z1260" s="7" t="n"/>
      <c r="AA1260" s="70">
        <f>IF($A1260="","",N(V1260)+N(W1260)+N(X1260)+N(Y1260))</f>
        <v/>
      </c>
      <c r="AB1260" s="70">
        <f>IF($A1260="","",N(S1260)*'Paramètres'!$AA$9*IFERROR(INDEX('Paramètres'!$O$5:$O$7,MATCH(G1260,'Paramètres'!$N$5:$N$7,0)),0))</f>
        <v/>
      </c>
      <c r="AC1260" s="7" t="inlineStr">
        <is>
          <t>Clôturé</t>
        </is>
      </c>
      <c r="AD1260" s="69">
        <f>IF(OR($A1260="",Q1260=""),"",(Q1260-B1260)*24)</f>
        <v/>
      </c>
      <c r="AE1260" s="69">
        <f>IF(OR(Q1260="",R1260=""),"",(R1260-Q1260)*24)</f>
        <v/>
      </c>
      <c r="AF1260" s="77">
        <f>IF(OR($A1260="",B1260=""),"",YEAR(B1260))</f>
        <v/>
      </c>
      <c r="AG1260" s="77">
        <f>IF(OR($A1260="",B1260=""),"",MONTH(B1260))</f>
        <v/>
      </c>
    </row>
    <row r="1261">
      <c r="A1261" s="7" t="inlineStr">
        <is>
          <t>OT-2026-0406</t>
        </is>
      </c>
      <c r="B1261" s="75" t="n">
        <v>46205.54722222222</v>
      </c>
      <c r="C1261" s="7" t="inlineStr">
        <is>
          <t>Sylvie Mathieu (resp. logistique)</t>
        </is>
      </c>
      <c r="D1261" s="7" t="inlineStr">
        <is>
          <t>EQ-LOG-003</t>
        </is>
      </c>
      <c r="E1261" s="9">
        <f>IF(D1261="","",IFERROR(INDEX('Équipements'!$B$5:$B$304,MATCH(D1261,'Équipements'!$A$5:$A$304,0)),"Code inconnu"))</f>
        <v/>
      </c>
      <c r="F1261" s="9">
        <f>IF(D1261="","",IFERROR(INDEX('Équipements'!$D$5:$D$304,MATCH(D1261,'Équipements'!$A$5:$A$304,0)),""))</f>
        <v/>
      </c>
      <c r="G1261" s="9">
        <f>IF(D1261="","",IFERROR(INDEX('Équipements'!$K$5:$K$304,MATCH(D1261,'Équipements'!$A$5:$A$304,0)),""))</f>
        <v/>
      </c>
      <c r="H1261" s="7" t="inlineStr">
        <is>
          <t>Correctif</t>
        </is>
      </c>
      <c r="I1261" s="7" t="n"/>
      <c r="J1261" s="7" t="inlineStr">
        <is>
          <t>Mécanique</t>
        </is>
      </c>
      <c r="K1261" s="7" t="inlineStr">
        <is>
          <t>P3 - Normale</t>
        </is>
      </c>
      <c r="L1261" s="7" t="inlineStr">
        <is>
          <t>Freinage inefficace</t>
        </is>
      </c>
      <c r="M1261" s="7" t="inlineStr">
        <is>
          <t>Usure</t>
        </is>
      </c>
      <c r="N1261" s="7" t="inlineStr">
        <is>
          <t>Remplacement garnitures de frein</t>
        </is>
      </c>
      <c r="O1261" s="7" t="inlineStr">
        <is>
          <t>Lucas Fontaine</t>
        </is>
      </c>
      <c r="P1261" s="65" t="n"/>
      <c r="Q1261" s="75" t="n">
        <v>46207.16875</v>
      </c>
      <c r="R1261" s="75" t="n">
        <v>46207.46041666667</v>
      </c>
      <c r="S1261" s="76" t="n">
        <v>0</v>
      </c>
      <c r="T1261" s="76" t="n">
        <v>7</v>
      </c>
      <c r="U1261" s="70">
        <f>IF($A1261="","",IFERROR(INDEX('Techniciens'!$F$5:$F$44,MATCH(O1261,'Techniciens'!$B$5:$B$44,0)),'Paramètres'!$AA$10))</f>
        <v/>
      </c>
      <c r="V1261" s="70">
        <f>IF($A1261="","",IF(OR(AC1261="Demandé",AC1261="Planifié",AC1261="Annulé"),0,N(T1261)*N(U1261)))</f>
        <v/>
      </c>
      <c r="W1261" s="70">
        <f>IF($A1261="","",SUMIFS('Mouvements stock'!$H$5:$H$3004,'Mouvements stock'!$I$5:$I$3004,$A1261,'Mouvements stock'!$C$5:$C$3004,"Sortie")-SUMIFS('Mouvements stock'!$H$5:$H$3004,'Mouvements stock'!$I$5:$I$3004,$A1261,'Mouvements stock'!$C$5:$C$3004,"Retour"))</f>
        <v/>
      </c>
      <c r="X1261" s="66" t="n">
        <v>0</v>
      </c>
      <c r="Y1261" s="66" t="n">
        <v>0</v>
      </c>
      <c r="Z1261" s="7" t="n"/>
      <c r="AA1261" s="70">
        <f>IF($A1261="","",N(V1261)+N(W1261)+N(X1261)+N(Y1261))</f>
        <v/>
      </c>
      <c r="AB1261" s="70">
        <f>IF($A1261="","",N(S1261)*'Paramètres'!$AA$9*IFERROR(INDEX('Paramètres'!$O$5:$O$7,MATCH(G1261,'Paramètres'!$N$5:$N$7,0)),0))</f>
        <v/>
      </c>
      <c r="AC1261" s="7" t="inlineStr">
        <is>
          <t>Clôturé</t>
        </is>
      </c>
      <c r="AD1261" s="69">
        <f>IF(OR($A1261="",Q1261=""),"",(Q1261-B1261)*24)</f>
        <v/>
      </c>
      <c r="AE1261" s="69">
        <f>IF(OR(Q1261="",R1261=""),"",(R1261-Q1261)*24)</f>
        <v/>
      </c>
      <c r="AF1261" s="77">
        <f>IF(OR($A1261="",B1261=""),"",YEAR(B1261))</f>
        <v/>
      </c>
      <c r="AG1261" s="77">
        <f>IF(OR($A1261="",B1261=""),"",MONTH(B1261))</f>
        <v/>
      </c>
    </row>
    <row r="1262">
      <c r="A1262" s="7" t="inlineStr">
        <is>
          <t>OT-2026-0407</t>
        </is>
      </c>
      <c r="B1262" s="75" t="n">
        <v>46206.36805555555</v>
      </c>
      <c r="C1262" s="7" t="inlineStr">
        <is>
          <t>Plan préventif</t>
        </is>
      </c>
      <c r="D1262" s="7" t="inlineStr">
        <is>
          <t>EQ-PEI-003</t>
        </is>
      </c>
      <c r="E1262" s="9">
        <f>IF(D1262="","",IFERROR(INDEX('Équipements'!$B$5:$B$304,MATCH(D1262,'Équipements'!$A$5:$A$304,0)),"Code inconnu"))</f>
        <v/>
      </c>
      <c r="F1262" s="9">
        <f>IF(D1262="","",IFERROR(INDEX('Équipements'!$D$5:$D$304,MATCH(D1262,'Équipements'!$A$5:$A$304,0)),""))</f>
        <v/>
      </c>
      <c r="G1262" s="9">
        <f>IF(D1262="","",IFERROR(INDEX('Équipements'!$K$5:$K$304,MATCH(D1262,'Équipements'!$A$5:$A$304,0)),""))</f>
        <v/>
      </c>
      <c r="H1262" s="7" t="inlineStr">
        <is>
          <t>Préventif systématique</t>
        </is>
      </c>
      <c r="I1262" s="7" t="inlineStr">
        <is>
          <t>GP-070</t>
        </is>
      </c>
      <c r="J1262" s="7" t="inlineStr">
        <is>
          <t>Mécanique</t>
        </is>
      </c>
      <c r="K1262" s="7" t="inlineStr">
        <is>
          <t>P3 - Normale</t>
        </is>
      </c>
      <c r="L1262" s="7" t="inlineStr">
        <is>
          <t>Nettoyage et remplacement des filtres</t>
        </is>
      </c>
      <c r="M1262" s="7" t="n"/>
      <c r="N1262" s="7" t="inlineStr">
        <is>
          <t>Gamme réalisée - RAS</t>
        </is>
      </c>
      <c r="O1262" s="7" t="inlineStr">
        <is>
          <t>Antoine Mercier</t>
        </is>
      </c>
      <c r="P1262" s="65" t="n">
        <v>46213.69444444445</v>
      </c>
      <c r="Q1262" s="75" t="n">
        <v>46213.57291666666</v>
      </c>
      <c r="R1262" s="75" t="n">
        <v>46213.72916666666</v>
      </c>
      <c r="S1262" s="76" t="n">
        <v>0</v>
      </c>
      <c r="T1262" s="76" t="n">
        <v>3.75</v>
      </c>
      <c r="U1262" s="70">
        <f>IF($A1262="","",IFERROR(INDEX('Techniciens'!$F$5:$F$44,MATCH(O1262,'Techniciens'!$B$5:$B$44,0)),'Paramètres'!$AA$10))</f>
        <v/>
      </c>
      <c r="V1262" s="70">
        <f>IF($A1262="","",IF(OR(AC1262="Demandé",AC1262="Planifié",AC1262="Annulé"),0,N(T1262)*N(U1262)))</f>
        <v/>
      </c>
      <c r="W1262" s="70">
        <f>IF($A1262="","",SUMIFS('Mouvements stock'!$H$5:$H$3004,'Mouvements stock'!$I$5:$I$3004,$A1262,'Mouvements stock'!$C$5:$C$3004,"Sortie")-SUMIFS('Mouvements stock'!$H$5:$H$3004,'Mouvements stock'!$I$5:$I$3004,$A1262,'Mouvements stock'!$C$5:$C$3004,"Retour"))</f>
        <v/>
      </c>
      <c r="X1262" s="66" t="n">
        <v>0</v>
      </c>
      <c r="Y1262" s="66" t="n">
        <v>0</v>
      </c>
      <c r="Z1262" s="7" t="n"/>
      <c r="AA1262" s="70">
        <f>IF($A1262="","",N(V1262)+N(W1262)+N(X1262)+N(Y1262))</f>
        <v/>
      </c>
      <c r="AB1262" s="70">
        <f>IF($A1262="","",N(S1262)*'Paramètres'!$AA$9*IFERROR(INDEX('Paramètres'!$O$5:$O$7,MATCH(G1262,'Paramètres'!$N$5:$N$7,0)),0))</f>
        <v/>
      </c>
      <c r="AC1262" s="7" t="inlineStr">
        <is>
          <t>Clôturé</t>
        </is>
      </c>
      <c r="AD1262" s="69">
        <f>IF(OR($A1262="",Q1262=""),"",(Q1262-B1262)*24)</f>
        <v/>
      </c>
      <c r="AE1262" s="69">
        <f>IF(OR(Q1262="",R1262=""),"",(R1262-Q1262)*24)</f>
        <v/>
      </c>
      <c r="AF1262" s="77">
        <f>IF(OR($A1262="",B1262=""),"",YEAR(B1262))</f>
        <v/>
      </c>
      <c r="AG1262" s="77">
        <f>IF(OR($A1262="",B1262=""),"",MONTH(B1262))</f>
        <v/>
      </c>
    </row>
    <row r="1263">
      <c r="A1263" s="7" t="inlineStr">
        <is>
          <t>OT-2026-0408</t>
        </is>
      </c>
      <c r="B1263" s="75" t="n">
        <v>46209.36458333334</v>
      </c>
      <c r="C1263" s="7" t="inlineStr">
        <is>
          <t>Plan préventif</t>
        </is>
      </c>
      <c r="D1263" s="7" t="inlineStr">
        <is>
          <t>EQ-TOL-007</t>
        </is>
      </c>
      <c r="E1263" s="9">
        <f>IF(D1263="","",IFERROR(INDEX('Équipements'!$B$5:$B$304,MATCH(D1263,'Équipements'!$A$5:$A$304,0)),"Code inconnu"))</f>
        <v/>
      </c>
      <c r="F1263" s="9">
        <f>IF(D1263="","",IFERROR(INDEX('Équipements'!$D$5:$D$304,MATCH(D1263,'Équipements'!$A$5:$A$304,0)),""))</f>
        <v/>
      </c>
      <c r="G1263" s="9">
        <f>IF(D1263="","",IFERROR(INDEX('Équipements'!$K$5:$K$304,MATCH(D1263,'Équipements'!$A$5:$A$304,0)),""))</f>
        <v/>
      </c>
      <c r="H1263" s="7" t="inlineStr">
        <is>
          <t>Préventif systématique</t>
        </is>
      </c>
      <c r="I1263" s="7" t="inlineStr">
        <is>
          <t>GP-056</t>
        </is>
      </c>
      <c r="J1263" s="7" t="inlineStr">
        <is>
          <t>Mécanique</t>
        </is>
      </c>
      <c r="K1263" s="7" t="inlineStr">
        <is>
          <t>P3 - Normale</t>
        </is>
      </c>
      <c r="L1263" s="7" t="inlineStr">
        <is>
          <t>Graissage chaîne / galets et contrôle tension</t>
        </is>
      </c>
      <c r="M1263" s="7" t="n"/>
      <c r="N1263" s="7" t="inlineStr">
        <is>
          <t>Gamme réalisée - RAS</t>
        </is>
      </c>
      <c r="O1263" s="7" t="inlineStr">
        <is>
          <t>Antoine Mercier</t>
        </is>
      </c>
      <c r="P1263" s="65" t="n">
        <v>46216.60069444445</v>
      </c>
      <c r="Q1263" s="75" t="n">
        <v>46216.52083333334</v>
      </c>
      <c r="R1263" s="75" t="n">
        <v>46216.61458333334</v>
      </c>
      <c r="S1263" s="76" t="n">
        <v>1.1</v>
      </c>
      <c r="T1263" s="76" t="n">
        <v>2.25</v>
      </c>
      <c r="U1263" s="70">
        <f>IF($A1263="","",IFERROR(INDEX('Techniciens'!$F$5:$F$44,MATCH(O1263,'Techniciens'!$B$5:$B$44,0)),'Paramètres'!$AA$10))</f>
        <v/>
      </c>
      <c r="V1263" s="70">
        <f>IF($A1263="","",IF(OR(AC1263="Demandé",AC1263="Planifié",AC1263="Annulé"),0,N(T1263)*N(U1263)))</f>
        <v/>
      </c>
      <c r="W1263" s="70">
        <f>IF($A1263="","",SUMIFS('Mouvements stock'!$H$5:$H$3004,'Mouvements stock'!$I$5:$I$3004,$A1263,'Mouvements stock'!$C$5:$C$3004,"Sortie")-SUMIFS('Mouvements stock'!$H$5:$H$3004,'Mouvements stock'!$I$5:$I$3004,$A1263,'Mouvements stock'!$C$5:$C$3004,"Retour"))</f>
        <v/>
      </c>
      <c r="X1263" s="66" t="n">
        <v>0</v>
      </c>
      <c r="Y1263" s="66" t="n">
        <v>0</v>
      </c>
      <c r="Z1263" s="7" t="n"/>
      <c r="AA1263" s="70">
        <f>IF($A1263="","",N(V1263)+N(W1263)+N(X1263)+N(Y1263))</f>
        <v/>
      </c>
      <c r="AB1263" s="70">
        <f>IF($A1263="","",N(S1263)*'Paramètres'!$AA$9*IFERROR(INDEX('Paramètres'!$O$5:$O$7,MATCH(G1263,'Paramètres'!$N$5:$N$7,0)),0))</f>
        <v/>
      </c>
      <c r="AC1263" s="7" t="inlineStr">
        <is>
          <t>Clôturé</t>
        </is>
      </c>
      <c r="AD1263" s="69">
        <f>IF(OR($A1263="",Q1263=""),"",(Q1263-B1263)*24)</f>
        <v/>
      </c>
      <c r="AE1263" s="69">
        <f>IF(OR(Q1263="",R1263=""),"",(R1263-Q1263)*24)</f>
        <v/>
      </c>
      <c r="AF1263" s="77">
        <f>IF(OR($A1263="",B1263=""),"",YEAR(B1263))</f>
        <v/>
      </c>
      <c r="AG1263" s="77">
        <f>IF(OR($A1263="",B1263=""),"",MONTH(B1263))</f>
        <v/>
      </c>
    </row>
    <row r="1264">
      <c r="A1264" s="7" t="inlineStr">
        <is>
          <t>OT-2026-0409</t>
        </is>
      </c>
      <c r="B1264" s="75" t="n">
        <v>46209.38541666666</v>
      </c>
      <c r="C1264" s="7" t="inlineStr">
        <is>
          <t>Plan préventif</t>
        </is>
      </c>
      <c r="D1264" s="7" t="inlineStr">
        <is>
          <t>EQ-USI-004</t>
        </is>
      </c>
      <c r="E1264" s="9">
        <f>IF(D1264="","",IFERROR(INDEX('Équipements'!$B$5:$B$304,MATCH(D1264,'Équipements'!$A$5:$A$304,0)),"Code inconnu"))</f>
        <v/>
      </c>
      <c r="F1264" s="9">
        <f>IF(D1264="","",IFERROR(INDEX('Équipements'!$D$5:$D$304,MATCH(D1264,'Équipements'!$A$5:$A$304,0)),""))</f>
        <v/>
      </c>
      <c r="G1264" s="9">
        <f>IF(D1264="","",IFERROR(INDEX('Équipements'!$K$5:$K$304,MATCH(D1264,'Équipements'!$A$5:$A$304,0)),""))</f>
        <v/>
      </c>
      <c r="H1264" s="7" t="inlineStr">
        <is>
          <t>Préventif systématique</t>
        </is>
      </c>
      <c r="I1264" s="7" t="inlineStr">
        <is>
          <t>GP-013</t>
        </is>
      </c>
      <c r="J1264" s="7" t="inlineStr">
        <is>
          <t>Mécanique</t>
        </is>
      </c>
      <c r="K1264" s="7" t="inlineStr">
        <is>
          <t>P3 - Normale</t>
        </is>
      </c>
      <c r="L1264" s="7" t="inlineStr">
        <is>
          <t>Contrôle niveaux, nettoyage filtres et bac à copeaux</t>
        </is>
      </c>
      <c r="M1264" s="7" t="n"/>
      <c r="N1264" s="7" t="inlineStr">
        <is>
          <t>Gamme réalisée - RAS</t>
        </is>
      </c>
      <c r="O1264" s="7" t="inlineStr">
        <is>
          <t>Lucas Fontaine</t>
        </is>
      </c>
      <c r="P1264" s="65" t="n">
        <v>46216.69444444445</v>
      </c>
      <c r="Q1264" s="75" t="n">
        <v>46216.41666666666</v>
      </c>
      <c r="R1264" s="75" t="n">
        <v>46216.48958333334</v>
      </c>
      <c r="S1264" s="76" t="n">
        <v>0.9</v>
      </c>
      <c r="T1264" s="76" t="n">
        <v>1.75</v>
      </c>
      <c r="U1264" s="70">
        <f>IF($A1264="","",IFERROR(INDEX('Techniciens'!$F$5:$F$44,MATCH(O1264,'Techniciens'!$B$5:$B$44,0)),'Paramètres'!$AA$10))</f>
        <v/>
      </c>
      <c r="V1264" s="70">
        <f>IF($A1264="","",IF(OR(AC1264="Demandé",AC1264="Planifié",AC1264="Annulé"),0,N(T1264)*N(U1264)))</f>
        <v/>
      </c>
      <c r="W1264" s="70">
        <f>IF($A1264="","",SUMIFS('Mouvements stock'!$H$5:$H$3004,'Mouvements stock'!$I$5:$I$3004,$A1264,'Mouvements stock'!$C$5:$C$3004,"Sortie")-SUMIFS('Mouvements stock'!$H$5:$H$3004,'Mouvements stock'!$I$5:$I$3004,$A1264,'Mouvements stock'!$C$5:$C$3004,"Retour"))</f>
        <v/>
      </c>
      <c r="X1264" s="66" t="n">
        <v>0</v>
      </c>
      <c r="Y1264" s="66" t="n">
        <v>0</v>
      </c>
      <c r="Z1264" s="7" t="n"/>
      <c r="AA1264" s="70">
        <f>IF($A1264="","",N(V1264)+N(W1264)+N(X1264)+N(Y1264))</f>
        <v/>
      </c>
      <c r="AB1264" s="70">
        <f>IF($A1264="","",N(S1264)*'Paramètres'!$AA$9*IFERROR(INDEX('Paramètres'!$O$5:$O$7,MATCH(G1264,'Paramètres'!$N$5:$N$7,0)),0))</f>
        <v/>
      </c>
      <c r="AC1264" s="7" t="inlineStr">
        <is>
          <t>Clôturé</t>
        </is>
      </c>
      <c r="AD1264" s="69">
        <f>IF(OR($A1264="",Q1264=""),"",(Q1264-B1264)*24)</f>
        <v/>
      </c>
      <c r="AE1264" s="69">
        <f>IF(OR(Q1264="",R1264=""),"",(R1264-Q1264)*24)</f>
        <v/>
      </c>
      <c r="AF1264" s="77">
        <f>IF(OR($A1264="",B1264=""),"",YEAR(B1264))</f>
        <v/>
      </c>
      <c r="AG1264" s="77">
        <f>IF(OR($A1264="",B1264=""),"",MONTH(B1264))</f>
        <v/>
      </c>
    </row>
    <row r="1265">
      <c r="A1265" s="7" t="inlineStr">
        <is>
          <t>OT-2026-0410</t>
        </is>
      </c>
      <c r="B1265" s="75" t="n">
        <v>46209.76805555556</v>
      </c>
      <c r="C1265" s="7" t="inlineStr">
        <is>
          <t>Paul Roux (chef d'atelier)</t>
        </is>
      </c>
      <c r="D1265" s="7" t="inlineStr">
        <is>
          <t>EQ-ASS-004</t>
        </is>
      </c>
      <c r="E1265" s="9">
        <f>IF(D1265="","",IFERROR(INDEX('Équipements'!$B$5:$B$304,MATCH(D1265,'Équipements'!$A$5:$A$304,0)),"Code inconnu"))</f>
        <v/>
      </c>
      <c r="F1265" s="9">
        <f>IF(D1265="","",IFERROR(INDEX('Équipements'!$D$5:$D$304,MATCH(D1265,'Équipements'!$A$5:$A$304,0)),""))</f>
        <v/>
      </c>
      <c r="G1265" s="9">
        <f>IF(D1265="","",IFERROR(INDEX('Équipements'!$K$5:$K$304,MATCH(D1265,'Équipements'!$A$5:$A$304,0)),""))</f>
        <v/>
      </c>
      <c r="H1265" s="7" t="inlineStr">
        <is>
          <t>Correctif</t>
        </is>
      </c>
      <c r="I1265" s="7" t="n"/>
      <c r="J1265" s="7" t="inlineStr">
        <is>
          <t>Pneumatique</t>
        </is>
      </c>
      <c r="K1265" s="7" t="inlineStr">
        <is>
          <t>P3 - Normale</t>
        </is>
      </c>
      <c r="L1265" s="7" t="inlineStr">
        <is>
          <t>Fuite circuit d'air</t>
        </is>
      </c>
      <c r="M1265" s="7" t="inlineStr">
        <is>
          <t>Fuite</t>
        </is>
      </c>
      <c r="N1265" s="7" t="inlineStr">
        <is>
          <t>Remplacement raccords et tube</t>
        </is>
      </c>
      <c r="O1265" s="7" t="inlineStr">
        <is>
          <t>Lucas Fontaine</t>
        </is>
      </c>
      <c r="P1265" s="65" t="n"/>
      <c r="Q1265" s="75" t="n">
        <v>46210.04861111111</v>
      </c>
      <c r="R1265" s="75" t="n">
        <v>46212.99779071981</v>
      </c>
      <c r="S1265" s="76" t="n">
        <v>2.5</v>
      </c>
      <c r="T1265" s="76" t="n">
        <v>2.5</v>
      </c>
      <c r="U1265" s="70">
        <f>IF($A1265="","",IFERROR(INDEX('Techniciens'!$F$5:$F$44,MATCH(O1265,'Techniciens'!$B$5:$B$44,0)),'Paramètres'!$AA$10))</f>
        <v/>
      </c>
      <c r="V1265" s="70">
        <f>IF($A1265="","",IF(OR(AC1265="Demandé",AC1265="Planifié",AC1265="Annulé"),0,N(T1265)*N(U1265)))</f>
        <v/>
      </c>
      <c r="W1265" s="70">
        <f>IF($A1265="","",SUMIFS('Mouvements stock'!$H$5:$H$3004,'Mouvements stock'!$I$5:$I$3004,$A1265,'Mouvements stock'!$C$5:$C$3004,"Sortie")-SUMIFS('Mouvements stock'!$H$5:$H$3004,'Mouvements stock'!$I$5:$I$3004,$A1265,'Mouvements stock'!$C$5:$C$3004,"Retour"))</f>
        <v/>
      </c>
      <c r="X1265" s="66" t="n">
        <v>0</v>
      </c>
      <c r="Y1265" s="66" t="n">
        <v>0</v>
      </c>
      <c r="Z1265" s="7" t="n"/>
      <c r="AA1265" s="70">
        <f>IF($A1265="","",N(V1265)+N(W1265)+N(X1265)+N(Y1265))</f>
        <v/>
      </c>
      <c r="AB1265" s="70">
        <f>IF($A1265="","",N(S1265)*'Paramètres'!$AA$9*IFERROR(INDEX('Paramètres'!$O$5:$O$7,MATCH(G1265,'Paramètres'!$N$5:$N$7,0)),0))</f>
        <v/>
      </c>
      <c r="AC1265" s="7" t="inlineStr">
        <is>
          <t>Clôturé</t>
        </is>
      </c>
      <c r="AD1265" s="69">
        <f>IF(OR($A1265="",Q1265=""),"",(Q1265-B1265)*24)</f>
        <v/>
      </c>
      <c r="AE1265" s="69">
        <f>IF(OR(Q1265="",R1265=""),"",(R1265-Q1265)*24)</f>
        <v/>
      </c>
      <c r="AF1265" s="77">
        <f>IF(OR($A1265="",B1265=""),"",YEAR(B1265))</f>
        <v/>
      </c>
      <c r="AG1265" s="77">
        <f>IF(OR($A1265="",B1265=""),"",MONTH(B1265))</f>
        <v/>
      </c>
    </row>
    <row r="1266">
      <c r="A1266" s="7" t="inlineStr">
        <is>
          <t>OT-2026-0411</t>
        </is>
      </c>
      <c r="B1266" s="75" t="n">
        <v>46210.40972222222</v>
      </c>
      <c r="C1266" s="7" t="inlineStr">
        <is>
          <t>Plan préventif</t>
        </is>
      </c>
      <c r="D1266" s="7" t="inlineStr">
        <is>
          <t>EQ-UTI-002</t>
        </is>
      </c>
      <c r="E1266" s="9">
        <f>IF(D1266="","",IFERROR(INDEX('Équipements'!$B$5:$B$304,MATCH(D1266,'Équipements'!$A$5:$A$304,0)),"Code inconnu"))</f>
        <v/>
      </c>
      <c r="F1266" s="9">
        <f>IF(D1266="","",IFERROR(INDEX('Équipements'!$D$5:$D$304,MATCH(D1266,'Équipements'!$A$5:$A$304,0)),""))</f>
        <v/>
      </c>
      <c r="G1266" s="9">
        <f>IF(D1266="","",IFERROR(INDEX('Équipements'!$K$5:$K$304,MATCH(D1266,'Équipements'!$A$5:$A$304,0)),""))</f>
        <v/>
      </c>
      <c r="H1266" s="7" t="inlineStr">
        <is>
          <t>Préventif conditionnel</t>
        </is>
      </c>
      <c r="I1266" s="7" t="inlineStr">
        <is>
          <t>GP-089</t>
        </is>
      </c>
      <c r="J1266" s="7" t="inlineStr">
        <is>
          <t>Mécanique</t>
        </is>
      </c>
      <c r="K1266" s="7" t="inlineStr">
        <is>
          <t>P3 - Normale</t>
        </is>
      </c>
      <c r="L1266" s="7" t="inlineStr">
        <is>
          <t>Entretien 2000 h : filtres air/huile, séparateur</t>
        </is>
      </c>
      <c r="M1266" s="7" t="n"/>
      <c r="N1266" s="7" t="inlineStr">
        <is>
          <t>Gamme réalisée - RAS</t>
        </is>
      </c>
      <c r="O1266" s="7" t="inlineStr">
        <is>
          <t>Antoine Mercier</t>
        </is>
      </c>
      <c r="P1266" s="65" t="n">
        <v>46217.51736111111</v>
      </c>
      <c r="Q1266" s="75" t="n">
        <v>46217.43055555555</v>
      </c>
      <c r="R1266" s="75" t="n">
        <v>46217.59722222222</v>
      </c>
      <c r="S1266" s="76" t="n">
        <v>0</v>
      </c>
      <c r="T1266" s="76" t="n">
        <v>4</v>
      </c>
      <c r="U1266" s="70">
        <f>IF($A1266="","",IFERROR(INDEX('Techniciens'!$F$5:$F$44,MATCH(O1266,'Techniciens'!$B$5:$B$44,0)),'Paramètres'!$AA$10))</f>
        <v/>
      </c>
      <c r="V1266" s="70">
        <f>IF($A1266="","",IF(OR(AC1266="Demandé",AC1266="Planifié",AC1266="Annulé"),0,N(T1266)*N(U1266)))</f>
        <v/>
      </c>
      <c r="W1266" s="70">
        <f>IF($A1266="","",SUMIFS('Mouvements stock'!$H$5:$H$3004,'Mouvements stock'!$I$5:$I$3004,$A1266,'Mouvements stock'!$C$5:$C$3004,"Sortie")-SUMIFS('Mouvements stock'!$H$5:$H$3004,'Mouvements stock'!$I$5:$I$3004,$A1266,'Mouvements stock'!$C$5:$C$3004,"Retour"))</f>
        <v/>
      </c>
      <c r="X1266" s="66" t="n">
        <v>0</v>
      </c>
      <c r="Y1266" s="66" t="n">
        <v>0</v>
      </c>
      <c r="Z1266" s="7" t="n"/>
      <c r="AA1266" s="70">
        <f>IF($A1266="","",N(V1266)+N(W1266)+N(X1266)+N(Y1266))</f>
        <v/>
      </c>
      <c r="AB1266" s="70">
        <f>IF($A1266="","",N(S1266)*'Paramètres'!$AA$9*IFERROR(INDEX('Paramètres'!$O$5:$O$7,MATCH(G1266,'Paramètres'!$N$5:$N$7,0)),0))</f>
        <v/>
      </c>
      <c r="AC1266" s="7" t="inlineStr">
        <is>
          <t>Clôturé</t>
        </is>
      </c>
      <c r="AD1266" s="69">
        <f>IF(OR($A1266="",Q1266=""),"",(Q1266-B1266)*24)</f>
        <v/>
      </c>
      <c r="AE1266" s="69">
        <f>IF(OR(Q1266="",R1266=""),"",(R1266-Q1266)*24)</f>
        <v/>
      </c>
      <c r="AF1266" s="77">
        <f>IF(OR($A1266="",B1266=""),"",YEAR(B1266))</f>
        <v/>
      </c>
      <c r="AG1266" s="77">
        <f>IF(OR($A1266="",B1266=""),"",MONTH(B1266))</f>
        <v/>
      </c>
    </row>
    <row r="1267">
      <c r="A1267" s="7" t="inlineStr">
        <is>
          <t>OT-2026-0412</t>
        </is>
      </c>
      <c r="B1267" s="75" t="n">
        <v>46211.39583333334</v>
      </c>
      <c r="C1267" s="7" t="inlineStr">
        <is>
          <t>Plan préventif</t>
        </is>
      </c>
      <c r="D1267" s="7" t="inlineStr">
        <is>
          <t>EQ-ASS-002</t>
        </is>
      </c>
      <c r="E1267" s="9">
        <f>IF(D1267="","",IFERROR(INDEX('Équipements'!$B$5:$B$304,MATCH(D1267,'Équipements'!$A$5:$A$304,0)),"Code inconnu"))</f>
        <v/>
      </c>
      <c r="F1267" s="9">
        <f>IF(D1267="","",IFERROR(INDEX('Équipements'!$D$5:$D$304,MATCH(D1267,'Équipements'!$A$5:$A$304,0)),""))</f>
        <v/>
      </c>
      <c r="G1267" s="9">
        <f>IF(D1267="","",IFERROR(INDEX('Équipements'!$K$5:$K$304,MATCH(D1267,'Équipements'!$A$5:$A$304,0)),""))</f>
        <v/>
      </c>
      <c r="H1267" s="7" t="inlineStr">
        <is>
          <t>Préventif systématique</t>
        </is>
      </c>
      <c r="I1267" s="7" t="inlineStr">
        <is>
          <t>GP-078</t>
        </is>
      </c>
      <c r="J1267" s="7" t="inlineStr">
        <is>
          <t>Hydraulique</t>
        </is>
      </c>
      <c r="K1267" s="7" t="inlineStr">
        <is>
          <t>P3 - Normale</t>
        </is>
      </c>
      <c r="L1267" s="7" t="inlineStr">
        <is>
          <t>Contrôle hydraulique : fuites, niveaux, pressions</t>
        </is>
      </c>
      <c r="M1267" s="7" t="n"/>
      <c r="N1267" s="7" t="inlineStr">
        <is>
          <t>Gamme réalisée - RAS</t>
        </is>
      </c>
      <c r="O1267" s="7" t="inlineStr">
        <is>
          <t>Karim Benali</t>
        </is>
      </c>
      <c r="P1267" s="65" t="n">
        <v>46218.57291666666</v>
      </c>
      <c r="Q1267" s="75" t="n">
        <v>46218.45833333334</v>
      </c>
      <c r="R1267" s="75" t="n">
        <v>46218.54166666666</v>
      </c>
      <c r="S1267" s="76" t="n">
        <v>0</v>
      </c>
      <c r="T1267" s="76" t="n">
        <v>2</v>
      </c>
      <c r="U1267" s="70">
        <f>IF($A1267="","",IFERROR(INDEX('Techniciens'!$F$5:$F$44,MATCH(O1267,'Techniciens'!$B$5:$B$44,0)),'Paramètres'!$AA$10))</f>
        <v/>
      </c>
      <c r="V1267" s="70">
        <f>IF($A1267="","",IF(OR(AC1267="Demandé",AC1267="Planifié",AC1267="Annulé"),0,N(T1267)*N(U1267)))</f>
        <v/>
      </c>
      <c r="W1267" s="70">
        <f>IF($A1267="","",SUMIFS('Mouvements stock'!$H$5:$H$3004,'Mouvements stock'!$I$5:$I$3004,$A1267,'Mouvements stock'!$C$5:$C$3004,"Sortie")-SUMIFS('Mouvements stock'!$H$5:$H$3004,'Mouvements stock'!$I$5:$I$3004,$A1267,'Mouvements stock'!$C$5:$C$3004,"Retour"))</f>
        <v/>
      </c>
      <c r="X1267" s="66" t="n">
        <v>0</v>
      </c>
      <c r="Y1267" s="66" t="n">
        <v>0</v>
      </c>
      <c r="Z1267" s="7" t="n"/>
      <c r="AA1267" s="70">
        <f>IF($A1267="","",N(V1267)+N(W1267)+N(X1267)+N(Y1267))</f>
        <v/>
      </c>
      <c r="AB1267" s="70">
        <f>IF($A1267="","",N(S1267)*'Paramètres'!$AA$9*IFERROR(INDEX('Paramètres'!$O$5:$O$7,MATCH(G1267,'Paramètres'!$N$5:$N$7,0)),0))</f>
        <v/>
      </c>
      <c r="AC1267" s="7" t="inlineStr">
        <is>
          <t>Clôturé</t>
        </is>
      </c>
      <c r="AD1267" s="69">
        <f>IF(OR($A1267="",Q1267=""),"",(Q1267-B1267)*24)</f>
        <v/>
      </c>
      <c r="AE1267" s="69">
        <f>IF(OR(Q1267="",R1267=""),"",(R1267-Q1267)*24)</f>
        <v/>
      </c>
      <c r="AF1267" s="77">
        <f>IF(OR($A1267="",B1267=""),"",YEAR(B1267))</f>
        <v/>
      </c>
      <c r="AG1267" s="77">
        <f>IF(OR($A1267="",B1267=""),"",MONTH(B1267))</f>
        <v/>
      </c>
    </row>
    <row r="1268">
      <c r="A1268" s="7" t="inlineStr">
        <is>
          <t>OT-2026-0413</t>
        </is>
      </c>
      <c r="B1268" s="75" t="n">
        <v>46211.45138888889</v>
      </c>
      <c r="C1268" s="7" t="inlineStr">
        <is>
          <t>Plan préventif</t>
        </is>
      </c>
      <c r="D1268" s="7" t="inlineStr">
        <is>
          <t>EQ-USI-003</t>
        </is>
      </c>
      <c r="E1268" s="9">
        <f>IF(D1268="","",IFERROR(INDEX('Équipements'!$B$5:$B$304,MATCH(D1268,'Équipements'!$A$5:$A$304,0)),"Code inconnu"))</f>
        <v/>
      </c>
      <c r="F1268" s="9">
        <f>IF(D1268="","",IFERROR(INDEX('Équipements'!$D$5:$D$304,MATCH(D1268,'Équipements'!$A$5:$A$304,0)),""))</f>
        <v/>
      </c>
      <c r="G1268" s="9">
        <f>IF(D1268="","",IFERROR(INDEX('Équipements'!$K$5:$K$304,MATCH(D1268,'Équipements'!$A$5:$A$304,0)),""))</f>
        <v/>
      </c>
      <c r="H1268" s="7" t="inlineStr">
        <is>
          <t>Préventif systématique</t>
        </is>
      </c>
      <c r="I1268" s="7" t="inlineStr">
        <is>
          <t>GP-009</t>
        </is>
      </c>
      <c r="J1268" s="7" t="inlineStr">
        <is>
          <t>Mécanique</t>
        </is>
      </c>
      <c r="K1268" s="7" t="inlineStr">
        <is>
          <t>P3 - Normale</t>
        </is>
      </c>
      <c r="L1268" s="7" t="inlineStr">
        <is>
          <t>Contrôle niveaux, nettoyage filtres et bac à copeaux</t>
        </is>
      </c>
      <c r="M1268" s="7" t="n"/>
      <c r="N1268" s="7" t="inlineStr">
        <is>
          <t>Gamme réalisée - RAS</t>
        </is>
      </c>
      <c r="O1268" s="7" t="inlineStr">
        <is>
          <t>Lucas Fontaine</t>
        </is>
      </c>
      <c r="P1268" s="65" t="n">
        <v>46218.68402777778</v>
      </c>
      <c r="Q1268" s="75" t="n">
        <v>46218.40625</v>
      </c>
      <c r="R1268" s="75" t="n">
        <v>46218.46875</v>
      </c>
      <c r="S1268" s="76" t="n">
        <v>0.8</v>
      </c>
      <c r="T1268" s="76" t="n">
        <v>1.5</v>
      </c>
      <c r="U1268" s="70">
        <f>IF($A1268="","",IFERROR(INDEX('Techniciens'!$F$5:$F$44,MATCH(O1268,'Techniciens'!$B$5:$B$44,0)),'Paramètres'!$AA$10))</f>
        <v/>
      </c>
      <c r="V1268" s="70">
        <f>IF($A1268="","",IF(OR(AC1268="Demandé",AC1268="Planifié",AC1268="Annulé"),0,N(T1268)*N(U1268)))</f>
        <v/>
      </c>
      <c r="W1268" s="70">
        <f>IF($A1268="","",SUMIFS('Mouvements stock'!$H$5:$H$3004,'Mouvements stock'!$I$5:$I$3004,$A1268,'Mouvements stock'!$C$5:$C$3004,"Sortie")-SUMIFS('Mouvements stock'!$H$5:$H$3004,'Mouvements stock'!$I$5:$I$3004,$A1268,'Mouvements stock'!$C$5:$C$3004,"Retour"))</f>
        <v/>
      </c>
      <c r="X1268" s="66" t="n">
        <v>0</v>
      </c>
      <c r="Y1268" s="66" t="n">
        <v>0</v>
      </c>
      <c r="Z1268" s="7" t="n"/>
      <c r="AA1268" s="70">
        <f>IF($A1268="","",N(V1268)+N(W1268)+N(X1268)+N(Y1268))</f>
        <v/>
      </c>
      <c r="AB1268" s="70">
        <f>IF($A1268="","",N(S1268)*'Paramètres'!$AA$9*IFERROR(INDEX('Paramètres'!$O$5:$O$7,MATCH(G1268,'Paramètres'!$N$5:$N$7,0)),0))</f>
        <v/>
      </c>
      <c r="AC1268" s="7" t="inlineStr">
        <is>
          <t>Clôturé</t>
        </is>
      </c>
      <c r="AD1268" s="69">
        <f>IF(OR($A1268="",Q1268=""),"",(Q1268-B1268)*24)</f>
        <v/>
      </c>
      <c r="AE1268" s="69">
        <f>IF(OR(Q1268="",R1268=""),"",(R1268-Q1268)*24)</f>
        <v/>
      </c>
      <c r="AF1268" s="77">
        <f>IF(OR($A1268="",B1268=""),"",YEAR(B1268))</f>
        <v/>
      </c>
      <c r="AG1268" s="77">
        <f>IF(OR($A1268="",B1268=""),"",MONTH(B1268))</f>
        <v/>
      </c>
    </row>
    <row r="1269">
      <c r="A1269" s="7" t="inlineStr">
        <is>
          <t>OT-2026-0414</t>
        </is>
      </c>
      <c r="B1269" s="75" t="n">
        <v>46213.72083333333</v>
      </c>
      <c r="C1269" s="7" t="inlineStr">
        <is>
          <t>Ronde maintenance</t>
        </is>
      </c>
      <c r="D1269" s="7" t="inlineStr">
        <is>
          <t>EQ-UTI-005</t>
        </is>
      </c>
      <c r="E1269" s="9">
        <f>IF(D1269="","",IFERROR(INDEX('Équipements'!$B$5:$B$304,MATCH(D1269,'Équipements'!$A$5:$A$304,0)),"Code inconnu"))</f>
        <v/>
      </c>
      <c r="F1269" s="9">
        <f>IF(D1269="","",IFERROR(INDEX('Équipements'!$D$5:$D$304,MATCH(D1269,'Équipements'!$A$5:$A$304,0)),""))</f>
        <v/>
      </c>
      <c r="G1269" s="9">
        <f>IF(D1269="","",IFERROR(INDEX('Équipements'!$K$5:$K$304,MATCH(D1269,'Équipements'!$A$5:$A$304,0)),""))</f>
        <v/>
      </c>
      <c r="H1269" s="7" t="inlineStr">
        <is>
          <t>Correctif</t>
        </is>
      </c>
      <c r="I1269" s="7" t="n"/>
      <c r="J1269" s="7" t="inlineStr">
        <is>
          <t>Mécanique</t>
        </is>
      </c>
      <c r="K1269" s="7" t="inlineStr">
        <is>
          <t>P4 - Basse</t>
        </is>
      </c>
      <c r="L1269" s="7" t="inlineStr">
        <is>
          <t>Groupe en défaut haute pression</t>
        </is>
      </c>
      <c r="M1269" s="7" t="inlineStr">
        <is>
          <t>Encrassement</t>
        </is>
      </c>
      <c r="N1269" s="7" t="inlineStr">
        <is>
          <t>Nettoyage condenseur, contrôle charge fluide</t>
        </is>
      </c>
      <c r="O1269" s="7" t="inlineStr">
        <is>
          <t>Karim Benali</t>
        </is>
      </c>
      <c r="P1269" s="65" t="n"/>
      <c r="Q1269" s="75" t="n">
        <v>46219.33333333334</v>
      </c>
      <c r="R1269" s="75" t="n">
        <v>46219.73958333334</v>
      </c>
      <c r="S1269" s="76" t="n">
        <v>0</v>
      </c>
      <c r="T1269" s="76" t="n">
        <v>9.75</v>
      </c>
      <c r="U1269" s="70">
        <f>IF($A1269="","",IFERROR(INDEX('Techniciens'!$F$5:$F$44,MATCH(O1269,'Techniciens'!$B$5:$B$44,0)),'Paramètres'!$AA$10))</f>
        <v/>
      </c>
      <c r="V1269" s="70">
        <f>IF($A1269="","",IF(OR(AC1269="Demandé",AC1269="Planifié",AC1269="Annulé"),0,N(T1269)*N(U1269)))</f>
        <v/>
      </c>
      <c r="W1269" s="70">
        <f>IF($A1269="","",SUMIFS('Mouvements stock'!$H$5:$H$3004,'Mouvements stock'!$I$5:$I$3004,$A1269,'Mouvements stock'!$C$5:$C$3004,"Sortie")-SUMIFS('Mouvements stock'!$H$5:$H$3004,'Mouvements stock'!$I$5:$I$3004,$A1269,'Mouvements stock'!$C$5:$C$3004,"Retour"))</f>
        <v/>
      </c>
      <c r="X1269" s="66" t="n">
        <v>409</v>
      </c>
      <c r="Y1269" s="66" t="n">
        <v>0</v>
      </c>
      <c r="Z1269" s="7" t="n"/>
      <c r="AA1269" s="70">
        <f>IF($A1269="","",N(V1269)+N(W1269)+N(X1269)+N(Y1269))</f>
        <v/>
      </c>
      <c r="AB1269" s="70">
        <f>IF($A1269="","",N(S1269)*'Paramètres'!$AA$9*IFERROR(INDEX('Paramètres'!$O$5:$O$7,MATCH(G1269,'Paramètres'!$N$5:$N$7,0)),0))</f>
        <v/>
      </c>
      <c r="AC1269" s="7" t="inlineStr">
        <is>
          <t>Clôturé</t>
        </is>
      </c>
      <c r="AD1269" s="69">
        <f>IF(OR($A1269="",Q1269=""),"",(Q1269-B1269)*24)</f>
        <v/>
      </c>
      <c r="AE1269" s="69">
        <f>IF(OR(Q1269="",R1269=""),"",(R1269-Q1269)*24)</f>
        <v/>
      </c>
      <c r="AF1269" s="77">
        <f>IF(OR($A1269="",B1269=""),"",YEAR(B1269))</f>
        <v/>
      </c>
      <c r="AG1269" s="77">
        <f>IF(OR($A1269="",B1269=""),"",MONTH(B1269))</f>
        <v/>
      </c>
    </row>
    <row r="1270">
      <c r="A1270" s="7" t="inlineStr">
        <is>
          <t>OT-2026-0415</t>
        </is>
      </c>
      <c r="B1270" s="75" t="n">
        <v>46214.42013888889</v>
      </c>
      <c r="C1270" s="7" t="inlineStr">
        <is>
          <t>Hugo Blanc (chef d'équipe)</t>
        </is>
      </c>
      <c r="D1270" s="7" t="inlineStr">
        <is>
          <t>EQ-SOU-002</t>
        </is>
      </c>
      <c r="E1270" s="9">
        <f>IF(D1270="","",IFERROR(INDEX('Équipements'!$B$5:$B$304,MATCH(D1270,'Équipements'!$A$5:$A$304,0)),"Code inconnu"))</f>
        <v/>
      </c>
      <c r="F1270" s="9">
        <f>IF(D1270="","",IFERROR(INDEX('Équipements'!$D$5:$D$304,MATCH(D1270,'Équipements'!$A$5:$A$304,0)),""))</f>
        <v/>
      </c>
      <c r="G1270" s="9">
        <f>IF(D1270="","",IFERROR(INDEX('Équipements'!$K$5:$K$304,MATCH(D1270,'Équipements'!$A$5:$A$304,0)),""))</f>
        <v/>
      </c>
      <c r="H1270" s="7" t="inlineStr">
        <is>
          <t>Correctif</t>
        </is>
      </c>
      <c r="I1270" s="7" t="n"/>
      <c r="J1270" s="7" t="inlineStr">
        <is>
          <t>Mécanique</t>
        </is>
      </c>
      <c r="K1270" s="7" t="inlineStr">
        <is>
          <t>P3 - Normale</t>
        </is>
      </c>
      <c r="L1270" s="7" t="inlineStr">
        <is>
          <t>Torche défectueuse</t>
        </is>
      </c>
      <c r="M1270" s="7" t="inlineStr">
        <is>
          <t>Usure</t>
        </is>
      </c>
      <c r="N1270" s="7" t="inlineStr">
        <is>
          <t>Réparation torche, remplacement buse</t>
        </is>
      </c>
      <c r="O1270" s="7" t="inlineStr">
        <is>
          <t>Karim Benali</t>
        </is>
      </c>
      <c r="P1270" s="65" t="n"/>
      <c r="Q1270" s="75" t="n">
        <v>46215.42569444444</v>
      </c>
      <c r="R1270" s="75" t="n">
        <v>46217.07361976889</v>
      </c>
      <c r="S1270" s="76" t="n">
        <v>2.8</v>
      </c>
      <c r="T1270" s="76" t="n">
        <v>2.75</v>
      </c>
      <c r="U1270" s="70">
        <f>IF($A1270="","",IFERROR(INDEX('Techniciens'!$F$5:$F$44,MATCH(O1270,'Techniciens'!$B$5:$B$44,0)),'Paramètres'!$AA$10))</f>
        <v/>
      </c>
      <c r="V1270" s="70">
        <f>IF($A1270="","",IF(OR(AC1270="Demandé",AC1270="Planifié",AC1270="Annulé"),0,N(T1270)*N(U1270)))</f>
        <v/>
      </c>
      <c r="W1270" s="70">
        <f>IF($A1270="","",SUMIFS('Mouvements stock'!$H$5:$H$3004,'Mouvements stock'!$I$5:$I$3004,$A1270,'Mouvements stock'!$C$5:$C$3004,"Sortie")-SUMIFS('Mouvements stock'!$H$5:$H$3004,'Mouvements stock'!$I$5:$I$3004,$A1270,'Mouvements stock'!$C$5:$C$3004,"Retour"))</f>
        <v/>
      </c>
      <c r="X1270" s="66" t="n">
        <v>97</v>
      </c>
      <c r="Y1270" s="66" t="n">
        <v>0</v>
      </c>
      <c r="Z1270" s="7" t="n"/>
      <c r="AA1270" s="70">
        <f>IF($A1270="","",N(V1270)+N(W1270)+N(X1270)+N(Y1270))</f>
        <v/>
      </c>
      <c r="AB1270" s="70">
        <f>IF($A1270="","",N(S1270)*'Paramètres'!$AA$9*IFERROR(INDEX('Paramètres'!$O$5:$O$7,MATCH(G1270,'Paramètres'!$N$5:$N$7,0)),0))</f>
        <v/>
      </c>
      <c r="AC1270" s="7" t="inlineStr">
        <is>
          <t>Clôturé</t>
        </is>
      </c>
      <c r="AD1270" s="69">
        <f>IF(OR($A1270="",Q1270=""),"",(Q1270-B1270)*24)</f>
        <v/>
      </c>
      <c r="AE1270" s="69">
        <f>IF(OR(Q1270="",R1270=""),"",(R1270-Q1270)*24)</f>
        <v/>
      </c>
      <c r="AF1270" s="77">
        <f>IF(OR($A1270="",B1270=""),"",YEAR(B1270))</f>
        <v/>
      </c>
      <c r="AG1270" s="77">
        <f>IF(OR($A1270="",B1270=""),"",MONTH(B1270))</f>
        <v/>
      </c>
    </row>
    <row r="1271">
      <c r="A1271" s="7" t="inlineStr">
        <is>
          <t>OT-2026-0416</t>
        </is>
      </c>
      <c r="B1271" s="75" t="n">
        <v>46214.70625</v>
      </c>
      <c r="C1271" s="7" t="inlineStr">
        <is>
          <t>Sylvie Mathieu (resp. logistique)</t>
        </is>
      </c>
      <c r="D1271" s="7" t="inlineStr">
        <is>
          <t>EQ-LOG-002</t>
        </is>
      </c>
      <c r="E1271" s="9">
        <f>IF(D1271="","",IFERROR(INDEX('Équipements'!$B$5:$B$304,MATCH(D1271,'Équipements'!$A$5:$A$304,0)),"Code inconnu"))</f>
        <v/>
      </c>
      <c r="F1271" s="9">
        <f>IF(D1271="","",IFERROR(INDEX('Équipements'!$D$5:$D$304,MATCH(D1271,'Équipements'!$A$5:$A$304,0)),""))</f>
        <v/>
      </c>
      <c r="G1271" s="9">
        <f>IF(D1271="","",IFERROR(INDEX('Équipements'!$K$5:$K$304,MATCH(D1271,'Équipements'!$A$5:$A$304,0)),""))</f>
        <v/>
      </c>
      <c r="H1271" s="7" t="inlineStr">
        <is>
          <t>Correctif</t>
        </is>
      </c>
      <c r="I1271" s="7" t="n"/>
      <c r="J1271" s="7" t="inlineStr">
        <is>
          <t>Électrique</t>
        </is>
      </c>
      <c r="K1271" s="7" t="inlineStr">
        <is>
          <t>P2 - Haute</t>
        </is>
      </c>
      <c r="L1271" s="7" t="inlineStr">
        <is>
          <t>Défaut batterie / charge</t>
        </is>
      </c>
      <c r="M1271" s="7" t="inlineStr">
        <is>
          <t>Usure</t>
        </is>
      </c>
      <c r="N1271" s="7" t="inlineStr">
        <is>
          <t>Contrôle chargeur, remplacement batterie</t>
        </is>
      </c>
      <c r="O1271" s="7" t="inlineStr">
        <is>
          <t>Antoine Mercier</t>
        </is>
      </c>
      <c r="P1271" s="65" t="n"/>
      <c r="Q1271" s="75" t="n">
        <v>46214.75138888889</v>
      </c>
      <c r="R1271" s="75" t="n">
        <v>46214.83472222222</v>
      </c>
      <c r="S1271" s="76" t="n">
        <v>0.9</v>
      </c>
      <c r="T1271" s="76" t="n">
        <v>2</v>
      </c>
      <c r="U1271" s="70">
        <f>IF($A1271="","",IFERROR(INDEX('Techniciens'!$F$5:$F$44,MATCH(O1271,'Techniciens'!$B$5:$B$44,0)),'Paramètres'!$AA$10))</f>
        <v/>
      </c>
      <c r="V1271" s="70">
        <f>IF($A1271="","",IF(OR(AC1271="Demandé",AC1271="Planifié",AC1271="Annulé"),0,N(T1271)*N(U1271)))</f>
        <v/>
      </c>
      <c r="W1271" s="70">
        <f>IF($A1271="","",SUMIFS('Mouvements stock'!$H$5:$H$3004,'Mouvements stock'!$I$5:$I$3004,$A1271,'Mouvements stock'!$C$5:$C$3004,"Sortie")-SUMIFS('Mouvements stock'!$H$5:$H$3004,'Mouvements stock'!$I$5:$I$3004,$A1271,'Mouvements stock'!$C$5:$C$3004,"Retour"))</f>
        <v/>
      </c>
      <c r="X1271" s="66" t="n">
        <v>0</v>
      </c>
      <c r="Y1271" s="66" t="n">
        <v>0</v>
      </c>
      <c r="Z1271" s="7" t="n"/>
      <c r="AA1271" s="70">
        <f>IF($A1271="","",N(V1271)+N(W1271)+N(X1271)+N(Y1271))</f>
        <v/>
      </c>
      <c r="AB1271" s="70">
        <f>IF($A1271="","",N(S1271)*'Paramètres'!$AA$9*IFERROR(INDEX('Paramètres'!$O$5:$O$7,MATCH(G1271,'Paramètres'!$N$5:$N$7,0)),0))</f>
        <v/>
      </c>
      <c r="AC1271" s="7" t="inlineStr">
        <is>
          <t>Clôturé</t>
        </is>
      </c>
      <c r="AD1271" s="69">
        <f>IF(OR($A1271="",Q1271=""),"",(Q1271-B1271)*24)</f>
        <v/>
      </c>
      <c r="AE1271" s="69">
        <f>IF(OR(Q1271="",R1271=""),"",(R1271-Q1271)*24)</f>
        <v/>
      </c>
      <c r="AF1271" s="77">
        <f>IF(OR($A1271="",B1271=""),"",YEAR(B1271))</f>
        <v/>
      </c>
      <c r="AG1271" s="77">
        <f>IF(OR($A1271="",B1271=""),"",MONTH(B1271))</f>
        <v/>
      </c>
    </row>
    <row r="1272">
      <c r="A1272" s="7" t="inlineStr">
        <is>
          <t>OT-2026-0417</t>
        </is>
      </c>
      <c r="B1272" s="75" t="n">
        <v>46214.91319444445</v>
      </c>
      <c r="C1272" s="7" t="inlineStr">
        <is>
          <t>Opérateur tôlerie</t>
        </is>
      </c>
      <c r="D1272" s="7" t="inlineStr">
        <is>
          <t>EQ-TOL-002</t>
        </is>
      </c>
      <c r="E1272" s="9">
        <f>IF(D1272="","",IFERROR(INDEX('Équipements'!$B$5:$B$304,MATCH(D1272,'Équipements'!$A$5:$A$304,0)),"Code inconnu"))</f>
        <v/>
      </c>
      <c r="F1272" s="9">
        <f>IF(D1272="","",IFERROR(INDEX('Équipements'!$D$5:$D$304,MATCH(D1272,'Équipements'!$A$5:$A$304,0)),""))</f>
        <v/>
      </c>
      <c r="G1272" s="9">
        <f>IF(D1272="","",IFERROR(INDEX('Équipements'!$K$5:$K$304,MATCH(D1272,'Équipements'!$A$5:$A$304,0)),""))</f>
        <v/>
      </c>
      <c r="H1272" s="7" t="inlineStr">
        <is>
          <t>Correctif</t>
        </is>
      </c>
      <c r="I1272" s="7" t="n"/>
      <c r="J1272" s="7" t="inlineStr">
        <is>
          <t>Électrique</t>
        </is>
      </c>
      <c r="K1272" s="7" t="inlineStr">
        <is>
          <t>P2 - Haute</t>
        </is>
      </c>
      <c r="L1272" s="7" t="inlineStr">
        <is>
          <t>Défaut barrage immatériel</t>
        </is>
      </c>
      <c r="M1272" s="7" t="inlineStr">
        <is>
          <t>Défaut capteur</t>
        </is>
      </c>
      <c r="N1272" s="7" t="inlineStr">
        <is>
          <t>Nettoyage / réalignement, remplacement émetteur</t>
        </is>
      </c>
      <c r="O1272" s="7" t="inlineStr">
        <is>
          <t>Julien Moreau</t>
        </is>
      </c>
      <c r="P1272" s="65" t="n"/>
      <c r="Q1272" s="75" t="n">
        <v>46215.00486111111</v>
      </c>
      <c r="R1272" s="75" t="n">
        <v>46215.27569444444</v>
      </c>
      <c r="S1272" s="76" t="n">
        <v>0</v>
      </c>
      <c r="T1272" s="76" t="n">
        <v>6.5</v>
      </c>
      <c r="U1272" s="70">
        <f>IF($A1272="","",IFERROR(INDEX('Techniciens'!$F$5:$F$44,MATCH(O1272,'Techniciens'!$B$5:$B$44,0)),'Paramètres'!$AA$10))</f>
        <v/>
      </c>
      <c r="V1272" s="70">
        <f>IF($A1272="","",IF(OR(AC1272="Demandé",AC1272="Planifié",AC1272="Annulé"),0,N(T1272)*N(U1272)))</f>
        <v/>
      </c>
      <c r="W1272" s="70">
        <f>IF($A1272="","",SUMIFS('Mouvements stock'!$H$5:$H$3004,'Mouvements stock'!$I$5:$I$3004,$A1272,'Mouvements stock'!$C$5:$C$3004,"Sortie")-SUMIFS('Mouvements stock'!$H$5:$H$3004,'Mouvements stock'!$I$5:$I$3004,$A1272,'Mouvements stock'!$C$5:$C$3004,"Retour"))</f>
        <v/>
      </c>
      <c r="X1272" s="66" t="n">
        <v>0</v>
      </c>
      <c r="Y1272" s="66" t="n">
        <v>0</v>
      </c>
      <c r="Z1272" s="7" t="n"/>
      <c r="AA1272" s="70">
        <f>IF($A1272="","",N(V1272)+N(W1272)+N(X1272)+N(Y1272))</f>
        <v/>
      </c>
      <c r="AB1272" s="70">
        <f>IF($A1272="","",N(S1272)*'Paramètres'!$AA$9*IFERROR(INDEX('Paramètres'!$O$5:$O$7,MATCH(G1272,'Paramètres'!$N$5:$N$7,0)),0))</f>
        <v/>
      </c>
      <c r="AC1272" s="7" t="inlineStr">
        <is>
          <t>Clôturé</t>
        </is>
      </c>
      <c r="AD1272" s="69">
        <f>IF(OR($A1272="",Q1272=""),"",(Q1272-B1272)*24)</f>
        <v/>
      </c>
      <c r="AE1272" s="69">
        <f>IF(OR(Q1272="",R1272=""),"",(R1272-Q1272)*24)</f>
        <v/>
      </c>
      <c r="AF1272" s="77">
        <f>IF(OR($A1272="",B1272=""),"",YEAR(B1272))</f>
        <v/>
      </c>
      <c r="AG1272" s="77">
        <f>IF(OR($A1272="",B1272=""),"",MONTH(B1272))</f>
        <v/>
      </c>
    </row>
    <row r="1273">
      <c r="A1273" s="7" t="inlineStr">
        <is>
          <t>OT-2026-0418</t>
        </is>
      </c>
      <c r="B1273" s="75" t="n">
        <v>46216.34375</v>
      </c>
      <c r="C1273" s="7" t="inlineStr">
        <is>
          <t>Plan préventif</t>
        </is>
      </c>
      <c r="D1273" s="7" t="inlineStr">
        <is>
          <t>EQ-USI-012</t>
        </is>
      </c>
      <c r="E1273" s="9">
        <f>IF(D1273="","",IFERROR(INDEX('Équipements'!$B$5:$B$304,MATCH(D1273,'Équipements'!$A$5:$A$304,0)),"Code inconnu"))</f>
        <v/>
      </c>
      <c r="F1273" s="9">
        <f>IF(D1273="","",IFERROR(INDEX('Équipements'!$D$5:$D$304,MATCH(D1273,'Équipements'!$A$5:$A$304,0)),""))</f>
        <v/>
      </c>
      <c r="G1273" s="9">
        <f>IF(D1273="","",IFERROR(INDEX('Équipements'!$K$5:$K$304,MATCH(D1273,'Équipements'!$A$5:$A$304,0)),""))</f>
        <v/>
      </c>
      <c r="H1273" s="7" t="inlineStr">
        <is>
          <t>Préventif systématique</t>
        </is>
      </c>
      <c r="I1273" s="7" t="inlineStr">
        <is>
          <t>GP-035</t>
        </is>
      </c>
      <c r="J1273" s="7" t="inlineStr">
        <is>
          <t>Mécanique</t>
        </is>
      </c>
      <c r="K1273" s="7" t="inlineStr">
        <is>
          <t>P3 - Normale</t>
        </is>
      </c>
      <c r="L1273" s="7" t="inlineStr">
        <is>
          <t>Nettoyage torche et contrôle faisceau</t>
        </is>
      </c>
      <c r="M1273" s="7" t="n"/>
      <c r="N1273" s="7" t="inlineStr">
        <is>
          <t>Gamme réalisée - RAS</t>
        </is>
      </c>
      <c r="O1273" s="7" t="inlineStr">
        <is>
          <t>Lucas Fontaine</t>
        </is>
      </c>
      <c r="P1273" s="65" t="n">
        <v>46223.39930555555</v>
      </c>
      <c r="Q1273" s="75" t="n">
        <v>46223.25694444445</v>
      </c>
      <c r="R1273" s="75" t="n">
        <v>46223.28819444445</v>
      </c>
      <c r="S1273" s="76" t="n">
        <v>0</v>
      </c>
      <c r="T1273" s="76" t="n">
        <v>0.75</v>
      </c>
      <c r="U1273" s="70">
        <f>IF($A1273="","",IFERROR(INDEX('Techniciens'!$F$5:$F$44,MATCH(O1273,'Techniciens'!$B$5:$B$44,0)),'Paramètres'!$AA$10))</f>
        <v/>
      </c>
      <c r="V1273" s="70">
        <f>IF($A1273="","",IF(OR(AC1273="Demandé",AC1273="Planifié",AC1273="Annulé"),0,N(T1273)*N(U1273)))</f>
        <v/>
      </c>
      <c r="W1273" s="70">
        <f>IF($A1273="","",SUMIFS('Mouvements stock'!$H$5:$H$3004,'Mouvements stock'!$I$5:$I$3004,$A1273,'Mouvements stock'!$C$5:$C$3004,"Sortie")-SUMIFS('Mouvements stock'!$H$5:$H$3004,'Mouvements stock'!$I$5:$I$3004,$A1273,'Mouvements stock'!$C$5:$C$3004,"Retour"))</f>
        <v/>
      </c>
      <c r="X1273" s="66" t="n">
        <v>0</v>
      </c>
      <c r="Y1273" s="66" t="n">
        <v>0</v>
      </c>
      <c r="Z1273" s="7" t="n"/>
      <c r="AA1273" s="70">
        <f>IF($A1273="","",N(V1273)+N(W1273)+N(X1273)+N(Y1273))</f>
        <v/>
      </c>
      <c r="AB1273" s="70">
        <f>IF($A1273="","",N(S1273)*'Paramètres'!$AA$9*IFERROR(INDEX('Paramètres'!$O$5:$O$7,MATCH(G1273,'Paramètres'!$N$5:$N$7,0)),0))</f>
        <v/>
      </c>
      <c r="AC1273" s="7" t="inlineStr">
        <is>
          <t>Clôturé</t>
        </is>
      </c>
      <c r="AD1273" s="69">
        <f>IF(OR($A1273="",Q1273=""),"",(Q1273-B1273)*24)</f>
        <v/>
      </c>
      <c r="AE1273" s="69">
        <f>IF(OR(Q1273="",R1273=""),"",(R1273-Q1273)*24)</f>
        <v/>
      </c>
      <c r="AF1273" s="77">
        <f>IF(OR($A1273="",B1273=""),"",YEAR(B1273))</f>
        <v/>
      </c>
      <c r="AG1273" s="77">
        <f>IF(OR($A1273="",B1273=""),"",MONTH(B1273))</f>
        <v/>
      </c>
    </row>
    <row r="1274">
      <c r="A1274" s="7" t="inlineStr">
        <is>
          <t>OT-2026-0419</t>
        </is>
      </c>
      <c r="B1274" s="75" t="n">
        <v>46216.42361111111</v>
      </c>
      <c r="C1274" s="7" t="inlineStr">
        <is>
          <t>Plan préventif</t>
        </is>
      </c>
      <c r="D1274" s="7" t="inlineStr">
        <is>
          <t>EQ-UTI-001</t>
        </is>
      </c>
      <c r="E1274" s="9">
        <f>IF(D1274="","",IFERROR(INDEX('Équipements'!$B$5:$B$304,MATCH(D1274,'Équipements'!$A$5:$A$304,0)),"Code inconnu"))</f>
        <v/>
      </c>
      <c r="F1274" s="9">
        <f>IF(D1274="","",IFERROR(INDEX('Équipements'!$D$5:$D$304,MATCH(D1274,'Équipements'!$A$5:$A$304,0)),""))</f>
        <v/>
      </c>
      <c r="G1274" s="9">
        <f>IF(D1274="","",IFERROR(INDEX('Équipements'!$K$5:$K$304,MATCH(D1274,'Équipements'!$A$5:$A$304,0)),""))</f>
        <v/>
      </c>
      <c r="H1274" s="7" t="inlineStr">
        <is>
          <t>Préventif systématique</t>
        </is>
      </c>
      <c r="I1274" s="7" t="inlineStr">
        <is>
          <t>GP-088</t>
        </is>
      </c>
      <c r="J1274" s="7" t="inlineStr">
        <is>
          <t>Pneumatique</t>
        </is>
      </c>
      <c r="K1274" s="7" t="inlineStr">
        <is>
          <t>P3 - Normale</t>
        </is>
      </c>
      <c r="L1274" s="7" t="inlineStr">
        <is>
          <t>Purge, contrôle fuites et point de rosée</t>
        </is>
      </c>
      <c r="M1274" s="7" t="n"/>
      <c r="N1274" s="7" t="inlineStr">
        <is>
          <t>Gamme réalisée - RAS</t>
        </is>
      </c>
      <c r="O1274" s="7" t="inlineStr">
        <is>
          <t>Julien Moreau</t>
        </is>
      </c>
      <c r="P1274" s="65" t="n">
        <v>46223.38541666666</v>
      </c>
      <c r="Q1274" s="75" t="n">
        <v>46223.375</v>
      </c>
      <c r="R1274" s="75" t="n">
        <v>46223.42708333334</v>
      </c>
      <c r="S1274" s="76" t="n">
        <v>0</v>
      </c>
      <c r="T1274" s="76" t="n">
        <v>1.25</v>
      </c>
      <c r="U1274" s="70">
        <f>IF($A1274="","",IFERROR(INDEX('Techniciens'!$F$5:$F$44,MATCH(O1274,'Techniciens'!$B$5:$B$44,0)),'Paramètres'!$AA$10))</f>
        <v/>
      </c>
      <c r="V1274" s="70">
        <f>IF($A1274="","",IF(OR(AC1274="Demandé",AC1274="Planifié",AC1274="Annulé"),0,N(T1274)*N(U1274)))</f>
        <v/>
      </c>
      <c r="W1274" s="70">
        <f>IF($A1274="","",SUMIFS('Mouvements stock'!$H$5:$H$3004,'Mouvements stock'!$I$5:$I$3004,$A1274,'Mouvements stock'!$C$5:$C$3004,"Sortie")-SUMIFS('Mouvements stock'!$H$5:$H$3004,'Mouvements stock'!$I$5:$I$3004,$A1274,'Mouvements stock'!$C$5:$C$3004,"Retour"))</f>
        <v/>
      </c>
      <c r="X1274" s="66" t="n">
        <v>0</v>
      </c>
      <c r="Y1274" s="66" t="n">
        <v>0</v>
      </c>
      <c r="Z1274" s="7" t="n"/>
      <c r="AA1274" s="70">
        <f>IF($A1274="","",N(V1274)+N(W1274)+N(X1274)+N(Y1274))</f>
        <v/>
      </c>
      <c r="AB1274" s="70">
        <f>IF($A1274="","",N(S1274)*'Paramètres'!$AA$9*IFERROR(INDEX('Paramètres'!$O$5:$O$7,MATCH(G1274,'Paramètres'!$N$5:$N$7,0)),0))</f>
        <v/>
      </c>
      <c r="AC1274" s="7" t="inlineStr">
        <is>
          <t>Clôturé</t>
        </is>
      </c>
      <c r="AD1274" s="69">
        <f>IF(OR($A1274="",Q1274=""),"",(Q1274-B1274)*24)</f>
        <v/>
      </c>
      <c r="AE1274" s="69">
        <f>IF(OR(Q1274="",R1274=""),"",(R1274-Q1274)*24)</f>
        <v/>
      </c>
      <c r="AF1274" s="77">
        <f>IF(OR($A1274="",B1274=""),"",YEAR(B1274))</f>
        <v/>
      </c>
      <c r="AG1274" s="77">
        <f>IF(OR($A1274="",B1274=""),"",MONTH(B1274))</f>
        <v/>
      </c>
    </row>
    <row r="1275">
      <c r="A1275" s="7" t="inlineStr">
        <is>
          <t>OT-2026-0420</t>
        </is>
      </c>
      <c r="B1275" s="75" t="n">
        <v>46216.45277777778</v>
      </c>
      <c r="C1275" s="7" t="inlineStr">
        <is>
          <t>Céline Morel (cheffe d'atelier)</t>
        </is>
      </c>
      <c r="D1275" s="7" t="inlineStr">
        <is>
          <t>EQ-TOL-004</t>
        </is>
      </c>
      <c r="E1275" s="9">
        <f>IF(D1275="","",IFERROR(INDEX('Équipements'!$B$5:$B$304,MATCH(D1275,'Équipements'!$A$5:$A$304,0)),"Code inconnu"))</f>
        <v/>
      </c>
      <c r="F1275" s="9">
        <f>IF(D1275="","",IFERROR(INDEX('Équipements'!$D$5:$D$304,MATCH(D1275,'Équipements'!$A$5:$A$304,0)),""))</f>
        <v/>
      </c>
      <c r="G1275" s="9">
        <f>IF(D1275="","",IFERROR(INDEX('Équipements'!$K$5:$K$304,MATCH(D1275,'Équipements'!$A$5:$A$304,0)),""))</f>
        <v/>
      </c>
      <c r="H1275" s="7" t="inlineStr">
        <is>
          <t>Correctif</t>
        </is>
      </c>
      <c r="I1275" s="7" t="n"/>
      <c r="J1275" s="7" t="inlineStr">
        <is>
          <t>Automatisme</t>
        </is>
      </c>
      <c r="K1275" s="7" t="inlineStr">
        <is>
          <t>P2 - Haute</t>
        </is>
      </c>
      <c r="L1275" s="7" t="inlineStr">
        <is>
          <t>Défaut de synchronisation Y1/Y2</t>
        </is>
      </c>
      <c r="M1275" s="7" t="inlineStr">
        <is>
          <t>Défaut capteur</t>
        </is>
      </c>
      <c r="N1275" s="7" t="inlineStr">
        <is>
          <t>Recalage règles de mesure, contrôle distributeur proportionnel</t>
        </is>
      </c>
      <c r="O1275" s="7" t="inlineStr">
        <is>
          <t>Julien Moreau</t>
        </is>
      </c>
      <c r="P1275" s="65" t="n"/>
      <c r="Q1275" s="75" t="n">
        <v>46216.52777777778</v>
      </c>
      <c r="R1275" s="75" t="n">
        <v>46216.69444444445</v>
      </c>
      <c r="S1275" s="76" t="n">
        <v>5.8</v>
      </c>
      <c r="T1275" s="76" t="n">
        <v>4</v>
      </c>
      <c r="U1275" s="70">
        <f>IF($A1275="","",IFERROR(INDEX('Techniciens'!$F$5:$F$44,MATCH(O1275,'Techniciens'!$B$5:$B$44,0)),'Paramètres'!$AA$10))</f>
        <v/>
      </c>
      <c r="V1275" s="70">
        <f>IF($A1275="","",IF(OR(AC1275="Demandé",AC1275="Planifié",AC1275="Annulé"),0,N(T1275)*N(U1275)))</f>
        <v/>
      </c>
      <c r="W1275" s="70">
        <f>IF($A1275="","",SUMIFS('Mouvements stock'!$H$5:$H$3004,'Mouvements stock'!$I$5:$I$3004,$A1275,'Mouvements stock'!$C$5:$C$3004,"Sortie")-SUMIFS('Mouvements stock'!$H$5:$H$3004,'Mouvements stock'!$I$5:$I$3004,$A1275,'Mouvements stock'!$C$5:$C$3004,"Retour"))</f>
        <v/>
      </c>
      <c r="X1275" s="66" t="n">
        <v>47</v>
      </c>
      <c r="Y1275" s="66" t="n">
        <v>500</v>
      </c>
      <c r="Z1275" s="7" t="inlineStr">
        <is>
          <t>HydroFluid Services</t>
        </is>
      </c>
      <c r="AA1275" s="70">
        <f>IF($A1275="","",N(V1275)+N(W1275)+N(X1275)+N(Y1275))</f>
        <v/>
      </c>
      <c r="AB1275" s="70">
        <f>IF($A1275="","",N(S1275)*'Paramètres'!$AA$9*IFERROR(INDEX('Paramètres'!$O$5:$O$7,MATCH(G1275,'Paramètres'!$N$5:$N$7,0)),0))</f>
        <v/>
      </c>
      <c r="AC1275" s="7" t="inlineStr">
        <is>
          <t>Clôturé</t>
        </is>
      </c>
      <c r="AD1275" s="69">
        <f>IF(OR($A1275="",Q1275=""),"",(Q1275-B1275)*24)</f>
        <v/>
      </c>
      <c r="AE1275" s="69">
        <f>IF(OR(Q1275="",R1275=""),"",(R1275-Q1275)*24)</f>
        <v/>
      </c>
      <c r="AF1275" s="77">
        <f>IF(OR($A1275="",B1275=""),"",YEAR(B1275))</f>
        <v/>
      </c>
      <c r="AG1275" s="77">
        <f>IF(OR($A1275="",B1275=""),"",MONTH(B1275))</f>
        <v/>
      </c>
    </row>
    <row r="1276">
      <c r="A1276" s="7" t="inlineStr">
        <is>
          <t>OT-2026-0421</t>
        </is>
      </c>
      <c r="B1276" s="75" t="n">
        <v>46216.48958333334</v>
      </c>
      <c r="C1276" s="7" t="inlineStr">
        <is>
          <t>Plan préventif</t>
        </is>
      </c>
      <c r="D1276" s="7" t="inlineStr">
        <is>
          <t>EQ-LOG-002</t>
        </is>
      </c>
      <c r="E1276" s="9">
        <f>IF(D1276="","",IFERROR(INDEX('Équipements'!$B$5:$B$304,MATCH(D1276,'Équipements'!$A$5:$A$304,0)),"Code inconnu"))</f>
        <v/>
      </c>
      <c r="F1276" s="9">
        <f>IF(D1276="","",IFERROR(INDEX('Équipements'!$D$5:$D$304,MATCH(D1276,'Équipements'!$A$5:$A$304,0)),""))</f>
        <v/>
      </c>
      <c r="G1276" s="9">
        <f>IF(D1276="","",IFERROR(INDEX('Équipements'!$K$5:$K$304,MATCH(D1276,'Équipements'!$A$5:$A$304,0)),""))</f>
        <v/>
      </c>
      <c r="H1276" s="7" t="inlineStr">
        <is>
          <t>Préventif systématique</t>
        </is>
      </c>
      <c r="I1276" s="7" t="inlineStr">
        <is>
          <t>GP-107</t>
        </is>
      </c>
      <c r="J1276" s="7" t="inlineStr">
        <is>
          <t>Multi-technique</t>
        </is>
      </c>
      <c r="K1276" s="7" t="inlineStr">
        <is>
          <t>P3 - Normale</t>
        </is>
      </c>
      <c r="L1276" s="7" t="inlineStr">
        <is>
          <t>Entretien périodique constructeur</t>
        </is>
      </c>
      <c r="M1276" s="7" t="n"/>
      <c r="N1276" s="7" t="inlineStr">
        <is>
          <t>Gamme réalisée - RAS</t>
        </is>
      </c>
      <c r="O1276" s="7" t="inlineStr">
        <is>
          <t>Antoine Mercier</t>
        </is>
      </c>
      <c r="P1276" s="65" t="n">
        <v>46223.64930555555</v>
      </c>
      <c r="Q1276" s="75" t="n">
        <v>46223.33333333334</v>
      </c>
      <c r="R1276" s="75" t="n">
        <v>46223.48958333334</v>
      </c>
      <c r="S1276" s="76" t="n">
        <v>3.8</v>
      </c>
      <c r="T1276" s="76" t="n">
        <v>2</v>
      </c>
      <c r="U1276" s="70">
        <f>IF($A1276="","",IFERROR(INDEX('Techniciens'!$F$5:$F$44,MATCH(O1276,'Techniciens'!$B$5:$B$44,0)),'Paramètres'!$AA$10))</f>
        <v/>
      </c>
      <c r="V1276" s="70">
        <f>IF($A1276="","",IF(OR(AC1276="Demandé",AC1276="Planifié",AC1276="Annulé"),0,N(T1276)*N(U1276)))</f>
        <v/>
      </c>
      <c r="W1276" s="70">
        <f>IF($A1276="","",SUMIFS('Mouvements stock'!$H$5:$H$3004,'Mouvements stock'!$I$5:$I$3004,$A1276,'Mouvements stock'!$C$5:$C$3004,"Sortie")-SUMIFS('Mouvements stock'!$H$5:$H$3004,'Mouvements stock'!$I$5:$I$3004,$A1276,'Mouvements stock'!$C$5:$C$3004,"Retour"))</f>
        <v/>
      </c>
      <c r="X1276" s="66" t="n">
        <v>0</v>
      </c>
      <c r="Y1276" s="66" t="n">
        <v>420</v>
      </c>
      <c r="Z1276" s="7" t="inlineStr">
        <is>
          <t>Manutention Services 44</t>
        </is>
      </c>
      <c r="AA1276" s="70">
        <f>IF($A1276="","",N(V1276)+N(W1276)+N(X1276)+N(Y1276))</f>
        <v/>
      </c>
      <c r="AB1276" s="70">
        <f>IF($A1276="","",N(S1276)*'Paramètres'!$AA$9*IFERROR(INDEX('Paramètres'!$O$5:$O$7,MATCH(G1276,'Paramètres'!$N$5:$N$7,0)),0))</f>
        <v/>
      </c>
      <c r="AC1276" s="7" t="inlineStr">
        <is>
          <t>Clôturé</t>
        </is>
      </c>
      <c r="AD1276" s="69">
        <f>IF(OR($A1276="",Q1276=""),"",(Q1276-B1276)*24)</f>
        <v/>
      </c>
      <c r="AE1276" s="69">
        <f>IF(OR(Q1276="",R1276=""),"",(R1276-Q1276)*24)</f>
        <v/>
      </c>
      <c r="AF1276" s="77">
        <f>IF(OR($A1276="",B1276=""),"",YEAR(B1276))</f>
        <v/>
      </c>
      <c r="AG1276" s="77">
        <f>IF(OR($A1276="",B1276=""),"",MONTH(B1276))</f>
        <v/>
      </c>
    </row>
    <row r="1277">
      <c r="A1277" s="7" t="inlineStr">
        <is>
          <t>OT-2026-0422</t>
        </is>
      </c>
      <c r="B1277" s="75" t="n">
        <v>46216.83055555556</v>
      </c>
      <c r="C1277" s="7" t="inlineStr">
        <is>
          <t>Opérateur tôlerie</t>
        </is>
      </c>
      <c r="D1277" s="7" t="inlineStr">
        <is>
          <t>EQ-TOL-001</t>
        </is>
      </c>
      <c r="E1277" s="9">
        <f>IF(D1277="","",IFERROR(INDEX('Équipements'!$B$5:$B$304,MATCH(D1277,'Équipements'!$A$5:$A$304,0)),"Code inconnu"))</f>
        <v/>
      </c>
      <c r="F1277" s="9">
        <f>IF(D1277="","",IFERROR(INDEX('Équipements'!$D$5:$D$304,MATCH(D1277,'Équipements'!$A$5:$A$304,0)),""))</f>
        <v/>
      </c>
      <c r="G1277" s="9">
        <f>IF(D1277="","",IFERROR(INDEX('Équipements'!$K$5:$K$304,MATCH(D1277,'Équipements'!$A$5:$A$304,0)),""))</f>
        <v/>
      </c>
      <c r="H1277" s="7" t="inlineStr">
        <is>
          <t>Correctif</t>
        </is>
      </c>
      <c r="I1277" s="7" t="n"/>
      <c r="J1277" s="7" t="inlineStr">
        <is>
          <t>Mécanique</t>
        </is>
      </c>
      <c r="K1277" s="7" t="inlineStr">
        <is>
          <t>P1 - Urgent</t>
        </is>
      </c>
      <c r="L1277" s="7" t="inlineStr">
        <is>
          <t>Alarme débit d'eau groupe froid laser</t>
        </is>
      </c>
      <c r="M1277" s="7" t="inlineStr">
        <is>
          <t>Encrassement</t>
        </is>
      </c>
      <c r="N1277" s="7" t="inlineStr">
        <is>
          <t>Nettoyage filtres chiller, appoint eau déminéralisée</t>
        </is>
      </c>
      <c r="O1277" s="7" t="inlineStr">
        <is>
          <t>Lucas Fontaine</t>
        </is>
      </c>
      <c r="P1277" s="65" t="n"/>
      <c r="Q1277" s="75" t="n">
        <v>46216.87152777778</v>
      </c>
      <c r="R1277" s="75" t="n">
        <v>46219.04519920329</v>
      </c>
      <c r="S1277" s="76" t="n">
        <v>33.3</v>
      </c>
      <c r="T1277" s="76" t="n">
        <v>12.5</v>
      </c>
      <c r="U1277" s="70">
        <f>IF($A1277="","",IFERROR(INDEX('Techniciens'!$F$5:$F$44,MATCH(O1277,'Techniciens'!$B$5:$B$44,0)),'Paramètres'!$AA$10))</f>
        <v/>
      </c>
      <c r="V1277" s="70">
        <f>IF($A1277="","",IF(OR(AC1277="Demandé",AC1277="Planifié",AC1277="Annulé"),0,N(T1277)*N(U1277)))</f>
        <v/>
      </c>
      <c r="W1277" s="70">
        <f>IF($A1277="","",SUMIFS('Mouvements stock'!$H$5:$H$3004,'Mouvements stock'!$I$5:$I$3004,$A1277,'Mouvements stock'!$C$5:$C$3004,"Sortie")-SUMIFS('Mouvements stock'!$H$5:$H$3004,'Mouvements stock'!$I$5:$I$3004,$A1277,'Mouvements stock'!$C$5:$C$3004,"Retour"))</f>
        <v/>
      </c>
      <c r="X1277" s="66" t="n">
        <v>0</v>
      </c>
      <c r="Y1277" s="66" t="n">
        <v>0</v>
      </c>
      <c r="Z1277" s="7" t="n"/>
      <c r="AA1277" s="70">
        <f>IF($A1277="","",N(V1277)+N(W1277)+N(X1277)+N(Y1277))</f>
        <v/>
      </c>
      <c r="AB1277" s="70">
        <f>IF($A1277="","",N(S1277)*'Paramètres'!$AA$9*IFERROR(INDEX('Paramètres'!$O$5:$O$7,MATCH(G1277,'Paramètres'!$N$5:$N$7,0)),0))</f>
        <v/>
      </c>
      <c r="AC1277" s="7" t="inlineStr">
        <is>
          <t>Clôturé</t>
        </is>
      </c>
      <c r="AD1277" s="69">
        <f>IF(OR($A1277="",Q1277=""),"",(Q1277-B1277)*24)</f>
        <v/>
      </c>
      <c r="AE1277" s="69">
        <f>IF(OR(Q1277="",R1277=""),"",(R1277-Q1277)*24)</f>
        <v/>
      </c>
      <c r="AF1277" s="77">
        <f>IF(OR($A1277="",B1277=""),"",YEAR(B1277))</f>
        <v/>
      </c>
      <c r="AG1277" s="77">
        <f>IF(OR($A1277="",B1277=""),"",MONTH(B1277))</f>
        <v/>
      </c>
    </row>
    <row r="1278">
      <c r="A1278" s="7" t="inlineStr">
        <is>
          <t>OT-2026-0423</t>
        </is>
      </c>
      <c r="B1278" s="75" t="n">
        <v>46217.35416666666</v>
      </c>
      <c r="C1278" s="7" t="inlineStr">
        <is>
          <t>Plan préventif</t>
        </is>
      </c>
      <c r="D1278" s="7" t="inlineStr">
        <is>
          <t>EQ-TOL-001</t>
        </is>
      </c>
      <c r="E1278" s="9">
        <f>IF(D1278="","",IFERROR(INDEX('Équipements'!$B$5:$B$304,MATCH(D1278,'Équipements'!$A$5:$A$304,0)),"Code inconnu"))</f>
        <v/>
      </c>
      <c r="F1278" s="9">
        <f>IF(D1278="","",IFERROR(INDEX('Équipements'!$D$5:$D$304,MATCH(D1278,'Équipements'!$A$5:$A$304,0)),""))</f>
        <v/>
      </c>
      <c r="G1278" s="9">
        <f>IF(D1278="","",IFERROR(INDEX('Équipements'!$K$5:$K$304,MATCH(D1278,'Équipements'!$A$5:$A$304,0)),""))</f>
        <v/>
      </c>
      <c r="H1278" s="7" t="inlineStr">
        <is>
          <t>Préventif systématique</t>
        </is>
      </c>
      <c r="I1278" s="7" t="inlineStr">
        <is>
          <t>GP-039</t>
        </is>
      </c>
      <c r="J1278" s="7" t="inlineStr">
        <is>
          <t>Mécanique</t>
        </is>
      </c>
      <c r="K1278" s="7" t="inlineStr">
        <is>
          <t>P3 - Normale</t>
        </is>
      </c>
      <c r="L1278" s="7" t="inlineStr">
        <is>
          <t>Maintenance groupe froid laser (filtres, eau)</t>
        </is>
      </c>
      <c r="M1278" s="7" t="n"/>
      <c r="N1278" s="7" t="inlineStr">
        <is>
          <t>Gamme réalisée - RAS</t>
        </is>
      </c>
      <c r="O1278" s="7" t="inlineStr">
        <is>
          <t>Antoine Mercier</t>
        </is>
      </c>
      <c r="P1278" s="65" t="n">
        <v>46224.71527777778</v>
      </c>
      <c r="Q1278" s="75" t="n">
        <v>46224.55555555555</v>
      </c>
      <c r="R1278" s="75" t="n">
        <v>46224.65972222222</v>
      </c>
      <c r="S1278" s="76" t="n">
        <v>0</v>
      </c>
      <c r="T1278" s="76" t="n">
        <v>2.5</v>
      </c>
      <c r="U1278" s="70">
        <f>IF($A1278="","",IFERROR(INDEX('Techniciens'!$F$5:$F$44,MATCH(O1278,'Techniciens'!$B$5:$B$44,0)),'Paramètres'!$AA$10))</f>
        <v/>
      </c>
      <c r="V1278" s="70">
        <f>IF($A1278="","",IF(OR(AC1278="Demandé",AC1278="Planifié",AC1278="Annulé"),0,N(T1278)*N(U1278)))</f>
        <v/>
      </c>
      <c r="W1278" s="70">
        <f>IF($A1278="","",SUMIFS('Mouvements stock'!$H$5:$H$3004,'Mouvements stock'!$I$5:$I$3004,$A1278,'Mouvements stock'!$C$5:$C$3004,"Sortie")-SUMIFS('Mouvements stock'!$H$5:$H$3004,'Mouvements stock'!$I$5:$I$3004,$A1278,'Mouvements stock'!$C$5:$C$3004,"Retour"))</f>
        <v/>
      </c>
      <c r="X1278" s="66" t="n">
        <v>0</v>
      </c>
      <c r="Y1278" s="66" t="n">
        <v>0</v>
      </c>
      <c r="Z1278" s="7" t="n"/>
      <c r="AA1278" s="70">
        <f>IF($A1278="","",N(V1278)+N(W1278)+N(X1278)+N(Y1278))</f>
        <v/>
      </c>
      <c r="AB1278" s="70">
        <f>IF($A1278="","",N(S1278)*'Paramètres'!$AA$9*IFERROR(INDEX('Paramètres'!$O$5:$O$7,MATCH(G1278,'Paramètres'!$N$5:$N$7,0)),0))</f>
        <v/>
      </c>
      <c r="AC1278" s="7" t="inlineStr">
        <is>
          <t>Clôturé</t>
        </is>
      </c>
      <c r="AD1278" s="69">
        <f>IF(OR($A1278="",Q1278=""),"",(Q1278-B1278)*24)</f>
        <v/>
      </c>
      <c r="AE1278" s="69">
        <f>IF(OR(Q1278="",R1278=""),"",(R1278-Q1278)*24)</f>
        <v/>
      </c>
      <c r="AF1278" s="77">
        <f>IF(OR($A1278="",B1278=""),"",YEAR(B1278))</f>
        <v/>
      </c>
      <c r="AG1278" s="77">
        <f>IF(OR($A1278="",B1278=""),"",MONTH(B1278))</f>
        <v/>
      </c>
    </row>
    <row r="1279">
      <c r="A1279" s="7" t="inlineStr">
        <is>
          <t>OT-2026-0424</t>
        </is>
      </c>
      <c r="B1279" s="75" t="n">
        <v>46217.36111111111</v>
      </c>
      <c r="C1279" s="7" t="inlineStr">
        <is>
          <t>Plan préventif</t>
        </is>
      </c>
      <c r="D1279" s="7" t="inlineStr">
        <is>
          <t>EQ-UTI-005</t>
        </is>
      </c>
      <c r="E1279" s="9">
        <f>IF(D1279="","",IFERROR(INDEX('Équipements'!$B$5:$B$304,MATCH(D1279,'Équipements'!$A$5:$A$304,0)),"Code inconnu"))</f>
        <v/>
      </c>
      <c r="F1279" s="9">
        <f>IF(D1279="","",IFERROR(INDEX('Équipements'!$D$5:$D$304,MATCH(D1279,'Équipements'!$A$5:$A$304,0)),""))</f>
        <v/>
      </c>
      <c r="G1279" s="9">
        <f>IF(D1279="","",IFERROR(INDEX('Équipements'!$K$5:$K$304,MATCH(D1279,'Équipements'!$A$5:$A$304,0)),""))</f>
        <v/>
      </c>
      <c r="H1279" s="7" t="inlineStr">
        <is>
          <t>Préventif systématique</t>
        </is>
      </c>
      <c r="I1279" s="7" t="inlineStr">
        <is>
          <t>GP-094</t>
        </is>
      </c>
      <c r="J1279" s="7" t="inlineStr">
        <is>
          <t>Multi-technique</t>
        </is>
      </c>
      <c r="K1279" s="7" t="inlineStr">
        <is>
          <t>P3 - Normale</t>
        </is>
      </c>
      <c r="L1279" s="7" t="inlineStr">
        <is>
          <t>Entretien annuel complet</t>
        </is>
      </c>
      <c r="M1279" s="7" t="n"/>
      <c r="N1279" s="7" t="inlineStr">
        <is>
          <t>Gamme réalisée - RAS</t>
        </is>
      </c>
      <c r="O1279" s="7" t="inlineStr">
        <is>
          <t>Antoine Mercier</t>
        </is>
      </c>
      <c r="P1279" s="65" t="n">
        <v>46224.51041666666</v>
      </c>
      <c r="Q1279" s="75" t="n">
        <v>46224.32638888889</v>
      </c>
      <c r="R1279" s="75" t="n">
        <v>46224.62847222222</v>
      </c>
      <c r="S1279" s="76" t="n">
        <v>0</v>
      </c>
      <c r="T1279" s="76" t="n">
        <v>2</v>
      </c>
      <c r="U1279" s="70">
        <f>IF($A1279="","",IFERROR(INDEX('Techniciens'!$F$5:$F$44,MATCH(O1279,'Techniciens'!$B$5:$B$44,0)),'Paramètres'!$AA$10))</f>
        <v/>
      </c>
      <c r="V1279" s="70">
        <f>IF($A1279="","",IF(OR(AC1279="Demandé",AC1279="Planifié",AC1279="Annulé"),0,N(T1279)*N(U1279)))</f>
        <v/>
      </c>
      <c r="W1279" s="70">
        <f>IF($A1279="","",SUMIFS('Mouvements stock'!$H$5:$H$3004,'Mouvements stock'!$I$5:$I$3004,$A1279,'Mouvements stock'!$C$5:$C$3004,"Sortie")-SUMIFS('Mouvements stock'!$H$5:$H$3004,'Mouvements stock'!$I$5:$I$3004,$A1279,'Mouvements stock'!$C$5:$C$3004,"Retour"))</f>
        <v/>
      </c>
      <c r="X1279" s="66" t="n">
        <v>0</v>
      </c>
      <c r="Y1279" s="66" t="n">
        <v>770</v>
      </c>
      <c r="Z1279" s="7" t="inlineStr">
        <is>
          <t>Thermique &amp; Clim Services</t>
        </is>
      </c>
      <c r="AA1279" s="70">
        <f>IF($A1279="","",N(V1279)+N(W1279)+N(X1279)+N(Y1279))</f>
        <v/>
      </c>
      <c r="AB1279" s="70">
        <f>IF($A1279="","",N(S1279)*'Paramètres'!$AA$9*IFERROR(INDEX('Paramètres'!$O$5:$O$7,MATCH(G1279,'Paramètres'!$N$5:$N$7,0)),0))</f>
        <v/>
      </c>
      <c r="AC1279" s="7" t="inlineStr">
        <is>
          <t>Clôturé</t>
        </is>
      </c>
      <c r="AD1279" s="69">
        <f>IF(OR($A1279="",Q1279=""),"",(Q1279-B1279)*24)</f>
        <v/>
      </c>
      <c r="AE1279" s="69">
        <f>IF(OR(Q1279="",R1279=""),"",(R1279-Q1279)*24)</f>
        <v/>
      </c>
      <c r="AF1279" s="77">
        <f>IF(OR($A1279="",B1279=""),"",YEAR(B1279))</f>
        <v/>
      </c>
      <c r="AG1279" s="77">
        <f>IF(OR($A1279="",B1279=""),"",MONTH(B1279))</f>
        <v/>
      </c>
    </row>
    <row r="1280">
      <c r="A1280" s="7" t="inlineStr">
        <is>
          <t>OT-2026-0425</t>
        </is>
      </c>
      <c r="B1280" s="75" t="n">
        <v>46217.46527777778</v>
      </c>
      <c r="C1280" s="7" t="inlineStr">
        <is>
          <t>Plan préventif</t>
        </is>
      </c>
      <c r="D1280" s="7" t="inlineStr">
        <is>
          <t>EQ-TOL-006</t>
        </is>
      </c>
      <c r="E1280" s="9">
        <f>IF(D1280="","",IFERROR(INDEX('Équipements'!$B$5:$B$304,MATCH(D1280,'Équipements'!$A$5:$A$304,0)),"Code inconnu"))</f>
        <v/>
      </c>
      <c r="F1280" s="9">
        <f>IF(D1280="","",IFERROR(INDEX('Équipements'!$D$5:$D$304,MATCH(D1280,'Équipements'!$A$5:$A$304,0)),""))</f>
        <v/>
      </c>
      <c r="G1280" s="9">
        <f>IF(D1280="","",IFERROR(INDEX('Équipements'!$K$5:$K$304,MATCH(D1280,'Équipements'!$A$5:$A$304,0)),""))</f>
        <v/>
      </c>
      <c r="H1280" s="7" t="inlineStr">
        <is>
          <t>Préventif systématique</t>
        </is>
      </c>
      <c r="I1280" s="7" t="inlineStr">
        <is>
          <t>GP-055</t>
        </is>
      </c>
      <c r="J1280" s="7" t="inlineStr">
        <is>
          <t>Électrique</t>
        </is>
      </c>
      <c r="K1280" s="7" t="inlineStr">
        <is>
          <t>P3 - Normale</t>
        </is>
      </c>
      <c r="L1280" s="7" t="inlineStr">
        <is>
          <t>Contrôle des sécurités (barrages, AU, pédale)</t>
        </is>
      </c>
      <c r="M1280" s="7" t="n"/>
      <c r="N1280" s="7" t="inlineStr">
        <is>
          <t>Gamme réalisée - RAS</t>
        </is>
      </c>
      <c r="O1280" s="7" t="inlineStr">
        <is>
          <t>Thomas Petit</t>
        </is>
      </c>
      <c r="P1280" s="65" t="n">
        <v>46224.61805555555</v>
      </c>
      <c r="Q1280" s="75" t="n">
        <v>46224.36458333334</v>
      </c>
      <c r="R1280" s="75" t="n">
        <v>46224.4375</v>
      </c>
      <c r="S1280" s="76" t="n">
        <v>0</v>
      </c>
      <c r="T1280" s="76" t="n">
        <v>1.75</v>
      </c>
      <c r="U1280" s="70">
        <f>IF($A1280="","",IFERROR(INDEX('Techniciens'!$F$5:$F$44,MATCH(O1280,'Techniciens'!$B$5:$B$44,0)),'Paramètres'!$AA$10))</f>
        <v/>
      </c>
      <c r="V1280" s="70">
        <f>IF($A1280="","",IF(OR(AC1280="Demandé",AC1280="Planifié",AC1280="Annulé"),0,N(T1280)*N(U1280)))</f>
        <v/>
      </c>
      <c r="W1280" s="70">
        <f>IF($A1280="","",SUMIFS('Mouvements stock'!$H$5:$H$3004,'Mouvements stock'!$I$5:$I$3004,$A1280,'Mouvements stock'!$C$5:$C$3004,"Sortie")-SUMIFS('Mouvements stock'!$H$5:$H$3004,'Mouvements stock'!$I$5:$I$3004,$A1280,'Mouvements stock'!$C$5:$C$3004,"Retour"))</f>
        <v/>
      </c>
      <c r="X1280" s="66" t="n">
        <v>0</v>
      </c>
      <c r="Y1280" s="66" t="n">
        <v>0</v>
      </c>
      <c r="Z1280" s="7" t="n"/>
      <c r="AA1280" s="70">
        <f>IF($A1280="","",N(V1280)+N(W1280)+N(X1280)+N(Y1280))</f>
        <v/>
      </c>
      <c r="AB1280" s="70">
        <f>IF($A1280="","",N(S1280)*'Paramètres'!$AA$9*IFERROR(INDEX('Paramètres'!$O$5:$O$7,MATCH(G1280,'Paramètres'!$N$5:$N$7,0)),0))</f>
        <v/>
      </c>
      <c r="AC1280" s="7" t="inlineStr">
        <is>
          <t>Clôturé</t>
        </is>
      </c>
      <c r="AD1280" s="69">
        <f>IF(OR($A1280="",Q1280=""),"",(Q1280-B1280)*24)</f>
        <v/>
      </c>
      <c r="AE1280" s="69">
        <f>IF(OR(Q1280="",R1280=""),"",(R1280-Q1280)*24)</f>
        <v/>
      </c>
      <c r="AF1280" s="77">
        <f>IF(OR($A1280="",B1280=""),"",YEAR(B1280))</f>
        <v/>
      </c>
      <c r="AG1280" s="77">
        <f>IF(OR($A1280="",B1280=""),"",MONTH(B1280))</f>
        <v/>
      </c>
    </row>
    <row r="1281">
      <c r="A1281" s="7" t="inlineStr">
        <is>
          <t>OT-2026-0426</t>
        </is>
      </c>
      <c r="B1281" s="75" t="n">
        <v>46218.34375</v>
      </c>
      <c r="C1281" s="7" t="inlineStr">
        <is>
          <t>Plan préventif</t>
        </is>
      </c>
      <c r="D1281" s="7" t="inlineStr">
        <is>
          <t>EQ-PEI-005</t>
        </is>
      </c>
      <c r="E1281" s="9">
        <f>IF(D1281="","",IFERROR(INDEX('Équipements'!$B$5:$B$304,MATCH(D1281,'Équipements'!$A$5:$A$304,0)),"Code inconnu"))</f>
        <v/>
      </c>
      <c r="F1281" s="9">
        <f>IF(D1281="","",IFERROR(INDEX('Équipements'!$D$5:$D$304,MATCH(D1281,'Équipements'!$A$5:$A$304,0)),""))</f>
        <v/>
      </c>
      <c r="G1281" s="9">
        <f>IF(D1281="","",IFERROR(INDEX('Équipements'!$K$5:$K$304,MATCH(D1281,'Équipements'!$A$5:$A$304,0)),""))</f>
        <v/>
      </c>
      <c r="H1281" s="7" t="inlineStr">
        <is>
          <t>Préventif systématique</t>
        </is>
      </c>
      <c r="I1281" s="7" t="inlineStr">
        <is>
          <t>GP-074</t>
        </is>
      </c>
      <c r="J1281" s="7" t="inlineStr">
        <is>
          <t>Mécanique</t>
        </is>
      </c>
      <c r="K1281" s="7" t="inlineStr">
        <is>
          <t>P3 - Normale</t>
        </is>
      </c>
      <c r="L1281" s="7" t="inlineStr">
        <is>
          <t>Nettoyage et remplacement des filtres</t>
        </is>
      </c>
      <c r="M1281" s="7" t="n"/>
      <c r="N1281" s="7" t="inlineStr">
        <is>
          <t>Gamme réalisée - RAS</t>
        </is>
      </c>
      <c r="O1281" s="7" t="inlineStr">
        <is>
          <t>Lucas Fontaine</t>
        </is>
      </c>
      <c r="P1281" s="65" t="n">
        <v>46225.73263888889</v>
      </c>
      <c r="Q1281" s="75" t="n">
        <v>46225.55208333334</v>
      </c>
      <c r="R1281" s="75" t="n">
        <v>46225.67708333334</v>
      </c>
      <c r="S1281" s="76" t="n">
        <v>1.5</v>
      </c>
      <c r="T1281" s="76" t="n">
        <v>3</v>
      </c>
      <c r="U1281" s="70">
        <f>IF($A1281="","",IFERROR(INDEX('Techniciens'!$F$5:$F$44,MATCH(O1281,'Techniciens'!$B$5:$B$44,0)),'Paramètres'!$AA$10))</f>
        <v/>
      </c>
      <c r="V1281" s="70">
        <f>IF($A1281="","",IF(OR(AC1281="Demandé",AC1281="Planifié",AC1281="Annulé"),0,N(T1281)*N(U1281)))</f>
        <v/>
      </c>
      <c r="W1281" s="70">
        <f>IF($A1281="","",SUMIFS('Mouvements stock'!$H$5:$H$3004,'Mouvements stock'!$I$5:$I$3004,$A1281,'Mouvements stock'!$C$5:$C$3004,"Sortie")-SUMIFS('Mouvements stock'!$H$5:$H$3004,'Mouvements stock'!$I$5:$I$3004,$A1281,'Mouvements stock'!$C$5:$C$3004,"Retour"))</f>
        <v/>
      </c>
      <c r="X1281" s="66" t="n">
        <v>0</v>
      </c>
      <c r="Y1281" s="66" t="n">
        <v>0</v>
      </c>
      <c r="Z1281" s="7" t="n"/>
      <c r="AA1281" s="70">
        <f>IF($A1281="","",N(V1281)+N(W1281)+N(X1281)+N(Y1281))</f>
        <v/>
      </c>
      <c r="AB1281" s="70">
        <f>IF($A1281="","",N(S1281)*'Paramètres'!$AA$9*IFERROR(INDEX('Paramètres'!$O$5:$O$7,MATCH(G1281,'Paramètres'!$N$5:$N$7,0)),0))</f>
        <v/>
      </c>
      <c r="AC1281" s="7" t="inlineStr">
        <is>
          <t>Clôturé</t>
        </is>
      </c>
      <c r="AD1281" s="69">
        <f>IF(OR($A1281="",Q1281=""),"",(Q1281-B1281)*24)</f>
        <v/>
      </c>
      <c r="AE1281" s="69">
        <f>IF(OR(Q1281="",R1281=""),"",(R1281-Q1281)*24)</f>
        <v/>
      </c>
      <c r="AF1281" s="77">
        <f>IF(OR($A1281="",B1281=""),"",YEAR(B1281))</f>
        <v/>
      </c>
      <c r="AG1281" s="77">
        <f>IF(OR($A1281="",B1281=""),"",MONTH(B1281))</f>
        <v/>
      </c>
    </row>
    <row r="1282">
      <c r="A1282" s="7" t="inlineStr">
        <is>
          <t>OT-2026-0427</t>
        </is>
      </c>
      <c r="B1282" s="75" t="n">
        <v>46218.44166666667</v>
      </c>
      <c r="C1282" s="7" t="inlineStr">
        <is>
          <t>Hugo Blanc (chef d'équipe)</t>
        </is>
      </c>
      <c r="D1282" s="7" t="inlineStr">
        <is>
          <t>EQ-SOU-001</t>
        </is>
      </c>
      <c r="E1282" s="9">
        <f>IF(D1282="","",IFERROR(INDEX('Équipements'!$B$5:$B$304,MATCH(D1282,'Équipements'!$A$5:$A$304,0)),"Code inconnu"))</f>
        <v/>
      </c>
      <c r="F1282" s="9">
        <f>IF(D1282="","",IFERROR(INDEX('Équipements'!$D$5:$D$304,MATCH(D1282,'Équipements'!$A$5:$A$304,0)),""))</f>
        <v/>
      </c>
      <c r="G1282" s="9">
        <f>IF(D1282="","",IFERROR(INDEX('Équipements'!$K$5:$K$304,MATCH(D1282,'Équipements'!$A$5:$A$304,0)),""))</f>
        <v/>
      </c>
      <c r="H1282" s="7" t="inlineStr">
        <is>
          <t>Correctif</t>
        </is>
      </c>
      <c r="I1282" s="7" t="n"/>
      <c r="J1282" s="7" t="inlineStr">
        <is>
          <t>Automatisme</t>
        </is>
      </c>
      <c r="K1282" s="7" t="inlineStr">
        <is>
          <t>P1 - Urgent</t>
        </is>
      </c>
      <c r="L1282" s="7" t="inlineStr">
        <is>
          <t>Défaut collision robot</t>
        </is>
      </c>
      <c r="M1282" s="7" t="inlineStr">
        <is>
          <t>Erreur opérateur</t>
        </is>
      </c>
      <c r="N1282" s="7" t="inlineStr">
        <is>
          <t>Recalage TCP, remplacement buse et tube contact</t>
        </is>
      </c>
      <c r="O1282" s="7" t="inlineStr">
        <is>
          <t>Julien Moreau</t>
        </is>
      </c>
      <c r="P1282" s="65" t="n"/>
      <c r="Q1282" s="75" t="n">
        <v>46218.45902777778</v>
      </c>
      <c r="R1282" s="75" t="n">
        <v>46218.72986111111</v>
      </c>
      <c r="S1282" s="76" t="n">
        <v>6.9</v>
      </c>
      <c r="T1282" s="76" t="n">
        <v>6.5</v>
      </c>
      <c r="U1282" s="70">
        <f>IF($A1282="","",IFERROR(INDEX('Techniciens'!$F$5:$F$44,MATCH(O1282,'Techniciens'!$B$5:$B$44,0)),'Paramètres'!$AA$10))</f>
        <v/>
      </c>
      <c r="V1282" s="70">
        <f>IF($A1282="","",IF(OR(AC1282="Demandé",AC1282="Planifié",AC1282="Annulé"),0,N(T1282)*N(U1282)))</f>
        <v/>
      </c>
      <c r="W1282" s="70">
        <f>IF($A1282="","",SUMIFS('Mouvements stock'!$H$5:$H$3004,'Mouvements stock'!$I$5:$I$3004,$A1282,'Mouvements stock'!$C$5:$C$3004,"Sortie")-SUMIFS('Mouvements stock'!$H$5:$H$3004,'Mouvements stock'!$I$5:$I$3004,$A1282,'Mouvements stock'!$C$5:$C$3004,"Retour"))</f>
        <v/>
      </c>
      <c r="X1282" s="66" t="n">
        <v>0</v>
      </c>
      <c r="Y1282" s="66" t="n">
        <v>0</v>
      </c>
      <c r="Z1282" s="7" t="n"/>
      <c r="AA1282" s="70">
        <f>IF($A1282="","",N(V1282)+N(W1282)+N(X1282)+N(Y1282))</f>
        <v/>
      </c>
      <c r="AB1282" s="70">
        <f>IF($A1282="","",N(S1282)*'Paramètres'!$AA$9*IFERROR(INDEX('Paramètres'!$O$5:$O$7,MATCH(G1282,'Paramètres'!$N$5:$N$7,0)),0))</f>
        <v/>
      </c>
      <c r="AC1282" s="7" t="inlineStr">
        <is>
          <t>Clôturé</t>
        </is>
      </c>
      <c r="AD1282" s="69">
        <f>IF(OR($A1282="",Q1282=""),"",(Q1282-B1282)*24)</f>
        <v/>
      </c>
      <c r="AE1282" s="69">
        <f>IF(OR(Q1282="",R1282=""),"",(R1282-Q1282)*24)</f>
        <v/>
      </c>
      <c r="AF1282" s="77">
        <f>IF(OR($A1282="",B1282=""),"",YEAR(B1282))</f>
        <v/>
      </c>
      <c r="AG1282" s="77">
        <f>IF(OR($A1282="",B1282=""),"",MONTH(B1282))</f>
        <v/>
      </c>
    </row>
    <row r="1283">
      <c r="A1283" s="7" t="inlineStr">
        <is>
          <t>OT-2026-0428</t>
        </is>
      </c>
      <c r="B1283" s="75" t="n">
        <v>46218.46527777778</v>
      </c>
      <c r="C1283" s="7" t="inlineStr">
        <is>
          <t>Plan préventif</t>
        </is>
      </c>
      <c r="D1283" s="7" t="inlineStr">
        <is>
          <t>EQ-ASS-006</t>
        </is>
      </c>
      <c r="E1283" s="9">
        <f>IF(D1283="","",IFERROR(INDEX('Équipements'!$B$5:$B$304,MATCH(D1283,'Équipements'!$A$5:$A$304,0)),"Code inconnu"))</f>
        <v/>
      </c>
      <c r="F1283" s="9">
        <f>IF(D1283="","",IFERROR(INDEX('Équipements'!$D$5:$D$304,MATCH(D1283,'Équipements'!$A$5:$A$304,0)),""))</f>
        <v/>
      </c>
      <c r="G1283" s="9">
        <f>IF(D1283="","",IFERROR(INDEX('Équipements'!$K$5:$K$304,MATCH(D1283,'Équipements'!$A$5:$A$304,0)),""))</f>
        <v/>
      </c>
      <c r="H1283" s="7" t="inlineStr">
        <is>
          <t>Préventif systématique</t>
        </is>
      </c>
      <c r="I1283" s="7" t="inlineStr">
        <is>
          <t>GP-085</t>
        </is>
      </c>
      <c r="J1283" s="7" t="inlineStr">
        <is>
          <t>Mécanique</t>
        </is>
      </c>
      <c r="K1283" s="7" t="inlineStr">
        <is>
          <t>P3 - Normale</t>
        </is>
      </c>
      <c r="L1283" s="7" t="inlineStr">
        <is>
          <t>Graissage chaîne / galets et contrôle tension</t>
        </is>
      </c>
      <c r="M1283" s="7" t="n"/>
      <c r="N1283" s="7" t="inlineStr">
        <is>
          <t>Gamme réalisée - DI émise pour remplacement pièce</t>
        </is>
      </c>
      <c r="O1283" s="7" t="inlineStr">
        <is>
          <t>Lucas Fontaine</t>
        </is>
      </c>
      <c r="P1283" s="65" t="n">
        <v>46225.52777777778</v>
      </c>
      <c r="Q1283" s="75" t="n">
        <v>46225.40277777778</v>
      </c>
      <c r="R1283" s="75" t="n">
        <v>46225.47569444445</v>
      </c>
      <c r="S1283" s="76" t="n">
        <v>1.8</v>
      </c>
      <c r="T1283" s="76" t="n">
        <v>1.75</v>
      </c>
      <c r="U1283" s="70">
        <f>IF($A1283="","",IFERROR(INDEX('Techniciens'!$F$5:$F$44,MATCH(O1283,'Techniciens'!$B$5:$B$44,0)),'Paramètres'!$AA$10))</f>
        <v/>
      </c>
      <c r="V1283" s="70">
        <f>IF($A1283="","",IF(OR(AC1283="Demandé",AC1283="Planifié",AC1283="Annulé"),0,N(T1283)*N(U1283)))</f>
        <v/>
      </c>
      <c r="W1283" s="70">
        <f>IF($A1283="","",SUMIFS('Mouvements stock'!$H$5:$H$3004,'Mouvements stock'!$I$5:$I$3004,$A1283,'Mouvements stock'!$C$5:$C$3004,"Sortie")-SUMIFS('Mouvements stock'!$H$5:$H$3004,'Mouvements stock'!$I$5:$I$3004,$A1283,'Mouvements stock'!$C$5:$C$3004,"Retour"))</f>
        <v/>
      </c>
      <c r="X1283" s="66" t="n">
        <v>0</v>
      </c>
      <c r="Y1283" s="66" t="n">
        <v>0</v>
      </c>
      <c r="Z1283" s="7" t="n"/>
      <c r="AA1283" s="70">
        <f>IF($A1283="","",N(V1283)+N(W1283)+N(X1283)+N(Y1283))</f>
        <v/>
      </c>
      <c r="AB1283" s="70">
        <f>IF($A1283="","",N(S1283)*'Paramètres'!$AA$9*IFERROR(INDEX('Paramètres'!$O$5:$O$7,MATCH(G1283,'Paramètres'!$N$5:$N$7,0)),0))</f>
        <v/>
      </c>
      <c r="AC1283" s="7" t="inlineStr">
        <is>
          <t>Clôturé</t>
        </is>
      </c>
      <c r="AD1283" s="69">
        <f>IF(OR($A1283="",Q1283=""),"",(Q1283-B1283)*24)</f>
        <v/>
      </c>
      <c r="AE1283" s="69">
        <f>IF(OR(Q1283="",R1283=""),"",(R1283-Q1283)*24)</f>
        <v/>
      </c>
      <c r="AF1283" s="77">
        <f>IF(OR($A1283="",B1283=""),"",YEAR(B1283))</f>
        <v/>
      </c>
      <c r="AG1283" s="77">
        <f>IF(OR($A1283="",B1283=""),"",MONTH(B1283))</f>
        <v/>
      </c>
    </row>
    <row r="1284">
      <c r="A1284" s="7" t="inlineStr">
        <is>
          <t>OT-2026-0429</t>
        </is>
      </c>
      <c r="B1284" s="75" t="n">
        <v>46218.48611111111</v>
      </c>
      <c r="C1284" s="7" t="inlineStr">
        <is>
          <t>Plan préventif</t>
        </is>
      </c>
      <c r="D1284" s="7" t="inlineStr">
        <is>
          <t>EQ-PEI-004</t>
        </is>
      </c>
      <c r="E1284" s="9">
        <f>IF(D1284="","",IFERROR(INDEX('Équipements'!$B$5:$B$304,MATCH(D1284,'Équipements'!$A$5:$A$304,0)),"Code inconnu"))</f>
        <v/>
      </c>
      <c r="F1284" s="9">
        <f>IF(D1284="","",IFERROR(INDEX('Équipements'!$D$5:$D$304,MATCH(D1284,'Équipements'!$A$5:$A$304,0)),""))</f>
        <v/>
      </c>
      <c r="G1284" s="9">
        <f>IF(D1284="","",IFERROR(INDEX('Équipements'!$K$5:$K$304,MATCH(D1284,'Équipements'!$A$5:$A$304,0)),""))</f>
        <v/>
      </c>
      <c r="H1284" s="7" t="inlineStr">
        <is>
          <t>Préventif systématique</t>
        </is>
      </c>
      <c r="I1284" s="7" t="inlineStr">
        <is>
          <t>GP-072</t>
        </is>
      </c>
      <c r="J1284" s="7" t="inlineStr">
        <is>
          <t>Mécanique</t>
        </is>
      </c>
      <c r="K1284" s="7" t="inlineStr">
        <is>
          <t>P3 - Normale</t>
        </is>
      </c>
      <c r="L1284" s="7" t="inlineStr">
        <is>
          <t>Graissage chaîne / galets et contrôle tension</t>
        </is>
      </c>
      <c r="M1284" s="7" t="n"/>
      <c r="N1284" s="7" t="inlineStr">
        <is>
          <t>Gamme réalisée - RAS</t>
        </is>
      </c>
      <c r="O1284" s="7" t="inlineStr">
        <is>
          <t>Karim Benali</t>
        </is>
      </c>
      <c r="P1284" s="65" t="n">
        <v>46225.42013888889</v>
      </c>
      <c r="Q1284" s="75" t="n">
        <v>46225.41666666666</v>
      </c>
      <c r="R1284" s="75" t="n">
        <v>46225.52083333334</v>
      </c>
      <c r="S1284" s="76" t="n">
        <v>1.2</v>
      </c>
      <c r="T1284" s="76" t="n">
        <v>2.5</v>
      </c>
      <c r="U1284" s="70">
        <f>IF($A1284="","",IFERROR(INDEX('Techniciens'!$F$5:$F$44,MATCH(O1284,'Techniciens'!$B$5:$B$44,0)),'Paramètres'!$AA$10))</f>
        <v/>
      </c>
      <c r="V1284" s="70">
        <f>IF($A1284="","",IF(OR(AC1284="Demandé",AC1284="Planifié",AC1284="Annulé"),0,N(T1284)*N(U1284)))</f>
        <v/>
      </c>
      <c r="W1284" s="70">
        <f>IF($A1284="","",SUMIFS('Mouvements stock'!$H$5:$H$3004,'Mouvements stock'!$I$5:$I$3004,$A1284,'Mouvements stock'!$C$5:$C$3004,"Sortie")-SUMIFS('Mouvements stock'!$H$5:$H$3004,'Mouvements stock'!$I$5:$I$3004,$A1284,'Mouvements stock'!$C$5:$C$3004,"Retour"))</f>
        <v/>
      </c>
      <c r="X1284" s="66" t="n">
        <v>0</v>
      </c>
      <c r="Y1284" s="66" t="n">
        <v>0</v>
      </c>
      <c r="Z1284" s="7" t="n"/>
      <c r="AA1284" s="70">
        <f>IF($A1284="","",N(V1284)+N(W1284)+N(X1284)+N(Y1284))</f>
        <v/>
      </c>
      <c r="AB1284" s="70">
        <f>IF($A1284="","",N(S1284)*'Paramètres'!$AA$9*IFERROR(INDEX('Paramètres'!$O$5:$O$7,MATCH(G1284,'Paramètres'!$N$5:$N$7,0)),0))</f>
        <v/>
      </c>
      <c r="AC1284" s="7" t="inlineStr">
        <is>
          <t>Clôturé</t>
        </is>
      </c>
      <c r="AD1284" s="69">
        <f>IF(OR($A1284="",Q1284=""),"",(Q1284-B1284)*24)</f>
        <v/>
      </c>
      <c r="AE1284" s="69">
        <f>IF(OR(Q1284="",R1284=""),"",(R1284-Q1284)*24)</f>
        <v/>
      </c>
      <c r="AF1284" s="77">
        <f>IF(OR($A1284="",B1284=""),"",YEAR(B1284))</f>
        <v/>
      </c>
      <c r="AG1284" s="77">
        <f>IF(OR($A1284="",B1284=""),"",MONTH(B1284))</f>
        <v/>
      </c>
    </row>
    <row r="1285">
      <c r="A1285" s="7" t="inlineStr">
        <is>
          <t>OT-2026-0430</t>
        </is>
      </c>
      <c r="B1285" s="75" t="n">
        <v>46219.26666666667</v>
      </c>
      <c r="C1285" s="7" t="inlineStr">
        <is>
          <t>Hugo Blanc (chef d'équipe)</t>
        </is>
      </c>
      <c r="D1285" s="7" t="inlineStr">
        <is>
          <t>EQ-SOU-001</t>
        </is>
      </c>
      <c r="E1285" s="9">
        <f>IF(D1285="","",IFERROR(INDEX('Équipements'!$B$5:$B$304,MATCH(D1285,'Équipements'!$A$5:$A$304,0)),"Code inconnu"))</f>
        <v/>
      </c>
      <c r="F1285" s="9">
        <f>IF(D1285="","",IFERROR(INDEX('Équipements'!$D$5:$D$304,MATCH(D1285,'Équipements'!$A$5:$A$304,0)),""))</f>
        <v/>
      </c>
      <c r="G1285" s="9">
        <f>IF(D1285="","",IFERROR(INDEX('Équipements'!$K$5:$K$304,MATCH(D1285,'Équipements'!$A$5:$A$304,0)),""))</f>
        <v/>
      </c>
      <c r="H1285" s="7" t="inlineStr">
        <is>
          <t>Correctif</t>
        </is>
      </c>
      <c r="I1285" s="7" t="n"/>
      <c r="J1285" s="7" t="inlineStr">
        <is>
          <t>Automatisme</t>
        </is>
      </c>
      <c r="K1285" s="7" t="inlineStr">
        <is>
          <t>P2 - Haute</t>
        </is>
      </c>
      <c r="L1285" s="7" t="inlineStr">
        <is>
          <t>Défaut préhenseur / capteur de présence pièce</t>
        </is>
      </c>
      <c r="M1285" s="7" t="inlineStr">
        <is>
          <t>Défaut capteur</t>
        </is>
      </c>
      <c r="N1285" s="7" t="inlineStr">
        <is>
          <t>Remplacement détecteur, réglage préhenseur</t>
        </is>
      </c>
      <c r="O1285" s="7" t="inlineStr">
        <is>
          <t>Sophie Garnier</t>
        </is>
      </c>
      <c r="P1285" s="65" t="n"/>
      <c r="Q1285" s="75" t="n">
        <v>46219.38888888889</v>
      </c>
      <c r="R1285" s="75" t="n">
        <v>46219.68055555555</v>
      </c>
      <c r="S1285" s="76" t="n">
        <v>9.9</v>
      </c>
      <c r="T1285" s="76" t="n">
        <v>7</v>
      </c>
      <c r="U1285" s="70">
        <f>IF($A1285="","",IFERROR(INDEX('Techniciens'!$F$5:$F$44,MATCH(O1285,'Techniciens'!$B$5:$B$44,0)),'Paramètres'!$AA$10))</f>
        <v/>
      </c>
      <c r="V1285" s="70">
        <f>IF($A1285="","",IF(OR(AC1285="Demandé",AC1285="Planifié",AC1285="Annulé"),0,N(T1285)*N(U1285)))</f>
        <v/>
      </c>
      <c r="W1285" s="70">
        <f>IF($A1285="","",SUMIFS('Mouvements stock'!$H$5:$H$3004,'Mouvements stock'!$I$5:$I$3004,$A1285,'Mouvements stock'!$C$5:$C$3004,"Sortie")-SUMIFS('Mouvements stock'!$H$5:$H$3004,'Mouvements stock'!$I$5:$I$3004,$A1285,'Mouvements stock'!$C$5:$C$3004,"Retour"))</f>
        <v/>
      </c>
      <c r="X1285" s="66" t="n">
        <v>0</v>
      </c>
      <c r="Y1285" s="66" t="n">
        <v>0</v>
      </c>
      <c r="Z1285" s="7" t="n"/>
      <c r="AA1285" s="70">
        <f>IF($A1285="","",N(V1285)+N(W1285)+N(X1285)+N(Y1285))</f>
        <v/>
      </c>
      <c r="AB1285" s="70">
        <f>IF($A1285="","",N(S1285)*'Paramètres'!$AA$9*IFERROR(INDEX('Paramètres'!$O$5:$O$7,MATCH(G1285,'Paramètres'!$N$5:$N$7,0)),0))</f>
        <v/>
      </c>
      <c r="AC1285" s="7" t="inlineStr">
        <is>
          <t>Clôturé</t>
        </is>
      </c>
      <c r="AD1285" s="69">
        <f>IF(OR($A1285="",Q1285=""),"",(Q1285-B1285)*24)</f>
        <v/>
      </c>
      <c r="AE1285" s="69">
        <f>IF(OR(Q1285="",R1285=""),"",(R1285-Q1285)*24)</f>
        <v/>
      </c>
      <c r="AF1285" s="77">
        <f>IF(OR($A1285="",B1285=""),"",YEAR(B1285))</f>
        <v/>
      </c>
      <c r="AG1285" s="77">
        <f>IF(OR($A1285="",B1285=""),"",MONTH(B1285))</f>
        <v/>
      </c>
    </row>
    <row r="1286">
      <c r="A1286" s="7" t="inlineStr">
        <is>
          <t>OT-2026-0431</t>
        </is>
      </c>
      <c r="B1286" s="75" t="n">
        <v>46219.36458333334</v>
      </c>
      <c r="C1286" s="7" t="inlineStr">
        <is>
          <t>Planning réglementaire</t>
        </is>
      </c>
      <c r="D1286" s="7" t="inlineStr">
        <is>
          <t>EQ-TOL-003</t>
        </is>
      </c>
      <c r="E1286" s="9">
        <f>IF(D1286="","",IFERROR(INDEX('Équipements'!$B$5:$B$304,MATCH(D1286,'Équipements'!$A$5:$A$304,0)),"Code inconnu"))</f>
        <v/>
      </c>
      <c r="F1286" s="9">
        <f>IF(D1286="","",IFERROR(INDEX('Équipements'!$D$5:$D$304,MATCH(D1286,'Équipements'!$A$5:$A$304,0)),""))</f>
        <v/>
      </c>
      <c r="G1286" s="9">
        <f>IF(D1286="","",IFERROR(INDEX('Équipements'!$K$5:$K$304,MATCH(D1286,'Équipements'!$A$5:$A$304,0)),""))</f>
        <v/>
      </c>
      <c r="H1286" s="7" t="inlineStr">
        <is>
          <t>Réglementaire</t>
        </is>
      </c>
      <c r="I1286" s="7" t="inlineStr">
        <is>
          <t>CR-011</t>
        </is>
      </c>
      <c r="J1286" s="7" t="inlineStr">
        <is>
          <t>Multi-technique</t>
        </is>
      </c>
      <c r="K1286" s="7" t="inlineStr">
        <is>
          <t>P2 - Haute</t>
        </is>
      </c>
      <c r="L1286" s="7" t="inlineStr">
        <is>
          <t>Vérification périodique presse plieuse</t>
        </is>
      </c>
      <c r="M1286" s="7" t="n"/>
      <c r="N1286" s="7" t="inlineStr">
        <is>
          <t>Contrôle réalisé - aucune observation</t>
        </is>
      </c>
      <c r="O1286" s="7" t="inlineStr">
        <is>
          <t>Nadia Rousseau</t>
        </is>
      </c>
      <c r="P1286" s="65" t="n">
        <v>46240</v>
      </c>
      <c r="Q1286" s="75" t="n">
        <v>46240.42708333334</v>
      </c>
      <c r="R1286" s="75" t="n">
        <v>46240.55208333334</v>
      </c>
      <c r="S1286" s="76" t="n">
        <v>1</v>
      </c>
      <c r="T1286" s="76" t="n">
        <v>3</v>
      </c>
      <c r="U1286" s="70">
        <f>IF($A1286="","",IFERROR(INDEX('Techniciens'!$F$5:$F$44,MATCH(O1286,'Techniciens'!$B$5:$B$44,0)),'Paramètres'!$AA$10))</f>
        <v/>
      </c>
      <c r="V1286" s="70">
        <f>IF($A1286="","",IF(OR(AC1286="Demandé",AC1286="Planifié",AC1286="Annulé"),0,N(T1286)*N(U1286)))</f>
        <v/>
      </c>
      <c r="W1286" s="70">
        <f>IF($A1286="","",SUMIFS('Mouvements stock'!$H$5:$H$3004,'Mouvements stock'!$I$5:$I$3004,$A1286,'Mouvements stock'!$C$5:$C$3004,"Sortie")-SUMIFS('Mouvements stock'!$H$5:$H$3004,'Mouvements stock'!$I$5:$I$3004,$A1286,'Mouvements stock'!$C$5:$C$3004,"Retour"))</f>
        <v/>
      </c>
      <c r="X1286" s="66" t="n">
        <v>0</v>
      </c>
      <c r="Y1286" s="66" t="n">
        <v>230</v>
      </c>
      <c r="Z1286" s="7" t="inlineStr">
        <is>
          <t>CONTROLIS (organisme fictif)</t>
        </is>
      </c>
      <c r="AA1286" s="70">
        <f>IF($A1286="","",N(V1286)+N(W1286)+N(X1286)+N(Y1286))</f>
        <v/>
      </c>
      <c r="AB1286" s="70">
        <f>IF($A1286="","",N(S1286)*'Paramètres'!$AA$9*IFERROR(INDEX('Paramètres'!$O$5:$O$7,MATCH(G1286,'Paramètres'!$N$5:$N$7,0)),0))</f>
        <v/>
      </c>
      <c r="AC1286" s="7" t="inlineStr">
        <is>
          <t>Clôturé</t>
        </is>
      </c>
      <c r="AD1286" s="69">
        <f>IF(OR($A1286="",Q1286=""),"",(Q1286-B1286)*24)</f>
        <v/>
      </c>
      <c r="AE1286" s="69">
        <f>IF(OR(Q1286="",R1286=""),"",(R1286-Q1286)*24)</f>
        <v/>
      </c>
      <c r="AF1286" s="77">
        <f>IF(OR($A1286="",B1286=""),"",YEAR(B1286))</f>
        <v/>
      </c>
      <c r="AG1286" s="77">
        <f>IF(OR($A1286="",B1286=""),"",MONTH(B1286))</f>
        <v/>
      </c>
    </row>
    <row r="1287">
      <c r="A1287" s="7" t="inlineStr">
        <is>
          <t>OT-2026-0432</t>
        </is>
      </c>
      <c r="B1287" s="75" t="n">
        <v>46219.46875</v>
      </c>
      <c r="C1287" s="7" t="inlineStr">
        <is>
          <t>Plan préventif</t>
        </is>
      </c>
      <c r="D1287" s="7" t="inlineStr">
        <is>
          <t>EQ-USI-002</t>
        </is>
      </c>
      <c r="E1287" s="9">
        <f>IF(D1287="","",IFERROR(INDEX('Équipements'!$B$5:$B$304,MATCH(D1287,'Équipements'!$A$5:$A$304,0)),"Code inconnu"))</f>
        <v/>
      </c>
      <c r="F1287" s="9">
        <f>IF(D1287="","",IFERROR(INDEX('Équipements'!$D$5:$D$304,MATCH(D1287,'Équipements'!$A$5:$A$304,0)),""))</f>
        <v/>
      </c>
      <c r="G1287" s="9">
        <f>IF(D1287="","",IFERROR(INDEX('Équipements'!$K$5:$K$304,MATCH(D1287,'Équipements'!$A$5:$A$304,0)),""))</f>
        <v/>
      </c>
      <c r="H1287" s="7" t="inlineStr">
        <is>
          <t>Préventif systématique</t>
        </is>
      </c>
      <c r="I1287" s="7" t="inlineStr">
        <is>
          <t>GP-005</t>
        </is>
      </c>
      <c r="J1287" s="7" t="inlineStr">
        <is>
          <t>Mécanique</t>
        </is>
      </c>
      <c r="K1287" s="7" t="inlineStr">
        <is>
          <t>P3 - Normale</t>
        </is>
      </c>
      <c r="L1287" s="7" t="inlineStr">
        <is>
          <t>Contrôle niveaux, nettoyage filtres et bac à copeaux</t>
        </is>
      </c>
      <c r="M1287" s="7" t="n"/>
      <c r="N1287" s="7" t="inlineStr">
        <is>
          <t>Gamme réalisée - serrages repris</t>
        </is>
      </c>
      <c r="O1287" s="7" t="inlineStr">
        <is>
          <t>Antoine Mercier</t>
        </is>
      </c>
      <c r="P1287" s="65" t="n">
        <v>46226.46527777778</v>
      </c>
      <c r="Q1287" s="75" t="n">
        <v>46226.59722222222</v>
      </c>
      <c r="R1287" s="75" t="n">
        <v>46226.65972222222</v>
      </c>
      <c r="S1287" s="76" t="n">
        <v>0.8</v>
      </c>
      <c r="T1287" s="76" t="n">
        <v>1.5</v>
      </c>
      <c r="U1287" s="70">
        <f>IF($A1287="","",IFERROR(INDEX('Techniciens'!$F$5:$F$44,MATCH(O1287,'Techniciens'!$B$5:$B$44,0)),'Paramètres'!$AA$10))</f>
        <v/>
      </c>
      <c r="V1287" s="70">
        <f>IF($A1287="","",IF(OR(AC1287="Demandé",AC1287="Planifié",AC1287="Annulé"),0,N(T1287)*N(U1287)))</f>
        <v/>
      </c>
      <c r="W1287" s="70">
        <f>IF($A1287="","",SUMIFS('Mouvements stock'!$H$5:$H$3004,'Mouvements stock'!$I$5:$I$3004,$A1287,'Mouvements stock'!$C$5:$C$3004,"Sortie")-SUMIFS('Mouvements stock'!$H$5:$H$3004,'Mouvements stock'!$I$5:$I$3004,$A1287,'Mouvements stock'!$C$5:$C$3004,"Retour"))</f>
        <v/>
      </c>
      <c r="X1287" s="66" t="n">
        <v>0</v>
      </c>
      <c r="Y1287" s="66" t="n">
        <v>0</v>
      </c>
      <c r="Z1287" s="7" t="n"/>
      <c r="AA1287" s="70">
        <f>IF($A1287="","",N(V1287)+N(W1287)+N(X1287)+N(Y1287))</f>
        <v/>
      </c>
      <c r="AB1287" s="70">
        <f>IF($A1287="","",N(S1287)*'Paramètres'!$AA$9*IFERROR(INDEX('Paramètres'!$O$5:$O$7,MATCH(G1287,'Paramètres'!$N$5:$N$7,0)),0))</f>
        <v/>
      </c>
      <c r="AC1287" s="7" t="inlineStr">
        <is>
          <t>Clôturé</t>
        </is>
      </c>
      <c r="AD1287" s="69">
        <f>IF(OR($A1287="",Q1287=""),"",(Q1287-B1287)*24)</f>
        <v/>
      </c>
      <c r="AE1287" s="69">
        <f>IF(OR(Q1287="",R1287=""),"",(R1287-Q1287)*24)</f>
        <v/>
      </c>
      <c r="AF1287" s="77">
        <f>IF(OR($A1287="",B1287=""),"",YEAR(B1287))</f>
        <v/>
      </c>
      <c r="AG1287" s="77">
        <f>IF(OR($A1287="",B1287=""),"",MONTH(B1287))</f>
        <v/>
      </c>
    </row>
    <row r="1288">
      <c r="A1288" s="7" t="inlineStr">
        <is>
          <t>OT-2026-0433</t>
        </is>
      </c>
      <c r="B1288" s="75" t="n">
        <v>46220.38888888889</v>
      </c>
      <c r="C1288" s="7" t="inlineStr">
        <is>
          <t>Plan préventif</t>
        </is>
      </c>
      <c r="D1288" s="7" t="inlineStr">
        <is>
          <t>EQ-SOU-001</t>
        </is>
      </c>
      <c r="E1288" s="9">
        <f>IF(D1288="","",IFERROR(INDEX('Équipements'!$B$5:$B$304,MATCH(D1288,'Équipements'!$A$5:$A$304,0)),"Code inconnu"))</f>
        <v/>
      </c>
      <c r="F1288" s="9">
        <f>IF(D1288="","",IFERROR(INDEX('Équipements'!$D$5:$D$304,MATCH(D1288,'Équipements'!$A$5:$A$304,0)),""))</f>
        <v/>
      </c>
      <c r="G1288" s="9">
        <f>IF(D1288="","",IFERROR(INDEX('Équipements'!$K$5:$K$304,MATCH(D1288,'Équipements'!$A$5:$A$304,0)),""))</f>
        <v/>
      </c>
      <c r="H1288" s="7" t="inlineStr">
        <is>
          <t>Préventif systématique</t>
        </is>
      </c>
      <c r="I1288" s="7" t="inlineStr">
        <is>
          <t>GP-058</t>
        </is>
      </c>
      <c r="J1288" s="7" t="inlineStr">
        <is>
          <t>Mécanique</t>
        </is>
      </c>
      <c r="K1288" s="7" t="inlineStr">
        <is>
          <t>P3 - Normale</t>
        </is>
      </c>
      <c r="L1288" s="7" t="inlineStr">
        <is>
          <t>Nettoyage torche et contrôle faisceau</t>
        </is>
      </c>
      <c r="M1288" s="7" t="n"/>
      <c r="N1288" s="7" t="inlineStr">
        <is>
          <t>Gamme réalisée - RAS</t>
        </is>
      </c>
      <c r="O1288" s="7" t="inlineStr">
        <is>
          <t>Lucas Fontaine</t>
        </is>
      </c>
      <c r="P1288" s="65" t="n">
        <v>46227.59375</v>
      </c>
      <c r="Q1288" s="75" t="n">
        <v>46227.38541666666</v>
      </c>
      <c r="R1288" s="75" t="n">
        <v>46227.41666666666</v>
      </c>
      <c r="S1288" s="76" t="n">
        <v>0.8</v>
      </c>
      <c r="T1288" s="76" t="n">
        <v>0.75</v>
      </c>
      <c r="U1288" s="70">
        <f>IF($A1288="","",IFERROR(INDEX('Techniciens'!$F$5:$F$44,MATCH(O1288,'Techniciens'!$B$5:$B$44,0)),'Paramètres'!$AA$10))</f>
        <v/>
      </c>
      <c r="V1288" s="70">
        <f>IF($A1288="","",IF(OR(AC1288="Demandé",AC1288="Planifié",AC1288="Annulé"),0,N(T1288)*N(U1288)))</f>
        <v/>
      </c>
      <c r="W1288" s="70">
        <f>IF($A1288="","",SUMIFS('Mouvements stock'!$H$5:$H$3004,'Mouvements stock'!$I$5:$I$3004,$A1288,'Mouvements stock'!$C$5:$C$3004,"Sortie")-SUMIFS('Mouvements stock'!$H$5:$H$3004,'Mouvements stock'!$I$5:$I$3004,$A1288,'Mouvements stock'!$C$5:$C$3004,"Retour"))</f>
        <v/>
      </c>
      <c r="X1288" s="66" t="n">
        <v>0</v>
      </c>
      <c r="Y1288" s="66" t="n">
        <v>0</v>
      </c>
      <c r="Z1288" s="7" t="n"/>
      <c r="AA1288" s="70">
        <f>IF($A1288="","",N(V1288)+N(W1288)+N(X1288)+N(Y1288))</f>
        <v/>
      </c>
      <c r="AB1288" s="70">
        <f>IF($A1288="","",N(S1288)*'Paramètres'!$AA$9*IFERROR(INDEX('Paramètres'!$O$5:$O$7,MATCH(G1288,'Paramètres'!$N$5:$N$7,0)),0))</f>
        <v/>
      </c>
      <c r="AC1288" s="7" t="inlineStr">
        <is>
          <t>Clôturé</t>
        </is>
      </c>
      <c r="AD1288" s="69">
        <f>IF(OR($A1288="",Q1288=""),"",(Q1288-B1288)*24)</f>
        <v/>
      </c>
      <c r="AE1288" s="69">
        <f>IF(OR(Q1288="",R1288=""),"",(R1288-Q1288)*24)</f>
        <v/>
      </c>
      <c r="AF1288" s="77">
        <f>IF(OR($A1288="",B1288=""),"",YEAR(B1288))</f>
        <v/>
      </c>
      <c r="AG1288" s="77">
        <f>IF(OR($A1288="",B1288=""),"",MONTH(B1288))</f>
        <v/>
      </c>
    </row>
    <row r="1289">
      <c r="A1289" s="7" t="inlineStr">
        <is>
          <t>OT-2026-0434</t>
        </is>
      </c>
      <c r="B1289" s="75" t="n">
        <v>46220.44444444445</v>
      </c>
      <c r="C1289" s="7" t="inlineStr">
        <is>
          <t>Plan préventif</t>
        </is>
      </c>
      <c r="D1289" s="7" t="inlineStr">
        <is>
          <t>EQ-UTI-003</t>
        </is>
      </c>
      <c r="E1289" s="9">
        <f>IF(D1289="","",IFERROR(INDEX('Équipements'!$B$5:$B$304,MATCH(D1289,'Équipements'!$A$5:$A$304,0)),"Code inconnu"))</f>
        <v/>
      </c>
      <c r="F1289" s="9">
        <f>IF(D1289="","",IFERROR(INDEX('Équipements'!$D$5:$D$304,MATCH(D1289,'Équipements'!$A$5:$A$304,0)),""))</f>
        <v/>
      </c>
      <c r="G1289" s="9">
        <f>IF(D1289="","",IFERROR(INDEX('Équipements'!$K$5:$K$304,MATCH(D1289,'Équipements'!$A$5:$A$304,0)),""))</f>
        <v/>
      </c>
      <c r="H1289" s="7" t="inlineStr">
        <is>
          <t>Préventif systématique</t>
        </is>
      </c>
      <c r="I1289" s="7" t="inlineStr">
        <is>
          <t>GP-092</t>
        </is>
      </c>
      <c r="J1289" s="7" t="inlineStr">
        <is>
          <t>Pneumatique</t>
        </is>
      </c>
      <c r="K1289" s="7" t="inlineStr">
        <is>
          <t>P3 - Normale</t>
        </is>
      </c>
      <c r="L1289" s="7" t="inlineStr">
        <is>
          <t>Purge, contrôle fuites et point de rosée</t>
        </is>
      </c>
      <c r="M1289" s="7" t="n"/>
      <c r="N1289" s="7" t="inlineStr">
        <is>
          <t>Gamme réalisée - RAS</t>
        </is>
      </c>
      <c r="O1289" s="7" t="inlineStr">
        <is>
          <t>Julien Moreau</t>
        </is>
      </c>
      <c r="P1289" s="65" t="n">
        <v>46227.63194444445</v>
      </c>
      <c r="Q1289" s="75" t="n">
        <v>46227.375</v>
      </c>
      <c r="R1289" s="75" t="n">
        <v>46227.45833333334</v>
      </c>
      <c r="S1289" s="76" t="n">
        <v>0</v>
      </c>
      <c r="T1289" s="76" t="n">
        <v>2</v>
      </c>
      <c r="U1289" s="70">
        <f>IF($A1289="","",IFERROR(INDEX('Techniciens'!$F$5:$F$44,MATCH(O1289,'Techniciens'!$B$5:$B$44,0)),'Paramètres'!$AA$10))</f>
        <v/>
      </c>
      <c r="V1289" s="70">
        <f>IF($A1289="","",IF(OR(AC1289="Demandé",AC1289="Planifié",AC1289="Annulé"),0,N(T1289)*N(U1289)))</f>
        <v/>
      </c>
      <c r="W1289" s="70">
        <f>IF($A1289="","",SUMIFS('Mouvements stock'!$H$5:$H$3004,'Mouvements stock'!$I$5:$I$3004,$A1289,'Mouvements stock'!$C$5:$C$3004,"Sortie")-SUMIFS('Mouvements stock'!$H$5:$H$3004,'Mouvements stock'!$I$5:$I$3004,$A1289,'Mouvements stock'!$C$5:$C$3004,"Retour"))</f>
        <v/>
      </c>
      <c r="X1289" s="66" t="n">
        <v>0</v>
      </c>
      <c r="Y1289" s="66" t="n">
        <v>0</v>
      </c>
      <c r="Z1289" s="7" t="n"/>
      <c r="AA1289" s="70">
        <f>IF($A1289="","",N(V1289)+N(W1289)+N(X1289)+N(Y1289))</f>
        <v/>
      </c>
      <c r="AB1289" s="70">
        <f>IF($A1289="","",N(S1289)*'Paramètres'!$AA$9*IFERROR(INDEX('Paramètres'!$O$5:$O$7,MATCH(G1289,'Paramètres'!$N$5:$N$7,0)),0))</f>
        <v/>
      </c>
      <c r="AC1289" s="7" t="inlineStr">
        <is>
          <t>Clôturé</t>
        </is>
      </c>
      <c r="AD1289" s="69">
        <f>IF(OR($A1289="",Q1289=""),"",(Q1289-B1289)*24)</f>
        <v/>
      </c>
      <c r="AE1289" s="69">
        <f>IF(OR(Q1289="",R1289=""),"",(R1289-Q1289)*24)</f>
        <v/>
      </c>
      <c r="AF1289" s="77">
        <f>IF(OR($A1289="",B1289=""),"",YEAR(B1289))</f>
        <v/>
      </c>
      <c r="AG1289" s="77">
        <f>IF(OR($A1289="",B1289=""),"",MONTH(B1289))</f>
        <v/>
      </c>
    </row>
    <row r="1290">
      <c r="A1290" s="7" t="inlineStr">
        <is>
          <t>OT-2026-0435</t>
        </is>
      </c>
      <c r="B1290" s="75" t="n">
        <v>46220.46875</v>
      </c>
      <c r="C1290" s="7" t="inlineStr">
        <is>
          <t>Plan préventif</t>
        </is>
      </c>
      <c r="D1290" s="7" t="inlineStr">
        <is>
          <t>EQ-UTI-002</t>
        </is>
      </c>
      <c r="E1290" s="9">
        <f>IF(D1290="","",IFERROR(INDEX('Équipements'!$B$5:$B$304,MATCH(D1290,'Équipements'!$A$5:$A$304,0)),"Code inconnu"))</f>
        <v/>
      </c>
      <c r="F1290" s="9">
        <f>IF(D1290="","",IFERROR(INDEX('Équipements'!$D$5:$D$304,MATCH(D1290,'Équipements'!$A$5:$A$304,0)),""))</f>
        <v/>
      </c>
      <c r="G1290" s="9">
        <f>IF(D1290="","",IFERROR(INDEX('Équipements'!$K$5:$K$304,MATCH(D1290,'Équipements'!$A$5:$A$304,0)),""))</f>
        <v/>
      </c>
      <c r="H1290" s="7" t="inlineStr">
        <is>
          <t>Préventif systématique</t>
        </is>
      </c>
      <c r="I1290" s="7" t="inlineStr">
        <is>
          <t>GP-090</t>
        </is>
      </c>
      <c r="J1290" s="7" t="inlineStr">
        <is>
          <t>Pneumatique</t>
        </is>
      </c>
      <c r="K1290" s="7" t="inlineStr">
        <is>
          <t>P3 - Normale</t>
        </is>
      </c>
      <c r="L1290" s="7" t="inlineStr">
        <is>
          <t>Purge, contrôle fuites et point de rosée</t>
        </is>
      </c>
      <c r="M1290" s="7" t="n"/>
      <c r="N1290" s="7" t="inlineStr">
        <is>
          <t>Gamme réalisée - RAS</t>
        </is>
      </c>
      <c r="O1290" s="7" t="inlineStr">
        <is>
          <t>Lucas Fontaine</t>
        </is>
      </c>
      <c r="P1290" s="65" t="n">
        <v>46227.3125</v>
      </c>
      <c r="Q1290" s="75" t="n">
        <v>46227.30555555555</v>
      </c>
      <c r="R1290" s="75" t="n">
        <v>46227.37847222222</v>
      </c>
      <c r="S1290" s="76" t="n">
        <v>0</v>
      </c>
      <c r="T1290" s="76" t="n">
        <v>1.75</v>
      </c>
      <c r="U1290" s="70">
        <f>IF($A1290="","",IFERROR(INDEX('Techniciens'!$F$5:$F$44,MATCH(O1290,'Techniciens'!$B$5:$B$44,0)),'Paramètres'!$AA$10))</f>
        <v/>
      </c>
      <c r="V1290" s="70">
        <f>IF($A1290="","",IF(OR(AC1290="Demandé",AC1290="Planifié",AC1290="Annulé"),0,N(T1290)*N(U1290)))</f>
        <v/>
      </c>
      <c r="W1290" s="70">
        <f>IF($A1290="","",SUMIFS('Mouvements stock'!$H$5:$H$3004,'Mouvements stock'!$I$5:$I$3004,$A1290,'Mouvements stock'!$C$5:$C$3004,"Sortie")-SUMIFS('Mouvements stock'!$H$5:$H$3004,'Mouvements stock'!$I$5:$I$3004,$A1290,'Mouvements stock'!$C$5:$C$3004,"Retour"))</f>
        <v/>
      </c>
      <c r="X1290" s="66" t="n">
        <v>0</v>
      </c>
      <c r="Y1290" s="66" t="n">
        <v>0</v>
      </c>
      <c r="Z1290" s="7" t="n"/>
      <c r="AA1290" s="70">
        <f>IF($A1290="","",N(V1290)+N(W1290)+N(X1290)+N(Y1290))</f>
        <v/>
      </c>
      <c r="AB1290" s="70">
        <f>IF($A1290="","",N(S1290)*'Paramètres'!$AA$9*IFERROR(INDEX('Paramètres'!$O$5:$O$7,MATCH(G1290,'Paramètres'!$N$5:$N$7,0)),0))</f>
        <v/>
      </c>
      <c r="AC1290" s="7" t="inlineStr">
        <is>
          <t>Clôturé</t>
        </is>
      </c>
      <c r="AD1290" s="69">
        <f>IF(OR($A1290="",Q1290=""),"",(Q1290-B1290)*24)</f>
        <v/>
      </c>
      <c r="AE1290" s="69">
        <f>IF(OR(Q1290="",R1290=""),"",(R1290-Q1290)*24)</f>
        <v/>
      </c>
      <c r="AF1290" s="77">
        <f>IF(OR($A1290="",B1290=""),"",YEAR(B1290))</f>
        <v/>
      </c>
      <c r="AG1290" s="77">
        <f>IF(OR($A1290="",B1290=""),"",MONTH(B1290))</f>
        <v/>
      </c>
    </row>
    <row r="1291">
      <c r="A1291" s="7" t="inlineStr">
        <is>
          <t>OT-2026-0436</t>
        </is>
      </c>
      <c r="B1291" s="75" t="n">
        <v>46220.48958333334</v>
      </c>
      <c r="C1291" s="7" t="inlineStr">
        <is>
          <t>Plan préventif</t>
        </is>
      </c>
      <c r="D1291" s="7" t="inlineStr">
        <is>
          <t>EQ-PEI-001</t>
        </is>
      </c>
      <c r="E1291" s="9">
        <f>IF(D1291="","",IFERROR(INDEX('Équipements'!$B$5:$B$304,MATCH(D1291,'Équipements'!$A$5:$A$304,0)),"Code inconnu"))</f>
        <v/>
      </c>
      <c r="F1291" s="9">
        <f>IF(D1291="","",IFERROR(INDEX('Équipements'!$D$5:$D$304,MATCH(D1291,'Équipements'!$A$5:$A$304,0)),""))</f>
        <v/>
      </c>
      <c r="G1291" s="9">
        <f>IF(D1291="","",IFERROR(INDEX('Équipements'!$K$5:$K$304,MATCH(D1291,'Équipements'!$A$5:$A$304,0)),""))</f>
        <v/>
      </c>
      <c r="H1291" s="7" t="inlineStr">
        <is>
          <t>Préventif systématique</t>
        </is>
      </c>
      <c r="I1291" s="7" t="inlineStr">
        <is>
          <t>GP-066</t>
        </is>
      </c>
      <c r="J1291" s="7" t="inlineStr">
        <is>
          <t>Mécanique</t>
        </is>
      </c>
      <c r="K1291" s="7" t="inlineStr">
        <is>
          <t>P3 - Normale</t>
        </is>
      </c>
      <c r="L1291" s="7" t="inlineStr">
        <is>
          <t>Nettoyage et remplacement des filtres</t>
        </is>
      </c>
      <c r="M1291" s="7" t="n"/>
      <c r="N1291" s="7" t="inlineStr">
        <is>
          <t>Gamme réalisée - DI émise pour remplacement pièce</t>
        </is>
      </c>
      <c r="O1291" s="7" t="inlineStr">
        <is>
          <t>Lucas Fontaine</t>
        </is>
      </c>
      <c r="P1291" s="65" t="n">
        <v>46227.73611111111</v>
      </c>
      <c r="Q1291" s="75" t="n">
        <v>46227.59375</v>
      </c>
      <c r="R1291" s="75" t="n">
        <v>46227.75</v>
      </c>
      <c r="S1291" s="76" t="n">
        <v>0</v>
      </c>
      <c r="T1291" s="76" t="n">
        <v>3.75</v>
      </c>
      <c r="U1291" s="70">
        <f>IF($A1291="","",IFERROR(INDEX('Techniciens'!$F$5:$F$44,MATCH(O1291,'Techniciens'!$B$5:$B$44,0)),'Paramètres'!$AA$10))</f>
        <v/>
      </c>
      <c r="V1291" s="70">
        <f>IF($A1291="","",IF(OR(AC1291="Demandé",AC1291="Planifié",AC1291="Annulé"),0,N(T1291)*N(U1291)))</f>
        <v/>
      </c>
      <c r="W1291" s="70">
        <f>IF($A1291="","",SUMIFS('Mouvements stock'!$H$5:$H$3004,'Mouvements stock'!$I$5:$I$3004,$A1291,'Mouvements stock'!$C$5:$C$3004,"Sortie")-SUMIFS('Mouvements stock'!$H$5:$H$3004,'Mouvements stock'!$I$5:$I$3004,$A1291,'Mouvements stock'!$C$5:$C$3004,"Retour"))</f>
        <v/>
      </c>
      <c r="X1291" s="66" t="n">
        <v>0</v>
      </c>
      <c r="Y1291" s="66" t="n">
        <v>0</v>
      </c>
      <c r="Z1291" s="7" t="n"/>
      <c r="AA1291" s="70">
        <f>IF($A1291="","",N(V1291)+N(W1291)+N(X1291)+N(Y1291))</f>
        <v/>
      </c>
      <c r="AB1291" s="70">
        <f>IF($A1291="","",N(S1291)*'Paramètres'!$AA$9*IFERROR(INDEX('Paramètres'!$O$5:$O$7,MATCH(G1291,'Paramètres'!$N$5:$N$7,0)),0))</f>
        <v/>
      </c>
      <c r="AC1291" s="7" t="inlineStr">
        <is>
          <t>Clôturé</t>
        </is>
      </c>
      <c r="AD1291" s="69">
        <f>IF(OR($A1291="",Q1291=""),"",(Q1291-B1291)*24)</f>
        <v/>
      </c>
      <c r="AE1291" s="69">
        <f>IF(OR(Q1291="",R1291=""),"",(R1291-Q1291)*24)</f>
        <v/>
      </c>
      <c r="AF1291" s="77">
        <f>IF(OR($A1291="",B1291=""),"",YEAR(B1291))</f>
        <v/>
      </c>
      <c r="AG1291" s="77">
        <f>IF(OR($A1291="",B1291=""),"",MONTH(B1291))</f>
        <v/>
      </c>
    </row>
    <row r="1292">
      <c r="A1292" s="7" t="inlineStr">
        <is>
          <t>OT-2026-0437</t>
        </is>
      </c>
      <c r="B1292" s="75" t="n">
        <v>46221.22013888889</v>
      </c>
      <c r="C1292" s="7" t="inlineStr">
        <is>
          <t>Hugo Blanc (chef d'équipe)</t>
        </is>
      </c>
      <c r="D1292" s="7" t="inlineStr">
        <is>
          <t>EQ-SOU-005</t>
        </is>
      </c>
      <c r="E1292" s="9">
        <f>IF(D1292="","",IFERROR(INDEX('Équipements'!$B$5:$B$304,MATCH(D1292,'Équipements'!$A$5:$A$304,0)),"Code inconnu"))</f>
        <v/>
      </c>
      <c r="F1292" s="9">
        <f>IF(D1292="","",IFERROR(INDEX('Équipements'!$D$5:$D$304,MATCH(D1292,'Équipements'!$A$5:$A$304,0)),""))</f>
        <v/>
      </c>
      <c r="G1292" s="9">
        <f>IF(D1292="","",IFERROR(INDEX('Équipements'!$K$5:$K$304,MATCH(D1292,'Équipements'!$A$5:$A$304,0)),""))</f>
        <v/>
      </c>
      <c r="H1292" s="7" t="inlineStr">
        <is>
          <t>Correctif</t>
        </is>
      </c>
      <c r="I1292" s="7" t="n"/>
      <c r="J1292" s="7" t="inlineStr">
        <is>
          <t>Mécanique</t>
        </is>
      </c>
      <c r="K1292" s="7" t="inlineStr">
        <is>
          <t>P3 - Normale</t>
        </is>
      </c>
      <c r="L1292" s="7" t="inlineStr">
        <is>
          <t>Groupe en défaut haute pression</t>
        </is>
      </c>
      <c r="M1292" s="7" t="n"/>
      <c r="N1292" s="7" t="inlineStr">
        <is>
          <t>Doublon de demande - annulé</t>
        </is>
      </c>
      <c r="O1292" s="7" t="inlineStr">
        <is>
          <t>Lucas Fontaine</t>
        </is>
      </c>
      <c r="P1292" s="65" t="n"/>
      <c r="Q1292" s="75" t="n"/>
      <c r="R1292" s="75" t="n"/>
      <c r="S1292" s="76" t="n">
        <v>0</v>
      </c>
      <c r="T1292" s="76" t="n">
        <v>0</v>
      </c>
      <c r="U1292" s="70">
        <f>IF($A1292="","",IFERROR(INDEX('Techniciens'!$F$5:$F$44,MATCH(O1292,'Techniciens'!$B$5:$B$44,0)),'Paramètres'!$AA$10))</f>
        <v/>
      </c>
      <c r="V1292" s="70">
        <f>IF($A1292="","",IF(OR(AC1292="Demandé",AC1292="Planifié",AC1292="Annulé"),0,N(T1292)*N(U1292)))</f>
        <v/>
      </c>
      <c r="W1292" s="70">
        <f>IF($A1292="","",SUMIFS('Mouvements stock'!$H$5:$H$3004,'Mouvements stock'!$I$5:$I$3004,$A1292,'Mouvements stock'!$C$5:$C$3004,"Sortie")-SUMIFS('Mouvements stock'!$H$5:$H$3004,'Mouvements stock'!$I$5:$I$3004,$A1292,'Mouvements stock'!$C$5:$C$3004,"Retour"))</f>
        <v/>
      </c>
      <c r="X1292" s="66" t="n">
        <v>0</v>
      </c>
      <c r="Y1292" s="66" t="n">
        <v>0</v>
      </c>
      <c r="Z1292" s="7" t="n"/>
      <c r="AA1292" s="70">
        <f>IF($A1292="","",N(V1292)+N(W1292)+N(X1292)+N(Y1292))</f>
        <v/>
      </c>
      <c r="AB1292" s="70">
        <f>IF($A1292="","",N(S1292)*'Paramètres'!$AA$9*IFERROR(INDEX('Paramètres'!$O$5:$O$7,MATCH(G1292,'Paramètres'!$N$5:$N$7,0)),0))</f>
        <v/>
      </c>
      <c r="AC1292" s="7" t="inlineStr">
        <is>
          <t>Annulé</t>
        </is>
      </c>
      <c r="AD1292" s="69">
        <f>IF(OR($A1292="",Q1292=""),"",(Q1292-B1292)*24)</f>
        <v/>
      </c>
      <c r="AE1292" s="69">
        <f>IF(OR(Q1292="",R1292=""),"",(R1292-Q1292)*24)</f>
        <v/>
      </c>
      <c r="AF1292" s="77">
        <f>IF(OR($A1292="",B1292=""),"",YEAR(B1292))</f>
        <v/>
      </c>
      <c r="AG1292" s="77">
        <f>IF(OR($A1292="",B1292=""),"",MONTH(B1292))</f>
        <v/>
      </c>
    </row>
    <row r="1293">
      <c r="A1293" s="7" t="inlineStr">
        <is>
          <t>OT-2026-0438</t>
        </is>
      </c>
      <c r="B1293" s="75" t="n">
        <v>46223.38888888889</v>
      </c>
      <c r="C1293" s="7" t="inlineStr">
        <is>
          <t>Plan préventif</t>
        </is>
      </c>
      <c r="D1293" s="7" t="inlineStr">
        <is>
          <t>EQ-USI-007</t>
        </is>
      </c>
      <c r="E1293" s="9">
        <f>IF(D1293="","",IFERROR(INDEX('Équipements'!$B$5:$B$304,MATCH(D1293,'Équipements'!$A$5:$A$304,0)),"Code inconnu"))</f>
        <v/>
      </c>
      <c r="F1293" s="9">
        <f>IF(D1293="","",IFERROR(INDEX('Équipements'!$D$5:$D$304,MATCH(D1293,'Équipements'!$A$5:$A$304,0)),""))</f>
        <v/>
      </c>
      <c r="G1293" s="9">
        <f>IF(D1293="","",IFERROR(INDEX('Équipements'!$K$5:$K$304,MATCH(D1293,'Équipements'!$A$5:$A$304,0)),""))</f>
        <v/>
      </c>
      <c r="H1293" s="7" t="inlineStr">
        <is>
          <t>Préventif systématique</t>
        </is>
      </c>
      <c r="I1293" s="7" t="inlineStr">
        <is>
          <t>GP-025</t>
        </is>
      </c>
      <c r="J1293" s="7" t="inlineStr">
        <is>
          <t>Mécanique</t>
        </is>
      </c>
      <c r="K1293" s="7" t="inlineStr">
        <is>
          <t>P3 - Normale</t>
        </is>
      </c>
      <c r="L1293" s="7" t="inlineStr">
        <is>
          <t>Contrôle niveaux, nettoyage filtres et bac à copeaux</t>
        </is>
      </c>
      <c r="M1293" s="7" t="n"/>
      <c r="N1293" s="7" t="inlineStr">
        <is>
          <t>Gamme réalisée - RAS</t>
        </is>
      </c>
      <c r="O1293" s="7" t="inlineStr">
        <is>
          <t>Lucas Fontaine</t>
        </is>
      </c>
      <c r="P1293" s="65" t="n">
        <v>46230.67708333334</v>
      </c>
      <c r="Q1293" s="75" t="n">
        <v>46230.42361111111</v>
      </c>
      <c r="R1293" s="75" t="n">
        <v>46230.49652777778</v>
      </c>
      <c r="S1293" s="76" t="n">
        <v>0</v>
      </c>
      <c r="T1293" s="76" t="n">
        <v>1.75</v>
      </c>
      <c r="U1293" s="70">
        <f>IF($A1293="","",IFERROR(INDEX('Techniciens'!$F$5:$F$44,MATCH(O1293,'Techniciens'!$B$5:$B$44,0)),'Paramètres'!$AA$10))</f>
        <v/>
      </c>
      <c r="V1293" s="70">
        <f>IF($A1293="","",IF(OR(AC1293="Demandé",AC1293="Planifié",AC1293="Annulé"),0,N(T1293)*N(U1293)))</f>
        <v/>
      </c>
      <c r="W1293" s="70">
        <f>IF($A1293="","",SUMIFS('Mouvements stock'!$H$5:$H$3004,'Mouvements stock'!$I$5:$I$3004,$A1293,'Mouvements stock'!$C$5:$C$3004,"Sortie")-SUMIFS('Mouvements stock'!$H$5:$H$3004,'Mouvements stock'!$I$5:$I$3004,$A1293,'Mouvements stock'!$C$5:$C$3004,"Retour"))</f>
        <v/>
      </c>
      <c r="X1293" s="66" t="n">
        <v>0</v>
      </c>
      <c r="Y1293" s="66" t="n">
        <v>0</v>
      </c>
      <c r="Z1293" s="7" t="n"/>
      <c r="AA1293" s="70">
        <f>IF($A1293="","",N(V1293)+N(W1293)+N(X1293)+N(Y1293))</f>
        <v/>
      </c>
      <c r="AB1293" s="70">
        <f>IF($A1293="","",N(S1293)*'Paramètres'!$AA$9*IFERROR(INDEX('Paramètres'!$O$5:$O$7,MATCH(G1293,'Paramètres'!$N$5:$N$7,0)),0))</f>
        <v/>
      </c>
      <c r="AC1293" s="7" t="inlineStr">
        <is>
          <t>Clôturé</t>
        </is>
      </c>
      <c r="AD1293" s="69">
        <f>IF(OR($A1293="",Q1293=""),"",(Q1293-B1293)*24)</f>
        <v/>
      </c>
      <c r="AE1293" s="69">
        <f>IF(OR(Q1293="",R1293=""),"",(R1293-Q1293)*24)</f>
        <v/>
      </c>
      <c r="AF1293" s="77">
        <f>IF(OR($A1293="",B1293=""),"",YEAR(B1293))</f>
        <v/>
      </c>
      <c r="AG1293" s="77">
        <f>IF(OR($A1293="",B1293=""),"",MONTH(B1293))</f>
        <v/>
      </c>
    </row>
    <row r="1294">
      <c r="A1294" s="7" t="inlineStr">
        <is>
          <t>OT-2026-0439</t>
        </is>
      </c>
      <c r="B1294" s="75" t="n">
        <v>46223.40972222222</v>
      </c>
      <c r="C1294" s="7" t="inlineStr">
        <is>
          <t>Plan préventif</t>
        </is>
      </c>
      <c r="D1294" s="7" t="inlineStr">
        <is>
          <t>EQ-PEI-002</t>
        </is>
      </c>
      <c r="E1294" s="9">
        <f>IF(D1294="","",IFERROR(INDEX('Équipements'!$B$5:$B$304,MATCH(D1294,'Équipements'!$A$5:$A$304,0)),"Code inconnu"))</f>
        <v/>
      </c>
      <c r="F1294" s="9">
        <f>IF(D1294="","",IFERROR(INDEX('Équipements'!$D$5:$D$304,MATCH(D1294,'Équipements'!$A$5:$A$304,0)),""))</f>
        <v/>
      </c>
      <c r="G1294" s="9">
        <f>IF(D1294="","",IFERROR(INDEX('Équipements'!$K$5:$K$304,MATCH(D1294,'Équipements'!$A$5:$A$304,0)),""))</f>
        <v/>
      </c>
      <c r="H1294" s="7" t="inlineStr">
        <is>
          <t>Préventif systématique</t>
        </is>
      </c>
      <c r="I1294" s="7" t="inlineStr">
        <is>
          <t>GP-068</t>
        </is>
      </c>
      <c r="J1294" s="7" t="inlineStr">
        <is>
          <t>Mécanique</t>
        </is>
      </c>
      <c r="K1294" s="7" t="inlineStr">
        <is>
          <t>P3 - Normale</t>
        </is>
      </c>
      <c r="L1294" s="7" t="inlineStr">
        <is>
          <t>Nettoyage et remplacement des filtres</t>
        </is>
      </c>
      <c r="M1294" s="7" t="n"/>
      <c r="N1294" s="7" t="inlineStr">
        <is>
          <t>Gamme réalisée - RAS</t>
        </is>
      </c>
      <c r="O1294" s="7" t="inlineStr">
        <is>
          <t>Karim Benali</t>
        </is>
      </c>
      <c r="P1294" s="65" t="n">
        <v>46230.48611111111</v>
      </c>
      <c r="Q1294" s="75" t="n">
        <v>46230.42361111111</v>
      </c>
      <c r="R1294" s="75" t="n">
        <v>46230.55902777778</v>
      </c>
      <c r="S1294" s="76" t="n">
        <v>1.6</v>
      </c>
      <c r="T1294" s="76" t="n">
        <v>3.25</v>
      </c>
      <c r="U1294" s="70">
        <f>IF($A1294="","",IFERROR(INDEX('Techniciens'!$F$5:$F$44,MATCH(O1294,'Techniciens'!$B$5:$B$44,0)),'Paramètres'!$AA$10))</f>
        <v/>
      </c>
      <c r="V1294" s="70">
        <f>IF($A1294="","",IF(OR(AC1294="Demandé",AC1294="Planifié",AC1294="Annulé"),0,N(T1294)*N(U1294)))</f>
        <v/>
      </c>
      <c r="W1294" s="70">
        <f>IF($A1294="","",SUMIFS('Mouvements stock'!$H$5:$H$3004,'Mouvements stock'!$I$5:$I$3004,$A1294,'Mouvements stock'!$C$5:$C$3004,"Sortie")-SUMIFS('Mouvements stock'!$H$5:$H$3004,'Mouvements stock'!$I$5:$I$3004,$A1294,'Mouvements stock'!$C$5:$C$3004,"Retour"))</f>
        <v/>
      </c>
      <c r="X1294" s="66" t="n">
        <v>0</v>
      </c>
      <c r="Y1294" s="66" t="n">
        <v>0</v>
      </c>
      <c r="Z1294" s="7" t="n"/>
      <c r="AA1294" s="70">
        <f>IF($A1294="","",N(V1294)+N(W1294)+N(X1294)+N(Y1294))</f>
        <v/>
      </c>
      <c r="AB1294" s="70">
        <f>IF($A1294="","",N(S1294)*'Paramètres'!$AA$9*IFERROR(INDEX('Paramètres'!$O$5:$O$7,MATCH(G1294,'Paramètres'!$N$5:$N$7,0)),0))</f>
        <v/>
      </c>
      <c r="AC1294" s="7" t="inlineStr">
        <is>
          <t>Clôturé</t>
        </is>
      </c>
      <c r="AD1294" s="69">
        <f>IF(OR($A1294="",Q1294=""),"",(Q1294-B1294)*24)</f>
        <v/>
      </c>
      <c r="AE1294" s="69">
        <f>IF(OR(Q1294="",R1294=""),"",(R1294-Q1294)*24)</f>
        <v/>
      </c>
      <c r="AF1294" s="77">
        <f>IF(OR($A1294="",B1294=""),"",YEAR(B1294))</f>
        <v/>
      </c>
      <c r="AG1294" s="77">
        <f>IF(OR($A1294="",B1294=""),"",MONTH(B1294))</f>
        <v/>
      </c>
    </row>
    <row r="1295">
      <c r="A1295" s="7" t="inlineStr">
        <is>
          <t>OT-2026-0440</t>
        </is>
      </c>
      <c r="B1295" s="75" t="n">
        <v>46223.41666666666</v>
      </c>
      <c r="C1295" s="7" t="inlineStr">
        <is>
          <t>Plan préventif</t>
        </is>
      </c>
      <c r="D1295" s="7" t="inlineStr">
        <is>
          <t>EQ-UTI-009</t>
        </is>
      </c>
      <c r="E1295" s="9">
        <f>IF(D1295="","",IFERROR(INDEX('Équipements'!$B$5:$B$304,MATCH(D1295,'Équipements'!$A$5:$A$304,0)),"Code inconnu"))</f>
        <v/>
      </c>
      <c r="F1295" s="9">
        <f>IF(D1295="","",IFERROR(INDEX('Équipements'!$D$5:$D$304,MATCH(D1295,'Équipements'!$A$5:$A$304,0)),""))</f>
        <v/>
      </c>
      <c r="G1295" s="9">
        <f>IF(D1295="","",IFERROR(INDEX('Équipements'!$K$5:$K$304,MATCH(D1295,'Équipements'!$A$5:$A$304,0)),""))</f>
        <v/>
      </c>
      <c r="H1295" s="7" t="inlineStr">
        <is>
          <t>Préventif systématique</t>
        </is>
      </c>
      <c r="I1295" s="7" t="inlineStr">
        <is>
          <t>GP-101</t>
        </is>
      </c>
      <c r="J1295" s="7" t="inlineStr">
        <is>
          <t>Électrique</t>
        </is>
      </c>
      <c r="K1295" s="7" t="inlineStr">
        <is>
          <t>P3 - Normale</t>
        </is>
      </c>
      <c r="L1295" s="7" t="inlineStr">
        <is>
          <t>Étalonnage des sondes pH / redox</t>
        </is>
      </c>
      <c r="M1295" s="7" t="n"/>
      <c r="N1295" s="7" t="inlineStr">
        <is>
          <t>Gamme réalisée - RAS</t>
        </is>
      </c>
      <c r="O1295" s="7" t="inlineStr">
        <is>
          <t>Thomas Petit</t>
        </is>
      </c>
      <c r="P1295" s="65" t="n">
        <v>46230.55555555555</v>
      </c>
      <c r="Q1295" s="75" t="n">
        <v>46230.44791666666</v>
      </c>
      <c r="R1295" s="75" t="n">
        <v>46230.5</v>
      </c>
      <c r="S1295" s="76" t="n">
        <v>0</v>
      </c>
      <c r="T1295" s="76" t="n">
        <v>1.25</v>
      </c>
      <c r="U1295" s="70">
        <f>IF($A1295="","",IFERROR(INDEX('Techniciens'!$F$5:$F$44,MATCH(O1295,'Techniciens'!$B$5:$B$44,0)),'Paramètres'!$AA$10))</f>
        <v/>
      </c>
      <c r="V1295" s="70">
        <f>IF($A1295="","",IF(OR(AC1295="Demandé",AC1295="Planifié",AC1295="Annulé"),0,N(T1295)*N(U1295)))</f>
        <v/>
      </c>
      <c r="W1295" s="70">
        <f>IF($A1295="","",SUMIFS('Mouvements stock'!$H$5:$H$3004,'Mouvements stock'!$I$5:$I$3004,$A1295,'Mouvements stock'!$C$5:$C$3004,"Sortie")-SUMIFS('Mouvements stock'!$H$5:$H$3004,'Mouvements stock'!$I$5:$I$3004,$A1295,'Mouvements stock'!$C$5:$C$3004,"Retour"))</f>
        <v/>
      </c>
      <c r="X1295" s="66" t="n">
        <v>0</v>
      </c>
      <c r="Y1295" s="66" t="n">
        <v>0</v>
      </c>
      <c r="Z1295" s="7" t="n"/>
      <c r="AA1295" s="70">
        <f>IF($A1295="","",N(V1295)+N(W1295)+N(X1295)+N(Y1295))</f>
        <v/>
      </c>
      <c r="AB1295" s="70">
        <f>IF($A1295="","",N(S1295)*'Paramètres'!$AA$9*IFERROR(INDEX('Paramètres'!$O$5:$O$7,MATCH(G1295,'Paramètres'!$N$5:$N$7,0)),0))</f>
        <v/>
      </c>
      <c r="AC1295" s="7" t="inlineStr">
        <is>
          <t>Clôturé</t>
        </is>
      </c>
      <c r="AD1295" s="69">
        <f>IF(OR($A1295="",Q1295=""),"",(Q1295-B1295)*24)</f>
        <v/>
      </c>
      <c r="AE1295" s="69">
        <f>IF(OR(Q1295="",R1295=""),"",(R1295-Q1295)*24)</f>
        <v/>
      </c>
      <c r="AF1295" s="77">
        <f>IF(OR($A1295="",B1295=""),"",YEAR(B1295))</f>
        <v/>
      </c>
      <c r="AG1295" s="77">
        <f>IF(OR($A1295="",B1295=""),"",MONTH(B1295))</f>
        <v/>
      </c>
    </row>
    <row r="1296">
      <c r="A1296" s="7" t="inlineStr">
        <is>
          <t>OT-2026-0441</t>
        </is>
      </c>
      <c r="B1296" s="75" t="n">
        <v>46223.46111111111</v>
      </c>
      <c r="C1296" s="7" t="inlineStr">
        <is>
          <t>Ronde maintenance</t>
        </is>
      </c>
      <c r="D1296" s="7" t="inlineStr">
        <is>
          <t>EQ-UTI-009</t>
        </is>
      </c>
      <c r="E1296" s="9">
        <f>IF(D1296="","",IFERROR(INDEX('Équipements'!$B$5:$B$304,MATCH(D1296,'Équipements'!$A$5:$A$304,0)),"Code inconnu"))</f>
        <v/>
      </c>
      <c r="F1296" s="9">
        <f>IF(D1296="","",IFERROR(INDEX('Équipements'!$D$5:$D$304,MATCH(D1296,'Équipements'!$A$5:$A$304,0)),""))</f>
        <v/>
      </c>
      <c r="G1296" s="9">
        <f>IF(D1296="","",IFERROR(INDEX('Équipements'!$K$5:$K$304,MATCH(D1296,'Équipements'!$A$5:$A$304,0)),""))</f>
        <v/>
      </c>
      <c r="H1296" s="7" t="inlineStr">
        <is>
          <t>Correctif</t>
        </is>
      </c>
      <c r="I1296" s="7" t="n"/>
      <c r="J1296" s="7" t="inlineStr">
        <is>
          <t>Mécanique</t>
        </is>
      </c>
      <c r="K1296" s="7" t="inlineStr">
        <is>
          <t>P2 - Haute</t>
        </is>
      </c>
      <c r="L1296" s="7" t="inlineStr">
        <is>
          <t>Colmatage filtre-presse</t>
        </is>
      </c>
      <c r="M1296" s="7" t="inlineStr">
        <is>
          <t>Encrassement</t>
        </is>
      </c>
      <c r="N1296" s="7" t="inlineStr">
        <is>
          <t>Nettoyage des toiles filtrantes</t>
        </is>
      </c>
      <c r="O1296" s="7" t="inlineStr">
        <is>
          <t>Antoine Mercier</t>
        </is>
      </c>
      <c r="P1296" s="65" t="n"/>
      <c r="Q1296" s="75" t="n">
        <v>46223.54722222222</v>
      </c>
      <c r="R1296" s="75" t="n">
        <v>46223.74513888889</v>
      </c>
      <c r="S1296" s="76" t="n">
        <v>0</v>
      </c>
      <c r="T1296" s="76" t="n">
        <v>4.75</v>
      </c>
      <c r="U1296" s="70">
        <f>IF($A1296="","",IFERROR(INDEX('Techniciens'!$F$5:$F$44,MATCH(O1296,'Techniciens'!$B$5:$B$44,0)),'Paramètres'!$AA$10))</f>
        <v/>
      </c>
      <c r="V1296" s="70">
        <f>IF($A1296="","",IF(OR(AC1296="Demandé",AC1296="Planifié",AC1296="Annulé"),0,N(T1296)*N(U1296)))</f>
        <v/>
      </c>
      <c r="W1296" s="70">
        <f>IF($A1296="","",SUMIFS('Mouvements stock'!$H$5:$H$3004,'Mouvements stock'!$I$5:$I$3004,$A1296,'Mouvements stock'!$C$5:$C$3004,"Sortie")-SUMIFS('Mouvements stock'!$H$5:$H$3004,'Mouvements stock'!$I$5:$I$3004,$A1296,'Mouvements stock'!$C$5:$C$3004,"Retour"))</f>
        <v/>
      </c>
      <c r="X1296" s="66" t="n">
        <v>0</v>
      </c>
      <c r="Y1296" s="66" t="n">
        <v>0</v>
      </c>
      <c r="Z1296" s="7" t="n"/>
      <c r="AA1296" s="70">
        <f>IF($A1296="","",N(V1296)+N(W1296)+N(X1296)+N(Y1296))</f>
        <v/>
      </c>
      <c r="AB1296" s="70">
        <f>IF($A1296="","",N(S1296)*'Paramètres'!$AA$9*IFERROR(INDEX('Paramètres'!$O$5:$O$7,MATCH(G1296,'Paramètres'!$N$5:$N$7,0)),0))</f>
        <v/>
      </c>
      <c r="AC1296" s="7" t="inlineStr">
        <is>
          <t>Clôturé</t>
        </is>
      </c>
      <c r="AD1296" s="69">
        <f>IF(OR($A1296="",Q1296=""),"",(Q1296-B1296)*24)</f>
        <v/>
      </c>
      <c r="AE1296" s="69">
        <f>IF(OR(Q1296="",R1296=""),"",(R1296-Q1296)*24)</f>
        <v/>
      </c>
      <c r="AF1296" s="77">
        <f>IF(OR($A1296="",B1296=""),"",YEAR(B1296))</f>
        <v/>
      </c>
      <c r="AG1296" s="77">
        <f>IF(OR($A1296="",B1296=""),"",MONTH(B1296))</f>
        <v/>
      </c>
    </row>
    <row r="1297">
      <c r="A1297" s="7" t="inlineStr">
        <is>
          <t>OT-2026-0442</t>
        </is>
      </c>
      <c r="B1297" s="75" t="n">
        <v>46224.38888888889</v>
      </c>
      <c r="C1297" s="7" t="inlineStr">
        <is>
          <t>Planning réglementaire</t>
        </is>
      </c>
      <c r="D1297" s="7" t="inlineStr">
        <is>
          <t>EQ-UTI-005</t>
        </is>
      </c>
      <c r="E1297" s="9">
        <f>IF(D1297="","",IFERROR(INDEX('Équipements'!$B$5:$B$304,MATCH(D1297,'Équipements'!$A$5:$A$304,0)),"Code inconnu"))</f>
        <v/>
      </c>
      <c r="F1297" s="9">
        <f>IF(D1297="","",IFERROR(INDEX('Équipements'!$D$5:$D$304,MATCH(D1297,'Équipements'!$A$5:$A$304,0)),""))</f>
        <v/>
      </c>
      <c r="G1297" s="9">
        <f>IF(D1297="","",IFERROR(INDEX('Équipements'!$K$5:$K$304,MATCH(D1297,'Équipements'!$A$5:$A$304,0)),""))</f>
        <v/>
      </c>
      <c r="H1297" s="7" t="inlineStr">
        <is>
          <t>Réglementaire</t>
        </is>
      </c>
      <c r="I1297" s="7" t="inlineStr">
        <is>
          <t>CR-027</t>
        </is>
      </c>
      <c r="J1297" s="7" t="inlineStr">
        <is>
          <t>Multi-technique</t>
        </is>
      </c>
      <c r="K1297" s="7" t="inlineStr">
        <is>
          <t>P2 - Haute</t>
        </is>
      </c>
      <c r="L1297" s="7" t="inlineStr">
        <is>
          <t>Contrôle d'étanchéité fluides frigorigènes</t>
        </is>
      </c>
      <c r="M1297" s="7" t="n"/>
      <c r="N1297" s="7" t="inlineStr">
        <is>
          <t>Contrôle réalisé - rapport reçu</t>
        </is>
      </c>
      <c r="O1297" s="7" t="inlineStr">
        <is>
          <t>Nadia Rousseau</t>
        </is>
      </c>
      <c r="P1297" s="65" t="n">
        <v>46245</v>
      </c>
      <c r="Q1297" s="75" t="n">
        <v>46245.34027777778</v>
      </c>
      <c r="R1297" s="75" t="n">
        <v>46245.38194444445</v>
      </c>
      <c r="S1297" s="76" t="n">
        <v>0</v>
      </c>
      <c r="T1297" s="76" t="n">
        <v>1</v>
      </c>
      <c r="U1297" s="70">
        <f>IF($A1297="","",IFERROR(INDEX('Techniciens'!$F$5:$F$44,MATCH(O1297,'Techniciens'!$B$5:$B$44,0)),'Paramètres'!$AA$10))</f>
        <v/>
      </c>
      <c r="V1297" s="70">
        <f>IF($A1297="","",IF(OR(AC1297="Demandé",AC1297="Planifié",AC1297="Annulé"),0,N(T1297)*N(U1297)))</f>
        <v/>
      </c>
      <c r="W1297" s="70">
        <f>IF($A1297="","",SUMIFS('Mouvements stock'!$H$5:$H$3004,'Mouvements stock'!$I$5:$I$3004,$A1297,'Mouvements stock'!$C$5:$C$3004,"Sortie")-SUMIFS('Mouvements stock'!$H$5:$H$3004,'Mouvements stock'!$I$5:$I$3004,$A1297,'Mouvements stock'!$C$5:$C$3004,"Retour"))</f>
        <v/>
      </c>
      <c r="X1297" s="66" t="n">
        <v>0</v>
      </c>
      <c r="Y1297" s="66" t="n">
        <v>360</v>
      </c>
      <c r="Z1297" s="7" t="inlineStr">
        <is>
          <t>Thermique &amp; Clim Services</t>
        </is>
      </c>
      <c r="AA1297" s="70">
        <f>IF($A1297="","",N(V1297)+N(W1297)+N(X1297)+N(Y1297))</f>
        <v/>
      </c>
      <c r="AB1297" s="70">
        <f>IF($A1297="","",N(S1297)*'Paramètres'!$AA$9*IFERROR(INDEX('Paramètres'!$O$5:$O$7,MATCH(G1297,'Paramètres'!$N$5:$N$7,0)),0))</f>
        <v/>
      </c>
      <c r="AC1297" s="7" t="inlineStr">
        <is>
          <t>Clôturé</t>
        </is>
      </c>
      <c r="AD1297" s="69">
        <f>IF(OR($A1297="",Q1297=""),"",(Q1297-B1297)*24)</f>
        <v/>
      </c>
      <c r="AE1297" s="69">
        <f>IF(OR(Q1297="",R1297=""),"",(R1297-Q1297)*24)</f>
        <v/>
      </c>
      <c r="AF1297" s="77">
        <f>IF(OR($A1297="",B1297=""),"",YEAR(B1297))</f>
        <v/>
      </c>
      <c r="AG1297" s="77">
        <f>IF(OR($A1297="",B1297=""),"",MONTH(B1297))</f>
        <v/>
      </c>
    </row>
    <row r="1298">
      <c r="A1298" s="7" t="inlineStr">
        <is>
          <t>OT-2026-0443</t>
        </is>
      </c>
      <c r="B1298" s="75" t="n">
        <v>46225.41666666666</v>
      </c>
      <c r="C1298" s="7" t="inlineStr">
        <is>
          <t>Plan préventif</t>
        </is>
      </c>
      <c r="D1298" s="7" t="inlineStr">
        <is>
          <t>EQ-UTI-010</t>
        </is>
      </c>
      <c r="E1298" s="9">
        <f>IF(D1298="","",IFERROR(INDEX('Équipements'!$B$5:$B$304,MATCH(D1298,'Équipements'!$A$5:$A$304,0)),"Code inconnu"))</f>
        <v/>
      </c>
      <c r="F1298" s="9">
        <f>IF(D1298="","",IFERROR(INDEX('Équipements'!$D$5:$D$304,MATCH(D1298,'Équipements'!$A$5:$A$304,0)),""))</f>
        <v/>
      </c>
      <c r="G1298" s="9">
        <f>IF(D1298="","",IFERROR(INDEX('Équipements'!$K$5:$K$304,MATCH(D1298,'Équipements'!$A$5:$A$304,0)),""))</f>
        <v/>
      </c>
      <c r="H1298" s="7" t="inlineStr">
        <is>
          <t>Préventif systématique</t>
        </is>
      </c>
      <c r="I1298" s="7" t="inlineStr">
        <is>
          <t>GP-104</t>
        </is>
      </c>
      <c r="J1298" s="7" t="inlineStr">
        <is>
          <t>Électrique</t>
        </is>
      </c>
      <c r="K1298" s="7" t="inlineStr">
        <is>
          <t>P3 - Normale</t>
        </is>
      </c>
      <c r="L1298" s="7" t="inlineStr">
        <is>
          <t>Essai mensuel à charge du groupe électrogène</t>
        </is>
      </c>
      <c r="M1298" s="7" t="n"/>
      <c r="N1298" s="7" t="inlineStr">
        <is>
          <t>Gamme réalisée - RAS</t>
        </is>
      </c>
      <c r="O1298" s="7" t="inlineStr">
        <is>
          <t>Julien Moreau</t>
        </is>
      </c>
      <c r="P1298" s="65" t="n">
        <v>46232.32638888889</v>
      </c>
      <c r="Q1298" s="75" t="n">
        <v>46232.54861111111</v>
      </c>
      <c r="R1298" s="75" t="n">
        <v>46232.61111111111</v>
      </c>
      <c r="S1298" s="76" t="n">
        <v>0</v>
      </c>
      <c r="T1298" s="76" t="n">
        <v>1.5</v>
      </c>
      <c r="U1298" s="70">
        <f>IF($A1298="","",IFERROR(INDEX('Techniciens'!$F$5:$F$44,MATCH(O1298,'Techniciens'!$B$5:$B$44,0)),'Paramètres'!$AA$10))</f>
        <v/>
      </c>
      <c r="V1298" s="70">
        <f>IF($A1298="","",IF(OR(AC1298="Demandé",AC1298="Planifié",AC1298="Annulé"),0,N(T1298)*N(U1298)))</f>
        <v/>
      </c>
      <c r="W1298" s="70">
        <f>IF($A1298="","",SUMIFS('Mouvements stock'!$H$5:$H$3004,'Mouvements stock'!$I$5:$I$3004,$A1298,'Mouvements stock'!$C$5:$C$3004,"Sortie")-SUMIFS('Mouvements stock'!$H$5:$H$3004,'Mouvements stock'!$I$5:$I$3004,$A1298,'Mouvements stock'!$C$5:$C$3004,"Retour"))</f>
        <v/>
      </c>
      <c r="X1298" s="66" t="n">
        <v>0</v>
      </c>
      <c r="Y1298" s="66" t="n">
        <v>0</v>
      </c>
      <c r="Z1298" s="7" t="n"/>
      <c r="AA1298" s="70">
        <f>IF($A1298="","",N(V1298)+N(W1298)+N(X1298)+N(Y1298))</f>
        <v/>
      </c>
      <c r="AB1298" s="70">
        <f>IF($A1298="","",N(S1298)*'Paramètres'!$AA$9*IFERROR(INDEX('Paramètres'!$O$5:$O$7,MATCH(G1298,'Paramètres'!$N$5:$N$7,0)),0))</f>
        <v/>
      </c>
      <c r="AC1298" s="7" t="inlineStr">
        <is>
          <t>Clôturé</t>
        </is>
      </c>
      <c r="AD1298" s="69">
        <f>IF(OR($A1298="",Q1298=""),"",(Q1298-B1298)*24)</f>
        <v/>
      </c>
      <c r="AE1298" s="69">
        <f>IF(OR(Q1298="",R1298=""),"",(R1298-Q1298)*24)</f>
        <v/>
      </c>
      <c r="AF1298" s="77">
        <f>IF(OR($A1298="",B1298=""),"",YEAR(B1298))</f>
        <v/>
      </c>
      <c r="AG1298" s="77">
        <f>IF(OR($A1298="",B1298=""),"",MONTH(B1298))</f>
        <v/>
      </c>
    </row>
    <row r="1299">
      <c r="A1299" s="7" t="inlineStr">
        <is>
          <t>OT-2026-0444</t>
        </is>
      </c>
      <c r="B1299" s="75" t="n">
        <v>46225.81319444445</v>
      </c>
      <c r="C1299" s="7" t="inlineStr">
        <is>
          <t>Inès Girard (cheffe d'équipe)</t>
        </is>
      </c>
      <c r="D1299" s="7" t="inlineStr">
        <is>
          <t>EQ-PEI-001</t>
        </is>
      </c>
      <c r="E1299" s="9">
        <f>IF(D1299="","",IFERROR(INDEX('Équipements'!$B$5:$B$304,MATCH(D1299,'Équipements'!$A$5:$A$304,0)),"Code inconnu"))</f>
        <v/>
      </c>
      <c r="F1299" s="9">
        <f>IF(D1299="","",IFERROR(INDEX('Équipements'!$D$5:$D$304,MATCH(D1299,'Équipements'!$A$5:$A$304,0)),""))</f>
        <v/>
      </c>
      <c r="G1299" s="9">
        <f>IF(D1299="","",IFERROR(INDEX('Équipements'!$K$5:$K$304,MATCH(D1299,'Équipements'!$A$5:$A$304,0)),""))</f>
        <v/>
      </c>
      <c r="H1299" s="7" t="inlineStr">
        <is>
          <t>Correctif</t>
        </is>
      </c>
      <c r="I1299" s="7" t="n"/>
      <c r="J1299" s="7" t="inlineStr">
        <is>
          <t>Électrique</t>
        </is>
      </c>
      <c r="K1299" s="7" t="inlineStr">
        <is>
          <t>P1 - Urgent</t>
        </is>
      </c>
      <c r="L1299" s="7" t="inlineStr">
        <is>
          <t>Température de bain hors tolérance</t>
        </is>
      </c>
      <c r="M1299" s="7" t="inlineStr">
        <is>
          <t>Défaut capteur</t>
        </is>
      </c>
      <c r="N1299" s="7" t="inlineStr">
        <is>
          <t>Remplacement sonde PT100</t>
        </is>
      </c>
      <c r="O1299" s="7" t="inlineStr">
        <is>
          <t>Thomas Petit</t>
        </is>
      </c>
      <c r="P1299" s="65" t="n"/>
      <c r="Q1299" s="75" t="n">
        <v>46225.83402777778</v>
      </c>
      <c r="R1299" s="75" t="n">
        <v>46226.07361111111</v>
      </c>
      <c r="S1299" s="76" t="n">
        <v>6.3</v>
      </c>
      <c r="T1299" s="76" t="n">
        <v>5.75</v>
      </c>
      <c r="U1299" s="70">
        <f>IF($A1299="","",IFERROR(INDEX('Techniciens'!$F$5:$F$44,MATCH(O1299,'Techniciens'!$B$5:$B$44,0)),'Paramètres'!$AA$10))</f>
        <v/>
      </c>
      <c r="V1299" s="70">
        <f>IF($A1299="","",IF(OR(AC1299="Demandé",AC1299="Planifié",AC1299="Annulé"),0,N(T1299)*N(U1299)))</f>
        <v/>
      </c>
      <c r="W1299" s="70">
        <f>IF($A1299="","",SUMIFS('Mouvements stock'!$H$5:$H$3004,'Mouvements stock'!$I$5:$I$3004,$A1299,'Mouvements stock'!$C$5:$C$3004,"Sortie")-SUMIFS('Mouvements stock'!$H$5:$H$3004,'Mouvements stock'!$I$5:$I$3004,$A1299,'Mouvements stock'!$C$5:$C$3004,"Retour"))</f>
        <v/>
      </c>
      <c r="X1299" s="66" t="n">
        <v>0</v>
      </c>
      <c r="Y1299" s="66" t="n">
        <v>0</v>
      </c>
      <c r="Z1299" s="7" t="n"/>
      <c r="AA1299" s="70">
        <f>IF($A1299="","",N(V1299)+N(W1299)+N(X1299)+N(Y1299))</f>
        <v/>
      </c>
      <c r="AB1299" s="70">
        <f>IF($A1299="","",N(S1299)*'Paramètres'!$AA$9*IFERROR(INDEX('Paramètres'!$O$5:$O$7,MATCH(G1299,'Paramètres'!$N$5:$N$7,0)),0))</f>
        <v/>
      </c>
      <c r="AC1299" s="7" t="inlineStr">
        <is>
          <t>Clôturé</t>
        </is>
      </c>
      <c r="AD1299" s="69">
        <f>IF(OR($A1299="",Q1299=""),"",(Q1299-B1299)*24)</f>
        <v/>
      </c>
      <c r="AE1299" s="69">
        <f>IF(OR(Q1299="",R1299=""),"",(R1299-Q1299)*24)</f>
        <v/>
      </c>
      <c r="AF1299" s="77">
        <f>IF(OR($A1299="",B1299=""),"",YEAR(B1299))</f>
        <v/>
      </c>
      <c r="AG1299" s="77">
        <f>IF(OR($A1299="",B1299=""),"",MONTH(B1299))</f>
        <v/>
      </c>
    </row>
    <row r="1300">
      <c r="A1300" s="7" t="inlineStr">
        <is>
          <t>OT-2026-0445</t>
        </is>
      </c>
      <c r="B1300" s="75" t="n">
        <v>46226.33333333334</v>
      </c>
      <c r="C1300" s="7" t="inlineStr">
        <is>
          <t>Plan préventif</t>
        </is>
      </c>
      <c r="D1300" s="7" t="inlineStr">
        <is>
          <t>EQ-USI-005</t>
        </is>
      </c>
      <c r="E1300" s="9">
        <f>IF(D1300="","",IFERROR(INDEX('Équipements'!$B$5:$B$304,MATCH(D1300,'Équipements'!$A$5:$A$304,0)),"Code inconnu"))</f>
        <v/>
      </c>
      <c r="F1300" s="9">
        <f>IF(D1300="","",IFERROR(INDEX('Équipements'!$D$5:$D$304,MATCH(D1300,'Équipements'!$A$5:$A$304,0)),""))</f>
        <v/>
      </c>
      <c r="G1300" s="9">
        <f>IF(D1300="","",IFERROR(INDEX('Équipements'!$K$5:$K$304,MATCH(D1300,'Équipements'!$A$5:$A$304,0)),""))</f>
        <v/>
      </c>
      <c r="H1300" s="7" t="inlineStr">
        <is>
          <t>Préventif systématique</t>
        </is>
      </c>
      <c r="I1300" s="7" t="inlineStr">
        <is>
          <t>GP-017</t>
        </is>
      </c>
      <c r="J1300" s="7" t="inlineStr">
        <is>
          <t>Mécanique</t>
        </is>
      </c>
      <c r="K1300" s="7" t="inlineStr">
        <is>
          <t>P3 - Normale</t>
        </is>
      </c>
      <c r="L1300" s="7" t="inlineStr">
        <is>
          <t>Contrôle niveaux, nettoyage filtres et bac à copeaux</t>
        </is>
      </c>
      <c r="M1300" s="7" t="n"/>
      <c r="N1300" s="7" t="inlineStr">
        <is>
          <t>Gamme réalisée - DI émise pour remplacement pièce</t>
        </is>
      </c>
      <c r="O1300" s="7" t="inlineStr">
        <is>
          <t>Karim Benali</t>
        </is>
      </c>
      <c r="P1300" s="65" t="n">
        <v>46233.53125</v>
      </c>
      <c r="Q1300" s="75" t="n">
        <v>46233.5625</v>
      </c>
      <c r="R1300" s="75" t="n">
        <v>46233.625</v>
      </c>
      <c r="S1300" s="76" t="n">
        <v>1.5</v>
      </c>
      <c r="T1300" s="76" t="n">
        <v>1.5</v>
      </c>
      <c r="U1300" s="70">
        <f>IF($A1300="","",IFERROR(INDEX('Techniciens'!$F$5:$F$44,MATCH(O1300,'Techniciens'!$B$5:$B$44,0)),'Paramètres'!$AA$10))</f>
        <v/>
      </c>
      <c r="V1300" s="70">
        <f>IF($A1300="","",IF(OR(AC1300="Demandé",AC1300="Planifié",AC1300="Annulé"),0,N(T1300)*N(U1300)))</f>
        <v/>
      </c>
      <c r="W1300" s="70">
        <f>IF($A1300="","",SUMIFS('Mouvements stock'!$H$5:$H$3004,'Mouvements stock'!$I$5:$I$3004,$A1300,'Mouvements stock'!$C$5:$C$3004,"Sortie")-SUMIFS('Mouvements stock'!$H$5:$H$3004,'Mouvements stock'!$I$5:$I$3004,$A1300,'Mouvements stock'!$C$5:$C$3004,"Retour"))</f>
        <v/>
      </c>
      <c r="X1300" s="66" t="n">
        <v>0</v>
      </c>
      <c r="Y1300" s="66" t="n">
        <v>0</v>
      </c>
      <c r="Z1300" s="7" t="n"/>
      <c r="AA1300" s="70">
        <f>IF($A1300="","",N(V1300)+N(W1300)+N(X1300)+N(Y1300))</f>
        <v/>
      </c>
      <c r="AB1300" s="70">
        <f>IF($A1300="","",N(S1300)*'Paramètres'!$AA$9*IFERROR(INDEX('Paramètres'!$O$5:$O$7,MATCH(G1300,'Paramètres'!$N$5:$N$7,0)),0))</f>
        <v/>
      </c>
      <c r="AC1300" s="7" t="inlineStr">
        <is>
          <t>Clôturé</t>
        </is>
      </c>
      <c r="AD1300" s="69">
        <f>IF(OR($A1300="",Q1300=""),"",(Q1300-B1300)*24)</f>
        <v/>
      </c>
      <c r="AE1300" s="69">
        <f>IF(OR(Q1300="",R1300=""),"",(R1300-Q1300)*24)</f>
        <v/>
      </c>
      <c r="AF1300" s="77">
        <f>IF(OR($A1300="",B1300=""),"",YEAR(B1300))</f>
        <v/>
      </c>
      <c r="AG1300" s="77">
        <f>IF(OR($A1300="",B1300=""),"",MONTH(B1300))</f>
        <v/>
      </c>
    </row>
    <row r="1301">
      <c r="A1301" s="7" t="inlineStr">
        <is>
          <t>OT-2026-0446</t>
        </is>
      </c>
      <c r="B1301" s="75" t="n">
        <v>46227.40625</v>
      </c>
      <c r="C1301" s="7" t="inlineStr">
        <is>
          <t>Plan préventif</t>
        </is>
      </c>
      <c r="D1301" s="7" t="inlineStr">
        <is>
          <t>EQ-UTI-005</t>
        </is>
      </c>
      <c r="E1301" s="9">
        <f>IF(D1301="","",IFERROR(INDEX('Équipements'!$B$5:$B$304,MATCH(D1301,'Équipements'!$A$5:$A$304,0)),"Code inconnu"))</f>
        <v/>
      </c>
      <c r="F1301" s="9">
        <f>IF(D1301="","",IFERROR(INDEX('Équipements'!$D$5:$D$304,MATCH(D1301,'Équipements'!$A$5:$A$304,0)),""))</f>
        <v/>
      </c>
      <c r="G1301" s="9">
        <f>IF(D1301="","",IFERROR(INDEX('Équipements'!$K$5:$K$304,MATCH(D1301,'Équipements'!$A$5:$A$304,0)),""))</f>
        <v/>
      </c>
      <c r="H1301" s="7" t="inlineStr">
        <is>
          <t>Préventif systématique</t>
        </is>
      </c>
      <c r="I1301" s="7" t="inlineStr">
        <is>
          <t>GP-093</t>
        </is>
      </c>
      <c r="J1301" s="7" t="inlineStr">
        <is>
          <t>Mécanique</t>
        </is>
      </c>
      <c r="K1301" s="7" t="inlineStr">
        <is>
          <t>P3 - Normale</t>
        </is>
      </c>
      <c r="L1301" s="7" t="inlineStr">
        <is>
          <t>Remplacement filtres et nettoyage batteries</t>
        </is>
      </c>
      <c r="M1301" s="7" t="n"/>
      <c r="N1301" s="7" t="inlineStr">
        <is>
          <t>Gamme réalisée - RAS</t>
        </is>
      </c>
      <c r="O1301" s="7" t="inlineStr">
        <is>
          <t>Lucas Fontaine</t>
        </is>
      </c>
      <c r="P1301" s="65" t="n">
        <v>46234.68055555555</v>
      </c>
      <c r="Q1301" s="75" t="n">
        <v>46234.45833333334</v>
      </c>
      <c r="R1301" s="75" t="n">
        <v>46234.57291666666</v>
      </c>
      <c r="S1301" s="76" t="n">
        <v>0</v>
      </c>
      <c r="T1301" s="76" t="n">
        <v>2.75</v>
      </c>
      <c r="U1301" s="70">
        <f>IF($A1301="","",IFERROR(INDEX('Techniciens'!$F$5:$F$44,MATCH(O1301,'Techniciens'!$B$5:$B$44,0)),'Paramètres'!$AA$10))</f>
        <v/>
      </c>
      <c r="V1301" s="70">
        <f>IF($A1301="","",IF(OR(AC1301="Demandé",AC1301="Planifié",AC1301="Annulé"),0,N(T1301)*N(U1301)))</f>
        <v/>
      </c>
      <c r="W1301" s="70">
        <f>IF($A1301="","",SUMIFS('Mouvements stock'!$H$5:$H$3004,'Mouvements stock'!$I$5:$I$3004,$A1301,'Mouvements stock'!$C$5:$C$3004,"Sortie")-SUMIFS('Mouvements stock'!$H$5:$H$3004,'Mouvements stock'!$I$5:$I$3004,$A1301,'Mouvements stock'!$C$5:$C$3004,"Retour"))</f>
        <v/>
      </c>
      <c r="X1301" s="66" t="n">
        <v>0</v>
      </c>
      <c r="Y1301" s="66" t="n">
        <v>0</v>
      </c>
      <c r="Z1301" s="7" t="n"/>
      <c r="AA1301" s="70">
        <f>IF($A1301="","",N(V1301)+N(W1301)+N(X1301)+N(Y1301))</f>
        <v/>
      </c>
      <c r="AB1301" s="70">
        <f>IF($A1301="","",N(S1301)*'Paramètres'!$AA$9*IFERROR(INDEX('Paramètres'!$O$5:$O$7,MATCH(G1301,'Paramètres'!$N$5:$N$7,0)),0))</f>
        <v/>
      </c>
      <c r="AC1301" s="7" t="inlineStr">
        <is>
          <t>Clôturé</t>
        </is>
      </c>
      <c r="AD1301" s="69">
        <f>IF(OR($A1301="",Q1301=""),"",(Q1301-B1301)*24)</f>
        <v/>
      </c>
      <c r="AE1301" s="69">
        <f>IF(OR(Q1301="",R1301=""),"",(R1301-Q1301)*24)</f>
        <v/>
      </c>
      <c r="AF1301" s="77">
        <f>IF(OR($A1301="",B1301=""),"",YEAR(B1301))</f>
        <v/>
      </c>
      <c r="AG1301" s="77">
        <f>IF(OR($A1301="",B1301=""),"",MONTH(B1301))</f>
        <v/>
      </c>
    </row>
    <row r="1302">
      <c r="A1302" s="7" t="inlineStr">
        <is>
          <t>OT-2026-0447</t>
        </is>
      </c>
      <c r="B1302" s="75" t="n">
        <v>46228.39027777778</v>
      </c>
      <c r="C1302" s="7" t="inlineStr">
        <is>
          <t>Éric Laurent (chef d'atelier)</t>
        </is>
      </c>
      <c r="D1302" s="7" t="inlineStr">
        <is>
          <t>EQ-USI-004</t>
        </is>
      </c>
      <c r="E1302" s="9">
        <f>IF(D1302="","",IFERROR(INDEX('Équipements'!$B$5:$B$304,MATCH(D1302,'Équipements'!$A$5:$A$304,0)),"Code inconnu"))</f>
        <v/>
      </c>
      <c r="F1302" s="9">
        <f>IF(D1302="","",IFERROR(INDEX('Équipements'!$D$5:$D$304,MATCH(D1302,'Équipements'!$A$5:$A$304,0)),""))</f>
        <v/>
      </c>
      <c r="G1302" s="9">
        <f>IF(D1302="","",IFERROR(INDEX('Équipements'!$K$5:$K$304,MATCH(D1302,'Équipements'!$A$5:$A$304,0)),""))</f>
        <v/>
      </c>
      <c r="H1302" s="7" t="inlineStr">
        <is>
          <t>Correctif</t>
        </is>
      </c>
      <c r="I1302" s="7" t="n"/>
      <c r="J1302" s="7" t="inlineStr">
        <is>
          <t>Mécanique</t>
        </is>
      </c>
      <c r="K1302" s="7" t="inlineStr">
        <is>
          <t>P2 - Haute</t>
        </is>
      </c>
      <c r="L1302" s="7" t="inlineStr">
        <is>
          <t>Bourrage convoyeur à copeaux</t>
        </is>
      </c>
      <c r="M1302" s="7" t="inlineStr">
        <is>
          <t>Encrassement</t>
        </is>
      </c>
      <c r="N1302" s="7" t="inlineStr">
        <is>
          <t>Dégagement et nettoyage convoyeur, retension chaîne</t>
        </is>
      </c>
      <c r="O1302" s="7" t="inlineStr">
        <is>
          <t>Lucas Fontaine</t>
        </is>
      </c>
      <c r="P1302" s="65" t="n"/>
      <c r="Q1302" s="75" t="n">
        <v>46228.48611111111</v>
      </c>
      <c r="R1302" s="75" t="n">
        <v>46228.56944444445</v>
      </c>
      <c r="S1302" s="76" t="n">
        <v>4.3</v>
      </c>
      <c r="T1302" s="76" t="n">
        <v>2</v>
      </c>
      <c r="U1302" s="70">
        <f>IF($A1302="","",IFERROR(INDEX('Techniciens'!$F$5:$F$44,MATCH(O1302,'Techniciens'!$B$5:$B$44,0)),'Paramètres'!$AA$10))</f>
        <v/>
      </c>
      <c r="V1302" s="70">
        <f>IF($A1302="","",IF(OR(AC1302="Demandé",AC1302="Planifié",AC1302="Annulé"),0,N(T1302)*N(U1302)))</f>
        <v/>
      </c>
      <c r="W1302" s="70">
        <f>IF($A1302="","",SUMIFS('Mouvements stock'!$H$5:$H$3004,'Mouvements stock'!$I$5:$I$3004,$A1302,'Mouvements stock'!$C$5:$C$3004,"Sortie")-SUMIFS('Mouvements stock'!$H$5:$H$3004,'Mouvements stock'!$I$5:$I$3004,$A1302,'Mouvements stock'!$C$5:$C$3004,"Retour"))</f>
        <v/>
      </c>
      <c r="X1302" s="66" t="n">
        <v>0</v>
      </c>
      <c r="Y1302" s="66" t="n">
        <v>0</v>
      </c>
      <c r="Z1302" s="7" t="n"/>
      <c r="AA1302" s="70">
        <f>IF($A1302="","",N(V1302)+N(W1302)+N(X1302)+N(Y1302))</f>
        <v/>
      </c>
      <c r="AB1302" s="70">
        <f>IF($A1302="","",N(S1302)*'Paramètres'!$AA$9*IFERROR(INDEX('Paramètres'!$O$5:$O$7,MATCH(G1302,'Paramètres'!$N$5:$N$7,0)),0))</f>
        <v/>
      </c>
      <c r="AC1302" s="7" t="inlineStr">
        <is>
          <t>Clôturé</t>
        </is>
      </c>
      <c r="AD1302" s="69">
        <f>IF(OR($A1302="",Q1302=""),"",(Q1302-B1302)*24)</f>
        <v/>
      </c>
      <c r="AE1302" s="69">
        <f>IF(OR(Q1302="",R1302=""),"",(R1302-Q1302)*24)</f>
        <v/>
      </c>
      <c r="AF1302" s="77">
        <f>IF(OR($A1302="",B1302=""),"",YEAR(B1302))</f>
        <v/>
      </c>
      <c r="AG1302" s="77">
        <f>IF(OR($A1302="",B1302=""),"",MONTH(B1302))</f>
        <v/>
      </c>
    </row>
    <row r="1303">
      <c r="A1303" s="7" t="inlineStr">
        <is>
          <t>OT-2026-0448</t>
        </is>
      </c>
      <c r="B1303" s="75" t="n">
        <v>46228.89652777778</v>
      </c>
      <c r="C1303" s="7" t="inlineStr">
        <is>
          <t>Opérateur usinage</t>
        </is>
      </c>
      <c r="D1303" s="7" t="inlineStr">
        <is>
          <t>EQ-USI-002</t>
        </is>
      </c>
      <c r="E1303" s="9">
        <f>IF(D1303="","",IFERROR(INDEX('Équipements'!$B$5:$B$304,MATCH(D1303,'Équipements'!$A$5:$A$304,0)),"Code inconnu"))</f>
        <v/>
      </c>
      <c r="F1303" s="9">
        <f>IF(D1303="","",IFERROR(INDEX('Équipements'!$D$5:$D$304,MATCH(D1303,'Équipements'!$A$5:$A$304,0)),""))</f>
        <v/>
      </c>
      <c r="G1303" s="9">
        <f>IF(D1303="","",IFERROR(INDEX('Équipements'!$K$5:$K$304,MATCH(D1303,'Équipements'!$A$5:$A$304,0)),""))</f>
        <v/>
      </c>
      <c r="H1303" s="7" t="inlineStr">
        <is>
          <t>Correctif</t>
        </is>
      </c>
      <c r="I1303" s="7" t="n"/>
      <c r="J1303" s="7" t="inlineStr">
        <is>
          <t>Mécanique</t>
        </is>
      </c>
      <c r="K1303" s="7" t="inlineStr">
        <is>
          <t>P3 - Normale</t>
        </is>
      </c>
      <c r="L1303" s="7" t="inlineStr">
        <is>
          <t>Broche bruyante / vibrations anormales</t>
        </is>
      </c>
      <c r="M1303" s="7" t="inlineStr">
        <is>
          <t>Usure</t>
        </is>
      </c>
      <c r="N1303" s="7" t="inlineStr">
        <is>
          <t>Analyse vibratoire puis remplacement roulements de broche</t>
        </is>
      </c>
      <c r="O1303" s="7" t="inlineStr">
        <is>
          <t>Karim Benali</t>
        </is>
      </c>
      <c r="P1303" s="65" t="n"/>
      <c r="Q1303" s="75" t="n">
        <v>46229.41388888889</v>
      </c>
      <c r="R1303" s="75" t="n">
        <v>46229.54930555556</v>
      </c>
      <c r="S1303" s="76" t="n">
        <v>0</v>
      </c>
      <c r="T1303" s="76" t="n">
        <v>3.25</v>
      </c>
      <c r="U1303" s="70">
        <f>IF($A1303="","",IFERROR(INDEX('Techniciens'!$F$5:$F$44,MATCH(O1303,'Techniciens'!$B$5:$B$44,0)),'Paramètres'!$AA$10))</f>
        <v/>
      </c>
      <c r="V1303" s="70">
        <f>IF($A1303="","",IF(OR(AC1303="Demandé",AC1303="Planifié",AC1303="Annulé"),0,N(T1303)*N(U1303)))</f>
        <v/>
      </c>
      <c r="W1303" s="70">
        <f>IF($A1303="","",SUMIFS('Mouvements stock'!$H$5:$H$3004,'Mouvements stock'!$I$5:$I$3004,$A1303,'Mouvements stock'!$C$5:$C$3004,"Sortie")-SUMIFS('Mouvements stock'!$H$5:$H$3004,'Mouvements stock'!$I$5:$I$3004,$A1303,'Mouvements stock'!$C$5:$C$3004,"Retour"))</f>
        <v/>
      </c>
      <c r="X1303" s="66" t="n">
        <v>0</v>
      </c>
      <c r="Y1303" s="66" t="n">
        <v>3100</v>
      </c>
      <c r="Z1303" s="7" t="inlineStr">
        <is>
          <t>SAV Machines-Outils Atlantique</t>
        </is>
      </c>
      <c r="AA1303" s="70">
        <f>IF($A1303="","",N(V1303)+N(W1303)+N(X1303)+N(Y1303))</f>
        <v/>
      </c>
      <c r="AB1303" s="70">
        <f>IF($A1303="","",N(S1303)*'Paramètres'!$AA$9*IFERROR(INDEX('Paramètres'!$O$5:$O$7,MATCH(G1303,'Paramètres'!$N$5:$N$7,0)),0))</f>
        <v/>
      </c>
      <c r="AC1303" s="7" t="inlineStr">
        <is>
          <t>Clôturé</t>
        </is>
      </c>
      <c r="AD1303" s="69">
        <f>IF(OR($A1303="",Q1303=""),"",(Q1303-B1303)*24)</f>
        <v/>
      </c>
      <c r="AE1303" s="69">
        <f>IF(OR(Q1303="",R1303=""),"",(R1303-Q1303)*24)</f>
        <v/>
      </c>
      <c r="AF1303" s="77">
        <f>IF(OR($A1303="",B1303=""),"",YEAR(B1303))</f>
        <v/>
      </c>
      <c r="AG1303" s="77">
        <f>IF(OR($A1303="",B1303=""),"",MONTH(B1303))</f>
        <v/>
      </c>
    </row>
    <row r="1304">
      <c r="A1304" s="7" t="inlineStr">
        <is>
          <t>OT-2026-0449</t>
        </is>
      </c>
      <c r="B1304" s="75" t="n">
        <v>46230.4375</v>
      </c>
      <c r="C1304" s="7" t="inlineStr">
        <is>
          <t>Planning réglementaire</t>
        </is>
      </c>
      <c r="D1304" s="7" t="inlineStr">
        <is>
          <t>EQ-LOG-007</t>
        </is>
      </c>
      <c r="E1304" s="9">
        <f>IF(D1304="","",IFERROR(INDEX('Équipements'!$B$5:$B$304,MATCH(D1304,'Équipements'!$A$5:$A$304,0)),"Code inconnu"))</f>
        <v/>
      </c>
      <c r="F1304" s="9">
        <f>IF(D1304="","",IFERROR(INDEX('Équipements'!$D$5:$D$304,MATCH(D1304,'Équipements'!$A$5:$A$304,0)),""))</f>
        <v/>
      </c>
      <c r="G1304" s="9">
        <f>IF(D1304="","",IFERROR(INDEX('Équipements'!$K$5:$K$304,MATCH(D1304,'Équipements'!$A$5:$A$304,0)),""))</f>
        <v/>
      </c>
      <c r="H1304" s="7" t="inlineStr">
        <is>
          <t>Réglementaire</t>
        </is>
      </c>
      <c r="I1304" s="7" t="inlineStr">
        <is>
          <t>CR-002</t>
        </is>
      </c>
      <c r="J1304" s="7" t="inlineStr">
        <is>
          <t>Multi-technique</t>
        </is>
      </c>
      <c r="K1304" s="7" t="inlineStr">
        <is>
          <t>P2 - Haute</t>
        </is>
      </c>
      <c r="L1304" s="7" t="inlineStr">
        <is>
          <t>Vérification générale périodique (VGP) appareil de levage</t>
        </is>
      </c>
      <c r="M1304" s="7" t="n"/>
      <c r="N1304" s="7" t="inlineStr">
        <is>
          <t>Contrôle réalisé - observations mineures au rapport</t>
        </is>
      </c>
      <c r="O1304" s="7" t="inlineStr">
        <is>
          <t>Nadia Rousseau</t>
        </is>
      </c>
      <c r="P1304" s="65" t="n">
        <v>46251</v>
      </c>
      <c r="Q1304" s="75" t="n">
        <v>46251.44791666666</v>
      </c>
      <c r="R1304" s="75" t="n">
        <v>46251.55208333334</v>
      </c>
      <c r="S1304" s="76" t="n">
        <v>2</v>
      </c>
      <c r="T1304" s="76" t="n">
        <v>2.5</v>
      </c>
      <c r="U1304" s="70">
        <f>IF($A1304="","",IFERROR(INDEX('Techniciens'!$F$5:$F$44,MATCH(O1304,'Techniciens'!$B$5:$B$44,0)),'Paramètres'!$AA$10))</f>
        <v/>
      </c>
      <c r="V1304" s="70">
        <f>IF($A1304="","",IF(OR(AC1304="Demandé",AC1304="Planifié",AC1304="Annulé"),0,N(T1304)*N(U1304)))</f>
        <v/>
      </c>
      <c r="W1304" s="70">
        <f>IF($A1304="","",SUMIFS('Mouvements stock'!$H$5:$H$3004,'Mouvements stock'!$I$5:$I$3004,$A1304,'Mouvements stock'!$C$5:$C$3004,"Sortie")-SUMIFS('Mouvements stock'!$H$5:$H$3004,'Mouvements stock'!$I$5:$I$3004,$A1304,'Mouvements stock'!$C$5:$C$3004,"Retour"))</f>
        <v/>
      </c>
      <c r="X1304" s="66" t="n">
        <v>0</v>
      </c>
      <c r="Y1304" s="66" t="n">
        <v>280</v>
      </c>
      <c r="Z1304" s="7" t="inlineStr">
        <is>
          <t>CONTROLIS (organisme fictif)</t>
        </is>
      </c>
      <c r="AA1304" s="70">
        <f>IF($A1304="","",N(V1304)+N(W1304)+N(X1304)+N(Y1304))</f>
        <v/>
      </c>
      <c r="AB1304" s="70">
        <f>IF($A1304="","",N(S1304)*'Paramètres'!$AA$9*IFERROR(INDEX('Paramètres'!$O$5:$O$7,MATCH(G1304,'Paramètres'!$N$5:$N$7,0)),0))</f>
        <v/>
      </c>
      <c r="AC1304" s="7" t="inlineStr">
        <is>
          <t>Clôturé</t>
        </is>
      </c>
      <c r="AD1304" s="69">
        <f>IF(OR($A1304="",Q1304=""),"",(Q1304-B1304)*24)</f>
        <v/>
      </c>
      <c r="AE1304" s="69">
        <f>IF(OR(Q1304="",R1304=""),"",(R1304-Q1304)*24)</f>
        <v/>
      </c>
      <c r="AF1304" s="77">
        <f>IF(OR($A1304="",B1304=""),"",YEAR(B1304))</f>
        <v/>
      </c>
      <c r="AG1304" s="77">
        <f>IF(OR($A1304="",B1304=""),"",MONTH(B1304))</f>
        <v/>
      </c>
    </row>
    <row r="1305">
      <c r="A1305" s="7" t="inlineStr">
        <is>
          <t>OT-2026-0450</t>
        </is>
      </c>
      <c r="B1305" s="75" t="n">
        <v>46230.46527777778</v>
      </c>
      <c r="C1305" s="7" t="inlineStr">
        <is>
          <t>Plan préventif</t>
        </is>
      </c>
      <c r="D1305" s="7" t="inlineStr">
        <is>
          <t>EQ-LOG-003</t>
        </is>
      </c>
      <c r="E1305" s="9">
        <f>IF(D1305="","",IFERROR(INDEX('Équipements'!$B$5:$B$304,MATCH(D1305,'Équipements'!$A$5:$A$304,0)),"Code inconnu"))</f>
        <v/>
      </c>
      <c r="F1305" s="9">
        <f>IF(D1305="","",IFERROR(INDEX('Équipements'!$D$5:$D$304,MATCH(D1305,'Équipements'!$A$5:$A$304,0)),""))</f>
        <v/>
      </c>
      <c r="G1305" s="9">
        <f>IF(D1305="","",IFERROR(INDEX('Équipements'!$K$5:$K$304,MATCH(D1305,'Équipements'!$A$5:$A$304,0)),""))</f>
        <v/>
      </c>
      <c r="H1305" s="7" t="inlineStr">
        <is>
          <t>Préventif systématique</t>
        </is>
      </c>
      <c r="I1305" s="7" t="inlineStr">
        <is>
          <t>GP-109</t>
        </is>
      </c>
      <c r="J1305" s="7" t="inlineStr">
        <is>
          <t>Multi-technique</t>
        </is>
      </c>
      <c r="K1305" s="7" t="inlineStr">
        <is>
          <t>P3 - Normale</t>
        </is>
      </c>
      <c r="L1305" s="7" t="inlineStr">
        <is>
          <t>Entretien périodique constructeur</t>
        </is>
      </c>
      <c r="M1305" s="7" t="n"/>
      <c r="N1305" s="7" t="inlineStr">
        <is>
          <t>Gamme réalisée - RAS</t>
        </is>
      </c>
      <c r="O1305" s="7" t="inlineStr">
        <is>
          <t>Antoine Mercier</t>
        </is>
      </c>
      <c r="P1305" s="65" t="n">
        <v>46237.6875</v>
      </c>
      <c r="Q1305" s="75" t="n">
        <v>46237.43055555555</v>
      </c>
      <c r="R1305" s="75" t="n">
        <v>46237.59722222222</v>
      </c>
      <c r="S1305" s="76" t="n">
        <v>2</v>
      </c>
      <c r="T1305" s="76" t="n">
        <v>2</v>
      </c>
      <c r="U1305" s="70">
        <f>IF($A1305="","",IFERROR(INDEX('Techniciens'!$F$5:$F$44,MATCH(O1305,'Techniciens'!$B$5:$B$44,0)),'Paramètres'!$AA$10))</f>
        <v/>
      </c>
      <c r="V1305" s="70">
        <f>IF($A1305="","",IF(OR(AC1305="Demandé",AC1305="Planifié",AC1305="Annulé"),0,N(T1305)*N(U1305)))</f>
        <v/>
      </c>
      <c r="W1305" s="70">
        <f>IF($A1305="","",SUMIFS('Mouvements stock'!$H$5:$H$3004,'Mouvements stock'!$I$5:$I$3004,$A1305,'Mouvements stock'!$C$5:$C$3004,"Sortie")-SUMIFS('Mouvements stock'!$H$5:$H$3004,'Mouvements stock'!$I$5:$I$3004,$A1305,'Mouvements stock'!$C$5:$C$3004,"Retour"))</f>
        <v/>
      </c>
      <c r="X1305" s="66" t="n">
        <v>0</v>
      </c>
      <c r="Y1305" s="66" t="n">
        <v>410</v>
      </c>
      <c r="Z1305" s="7" t="inlineStr">
        <is>
          <t>Manutention Services 44</t>
        </is>
      </c>
      <c r="AA1305" s="70">
        <f>IF($A1305="","",N(V1305)+N(W1305)+N(X1305)+N(Y1305))</f>
        <v/>
      </c>
      <c r="AB1305" s="70">
        <f>IF($A1305="","",N(S1305)*'Paramètres'!$AA$9*IFERROR(INDEX('Paramètres'!$O$5:$O$7,MATCH(G1305,'Paramètres'!$N$5:$N$7,0)),0))</f>
        <v/>
      </c>
      <c r="AC1305" s="7" t="inlineStr">
        <is>
          <t>Clôturé</t>
        </is>
      </c>
      <c r="AD1305" s="69">
        <f>IF(OR($A1305="",Q1305=""),"",(Q1305-B1305)*24)</f>
        <v/>
      </c>
      <c r="AE1305" s="69">
        <f>IF(OR(Q1305="",R1305=""),"",(R1305-Q1305)*24)</f>
        <v/>
      </c>
      <c r="AF1305" s="77">
        <f>IF(OR($A1305="",B1305=""),"",YEAR(B1305))</f>
        <v/>
      </c>
      <c r="AG1305" s="77">
        <f>IF(OR($A1305="",B1305=""),"",MONTH(B1305))</f>
        <v/>
      </c>
    </row>
    <row r="1306">
      <c r="A1306" s="7" t="inlineStr">
        <is>
          <t>OT-2026-0451</t>
        </is>
      </c>
      <c r="B1306" s="75" t="n">
        <v>46231.38194444445</v>
      </c>
      <c r="C1306" s="7" t="inlineStr">
        <is>
          <t>Plan préventif</t>
        </is>
      </c>
      <c r="D1306" s="7" t="inlineStr">
        <is>
          <t>EQ-TOL-001</t>
        </is>
      </c>
      <c r="E1306" s="9">
        <f>IF(D1306="","",IFERROR(INDEX('Équipements'!$B$5:$B$304,MATCH(D1306,'Équipements'!$A$5:$A$304,0)),"Code inconnu"))</f>
        <v/>
      </c>
      <c r="F1306" s="9">
        <f>IF(D1306="","",IFERROR(INDEX('Équipements'!$D$5:$D$304,MATCH(D1306,'Équipements'!$A$5:$A$304,0)),""))</f>
        <v/>
      </c>
      <c r="G1306" s="9">
        <f>IF(D1306="","",IFERROR(INDEX('Équipements'!$K$5:$K$304,MATCH(D1306,'Équipements'!$A$5:$A$304,0)),""))</f>
        <v/>
      </c>
      <c r="H1306" s="7" t="inlineStr">
        <is>
          <t>Préventif systématique</t>
        </is>
      </c>
      <c r="I1306" s="7" t="inlineStr">
        <is>
          <t>GP-038</t>
        </is>
      </c>
      <c r="J1306" s="7" t="inlineStr">
        <is>
          <t>Mécanique</t>
        </is>
      </c>
      <c r="K1306" s="7" t="inlineStr">
        <is>
          <t>P3 - Normale</t>
        </is>
      </c>
      <c r="L1306" s="7" t="inlineStr">
        <is>
          <t>Nettoyage optique, contrôle buse et lentille</t>
        </is>
      </c>
      <c r="M1306" s="7" t="n"/>
      <c r="N1306" s="7" t="inlineStr">
        <is>
          <t>Gamme réalisée - RAS</t>
        </is>
      </c>
      <c r="O1306" s="7" t="inlineStr">
        <is>
          <t>Karim Benali</t>
        </is>
      </c>
      <c r="P1306" s="65" t="n">
        <v>46238.35763888889</v>
      </c>
      <c r="Q1306" s="75" t="n">
        <v>46238.46875</v>
      </c>
      <c r="R1306" s="75" t="n">
        <v>46238.58333333334</v>
      </c>
      <c r="S1306" s="76" t="n">
        <v>2.8</v>
      </c>
      <c r="T1306" s="76" t="n">
        <v>2.75</v>
      </c>
      <c r="U1306" s="70">
        <f>IF($A1306="","",IFERROR(INDEX('Techniciens'!$F$5:$F$44,MATCH(O1306,'Techniciens'!$B$5:$B$44,0)),'Paramètres'!$AA$10))</f>
        <v/>
      </c>
      <c r="V1306" s="70">
        <f>IF($A1306="","",IF(OR(AC1306="Demandé",AC1306="Planifié",AC1306="Annulé"),0,N(T1306)*N(U1306)))</f>
        <v/>
      </c>
      <c r="W1306" s="70">
        <f>IF($A1306="","",SUMIFS('Mouvements stock'!$H$5:$H$3004,'Mouvements stock'!$I$5:$I$3004,$A1306,'Mouvements stock'!$C$5:$C$3004,"Sortie")-SUMIFS('Mouvements stock'!$H$5:$H$3004,'Mouvements stock'!$I$5:$I$3004,$A1306,'Mouvements stock'!$C$5:$C$3004,"Retour"))</f>
        <v/>
      </c>
      <c r="X1306" s="66" t="n">
        <v>0</v>
      </c>
      <c r="Y1306" s="66" t="n">
        <v>0</v>
      </c>
      <c r="Z1306" s="7" t="n"/>
      <c r="AA1306" s="70">
        <f>IF($A1306="","",N(V1306)+N(W1306)+N(X1306)+N(Y1306))</f>
        <v/>
      </c>
      <c r="AB1306" s="70">
        <f>IF($A1306="","",N(S1306)*'Paramètres'!$AA$9*IFERROR(INDEX('Paramètres'!$O$5:$O$7,MATCH(G1306,'Paramètres'!$N$5:$N$7,0)),0))</f>
        <v/>
      </c>
      <c r="AC1306" s="7" t="inlineStr">
        <is>
          <t>Clôturé</t>
        </is>
      </c>
      <c r="AD1306" s="69">
        <f>IF(OR($A1306="",Q1306=""),"",(Q1306-B1306)*24)</f>
        <v/>
      </c>
      <c r="AE1306" s="69">
        <f>IF(OR(Q1306="",R1306=""),"",(R1306-Q1306)*24)</f>
        <v/>
      </c>
      <c r="AF1306" s="77">
        <f>IF(OR($A1306="",B1306=""),"",YEAR(B1306))</f>
        <v/>
      </c>
      <c r="AG1306" s="77">
        <f>IF(OR($A1306="",B1306=""),"",MONTH(B1306))</f>
        <v/>
      </c>
    </row>
    <row r="1307">
      <c r="A1307" s="7" t="inlineStr">
        <is>
          <t>OT-2026-0452</t>
        </is>
      </c>
      <c r="B1307" s="75" t="n">
        <v>46231.45138888889</v>
      </c>
      <c r="C1307" s="7" t="inlineStr">
        <is>
          <t>Plan préventif</t>
        </is>
      </c>
      <c r="D1307" s="7" t="inlineStr">
        <is>
          <t>EQ-ASS-001</t>
        </is>
      </c>
      <c r="E1307" s="9">
        <f>IF(D1307="","",IFERROR(INDEX('Équipements'!$B$5:$B$304,MATCH(D1307,'Équipements'!$A$5:$A$304,0)),"Code inconnu"))</f>
        <v/>
      </c>
      <c r="F1307" s="9">
        <f>IF(D1307="","",IFERROR(INDEX('Équipements'!$D$5:$D$304,MATCH(D1307,'Équipements'!$A$5:$A$304,0)),""))</f>
        <v/>
      </c>
      <c r="G1307" s="9">
        <f>IF(D1307="","",IFERROR(INDEX('Équipements'!$K$5:$K$304,MATCH(D1307,'Équipements'!$A$5:$A$304,0)),""))</f>
        <v/>
      </c>
      <c r="H1307" s="7" t="inlineStr">
        <is>
          <t>Préventif systématique</t>
        </is>
      </c>
      <c r="I1307" s="7" t="inlineStr">
        <is>
          <t>GP-076</t>
        </is>
      </c>
      <c r="J1307" s="7" t="inlineStr">
        <is>
          <t>Mécanique</t>
        </is>
      </c>
      <c r="K1307" s="7" t="inlineStr">
        <is>
          <t>P3 - Normale</t>
        </is>
      </c>
      <c r="L1307" s="7" t="inlineStr">
        <is>
          <t>Graissage chaîne / galets et contrôle tension</t>
        </is>
      </c>
      <c r="M1307" s="7" t="n"/>
      <c r="N1307" s="7" t="inlineStr">
        <is>
          <t>Gamme réalisée - RAS</t>
        </is>
      </c>
      <c r="O1307" s="7" t="inlineStr">
        <is>
          <t>Lucas Fontaine</t>
        </is>
      </c>
      <c r="P1307" s="65" t="n">
        <v>46238.47916666666</v>
      </c>
      <c r="Q1307" s="75" t="n">
        <v>46238.26041666666</v>
      </c>
      <c r="R1307" s="75" t="n">
        <v>46238.34375</v>
      </c>
      <c r="S1307" s="76" t="n">
        <v>1</v>
      </c>
      <c r="T1307" s="76" t="n">
        <v>2</v>
      </c>
      <c r="U1307" s="70">
        <f>IF($A1307="","",IFERROR(INDEX('Techniciens'!$F$5:$F$44,MATCH(O1307,'Techniciens'!$B$5:$B$44,0)),'Paramètres'!$AA$10))</f>
        <v/>
      </c>
      <c r="V1307" s="70">
        <f>IF($A1307="","",IF(OR(AC1307="Demandé",AC1307="Planifié",AC1307="Annulé"),0,N(T1307)*N(U1307)))</f>
        <v/>
      </c>
      <c r="W1307" s="70">
        <f>IF($A1307="","",SUMIFS('Mouvements stock'!$H$5:$H$3004,'Mouvements stock'!$I$5:$I$3004,$A1307,'Mouvements stock'!$C$5:$C$3004,"Sortie")-SUMIFS('Mouvements stock'!$H$5:$H$3004,'Mouvements stock'!$I$5:$I$3004,$A1307,'Mouvements stock'!$C$5:$C$3004,"Retour"))</f>
        <v/>
      </c>
      <c r="X1307" s="66" t="n">
        <v>0</v>
      </c>
      <c r="Y1307" s="66" t="n">
        <v>0</v>
      </c>
      <c r="Z1307" s="7" t="n"/>
      <c r="AA1307" s="70">
        <f>IF($A1307="","",N(V1307)+N(W1307)+N(X1307)+N(Y1307))</f>
        <v/>
      </c>
      <c r="AB1307" s="70">
        <f>IF($A1307="","",N(S1307)*'Paramètres'!$AA$9*IFERROR(INDEX('Paramètres'!$O$5:$O$7,MATCH(G1307,'Paramètres'!$N$5:$N$7,0)),0))</f>
        <v/>
      </c>
      <c r="AC1307" s="7" t="inlineStr">
        <is>
          <t>Clôturé</t>
        </is>
      </c>
      <c r="AD1307" s="69">
        <f>IF(OR($A1307="",Q1307=""),"",(Q1307-B1307)*24)</f>
        <v/>
      </c>
      <c r="AE1307" s="69">
        <f>IF(OR(Q1307="",R1307=""),"",(R1307-Q1307)*24)</f>
        <v/>
      </c>
      <c r="AF1307" s="77">
        <f>IF(OR($A1307="",B1307=""),"",YEAR(B1307))</f>
        <v/>
      </c>
      <c r="AG1307" s="77">
        <f>IF(OR($A1307="",B1307=""),"",MONTH(B1307))</f>
        <v/>
      </c>
    </row>
    <row r="1308">
      <c r="A1308" s="7" t="inlineStr">
        <is>
          <t>OT-2026-0453</t>
        </is>
      </c>
      <c r="B1308" s="75" t="n">
        <v>46231.54861111111</v>
      </c>
      <c r="C1308" s="7" t="inlineStr">
        <is>
          <t>Céline Morel (cheffe d'atelier)</t>
        </is>
      </c>
      <c r="D1308" s="7" t="inlineStr">
        <is>
          <t>EQ-TOL-007</t>
        </is>
      </c>
      <c r="E1308" s="9">
        <f>IF(D1308="","",IFERROR(INDEX('Équipements'!$B$5:$B$304,MATCH(D1308,'Équipements'!$A$5:$A$304,0)),"Code inconnu"))</f>
        <v/>
      </c>
      <c r="F1308" s="9">
        <f>IF(D1308="","",IFERROR(INDEX('Équipements'!$D$5:$D$304,MATCH(D1308,'Équipements'!$A$5:$A$304,0)),""))</f>
        <v/>
      </c>
      <c r="G1308" s="9">
        <f>IF(D1308="","",IFERROR(INDEX('Équipements'!$K$5:$K$304,MATCH(D1308,'Équipements'!$A$5:$A$304,0)),""))</f>
        <v/>
      </c>
      <c r="H1308" s="7" t="inlineStr">
        <is>
          <t>Correctif</t>
        </is>
      </c>
      <c r="I1308" s="7" t="n"/>
      <c r="J1308" s="7" t="inlineStr">
        <is>
          <t>Mécanique</t>
        </is>
      </c>
      <c r="K1308" s="7" t="inlineStr">
        <is>
          <t>P4 - Basse</t>
        </is>
      </c>
      <c r="L1308" s="7" t="inlineStr">
        <is>
          <t>Rupture / saut de chaîne</t>
        </is>
      </c>
      <c r="M1308" s="7" t="inlineStr">
        <is>
          <t>Usure</t>
        </is>
      </c>
      <c r="N1308" s="7" t="inlineStr">
        <is>
          <t>Remplacement maillons et galets, retension</t>
        </is>
      </c>
      <c r="O1308" s="7" t="inlineStr">
        <is>
          <t>Lucas Fontaine</t>
        </is>
      </c>
      <c r="P1308" s="65" t="n"/>
      <c r="Q1308" s="75" t="n">
        <v>46237.79722222222</v>
      </c>
      <c r="R1308" s="75" t="n">
        <v>46237.87013888889</v>
      </c>
      <c r="S1308" s="76" t="n">
        <v>0</v>
      </c>
      <c r="T1308" s="76" t="n">
        <v>1.75</v>
      </c>
      <c r="U1308" s="70">
        <f>IF($A1308="","",IFERROR(INDEX('Techniciens'!$F$5:$F$44,MATCH(O1308,'Techniciens'!$B$5:$B$44,0)),'Paramètres'!$AA$10))</f>
        <v/>
      </c>
      <c r="V1308" s="70">
        <f>IF($A1308="","",IF(OR(AC1308="Demandé",AC1308="Planifié",AC1308="Annulé"),0,N(T1308)*N(U1308)))</f>
        <v/>
      </c>
      <c r="W1308" s="70">
        <f>IF($A1308="","",SUMIFS('Mouvements stock'!$H$5:$H$3004,'Mouvements stock'!$I$5:$I$3004,$A1308,'Mouvements stock'!$C$5:$C$3004,"Sortie")-SUMIFS('Mouvements stock'!$H$5:$H$3004,'Mouvements stock'!$I$5:$I$3004,$A1308,'Mouvements stock'!$C$5:$C$3004,"Retour"))</f>
        <v/>
      </c>
      <c r="X1308" s="66" t="n">
        <v>0</v>
      </c>
      <c r="Y1308" s="66" t="n">
        <v>0</v>
      </c>
      <c r="Z1308" s="7" t="n"/>
      <c r="AA1308" s="70">
        <f>IF($A1308="","",N(V1308)+N(W1308)+N(X1308)+N(Y1308))</f>
        <v/>
      </c>
      <c r="AB1308" s="70">
        <f>IF($A1308="","",N(S1308)*'Paramètres'!$AA$9*IFERROR(INDEX('Paramètres'!$O$5:$O$7,MATCH(G1308,'Paramètres'!$N$5:$N$7,0)),0))</f>
        <v/>
      </c>
      <c r="AC1308" s="7" t="inlineStr">
        <is>
          <t>Clôturé</t>
        </is>
      </c>
      <c r="AD1308" s="69">
        <f>IF(OR($A1308="",Q1308=""),"",(Q1308-B1308)*24)</f>
        <v/>
      </c>
      <c r="AE1308" s="69">
        <f>IF(OR(Q1308="",R1308=""),"",(R1308-Q1308)*24)</f>
        <v/>
      </c>
      <c r="AF1308" s="77">
        <f>IF(OR($A1308="",B1308=""),"",YEAR(B1308))</f>
        <v/>
      </c>
      <c r="AG1308" s="77">
        <f>IF(OR($A1308="",B1308=""),"",MONTH(B1308))</f>
        <v/>
      </c>
    </row>
    <row r="1309">
      <c r="A1309" s="7" t="inlineStr">
        <is>
          <t>OT-2026-0454</t>
        </is>
      </c>
      <c r="B1309" s="75" t="n">
        <v>46231.79166666666</v>
      </c>
      <c r="C1309" s="7" t="inlineStr">
        <is>
          <t>Paul Roux (chef d'atelier)</t>
        </is>
      </c>
      <c r="D1309" s="7" t="inlineStr">
        <is>
          <t>EQ-ASS-001</t>
        </is>
      </c>
      <c r="E1309" s="9">
        <f>IF(D1309="","",IFERROR(INDEX('Équipements'!$B$5:$B$304,MATCH(D1309,'Équipements'!$A$5:$A$304,0)),"Code inconnu"))</f>
        <v/>
      </c>
      <c r="F1309" s="9">
        <f>IF(D1309="","",IFERROR(INDEX('Équipements'!$D$5:$D$304,MATCH(D1309,'Équipements'!$A$5:$A$304,0)),""))</f>
        <v/>
      </c>
      <c r="G1309" s="9">
        <f>IF(D1309="","",IFERROR(INDEX('Équipements'!$K$5:$K$304,MATCH(D1309,'Équipements'!$A$5:$A$304,0)),""))</f>
        <v/>
      </c>
      <c r="H1309" s="7" t="inlineStr">
        <is>
          <t>Correctif</t>
        </is>
      </c>
      <c r="I1309" s="7" t="n"/>
      <c r="J1309" s="7" t="inlineStr">
        <is>
          <t>Électrique</t>
        </is>
      </c>
      <c r="K1309" s="7" t="inlineStr">
        <is>
          <t>P1 - Urgent</t>
        </is>
      </c>
      <c r="L1309" s="7" t="inlineStr">
        <is>
          <t>Détecteur de présence HS</t>
        </is>
      </c>
      <c r="M1309" s="7" t="inlineStr">
        <is>
          <t>Défaut capteur</t>
        </is>
      </c>
      <c r="N1309" s="7" t="inlineStr">
        <is>
          <t>Remplacement détecteur</t>
        </is>
      </c>
      <c r="O1309" s="7" t="inlineStr">
        <is>
          <t>Thomas Petit</t>
        </is>
      </c>
      <c r="P1309" s="65" t="n"/>
      <c r="Q1309" s="75" t="n">
        <v>46231.82569444444</v>
      </c>
      <c r="R1309" s="75" t="n">
        <v>46233.53427422194</v>
      </c>
      <c r="S1309" s="76" t="n">
        <v>24.4</v>
      </c>
      <c r="T1309" s="76" t="n">
        <v>6.25</v>
      </c>
      <c r="U1309" s="70">
        <f>IF($A1309="","",IFERROR(INDEX('Techniciens'!$F$5:$F$44,MATCH(O1309,'Techniciens'!$B$5:$B$44,0)),'Paramètres'!$AA$10))</f>
        <v/>
      </c>
      <c r="V1309" s="70">
        <f>IF($A1309="","",IF(OR(AC1309="Demandé",AC1309="Planifié",AC1309="Annulé"),0,N(T1309)*N(U1309)))</f>
        <v/>
      </c>
      <c r="W1309" s="70">
        <f>IF($A1309="","",SUMIFS('Mouvements stock'!$H$5:$H$3004,'Mouvements stock'!$I$5:$I$3004,$A1309,'Mouvements stock'!$C$5:$C$3004,"Sortie")-SUMIFS('Mouvements stock'!$H$5:$H$3004,'Mouvements stock'!$I$5:$I$3004,$A1309,'Mouvements stock'!$C$5:$C$3004,"Retour"))</f>
        <v/>
      </c>
      <c r="X1309" s="66" t="n">
        <v>0</v>
      </c>
      <c r="Y1309" s="66" t="n">
        <v>0</v>
      </c>
      <c r="Z1309" s="7" t="n"/>
      <c r="AA1309" s="70">
        <f>IF($A1309="","",N(V1309)+N(W1309)+N(X1309)+N(Y1309))</f>
        <v/>
      </c>
      <c r="AB1309" s="70">
        <f>IF($A1309="","",N(S1309)*'Paramètres'!$AA$9*IFERROR(INDEX('Paramètres'!$O$5:$O$7,MATCH(G1309,'Paramètres'!$N$5:$N$7,0)),0))</f>
        <v/>
      </c>
      <c r="AC1309" s="7" t="inlineStr">
        <is>
          <t>Clôturé</t>
        </is>
      </c>
      <c r="AD1309" s="69">
        <f>IF(OR($A1309="",Q1309=""),"",(Q1309-B1309)*24)</f>
        <v/>
      </c>
      <c r="AE1309" s="69">
        <f>IF(OR(Q1309="",R1309=""),"",(R1309-Q1309)*24)</f>
        <v/>
      </c>
      <c r="AF1309" s="77">
        <f>IF(OR($A1309="",B1309=""),"",YEAR(B1309))</f>
        <v/>
      </c>
      <c r="AG1309" s="77">
        <f>IF(OR($A1309="",B1309=""),"",MONTH(B1309))</f>
        <v/>
      </c>
    </row>
    <row r="1310">
      <c r="A1310" s="7" t="inlineStr">
        <is>
          <t>OT-2026-0455</t>
        </is>
      </c>
      <c r="B1310" s="75" t="n">
        <v>46232.64513888889</v>
      </c>
      <c r="C1310" s="7" t="inlineStr">
        <is>
          <t>Inès Girard (cheffe d'équipe)</t>
        </is>
      </c>
      <c r="D1310" s="7" t="inlineStr">
        <is>
          <t>EQ-PEI-004</t>
        </is>
      </c>
      <c r="E1310" s="9">
        <f>IF(D1310="","",IFERROR(INDEX('Équipements'!$B$5:$B$304,MATCH(D1310,'Équipements'!$A$5:$A$304,0)),"Code inconnu"))</f>
        <v/>
      </c>
      <c r="F1310" s="9">
        <f>IF(D1310="","",IFERROR(INDEX('Équipements'!$D$5:$D$304,MATCH(D1310,'Équipements'!$A$5:$A$304,0)),""))</f>
        <v/>
      </c>
      <c r="G1310" s="9">
        <f>IF(D1310="","",IFERROR(INDEX('Équipements'!$K$5:$K$304,MATCH(D1310,'Équipements'!$A$5:$A$304,0)),""))</f>
        <v/>
      </c>
      <c r="H1310" s="7" t="inlineStr">
        <is>
          <t>Correctif</t>
        </is>
      </c>
      <c r="I1310" s="7" t="n"/>
      <c r="J1310" s="7" t="inlineStr">
        <is>
          <t>Mécanique</t>
        </is>
      </c>
      <c r="K1310" s="7" t="inlineStr">
        <is>
          <t>P1 - Urgent</t>
        </is>
      </c>
      <c r="L1310" s="7" t="inlineStr">
        <is>
          <t>Roulement de tambour bruyant</t>
        </is>
      </c>
      <c r="M1310" s="7" t="inlineStr">
        <is>
          <t>Usure</t>
        </is>
      </c>
      <c r="N1310" s="7" t="inlineStr">
        <is>
          <t>Remplacement roulements et palier</t>
        </is>
      </c>
      <c r="O1310" s="7" t="inlineStr">
        <is>
          <t>Lucas Fontaine</t>
        </is>
      </c>
      <c r="P1310" s="65" t="n"/>
      <c r="Q1310" s="75" t="n">
        <v>46232.65277777778</v>
      </c>
      <c r="R1310" s="75" t="n">
        <v>46232.81944444445</v>
      </c>
      <c r="S1310" s="76" t="n">
        <v>4.2</v>
      </c>
      <c r="T1310" s="76" t="n">
        <v>4</v>
      </c>
      <c r="U1310" s="70">
        <f>IF($A1310="","",IFERROR(INDEX('Techniciens'!$F$5:$F$44,MATCH(O1310,'Techniciens'!$B$5:$B$44,0)),'Paramètres'!$AA$10))</f>
        <v/>
      </c>
      <c r="V1310" s="70">
        <f>IF($A1310="","",IF(OR(AC1310="Demandé",AC1310="Planifié",AC1310="Annulé"),0,N(T1310)*N(U1310)))</f>
        <v/>
      </c>
      <c r="W1310" s="70">
        <f>IF($A1310="","",SUMIFS('Mouvements stock'!$H$5:$H$3004,'Mouvements stock'!$I$5:$I$3004,$A1310,'Mouvements stock'!$C$5:$C$3004,"Sortie")-SUMIFS('Mouvements stock'!$H$5:$H$3004,'Mouvements stock'!$I$5:$I$3004,$A1310,'Mouvements stock'!$C$5:$C$3004,"Retour"))</f>
        <v/>
      </c>
      <c r="X1310" s="66" t="n">
        <v>0</v>
      </c>
      <c r="Y1310" s="66" t="n">
        <v>0</v>
      </c>
      <c r="Z1310" s="7" t="n"/>
      <c r="AA1310" s="70">
        <f>IF($A1310="","",N(V1310)+N(W1310)+N(X1310)+N(Y1310))</f>
        <v/>
      </c>
      <c r="AB1310" s="70">
        <f>IF($A1310="","",N(S1310)*'Paramètres'!$AA$9*IFERROR(INDEX('Paramètres'!$O$5:$O$7,MATCH(G1310,'Paramètres'!$N$5:$N$7,0)),0))</f>
        <v/>
      </c>
      <c r="AC1310" s="7" t="inlineStr">
        <is>
          <t>Clôturé</t>
        </is>
      </c>
      <c r="AD1310" s="69">
        <f>IF(OR($A1310="",Q1310=""),"",(Q1310-B1310)*24)</f>
        <v/>
      </c>
      <c r="AE1310" s="69">
        <f>IF(OR(Q1310="",R1310=""),"",(R1310-Q1310)*24)</f>
        <v/>
      </c>
      <c r="AF1310" s="77">
        <f>IF(OR($A1310="",B1310=""),"",YEAR(B1310))</f>
        <v/>
      </c>
      <c r="AG1310" s="77">
        <f>IF(OR($A1310="",B1310=""),"",MONTH(B1310))</f>
        <v/>
      </c>
    </row>
    <row r="1311">
      <c r="A1311" s="7" t="inlineStr">
        <is>
          <t>OT-2026-0456</t>
        </is>
      </c>
      <c r="B1311" s="75" t="n">
        <v>46233.36805555555</v>
      </c>
      <c r="C1311" s="7" t="inlineStr">
        <is>
          <t>Plan préventif</t>
        </is>
      </c>
      <c r="D1311" s="7" t="inlineStr">
        <is>
          <t>EQ-PEI-003</t>
        </is>
      </c>
      <c r="E1311" s="9">
        <f>IF(D1311="","",IFERROR(INDEX('Équipements'!$B$5:$B$304,MATCH(D1311,'Équipements'!$A$5:$A$304,0)),"Code inconnu"))</f>
        <v/>
      </c>
      <c r="F1311" s="9">
        <f>IF(D1311="","",IFERROR(INDEX('Équipements'!$D$5:$D$304,MATCH(D1311,'Équipements'!$A$5:$A$304,0)),""))</f>
        <v/>
      </c>
      <c r="G1311" s="9">
        <f>IF(D1311="","",IFERROR(INDEX('Équipements'!$K$5:$K$304,MATCH(D1311,'Équipements'!$A$5:$A$304,0)),""))</f>
        <v/>
      </c>
      <c r="H1311" s="7" t="inlineStr">
        <is>
          <t>Préventif systématique</t>
        </is>
      </c>
      <c r="I1311" s="7" t="inlineStr">
        <is>
          <t>GP-070</t>
        </is>
      </c>
      <c r="J1311" s="7" t="inlineStr">
        <is>
          <t>Mécanique</t>
        </is>
      </c>
      <c r="K1311" s="7" t="inlineStr">
        <is>
          <t>P3 - Normale</t>
        </is>
      </c>
      <c r="L1311" s="7" t="inlineStr">
        <is>
          <t>Nettoyage et remplacement des filtres</t>
        </is>
      </c>
      <c r="M1311" s="7" t="n"/>
      <c r="N1311" s="7" t="inlineStr">
        <is>
          <t>Gamme réalisée - RAS</t>
        </is>
      </c>
      <c r="O1311" s="7" t="inlineStr">
        <is>
          <t>Antoine Mercier</t>
        </is>
      </c>
      <c r="P1311" s="65" t="n">
        <v>46240.72916666666</v>
      </c>
      <c r="Q1311" s="75" t="n">
        <v>46240.43055555555</v>
      </c>
      <c r="R1311" s="75" t="n">
        <v>46240.58680555555</v>
      </c>
      <c r="S1311" s="76" t="n">
        <v>3.8</v>
      </c>
      <c r="T1311" s="76" t="n">
        <v>3.75</v>
      </c>
      <c r="U1311" s="70">
        <f>IF($A1311="","",IFERROR(INDEX('Techniciens'!$F$5:$F$44,MATCH(O1311,'Techniciens'!$B$5:$B$44,0)),'Paramètres'!$AA$10))</f>
        <v/>
      </c>
      <c r="V1311" s="70">
        <f>IF($A1311="","",IF(OR(AC1311="Demandé",AC1311="Planifié",AC1311="Annulé"),0,N(T1311)*N(U1311)))</f>
        <v/>
      </c>
      <c r="W1311" s="70">
        <f>IF($A1311="","",SUMIFS('Mouvements stock'!$H$5:$H$3004,'Mouvements stock'!$I$5:$I$3004,$A1311,'Mouvements stock'!$C$5:$C$3004,"Sortie")-SUMIFS('Mouvements stock'!$H$5:$H$3004,'Mouvements stock'!$I$5:$I$3004,$A1311,'Mouvements stock'!$C$5:$C$3004,"Retour"))</f>
        <v/>
      </c>
      <c r="X1311" s="66" t="n">
        <v>0</v>
      </c>
      <c r="Y1311" s="66" t="n">
        <v>0</v>
      </c>
      <c r="Z1311" s="7" t="n"/>
      <c r="AA1311" s="70">
        <f>IF($A1311="","",N(V1311)+N(W1311)+N(X1311)+N(Y1311))</f>
        <v/>
      </c>
      <c r="AB1311" s="70">
        <f>IF($A1311="","",N(S1311)*'Paramètres'!$AA$9*IFERROR(INDEX('Paramètres'!$O$5:$O$7,MATCH(G1311,'Paramètres'!$N$5:$N$7,0)),0))</f>
        <v/>
      </c>
      <c r="AC1311" s="7" t="inlineStr">
        <is>
          <t>Clôturé</t>
        </is>
      </c>
      <c r="AD1311" s="69">
        <f>IF(OR($A1311="",Q1311=""),"",(Q1311-B1311)*24)</f>
        <v/>
      </c>
      <c r="AE1311" s="69">
        <f>IF(OR(Q1311="",R1311=""),"",(R1311-Q1311)*24)</f>
        <v/>
      </c>
      <c r="AF1311" s="77">
        <f>IF(OR($A1311="",B1311=""),"",YEAR(B1311))</f>
        <v/>
      </c>
      <c r="AG1311" s="77">
        <f>IF(OR($A1311="",B1311=""),"",MONTH(B1311))</f>
        <v/>
      </c>
    </row>
    <row r="1312">
      <c r="A1312" s="7" t="inlineStr">
        <is>
          <t>OT-2026-0457</t>
        </is>
      </c>
      <c r="B1312" s="75" t="n">
        <v>46234.36111111111</v>
      </c>
      <c r="C1312" s="7" t="inlineStr">
        <is>
          <t>Plan préventif</t>
        </is>
      </c>
      <c r="D1312" s="7" t="inlineStr">
        <is>
          <t>EQ-LOG-005</t>
        </is>
      </c>
      <c r="E1312" s="9">
        <f>IF(D1312="","",IFERROR(INDEX('Équipements'!$B$5:$B$304,MATCH(D1312,'Équipements'!$A$5:$A$304,0)),"Code inconnu"))</f>
        <v/>
      </c>
      <c r="F1312" s="9">
        <f>IF(D1312="","",IFERROR(INDEX('Équipements'!$D$5:$D$304,MATCH(D1312,'Équipements'!$A$5:$A$304,0)),""))</f>
        <v/>
      </c>
      <c r="G1312" s="9">
        <f>IF(D1312="","",IFERROR(INDEX('Équipements'!$K$5:$K$304,MATCH(D1312,'Équipements'!$A$5:$A$304,0)),""))</f>
        <v/>
      </c>
      <c r="H1312" s="7" t="inlineStr">
        <is>
          <t>Préventif systématique</t>
        </is>
      </c>
      <c r="I1312" s="7" t="inlineStr">
        <is>
          <t>GP-114</t>
        </is>
      </c>
      <c r="J1312" s="7" t="inlineStr">
        <is>
          <t>Mécanique</t>
        </is>
      </c>
      <c r="K1312" s="7" t="inlineStr">
        <is>
          <t>P3 - Normale</t>
        </is>
      </c>
      <c r="L1312" s="7" t="inlineStr">
        <is>
          <t>Contrôle batterie, niveaux et bandages</t>
        </is>
      </c>
      <c r="M1312" s="7" t="n"/>
      <c r="N1312" s="7" t="inlineStr">
        <is>
          <t>Gamme réalisée - RAS</t>
        </is>
      </c>
      <c r="O1312" s="7" t="inlineStr">
        <is>
          <t>Antoine Mercier</t>
        </is>
      </c>
      <c r="P1312" s="65" t="n">
        <v>46241.47916666666</v>
      </c>
      <c r="Q1312" s="75" t="n">
        <v>46241.25</v>
      </c>
      <c r="R1312" s="75" t="n">
        <v>46241.28125</v>
      </c>
      <c r="S1312" s="76" t="n">
        <v>0.8</v>
      </c>
      <c r="T1312" s="76" t="n">
        <v>0.75</v>
      </c>
      <c r="U1312" s="70">
        <f>IF($A1312="","",IFERROR(INDEX('Techniciens'!$F$5:$F$44,MATCH(O1312,'Techniciens'!$B$5:$B$44,0)),'Paramètres'!$AA$10))</f>
        <v/>
      </c>
      <c r="V1312" s="70">
        <f>IF($A1312="","",IF(OR(AC1312="Demandé",AC1312="Planifié",AC1312="Annulé"),0,N(T1312)*N(U1312)))</f>
        <v/>
      </c>
      <c r="W1312" s="70">
        <f>IF($A1312="","",SUMIFS('Mouvements stock'!$H$5:$H$3004,'Mouvements stock'!$I$5:$I$3004,$A1312,'Mouvements stock'!$C$5:$C$3004,"Sortie")-SUMIFS('Mouvements stock'!$H$5:$H$3004,'Mouvements stock'!$I$5:$I$3004,$A1312,'Mouvements stock'!$C$5:$C$3004,"Retour"))</f>
        <v/>
      </c>
      <c r="X1312" s="66" t="n">
        <v>0</v>
      </c>
      <c r="Y1312" s="66" t="n">
        <v>0</v>
      </c>
      <c r="Z1312" s="7" t="n"/>
      <c r="AA1312" s="70">
        <f>IF($A1312="","",N(V1312)+N(W1312)+N(X1312)+N(Y1312))</f>
        <v/>
      </c>
      <c r="AB1312" s="70">
        <f>IF($A1312="","",N(S1312)*'Paramètres'!$AA$9*IFERROR(INDEX('Paramètres'!$O$5:$O$7,MATCH(G1312,'Paramètres'!$N$5:$N$7,0)),0))</f>
        <v/>
      </c>
      <c r="AC1312" s="7" t="inlineStr">
        <is>
          <t>Clôturé</t>
        </is>
      </c>
      <c r="AD1312" s="69">
        <f>IF(OR($A1312="",Q1312=""),"",(Q1312-B1312)*24)</f>
        <v/>
      </c>
      <c r="AE1312" s="69">
        <f>IF(OR(Q1312="",R1312=""),"",(R1312-Q1312)*24)</f>
        <v/>
      </c>
      <c r="AF1312" s="77">
        <f>IF(OR($A1312="",B1312=""),"",YEAR(B1312))</f>
        <v/>
      </c>
      <c r="AG1312" s="77">
        <f>IF(OR($A1312="",B1312=""),"",MONTH(B1312))</f>
        <v/>
      </c>
    </row>
    <row r="1313">
      <c r="A1313" s="7" t="inlineStr">
        <is>
          <t>OT-2026-0458</t>
        </is>
      </c>
      <c r="B1313" s="75" t="n">
        <v>46234.45833333334</v>
      </c>
      <c r="C1313" s="7" t="inlineStr">
        <is>
          <t>Plan préventif</t>
        </is>
      </c>
      <c r="D1313" s="7" t="inlineStr">
        <is>
          <t>EQ-ASS-004</t>
        </is>
      </c>
      <c r="E1313" s="9">
        <f>IF(D1313="","",IFERROR(INDEX('Équipements'!$B$5:$B$304,MATCH(D1313,'Équipements'!$A$5:$A$304,0)),"Code inconnu"))</f>
        <v/>
      </c>
      <c r="F1313" s="9">
        <f>IF(D1313="","",IFERROR(INDEX('Équipements'!$D$5:$D$304,MATCH(D1313,'Équipements'!$A$5:$A$304,0)),""))</f>
        <v/>
      </c>
      <c r="G1313" s="9">
        <f>IF(D1313="","",IFERROR(INDEX('Équipements'!$K$5:$K$304,MATCH(D1313,'Équipements'!$A$5:$A$304,0)),""))</f>
        <v/>
      </c>
      <c r="H1313" s="7" t="inlineStr">
        <is>
          <t>Préventif systématique</t>
        </is>
      </c>
      <c r="I1313" s="7" t="inlineStr">
        <is>
          <t>GP-083</t>
        </is>
      </c>
      <c r="J1313" s="7" t="inlineStr">
        <is>
          <t>Mécanique</t>
        </is>
      </c>
      <c r="K1313" s="7" t="inlineStr">
        <is>
          <t>P3 - Normale</t>
        </is>
      </c>
      <c r="L1313" s="7" t="inlineStr">
        <is>
          <t>Nettoyage et contrôle général</t>
        </is>
      </c>
      <c r="M1313" s="7" t="n"/>
      <c r="N1313" s="7" t="inlineStr">
        <is>
          <t>Gamme réalisée - DI émise pour remplacement pièce</t>
        </is>
      </c>
      <c r="O1313" s="7" t="inlineStr">
        <is>
          <t>Antoine Mercier</t>
        </is>
      </c>
      <c r="P1313" s="65" t="n">
        <v>46241.49652777778</v>
      </c>
      <c r="Q1313" s="75" t="n">
        <v>46241.54861111111</v>
      </c>
      <c r="R1313" s="75" t="n">
        <v>46241.57986111111</v>
      </c>
      <c r="S1313" s="76" t="n">
        <v>0</v>
      </c>
      <c r="T1313" s="76" t="n">
        <v>0.75</v>
      </c>
      <c r="U1313" s="70">
        <f>IF($A1313="","",IFERROR(INDEX('Techniciens'!$F$5:$F$44,MATCH(O1313,'Techniciens'!$B$5:$B$44,0)),'Paramètres'!$AA$10))</f>
        <v/>
      </c>
      <c r="V1313" s="70">
        <f>IF($A1313="","",IF(OR(AC1313="Demandé",AC1313="Planifié",AC1313="Annulé"),0,N(T1313)*N(U1313)))</f>
        <v/>
      </c>
      <c r="W1313" s="70">
        <f>IF($A1313="","",SUMIFS('Mouvements stock'!$H$5:$H$3004,'Mouvements stock'!$I$5:$I$3004,$A1313,'Mouvements stock'!$C$5:$C$3004,"Sortie")-SUMIFS('Mouvements stock'!$H$5:$H$3004,'Mouvements stock'!$I$5:$I$3004,$A1313,'Mouvements stock'!$C$5:$C$3004,"Retour"))</f>
        <v/>
      </c>
      <c r="X1313" s="66" t="n">
        <v>0</v>
      </c>
      <c r="Y1313" s="66" t="n">
        <v>0</v>
      </c>
      <c r="Z1313" s="7" t="n"/>
      <c r="AA1313" s="70">
        <f>IF($A1313="","",N(V1313)+N(W1313)+N(X1313)+N(Y1313))</f>
        <v/>
      </c>
      <c r="AB1313" s="70">
        <f>IF($A1313="","",N(S1313)*'Paramètres'!$AA$9*IFERROR(INDEX('Paramètres'!$O$5:$O$7,MATCH(G1313,'Paramètres'!$N$5:$N$7,0)),0))</f>
        <v/>
      </c>
      <c r="AC1313" s="7" t="inlineStr">
        <is>
          <t>Clôturé</t>
        </is>
      </c>
      <c r="AD1313" s="69">
        <f>IF(OR($A1313="",Q1313=""),"",(Q1313-B1313)*24)</f>
        <v/>
      </c>
      <c r="AE1313" s="69">
        <f>IF(OR(Q1313="",R1313=""),"",(R1313-Q1313)*24)</f>
        <v/>
      </c>
      <c r="AF1313" s="77">
        <f>IF(OR($A1313="",B1313=""),"",YEAR(B1313))</f>
        <v/>
      </c>
      <c r="AG1313" s="77">
        <f>IF(OR($A1313="",B1313=""),"",MONTH(B1313))</f>
        <v/>
      </c>
    </row>
    <row r="1314">
      <c r="A1314" s="7" t="inlineStr">
        <is>
          <t>OT-2026-0459</t>
        </is>
      </c>
      <c r="B1314" s="75" t="n">
        <v>46234.47916666666</v>
      </c>
      <c r="C1314" s="7" t="inlineStr">
        <is>
          <t>Plan préventif</t>
        </is>
      </c>
      <c r="D1314" s="7" t="inlineStr">
        <is>
          <t>EQ-LOG-003</t>
        </is>
      </c>
      <c r="E1314" s="9">
        <f>IF(D1314="","",IFERROR(INDEX('Équipements'!$B$5:$B$304,MATCH(D1314,'Équipements'!$A$5:$A$304,0)),"Code inconnu"))</f>
        <v/>
      </c>
      <c r="F1314" s="9">
        <f>IF(D1314="","",IFERROR(INDEX('Équipements'!$D$5:$D$304,MATCH(D1314,'Équipements'!$A$5:$A$304,0)),""))</f>
        <v/>
      </c>
      <c r="G1314" s="9">
        <f>IF(D1314="","",IFERROR(INDEX('Équipements'!$K$5:$K$304,MATCH(D1314,'Équipements'!$A$5:$A$304,0)),""))</f>
        <v/>
      </c>
      <c r="H1314" s="7" t="inlineStr">
        <is>
          <t>Préventif systématique</t>
        </is>
      </c>
      <c r="I1314" s="7" t="inlineStr">
        <is>
          <t>GP-110</t>
        </is>
      </c>
      <c r="J1314" s="7" t="inlineStr">
        <is>
          <t>Mécanique</t>
        </is>
      </c>
      <c r="K1314" s="7" t="inlineStr">
        <is>
          <t>P3 - Normale</t>
        </is>
      </c>
      <c r="L1314" s="7" t="inlineStr">
        <is>
          <t>Contrôle batterie, niveaux et bandages</t>
        </is>
      </c>
      <c r="M1314" s="7" t="n"/>
      <c r="N1314" s="7" t="inlineStr">
        <is>
          <t>Gamme réalisée - RAS</t>
        </is>
      </c>
      <c r="O1314" s="7" t="inlineStr">
        <is>
          <t>Lucas Fontaine</t>
        </is>
      </c>
      <c r="P1314" s="65" t="n">
        <v>46241.35416666666</v>
      </c>
      <c r="Q1314" s="75" t="n">
        <v>46241.54861111111</v>
      </c>
      <c r="R1314" s="75" t="n">
        <v>46241.57986111111</v>
      </c>
      <c r="S1314" s="76" t="n">
        <v>0.4</v>
      </c>
      <c r="T1314" s="76" t="n">
        <v>0.75</v>
      </c>
      <c r="U1314" s="70">
        <f>IF($A1314="","",IFERROR(INDEX('Techniciens'!$F$5:$F$44,MATCH(O1314,'Techniciens'!$B$5:$B$44,0)),'Paramètres'!$AA$10))</f>
        <v/>
      </c>
      <c r="V1314" s="70">
        <f>IF($A1314="","",IF(OR(AC1314="Demandé",AC1314="Planifié",AC1314="Annulé"),0,N(T1314)*N(U1314)))</f>
        <v/>
      </c>
      <c r="W1314" s="70">
        <f>IF($A1314="","",SUMIFS('Mouvements stock'!$H$5:$H$3004,'Mouvements stock'!$I$5:$I$3004,$A1314,'Mouvements stock'!$C$5:$C$3004,"Sortie")-SUMIFS('Mouvements stock'!$H$5:$H$3004,'Mouvements stock'!$I$5:$I$3004,$A1314,'Mouvements stock'!$C$5:$C$3004,"Retour"))</f>
        <v/>
      </c>
      <c r="X1314" s="66" t="n">
        <v>0</v>
      </c>
      <c r="Y1314" s="66" t="n">
        <v>0</v>
      </c>
      <c r="Z1314" s="7" t="n"/>
      <c r="AA1314" s="70">
        <f>IF($A1314="","",N(V1314)+N(W1314)+N(X1314)+N(Y1314))</f>
        <v/>
      </c>
      <c r="AB1314" s="70">
        <f>IF($A1314="","",N(S1314)*'Paramètres'!$AA$9*IFERROR(INDEX('Paramètres'!$O$5:$O$7,MATCH(G1314,'Paramètres'!$N$5:$N$7,0)),0))</f>
        <v/>
      </c>
      <c r="AC1314" s="7" t="inlineStr">
        <is>
          <t>Clôturé</t>
        </is>
      </c>
      <c r="AD1314" s="69">
        <f>IF(OR($A1314="",Q1314=""),"",(Q1314-B1314)*24)</f>
        <v/>
      </c>
      <c r="AE1314" s="69">
        <f>IF(OR(Q1314="",R1314=""),"",(R1314-Q1314)*24)</f>
        <v/>
      </c>
      <c r="AF1314" s="77">
        <f>IF(OR($A1314="",B1314=""),"",YEAR(B1314))</f>
        <v/>
      </c>
      <c r="AG1314" s="77">
        <f>IF(OR($A1314="",B1314=""),"",MONTH(B1314))</f>
        <v/>
      </c>
    </row>
    <row r="1315">
      <c r="A1315" s="7" t="inlineStr">
        <is>
          <t>OT-2026-0460</t>
        </is>
      </c>
      <c r="B1315" s="75" t="n">
        <v>46234.75347222222</v>
      </c>
      <c r="C1315" s="7" t="inlineStr">
        <is>
          <t>Marc Lefèvre</t>
        </is>
      </c>
      <c r="D1315" s="7" t="inlineStr">
        <is>
          <t>EQ-UTI-009</t>
        </is>
      </c>
      <c r="E1315" s="9">
        <f>IF(D1315="","",IFERROR(INDEX('Équipements'!$B$5:$B$304,MATCH(D1315,'Équipements'!$A$5:$A$304,0)),"Code inconnu"))</f>
        <v/>
      </c>
      <c r="F1315" s="9">
        <f>IF(D1315="","",IFERROR(INDEX('Équipements'!$D$5:$D$304,MATCH(D1315,'Équipements'!$A$5:$A$304,0)),""))</f>
        <v/>
      </c>
      <c r="G1315" s="9">
        <f>IF(D1315="","",IFERROR(INDEX('Équipements'!$K$5:$K$304,MATCH(D1315,'Équipements'!$A$5:$A$304,0)),""))</f>
        <v/>
      </c>
      <c r="H1315" s="7" t="inlineStr">
        <is>
          <t>Correctif</t>
        </is>
      </c>
      <c r="I1315" s="7" t="n"/>
      <c r="J1315" s="7" t="inlineStr">
        <is>
          <t>Électrique</t>
        </is>
      </c>
      <c r="K1315" s="7" t="inlineStr">
        <is>
          <t>P2 - Haute</t>
        </is>
      </c>
      <c r="L1315" s="7" t="inlineStr">
        <is>
          <t>Dérive de la mesure pH</t>
        </is>
      </c>
      <c r="M1315" s="7" t="inlineStr">
        <is>
          <t>Défaut capteur</t>
        </is>
      </c>
      <c r="N1315" s="7" t="inlineStr">
        <is>
          <t>Remplacement sonde pH, étalonnage</t>
        </is>
      </c>
      <c r="O1315" s="7" t="inlineStr">
        <is>
          <t>Thomas Petit</t>
        </is>
      </c>
      <c r="P1315" s="65" t="n"/>
      <c r="Q1315" s="75" t="n">
        <v>46234.88611111111</v>
      </c>
      <c r="R1315" s="75" t="n">
        <v>46237.58339429102</v>
      </c>
      <c r="S1315" s="76" t="n">
        <v>36.4</v>
      </c>
      <c r="T1315" s="76" t="n">
        <v>1.75</v>
      </c>
      <c r="U1315" s="70">
        <f>IF($A1315="","",IFERROR(INDEX('Techniciens'!$F$5:$F$44,MATCH(O1315,'Techniciens'!$B$5:$B$44,0)),'Paramètres'!$AA$10))</f>
        <v/>
      </c>
      <c r="V1315" s="70">
        <f>IF($A1315="","",IF(OR(AC1315="Demandé",AC1315="Planifié",AC1315="Annulé"),0,N(T1315)*N(U1315)))</f>
        <v/>
      </c>
      <c r="W1315" s="70">
        <f>IF($A1315="","",SUMIFS('Mouvements stock'!$H$5:$H$3004,'Mouvements stock'!$I$5:$I$3004,$A1315,'Mouvements stock'!$C$5:$C$3004,"Sortie")-SUMIFS('Mouvements stock'!$H$5:$H$3004,'Mouvements stock'!$I$5:$I$3004,$A1315,'Mouvements stock'!$C$5:$C$3004,"Retour"))</f>
        <v/>
      </c>
      <c r="X1315" s="66" t="n">
        <v>0</v>
      </c>
      <c r="Y1315" s="66" t="n">
        <v>0</v>
      </c>
      <c r="Z1315" s="7" t="n"/>
      <c r="AA1315" s="70">
        <f>IF($A1315="","",N(V1315)+N(W1315)+N(X1315)+N(Y1315))</f>
        <v/>
      </c>
      <c r="AB1315" s="70">
        <f>IF($A1315="","",N(S1315)*'Paramètres'!$AA$9*IFERROR(INDEX('Paramètres'!$O$5:$O$7,MATCH(G1315,'Paramètres'!$N$5:$N$7,0)),0))</f>
        <v/>
      </c>
      <c r="AC1315" s="7" t="inlineStr">
        <is>
          <t>Clôturé</t>
        </is>
      </c>
      <c r="AD1315" s="69">
        <f>IF(OR($A1315="",Q1315=""),"",(Q1315-B1315)*24)</f>
        <v/>
      </c>
      <c r="AE1315" s="69">
        <f>IF(OR(Q1315="",R1315=""),"",(R1315-Q1315)*24)</f>
        <v/>
      </c>
      <c r="AF1315" s="77">
        <f>IF(OR($A1315="",B1315=""),"",YEAR(B1315))</f>
        <v/>
      </c>
      <c r="AG1315" s="77">
        <f>IF(OR($A1315="",B1315=""),"",MONTH(B1315))</f>
        <v/>
      </c>
    </row>
    <row r="1316">
      <c r="A1316" s="7" t="inlineStr">
        <is>
          <t>OT-2026-0461</t>
        </is>
      </c>
      <c r="B1316" s="75" t="n">
        <v>46237.33333333334</v>
      </c>
      <c r="C1316" s="7" t="inlineStr">
        <is>
          <t>Plan préventif</t>
        </is>
      </c>
      <c r="D1316" s="7" t="inlineStr">
        <is>
          <t>EQ-BAT-002</t>
        </is>
      </c>
      <c r="E1316" s="9">
        <f>IF(D1316="","",IFERROR(INDEX('Équipements'!$B$5:$B$304,MATCH(D1316,'Équipements'!$A$5:$A$304,0)),"Code inconnu"))</f>
        <v/>
      </c>
      <c r="F1316" s="9">
        <f>IF(D1316="","",IFERROR(INDEX('Équipements'!$D$5:$D$304,MATCH(D1316,'Équipements'!$A$5:$A$304,0)),""))</f>
        <v/>
      </c>
      <c r="G1316" s="9">
        <f>IF(D1316="","",IFERROR(INDEX('Équipements'!$K$5:$K$304,MATCH(D1316,'Équipements'!$A$5:$A$304,0)),""))</f>
        <v/>
      </c>
      <c r="H1316" s="7" t="inlineStr">
        <is>
          <t>Préventif systématique</t>
        </is>
      </c>
      <c r="I1316" s="7" t="inlineStr">
        <is>
          <t>GP-123</t>
        </is>
      </c>
      <c r="J1316" s="7" t="inlineStr">
        <is>
          <t>Bâtiment</t>
        </is>
      </c>
      <c r="K1316" s="7" t="inlineStr">
        <is>
          <t>P3 - Normale</t>
        </is>
      </c>
      <c r="L1316" s="7" t="inlineStr">
        <is>
          <t>Graissage et contrôle des sécurités</t>
        </is>
      </c>
      <c r="M1316" s="7" t="n"/>
      <c r="N1316" s="7" t="inlineStr">
        <is>
          <t>Gamme réalisée - RAS</t>
        </is>
      </c>
      <c r="O1316" s="7" t="inlineStr">
        <is>
          <t>Lucas Fontaine</t>
        </is>
      </c>
      <c r="P1316" s="65" t="n">
        <v>46244.67013888889</v>
      </c>
      <c r="Q1316" s="75" t="n">
        <v>46244.52083333334</v>
      </c>
      <c r="R1316" s="75" t="n">
        <v>46244.57291666666</v>
      </c>
      <c r="S1316" s="76" t="n">
        <v>0</v>
      </c>
      <c r="T1316" s="76" t="n">
        <v>1.25</v>
      </c>
      <c r="U1316" s="70">
        <f>IF($A1316="","",IFERROR(INDEX('Techniciens'!$F$5:$F$44,MATCH(O1316,'Techniciens'!$B$5:$B$44,0)),'Paramètres'!$AA$10))</f>
        <v/>
      </c>
      <c r="V1316" s="70">
        <f>IF($A1316="","",IF(OR(AC1316="Demandé",AC1316="Planifié",AC1316="Annulé"),0,N(T1316)*N(U1316)))</f>
        <v/>
      </c>
      <c r="W1316" s="70">
        <f>IF($A1316="","",SUMIFS('Mouvements stock'!$H$5:$H$3004,'Mouvements stock'!$I$5:$I$3004,$A1316,'Mouvements stock'!$C$5:$C$3004,"Sortie")-SUMIFS('Mouvements stock'!$H$5:$H$3004,'Mouvements stock'!$I$5:$I$3004,$A1316,'Mouvements stock'!$C$5:$C$3004,"Retour"))</f>
        <v/>
      </c>
      <c r="X1316" s="66" t="n">
        <v>0</v>
      </c>
      <c r="Y1316" s="66" t="n">
        <v>0</v>
      </c>
      <c r="Z1316" s="7" t="n"/>
      <c r="AA1316" s="70">
        <f>IF($A1316="","",N(V1316)+N(W1316)+N(X1316)+N(Y1316))</f>
        <v/>
      </c>
      <c r="AB1316" s="70">
        <f>IF($A1316="","",N(S1316)*'Paramètres'!$AA$9*IFERROR(INDEX('Paramètres'!$O$5:$O$7,MATCH(G1316,'Paramètres'!$N$5:$N$7,0)),0))</f>
        <v/>
      </c>
      <c r="AC1316" s="7" t="inlineStr">
        <is>
          <t>Clôturé</t>
        </is>
      </c>
      <c r="AD1316" s="69">
        <f>IF(OR($A1316="",Q1316=""),"",(Q1316-B1316)*24)</f>
        <v/>
      </c>
      <c r="AE1316" s="69">
        <f>IF(OR(Q1316="",R1316=""),"",(R1316-Q1316)*24)</f>
        <v/>
      </c>
      <c r="AF1316" s="77">
        <f>IF(OR($A1316="",B1316=""),"",YEAR(B1316))</f>
        <v/>
      </c>
      <c r="AG1316" s="77">
        <f>IF(OR($A1316="",B1316=""),"",MONTH(B1316))</f>
        <v/>
      </c>
    </row>
    <row r="1317">
      <c r="A1317" s="7" t="inlineStr">
        <is>
          <t>OT-2026-0462</t>
        </is>
      </c>
      <c r="B1317" s="75" t="n">
        <v>46237.38194444445</v>
      </c>
      <c r="C1317" s="7" t="inlineStr">
        <is>
          <t>Plan préventif</t>
        </is>
      </c>
      <c r="D1317" s="7" t="inlineStr">
        <is>
          <t>EQ-BAT-001</t>
        </is>
      </c>
      <c r="E1317" s="9">
        <f>IF(D1317="","",IFERROR(INDEX('Équipements'!$B$5:$B$304,MATCH(D1317,'Équipements'!$A$5:$A$304,0)),"Code inconnu"))</f>
        <v/>
      </c>
      <c r="F1317" s="9">
        <f>IF(D1317="","",IFERROR(INDEX('Équipements'!$D$5:$D$304,MATCH(D1317,'Équipements'!$A$5:$A$304,0)),""))</f>
        <v/>
      </c>
      <c r="G1317" s="9">
        <f>IF(D1317="","",IFERROR(INDEX('Équipements'!$K$5:$K$304,MATCH(D1317,'Équipements'!$A$5:$A$304,0)),""))</f>
        <v/>
      </c>
      <c r="H1317" s="7" t="inlineStr">
        <is>
          <t>Préventif systématique</t>
        </is>
      </c>
      <c r="I1317" s="7" t="inlineStr">
        <is>
          <t>GP-122</t>
        </is>
      </c>
      <c r="J1317" s="7" t="inlineStr">
        <is>
          <t>Bâtiment</t>
        </is>
      </c>
      <c r="K1317" s="7" t="inlineStr">
        <is>
          <t>P3 - Normale</t>
        </is>
      </c>
      <c r="L1317" s="7" t="inlineStr">
        <is>
          <t>Graissage et contrôle des sécurités</t>
        </is>
      </c>
      <c r="M1317" s="7" t="n"/>
      <c r="N1317" s="7" t="inlineStr">
        <is>
          <t>Gamme réalisée - RAS</t>
        </is>
      </c>
      <c r="O1317" s="7" t="inlineStr">
        <is>
          <t>Karim Benali</t>
        </is>
      </c>
      <c r="P1317" s="65" t="n">
        <v>46244.66666666666</v>
      </c>
      <c r="Q1317" s="75" t="n">
        <v>46244.57638888889</v>
      </c>
      <c r="R1317" s="75" t="n">
        <v>46244.64930555555</v>
      </c>
      <c r="S1317" s="76" t="n">
        <v>0</v>
      </c>
      <c r="T1317" s="76" t="n">
        <v>1.75</v>
      </c>
      <c r="U1317" s="70">
        <f>IF($A1317="","",IFERROR(INDEX('Techniciens'!$F$5:$F$44,MATCH(O1317,'Techniciens'!$B$5:$B$44,0)),'Paramètres'!$AA$10))</f>
        <v/>
      </c>
      <c r="V1317" s="70">
        <f>IF($A1317="","",IF(OR(AC1317="Demandé",AC1317="Planifié",AC1317="Annulé"),0,N(T1317)*N(U1317)))</f>
        <v/>
      </c>
      <c r="W1317" s="70">
        <f>IF($A1317="","",SUMIFS('Mouvements stock'!$H$5:$H$3004,'Mouvements stock'!$I$5:$I$3004,$A1317,'Mouvements stock'!$C$5:$C$3004,"Sortie")-SUMIFS('Mouvements stock'!$H$5:$H$3004,'Mouvements stock'!$I$5:$I$3004,$A1317,'Mouvements stock'!$C$5:$C$3004,"Retour"))</f>
        <v/>
      </c>
      <c r="X1317" s="66" t="n">
        <v>0</v>
      </c>
      <c r="Y1317" s="66" t="n">
        <v>0</v>
      </c>
      <c r="Z1317" s="7" t="n"/>
      <c r="AA1317" s="70">
        <f>IF($A1317="","",N(V1317)+N(W1317)+N(X1317)+N(Y1317))</f>
        <v/>
      </c>
      <c r="AB1317" s="70">
        <f>IF($A1317="","",N(S1317)*'Paramètres'!$AA$9*IFERROR(INDEX('Paramètres'!$O$5:$O$7,MATCH(G1317,'Paramètres'!$N$5:$N$7,0)),0))</f>
        <v/>
      </c>
      <c r="AC1317" s="7" t="inlineStr">
        <is>
          <t>Clôturé</t>
        </is>
      </c>
      <c r="AD1317" s="69">
        <f>IF(OR($A1317="",Q1317=""),"",(Q1317-B1317)*24)</f>
        <v/>
      </c>
      <c r="AE1317" s="69">
        <f>IF(OR(Q1317="",R1317=""),"",(R1317-Q1317)*24)</f>
        <v/>
      </c>
      <c r="AF1317" s="77">
        <f>IF(OR($A1317="",B1317=""),"",YEAR(B1317))</f>
        <v/>
      </c>
      <c r="AG1317" s="77">
        <f>IF(OR($A1317="",B1317=""),"",MONTH(B1317))</f>
        <v/>
      </c>
    </row>
    <row r="1318">
      <c r="A1318" s="7" t="inlineStr">
        <is>
          <t>OT-2026-0463</t>
        </is>
      </c>
      <c r="B1318" s="75" t="n">
        <v>46237.38541666666</v>
      </c>
      <c r="C1318" s="7" t="inlineStr">
        <is>
          <t>Plan préventif</t>
        </is>
      </c>
      <c r="D1318" s="7" t="inlineStr">
        <is>
          <t>EQ-USI-001</t>
        </is>
      </c>
      <c r="E1318" s="9">
        <f>IF(D1318="","",IFERROR(INDEX('Équipements'!$B$5:$B$304,MATCH(D1318,'Équipements'!$A$5:$A$304,0)),"Code inconnu"))</f>
        <v/>
      </c>
      <c r="F1318" s="9">
        <f>IF(D1318="","",IFERROR(INDEX('Équipements'!$D$5:$D$304,MATCH(D1318,'Équipements'!$A$5:$A$304,0)),""))</f>
        <v/>
      </c>
      <c r="G1318" s="9">
        <f>IF(D1318="","",IFERROR(INDEX('Équipements'!$K$5:$K$304,MATCH(D1318,'Équipements'!$A$5:$A$304,0)),""))</f>
        <v/>
      </c>
      <c r="H1318" s="7" t="inlineStr">
        <is>
          <t>Préventif systématique</t>
        </is>
      </c>
      <c r="I1318" s="7" t="inlineStr">
        <is>
          <t>GP-001</t>
        </is>
      </c>
      <c r="J1318" s="7" t="inlineStr">
        <is>
          <t>Mécanique</t>
        </is>
      </c>
      <c r="K1318" s="7" t="inlineStr">
        <is>
          <t>P3 - Normale</t>
        </is>
      </c>
      <c r="L1318" s="7" t="inlineStr">
        <is>
          <t>Contrôle niveaux, nettoyage filtres et bac à copeaux</t>
        </is>
      </c>
      <c r="M1318" s="7" t="n"/>
      <c r="N1318" s="7" t="inlineStr">
        <is>
          <t>Gamme réalisée - RAS</t>
        </is>
      </c>
      <c r="O1318" s="7" t="inlineStr">
        <is>
          <t>Antoine Mercier</t>
        </is>
      </c>
      <c r="P1318" s="65" t="n">
        <v>46244.46180555555</v>
      </c>
      <c r="Q1318" s="75" t="n">
        <v>46244.40972222222</v>
      </c>
      <c r="R1318" s="75" t="n">
        <v>46244.47222222222</v>
      </c>
      <c r="S1318" s="76" t="n">
        <v>0</v>
      </c>
      <c r="T1318" s="76" t="n">
        <v>1.5</v>
      </c>
      <c r="U1318" s="70">
        <f>IF($A1318="","",IFERROR(INDEX('Techniciens'!$F$5:$F$44,MATCH(O1318,'Techniciens'!$B$5:$B$44,0)),'Paramètres'!$AA$10))</f>
        <v/>
      </c>
      <c r="V1318" s="70">
        <f>IF($A1318="","",IF(OR(AC1318="Demandé",AC1318="Planifié",AC1318="Annulé"),0,N(T1318)*N(U1318)))</f>
        <v/>
      </c>
      <c r="W1318" s="70">
        <f>IF($A1318="","",SUMIFS('Mouvements stock'!$H$5:$H$3004,'Mouvements stock'!$I$5:$I$3004,$A1318,'Mouvements stock'!$C$5:$C$3004,"Sortie")-SUMIFS('Mouvements stock'!$H$5:$H$3004,'Mouvements stock'!$I$5:$I$3004,$A1318,'Mouvements stock'!$C$5:$C$3004,"Retour"))</f>
        <v/>
      </c>
      <c r="X1318" s="66" t="n">
        <v>0</v>
      </c>
      <c r="Y1318" s="66" t="n">
        <v>0</v>
      </c>
      <c r="Z1318" s="7" t="n"/>
      <c r="AA1318" s="70">
        <f>IF($A1318="","",N(V1318)+N(W1318)+N(X1318)+N(Y1318))</f>
        <v/>
      </c>
      <c r="AB1318" s="70">
        <f>IF($A1318="","",N(S1318)*'Paramètres'!$AA$9*IFERROR(INDEX('Paramètres'!$O$5:$O$7,MATCH(G1318,'Paramètres'!$N$5:$N$7,0)),0))</f>
        <v/>
      </c>
      <c r="AC1318" s="7" t="inlineStr">
        <is>
          <t>Clôturé</t>
        </is>
      </c>
      <c r="AD1318" s="69">
        <f>IF(OR($A1318="",Q1318=""),"",(Q1318-B1318)*24)</f>
        <v/>
      </c>
      <c r="AE1318" s="69">
        <f>IF(OR(Q1318="",R1318=""),"",(R1318-Q1318)*24)</f>
        <v/>
      </c>
      <c r="AF1318" s="77">
        <f>IF(OR($A1318="",B1318=""),"",YEAR(B1318))</f>
        <v/>
      </c>
      <c r="AG1318" s="77">
        <f>IF(OR($A1318="",B1318=""),"",MONTH(B1318))</f>
        <v/>
      </c>
    </row>
    <row r="1319">
      <c r="A1319" s="7" t="inlineStr">
        <is>
          <t>OT-2026-0464</t>
        </is>
      </c>
      <c r="B1319" s="75" t="n">
        <v>46237.44444444445</v>
      </c>
      <c r="C1319" s="7" t="inlineStr">
        <is>
          <t>Plan préventif</t>
        </is>
      </c>
      <c r="D1319" s="7" t="inlineStr">
        <is>
          <t>EQ-LOG-002</t>
        </is>
      </c>
      <c r="E1319" s="9">
        <f>IF(D1319="","",IFERROR(INDEX('Équipements'!$B$5:$B$304,MATCH(D1319,'Équipements'!$A$5:$A$304,0)),"Code inconnu"))</f>
        <v/>
      </c>
      <c r="F1319" s="9">
        <f>IF(D1319="","",IFERROR(INDEX('Équipements'!$D$5:$D$304,MATCH(D1319,'Équipements'!$A$5:$A$304,0)),""))</f>
        <v/>
      </c>
      <c r="G1319" s="9">
        <f>IF(D1319="","",IFERROR(INDEX('Équipements'!$K$5:$K$304,MATCH(D1319,'Équipements'!$A$5:$A$304,0)),""))</f>
        <v/>
      </c>
      <c r="H1319" s="7" t="inlineStr">
        <is>
          <t>Préventif systématique</t>
        </is>
      </c>
      <c r="I1319" s="7" t="inlineStr">
        <is>
          <t>GP-108</t>
        </is>
      </c>
      <c r="J1319" s="7" t="inlineStr">
        <is>
          <t>Mécanique</t>
        </is>
      </c>
      <c r="K1319" s="7" t="inlineStr">
        <is>
          <t>P3 - Normale</t>
        </is>
      </c>
      <c r="L1319" s="7" t="inlineStr">
        <is>
          <t>Contrôle batterie, niveaux et bandages</t>
        </is>
      </c>
      <c r="M1319" s="7" t="n"/>
      <c r="N1319" s="7" t="inlineStr">
        <is>
          <t>Gamme réalisée - RAS</t>
        </is>
      </c>
      <c r="O1319" s="7" t="inlineStr">
        <is>
          <t>Antoine Mercier</t>
        </is>
      </c>
      <c r="P1319" s="65" t="n">
        <v>46244.60416666666</v>
      </c>
      <c r="Q1319" s="75" t="n">
        <v>46244.55208333334</v>
      </c>
      <c r="R1319" s="75" t="n">
        <v>46244.58333333334</v>
      </c>
      <c r="S1319" s="76" t="n">
        <v>0.4</v>
      </c>
      <c r="T1319" s="76" t="n">
        <v>0.75</v>
      </c>
      <c r="U1319" s="70">
        <f>IF($A1319="","",IFERROR(INDEX('Techniciens'!$F$5:$F$44,MATCH(O1319,'Techniciens'!$B$5:$B$44,0)),'Paramètres'!$AA$10))</f>
        <v/>
      </c>
      <c r="V1319" s="70">
        <f>IF($A1319="","",IF(OR(AC1319="Demandé",AC1319="Planifié",AC1319="Annulé"),0,N(T1319)*N(U1319)))</f>
        <v/>
      </c>
      <c r="W1319" s="70">
        <f>IF($A1319="","",SUMIFS('Mouvements stock'!$H$5:$H$3004,'Mouvements stock'!$I$5:$I$3004,$A1319,'Mouvements stock'!$C$5:$C$3004,"Sortie")-SUMIFS('Mouvements stock'!$H$5:$H$3004,'Mouvements stock'!$I$5:$I$3004,$A1319,'Mouvements stock'!$C$5:$C$3004,"Retour"))</f>
        <v/>
      </c>
      <c r="X1319" s="66" t="n">
        <v>0</v>
      </c>
      <c r="Y1319" s="66" t="n">
        <v>0</v>
      </c>
      <c r="Z1319" s="7" t="n"/>
      <c r="AA1319" s="70">
        <f>IF($A1319="","",N(V1319)+N(W1319)+N(X1319)+N(Y1319))</f>
        <v/>
      </c>
      <c r="AB1319" s="70">
        <f>IF($A1319="","",N(S1319)*'Paramètres'!$AA$9*IFERROR(INDEX('Paramètres'!$O$5:$O$7,MATCH(G1319,'Paramètres'!$N$5:$N$7,0)),0))</f>
        <v/>
      </c>
      <c r="AC1319" s="7" t="inlineStr">
        <is>
          <t>Clôturé</t>
        </is>
      </c>
      <c r="AD1319" s="69">
        <f>IF(OR($A1319="",Q1319=""),"",(Q1319-B1319)*24)</f>
        <v/>
      </c>
      <c r="AE1319" s="69">
        <f>IF(OR(Q1319="",R1319=""),"",(R1319-Q1319)*24)</f>
        <v/>
      </c>
      <c r="AF1319" s="77">
        <f>IF(OR($A1319="",B1319=""),"",YEAR(B1319))</f>
        <v/>
      </c>
      <c r="AG1319" s="77">
        <f>IF(OR($A1319="",B1319=""),"",MONTH(B1319))</f>
        <v/>
      </c>
    </row>
    <row r="1320">
      <c r="A1320" s="7" t="inlineStr">
        <is>
          <t>OT-2026-0465</t>
        </is>
      </c>
      <c r="B1320" s="75" t="n">
        <v>46238.36458333334</v>
      </c>
      <c r="C1320" s="7" t="inlineStr">
        <is>
          <t>Planning réglementaire</t>
        </is>
      </c>
      <c r="D1320" s="7" t="inlineStr">
        <is>
          <t>EQ-LOG-004</t>
        </is>
      </c>
      <c r="E1320" s="9">
        <f>IF(D1320="","",IFERROR(INDEX('Équipements'!$B$5:$B$304,MATCH(D1320,'Équipements'!$A$5:$A$304,0)),"Code inconnu"))</f>
        <v/>
      </c>
      <c r="F1320" s="9">
        <f>IF(D1320="","",IFERROR(INDEX('Équipements'!$D$5:$D$304,MATCH(D1320,'Équipements'!$A$5:$A$304,0)),""))</f>
        <v/>
      </c>
      <c r="G1320" s="9">
        <f>IF(D1320="","",IFERROR(INDEX('Équipements'!$K$5:$K$304,MATCH(D1320,'Équipements'!$A$5:$A$304,0)),""))</f>
        <v/>
      </c>
      <c r="H1320" s="7" t="inlineStr">
        <is>
          <t>Réglementaire</t>
        </is>
      </c>
      <c r="I1320" s="7" t="inlineStr">
        <is>
          <t>CR-007</t>
        </is>
      </c>
      <c r="J1320" s="7" t="inlineStr">
        <is>
          <t>Multi-technique</t>
        </is>
      </c>
      <c r="K1320" s="7" t="inlineStr">
        <is>
          <t>P2 - Haute</t>
        </is>
      </c>
      <c r="L1320" s="7" t="inlineStr">
        <is>
          <t>VGP transpalette à conducteur porté/accompagnant</t>
        </is>
      </c>
      <c r="M1320" s="7" t="n"/>
      <c r="N1320" s="7" t="inlineStr">
        <is>
          <t>Contrôle réalisé - aucune observation</t>
        </is>
      </c>
      <c r="O1320" s="7" t="inlineStr">
        <is>
          <t>Marc Lefèvre</t>
        </is>
      </c>
      <c r="P1320" s="65" t="n">
        <v>46259</v>
      </c>
      <c r="Q1320" s="75" t="n">
        <v>46259.56944444445</v>
      </c>
      <c r="R1320" s="75" t="n">
        <v>46259.63194444445</v>
      </c>
      <c r="S1320" s="76" t="n">
        <v>0</v>
      </c>
      <c r="T1320" s="76" t="n">
        <v>1.5</v>
      </c>
      <c r="U1320" s="70">
        <f>IF($A1320="","",IFERROR(INDEX('Techniciens'!$F$5:$F$44,MATCH(O1320,'Techniciens'!$B$5:$B$44,0)),'Paramètres'!$AA$10))</f>
        <v/>
      </c>
      <c r="V1320" s="70">
        <f>IF($A1320="","",IF(OR(AC1320="Demandé",AC1320="Planifié",AC1320="Annulé"),0,N(T1320)*N(U1320)))</f>
        <v/>
      </c>
      <c r="W1320" s="70">
        <f>IF($A1320="","",SUMIFS('Mouvements stock'!$H$5:$H$3004,'Mouvements stock'!$I$5:$I$3004,$A1320,'Mouvements stock'!$C$5:$C$3004,"Sortie")-SUMIFS('Mouvements stock'!$H$5:$H$3004,'Mouvements stock'!$I$5:$I$3004,$A1320,'Mouvements stock'!$C$5:$C$3004,"Retour"))</f>
        <v/>
      </c>
      <c r="X1320" s="66" t="n">
        <v>0</v>
      </c>
      <c r="Y1320" s="66" t="n">
        <v>90</v>
      </c>
      <c r="Z1320" s="7" t="inlineStr">
        <is>
          <t>CONTROLIS (organisme fictif)</t>
        </is>
      </c>
      <c r="AA1320" s="70">
        <f>IF($A1320="","",N(V1320)+N(W1320)+N(X1320)+N(Y1320))</f>
        <v/>
      </c>
      <c r="AB1320" s="70">
        <f>IF($A1320="","",N(S1320)*'Paramètres'!$AA$9*IFERROR(INDEX('Paramètres'!$O$5:$O$7,MATCH(G1320,'Paramètres'!$N$5:$N$7,0)),0))</f>
        <v/>
      </c>
      <c r="AC1320" s="7" t="inlineStr">
        <is>
          <t>Clôturé</t>
        </is>
      </c>
      <c r="AD1320" s="69">
        <f>IF(OR($A1320="",Q1320=""),"",(Q1320-B1320)*24)</f>
        <v/>
      </c>
      <c r="AE1320" s="69">
        <f>IF(OR(Q1320="",R1320=""),"",(R1320-Q1320)*24)</f>
        <v/>
      </c>
      <c r="AF1320" s="77">
        <f>IF(OR($A1320="",B1320=""),"",YEAR(B1320))</f>
        <v/>
      </c>
      <c r="AG1320" s="77">
        <f>IF(OR($A1320="",B1320=""),"",MONTH(B1320))</f>
        <v/>
      </c>
    </row>
    <row r="1321">
      <c r="A1321" s="7" t="inlineStr">
        <is>
          <t>OT-2026-0466</t>
        </is>
      </c>
      <c r="B1321" s="75" t="n">
        <v>46238.375</v>
      </c>
      <c r="C1321" s="7" t="inlineStr">
        <is>
          <t>Plan préventif</t>
        </is>
      </c>
      <c r="D1321" s="7" t="inlineStr">
        <is>
          <t>EQ-USI-009</t>
        </is>
      </c>
      <c r="E1321" s="9">
        <f>IF(D1321="","",IFERROR(INDEX('Équipements'!$B$5:$B$304,MATCH(D1321,'Équipements'!$A$5:$A$304,0)),"Code inconnu"))</f>
        <v/>
      </c>
      <c r="F1321" s="9">
        <f>IF(D1321="","",IFERROR(INDEX('Équipements'!$D$5:$D$304,MATCH(D1321,'Équipements'!$A$5:$A$304,0)),""))</f>
        <v/>
      </c>
      <c r="G1321" s="9">
        <f>IF(D1321="","",IFERROR(INDEX('Équipements'!$K$5:$K$304,MATCH(D1321,'Équipements'!$A$5:$A$304,0)),""))</f>
        <v/>
      </c>
      <c r="H1321" s="7" t="inlineStr">
        <is>
          <t>Préventif systématique</t>
        </is>
      </c>
      <c r="I1321" s="7" t="inlineStr">
        <is>
          <t>GP-030</t>
        </is>
      </c>
      <c r="J1321" s="7" t="inlineStr">
        <is>
          <t>Mécanique</t>
        </is>
      </c>
      <c r="K1321" s="7" t="inlineStr">
        <is>
          <t>P3 - Normale</t>
        </is>
      </c>
      <c r="L1321" s="7" t="inlineStr">
        <is>
          <t>Contrôle lame, guides et liquide de coupe</t>
        </is>
      </c>
      <c r="M1321" s="7" t="n"/>
      <c r="N1321" s="7" t="inlineStr">
        <is>
          <t>Gamme réalisée - RAS</t>
        </is>
      </c>
      <c r="O1321" s="7" t="inlineStr">
        <is>
          <t>Karim Benali</t>
        </is>
      </c>
      <c r="P1321" s="65" t="n">
        <v>46245.33680555555</v>
      </c>
      <c r="Q1321" s="75" t="n">
        <v>46245.50694444445</v>
      </c>
      <c r="R1321" s="75" t="n">
        <v>46245.54861111111</v>
      </c>
      <c r="S1321" s="76" t="n">
        <v>0.5</v>
      </c>
      <c r="T1321" s="76" t="n">
        <v>1</v>
      </c>
      <c r="U1321" s="70">
        <f>IF($A1321="","",IFERROR(INDEX('Techniciens'!$F$5:$F$44,MATCH(O1321,'Techniciens'!$B$5:$B$44,0)),'Paramètres'!$AA$10))</f>
        <v/>
      </c>
      <c r="V1321" s="70">
        <f>IF($A1321="","",IF(OR(AC1321="Demandé",AC1321="Planifié",AC1321="Annulé"),0,N(T1321)*N(U1321)))</f>
        <v/>
      </c>
      <c r="W1321" s="70">
        <f>IF($A1321="","",SUMIFS('Mouvements stock'!$H$5:$H$3004,'Mouvements stock'!$I$5:$I$3004,$A1321,'Mouvements stock'!$C$5:$C$3004,"Sortie")-SUMIFS('Mouvements stock'!$H$5:$H$3004,'Mouvements stock'!$I$5:$I$3004,$A1321,'Mouvements stock'!$C$5:$C$3004,"Retour"))</f>
        <v/>
      </c>
      <c r="X1321" s="66" t="n">
        <v>0</v>
      </c>
      <c r="Y1321" s="66" t="n">
        <v>0</v>
      </c>
      <c r="Z1321" s="7" t="n"/>
      <c r="AA1321" s="70">
        <f>IF($A1321="","",N(V1321)+N(W1321)+N(X1321)+N(Y1321))</f>
        <v/>
      </c>
      <c r="AB1321" s="70">
        <f>IF($A1321="","",N(S1321)*'Paramètres'!$AA$9*IFERROR(INDEX('Paramètres'!$O$5:$O$7,MATCH(G1321,'Paramètres'!$N$5:$N$7,0)),0))</f>
        <v/>
      </c>
      <c r="AC1321" s="7" t="inlineStr">
        <is>
          <t>Clôturé</t>
        </is>
      </c>
      <c r="AD1321" s="69">
        <f>IF(OR($A1321="",Q1321=""),"",(Q1321-B1321)*24)</f>
        <v/>
      </c>
      <c r="AE1321" s="69">
        <f>IF(OR(Q1321="",R1321=""),"",(R1321-Q1321)*24)</f>
        <v/>
      </c>
      <c r="AF1321" s="77">
        <f>IF(OR($A1321="",B1321=""),"",YEAR(B1321))</f>
        <v/>
      </c>
      <c r="AG1321" s="77">
        <f>IF(OR($A1321="",B1321=""),"",MONTH(B1321))</f>
        <v/>
      </c>
    </row>
    <row r="1322">
      <c r="A1322" s="7" t="inlineStr">
        <is>
          <t>OT-2026-0467</t>
        </is>
      </c>
      <c r="B1322" s="75" t="n">
        <v>46238.45138888889</v>
      </c>
      <c r="C1322" s="7" t="inlineStr">
        <is>
          <t>Céline Morel (cheffe d'atelier)</t>
        </is>
      </c>
      <c r="D1322" s="7" t="inlineStr">
        <is>
          <t>EQ-TOL-002</t>
        </is>
      </c>
      <c r="E1322" s="9">
        <f>IF(D1322="","",IFERROR(INDEX('Équipements'!$B$5:$B$304,MATCH(D1322,'Équipements'!$A$5:$A$304,0)),"Code inconnu"))</f>
        <v/>
      </c>
      <c r="F1322" s="9">
        <f>IF(D1322="","",IFERROR(INDEX('Équipements'!$D$5:$D$304,MATCH(D1322,'Équipements'!$A$5:$A$304,0)),""))</f>
        <v/>
      </c>
      <c r="G1322" s="9">
        <f>IF(D1322="","",IFERROR(INDEX('Équipements'!$K$5:$K$304,MATCH(D1322,'Équipements'!$A$5:$A$304,0)),""))</f>
        <v/>
      </c>
      <c r="H1322" s="7" t="inlineStr">
        <is>
          <t>Correctif</t>
        </is>
      </c>
      <c r="I1322" s="7" t="n"/>
      <c r="J1322" s="7" t="inlineStr">
        <is>
          <t>Électrique</t>
        </is>
      </c>
      <c r="K1322" s="7" t="inlineStr">
        <is>
          <t>P3 - Normale</t>
        </is>
      </c>
      <c r="L1322" s="7" t="inlineStr">
        <is>
          <t>Pédale de commande défectueuse</t>
        </is>
      </c>
      <c r="M1322" s="7" t="inlineStr">
        <is>
          <t>Usure</t>
        </is>
      </c>
      <c r="N1322" s="7" t="inlineStr">
        <is>
          <t>Remplacement contacts de pédale</t>
        </is>
      </c>
      <c r="O1322" s="7" t="inlineStr">
        <is>
          <t>Thomas Petit</t>
        </is>
      </c>
      <c r="P1322" s="65" t="n"/>
      <c r="Q1322" s="75" t="n">
        <v>46239.89444444444</v>
      </c>
      <c r="R1322" s="75" t="n">
        <v>46240.16527777778</v>
      </c>
      <c r="S1322" s="76" t="n">
        <v>0</v>
      </c>
      <c r="T1322" s="76" t="n">
        <v>6.5</v>
      </c>
      <c r="U1322" s="70">
        <f>IF($A1322="","",IFERROR(INDEX('Techniciens'!$F$5:$F$44,MATCH(O1322,'Techniciens'!$B$5:$B$44,0)),'Paramètres'!$AA$10))</f>
        <v/>
      </c>
      <c r="V1322" s="70">
        <f>IF($A1322="","",IF(OR(AC1322="Demandé",AC1322="Planifié",AC1322="Annulé"),0,N(T1322)*N(U1322)))</f>
        <v/>
      </c>
      <c r="W1322" s="70">
        <f>IF($A1322="","",SUMIFS('Mouvements stock'!$H$5:$H$3004,'Mouvements stock'!$I$5:$I$3004,$A1322,'Mouvements stock'!$C$5:$C$3004,"Sortie")-SUMIFS('Mouvements stock'!$H$5:$H$3004,'Mouvements stock'!$I$5:$I$3004,$A1322,'Mouvements stock'!$C$5:$C$3004,"Retour"))</f>
        <v/>
      </c>
      <c r="X1322" s="66" t="n">
        <v>0</v>
      </c>
      <c r="Y1322" s="66" t="n">
        <v>0</v>
      </c>
      <c r="Z1322" s="7" t="n"/>
      <c r="AA1322" s="70">
        <f>IF($A1322="","",N(V1322)+N(W1322)+N(X1322)+N(Y1322))</f>
        <v/>
      </c>
      <c r="AB1322" s="70">
        <f>IF($A1322="","",N(S1322)*'Paramètres'!$AA$9*IFERROR(INDEX('Paramètres'!$O$5:$O$7,MATCH(G1322,'Paramètres'!$N$5:$N$7,0)),0))</f>
        <v/>
      </c>
      <c r="AC1322" s="7" t="inlineStr">
        <is>
          <t>Clôturé</t>
        </is>
      </c>
      <c r="AD1322" s="69">
        <f>IF(OR($A1322="",Q1322=""),"",(Q1322-B1322)*24)</f>
        <v/>
      </c>
      <c r="AE1322" s="69">
        <f>IF(OR(Q1322="",R1322=""),"",(R1322-Q1322)*24)</f>
        <v/>
      </c>
      <c r="AF1322" s="77">
        <f>IF(OR($A1322="",B1322=""),"",YEAR(B1322))</f>
        <v/>
      </c>
      <c r="AG1322" s="77">
        <f>IF(OR($A1322="",B1322=""),"",MONTH(B1322))</f>
        <v/>
      </c>
    </row>
    <row r="1323">
      <c r="A1323" s="7" t="inlineStr">
        <is>
          <t>OT-2026-0468</t>
        </is>
      </c>
      <c r="B1323" s="75" t="n">
        <v>46238.50347222222</v>
      </c>
      <c r="C1323" s="7" t="inlineStr">
        <is>
          <t>Cariste</t>
        </is>
      </c>
      <c r="D1323" s="7" t="inlineStr">
        <is>
          <t>EQ-LOG-006</t>
        </is>
      </c>
      <c r="E1323" s="9">
        <f>IF(D1323="","",IFERROR(INDEX('Équipements'!$B$5:$B$304,MATCH(D1323,'Équipements'!$A$5:$A$304,0)),"Code inconnu"))</f>
        <v/>
      </c>
      <c r="F1323" s="9">
        <f>IF(D1323="","",IFERROR(INDEX('Équipements'!$D$5:$D$304,MATCH(D1323,'Équipements'!$A$5:$A$304,0)),""))</f>
        <v/>
      </c>
      <c r="G1323" s="9">
        <f>IF(D1323="","",IFERROR(INDEX('Équipements'!$K$5:$K$304,MATCH(D1323,'Équipements'!$A$5:$A$304,0)),""))</f>
        <v/>
      </c>
      <c r="H1323" s="7" t="inlineStr">
        <is>
          <t>Correctif</t>
        </is>
      </c>
      <c r="I1323" s="7" t="n"/>
      <c r="J1323" s="7" t="inlineStr">
        <is>
          <t>Mécanique</t>
        </is>
      </c>
      <c r="K1323" s="7" t="inlineStr">
        <is>
          <t>P1 - Urgent</t>
        </is>
      </c>
      <c r="L1323" s="7" t="inlineStr">
        <is>
          <t>Câble de levage effiloché (réserve VGP)</t>
        </is>
      </c>
      <c r="M1323" s="7" t="inlineStr">
        <is>
          <t>Usure</t>
        </is>
      </c>
      <c r="N1323" s="7" t="inlineStr">
        <is>
          <t>Remplacement câble de levage</t>
        </is>
      </c>
      <c r="O1323" s="7" t="inlineStr">
        <is>
          <t>Karim Benali</t>
        </is>
      </c>
      <c r="P1323" s="65" t="n"/>
      <c r="Q1323" s="75" t="n">
        <v>46238.51319444444</v>
      </c>
      <c r="R1323" s="75" t="n">
        <v>46238.74236111111</v>
      </c>
      <c r="S1323" s="76" t="n">
        <v>5.7</v>
      </c>
      <c r="T1323" s="76" t="n">
        <v>5.5</v>
      </c>
      <c r="U1323" s="70">
        <f>IF($A1323="","",IFERROR(INDEX('Techniciens'!$F$5:$F$44,MATCH(O1323,'Techniciens'!$B$5:$B$44,0)),'Paramètres'!$AA$10))</f>
        <v/>
      </c>
      <c r="V1323" s="70">
        <f>IF($A1323="","",IF(OR(AC1323="Demandé",AC1323="Planifié",AC1323="Annulé"),0,N(T1323)*N(U1323)))</f>
        <v/>
      </c>
      <c r="W1323" s="70">
        <f>IF($A1323="","",SUMIFS('Mouvements stock'!$H$5:$H$3004,'Mouvements stock'!$I$5:$I$3004,$A1323,'Mouvements stock'!$C$5:$C$3004,"Sortie")-SUMIFS('Mouvements stock'!$H$5:$H$3004,'Mouvements stock'!$I$5:$I$3004,$A1323,'Mouvements stock'!$C$5:$C$3004,"Retour"))</f>
        <v/>
      </c>
      <c r="X1323" s="66" t="n">
        <v>0</v>
      </c>
      <c r="Y1323" s="66" t="n">
        <v>0</v>
      </c>
      <c r="Z1323" s="7" t="n"/>
      <c r="AA1323" s="70">
        <f>IF($A1323="","",N(V1323)+N(W1323)+N(X1323)+N(Y1323))</f>
        <v/>
      </c>
      <c r="AB1323" s="70">
        <f>IF($A1323="","",N(S1323)*'Paramètres'!$AA$9*IFERROR(INDEX('Paramètres'!$O$5:$O$7,MATCH(G1323,'Paramètres'!$N$5:$N$7,0)),0))</f>
        <v/>
      </c>
      <c r="AC1323" s="7" t="inlineStr">
        <is>
          <t>Clôturé</t>
        </is>
      </c>
      <c r="AD1323" s="69">
        <f>IF(OR($A1323="",Q1323=""),"",(Q1323-B1323)*24)</f>
        <v/>
      </c>
      <c r="AE1323" s="69">
        <f>IF(OR(Q1323="",R1323=""),"",(R1323-Q1323)*24)</f>
        <v/>
      </c>
      <c r="AF1323" s="77">
        <f>IF(OR($A1323="",B1323=""),"",YEAR(B1323))</f>
        <v/>
      </c>
      <c r="AG1323" s="77">
        <f>IF(OR($A1323="",B1323=""),"",MONTH(B1323))</f>
        <v/>
      </c>
    </row>
    <row r="1324">
      <c r="A1324" s="7" t="inlineStr">
        <is>
          <t>OT-2026-0469</t>
        </is>
      </c>
      <c r="B1324" s="75" t="n">
        <v>46238.51597222222</v>
      </c>
      <c r="C1324" s="7" t="inlineStr">
        <is>
          <t>Cariste</t>
        </is>
      </c>
      <c r="D1324" s="7" t="inlineStr">
        <is>
          <t>EQ-LOG-004</t>
        </is>
      </c>
      <c r="E1324" s="9">
        <f>IF(D1324="","",IFERROR(INDEX('Équipements'!$B$5:$B$304,MATCH(D1324,'Équipements'!$A$5:$A$304,0)),"Code inconnu"))</f>
        <v/>
      </c>
      <c r="F1324" s="9">
        <f>IF(D1324="","",IFERROR(INDEX('Équipements'!$D$5:$D$304,MATCH(D1324,'Équipements'!$A$5:$A$304,0)),""))</f>
        <v/>
      </c>
      <c r="G1324" s="9">
        <f>IF(D1324="","",IFERROR(INDEX('Équipements'!$K$5:$K$304,MATCH(D1324,'Équipements'!$A$5:$A$304,0)),""))</f>
        <v/>
      </c>
      <c r="H1324" s="7" t="inlineStr">
        <is>
          <t>Correctif</t>
        </is>
      </c>
      <c r="I1324" s="7" t="n"/>
      <c r="J1324" s="7" t="inlineStr">
        <is>
          <t>Électrique</t>
        </is>
      </c>
      <c r="K1324" s="7" t="inlineStr">
        <is>
          <t>P4 - Basse</t>
        </is>
      </c>
      <c r="L1324" s="7" t="inlineStr">
        <is>
          <t>Défaut batterie / charge</t>
        </is>
      </c>
      <c r="M1324" s="7" t="inlineStr">
        <is>
          <t>Usure</t>
        </is>
      </c>
      <c r="N1324" s="7" t="inlineStr">
        <is>
          <t>Contrôle chargeur, remplacement batterie</t>
        </is>
      </c>
      <c r="O1324" s="7" t="inlineStr">
        <is>
          <t>Thomas Petit</t>
        </is>
      </c>
      <c r="P1324" s="65" t="n"/>
      <c r="Q1324" s="75" t="n">
        <v>46240.07638888889</v>
      </c>
      <c r="R1324" s="75" t="n">
        <v>46240.25347222222</v>
      </c>
      <c r="S1324" s="76" t="n">
        <v>0</v>
      </c>
      <c r="T1324" s="76" t="n">
        <v>4.25</v>
      </c>
      <c r="U1324" s="70">
        <f>IF($A1324="","",IFERROR(INDEX('Techniciens'!$F$5:$F$44,MATCH(O1324,'Techniciens'!$B$5:$B$44,0)),'Paramètres'!$AA$10))</f>
        <v/>
      </c>
      <c r="V1324" s="70">
        <f>IF($A1324="","",IF(OR(AC1324="Demandé",AC1324="Planifié",AC1324="Annulé"),0,N(T1324)*N(U1324)))</f>
        <v/>
      </c>
      <c r="W1324" s="70">
        <f>IF($A1324="","",SUMIFS('Mouvements stock'!$H$5:$H$3004,'Mouvements stock'!$I$5:$I$3004,$A1324,'Mouvements stock'!$C$5:$C$3004,"Sortie")-SUMIFS('Mouvements stock'!$H$5:$H$3004,'Mouvements stock'!$I$5:$I$3004,$A1324,'Mouvements stock'!$C$5:$C$3004,"Retour"))</f>
        <v/>
      </c>
      <c r="X1324" s="66" t="n">
        <v>0</v>
      </c>
      <c r="Y1324" s="66" t="n">
        <v>410</v>
      </c>
      <c r="Z1324" s="7" t="inlineStr">
        <is>
          <t>Manutention Services 44</t>
        </is>
      </c>
      <c r="AA1324" s="70">
        <f>IF($A1324="","",N(V1324)+N(W1324)+N(X1324)+N(Y1324))</f>
        <v/>
      </c>
      <c r="AB1324" s="70">
        <f>IF($A1324="","",N(S1324)*'Paramètres'!$AA$9*IFERROR(INDEX('Paramètres'!$O$5:$O$7,MATCH(G1324,'Paramètres'!$N$5:$N$7,0)),0))</f>
        <v/>
      </c>
      <c r="AC1324" s="7" t="inlineStr">
        <is>
          <t>Clôturé</t>
        </is>
      </c>
      <c r="AD1324" s="69">
        <f>IF(OR($A1324="",Q1324=""),"",(Q1324-B1324)*24)</f>
        <v/>
      </c>
      <c r="AE1324" s="69">
        <f>IF(OR(Q1324="",R1324=""),"",(R1324-Q1324)*24)</f>
        <v/>
      </c>
      <c r="AF1324" s="77">
        <f>IF(OR($A1324="",B1324=""),"",YEAR(B1324))</f>
        <v/>
      </c>
      <c r="AG1324" s="77">
        <f>IF(OR($A1324="",B1324=""),"",MONTH(B1324))</f>
        <v/>
      </c>
    </row>
    <row r="1325">
      <c r="A1325" s="7" t="inlineStr">
        <is>
          <t>OT-2026-0470</t>
        </is>
      </c>
      <c r="B1325" s="75" t="n">
        <v>46238.78541666667</v>
      </c>
      <c r="C1325" s="7" t="inlineStr">
        <is>
          <t>Sylvie Mathieu (resp. logistique)</t>
        </is>
      </c>
      <c r="D1325" s="7" t="inlineStr">
        <is>
          <t>EQ-LOG-002</t>
        </is>
      </c>
      <c r="E1325" s="9">
        <f>IF(D1325="","",IFERROR(INDEX('Équipements'!$B$5:$B$304,MATCH(D1325,'Équipements'!$A$5:$A$304,0)),"Code inconnu"))</f>
        <v/>
      </c>
      <c r="F1325" s="9">
        <f>IF(D1325="","",IFERROR(INDEX('Équipements'!$D$5:$D$304,MATCH(D1325,'Équipements'!$A$5:$A$304,0)),""))</f>
        <v/>
      </c>
      <c r="G1325" s="9">
        <f>IF(D1325="","",IFERROR(INDEX('Équipements'!$K$5:$K$304,MATCH(D1325,'Équipements'!$A$5:$A$304,0)),""))</f>
        <v/>
      </c>
      <c r="H1325" s="7" t="inlineStr">
        <is>
          <t>Correctif</t>
        </is>
      </c>
      <c r="I1325" s="7" t="n"/>
      <c r="J1325" s="7" t="inlineStr">
        <is>
          <t>Hydraulique</t>
        </is>
      </c>
      <c r="K1325" s="7" t="inlineStr">
        <is>
          <t>P2 - Haute</t>
        </is>
      </c>
      <c r="L1325" s="7" t="inlineStr">
        <is>
          <t>Fuite vérin de levée</t>
        </is>
      </c>
      <c r="M1325" s="7" t="inlineStr">
        <is>
          <t>Fuite</t>
        </is>
      </c>
      <c r="N1325" s="7" t="inlineStr">
        <is>
          <t>Remplacement kit joints</t>
        </is>
      </c>
      <c r="O1325" s="7" t="inlineStr">
        <is>
          <t>Karim Benali</t>
        </is>
      </c>
      <c r="P1325" s="65" t="n"/>
      <c r="Q1325" s="75" t="n">
        <v>46238.92569444444</v>
      </c>
      <c r="R1325" s="75" t="n">
        <v>46239.40486111111</v>
      </c>
      <c r="S1325" s="76" t="n">
        <v>4.5</v>
      </c>
      <c r="T1325" s="76" t="n">
        <v>11.5</v>
      </c>
      <c r="U1325" s="70">
        <f>IF($A1325="","",IFERROR(INDEX('Techniciens'!$F$5:$F$44,MATCH(O1325,'Techniciens'!$B$5:$B$44,0)),'Paramètres'!$AA$10))</f>
        <v/>
      </c>
      <c r="V1325" s="70">
        <f>IF($A1325="","",IF(OR(AC1325="Demandé",AC1325="Planifié",AC1325="Annulé"),0,N(T1325)*N(U1325)))</f>
        <v/>
      </c>
      <c r="W1325" s="70">
        <f>IF($A1325="","",SUMIFS('Mouvements stock'!$H$5:$H$3004,'Mouvements stock'!$I$5:$I$3004,$A1325,'Mouvements stock'!$C$5:$C$3004,"Sortie")-SUMIFS('Mouvements stock'!$H$5:$H$3004,'Mouvements stock'!$I$5:$I$3004,$A1325,'Mouvements stock'!$C$5:$C$3004,"Retour"))</f>
        <v/>
      </c>
      <c r="X1325" s="66" t="n">
        <v>0</v>
      </c>
      <c r="Y1325" s="66" t="n">
        <v>0</v>
      </c>
      <c r="Z1325" s="7" t="n"/>
      <c r="AA1325" s="70">
        <f>IF($A1325="","",N(V1325)+N(W1325)+N(X1325)+N(Y1325))</f>
        <v/>
      </c>
      <c r="AB1325" s="70">
        <f>IF($A1325="","",N(S1325)*'Paramètres'!$AA$9*IFERROR(INDEX('Paramètres'!$O$5:$O$7,MATCH(G1325,'Paramètres'!$N$5:$N$7,0)),0))</f>
        <v/>
      </c>
      <c r="AC1325" s="7" t="inlineStr">
        <is>
          <t>Clôturé</t>
        </is>
      </c>
      <c r="AD1325" s="69">
        <f>IF(OR($A1325="",Q1325=""),"",(Q1325-B1325)*24)</f>
        <v/>
      </c>
      <c r="AE1325" s="69">
        <f>IF(OR(Q1325="",R1325=""),"",(R1325-Q1325)*24)</f>
        <v/>
      </c>
      <c r="AF1325" s="77">
        <f>IF(OR($A1325="",B1325=""),"",YEAR(B1325))</f>
        <v/>
      </c>
      <c r="AG1325" s="77">
        <f>IF(OR($A1325="",B1325=""),"",MONTH(B1325))</f>
        <v/>
      </c>
    </row>
    <row r="1326">
      <c r="A1326" s="7" t="inlineStr">
        <is>
          <t>OT-2026-0471</t>
        </is>
      </c>
      <c r="B1326" s="75" t="n">
        <v>46240.38541666666</v>
      </c>
      <c r="C1326" s="7" t="inlineStr">
        <is>
          <t>Plan préventif</t>
        </is>
      </c>
      <c r="D1326" s="7" t="inlineStr">
        <is>
          <t>EQ-TOL-007</t>
        </is>
      </c>
      <c r="E1326" s="9">
        <f>IF(D1326="","",IFERROR(INDEX('Équipements'!$B$5:$B$304,MATCH(D1326,'Équipements'!$A$5:$A$304,0)),"Code inconnu"))</f>
        <v/>
      </c>
      <c r="F1326" s="9">
        <f>IF(D1326="","",IFERROR(INDEX('Équipements'!$D$5:$D$304,MATCH(D1326,'Équipements'!$A$5:$A$304,0)),""))</f>
        <v/>
      </c>
      <c r="G1326" s="9">
        <f>IF(D1326="","",IFERROR(INDEX('Équipements'!$K$5:$K$304,MATCH(D1326,'Équipements'!$A$5:$A$304,0)),""))</f>
        <v/>
      </c>
      <c r="H1326" s="7" t="inlineStr">
        <is>
          <t>Préventif systématique</t>
        </is>
      </c>
      <c r="I1326" s="7" t="inlineStr">
        <is>
          <t>GP-056</t>
        </is>
      </c>
      <c r="J1326" s="7" t="inlineStr">
        <is>
          <t>Mécanique</t>
        </is>
      </c>
      <c r="K1326" s="7" t="inlineStr">
        <is>
          <t>P3 - Normale</t>
        </is>
      </c>
      <c r="L1326" s="7" t="inlineStr">
        <is>
          <t>Graissage chaîne / galets et contrôle tension</t>
        </is>
      </c>
      <c r="M1326" s="7" t="n"/>
      <c r="N1326" s="7" t="inlineStr">
        <is>
          <t>Gamme réalisée - RAS</t>
        </is>
      </c>
      <c r="O1326" s="7" t="inlineStr">
        <is>
          <t>Antoine Mercier</t>
        </is>
      </c>
      <c r="P1326" s="65" t="n">
        <v>46247.61458333334</v>
      </c>
      <c r="Q1326" s="75" t="n">
        <v>46247.53125</v>
      </c>
      <c r="R1326" s="75" t="n">
        <v>46247.61458333334</v>
      </c>
      <c r="S1326" s="76" t="n">
        <v>0</v>
      </c>
      <c r="T1326" s="76" t="n">
        <v>2</v>
      </c>
      <c r="U1326" s="70">
        <f>IF($A1326="","",IFERROR(INDEX('Techniciens'!$F$5:$F$44,MATCH(O1326,'Techniciens'!$B$5:$B$44,0)),'Paramètres'!$AA$10))</f>
        <v/>
      </c>
      <c r="V1326" s="70">
        <f>IF($A1326="","",IF(OR(AC1326="Demandé",AC1326="Planifié",AC1326="Annulé"),0,N(T1326)*N(U1326)))</f>
        <v/>
      </c>
      <c r="W1326" s="70">
        <f>IF($A1326="","",SUMIFS('Mouvements stock'!$H$5:$H$3004,'Mouvements stock'!$I$5:$I$3004,$A1326,'Mouvements stock'!$C$5:$C$3004,"Sortie")-SUMIFS('Mouvements stock'!$H$5:$H$3004,'Mouvements stock'!$I$5:$I$3004,$A1326,'Mouvements stock'!$C$5:$C$3004,"Retour"))</f>
        <v/>
      </c>
      <c r="X1326" s="66" t="n">
        <v>0</v>
      </c>
      <c r="Y1326" s="66" t="n">
        <v>0</v>
      </c>
      <c r="Z1326" s="7" t="n"/>
      <c r="AA1326" s="70">
        <f>IF($A1326="","",N(V1326)+N(W1326)+N(X1326)+N(Y1326))</f>
        <v/>
      </c>
      <c r="AB1326" s="70">
        <f>IF($A1326="","",N(S1326)*'Paramètres'!$AA$9*IFERROR(INDEX('Paramètres'!$O$5:$O$7,MATCH(G1326,'Paramètres'!$N$5:$N$7,0)),0))</f>
        <v/>
      </c>
      <c r="AC1326" s="7" t="inlineStr">
        <is>
          <t>Clôturé</t>
        </is>
      </c>
      <c r="AD1326" s="69">
        <f>IF(OR($A1326="",Q1326=""),"",(Q1326-B1326)*24)</f>
        <v/>
      </c>
      <c r="AE1326" s="69">
        <f>IF(OR(Q1326="",R1326=""),"",(R1326-Q1326)*24)</f>
        <v/>
      </c>
      <c r="AF1326" s="77">
        <f>IF(OR($A1326="",B1326=""),"",YEAR(B1326))</f>
        <v/>
      </c>
      <c r="AG1326" s="77">
        <f>IF(OR($A1326="",B1326=""),"",MONTH(B1326))</f>
        <v/>
      </c>
    </row>
    <row r="1327">
      <c r="A1327" s="7" t="inlineStr">
        <is>
          <t>OT-2026-0472</t>
        </is>
      </c>
      <c r="B1327" s="75" t="n">
        <v>46240.45833333334</v>
      </c>
      <c r="C1327" s="7" t="inlineStr">
        <is>
          <t>Plan préventif</t>
        </is>
      </c>
      <c r="D1327" s="7" t="inlineStr">
        <is>
          <t>EQ-BAT-006</t>
        </is>
      </c>
      <c r="E1327" s="9">
        <f>IF(D1327="","",IFERROR(INDEX('Équipements'!$B$5:$B$304,MATCH(D1327,'Équipements'!$A$5:$A$304,0)),"Code inconnu"))</f>
        <v/>
      </c>
      <c r="F1327" s="9">
        <f>IF(D1327="","",IFERROR(INDEX('Équipements'!$D$5:$D$304,MATCH(D1327,'Équipements'!$A$5:$A$304,0)),""))</f>
        <v/>
      </c>
      <c r="G1327" s="9">
        <f>IF(D1327="","",IFERROR(INDEX('Équipements'!$K$5:$K$304,MATCH(D1327,'Équipements'!$A$5:$A$304,0)),""))</f>
        <v/>
      </c>
      <c r="H1327" s="7" t="inlineStr">
        <is>
          <t>Préventif systématique</t>
        </is>
      </c>
      <c r="I1327" s="7" t="inlineStr">
        <is>
          <t>GP-127</t>
        </is>
      </c>
      <c r="J1327" s="7" t="inlineStr">
        <is>
          <t>Électrique</t>
        </is>
      </c>
      <c r="K1327" s="7" t="inlineStr">
        <is>
          <t>P3 - Normale</t>
        </is>
      </c>
      <c r="L1327" s="7" t="inlineStr">
        <is>
          <t>Essai de fonctionnement / contrôle visuel</t>
        </is>
      </c>
      <c r="M1327" s="7" t="n"/>
      <c r="N1327" s="7" t="inlineStr">
        <is>
          <t>Gamme réalisée - RAS</t>
        </is>
      </c>
      <c r="O1327" s="7" t="inlineStr">
        <is>
          <t>Julien Moreau</t>
        </is>
      </c>
      <c r="P1327" s="65" t="n">
        <v>46247.33680555555</v>
      </c>
      <c r="Q1327" s="75" t="n">
        <v>46247.41666666666</v>
      </c>
      <c r="R1327" s="75" t="n">
        <v>46247.48958333334</v>
      </c>
      <c r="S1327" s="76" t="n">
        <v>0</v>
      </c>
      <c r="T1327" s="76" t="n">
        <v>1.75</v>
      </c>
      <c r="U1327" s="70">
        <f>IF($A1327="","",IFERROR(INDEX('Techniciens'!$F$5:$F$44,MATCH(O1327,'Techniciens'!$B$5:$B$44,0)),'Paramètres'!$AA$10))</f>
        <v/>
      </c>
      <c r="V1327" s="70">
        <f>IF($A1327="","",IF(OR(AC1327="Demandé",AC1327="Planifié",AC1327="Annulé"),0,N(T1327)*N(U1327)))</f>
        <v/>
      </c>
      <c r="W1327" s="70">
        <f>IF($A1327="","",SUMIFS('Mouvements stock'!$H$5:$H$3004,'Mouvements stock'!$I$5:$I$3004,$A1327,'Mouvements stock'!$C$5:$C$3004,"Sortie")-SUMIFS('Mouvements stock'!$H$5:$H$3004,'Mouvements stock'!$I$5:$I$3004,$A1327,'Mouvements stock'!$C$5:$C$3004,"Retour"))</f>
        <v/>
      </c>
      <c r="X1327" s="66" t="n">
        <v>0</v>
      </c>
      <c r="Y1327" s="66" t="n">
        <v>0</v>
      </c>
      <c r="Z1327" s="7" t="n"/>
      <c r="AA1327" s="70">
        <f>IF($A1327="","",N(V1327)+N(W1327)+N(X1327)+N(Y1327))</f>
        <v/>
      </c>
      <c r="AB1327" s="70">
        <f>IF($A1327="","",N(S1327)*'Paramètres'!$AA$9*IFERROR(INDEX('Paramètres'!$O$5:$O$7,MATCH(G1327,'Paramètres'!$N$5:$N$7,0)),0))</f>
        <v/>
      </c>
      <c r="AC1327" s="7" t="inlineStr">
        <is>
          <t>Clôturé</t>
        </is>
      </c>
      <c r="AD1327" s="69">
        <f>IF(OR($A1327="",Q1327=""),"",(Q1327-B1327)*24)</f>
        <v/>
      </c>
      <c r="AE1327" s="69">
        <f>IF(OR(Q1327="",R1327=""),"",(R1327-Q1327)*24)</f>
        <v/>
      </c>
      <c r="AF1327" s="77">
        <f>IF(OR($A1327="",B1327=""),"",YEAR(B1327))</f>
        <v/>
      </c>
      <c r="AG1327" s="77">
        <f>IF(OR($A1327="",B1327=""),"",MONTH(B1327))</f>
        <v/>
      </c>
    </row>
    <row r="1328">
      <c r="A1328" s="7" t="inlineStr">
        <is>
          <t>OT-2026-0473</t>
        </is>
      </c>
      <c r="B1328" s="75" t="n">
        <v>46241.39236111111</v>
      </c>
      <c r="C1328" s="7" t="inlineStr">
        <is>
          <t>Hugo Blanc (chef d'équipe)</t>
        </is>
      </c>
      <c r="D1328" s="7" t="inlineStr">
        <is>
          <t>EQ-SOU-001</t>
        </is>
      </c>
      <c r="E1328" s="9">
        <f>IF(D1328="","",IFERROR(INDEX('Équipements'!$B$5:$B$304,MATCH(D1328,'Équipements'!$A$5:$A$304,0)),"Code inconnu"))</f>
        <v/>
      </c>
      <c r="F1328" s="9">
        <f>IF(D1328="","",IFERROR(INDEX('Équipements'!$D$5:$D$304,MATCH(D1328,'Équipements'!$A$5:$A$304,0)),""))</f>
        <v/>
      </c>
      <c r="G1328" s="9">
        <f>IF(D1328="","",IFERROR(INDEX('Équipements'!$K$5:$K$304,MATCH(D1328,'Équipements'!$A$5:$A$304,0)),""))</f>
        <v/>
      </c>
      <c r="H1328" s="7" t="inlineStr">
        <is>
          <t>Correctif</t>
        </is>
      </c>
      <c r="I1328" s="7" t="n"/>
      <c r="J1328" s="7" t="inlineStr">
        <is>
          <t>Électrique</t>
        </is>
      </c>
      <c r="K1328" s="7" t="inlineStr">
        <is>
          <t>P1 - Urgent</t>
        </is>
      </c>
      <c r="L1328" s="7" t="inlineStr">
        <is>
          <t>Alarme batterie codeurs</t>
        </is>
      </c>
      <c r="M1328" s="7" t="inlineStr">
        <is>
          <t>Usure</t>
        </is>
      </c>
      <c r="N1328" s="7" t="inlineStr">
        <is>
          <t>Remplacement batteries codeurs, sauvegarde programmes</t>
        </is>
      </c>
      <c r="O1328" s="7" t="inlineStr">
        <is>
          <t>Antoine Mercier</t>
        </is>
      </c>
      <c r="P1328" s="65" t="n"/>
      <c r="Q1328" s="75" t="n">
        <v>46241.41666666666</v>
      </c>
      <c r="R1328" s="75" t="n">
        <v>46242.32291666666</v>
      </c>
      <c r="S1328" s="76" t="n">
        <v>22.3</v>
      </c>
      <c r="T1328" s="76" t="n">
        <v>21.75</v>
      </c>
      <c r="U1328" s="70">
        <f>IF($A1328="","",IFERROR(INDEX('Techniciens'!$F$5:$F$44,MATCH(O1328,'Techniciens'!$B$5:$B$44,0)),'Paramètres'!$AA$10))</f>
        <v/>
      </c>
      <c r="V1328" s="70">
        <f>IF($A1328="","",IF(OR(AC1328="Demandé",AC1328="Planifié",AC1328="Annulé"),0,N(T1328)*N(U1328)))</f>
        <v/>
      </c>
      <c r="W1328" s="70">
        <f>IF($A1328="","",SUMIFS('Mouvements stock'!$H$5:$H$3004,'Mouvements stock'!$I$5:$I$3004,$A1328,'Mouvements stock'!$C$5:$C$3004,"Sortie")-SUMIFS('Mouvements stock'!$H$5:$H$3004,'Mouvements stock'!$I$5:$I$3004,$A1328,'Mouvements stock'!$C$5:$C$3004,"Retour"))</f>
        <v/>
      </c>
      <c r="X1328" s="66" t="n">
        <v>0</v>
      </c>
      <c r="Y1328" s="66" t="n">
        <v>0</v>
      </c>
      <c r="Z1328" s="7" t="n"/>
      <c r="AA1328" s="70">
        <f>IF($A1328="","",N(V1328)+N(W1328)+N(X1328)+N(Y1328))</f>
        <v/>
      </c>
      <c r="AB1328" s="70">
        <f>IF($A1328="","",N(S1328)*'Paramètres'!$AA$9*IFERROR(INDEX('Paramètres'!$O$5:$O$7,MATCH(G1328,'Paramètres'!$N$5:$N$7,0)),0))</f>
        <v/>
      </c>
      <c r="AC1328" s="7" t="inlineStr">
        <is>
          <t>Clôturé</t>
        </is>
      </c>
      <c r="AD1328" s="69">
        <f>IF(OR($A1328="",Q1328=""),"",(Q1328-B1328)*24)</f>
        <v/>
      </c>
      <c r="AE1328" s="69">
        <f>IF(OR(Q1328="",R1328=""),"",(R1328-Q1328)*24)</f>
        <v/>
      </c>
      <c r="AF1328" s="77">
        <f>IF(OR($A1328="",B1328=""),"",YEAR(B1328))</f>
        <v/>
      </c>
      <c r="AG1328" s="77">
        <f>IF(OR($A1328="",B1328=""),"",MONTH(B1328))</f>
        <v/>
      </c>
    </row>
    <row r="1329">
      <c r="A1329" s="7" t="inlineStr">
        <is>
          <t>OT-2026-0474</t>
        </is>
      </c>
      <c r="B1329" s="75" t="n">
        <v>46242.24930555555</v>
      </c>
      <c r="C1329" s="7" t="inlineStr">
        <is>
          <t>Opérateur peinture</t>
        </is>
      </c>
      <c r="D1329" s="7" t="inlineStr">
        <is>
          <t>EQ-PEI-004</t>
        </is>
      </c>
      <c r="E1329" s="9">
        <f>IF(D1329="","",IFERROR(INDEX('Équipements'!$B$5:$B$304,MATCH(D1329,'Équipements'!$A$5:$A$304,0)),"Code inconnu"))</f>
        <v/>
      </c>
      <c r="F1329" s="9">
        <f>IF(D1329="","",IFERROR(INDEX('Équipements'!$D$5:$D$304,MATCH(D1329,'Équipements'!$A$5:$A$304,0)),""))</f>
        <v/>
      </c>
      <c r="G1329" s="9">
        <f>IF(D1329="","",IFERROR(INDEX('Équipements'!$K$5:$K$304,MATCH(D1329,'Équipements'!$A$5:$A$304,0)),""))</f>
        <v/>
      </c>
      <c r="H1329" s="7" t="inlineStr">
        <is>
          <t>Correctif</t>
        </is>
      </c>
      <c r="I1329" s="7" t="n"/>
      <c r="J1329" s="7" t="inlineStr">
        <is>
          <t>Mécanique</t>
        </is>
      </c>
      <c r="K1329" s="7" t="inlineStr">
        <is>
          <t>P1 - Urgent</t>
        </is>
      </c>
      <c r="L1329" s="7" t="inlineStr">
        <is>
          <t>Galets bloqués / bruit anormal</t>
        </is>
      </c>
      <c r="M1329" s="7" t="inlineStr">
        <is>
          <t>Défaut lubrification</t>
        </is>
      </c>
      <c r="N1329" s="7" t="inlineStr">
        <is>
          <t>Graissage et remplacement galets</t>
        </is>
      </c>
      <c r="O1329" s="7" t="inlineStr">
        <is>
          <t>Lucas Fontaine</t>
        </is>
      </c>
      <c r="P1329" s="65" t="n"/>
      <c r="Q1329" s="75" t="n">
        <v>46242.26944444444</v>
      </c>
      <c r="R1329" s="75" t="n">
        <v>46242.45694444444</v>
      </c>
      <c r="S1329" s="76" t="n">
        <v>5</v>
      </c>
      <c r="T1329" s="76" t="n">
        <v>4.5</v>
      </c>
      <c r="U1329" s="70">
        <f>IF($A1329="","",IFERROR(INDEX('Techniciens'!$F$5:$F$44,MATCH(O1329,'Techniciens'!$B$5:$B$44,0)),'Paramètres'!$AA$10))</f>
        <v/>
      </c>
      <c r="V1329" s="70">
        <f>IF($A1329="","",IF(OR(AC1329="Demandé",AC1329="Planifié",AC1329="Annulé"),0,N(T1329)*N(U1329)))</f>
        <v/>
      </c>
      <c r="W1329" s="70">
        <f>IF($A1329="","",SUMIFS('Mouvements stock'!$H$5:$H$3004,'Mouvements stock'!$I$5:$I$3004,$A1329,'Mouvements stock'!$C$5:$C$3004,"Sortie")-SUMIFS('Mouvements stock'!$H$5:$H$3004,'Mouvements stock'!$I$5:$I$3004,$A1329,'Mouvements stock'!$C$5:$C$3004,"Retour"))</f>
        <v/>
      </c>
      <c r="X1329" s="66" t="n">
        <v>0</v>
      </c>
      <c r="Y1329" s="66" t="n">
        <v>0</v>
      </c>
      <c r="Z1329" s="7" t="n"/>
      <c r="AA1329" s="70">
        <f>IF($A1329="","",N(V1329)+N(W1329)+N(X1329)+N(Y1329))</f>
        <v/>
      </c>
      <c r="AB1329" s="70">
        <f>IF($A1329="","",N(S1329)*'Paramètres'!$AA$9*IFERROR(INDEX('Paramètres'!$O$5:$O$7,MATCH(G1329,'Paramètres'!$N$5:$N$7,0)),0))</f>
        <v/>
      </c>
      <c r="AC1329" s="7" t="inlineStr">
        <is>
          <t>Clôturé</t>
        </is>
      </c>
      <c r="AD1329" s="69">
        <f>IF(OR($A1329="",Q1329=""),"",(Q1329-B1329)*24)</f>
        <v/>
      </c>
      <c r="AE1329" s="69">
        <f>IF(OR(Q1329="",R1329=""),"",(R1329-Q1329)*24)</f>
        <v/>
      </c>
      <c r="AF1329" s="77">
        <f>IF(OR($A1329="",B1329=""),"",YEAR(B1329))</f>
        <v/>
      </c>
      <c r="AG1329" s="77">
        <f>IF(OR($A1329="",B1329=""),"",MONTH(B1329))</f>
        <v/>
      </c>
    </row>
    <row r="1330">
      <c r="A1330" s="7" t="inlineStr">
        <is>
          <t>OT-2026-0475</t>
        </is>
      </c>
      <c r="B1330" s="75" t="n">
        <v>46242.84027777778</v>
      </c>
      <c r="C1330" s="7" t="inlineStr">
        <is>
          <t>Éric Laurent (chef d'atelier)</t>
        </is>
      </c>
      <c r="D1330" s="7" t="inlineStr">
        <is>
          <t>EQ-USI-005</t>
        </is>
      </c>
      <c r="E1330" s="9">
        <f>IF(D1330="","",IFERROR(INDEX('Équipements'!$B$5:$B$304,MATCH(D1330,'Équipements'!$A$5:$A$304,0)),"Code inconnu"))</f>
        <v/>
      </c>
      <c r="F1330" s="9">
        <f>IF(D1330="","",IFERROR(INDEX('Équipements'!$D$5:$D$304,MATCH(D1330,'Équipements'!$A$5:$A$304,0)),""))</f>
        <v/>
      </c>
      <c r="G1330" s="9">
        <f>IF(D1330="","",IFERROR(INDEX('Équipements'!$K$5:$K$304,MATCH(D1330,'Équipements'!$A$5:$A$304,0)),""))</f>
        <v/>
      </c>
      <c r="H1330" s="7" t="inlineStr">
        <is>
          <t>Correctif</t>
        </is>
      </c>
      <c r="I1330" s="7" t="n"/>
      <c r="J1330" s="7" t="inlineStr">
        <is>
          <t>Automatisme</t>
        </is>
      </c>
      <c r="K1330" s="7" t="inlineStr">
        <is>
          <t>P1 - Urgent</t>
        </is>
      </c>
      <c r="L1330" s="7" t="inlineStr">
        <is>
          <t>Perte des origines machine après coupure</t>
        </is>
      </c>
      <c r="M1330" s="7" t="inlineStr">
        <is>
          <t>Défaut logiciel/automate</t>
        </is>
      </c>
      <c r="N1330" s="7" t="inlineStr">
        <is>
          <t>Reprise des origines, remplacement pile de sauvegarde CN</t>
        </is>
      </c>
      <c r="O1330" s="7" t="inlineStr">
        <is>
          <t>Julien Moreau</t>
        </is>
      </c>
      <c r="P1330" s="65" t="n"/>
      <c r="Q1330" s="75" t="n">
        <v>46242.86111111111</v>
      </c>
      <c r="R1330" s="75" t="n">
        <v>46243.06944444445</v>
      </c>
      <c r="S1330" s="76" t="n">
        <v>5.5</v>
      </c>
      <c r="T1330" s="76" t="n">
        <v>5</v>
      </c>
      <c r="U1330" s="70">
        <f>IF($A1330="","",IFERROR(INDEX('Techniciens'!$F$5:$F$44,MATCH(O1330,'Techniciens'!$B$5:$B$44,0)),'Paramètres'!$AA$10))</f>
        <v/>
      </c>
      <c r="V1330" s="70">
        <f>IF($A1330="","",IF(OR(AC1330="Demandé",AC1330="Planifié",AC1330="Annulé"),0,N(T1330)*N(U1330)))</f>
        <v/>
      </c>
      <c r="W1330" s="70">
        <f>IF($A1330="","",SUMIFS('Mouvements stock'!$H$5:$H$3004,'Mouvements stock'!$I$5:$I$3004,$A1330,'Mouvements stock'!$C$5:$C$3004,"Sortie")-SUMIFS('Mouvements stock'!$H$5:$H$3004,'Mouvements stock'!$I$5:$I$3004,$A1330,'Mouvements stock'!$C$5:$C$3004,"Retour"))</f>
        <v/>
      </c>
      <c r="X1330" s="66" t="n">
        <v>0</v>
      </c>
      <c r="Y1330" s="66" t="n">
        <v>0</v>
      </c>
      <c r="Z1330" s="7" t="n"/>
      <c r="AA1330" s="70">
        <f>IF($A1330="","",N(V1330)+N(W1330)+N(X1330)+N(Y1330))</f>
        <v/>
      </c>
      <c r="AB1330" s="70">
        <f>IF($A1330="","",N(S1330)*'Paramètres'!$AA$9*IFERROR(INDEX('Paramètres'!$O$5:$O$7,MATCH(G1330,'Paramètres'!$N$5:$N$7,0)),0))</f>
        <v/>
      </c>
      <c r="AC1330" s="7" t="inlineStr">
        <is>
          <t>Clôturé</t>
        </is>
      </c>
      <c r="AD1330" s="69">
        <f>IF(OR($A1330="",Q1330=""),"",(Q1330-B1330)*24)</f>
        <v/>
      </c>
      <c r="AE1330" s="69">
        <f>IF(OR(Q1330="",R1330=""),"",(R1330-Q1330)*24)</f>
        <v/>
      </c>
      <c r="AF1330" s="77">
        <f>IF(OR($A1330="",B1330=""),"",YEAR(B1330))</f>
        <v/>
      </c>
      <c r="AG1330" s="77">
        <f>IF(OR($A1330="",B1330=""),"",MONTH(B1330))</f>
        <v/>
      </c>
    </row>
    <row r="1331">
      <c r="A1331" s="7" t="inlineStr">
        <is>
          <t>OT-2026-0476</t>
        </is>
      </c>
      <c r="B1331" s="75" t="n">
        <v>46244.37083333333</v>
      </c>
      <c r="C1331" s="7" t="inlineStr">
        <is>
          <t>Opérateur tôlerie</t>
        </is>
      </c>
      <c r="D1331" s="7" t="inlineStr">
        <is>
          <t>EQ-TOL-002</t>
        </is>
      </c>
      <c r="E1331" s="9">
        <f>IF(D1331="","",IFERROR(INDEX('Équipements'!$B$5:$B$304,MATCH(D1331,'Équipements'!$A$5:$A$304,0)),"Code inconnu"))</f>
        <v/>
      </c>
      <c r="F1331" s="9">
        <f>IF(D1331="","",IFERROR(INDEX('Équipements'!$D$5:$D$304,MATCH(D1331,'Équipements'!$A$5:$A$304,0)),""))</f>
        <v/>
      </c>
      <c r="G1331" s="9">
        <f>IF(D1331="","",IFERROR(INDEX('Équipements'!$K$5:$K$304,MATCH(D1331,'Équipements'!$A$5:$A$304,0)),""))</f>
        <v/>
      </c>
      <c r="H1331" s="7" t="inlineStr">
        <is>
          <t>Correctif</t>
        </is>
      </c>
      <c r="I1331" s="7" t="n"/>
      <c r="J1331" s="7" t="inlineStr">
        <is>
          <t>Mécanique</t>
        </is>
      </c>
      <c r="K1331" s="7" t="inlineStr">
        <is>
          <t>P2 - Haute</t>
        </is>
      </c>
      <c r="L1331" s="7" t="inlineStr">
        <is>
          <t>Butée arrière bloquée</t>
        </is>
      </c>
      <c r="M1331" s="7" t="inlineStr">
        <is>
          <t>Casse mécanique</t>
        </is>
      </c>
      <c r="N1331" s="7" t="inlineStr">
        <is>
          <t>Remplacement courroie et réglage butée</t>
        </is>
      </c>
      <c r="O1331" s="7" t="inlineStr">
        <is>
          <t>Lucas Fontaine</t>
        </is>
      </c>
      <c r="P1331" s="65" t="n"/>
      <c r="Q1331" s="75" t="n">
        <v>46244.57152777778</v>
      </c>
      <c r="R1331" s="75" t="n">
        <v>46245.90486111111</v>
      </c>
      <c r="S1331" s="76" t="n">
        <v>36.8</v>
      </c>
      <c r="T1331" s="76" t="n">
        <v>32</v>
      </c>
      <c r="U1331" s="70">
        <f>IF($A1331="","",IFERROR(INDEX('Techniciens'!$F$5:$F$44,MATCH(O1331,'Techniciens'!$B$5:$B$44,0)),'Paramètres'!$AA$10))</f>
        <v/>
      </c>
      <c r="V1331" s="70">
        <f>IF($A1331="","",IF(OR(AC1331="Demandé",AC1331="Planifié",AC1331="Annulé"),0,N(T1331)*N(U1331)))</f>
        <v/>
      </c>
      <c r="W1331" s="70">
        <f>IF($A1331="","",SUMIFS('Mouvements stock'!$H$5:$H$3004,'Mouvements stock'!$I$5:$I$3004,$A1331,'Mouvements stock'!$C$5:$C$3004,"Sortie")-SUMIFS('Mouvements stock'!$H$5:$H$3004,'Mouvements stock'!$I$5:$I$3004,$A1331,'Mouvements stock'!$C$5:$C$3004,"Retour"))</f>
        <v/>
      </c>
      <c r="X1331" s="66" t="n">
        <v>0</v>
      </c>
      <c r="Y1331" s="66" t="n">
        <v>0</v>
      </c>
      <c r="Z1331" s="7" t="n"/>
      <c r="AA1331" s="70">
        <f>IF($A1331="","",N(V1331)+N(W1331)+N(X1331)+N(Y1331))</f>
        <v/>
      </c>
      <c r="AB1331" s="70">
        <f>IF($A1331="","",N(S1331)*'Paramètres'!$AA$9*IFERROR(INDEX('Paramètres'!$O$5:$O$7,MATCH(G1331,'Paramètres'!$N$5:$N$7,0)),0))</f>
        <v/>
      </c>
      <c r="AC1331" s="7" t="inlineStr">
        <is>
          <t>Clôturé</t>
        </is>
      </c>
      <c r="AD1331" s="69">
        <f>IF(OR($A1331="",Q1331=""),"",(Q1331-B1331)*24)</f>
        <v/>
      </c>
      <c r="AE1331" s="69">
        <f>IF(OR(Q1331="",R1331=""),"",(R1331-Q1331)*24)</f>
        <v/>
      </c>
      <c r="AF1331" s="77">
        <f>IF(OR($A1331="",B1331=""),"",YEAR(B1331))</f>
        <v/>
      </c>
      <c r="AG1331" s="77">
        <f>IF(OR($A1331="",B1331=""),"",MONTH(B1331))</f>
        <v/>
      </c>
    </row>
    <row r="1332">
      <c r="A1332" s="7" t="inlineStr">
        <is>
          <t>OT-2026-0477</t>
        </is>
      </c>
      <c r="B1332" s="75" t="n">
        <v>46244.42708333334</v>
      </c>
      <c r="C1332" s="7" t="inlineStr">
        <is>
          <t>Plan préventif</t>
        </is>
      </c>
      <c r="D1332" s="7" t="inlineStr">
        <is>
          <t>EQ-USI-004</t>
        </is>
      </c>
      <c r="E1332" s="9">
        <f>IF(D1332="","",IFERROR(INDEX('Équipements'!$B$5:$B$304,MATCH(D1332,'Équipements'!$A$5:$A$304,0)),"Code inconnu"))</f>
        <v/>
      </c>
      <c r="F1332" s="9">
        <f>IF(D1332="","",IFERROR(INDEX('Équipements'!$D$5:$D$304,MATCH(D1332,'Équipements'!$A$5:$A$304,0)),""))</f>
        <v/>
      </c>
      <c r="G1332" s="9">
        <f>IF(D1332="","",IFERROR(INDEX('Équipements'!$K$5:$K$304,MATCH(D1332,'Équipements'!$A$5:$A$304,0)),""))</f>
        <v/>
      </c>
      <c r="H1332" s="7" t="inlineStr">
        <is>
          <t>Préventif systématique</t>
        </is>
      </c>
      <c r="I1332" s="7" t="inlineStr">
        <is>
          <t>GP-013</t>
        </is>
      </c>
      <c r="J1332" s="7" t="inlineStr">
        <is>
          <t>Mécanique</t>
        </is>
      </c>
      <c r="K1332" s="7" t="inlineStr">
        <is>
          <t>P3 - Normale</t>
        </is>
      </c>
      <c r="L1332" s="7" t="inlineStr">
        <is>
          <t>Contrôle niveaux, nettoyage filtres et bac à copeaux</t>
        </is>
      </c>
      <c r="M1332" s="7" t="n"/>
      <c r="N1332" s="7" t="inlineStr">
        <is>
          <t>Gamme réalisée - RAS</t>
        </is>
      </c>
      <c r="O1332" s="7" t="inlineStr">
        <is>
          <t>Lucas Fontaine</t>
        </is>
      </c>
      <c r="P1332" s="65" t="n">
        <v>46251.48958333334</v>
      </c>
      <c r="Q1332" s="75" t="n">
        <v>46251.31944444445</v>
      </c>
      <c r="R1332" s="75" t="n">
        <v>46251.38194444445</v>
      </c>
      <c r="S1332" s="76" t="n">
        <v>1.5</v>
      </c>
      <c r="T1332" s="76" t="n">
        <v>1.5</v>
      </c>
      <c r="U1332" s="70">
        <f>IF($A1332="","",IFERROR(INDEX('Techniciens'!$F$5:$F$44,MATCH(O1332,'Techniciens'!$B$5:$B$44,0)),'Paramètres'!$AA$10))</f>
        <v/>
      </c>
      <c r="V1332" s="70">
        <f>IF($A1332="","",IF(OR(AC1332="Demandé",AC1332="Planifié",AC1332="Annulé"),0,N(T1332)*N(U1332)))</f>
        <v/>
      </c>
      <c r="W1332" s="70">
        <f>IF($A1332="","",SUMIFS('Mouvements stock'!$H$5:$H$3004,'Mouvements stock'!$I$5:$I$3004,$A1332,'Mouvements stock'!$C$5:$C$3004,"Sortie")-SUMIFS('Mouvements stock'!$H$5:$H$3004,'Mouvements stock'!$I$5:$I$3004,$A1332,'Mouvements stock'!$C$5:$C$3004,"Retour"))</f>
        <v/>
      </c>
      <c r="X1332" s="66" t="n">
        <v>0</v>
      </c>
      <c r="Y1332" s="66" t="n">
        <v>0</v>
      </c>
      <c r="Z1332" s="7" t="n"/>
      <c r="AA1332" s="70">
        <f>IF($A1332="","",N(V1332)+N(W1332)+N(X1332)+N(Y1332))</f>
        <v/>
      </c>
      <c r="AB1332" s="70">
        <f>IF($A1332="","",N(S1332)*'Paramètres'!$AA$9*IFERROR(INDEX('Paramètres'!$O$5:$O$7,MATCH(G1332,'Paramètres'!$N$5:$N$7,0)),0))</f>
        <v/>
      </c>
      <c r="AC1332" s="7" t="inlineStr">
        <is>
          <t>Clôturé</t>
        </is>
      </c>
      <c r="AD1332" s="69">
        <f>IF(OR($A1332="",Q1332=""),"",(Q1332-B1332)*24)</f>
        <v/>
      </c>
      <c r="AE1332" s="69">
        <f>IF(OR(Q1332="",R1332=""),"",(R1332-Q1332)*24)</f>
        <v/>
      </c>
      <c r="AF1332" s="77">
        <f>IF(OR($A1332="",B1332=""),"",YEAR(B1332))</f>
        <v/>
      </c>
      <c r="AG1332" s="77">
        <f>IF(OR($A1332="",B1332=""),"",MONTH(B1332))</f>
        <v/>
      </c>
    </row>
    <row r="1333">
      <c r="A1333" s="7" t="inlineStr">
        <is>
          <t>OT-2026-0478</t>
        </is>
      </c>
      <c r="B1333" s="75" t="n">
        <v>46244.44444444445</v>
      </c>
      <c r="C1333" s="7" t="inlineStr">
        <is>
          <t>Marc Lefèvre</t>
        </is>
      </c>
      <c r="D1333" s="7" t="inlineStr">
        <is>
          <t>EQ-LOG-006</t>
        </is>
      </c>
      <c r="E1333" s="9">
        <f>IF(D1333="","",IFERROR(INDEX('Équipements'!$B$5:$B$304,MATCH(D1333,'Équipements'!$A$5:$A$304,0)),"Code inconnu"))</f>
        <v/>
      </c>
      <c r="F1333" s="9">
        <f>IF(D1333="","",IFERROR(INDEX('Équipements'!$D$5:$D$304,MATCH(D1333,'Équipements'!$A$5:$A$304,0)),""))</f>
        <v/>
      </c>
      <c r="G1333" s="9">
        <f>IF(D1333="","",IFERROR(INDEX('Équipements'!$K$5:$K$304,MATCH(D1333,'Équipements'!$A$5:$A$304,0)),""))</f>
        <v/>
      </c>
      <c r="H1333" s="7" t="inlineStr">
        <is>
          <t>Amélioratif</t>
        </is>
      </c>
      <c r="I1333" s="7" t="n"/>
      <c r="J1333" s="7" t="inlineStr">
        <is>
          <t>Électrique</t>
        </is>
      </c>
      <c r="K1333" s="7" t="inlineStr">
        <is>
          <t>P4 - Basse</t>
        </is>
      </c>
      <c r="L1333" s="7" t="inlineStr">
        <is>
          <t>Installation variateur de translation (démarrage progressif)</t>
        </is>
      </c>
      <c r="M1333" s="7" t="n"/>
      <c r="N1333" s="7" t="inlineStr">
        <is>
          <t>Réalisé conformément au devis / dossier technique</t>
        </is>
      </c>
      <c r="O1333" s="7" t="inlineStr">
        <is>
          <t>Julien Moreau</t>
        </is>
      </c>
      <c r="P1333" s="65" t="n">
        <v>46266</v>
      </c>
      <c r="Q1333" s="75" t="n">
        <v>46266.39583333334</v>
      </c>
      <c r="R1333" s="75" t="n">
        <v>46267.09583333333</v>
      </c>
      <c r="S1333" s="76" t="n">
        <v>6</v>
      </c>
      <c r="T1333" s="76" t="n">
        <v>12</v>
      </c>
      <c r="U1333" s="70">
        <f>IF($A1333="","",IFERROR(INDEX('Techniciens'!$F$5:$F$44,MATCH(O1333,'Techniciens'!$B$5:$B$44,0)),'Paramètres'!$AA$10))</f>
        <v/>
      </c>
      <c r="V1333" s="70">
        <f>IF($A1333="","",IF(OR(AC1333="Demandé",AC1333="Planifié",AC1333="Annulé"),0,N(T1333)*N(U1333)))</f>
        <v/>
      </c>
      <c r="W1333" s="70">
        <f>IF($A1333="","",SUMIFS('Mouvements stock'!$H$5:$H$3004,'Mouvements stock'!$I$5:$I$3004,$A1333,'Mouvements stock'!$C$5:$C$3004,"Sortie")-SUMIFS('Mouvements stock'!$H$5:$H$3004,'Mouvements stock'!$I$5:$I$3004,$A1333,'Mouvements stock'!$C$5:$C$3004,"Retour"))</f>
        <v/>
      </c>
      <c r="X1333" s="66" t="n">
        <v>1700</v>
      </c>
      <c r="Y1333" s="66" t="n">
        <v>800</v>
      </c>
      <c r="Z1333" s="7" t="inlineStr">
        <is>
          <t>Levage Expertise Ouest</t>
        </is>
      </c>
      <c r="AA1333" s="70">
        <f>IF($A1333="","",N(V1333)+N(W1333)+N(X1333)+N(Y1333))</f>
        <v/>
      </c>
      <c r="AB1333" s="70">
        <f>IF($A1333="","",N(S1333)*'Paramètres'!$AA$9*IFERROR(INDEX('Paramètres'!$O$5:$O$7,MATCH(G1333,'Paramètres'!$N$5:$N$7,0)),0))</f>
        <v/>
      </c>
      <c r="AC1333" s="7" t="inlineStr">
        <is>
          <t>Clôturé</t>
        </is>
      </c>
      <c r="AD1333" s="69">
        <f>IF(OR($A1333="",Q1333=""),"",(Q1333-B1333)*24)</f>
        <v/>
      </c>
      <c r="AE1333" s="69">
        <f>IF(OR(Q1333="",R1333=""),"",(R1333-Q1333)*24)</f>
        <v/>
      </c>
      <c r="AF1333" s="77">
        <f>IF(OR($A1333="",B1333=""),"",YEAR(B1333))</f>
        <v/>
      </c>
      <c r="AG1333" s="77">
        <f>IF(OR($A1333="",B1333=""),"",MONTH(B1333))</f>
        <v/>
      </c>
    </row>
    <row r="1334">
      <c r="A1334" s="7" t="inlineStr">
        <is>
          <t>OT-2026-0479</t>
        </is>
      </c>
      <c r="B1334" s="75" t="n">
        <v>46244.47222222222</v>
      </c>
      <c r="C1334" s="7" t="inlineStr">
        <is>
          <t>Plan préventif</t>
        </is>
      </c>
      <c r="D1334" s="7" t="inlineStr">
        <is>
          <t>EQ-USI-004</t>
        </is>
      </c>
      <c r="E1334" s="9">
        <f>IF(D1334="","",IFERROR(INDEX('Équipements'!$B$5:$B$304,MATCH(D1334,'Équipements'!$A$5:$A$304,0)),"Code inconnu"))</f>
        <v/>
      </c>
      <c r="F1334" s="9">
        <f>IF(D1334="","",IFERROR(INDEX('Équipements'!$D$5:$D$304,MATCH(D1334,'Équipements'!$A$5:$A$304,0)),""))</f>
        <v/>
      </c>
      <c r="G1334" s="9">
        <f>IF(D1334="","",IFERROR(INDEX('Équipements'!$K$5:$K$304,MATCH(D1334,'Équipements'!$A$5:$A$304,0)),""))</f>
        <v/>
      </c>
      <c r="H1334" s="7" t="inlineStr">
        <is>
          <t>Préventif systématique</t>
        </is>
      </c>
      <c r="I1334" s="7" t="inlineStr">
        <is>
          <t>GP-014</t>
        </is>
      </c>
      <c r="J1334" s="7" t="inlineStr">
        <is>
          <t>Mécanique</t>
        </is>
      </c>
      <c r="K1334" s="7" t="inlineStr">
        <is>
          <t>P3 - Normale</t>
        </is>
      </c>
      <c r="L1334" s="7" t="inlineStr">
        <is>
          <t>Contrôle géométrie, jeux et graissage des axes</t>
        </is>
      </c>
      <c r="M1334" s="7" t="n"/>
      <c r="N1334" s="7" t="inlineStr">
        <is>
          <t>Gamme réalisée - RAS</t>
        </is>
      </c>
      <c r="O1334" s="7" t="inlineStr">
        <is>
          <t>Karim Benali</t>
        </is>
      </c>
      <c r="P1334" s="65" t="n">
        <v>46251.55902777778</v>
      </c>
      <c r="Q1334" s="75" t="n">
        <v>46251.33333333334</v>
      </c>
      <c r="R1334" s="75" t="n">
        <v>46251.625</v>
      </c>
      <c r="S1334" s="76" t="n">
        <v>7</v>
      </c>
      <c r="T1334" s="76" t="n">
        <v>7</v>
      </c>
      <c r="U1334" s="70">
        <f>IF($A1334="","",IFERROR(INDEX('Techniciens'!$F$5:$F$44,MATCH(O1334,'Techniciens'!$B$5:$B$44,0)),'Paramètres'!$AA$10))</f>
        <v/>
      </c>
      <c r="V1334" s="70">
        <f>IF($A1334="","",IF(OR(AC1334="Demandé",AC1334="Planifié",AC1334="Annulé"),0,N(T1334)*N(U1334)))</f>
        <v/>
      </c>
      <c r="W1334" s="70">
        <f>IF($A1334="","",SUMIFS('Mouvements stock'!$H$5:$H$3004,'Mouvements stock'!$I$5:$I$3004,$A1334,'Mouvements stock'!$C$5:$C$3004,"Sortie")-SUMIFS('Mouvements stock'!$H$5:$H$3004,'Mouvements stock'!$I$5:$I$3004,$A1334,'Mouvements stock'!$C$5:$C$3004,"Retour"))</f>
        <v/>
      </c>
      <c r="X1334" s="66" t="n">
        <v>0</v>
      </c>
      <c r="Y1334" s="66" t="n">
        <v>0</v>
      </c>
      <c r="Z1334" s="7" t="n"/>
      <c r="AA1334" s="70">
        <f>IF($A1334="","",N(V1334)+N(W1334)+N(X1334)+N(Y1334))</f>
        <v/>
      </c>
      <c r="AB1334" s="70">
        <f>IF($A1334="","",N(S1334)*'Paramètres'!$AA$9*IFERROR(INDEX('Paramètres'!$O$5:$O$7,MATCH(G1334,'Paramètres'!$N$5:$N$7,0)),0))</f>
        <v/>
      </c>
      <c r="AC1334" s="7" t="inlineStr">
        <is>
          <t>Clôturé</t>
        </is>
      </c>
      <c r="AD1334" s="69">
        <f>IF(OR($A1334="",Q1334=""),"",(Q1334-B1334)*24)</f>
        <v/>
      </c>
      <c r="AE1334" s="69">
        <f>IF(OR(Q1334="",R1334=""),"",(R1334-Q1334)*24)</f>
        <v/>
      </c>
      <c r="AF1334" s="77">
        <f>IF(OR($A1334="",B1334=""),"",YEAR(B1334))</f>
        <v/>
      </c>
      <c r="AG1334" s="77">
        <f>IF(OR($A1334="",B1334=""),"",MONTH(B1334))</f>
        <v/>
      </c>
    </row>
    <row r="1335">
      <c r="A1335" s="7" t="inlineStr">
        <is>
          <t>OT-2026-0480</t>
        </is>
      </c>
      <c r="B1335" s="75" t="n">
        <v>46244.48611111111</v>
      </c>
      <c r="C1335" s="7" t="inlineStr">
        <is>
          <t>Plan préventif</t>
        </is>
      </c>
      <c r="D1335" s="7" t="inlineStr">
        <is>
          <t>EQ-TOL-005</t>
        </is>
      </c>
      <c r="E1335" s="9">
        <f>IF(D1335="","",IFERROR(INDEX('Équipements'!$B$5:$B$304,MATCH(D1335,'Équipements'!$A$5:$A$304,0)),"Code inconnu"))</f>
        <v/>
      </c>
      <c r="F1335" s="9">
        <f>IF(D1335="","",IFERROR(INDEX('Équipements'!$D$5:$D$304,MATCH(D1335,'Équipements'!$A$5:$A$304,0)),""))</f>
        <v/>
      </c>
      <c r="G1335" s="9">
        <f>IF(D1335="","",IFERROR(INDEX('Équipements'!$K$5:$K$304,MATCH(D1335,'Équipements'!$A$5:$A$304,0)),""))</f>
        <v/>
      </c>
      <c r="H1335" s="7" t="inlineStr">
        <is>
          <t>Préventif systématique</t>
        </is>
      </c>
      <c r="I1335" s="7" t="inlineStr">
        <is>
          <t>GP-050</t>
        </is>
      </c>
      <c r="J1335" s="7" t="inlineStr">
        <is>
          <t>Hydraulique</t>
        </is>
      </c>
      <c r="K1335" s="7" t="inlineStr">
        <is>
          <t>P3 - Normale</t>
        </is>
      </c>
      <c r="L1335" s="7" t="inlineStr">
        <is>
          <t>Contrôle hydraulique : fuites, niveaux, pressions</t>
        </is>
      </c>
      <c r="M1335" s="7" t="n"/>
      <c r="N1335" s="7" t="inlineStr">
        <is>
          <t>Gamme réalisée - RAS</t>
        </is>
      </c>
      <c r="O1335" s="7" t="inlineStr">
        <is>
          <t>Antoine Mercier</t>
        </is>
      </c>
      <c r="P1335" s="65" t="n">
        <v>46251.61458333334</v>
      </c>
      <c r="Q1335" s="75" t="n">
        <v>46251.34375</v>
      </c>
      <c r="R1335" s="75" t="n">
        <v>46251.45833333334</v>
      </c>
      <c r="S1335" s="76" t="n">
        <v>1.4</v>
      </c>
      <c r="T1335" s="76" t="n">
        <v>2.75</v>
      </c>
      <c r="U1335" s="70">
        <f>IF($A1335="","",IFERROR(INDEX('Techniciens'!$F$5:$F$44,MATCH(O1335,'Techniciens'!$B$5:$B$44,0)),'Paramètres'!$AA$10))</f>
        <v/>
      </c>
      <c r="V1335" s="70">
        <f>IF($A1335="","",IF(OR(AC1335="Demandé",AC1335="Planifié",AC1335="Annulé"),0,N(T1335)*N(U1335)))</f>
        <v/>
      </c>
      <c r="W1335" s="70">
        <f>IF($A1335="","",SUMIFS('Mouvements stock'!$H$5:$H$3004,'Mouvements stock'!$I$5:$I$3004,$A1335,'Mouvements stock'!$C$5:$C$3004,"Sortie")-SUMIFS('Mouvements stock'!$H$5:$H$3004,'Mouvements stock'!$I$5:$I$3004,$A1335,'Mouvements stock'!$C$5:$C$3004,"Retour"))</f>
        <v/>
      </c>
      <c r="X1335" s="66" t="n">
        <v>0</v>
      </c>
      <c r="Y1335" s="66" t="n">
        <v>0</v>
      </c>
      <c r="Z1335" s="7" t="n"/>
      <c r="AA1335" s="70">
        <f>IF($A1335="","",N(V1335)+N(W1335)+N(X1335)+N(Y1335))</f>
        <v/>
      </c>
      <c r="AB1335" s="70">
        <f>IF($A1335="","",N(S1335)*'Paramètres'!$AA$9*IFERROR(INDEX('Paramètres'!$O$5:$O$7,MATCH(G1335,'Paramètres'!$N$5:$N$7,0)),0))</f>
        <v/>
      </c>
      <c r="AC1335" s="7" t="inlineStr">
        <is>
          <t>Clôturé</t>
        </is>
      </c>
      <c r="AD1335" s="69">
        <f>IF(OR($A1335="",Q1335=""),"",(Q1335-B1335)*24)</f>
        <v/>
      </c>
      <c r="AE1335" s="69">
        <f>IF(OR(Q1335="",R1335=""),"",(R1335-Q1335)*24)</f>
        <v/>
      </c>
      <c r="AF1335" s="77">
        <f>IF(OR($A1335="",B1335=""),"",YEAR(B1335))</f>
        <v/>
      </c>
      <c r="AG1335" s="77">
        <f>IF(OR($A1335="",B1335=""),"",MONTH(B1335))</f>
        <v/>
      </c>
    </row>
    <row r="1336">
      <c r="A1336" s="7" t="inlineStr">
        <is>
          <t>OT-2026-0481</t>
        </is>
      </c>
      <c r="B1336" s="75" t="n">
        <v>46245.43402777778</v>
      </c>
      <c r="C1336" s="7" t="inlineStr">
        <is>
          <t>Hugo Blanc (chef d'équipe)</t>
        </is>
      </c>
      <c r="D1336" s="7" t="inlineStr">
        <is>
          <t>EQ-SOU-001</t>
        </is>
      </c>
      <c r="E1336" s="9">
        <f>IF(D1336="","",IFERROR(INDEX('Équipements'!$B$5:$B$304,MATCH(D1336,'Équipements'!$A$5:$A$304,0)),"Code inconnu"))</f>
        <v/>
      </c>
      <c r="F1336" s="9">
        <f>IF(D1336="","",IFERROR(INDEX('Équipements'!$D$5:$D$304,MATCH(D1336,'Équipements'!$A$5:$A$304,0)),""))</f>
        <v/>
      </c>
      <c r="G1336" s="9">
        <f>IF(D1336="","",IFERROR(INDEX('Équipements'!$K$5:$K$304,MATCH(D1336,'Équipements'!$A$5:$A$304,0)),""))</f>
        <v/>
      </c>
      <c r="H1336" s="7" t="inlineStr">
        <is>
          <t>Correctif</t>
        </is>
      </c>
      <c r="I1336" s="7" t="n"/>
      <c r="J1336" s="7" t="inlineStr">
        <is>
          <t>Automatisme</t>
        </is>
      </c>
      <c r="K1336" s="7" t="inlineStr">
        <is>
          <t>P2 - Haute</t>
        </is>
      </c>
      <c r="L1336" s="7" t="inlineStr">
        <is>
          <t>Défaut préhenseur / capteur de présence pièce</t>
        </is>
      </c>
      <c r="M1336" s="7" t="inlineStr">
        <is>
          <t>Défaut capteur</t>
        </is>
      </c>
      <c r="N1336" s="7" t="inlineStr">
        <is>
          <t>Remplacement détecteur, réglage préhenseur</t>
        </is>
      </c>
      <c r="O1336" s="7" t="inlineStr">
        <is>
          <t>Sophie Garnier</t>
        </is>
      </c>
      <c r="P1336" s="65" t="n"/>
      <c r="Q1336" s="75" t="n">
        <v>46245.52361111111</v>
      </c>
      <c r="R1336" s="75" t="n">
        <v>46246.32569444444</v>
      </c>
      <c r="S1336" s="76" t="n">
        <v>21.4</v>
      </c>
      <c r="T1336" s="76" t="n">
        <v>19.25</v>
      </c>
      <c r="U1336" s="70">
        <f>IF($A1336="","",IFERROR(INDEX('Techniciens'!$F$5:$F$44,MATCH(O1336,'Techniciens'!$B$5:$B$44,0)),'Paramètres'!$AA$10))</f>
        <v/>
      </c>
      <c r="V1336" s="70">
        <f>IF($A1336="","",IF(OR(AC1336="Demandé",AC1336="Planifié",AC1336="Annulé"),0,N(T1336)*N(U1336)))</f>
        <v/>
      </c>
      <c r="W1336" s="70">
        <f>IF($A1336="","",SUMIFS('Mouvements stock'!$H$5:$H$3004,'Mouvements stock'!$I$5:$I$3004,$A1336,'Mouvements stock'!$C$5:$C$3004,"Sortie")-SUMIFS('Mouvements stock'!$H$5:$H$3004,'Mouvements stock'!$I$5:$I$3004,$A1336,'Mouvements stock'!$C$5:$C$3004,"Retour"))</f>
        <v/>
      </c>
      <c r="X1336" s="66" t="n">
        <v>0</v>
      </c>
      <c r="Y1336" s="66" t="n">
        <v>0</v>
      </c>
      <c r="Z1336" s="7" t="n"/>
      <c r="AA1336" s="70">
        <f>IF($A1336="","",N(V1336)+N(W1336)+N(X1336)+N(Y1336))</f>
        <v/>
      </c>
      <c r="AB1336" s="70">
        <f>IF($A1336="","",N(S1336)*'Paramètres'!$AA$9*IFERROR(INDEX('Paramètres'!$O$5:$O$7,MATCH(G1336,'Paramètres'!$N$5:$N$7,0)),0))</f>
        <v/>
      </c>
      <c r="AC1336" s="7" t="inlineStr">
        <is>
          <t>Clôturé</t>
        </is>
      </c>
      <c r="AD1336" s="69">
        <f>IF(OR($A1336="",Q1336=""),"",(Q1336-B1336)*24)</f>
        <v/>
      </c>
      <c r="AE1336" s="69">
        <f>IF(OR(Q1336="",R1336=""),"",(R1336-Q1336)*24)</f>
        <v/>
      </c>
      <c r="AF1336" s="77">
        <f>IF(OR($A1336="",B1336=""),"",YEAR(B1336))</f>
        <v/>
      </c>
      <c r="AG1336" s="77">
        <f>IF(OR($A1336="",B1336=""),"",MONTH(B1336))</f>
        <v/>
      </c>
    </row>
    <row r="1337">
      <c r="A1337" s="7" t="inlineStr">
        <is>
          <t>OT-2026-0482</t>
        </is>
      </c>
      <c r="B1337" s="75" t="n">
        <v>46245.44791666666</v>
      </c>
      <c r="C1337" s="7" t="inlineStr">
        <is>
          <t>Plan préventif</t>
        </is>
      </c>
      <c r="D1337" s="7" t="inlineStr">
        <is>
          <t>EQ-UTI-003</t>
        </is>
      </c>
      <c r="E1337" s="9">
        <f>IF(D1337="","",IFERROR(INDEX('Équipements'!$B$5:$B$304,MATCH(D1337,'Équipements'!$A$5:$A$304,0)),"Code inconnu"))</f>
        <v/>
      </c>
      <c r="F1337" s="9">
        <f>IF(D1337="","",IFERROR(INDEX('Équipements'!$D$5:$D$304,MATCH(D1337,'Équipements'!$A$5:$A$304,0)),""))</f>
        <v/>
      </c>
      <c r="G1337" s="9">
        <f>IF(D1337="","",IFERROR(INDEX('Équipements'!$K$5:$K$304,MATCH(D1337,'Équipements'!$A$5:$A$304,0)),""))</f>
        <v/>
      </c>
      <c r="H1337" s="7" t="inlineStr">
        <is>
          <t>Préventif conditionnel</t>
        </is>
      </c>
      <c r="I1337" s="7" t="inlineStr">
        <is>
          <t>GP-091</t>
        </is>
      </c>
      <c r="J1337" s="7" t="inlineStr">
        <is>
          <t>Mécanique</t>
        </is>
      </c>
      <c r="K1337" s="7" t="inlineStr">
        <is>
          <t>P3 - Normale</t>
        </is>
      </c>
      <c r="L1337" s="7" t="inlineStr">
        <is>
          <t>Entretien 2000 h : filtres air/huile, séparateur</t>
        </is>
      </c>
      <c r="M1337" s="7" t="n"/>
      <c r="N1337" s="7" t="inlineStr">
        <is>
          <t>Gamme réalisée - RAS</t>
        </is>
      </c>
      <c r="O1337" s="7" t="inlineStr">
        <is>
          <t>Karim Benali</t>
        </is>
      </c>
      <c r="P1337" s="65" t="n">
        <v>46252.4375</v>
      </c>
      <c r="Q1337" s="75" t="n">
        <v>46252.57638888889</v>
      </c>
      <c r="R1337" s="75" t="n">
        <v>46252.74305555555</v>
      </c>
      <c r="S1337" s="76" t="n">
        <v>0</v>
      </c>
      <c r="T1337" s="76" t="n">
        <v>4</v>
      </c>
      <c r="U1337" s="70">
        <f>IF($A1337="","",IFERROR(INDEX('Techniciens'!$F$5:$F$44,MATCH(O1337,'Techniciens'!$B$5:$B$44,0)),'Paramètres'!$AA$10))</f>
        <v/>
      </c>
      <c r="V1337" s="70">
        <f>IF($A1337="","",IF(OR(AC1337="Demandé",AC1337="Planifié",AC1337="Annulé"),0,N(T1337)*N(U1337)))</f>
        <v/>
      </c>
      <c r="W1337" s="70">
        <f>IF($A1337="","",SUMIFS('Mouvements stock'!$H$5:$H$3004,'Mouvements stock'!$I$5:$I$3004,$A1337,'Mouvements stock'!$C$5:$C$3004,"Sortie")-SUMIFS('Mouvements stock'!$H$5:$H$3004,'Mouvements stock'!$I$5:$I$3004,$A1337,'Mouvements stock'!$C$5:$C$3004,"Retour"))</f>
        <v/>
      </c>
      <c r="X1337" s="66" t="n">
        <v>0</v>
      </c>
      <c r="Y1337" s="66" t="n">
        <v>0</v>
      </c>
      <c r="Z1337" s="7" t="n"/>
      <c r="AA1337" s="70">
        <f>IF($A1337="","",N(V1337)+N(W1337)+N(X1337)+N(Y1337))</f>
        <v/>
      </c>
      <c r="AB1337" s="70">
        <f>IF($A1337="","",N(S1337)*'Paramètres'!$AA$9*IFERROR(INDEX('Paramètres'!$O$5:$O$7,MATCH(G1337,'Paramètres'!$N$5:$N$7,0)),0))</f>
        <v/>
      </c>
      <c r="AC1337" s="7" t="inlineStr">
        <is>
          <t>Clôturé</t>
        </is>
      </c>
      <c r="AD1337" s="69">
        <f>IF(OR($A1337="",Q1337=""),"",(Q1337-B1337)*24)</f>
        <v/>
      </c>
      <c r="AE1337" s="69">
        <f>IF(OR(Q1337="",R1337=""),"",(R1337-Q1337)*24)</f>
        <v/>
      </c>
      <c r="AF1337" s="77">
        <f>IF(OR($A1337="",B1337=""),"",YEAR(B1337))</f>
        <v/>
      </c>
      <c r="AG1337" s="77">
        <f>IF(OR($A1337="",B1337=""),"",MONTH(B1337))</f>
        <v/>
      </c>
    </row>
    <row r="1338">
      <c r="A1338" s="7" t="inlineStr">
        <is>
          <t>OT-2026-0483</t>
        </is>
      </c>
      <c r="B1338" s="75" t="n">
        <v>46245.46875</v>
      </c>
      <c r="C1338" s="7" t="inlineStr">
        <is>
          <t>Plan préventif</t>
        </is>
      </c>
      <c r="D1338" s="7" t="inlineStr">
        <is>
          <t>EQ-UTI-001</t>
        </is>
      </c>
      <c r="E1338" s="9">
        <f>IF(D1338="","",IFERROR(INDEX('Équipements'!$B$5:$B$304,MATCH(D1338,'Équipements'!$A$5:$A$304,0)),"Code inconnu"))</f>
        <v/>
      </c>
      <c r="F1338" s="9">
        <f>IF(D1338="","",IFERROR(INDEX('Équipements'!$D$5:$D$304,MATCH(D1338,'Équipements'!$A$5:$A$304,0)),""))</f>
        <v/>
      </c>
      <c r="G1338" s="9">
        <f>IF(D1338="","",IFERROR(INDEX('Équipements'!$K$5:$K$304,MATCH(D1338,'Équipements'!$A$5:$A$304,0)),""))</f>
        <v/>
      </c>
      <c r="H1338" s="7" t="inlineStr">
        <is>
          <t>Préventif systématique</t>
        </is>
      </c>
      <c r="I1338" s="7" t="inlineStr">
        <is>
          <t>GP-088</t>
        </is>
      </c>
      <c r="J1338" s="7" t="inlineStr">
        <is>
          <t>Pneumatique</t>
        </is>
      </c>
      <c r="K1338" s="7" t="inlineStr">
        <is>
          <t>P3 - Normale</t>
        </is>
      </c>
      <c r="L1338" s="7" t="inlineStr">
        <is>
          <t>Purge, contrôle fuites et point de rosée</t>
        </is>
      </c>
      <c r="M1338" s="7" t="n"/>
      <c r="N1338" s="7" t="inlineStr">
        <is>
          <t>Gamme réalisée - RAS</t>
        </is>
      </c>
      <c r="O1338" s="7" t="inlineStr">
        <is>
          <t>Julien Moreau</t>
        </is>
      </c>
      <c r="P1338" s="65" t="n">
        <v>46252.42708333334</v>
      </c>
      <c r="Q1338" s="75" t="n">
        <v>46252.25</v>
      </c>
      <c r="R1338" s="75" t="n">
        <v>46252.32291666666</v>
      </c>
      <c r="S1338" s="76" t="n">
        <v>0</v>
      </c>
      <c r="T1338" s="76" t="n">
        <v>1.75</v>
      </c>
      <c r="U1338" s="70">
        <f>IF($A1338="","",IFERROR(INDEX('Techniciens'!$F$5:$F$44,MATCH(O1338,'Techniciens'!$B$5:$B$44,0)),'Paramètres'!$AA$10))</f>
        <v/>
      </c>
      <c r="V1338" s="70">
        <f>IF($A1338="","",IF(OR(AC1338="Demandé",AC1338="Planifié",AC1338="Annulé"),0,N(T1338)*N(U1338)))</f>
        <v/>
      </c>
      <c r="W1338" s="70">
        <f>IF($A1338="","",SUMIFS('Mouvements stock'!$H$5:$H$3004,'Mouvements stock'!$I$5:$I$3004,$A1338,'Mouvements stock'!$C$5:$C$3004,"Sortie")-SUMIFS('Mouvements stock'!$H$5:$H$3004,'Mouvements stock'!$I$5:$I$3004,$A1338,'Mouvements stock'!$C$5:$C$3004,"Retour"))</f>
        <v/>
      </c>
      <c r="X1338" s="66" t="n">
        <v>0</v>
      </c>
      <c r="Y1338" s="66" t="n">
        <v>0</v>
      </c>
      <c r="Z1338" s="7" t="n"/>
      <c r="AA1338" s="70">
        <f>IF($A1338="","",N(V1338)+N(W1338)+N(X1338)+N(Y1338))</f>
        <v/>
      </c>
      <c r="AB1338" s="70">
        <f>IF($A1338="","",N(S1338)*'Paramètres'!$AA$9*IFERROR(INDEX('Paramètres'!$O$5:$O$7,MATCH(G1338,'Paramètres'!$N$5:$N$7,0)),0))</f>
        <v/>
      </c>
      <c r="AC1338" s="7" t="inlineStr">
        <is>
          <t>Clôturé</t>
        </is>
      </c>
      <c r="AD1338" s="69">
        <f>IF(OR($A1338="",Q1338=""),"",(Q1338-B1338)*24)</f>
        <v/>
      </c>
      <c r="AE1338" s="69">
        <f>IF(OR(Q1338="",R1338=""),"",(R1338-Q1338)*24)</f>
        <v/>
      </c>
      <c r="AF1338" s="77">
        <f>IF(OR($A1338="",B1338=""),"",YEAR(B1338))</f>
        <v/>
      </c>
      <c r="AG1338" s="77">
        <f>IF(OR($A1338="",B1338=""),"",MONTH(B1338))</f>
        <v/>
      </c>
    </row>
    <row r="1339">
      <c r="A1339" s="7" t="inlineStr">
        <is>
          <t>OT-2026-0484</t>
        </is>
      </c>
      <c r="B1339" s="75" t="n">
        <v>46248.24791666667</v>
      </c>
      <c r="C1339" s="7" t="inlineStr">
        <is>
          <t>Céline Morel (cheffe d'atelier)</t>
        </is>
      </c>
      <c r="D1339" s="7" t="inlineStr">
        <is>
          <t>EQ-TOL-003</t>
        </is>
      </c>
      <c r="E1339" s="9">
        <f>IF(D1339="","",IFERROR(INDEX('Équipements'!$B$5:$B$304,MATCH(D1339,'Équipements'!$A$5:$A$304,0)),"Code inconnu"))</f>
        <v/>
      </c>
      <c r="F1339" s="9">
        <f>IF(D1339="","",IFERROR(INDEX('Équipements'!$D$5:$D$304,MATCH(D1339,'Équipements'!$A$5:$A$304,0)),""))</f>
        <v/>
      </c>
      <c r="G1339" s="9">
        <f>IF(D1339="","",IFERROR(INDEX('Équipements'!$K$5:$K$304,MATCH(D1339,'Équipements'!$A$5:$A$304,0)),""))</f>
        <v/>
      </c>
      <c r="H1339" s="7" t="inlineStr">
        <is>
          <t>Correctif</t>
        </is>
      </c>
      <c r="I1339" s="7" t="n"/>
      <c r="J1339" s="7" t="inlineStr">
        <is>
          <t>Hydraulique</t>
        </is>
      </c>
      <c r="K1339" s="7" t="inlineStr">
        <is>
          <t>P1 - Urgent</t>
        </is>
      </c>
      <c r="L1339" s="7" t="inlineStr">
        <is>
          <t>Fuite d'huile vérin principal</t>
        </is>
      </c>
      <c r="M1339" s="7" t="inlineStr">
        <is>
          <t>Fuite</t>
        </is>
      </c>
      <c r="N1339" s="7" t="inlineStr">
        <is>
          <t>Remplacement kit joints vérin</t>
        </is>
      </c>
      <c r="O1339" s="7" t="inlineStr">
        <is>
          <t>Karim Benali</t>
        </is>
      </c>
      <c r="P1339" s="65" t="n"/>
      <c r="Q1339" s="75" t="n">
        <v>46248.25902777778</v>
      </c>
      <c r="R1339" s="75" t="n">
        <v>46248.47777777778</v>
      </c>
      <c r="S1339" s="76" t="n">
        <v>5.5</v>
      </c>
      <c r="T1339" s="76" t="n">
        <v>5.25</v>
      </c>
      <c r="U1339" s="70">
        <f>IF($A1339="","",IFERROR(INDEX('Techniciens'!$F$5:$F$44,MATCH(O1339,'Techniciens'!$B$5:$B$44,0)),'Paramètres'!$AA$10))</f>
        <v/>
      </c>
      <c r="V1339" s="70">
        <f>IF($A1339="","",IF(OR(AC1339="Demandé",AC1339="Planifié",AC1339="Annulé"),0,N(T1339)*N(U1339)))</f>
        <v/>
      </c>
      <c r="W1339" s="70">
        <f>IF($A1339="","",SUMIFS('Mouvements stock'!$H$5:$H$3004,'Mouvements stock'!$I$5:$I$3004,$A1339,'Mouvements stock'!$C$5:$C$3004,"Sortie")-SUMIFS('Mouvements stock'!$H$5:$H$3004,'Mouvements stock'!$I$5:$I$3004,$A1339,'Mouvements stock'!$C$5:$C$3004,"Retour"))</f>
        <v/>
      </c>
      <c r="X1339" s="66" t="n">
        <v>0</v>
      </c>
      <c r="Y1339" s="66" t="n">
        <v>0</v>
      </c>
      <c r="Z1339" s="7" t="n"/>
      <c r="AA1339" s="70">
        <f>IF($A1339="","",N(V1339)+N(W1339)+N(X1339)+N(Y1339))</f>
        <v/>
      </c>
      <c r="AB1339" s="70">
        <f>IF($A1339="","",N(S1339)*'Paramètres'!$AA$9*IFERROR(INDEX('Paramètres'!$O$5:$O$7,MATCH(G1339,'Paramètres'!$N$5:$N$7,0)),0))</f>
        <v/>
      </c>
      <c r="AC1339" s="7" t="inlineStr">
        <is>
          <t>Clôturé</t>
        </is>
      </c>
      <c r="AD1339" s="69">
        <f>IF(OR($A1339="",Q1339=""),"",(Q1339-B1339)*24)</f>
        <v/>
      </c>
      <c r="AE1339" s="69">
        <f>IF(OR(Q1339="",R1339=""),"",(R1339-Q1339)*24)</f>
        <v/>
      </c>
      <c r="AF1339" s="77">
        <f>IF(OR($A1339="",B1339=""),"",YEAR(B1339))</f>
        <v/>
      </c>
      <c r="AG1339" s="77">
        <f>IF(OR($A1339="",B1339=""),"",MONTH(B1339))</f>
        <v/>
      </c>
    </row>
    <row r="1340">
      <c r="A1340" s="7" t="inlineStr">
        <is>
          <t>OT-2026-0485</t>
        </is>
      </c>
      <c r="B1340" s="75" t="n">
        <v>46248.34375</v>
      </c>
      <c r="C1340" s="7" t="inlineStr">
        <is>
          <t>Plan préventif</t>
        </is>
      </c>
      <c r="D1340" s="7" t="inlineStr">
        <is>
          <t>EQ-LOG-001</t>
        </is>
      </c>
      <c r="E1340" s="9">
        <f>IF(D1340="","",IFERROR(INDEX('Équipements'!$B$5:$B$304,MATCH(D1340,'Équipements'!$A$5:$A$304,0)),"Code inconnu"))</f>
        <v/>
      </c>
      <c r="F1340" s="9">
        <f>IF(D1340="","",IFERROR(INDEX('Équipements'!$D$5:$D$304,MATCH(D1340,'Équipements'!$A$5:$A$304,0)),""))</f>
        <v/>
      </c>
      <c r="G1340" s="9">
        <f>IF(D1340="","",IFERROR(INDEX('Équipements'!$K$5:$K$304,MATCH(D1340,'Équipements'!$A$5:$A$304,0)),""))</f>
        <v/>
      </c>
      <c r="H1340" s="7" t="inlineStr">
        <is>
          <t>Préventif systématique</t>
        </is>
      </c>
      <c r="I1340" s="7" t="inlineStr">
        <is>
          <t>GP-106</t>
        </is>
      </c>
      <c r="J1340" s="7" t="inlineStr">
        <is>
          <t>Mécanique</t>
        </is>
      </c>
      <c r="K1340" s="7" t="inlineStr">
        <is>
          <t>P3 - Normale</t>
        </is>
      </c>
      <c r="L1340" s="7" t="inlineStr">
        <is>
          <t>Contrôle batterie, niveaux et bandages</t>
        </is>
      </c>
      <c r="M1340" s="7" t="n"/>
      <c r="N1340" s="7" t="inlineStr">
        <is>
          <t>Gamme réalisée - RAS</t>
        </is>
      </c>
      <c r="O1340" s="7" t="inlineStr">
        <is>
          <t>Lucas Fontaine</t>
        </is>
      </c>
      <c r="P1340" s="65" t="n">
        <v>46255.32986111111</v>
      </c>
      <c r="Q1340" s="75" t="n">
        <v>46255.3125</v>
      </c>
      <c r="R1340" s="75" t="n">
        <v>46255.35416666666</v>
      </c>
      <c r="S1340" s="76" t="n">
        <v>1</v>
      </c>
      <c r="T1340" s="76" t="n">
        <v>1</v>
      </c>
      <c r="U1340" s="70">
        <f>IF($A1340="","",IFERROR(INDEX('Techniciens'!$F$5:$F$44,MATCH(O1340,'Techniciens'!$B$5:$B$44,0)),'Paramètres'!$AA$10))</f>
        <v/>
      </c>
      <c r="V1340" s="70">
        <f>IF($A1340="","",IF(OR(AC1340="Demandé",AC1340="Planifié",AC1340="Annulé"),0,N(T1340)*N(U1340)))</f>
        <v/>
      </c>
      <c r="W1340" s="70">
        <f>IF($A1340="","",SUMIFS('Mouvements stock'!$H$5:$H$3004,'Mouvements stock'!$I$5:$I$3004,$A1340,'Mouvements stock'!$C$5:$C$3004,"Sortie")-SUMIFS('Mouvements stock'!$H$5:$H$3004,'Mouvements stock'!$I$5:$I$3004,$A1340,'Mouvements stock'!$C$5:$C$3004,"Retour"))</f>
        <v/>
      </c>
      <c r="X1340" s="66" t="n">
        <v>0</v>
      </c>
      <c r="Y1340" s="66" t="n">
        <v>0</v>
      </c>
      <c r="Z1340" s="7" t="n"/>
      <c r="AA1340" s="70">
        <f>IF($A1340="","",N(V1340)+N(W1340)+N(X1340)+N(Y1340))</f>
        <v/>
      </c>
      <c r="AB1340" s="70">
        <f>IF($A1340="","",N(S1340)*'Paramètres'!$AA$9*IFERROR(INDEX('Paramètres'!$O$5:$O$7,MATCH(G1340,'Paramètres'!$N$5:$N$7,0)),0))</f>
        <v/>
      </c>
      <c r="AC1340" s="7" t="inlineStr">
        <is>
          <t>Clôturé</t>
        </is>
      </c>
      <c r="AD1340" s="69">
        <f>IF(OR($A1340="",Q1340=""),"",(Q1340-B1340)*24)</f>
        <v/>
      </c>
      <c r="AE1340" s="69">
        <f>IF(OR(Q1340="",R1340=""),"",(R1340-Q1340)*24)</f>
        <v/>
      </c>
      <c r="AF1340" s="77">
        <f>IF(OR($A1340="",B1340=""),"",YEAR(B1340))</f>
        <v/>
      </c>
      <c r="AG1340" s="77">
        <f>IF(OR($A1340="",B1340=""),"",MONTH(B1340))</f>
        <v/>
      </c>
    </row>
    <row r="1341">
      <c r="A1341" s="7" t="inlineStr">
        <is>
          <t>OT-2026-0486</t>
        </is>
      </c>
      <c r="B1341" s="75" t="n">
        <v>46249.41388888889</v>
      </c>
      <c r="C1341" s="7" t="inlineStr">
        <is>
          <t>Cariste</t>
        </is>
      </c>
      <c r="D1341" s="7" t="inlineStr">
        <is>
          <t>EQ-LOG-002</t>
        </is>
      </c>
      <c r="E1341" s="9">
        <f>IF(D1341="","",IFERROR(INDEX('Équipements'!$B$5:$B$304,MATCH(D1341,'Équipements'!$A$5:$A$304,0)),"Code inconnu"))</f>
        <v/>
      </c>
      <c r="F1341" s="9">
        <f>IF(D1341="","",IFERROR(INDEX('Équipements'!$D$5:$D$304,MATCH(D1341,'Équipements'!$A$5:$A$304,0)),""))</f>
        <v/>
      </c>
      <c r="G1341" s="9">
        <f>IF(D1341="","",IFERROR(INDEX('Équipements'!$K$5:$K$304,MATCH(D1341,'Équipements'!$A$5:$A$304,0)),""))</f>
        <v/>
      </c>
      <c r="H1341" s="7" t="inlineStr">
        <is>
          <t>Correctif</t>
        </is>
      </c>
      <c r="I1341" s="7" t="n"/>
      <c r="J1341" s="7" t="inlineStr">
        <is>
          <t>Mécanique</t>
        </is>
      </c>
      <c r="K1341" s="7" t="inlineStr">
        <is>
          <t>P3 - Normale</t>
        </is>
      </c>
      <c r="L1341" s="7" t="inlineStr">
        <is>
          <t>Bandage de roue usé / arraché</t>
        </is>
      </c>
      <c r="M1341" s="7" t="inlineStr">
        <is>
          <t>Usure</t>
        </is>
      </c>
      <c r="N1341" s="7" t="inlineStr">
        <is>
          <t>Remplacement bandage</t>
        </is>
      </c>
      <c r="O1341" s="7" t="inlineStr">
        <is>
          <t>Antoine Mercier</t>
        </is>
      </c>
      <c r="P1341" s="65" t="n"/>
      <c r="Q1341" s="75" t="n">
        <v>46250.82916666667</v>
      </c>
      <c r="R1341" s="75" t="n">
        <v>46251.05833333333</v>
      </c>
      <c r="S1341" s="76" t="n">
        <v>0</v>
      </c>
      <c r="T1341" s="76" t="n">
        <v>5.5</v>
      </c>
      <c r="U1341" s="70">
        <f>IF($A1341="","",IFERROR(INDEX('Techniciens'!$F$5:$F$44,MATCH(O1341,'Techniciens'!$B$5:$B$44,0)),'Paramètres'!$AA$10))</f>
        <v/>
      </c>
      <c r="V1341" s="70">
        <f>IF($A1341="","",IF(OR(AC1341="Demandé",AC1341="Planifié",AC1341="Annulé"),0,N(T1341)*N(U1341)))</f>
        <v/>
      </c>
      <c r="W1341" s="70">
        <f>IF($A1341="","",SUMIFS('Mouvements stock'!$H$5:$H$3004,'Mouvements stock'!$I$5:$I$3004,$A1341,'Mouvements stock'!$C$5:$C$3004,"Sortie")-SUMIFS('Mouvements stock'!$H$5:$H$3004,'Mouvements stock'!$I$5:$I$3004,$A1341,'Mouvements stock'!$C$5:$C$3004,"Retour"))</f>
        <v/>
      </c>
      <c r="X1341" s="66" t="n">
        <v>0</v>
      </c>
      <c r="Y1341" s="66" t="n">
        <v>0</v>
      </c>
      <c r="Z1341" s="7" t="n"/>
      <c r="AA1341" s="70">
        <f>IF($A1341="","",N(V1341)+N(W1341)+N(X1341)+N(Y1341))</f>
        <v/>
      </c>
      <c r="AB1341" s="70">
        <f>IF($A1341="","",N(S1341)*'Paramètres'!$AA$9*IFERROR(INDEX('Paramètres'!$O$5:$O$7,MATCH(G1341,'Paramètres'!$N$5:$N$7,0)),0))</f>
        <v/>
      </c>
      <c r="AC1341" s="7" t="inlineStr">
        <is>
          <t>Clôturé</t>
        </is>
      </c>
      <c r="AD1341" s="69">
        <f>IF(OR($A1341="",Q1341=""),"",(Q1341-B1341)*24)</f>
        <v/>
      </c>
      <c r="AE1341" s="69">
        <f>IF(OR(Q1341="",R1341=""),"",(R1341-Q1341)*24)</f>
        <v/>
      </c>
      <c r="AF1341" s="77">
        <f>IF(OR($A1341="",B1341=""),"",YEAR(B1341))</f>
        <v/>
      </c>
      <c r="AG1341" s="77">
        <f>IF(OR($A1341="",B1341=""),"",MONTH(B1341))</f>
        <v/>
      </c>
    </row>
    <row r="1342">
      <c r="A1342" s="7" t="inlineStr">
        <is>
          <t>OT-2026-0487</t>
        </is>
      </c>
      <c r="B1342" s="75" t="n">
        <v>46249.74791666667</v>
      </c>
      <c r="C1342" s="7" t="inlineStr">
        <is>
          <t>Opérateur peinture</t>
        </is>
      </c>
      <c r="D1342" s="7" t="inlineStr">
        <is>
          <t>EQ-PEI-004</t>
        </is>
      </c>
      <c r="E1342" s="9">
        <f>IF(D1342="","",IFERROR(INDEX('Équipements'!$B$5:$B$304,MATCH(D1342,'Équipements'!$A$5:$A$304,0)),"Code inconnu"))</f>
        <v/>
      </c>
      <c r="F1342" s="9">
        <f>IF(D1342="","",IFERROR(INDEX('Équipements'!$D$5:$D$304,MATCH(D1342,'Équipements'!$A$5:$A$304,0)),""))</f>
        <v/>
      </c>
      <c r="G1342" s="9">
        <f>IF(D1342="","",IFERROR(INDEX('Équipements'!$K$5:$K$304,MATCH(D1342,'Équipements'!$A$5:$A$304,0)),""))</f>
        <v/>
      </c>
      <c r="H1342" s="7" t="inlineStr">
        <is>
          <t>Correctif</t>
        </is>
      </c>
      <c r="I1342" s="7" t="n"/>
      <c r="J1342" s="7" t="inlineStr">
        <is>
          <t>Mécanique</t>
        </is>
      </c>
      <c r="K1342" s="7" t="inlineStr">
        <is>
          <t>P3 - Normale</t>
        </is>
      </c>
      <c r="L1342" s="7" t="inlineStr">
        <is>
          <t>Roulement de tambour bruyant</t>
        </is>
      </c>
      <c r="M1342" s="7" t="inlineStr">
        <is>
          <t>Usure</t>
        </is>
      </c>
      <c r="N1342" s="7" t="inlineStr">
        <is>
          <t>Remplacement roulements et palier</t>
        </is>
      </c>
      <c r="O1342" s="7" t="inlineStr">
        <is>
          <t>Lucas Fontaine</t>
        </is>
      </c>
      <c r="P1342" s="65" t="n"/>
      <c r="Q1342" s="75" t="n">
        <v>46250.22986111111</v>
      </c>
      <c r="R1342" s="75" t="n">
        <v>46251.17777777778</v>
      </c>
      <c r="S1342" s="76" t="n">
        <v>0</v>
      </c>
      <c r="T1342" s="76" t="n">
        <v>22.75</v>
      </c>
      <c r="U1342" s="70">
        <f>IF($A1342="","",IFERROR(INDEX('Techniciens'!$F$5:$F$44,MATCH(O1342,'Techniciens'!$B$5:$B$44,0)),'Paramètres'!$AA$10))</f>
        <v/>
      </c>
      <c r="V1342" s="70">
        <f>IF($A1342="","",IF(OR(AC1342="Demandé",AC1342="Planifié",AC1342="Annulé"),0,N(T1342)*N(U1342)))</f>
        <v/>
      </c>
      <c r="W1342" s="70">
        <f>IF($A1342="","",SUMIFS('Mouvements stock'!$H$5:$H$3004,'Mouvements stock'!$I$5:$I$3004,$A1342,'Mouvements stock'!$C$5:$C$3004,"Sortie")-SUMIFS('Mouvements stock'!$H$5:$H$3004,'Mouvements stock'!$I$5:$I$3004,$A1342,'Mouvements stock'!$C$5:$C$3004,"Retour"))</f>
        <v/>
      </c>
      <c r="X1342" s="66" t="n">
        <v>0</v>
      </c>
      <c r="Y1342" s="66" t="n">
        <v>0</v>
      </c>
      <c r="Z1342" s="7" t="n"/>
      <c r="AA1342" s="70">
        <f>IF($A1342="","",N(V1342)+N(W1342)+N(X1342)+N(Y1342))</f>
        <v/>
      </c>
      <c r="AB1342" s="70">
        <f>IF($A1342="","",N(S1342)*'Paramètres'!$AA$9*IFERROR(INDEX('Paramètres'!$O$5:$O$7,MATCH(G1342,'Paramètres'!$N$5:$N$7,0)),0))</f>
        <v/>
      </c>
      <c r="AC1342" s="7" t="inlineStr">
        <is>
          <t>Clôturé</t>
        </is>
      </c>
      <c r="AD1342" s="69">
        <f>IF(OR($A1342="",Q1342=""),"",(Q1342-B1342)*24)</f>
        <v/>
      </c>
      <c r="AE1342" s="69">
        <f>IF(OR(Q1342="",R1342=""),"",(R1342-Q1342)*24)</f>
        <v/>
      </c>
      <c r="AF1342" s="77">
        <f>IF(OR($A1342="",B1342=""),"",YEAR(B1342))</f>
        <v/>
      </c>
      <c r="AG1342" s="77">
        <f>IF(OR($A1342="",B1342=""),"",MONTH(B1342))</f>
        <v/>
      </c>
    </row>
    <row r="1343">
      <c r="A1343" s="7" t="inlineStr">
        <is>
          <t>OT-2026-0488</t>
        </is>
      </c>
      <c r="B1343" s="75" t="n">
        <v>46251.34027777778</v>
      </c>
      <c r="C1343" s="7" t="inlineStr">
        <is>
          <t>Plan préventif</t>
        </is>
      </c>
      <c r="D1343" s="7" t="inlineStr">
        <is>
          <t>EQ-USI-001</t>
        </is>
      </c>
      <c r="E1343" s="9">
        <f>IF(D1343="","",IFERROR(INDEX('Équipements'!$B$5:$B$304,MATCH(D1343,'Équipements'!$A$5:$A$304,0)),"Code inconnu"))</f>
        <v/>
      </c>
      <c r="F1343" s="9">
        <f>IF(D1343="","",IFERROR(INDEX('Équipements'!$D$5:$D$304,MATCH(D1343,'Équipements'!$A$5:$A$304,0)),""))</f>
        <v/>
      </c>
      <c r="G1343" s="9">
        <f>IF(D1343="","",IFERROR(INDEX('Équipements'!$K$5:$K$304,MATCH(D1343,'Équipements'!$A$5:$A$304,0)),""))</f>
        <v/>
      </c>
      <c r="H1343" s="7" t="inlineStr">
        <is>
          <t>Préventif systématique</t>
        </is>
      </c>
      <c r="I1343" s="7" t="inlineStr">
        <is>
          <t>GP-002</t>
        </is>
      </c>
      <c r="J1343" s="7" t="inlineStr">
        <is>
          <t>Mécanique</t>
        </is>
      </c>
      <c r="K1343" s="7" t="inlineStr">
        <is>
          <t>P3 - Normale</t>
        </is>
      </c>
      <c r="L1343" s="7" t="inlineStr">
        <is>
          <t>Contrôle géométrie, jeux et graissage des axes</t>
        </is>
      </c>
      <c r="M1343" s="7" t="n"/>
      <c r="N1343" s="7" t="inlineStr">
        <is>
          <t>Gamme réalisée - RAS</t>
        </is>
      </c>
      <c r="O1343" s="7" t="inlineStr">
        <is>
          <t>Antoine Mercier</t>
        </is>
      </c>
      <c r="P1343" s="65" t="n">
        <v>46258.82291666666</v>
      </c>
      <c r="Q1343" s="75" t="n">
        <v>46258.44444444445</v>
      </c>
      <c r="R1343" s="75" t="n">
        <v>46258.66319444445</v>
      </c>
      <c r="S1343" s="76" t="n">
        <v>2.6</v>
      </c>
      <c r="T1343" s="76" t="n">
        <v>5.25</v>
      </c>
      <c r="U1343" s="70">
        <f>IF($A1343="","",IFERROR(INDEX('Techniciens'!$F$5:$F$44,MATCH(O1343,'Techniciens'!$B$5:$B$44,0)),'Paramètres'!$AA$10))</f>
        <v/>
      </c>
      <c r="V1343" s="70">
        <f>IF($A1343="","",IF(OR(AC1343="Demandé",AC1343="Planifié",AC1343="Annulé"),0,N(T1343)*N(U1343)))</f>
        <v/>
      </c>
      <c r="W1343" s="70">
        <f>IF($A1343="","",SUMIFS('Mouvements stock'!$H$5:$H$3004,'Mouvements stock'!$I$5:$I$3004,$A1343,'Mouvements stock'!$C$5:$C$3004,"Sortie")-SUMIFS('Mouvements stock'!$H$5:$H$3004,'Mouvements stock'!$I$5:$I$3004,$A1343,'Mouvements stock'!$C$5:$C$3004,"Retour"))</f>
        <v/>
      </c>
      <c r="X1343" s="66" t="n">
        <v>0</v>
      </c>
      <c r="Y1343" s="66" t="n">
        <v>0</v>
      </c>
      <c r="Z1343" s="7" t="n"/>
      <c r="AA1343" s="70">
        <f>IF($A1343="","",N(V1343)+N(W1343)+N(X1343)+N(Y1343))</f>
        <v/>
      </c>
      <c r="AB1343" s="70">
        <f>IF($A1343="","",N(S1343)*'Paramètres'!$AA$9*IFERROR(INDEX('Paramètres'!$O$5:$O$7,MATCH(G1343,'Paramètres'!$N$5:$N$7,0)),0))</f>
        <v/>
      </c>
      <c r="AC1343" s="7" t="inlineStr">
        <is>
          <t>Clôturé</t>
        </is>
      </c>
      <c r="AD1343" s="69">
        <f>IF(OR($A1343="",Q1343=""),"",(Q1343-B1343)*24)</f>
        <v/>
      </c>
      <c r="AE1343" s="69">
        <f>IF(OR(Q1343="",R1343=""),"",(R1343-Q1343)*24)</f>
        <v/>
      </c>
      <c r="AF1343" s="77">
        <f>IF(OR($A1343="",B1343=""),"",YEAR(B1343))</f>
        <v/>
      </c>
      <c r="AG1343" s="77">
        <f>IF(OR($A1343="",B1343=""),"",MONTH(B1343))</f>
        <v/>
      </c>
    </row>
    <row r="1344">
      <c r="A1344" s="7" t="inlineStr">
        <is>
          <t>OT-2026-0489</t>
        </is>
      </c>
      <c r="B1344" s="75" t="n">
        <v>46251.34375</v>
      </c>
      <c r="C1344" s="7" t="inlineStr">
        <is>
          <t>Plan préventif</t>
        </is>
      </c>
      <c r="D1344" s="7" t="inlineStr">
        <is>
          <t>EQ-TOL-003</t>
        </is>
      </c>
      <c r="E1344" s="9">
        <f>IF(D1344="","",IFERROR(INDEX('Équipements'!$B$5:$B$304,MATCH(D1344,'Équipements'!$A$5:$A$304,0)),"Code inconnu"))</f>
        <v/>
      </c>
      <c r="F1344" s="9">
        <f>IF(D1344="","",IFERROR(INDEX('Équipements'!$D$5:$D$304,MATCH(D1344,'Équipements'!$A$5:$A$304,0)),""))</f>
        <v/>
      </c>
      <c r="G1344" s="9">
        <f>IF(D1344="","",IFERROR(INDEX('Équipements'!$K$5:$K$304,MATCH(D1344,'Équipements'!$A$5:$A$304,0)),""))</f>
        <v/>
      </c>
      <c r="H1344" s="7" t="inlineStr">
        <is>
          <t>Préventif systématique</t>
        </is>
      </c>
      <c r="I1344" s="7" t="inlineStr">
        <is>
          <t>GP-046</t>
        </is>
      </c>
      <c r="J1344" s="7" t="inlineStr">
        <is>
          <t>Électrique</t>
        </is>
      </c>
      <c r="K1344" s="7" t="inlineStr">
        <is>
          <t>P3 - Normale</t>
        </is>
      </c>
      <c r="L1344" s="7" t="inlineStr">
        <is>
          <t>Contrôle des sécurités (barrages, AU, pédale)</t>
        </is>
      </c>
      <c r="M1344" s="7" t="n"/>
      <c r="N1344" s="7" t="inlineStr">
        <is>
          <t>Gamme réalisée - RAS</t>
        </is>
      </c>
      <c r="O1344" s="7" t="inlineStr">
        <is>
          <t>Antoine Mercier</t>
        </is>
      </c>
      <c r="P1344" s="65" t="n">
        <v>46258.62847222222</v>
      </c>
      <c r="Q1344" s="75" t="n">
        <v>46258.26388888889</v>
      </c>
      <c r="R1344" s="75" t="n">
        <v>46258.34722222222</v>
      </c>
      <c r="S1344" s="76" t="n">
        <v>1</v>
      </c>
      <c r="T1344" s="76" t="n">
        <v>2</v>
      </c>
      <c r="U1344" s="70">
        <f>IF($A1344="","",IFERROR(INDEX('Techniciens'!$F$5:$F$44,MATCH(O1344,'Techniciens'!$B$5:$B$44,0)),'Paramètres'!$AA$10))</f>
        <v/>
      </c>
      <c r="V1344" s="70">
        <f>IF($A1344="","",IF(OR(AC1344="Demandé",AC1344="Planifié",AC1344="Annulé"),0,N(T1344)*N(U1344)))</f>
        <v/>
      </c>
      <c r="W1344" s="70">
        <f>IF($A1344="","",SUMIFS('Mouvements stock'!$H$5:$H$3004,'Mouvements stock'!$I$5:$I$3004,$A1344,'Mouvements stock'!$C$5:$C$3004,"Sortie")-SUMIFS('Mouvements stock'!$H$5:$H$3004,'Mouvements stock'!$I$5:$I$3004,$A1344,'Mouvements stock'!$C$5:$C$3004,"Retour"))</f>
        <v/>
      </c>
      <c r="X1344" s="66" t="n">
        <v>0</v>
      </c>
      <c r="Y1344" s="66" t="n">
        <v>0</v>
      </c>
      <c r="Z1344" s="7" t="n"/>
      <c r="AA1344" s="70">
        <f>IF($A1344="","",N(V1344)+N(W1344)+N(X1344)+N(Y1344))</f>
        <v/>
      </c>
      <c r="AB1344" s="70">
        <f>IF($A1344="","",N(S1344)*'Paramètres'!$AA$9*IFERROR(INDEX('Paramètres'!$O$5:$O$7,MATCH(G1344,'Paramètres'!$N$5:$N$7,0)),0))</f>
        <v/>
      </c>
      <c r="AC1344" s="7" t="inlineStr">
        <is>
          <t>Clôturé</t>
        </is>
      </c>
      <c r="AD1344" s="69">
        <f>IF(OR($A1344="",Q1344=""),"",(Q1344-B1344)*24)</f>
        <v/>
      </c>
      <c r="AE1344" s="69">
        <f>IF(OR(Q1344="",R1344=""),"",(R1344-Q1344)*24)</f>
        <v/>
      </c>
      <c r="AF1344" s="77">
        <f>IF(OR($A1344="",B1344=""),"",YEAR(B1344))</f>
        <v/>
      </c>
      <c r="AG1344" s="77">
        <f>IF(OR($A1344="",B1344=""),"",MONTH(B1344))</f>
        <v/>
      </c>
    </row>
    <row r="1345">
      <c r="A1345" s="7" t="inlineStr">
        <is>
          <t>OT-2026-0490</t>
        </is>
      </c>
      <c r="B1345" s="75" t="n">
        <v>46251.34375</v>
      </c>
      <c r="C1345" s="7" t="inlineStr">
        <is>
          <t>Plan préventif</t>
        </is>
      </c>
      <c r="D1345" s="7" t="inlineStr">
        <is>
          <t>EQ-PEI-004</t>
        </is>
      </c>
      <c r="E1345" s="9">
        <f>IF(D1345="","",IFERROR(INDEX('Équipements'!$B$5:$B$304,MATCH(D1345,'Équipements'!$A$5:$A$304,0)),"Code inconnu"))</f>
        <v/>
      </c>
      <c r="F1345" s="9">
        <f>IF(D1345="","",IFERROR(INDEX('Équipements'!$D$5:$D$304,MATCH(D1345,'Équipements'!$A$5:$A$304,0)),""))</f>
        <v/>
      </c>
      <c r="G1345" s="9">
        <f>IF(D1345="","",IFERROR(INDEX('Équipements'!$K$5:$K$304,MATCH(D1345,'Équipements'!$A$5:$A$304,0)),""))</f>
        <v/>
      </c>
      <c r="H1345" s="7" t="inlineStr">
        <is>
          <t>Préventif systématique</t>
        </is>
      </c>
      <c r="I1345" s="7" t="inlineStr">
        <is>
          <t>GP-072</t>
        </is>
      </c>
      <c r="J1345" s="7" t="inlineStr">
        <is>
          <t>Mécanique</t>
        </is>
      </c>
      <c r="K1345" s="7" t="inlineStr">
        <is>
          <t>P3 - Normale</t>
        </is>
      </c>
      <c r="L1345" s="7" t="inlineStr">
        <is>
          <t>Graissage chaîne / galets et contrôle tension</t>
        </is>
      </c>
      <c r="M1345" s="7" t="n"/>
      <c r="N1345" s="7" t="inlineStr">
        <is>
          <t>Gamme réalisée - RAS</t>
        </is>
      </c>
      <c r="O1345" s="7" t="inlineStr">
        <is>
          <t>Karim Benali</t>
        </is>
      </c>
      <c r="P1345" s="65" t="n">
        <v>46258.52083333334</v>
      </c>
      <c r="Q1345" s="75" t="n">
        <v>46258.56944444445</v>
      </c>
      <c r="R1345" s="75" t="n">
        <v>46258.64236111111</v>
      </c>
      <c r="S1345" s="76" t="n">
        <v>0.9</v>
      </c>
      <c r="T1345" s="76" t="n">
        <v>1.75</v>
      </c>
      <c r="U1345" s="70">
        <f>IF($A1345="","",IFERROR(INDEX('Techniciens'!$F$5:$F$44,MATCH(O1345,'Techniciens'!$B$5:$B$44,0)),'Paramètres'!$AA$10))</f>
        <v/>
      </c>
      <c r="V1345" s="70">
        <f>IF($A1345="","",IF(OR(AC1345="Demandé",AC1345="Planifié",AC1345="Annulé"),0,N(T1345)*N(U1345)))</f>
        <v/>
      </c>
      <c r="W1345" s="70">
        <f>IF($A1345="","",SUMIFS('Mouvements stock'!$H$5:$H$3004,'Mouvements stock'!$I$5:$I$3004,$A1345,'Mouvements stock'!$C$5:$C$3004,"Sortie")-SUMIFS('Mouvements stock'!$H$5:$H$3004,'Mouvements stock'!$I$5:$I$3004,$A1345,'Mouvements stock'!$C$5:$C$3004,"Retour"))</f>
        <v/>
      </c>
      <c r="X1345" s="66" t="n">
        <v>0</v>
      </c>
      <c r="Y1345" s="66" t="n">
        <v>0</v>
      </c>
      <c r="Z1345" s="7" t="n"/>
      <c r="AA1345" s="70">
        <f>IF($A1345="","",N(V1345)+N(W1345)+N(X1345)+N(Y1345))</f>
        <v/>
      </c>
      <c r="AB1345" s="70">
        <f>IF($A1345="","",N(S1345)*'Paramètres'!$AA$9*IFERROR(INDEX('Paramètres'!$O$5:$O$7,MATCH(G1345,'Paramètres'!$N$5:$N$7,0)),0))</f>
        <v/>
      </c>
      <c r="AC1345" s="7" t="inlineStr">
        <is>
          <t>Clôturé</t>
        </is>
      </c>
      <c r="AD1345" s="69">
        <f>IF(OR($A1345="",Q1345=""),"",(Q1345-B1345)*24)</f>
        <v/>
      </c>
      <c r="AE1345" s="69">
        <f>IF(OR(Q1345="",R1345=""),"",(R1345-Q1345)*24)</f>
        <v/>
      </c>
      <c r="AF1345" s="77">
        <f>IF(OR($A1345="",B1345=""),"",YEAR(B1345))</f>
        <v/>
      </c>
      <c r="AG1345" s="77">
        <f>IF(OR($A1345="",B1345=""),"",MONTH(B1345))</f>
        <v/>
      </c>
    </row>
    <row r="1346">
      <c r="A1346" s="7" t="inlineStr">
        <is>
          <t>OT-2026-0491</t>
        </is>
      </c>
      <c r="B1346" s="75" t="n">
        <v>46251.3625</v>
      </c>
      <c r="C1346" s="7" t="inlineStr">
        <is>
          <t>Opérateur tôlerie</t>
        </is>
      </c>
      <c r="D1346" s="7" t="inlineStr">
        <is>
          <t>EQ-TOL-004</t>
        </is>
      </c>
      <c r="E1346" s="9">
        <f>IF(D1346="","",IFERROR(INDEX('Équipements'!$B$5:$B$304,MATCH(D1346,'Équipements'!$A$5:$A$304,0)),"Code inconnu"))</f>
        <v/>
      </c>
      <c r="F1346" s="9">
        <f>IF(D1346="","",IFERROR(INDEX('Équipements'!$D$5:$D$304,MATCH(D1346,'Équipements'!$A$5:$A$304,0)),""))</f>
        <v/>
      </c>
      <c r="G1346" s="9">
        <f>IF(D1346="","",IFERROR(INDEX('Équipements'!$K$5:$K$304,MATCH(D1346,'Équipements'!$A$5:$A$304,0)),""))</f>
        <v/>
      </c>
      <c r="H1346" s="7" t="inlineStr">
        <is>
          <t>Correctif</t>
        </is>
      </c>
      <c r="I1346" s="7" t="n"/>
      <c r="J1346" s="7" t="inlineStr">
        <is>
          <t>Hydraulique</t>
        </is>
      </c>
      <c r="K1346" s="7" t="inlineStr">
        <is>
          <t>P1 - Urgent</t>
        </is>
      </c>
      <c r="L1346" s="7" t="inlineStr">
        <is>
          <t>Fuite d'huile vérin principal</t>
        </is>
      </c>
      <c r="M1346" s="7" t="inlineStr">
        <is>
          <t>Fuite</t>
        </is>
      </c>
      <c r="N1346" s="7" t="inlineStr">
        <is>
          <t>Remplacement kit joints vérin</t>
        </is>
      </c>
      <c r="O1346" s="7" t="inlineStr">
        <is>
          <t>Antoine Mercier</t>
        </is>
      </c>
      <c r="P1346" s="65" t="n"/>
      <c r="Q1346" s="75" t="n">
        <v>46251.37222222222</v>
      </c>
      <c r="R1346" s="75" t="n">
        <v>46251.84097222222</v>
      </c>
      <c r="S1346" s="76" t="n">
        <v>11.5</v>
      </c>
      <c r="T1346" s="76" t="n">
        <v>11.25</v>
      </c>
      <c r="U1346" s="70">
        <f>IF($A1346="","",IFERROR(INDEX('Techniciens'!$F$5:$F$44,MATCH(O1346,'Techniciens'!$B$5:$B$44,0)),'Paramètres'!$AA$10))</f>
        <v/>
      </c>
      <c r="V1346" s="70">
        <f>IF($A1346="","",IF(OR(AC1346="Demandé",AC1346="Planifié",AC1346="Annulé"),0,N(T1346)*N(U1346)))</f>
        <v/>
      </c>
      <c r="W1346" s="70">
        <f>IF($A1346="","",SUMIFS('Mouvements stock'!$H$5:$H$3004,'Mouvements stock'!$I$5:$I$3004,$A1346,'Mouvements stock'!$C$5:$C$3004,"Sortie")-SUMIFS('Mouvements stock'!$H$5:$H$3004,'Mouvements stock'!$I$5:$I$3004,$A1346,'Mouvements stock'!$C$5:$C$3004,"Retour"))</f>
        <v/>
      </c>
      <c r="X1346" s="66" t="n">
        <v>0</v>
      </c>
      <c r="Y1346" s="66" t="n">
        <v>0</v>
      </c>
      <c r="Z1346" s="7" t="n"/>
      <c r="AA1346" s="70">
        <f>IF($A1346="","",N(V1346)+N(W1346)+N(X1346)+N(Y1346))</f>
        <v/>
      </c>
      <c r="AB1346" s="70">
        <f>IF($A1346="","",N(S1346)*'Paramètres'!$AA$9*IFERROR(INDEX('Paramètres'!$O$5:$O$7,MATCH(G1346,'Paramètres'!$N$5:$N$7,0)),0))</f>
        <v/>
      </c>
      <c r="AC1346" s="7" t="inlineStr">
        <is>
          <t>Clôturé</t>
        </is>
      </c>
      <c r="AD1346" s="69">
        <f>IF(OR($A1346="",Q1346=""),"",(Q1346-B1346)*24)</f>
        <v/>
      </c>
      <c r="AE1346" s="69">
        <f>IF(OR(Q1346="",R1346=""),"",(R1346-Q1346)*24)</f>
        <v/>
      </c>
      <c r="AF1346" s="77">
        <f>IF(OR($A1346="",B1346=""),"",YEAR(B1346))</f>
        <v/>
      </c>
      <c r="AG1346" s="77">
        <f>IF(OR($A1346="",B1346=""),"",MONTH(B1346))</f>
        <v/>
      </c>
    </row>
    <row r="1347">
      <c r="A1347" s="7" t="inlineStr">
        <is>
          <t>OT-2026-0492</t>
        </is>
      </c>
      <c r="B1347" s="75" t="n">
        <v>46251.375</v>
      </c>
      <c r="C1347" s="7" t="inlineStr">
        <is>
          <t>Plan préventif</t>
        </is>
      </c>
      <c r="D1347" s="7" t="inlineStr">
        <is>
          <t>EQ-USI-002</t>
        </is>
      </c>
      <c r="E1347" s="9">
        <f>IF(D1347="","",IFERROR(INDEX('Équipements'!$B$5:$B$304,MATCH(D1347,'Équipements'!$A$5:$A$304,0)),"Code inconnu"))</f>
        <v/>
      </c>
      <c r="F1347" s="9">
        <f>IF(D1347="","",IFERROR(INDEX('Équipements'!$D$5:$D$304,MATCH(D1347,'Équipements'!$A$5:$A$304,0)),""))</f>
        <v/>
      </c>
      <c r="G1347" s="9">
        <f>IF(D1347="","",IFERROR(INDEX('Équipements'!$K$5:$K$304,MATCH(D1347,'Équipements'!$A$5:$A$304,0)),""))</f>
        <v/>
      </c>
      <c r="H1347" s="7" t="inlineStr">
        <is>
          <t>Préventif systématique</t>
        </is>
      </c>
      <c r="I1347" s="7" t="inlineStr">
        <is>
          <t>GP-005</t>
        </is>
      </c>
      <c r="J1347" s="7" t="inlineStr">
        <is>
          <t>Mécanique</t>
        </is>
      </c>
      <c r="K1347" s="7" t="inlineStr">
        <is>
          <t>P3 - Normale</t>
        </is>
      </c>
      <c r="L1347" s="7" t="inlineStr">
        <is>
          <t>Contrôle niveaux, nettoyage filtres et bac à copeaux</t>
        </is>
      </c>
      <c r="M1347" s="7" t="n"/>
      <c r="N1347" s="7" t="inlineStr">
        <is>
          <t>Gamme réalisée - RAS</t>
        </is>
      </c>
      <c r="O1347" s="7" t="inlineStr">
        <is>
          <t>Antoine Mercier</t>
        </is>
      </c>
      <c r="P1347" s="65" t="n">
        <v>46258.65972222222</v>
      </c>
      <c r="Q1347" s="75" t="n">
        <v>46258.50694444445</v>
      </c>
      <c r="R1347" s="75" t="n">
        <v>46258.56944444445</v>
      </c>
      <c r="S1347" s="76" t="n">
        <v>1.5</v>
      </c>
      <c r="T1347" s="76" t="n">
        <v>1.5</v>
      </c>
      <c r="U1347" s="70">
        <f>IF($A1347="","",IFERROR(INDEX('Techniciens'!$F$5:$F$44,MATCH(O1347,'Techniciens'!$B$5:$B$44,0)),'Paramètres'!$AA$10))</f>
        <v/>
      </c>
      <c r="V1347" s="70">
        <f>IF($A1347="","",IF(OR(AC1347="Demandé",AC1347="Planifié",AC1347="Annulé"),0,N(T1347)*N(U1347)))</f>
        <v/>
      </c>
      <c r="W1347" s="70">
        <f>IF($A1347="","",SUMIFS('Mouvements stock'!$H$5:$H$3004,'Mouvements stock'!$I$5:$I$3004,$A1347,'Mouvements stock'!$C$5:$C$3004,"Sortie")-SUMIFS('Mouvements stock'!$H$5:$H$3004,'Mouvements stock'!$I$5:$I$3004,$A1347,'Mouvements stock'!$C$5:$C$3004,"Retour"))</f>
        <v/>
      </c>
      <c r="X1347" s="66" t="n">
        <v>0</v>
      </c>
      <c r="Y1347" s="66" t="n">
        <v>0</v>
      </c>
      <c r="Z1347" s="7" t="n"/>
      <c r="AA1347" s="70">
        <f>IF($A1347="","",N(V1347)+N(W1347)+N(X1347)+N(Y1347))</f>
        <v/>
      </c>
      <c r="AB1347" s="70">
        <f>IF($A1347="","",N(S1347)*'Paramètres'!$AA$9*IFERROR(INDEX('Paramètres'!$O$5:$O$7,MATCH(G1347,'Paramètres'!$N$5:$N$7,0)),0))</f>
        <v/>
      </c>
      <c r="AC1347" s="7" t="inlineStr">
        <is>
          <t>Clôturé</t>
        </is>
      </c>
      <c r="AD1347" s="69">
        <f>IF(OR($A1347="",Q1347=""),"",(Q1347-B1347)*24)</f>
        <v/>
      </c>
      <c r="AE1347" s="69">
        <f>IF(OR(Q1347="",R1347=""),"",(R1347-Q1347)*24)</f>
        <v/>
      </c>
      <c r="AF1347" s="77">
        <f>IF(OR($A1347="",B1347=""),"",YEAR(B1347))</f>
        <v/>
      </c>
      <c r="AG1347" s="77">
        <f>IF(OR($A1347="",B1347=""),"",MONTH(B1347))</f>
        <v/>
      </c>
    </row>
    <row r="1348">
      <c r="A1348" s="7" t="inlineStr">
        <is>
          <t>OT-2026-0493</t>
        </is>
      </c>
      <c r="B1348" s="75" t="n">
        <v>46251.42361111111</v>
      </c>
      <c r="C1348" s="7" t="inlineStr">
        <is>
          <t>Plan préventif</t>
        </is>
      </c>
      <c r="D1348" s="7" t="inlineStr">
        <is>
          <t>EQ-PEI-005</t>
        </is>
      </c>
      <c r="E1348" s="9">
        <f>IF(D1348="","",IFERROR(INDEX('Équipements'!$B$5:$B$304,MATCH(D1348,'Équipements'!$A$5:$A$304,0)),"Code inconnu"))</f>
        <v/>
      </c>
      <c r="F1348" s="9">
        <f>IF(D1348="","",IFERROR(INDEX('Équipements'!$D$5:$D$304,MATCH(D1348,'Équipements'!$A$5:$A$304,0)),""))</f>
        <v/>
      </c>
      <c r="G1348" s="9">
        <f>IF(D1348="","",IFERROR(INDEX('Équipements'!$K$5:$K$304,MATCH(D1348,'Équipements'!$A$5:$A$304,0)),""))</f>
        <v/>
      </c>
      <c r="H1348" s="7" t="inlineStr">
        <is>
          <t>Préventif systématique</t>
        </is>
      </c>
      <c r="I1348" s="7" t="inlineStr">
        <is>
          <t>GP-074</t>
        </is>
      </c>
      <c r="J1348" s="7" t="inlineStr">
        <is>
          <t>Mécanique</t>
        </is>
      </c>
      <c r="K1348" s="7" t="inlineStr">
        <is>
          <t>P3 - Normale</t>
        </is>
      </c>
      <c r="L1348" s="7" t="inlineStr">
        <is>
          <t>Nettoyage et remplacement des filtres</t>
        </is>
      </c>
      <c r="M1348" s="7" t="n"/>
      <c r="N1348" s="7" t="inlineStr">
        <is>
          <t>Gamme réalisée - RAS</t>
        </is>
      </c>
      <c r="O1348" s="7" t="inlineStr">
        <is>
          <t>Lucas Fontaine</t>
        </is>
      </c>
      <c r="P1348" s="65" t="n">
        <v>46258.67708333334</v>
      </c>
      <c r="Q1348" s="75" t="n">
        <v>46258.53125</v>
      </c>
      <c r="R1348" s="75" t="n">
        <v>46258.6875</v>
      </c>
      <c r="S1348" s="76" t="n">
        <v>0</v>
      </c>
      <c r="T1348" s="76" t="n">
        <v>3.75</v>
      </c>
      <c r="U1348" s="70">
        <f>IF($A1348="","",IFERROR(INDEX('Techniciens'!$F$5:$F$44,MATCH(O1348,'Techniciens'!$B$5:$B$44,0)),'Paramètres'!$AA$10))</f>
        <v/>
      </c>
      <c r="V1348" s="70">
        <f>IF($A1348="","",IF(OR(AC1348="Demandé",AC1348="Planifié",AC1348="Annulé"),0,N(T1348)*N(U1348)))</f>
        <v/>
      </c>
      <c r="W1348" s="70">
        <f>IF($A1348="","",SUMIFS('Mouvements stock'!$H$5:$H$3004,'Mouvements stock'!$I$5:$I$3004,$A1348,'Mouvements stock'!$C$5:$C$3004,"Sortie")-SUMIFS('Mouvements stock'!$H$5:$H$3004,'Mouvements stock'!$I$5:$I$3004,$A1348,'Mouvements stock'!$C$5:$C$3004,"Retour"))</f>
        <v/>
      </c>
      <c r="X1348" s="66" t="n">
        <v>0</v>
      </c>
      <c r="Y1348" s="66" t="n">
        <v>0</v>
      </c>
      <c r="Z1348" s="7" t="n"/>
      <c r="AA1348" s="70">
        <f>IF($A1348="","",N(V1348)+N(W1348)+N(X1348)+N(Y1348))</f>
        <v/>
      </c>
      <c r="AB1348" s="70">
        <f>IF($A1348="","",N(S1348)*'Paramètres'!$AA$9*IFERROR(INDEX('Paramètres'!$O$5:$O$7,MATCH(G1348,'Paramètres'!$N$5:$N$7,0)),0))</f>
        <v/>
      </c>
      <c r="AC1348" s="7" t="inlineStr">
        <is>
          <t>Clôturé</t>
        </is>
      </c>
      <c r="AD1348" s="69">
        <f>IF(OR($A1348="",Q1348=""),"",(Q1348-B1348)*24)</f>
        <v/>
      </c>
      <c r="AE1348" s="69">
        <f>IF(OR(Q1348="",R1348=""),"",(R1348-Q1348)*24)</f>
        <v/>
      </c>
      <c r="AF1348" s="77">
        <f>IF(OR($A1348="",B1348=""),"",YEAR(B1348))</f>
        <v/>
      </c>
      <c r="AG1348" s="77">
        <f>IF(OR($A1348="",B1348=""),"",MONTH(B1348))</f>
        <v/>
      </c>
    </row>
    <row r="1349">
      <c r="A1349" s="7" t="inlineStr">
        <is>
          <t>OT-2026-0494</t>
        </is>
      </c>
      <c r="B1349" s="75" t="n">
        <v>46251.44444444445</v>
      </c>
      <c r="C1349" s="7" t="inlineStr">
        <is>
          <t>Plan préventif</t>
        </is>
      </c>
      <c r="D1349" s="7" t="inlineStr">
        <is>
          <t>EQ-UTI-002</t>
        </is>
      </c>
      <c r="E1349" s="9">
        <f>IF(D1349="","",IFERROR(INDEX('Équipements'!$B$5:$B$304,MATCH(D1349,'Équipements'!$A$5:$A$304,0)),"Code inconnu"))</f>
        <v/>
      </c>
      <c r="F1349" s="9">
        <f>IF(D1349="","",IFERROR(INDEX('Équipements'!$D$5:$D$304,MATCH(D1349,'Équipements'!$A$5:$A$304,0)),""))</f>
        <v/>
      </c>
      <c r="G1349" s="9">
        <f>IF(D1349="","",IFERROR(INDEX('Équipements'!$K$5:$K$304,MATCH(D1349,'Équipements'!$A$5:$A$304,0)),""))</f>
        <v/>
      </c>
      <c r="H1349" s="7" t="inlineStr">
        <is>
          <t>Préventif systématique</t>
        </is>
      </c>
      <c r="I1349" s="7" t="inlineStr">
        <is>
          <t>GP-090</t>
        </is>
      </c>
      <c r="J1349" s="7" t="inlineStr">
        <is>
          <t>Pneumatique</t>
        </is>
      </c>
      <c r="K1349" s="7" t="inlineStr">
        <is>
          <t>P3 - Normale</t>
        </is>
      </c>
      <c r="L1349" s="7" t="inlineStr">
        <is>
          <t>Purge, contrôle fuites et point de rosée</t>
        </is>
      </c>
      <c r="M1349" s="7" t="n"/>
      <c r="N1349" s="7" t="inlineStr">
        <is>
          <t>Gamme réalisée - RAS</t>
        </is>
      </c>
      <c r="O1349" s="7" t="inlineStr">
        <is>
          <t>Lucas Fontaine</t>
        </is>
      </c>
      <c r="P1349" s="65" t="n">
        <v>46258.37847222222</v>
      </c>
      <c r="Q1349" s="75" t="n">
        <v>46258.50694444445</v>
      </c>
      <c r="R1349" s="75" t="n">
        <v>46258.55902777778</v>
      </c>
      <c r="S1349" s="76" t="n">
        <v>0</v>
      </c>
      <c r="T1349" s="76" t="n">
        <v>1.25</v>
      </c>
      <c r="U1349" s="70">
        <f>IF($A1349="","",IFERROR(INDEX('Techniciens'!$F$5:$F$44,MATCH(O1349,'Techniciens'!$B$5:$B$44,0)),'Paramètres'!$AA$10))</f>
        <v/>
      </c>
      <c r="V1349" s="70">
        <f>IF($A1349="","",IF(OR(AC1349="Demandé",AC1349="Planifié",AC1349="Annulé"),0,N(T1349)*N(U1349)))</f>
        <v/>
      </c>
      <c r="W1349" s="70">
        <f>IF($A1349="","",SUMIFS('Mouvements stock'!$H$5:$H$3004,'Mouvements stock'!$I$5:$I$3004,$A1349,'Mouvements stock'!$C$5:$C$3004,"Sortie")-SUMIFS('Mouvements stock'!$H$5:$H$3004,'Mouvements stock'!$I$5:$I$3004,$A1349,'Mouvements stock'!$C$5:$C$3004,"Retour"))</f>
        <v/>
      </c>
      <c r="X1349" s="66" t="n">
        <v>0</v>
      </c>
      <c r="Y1349" s="66" t="n">
        <v>0</v>
      </c>
      <c r="Z1349" s="7" t="n"/>
      <c r="AA1349" s="70">
        <f>IF($A1349="","",N(V1349)+N(W1349)+N(X1349)+N(Y1349))</f>
        <v/>
      </c>
      <c r="AB1349" s="70">
        <f>IF($A1349="","",N(S1349)*'Paramètres'!$AA$9*IFERROR(INDEX('Paramètres'!$O$5:$O$7,MATCH(G1349,'Paramètres'!$N$5:$N$7,0)),0))</f>
        <v/>
      </c>
      <c r="AC1349" s="7" t="inlineStr">
        <is>
          <t>Clôturé</t>
        </is>
      </c>
      <c r="AD1349" s="69">
        <f>IF(OR($A1349="",Q1349=""),"",(Q1349-B1349)*24)</f>
        <v/>
      </c>
      <c r="AE1349" s="69">
        <f>IF(OR(Q1349="",R1349=""),"",(R1349-Q1349)*24)</f>
        <v/>
      </c>
      <c r="AF1349" s="77">
        <f>IF(OR($A1349="",B1349=""),"",YEAR(B1349))</f>
        <v/>
      </c>
      <c r="AG1349" s="77">
        <f>IF(OR($A1349="",B1349=""),"",MONTH(B1349))</f>
        <v/>
      </c>
    </row>
    <row r="1350">
      <c r="A1350" s="7" t="inlineStr">
        <is>
          <t>OT-2026-0495</t>
        </is>
      </c>
      <c r="B1350" s="75" t="n">
        <v>46251.44791666666</v>
      </c>
      <c r="C1350" s="7" t="inlineStr">
        <is>
          <t>Plan préventif</t>
        </is>
      </c>
      <c r="D1350" s="7" t="inlineStr">
        <is>
          <t>EQ-PEI-001</t>
        </is>
      </c>
      <c r="E1350" s="9">
        <f>IF(D1350="","",IFERROR(INDEX('Équipements'!$B$5:$B$304,MATCH(D1350,'Équipements'!$A$5:$A$304,0)),"Code inconnu"))</f>
        <v/>
      </c>
      <c r="F1350" s="9">
        <f>IF(D1350="","",IFERROR(INDEX('Équipements'!$D$5:$D$304,MATCH(D1350,'Équipements'!$A$5:$A$304,0)),""))</f>
        <v/>
      </c>
      <c r="G1350" s="9">
        <f>IF(D1350="","",IFERROR(INDEX('Équipements'!$K$5:$K$304,MATCH(D1350,'Équipements'!$A$5:$A$304,0)),""))</f>
        <v/>
      </c>
      <c r="H1350" s="7" t="inlineStr">
        <is>
          <t>Préventif systématique</t>
        </is>
      </c>
      <c r="I1350" s="7" t="inlineStr">
        <is>
          <t>GP-066</t>
        </is>
      </c>
      <c r="J1350" s="7" t="inlineStr">
        <is>
          <t>Mécanique</t>
        </is>
      </c>
      <c r="K1350" s="7" t="inlineStr">
        <is>
          <t>P3 - Normale</t>
        </is>
      </c>
      <c r="L1350" s="7" t="inlineStr">
        <is>
          <t>Nettoyage et remplacement des filtres</t>
        </is>
      </c>
      <c r="M1350" s="7" t="n"/>
      <c r="N1350" s="7" t="inlineStr">
        <is>
          <t>Gamme réalisée - RAS</t>
        </is>
      </c>
      <c r="O1350" s="7" t="inlineStr">
        <is>
          <t>Lucas Fontaine</t>
        </is>
      </c>
      <c r="P1350" s="65" t="n">
        <v>46258.75</v>
      </c>
      <c r="Q1350" s="75" t="n">
        <v>46258.40277777778</v>
      </c>
      <c r="R1350" s="75" t="n">
        <v>46258.52777777778</v>
      </c>
      <c r="S1350" s="76" t="n">
        <v>0</v>
      </c>
      <c r="T1350" s="76" t="n">
        <v>3</v>
      </c>
      <c r="U1350" s="70">
        <f>IF($A1350="","",IFERROR(INDEX('Techniciens'!$F$5:$F$44,MATCH(O1350,'Techniciens'!$B$5:$B$44,0)),'Paramètres'!$AA$10))</f>
        <v/>
      </c>
      <c r="V1350" s="70">
        <f>IF($A1350="","",IF(OR(AC1350="Demandé",AC1350="Planifié",AC1350="Annulé"),0,N(T1350)*N(U1350)))</f>
        <v/>
      </c>
      <c r="W1350" s="70">
        <f>IF($A1350="","",SUMIFS('Mouvements stock'!$H$5:$H$3004,'Mouvements stock'!$I$5:$I$3004,$A1350,'Mouvements stock'!$C$5:$C$3004,"Sortie")-SUMIFS('Mouvements stock'!$H$5:$H$3004,'Mouvements stock'!$I$5:$I$3004,$A1350,'Mouvements stock'!$C$5:$C$3004,"Retour"))</f>
        <v/>
      </c>
      <c r="X1350" s="66" t="n">
        <v>0</v>
      </c>
      <c r="Y1350" s="66" t="n">
        <v>0</v>
      </c>
      <c r="Z1350" s="7" t="n"/>
      <c r="AA1350" s="70">
        <f>IF($A1350="","",N(V1350)+N(W1350)+N(X1350)+N(Y1350))</f>
        <v/>
      </c>
      <c r="AB1350" s="70">
        <f>IF($A1350="","",N(S1350)*'Paramètres'!$AA$9*IFERROR(INDEX('Paramètres'!$O$5:$O$7,MATCH(G1350,'Paramètres'!$N$5:$N$7,0)),0))</f>
        <v/>
      </c>
      <c r="AC1350" s="7" t="inlineStr">
        <is>
          <t>Clôturé</t>
        </is>
      </c>
      <c r="AD1350" s="69">
        <f>IF(OR($A1350="",Q1350=""),"",(Q1350-B1350)*24)</f>
        <v/>
      </c>
      <c r="AE1350" s="69">
        <f>IF(OR(Q1350="",R1350=""),"",(R1350-Q1350)*24)</f>
        <v/>
      </c>
      <c r="AF1350" s="77">
        <f>IF(OR($A1350="",B1350=""),"",YEAR(B1350))</f>
        <v/>
      </c>
      <c r="AG1350" s="77">
        <f>IF(OR($A1350="",B1350=""),"",MONTH(B1350))</f>
        <v/>
      </c>
    </row>
    <row r="1351">
      <c r="A1351" s="7" t="inlineStr">
        <is>
          <t>OT-2026-0496</t>
        </is>
      </c>
      <c r="B1351" s="75" t="n">
        <v>46251.46944444445</v>
      </c>
      <c r="C1351" s="7" t="inlineStr">
        <is>
          <t>Ronde maintenance</t>
        </is>
      </c>
      <c r="D1351" s="7" t="inlineStr">
        <is>
          <t>EQ-UTI-009</t>
        </is>
      </c>
      <c r="E1351" s="9">
        <f>IF(D1351="","",IFERROR(INDEX('Équipements'!$B$5:$B$304,MATCH(D1351,'Équipements'!$A$5:$A$304,0)),"Code inconnu"))</f>
        <v/>
      </c>
      <c r="F1351" s="9">
        <f>IF(D1351="","",IFERROR(INDEX('Équipements'!$D$5:$D$304,MATCH(D1351,'Équipements'!$A$5:$A$304,0)),""))</f>
        <v/>
      </c>
      <c r="G1351" s="9">
        <f>IF(D1351="","",IFERROR(INDEX('Équipements'!$K$5:$K$304,MATCH(D1351,'Équipements'!$A$5:$A$304,0)),""))</f>
        <v/>
      </c>
      <c r="H1351" s="7" t="inlineStr">
        <is>
          <t>Correctif</t>
        </is>
      </c>
      <c r="I1351" s="7" t="n"/>
      <c r="J1351" s="7" t="inlineStr">
        <is>
          <t>Mécanique</t>
        </is>
      </c>
      <c r="K1351" s="7" t="inlineStr">
        <is>
          <t>P3 - Normale</t>
        </is>
      </c>
      <c r="L1351" s="7" t="inlineStr">
        <is>
          <t>Colmatage filtre-presse</t>
        </is>
      </c>
      <c r="M1351" s="7" t="inlineStr">
        <is>
          <t>Encrassement</t>
        </is>
      </c>
      <c r="N1351" s="7" t="inlineStr">
        <is>
          <t>Nettoyage des toiles filtrantes</t>
        </is>
      </c>
      <c r="O1351" s="7" t="inlineStr">
        <is>
          <t>Karim Benali</t>
        </is>
      </c>
      <c r="P1351" s="65" t="n"/>
      <c r="Q1351" s="75" t="n">
        <v>46252.46597222222</v>
      </c>
      <c r="R1351" s="75" t="n">
        <v>46252.51805555556</v>
      </c>
      <c r="S1351" s="76" t="n">
        <v>1.2</v>
      </c>
      <c r="T1351" s="76" t="n">
        <v>1.25</v>
      </c>
      <c r="U1351" s="70">
        <f>IF($A1351="","",IFERROR(INDEX('Techniciens'!$F$5:$F$44,MATCH(O1351,'Techniciens'!$B$5:$B$44,0)),'Paramètres'!$AA$10))</f>
        <v/>
      </c>
      <c r="V1351" s="70">
        <f>IF($A1351="","",IF(OR(AC1351="Demandé",AC1351="Planifié",AC1351="Annulé"),0,N(T1351)*N(U1351)))</f>
        <v/>
      </c>
      <c r="W1351" s="70">
        <f>IF($A1351="","",SUMIFS('Mouvements stock'!$H$5:$H$3004,'Mouvements stock'!$I$5:$I$3004,$A1351,'Mouvements stock'!$C$5:$C$3004,"Sortie")-SUMIFS('Mouvements stock'!$H$5:$H$3004,'Mouvements stock'!$I$5:$I$3004,$A1351,'Mouvements stock'!$C$5:$C$3004,"Retour"))</f>
        <v/>
      </c>
      <c r="X1351" s="66" t="n">
        <v>0</v>
      </c>
      <c r="Y1351" s="66" t="n">
        <v>0</v>
      </c>
      <c r="Z1351" s="7" t="n"/>
      <c r="AA1351" s="70">
        <f>IF($A1351="","",N(V1351)+N(W1351)+N(X1351)+N(Y1351))</f>
        <v/>
      </c>
      <c r="AB1351" s="70">
        <f>IF($A1351="","",N(S1351)*'Paramètres'!$AA$9*IFERROR(INDEX('Paramètres'!$O$5:$O$7,MATCH(G1351,'Paramètres'!$N$5:$N$7,0)),0))</f>
        <v/>
      </c>
      <c r="AC1351" s="7" t="inlineStr">
        <is>
          <t>Clôturé</t>
        </is>
      </c>
      <c r="AD1351" s="69">
        <f>IF(OR($A1351="",Q1351=""),"",(Q1351-B1351)*24)</f>
        <v/>
      </c>
      <c r="AE1351" s="69">
        <f>IF(OR(Q1351="",R1351=""),"",(R1351-Q1351)*24)</f>
        <v/>
      </c>
      <c r="AF1351" s="77">
        <f>IF(OR($A1351="",B1351=""),"",YEAR(B1351))</f>
        <v/>
      </c>
      <c r="AG1351" s="77">
        <f>IF(OR($A1351="",B1351=""),"",MONTH(B1351))</f>
        <v/>
      </c>
    </row>
    <row r="1352">
      <c r="A1352" s="7" t="inlineStr">
        <is>
          <t>OT-2026-0497</t>
        </is>
      </c>
      <c r="B1352" s="75" t="n">
        <v>46251.48958333334</v>
      </c>
      <c r="C1352" s="7" t="inlineStr">
        <is>
          <t>Plan préventif</t>
        </is>
      </c>
      <c r="D1352" s="7" t="inlineStr">
        <is>
          <t>EQ-LOG-007</t>
        </is>
      </c>
      <c r="E1352" s="9">
        <f>IF(D1352="","",IFERROR(INDEX('Équipements'!$B$5:$B$304,MATCH(D1352,'Équipements'!$A$5:$A$304,0)),"Code inconnu"))</f>
        <v/>
      </c>
      <c r="F1352" s="9">
        <f>IF(D1352="","",IFERROR(INDEX('Équipements'!$D$5:$D$304,MATCH(D1352,'Équipements'!$A$5:$A$304,0)),""))</f>
        <v/>
      </c>
      <c r="G1352" s="9">
        <f>IF(D1352="","",IFERROR(INDEX('Équipements'!$K$5:$K$304,MATCH(D1352,'Équipements'!$A$5:$A$304,0)),""))</f>
        <v/>
      </c>
      <c r="H1352" s="7" t="inlineStr">
        <is>
          <t>Préventif systématique</t>
        </is>
      </c>
      <c r="I1352" s="7" t="inlineStr">
        <is>
          <t>GP-117</t>
        </is>
      </c>
      <c r="J1352" s="7" t="inlineStr">
        <is>
          <t>Mécanique</t>
        </is>
      </c>
      <c r="K1352" s="7" t="inlineStr">
        <is>
          <t>P3 - Normale</t>
        </is>
      </c>
      <c r="L1352" s="7" t="inlineStr">
        <is>
          <t>Contrôle câbles, crochets, freins et fins de course</t>
        </is>
      </c>
      <c r="M1352" s="7" t="n"/>
      <c r="N1352" s="7" t="inlineStr">
        <is>
          <t>Gamme réalisée - RAS</t>
        </is>
      </c>
      <c r="O1352" s="7" t="inlineStr">
        <is>
          <t>Karim Benali</t>
        </is>
      </c>
      <c r="P1352" s="65" t="n">
        <v>46258.41666666666</v>
      </c>
      <c r="Q1352" s="75" t="n">
        <v>46258.25694444445</v>
      </c>
      <c r="R1352" s="75" t="n">
        <v>46258.40277777778</v>
      </c>
      <c r="S1352" s="76" t="n">
        <v>0</v>
      </c>
      <c r="T1352" s="76" t="n">
        <v>3.5</v>
      </c>
      <c r="U1352" s="70">
        <f>IF($A1352="","",IFERROR(INDEX('Techniciens'!$F$5:$F$44,MATCH(O1352,'Techniciens'!$B$5:$B$44,0)),'Paramètres'!$AA$10))</f>
        <v/>
      </c>
      <c r="V1352" s="70">
        <f>IF($A1352="","",IF(OR(AC1352="Demandé",AC1352="Planifié",AC1352="Annulé"),0,N(T1352)*N(U1352)))</f>
        <v/>
      </c>
      <c r="W1352" s="70">
        <f>IF($A1352="","",SUMIFS('Mouvements stock'!$H$5:$H$3004,'Mouvements stock'!$I$5:$I$3004,$A1352,'Mouvements stock'!$C$5:$C$3004,"Sortie")-SUMIFS('Mouvements stock'!$H$5:$H$3004,'Mouvements stock'!$I$5:$I$3004,$A1352,'Mouvements stock'!$C$5:$C$3004,"Retour"))</f>
        <v/>
      </c>
      <c r="X1352" s="66" t="n">
        <v>0</v>
      </c>
      <c r="Y1352" s="66" t="n">
        <v>0</v>
      </c>
      <c r="Z1352" s="7" t="n"/>
      <c r="AA1352" s="70">
        <f>IF($A1352="","",N(V1352)+N(W1352)+N(X1352)+N(Y1352))</f>
        <v/>
      </c>
      <c r="AB1352" s="70">
        <f>IF($A1352="","",N(S1352)*'Paramètres'!$AA$9*IFERROR(INDEX('Paramètres'!$O$5:$O$7,MATCH(G1352,'Paramètres'!$N$5:$N$7,0)),0))</f>
        <v/>
      </c>
      <c r="AC1352" s="7" t="inlineStr">
        <is>
          <t>Clôturé</t>
        </is>
      </c>
      <c r="AD1352" s="69">
        <f>IF(OR($A1352="",Q1352=""),"",(Q1352-B1352)*24)</f>
        <v/>
      </c>
      <c r="AE1352" s="69">
        <f>IF(OR(Q1352="",R1352=""),"",(R1352-Q1352)*24)</f>
        <v/>
      </c>
      <c r="AF1352" s="77">
        <f>IF(OR($A1352="",B1352=""),"",YEAR(B1352))</f>
        <v/>
      </c>
      <c r="AG1352" s="77">
        <f>IF(OR($A1352="",B1352=""),"",MONTH(B1352))</f>
        <v/>
      </c>
    </row>
    <row r="1353">
      <c r="A1353" s="7" t="inlineStr">
        <is>
          <t>OT-2026-0498</t>
        </is>
      </c>
      <c r="B1353" s="75" t="n">
        <v>46251.49305555555</v>
      </c>
      <c r="C1353" s="7" t="inlineStr">
        <is>
          <t>Plan préventif</t>
        </is>
      </c>
      <c r="D1353" s="7" t="inlineStr">
        <is>
          <t>EQ-UTI-001</t>
        </is>
      </c>
      <c r="E1353" s="9">
        <f>IF(D1353="","",IFERROR(INDEX('Équipements'!$B$5:$B$304,MATCH(D1353,'Équipements'!$A$5:$A$304,0)),"Code inconnu"))</f>
        <v/>
      </c>
      <c r="F1353" s="9">
        <f>IF(D1353="","",IFERROR(INDEX('Équipements'!$D$5:$D$304,MATCH(D1353,'Équipements'!$A$5:$A$304,0)),""))</f>
        <v/>
      </c>
      <c r="G1353" s="9">
        <f>IF(D1353="","",IFERROR(INDEX('Équipements'!$K$5:$K$304,MATCH(D1353,'Équipements'!$A$5:$A$304,0)),""))</f>
        <v/>
      </c>
      <c r="H1353" s="7" t="inlineStr">
        <is>
          <t>Préventif conditionnel</t>
        </is>
      </c>
      <c r="I1353" s="7" t="inlineStr">
        <is>
          <t>GP-087</t>
        </is>
      </c>
      <c r="J1353" s="7" t="inlineStr">
        <is>
          <t>Mécanique</t>
        </is>
      </c>
      <c r="K1353" s="7" t="inlineStr">
        <is>
          <t>P3 - Normale</t>
        </is>
      </c>
      <c r="L1353" s="7" t="inlineStr">
        <is>
          <t>Entretien 2000 h : filtres air/huile, séparateur</t>
        </is>
      </c>
      <c r="M1353" s="7" t="n"/>
      <c r="N1353" s="7" t="inlineStr">
        <is>
          <t>Gamme réalisée - RAS</t>
        </is>
      </c>
      <c r="O1353" s="7" t="inlineStr">
        <is>
          <t>Lucas Fontaine</t>
        </is>
      </c>
      <c r="P1353" s="65" t="n">
        <v>46258.63541666666</v>
      </c>
      <c r="Q1353" s="75" t="n">
        <v>46258.60416666666</v>
      </c>
      <c r="R1353" s="75" t="n">
        <v>46258.72916666666</v>
      </c>
      <c r="S1353" s="76" t="n">
        <v>0</v>
      </c>
      <c r="T1353" s="76" t="n">
        <v>3</v>
      </c>
      <c r="U1353" s="70">
        <f>IF($A1353="","",IFERROR(INDEX('Techniciens'!$F$5:$F$44,MATCH(O1353,'Techniciens'!$B$5:$B$44,0)),'Paramètres'!$AA$10))</f>
        <v/>
      </c>
      <c r="V1353" s="70">
        <f>IF($A1353="","",IF(OR(AC1353="Demandé",AC1353="Planifié",AC1353="Annulé"),0,N(T1353)*N(U1353)))</f>
        <v/>
      </c>
      <c r="W1353" s="70">
        <f>IF($A1353="","",SUMIFS('Mouvements stock'!$H$5:$H$3004,'Mouvements stock'!$I$5:$I$3004,$A1353,'Mouvements stock'!$C$5:$C$3004,"Sortie")-SUMIFS('Mouvements stock'!$H$5:$H$3004,'Mouvements stock'!$I$5:$I$3004,$A1353,'Mouvements stock'!$C$5:$C$3004,"Retour"))</f>
        <v/>
      </c>
      <c r="X1353" s="66" t="n">
        <v>0</v>
      </c>
      <c r="Y1353" s="66" t="n">
        <v>0</v>
      </c>
      <c r="Z1353" s="7" t="n"/>
      <c r="AA1353" s="70">
        <f>IF($A1353="","",N(V1353)+N(W1353)+N(X1353)+N(Y1353))</f>
        <v/>
      </c>
      <c r="AB1353" s="70">
        <f>IF($A1353="","",N(S1353)*'Paramètres'!$AA$9*IFERROR(INDEX('Paramètres'!$O$5:$O$7,MATCH(G1353,'Paramètres'!$N$5:$N$7,0)),0))</f>
        <v/>
      </c>
      <c r="AC1353" s="7" t="inlineStr">
        <is>
          <t>Clôturé</t>
        </is>
      </c>
      <c r="AD1353" s="69">
        <f>IF(OR($A1353="",Q1353=""),"",(Q1353-B1353)*24)</f>
        <v/>
      </c>
      <c r="AE1353" s="69">
        <f>IF(OR(Q1353="",R1353=""),"",(R1353-Q1353)*24)</f>
        <v/>
      </c>
      <c r="AF1353" s="77">
        <f>IF(OR($A1353="",B1353=""),"",YEAR(B1353))</f>
        <v/>
      </c>
      <c r="AG1353" s="77">
        <f>IF(OR($A1353="",B1353=""),"",MONTH(B1353))</f>
        <v/>
      </c>
    </row>
    <row r="1354">
      <c r="A1354" s="7" t="inlineStr">
        <is>
          <t>OT-2026-0499</t>
        </is>
      </c>
      <c r="B1354" s="75" t="n">
        <v>46251.78888888889</v>
      </c>
      <c r="C1354" s="7" t="inlineStr">
        <is>
          <t>Céline Morel (cheffe d'atelier)</t>
        </is>
      </c>
      <c r="D1354" s="7" t="inlineStr">
        <is>
          <t>EQ-TOL-002</t>
        </is>
      </c>
      <c r="E1354" s="9">
        <f>IF(D1354="","",IFERROR(INDEX('Équipements'!$B$5:$B$304,MATCH(D1354,'Équipements'!$A$5:$A$304,0)),"Code inconnu"))</f>
        <v/>
      </c>
      <c r="F1354" s="9">
        <f>IF(D1354="","",IFERROR(INDEX('Équipements'!$D$5:$D$304,MATCH(D1354,'Équipements'!$A$5:$A$304,0)),""))</f>
        <v/>
      </c>
      <c r="G1354" s="9">
        <f>IF(D1354="","",IFERROR(INDEX('Équipements'!$K$5:$K$304,MATCH(D1354,'Équipements'!$A$5:$A$304,0)),""))</f>
        <v/>
      </c>
      <c r="H1354" s="7" t="inlineStr">
        <is>
          <t>Correctif</t>
        </is>
      </c>
      <c r="I1354" s="7" t="n"/>
      <c r="J1354" s="7" t="inlineStr">
        <is>
          <t>Hydraulique</t>
        </is>
      </c>
      <c r="K1354" s="7" t="inlineStr">
        <is>
          <t>P1 - Urgent</t>
        </is>
      </c>
      <c r="L1354" s="7" t="inlineStr">
        <is>
          <t>Montée en température huile hydraulique</t>
        </is>
      </c>
      <c r="M1354" s="7" t="inlineStr">
        <is>
          <t>Encrassement</t>
        </is>
      </c>
      <c r="N1354" s="7" t="inlineStr">
        <is>
          <t>Nettoyage échangeur, remplacement filtre</t>
        </is>
      </c>
      <c r="O1354" s="7" t="inlineStr">
        <is>
          <t>Karim Benali</t>
        </is>
      </c>
      <c r="P1354" s="65" t="n"/>
      <c r="Q1354" s="75" t="n">
        <v>46251.80069444444</v>
      </c>
      <c r="R1354" s="75" t="n">
        <v>46252.56111111111</v>
      </c>
      <c r="S1354" s="76" t="n">
        <v>18.5</v>
      </c>
      <c r="T1354" s="76" t="n">
        <v>18.25</v>
      </c>
      <c r="U1354" s="70">
        <f>IF($A1354="","",IFERROR(INDEX('Techniciens'!$F$5:$F$44,MATCH(O1354,'Techniciens'!$B$5:$B$44,0)),'Paramètres'!$AA$10))</f>
        <v/>
      </c>
      <c r="V1354" s="70">
        <f>IF($A1354="","",IF(OR(AC1354="Demandé",AC1354="Planifié",AC1354="Annulé"),0,N(T1354)*N(U1354)))</f>
        <v/>
      </c>
      <c r="W1354" s="70">
        <f>IF($A1354="","",SUMIFS('Mouvements stock'!$H$5:$H$3004,'Mouvements stock'!$I$5:$I$3004,$A1354,'Mouvements stock'!$C$5:$C$3004,"Sortie")-SUMIFS('Mouvements stock'!$H$5:$H$3004,'Mouvements stock'!$I$5:$I$3004,$A1354,'Mouvements stock'!$C$5:$C$3004,"Retour"))</f>
        <v/>
      </c>
      <c r="X1354" s="66" t="n">
        <v>0</v>
      </c>
      <c r="Y1354" s="66" t="n">
        <v>0</v>
      </c>
      <c r="Z1354" s="7" t="n"/>
      <c r="AA1354" s="70">
        <f>IF($A1354="","",N(V1354)+N(W1354)+N(X1354)+N(Y1354))</f>
        <v/>
      </c>
      <c r="AB1354" s="70">
        <f>IF($A1354="","",N(S1354)*'Paramètres'!$AA$9*IFERROR(INDEX('Paramètres'!$O$5:$O$7,MATCH(G1354,'Paramètres'!$N$5:$N$7,0)),0))</f>
        <v/>
      </c>
      <c r="AC1354" s="7" t="inlineStr">
        <is>
          <t>Clôturé</t>
        </is>
      </c>
      <c r="AD1354" s="69">
        <f>IF(OR($A1354="",Q1354=""),"",(Q1354-B1354)*24)</f>
        <v/>
      </c>
      <c r="AE1354" s="69">
        <f>IF(OR(Q1354="",R1354=""),"",(R1354-Q1354)*24)</f>
        <v/>
      </c>
      <c r="AF1354" s="77">
        <f>IF(OR($A1354="",B1354=""),"",YEAR(B1354))</f>
        <v/>
      </c>
      <c r="AG1354" s="77">
        <f>IF(OR($A1354="",B1354=""),"",MONTH(B1354))</f>
        <v/>
      </c>
    </row>
    <row r="1355">
      <c r="A1355" s="7" t="inlineStr">
        <is>
          <t>OT-2026-0500</t>
        </is>
      </c>
      <c r="B1355" s="75" t="n">
        <v>46252.24513888889</v>
      </c>
      <c r="C1355" s="7" t="inlineStr">
        <is>
          <t>Opérateur tôlerie</t>
        </is>
      </c>
      <c r="D1355" s="7" t="inlineStr">
        <is>
          <t>EQ-TOL-001</t>
        </is>
      </c>
      <c r="E1355" s="9">
        <f>IF(D1355="","",IFERROR(INDEX('Équipements'!$B$5:$B$304,MATCH(D1355,'Équipements'!$A$5:$A$304,0)),"Code inconnu"))</f>
        <v/>
      </c>
      <c r="F1355" s="9">
        <f>IF(D1355="","",IFERROR(INDEX('Équipements'!$D$5:$D$304,MATCH(D1355,'Équipements'!$A$5:$A$304,0)),""))</f>
        <v/>
      </c>
      <c r="G1355" s="9">
        <f>IF(D1355="","",IFERROR(INDEX('Équipements'!$K$5:$K$304,MATCH(D1355,'Équipements'!$A$5:$A$304,0)),""))</f>
        <v/>
      </c>
      <c r="H1355" s="7" t="inlineStr">
        <is>
          <t>Correctif</t>
        </is>
      </c>
      <c r="I1355" s="7" t="n"/>
      <c r="J1355" s="7" t="inlineStr">
        <is>
          <t>Pneumatique</t>
        </is>
      </c>
      <c r="K1355" s="7" t="inlineStr">
        <is>
          <t>P2 - Haute</t>
        </is>
      </c>
      <c r="L1355" s="7" t="inlineStr">
        <is>
          <t>Défaut pression gaz d'assistance azote</t>
        </is>
      </c>
      <c r="M1355" s="7" t="inlineStr">
        <is>
          <t>Fuite</t>
        </is>
      </c>
      <c r="N1355" s="7" t="inlineStr">
        <is>
          <t>Remplacement électrovanne et raccords</t>
        </is>
      </c>
      <c r="O1355" s="7" t="inlineStr">
        <is>
          <t>Lucas Fontaine</t>
        </is>
      </c>
      <c r="P1355" s="65" t="n"/>
      <c r="Q1355" s="75" t="n">
        <v>46252.46180555555</v>
      </c>
      <c r="R1355" s="75" t="n">
        <v>46252.87847222222</v>
      </c>
      <c r="S1355" s="76" t="n">
        <v>0</v>
      </c>
      <c r="T1355" s="76" t="n">
        <v>10</v>
      </c>
      <c r="U1355" s="70">
        <f>IF($A1355="","",IFERROR(INDEX('Techniciens'!$F$5:$F$44,MATCH(O1355,'Techniciens'!$B$5:$B$44,0)),'Paramètres'!$AA$10))</f>
        <v/>
      </c>
      <c r="V1355" s="70">
        <f>IF($A1355="","",IF(OR(AC1355="Demandé",AC1355="Planifié",AC1355="Annulé"),0,N(T1355)*N(U1355)))</f>
        <v/>
      </c>
      <c r="W1355" s="70">
        <f>IF($A1355="","",SUMIFS('Mouvements stock'!$H$5:$H$3004,'Mouvements stock'!$I$5:$I$3004,$A1355,'Mouvements stock'!$C$5:$C$3004,"Sortie")-SUMIFS('Mouvements stock'!$H$5:$H$3004,'Mouvements stock'!$I$5:$I$3004,$A1355,'Mouvements stock'!$C$5:$C$3004,"Retour"))</f>
        <v/>
      </c>
      <c r="X1355" s="66" t="n">
        <v>0</v>
      </c>
      <c r="Y1355" s="66" t="n">
        <v>0</v>
      </c>
      <c r="Z1355" s="7" t="n"/>
      <c r="AA1355" s="70">
        <f>IF($A1355="","",N(V1355)+N(W1355)+N(X1355)+N(Y1355))</f>
        <v/>
      </c>
      <c r="AB1355" s="70">
        <f>IF($A1355="","",N(S1355)*'Paramètres'!$AA$9*IFERROR(INDEX('Paramètres'!$O$5:$O$7,MATCH(G1355,'Paramètres'!$N$5:$N$7,0)),0))</f>
        <v/>
      </c>
      <c r="AC1355" s="7" t="inlineStr">
        <is>
          <t>Clôturé</t>
        </is>
      </c>
      <c r="AD1355" s="69">
        <f>IF(OR($A1355="",Q1355=""),"",(Q1355-B1355)*24)</f>
        <v/>
      </c>
      <c r="AE1355" s="69">
        <f>IF(OR(Q1355="",R1355=""),"",(R1355-Q1355)*24)</f>
        <v/>
      </c>
      <c r="AF1355" s="77">
        <f>IF(OR($A1355="",B1355=""),"",YEAR(B1355))</f>
        <v/>
      </c>
      <c r="AG1355" s="77">
        <f>IF(OR($A1355="",B1355=""),"",MONTH(B1355))</f>
        <v/>
      </c>
    </row>
    <row r="1356">
      <c r="A1356" s="7" t="inlineStr">
        <is>
          <t>OT-2026-0501</t>
        </is>
      </c>
      <c r="B1356" s="75" t="n">
        <v>46253.38541666666</v>
      </c>
      <c r="C1356" s="7" t="inlineStr">
        <is>
          <t>Plan préventif</t>
        </is>
      </c>
      <c r="D1356" s="7" t="inlineStr">
        <is>
          <t>EQ-LOG-006</t>
        </is>
      </c>
      <c r="E1356" s="9">
        <f>IF(D1356="","",IFERROR(INDEX('Équipements'!$B$5:$B$304,MATCH(D1356,'Équipements'!$A$5:$A$304,0)),"Code inconnu"))</f>
        <v/>
      </c>
      <c r="F1356" s="9">
        <f>IF(D1356="","",IFERROR(INDEX('Équipements'!$D$5:$D$304,MATCH(D1356,'Équipements'!$A$5:$A$304,0)),""))</f>
        <v/>
      </c>
      <c r="G1356" s="9">
        <f>IF(D1356="","",IFERROR(INDEX('Équipements'!$K$5:$K$304,MATCH(D1356,'Équipements'!$A$5:$A$304,0)),""))</f>
        <v/>
      </c>
      <c r="H1356" s="7" t="inlineStr">
        <is>
          <t>Préventif systématique</t>
        </is>
      </c>
      <c r="I1356" s="7" t="inlineStr">
        <is>
          <t>GP-115</t>
        </is>
      </c>
      <c r="J1356" s="7" t="inlineStr">
        <is>
          <t>Mécanique</t>
        </is>
      </c>
      <c r="K1356" s="7" t="inlineStr">
        <is>
          <t>P3 - Normale</t>
        </is>
      </c>
      <c r="L1356" s="7" t="inlineStr">
        <is>
          <t>Contrôle câbles, crochets, freins et fins de course</t>
        </is>
      </c>
      <c r="M1356" s="7" t="n"/>
      <c r="N1356" s="7" t="inlineStr">
        <is>
          <t>Gamme réalisée - RAS</t>
        </is>
      </c>
      <c r="O1356" s="7" t="inlineStr">
        <is>
          <t>Karim Benali</t>
        </is>
      </c>
      <c r="P1356" s="65" t="n">
        <v>46260.55902777778</v>
      </c>
      <c r="Q1356" s="75" t="n">
        <v>46260.58333333334</v>
      </c>
      <c r="R1356" s="75" t="n">
        <v>46260.69791666666</v>
      </c>
      <c r="S1356" s="76" t="n">
        <v>2.8</v>
      </c>
      <c r="T1356" s="76" t="n">
        <v>2.75</v>
      </c>
      <c r="U1356" s="70">
        <f>IF($A1356="","",IFERROR(INDEX('Techniciens'!$F$5:$F$44,MATCH(O1356,'Techniciens'!$B$5:$B$44,0)),'Paramètres'!$AA$10))</f>
        <v/>
      </c>
      <c r="V1356" s="70">
        <f>IF($A1356="","",IF(OR(AC1356="Demandé",AC1356="Planifié",AC1356="Annulé"),0,N(T1356)*N(U1356)))</f>
        <v/>
      </c>
      <c r="W1356" s="70">
        <f>IF($A1356="","",SUMIFS('Mouvements stock'!$H$5:$H$3004,'Mouvements stock'!$I$5:$I$3004,$A1356,'Mouvements stock'!$C$5:$C$3004,"Sortie")-SUMIFS('Mouvements stock'!$H$5:$H$3004,'Mouvements stock'!$I$5:$I$3004,$A1356,'Mouvements stock'!$C$5:$C$3004,"Retour"))</f>
        <v/>
      </c>
      <c r="X1356" s="66" t="n">
        <v>0</v>
      </c>
      <c r="Y1356" s="66" t="n">
        <v>0</v>
      </c>
      <c r="Z1356" s="7" t="n"/>
      <c r="AA1356" s="70">
        <f>IF($A1356="","",N(V1356)+N(W1356)+N(X1356)+N(Y1356))</f>
        <v/>
      </c>
      <c r="AB1356" s="70">
        <f>IF($A1356="","",N(S1356)*'Paramètres'!$AA$9*IFERROR(INDEX('Paramètres'!$O$5:$O$7,MATCH(G1356,'Paramètres'!$N$5:$N$7,0)),0))</f>
        <v/>
      </c>
      <c r="AC1356" s="7" t="inlineStr">
        <is>
          <t>Clôturé</t>
        </is>
      </c>
      <c r="AD1356" s="69">
        <f>IF(OR($A1356="",Q1356=""),"",(Q1356-B1356)*24)</f>
        <v/>
      </c>
      <c r="AE1356" s="69">
        <f>IF(OR(Q1356="",R1356=""),"",(R1356-Q1356)*24)</f>
        <v/>
      </c>
      <c r="AF1356" s="77">
        <f>IF(OR($A1356="",B1356=""),"",YEAR(B1356))</f>
        <v/>
      </c>
      <c r="AG1356" s="77">
        <f>IF(OR($A1356="",B1356=""),"",MONTH(B1356))</f>
        <v/>
      </c>
    </row>
    <row r="1357">
      <c r="A1357" s="7" t="inlineStr">
        <is>
          <t>OT-2026-0502</t>
        </is>
      </c>
      <c r="B1357" s="75" t="n">
        <v>46253.47222222222</v>
      </c>
      <c r="C1357" s="7" t="inlineStr">
        <is>
          <t>Plan préventif</t>
        </is>
      </c>
      <c r="D1357" s="7" t="inlineStr">
        <is>
          <t>EQ-ASS-003</t>
        </is>
      </c>
      <c r="E1357" s="9">
        <f>IF(D1357="","",IFERROR(INDEX('Équipements'!$B$5:$B$304,MATCH(D1357,'Équipements'!$A$5:$A$304,0)),"Code inconnu"))</f>
        <v/>
      </c>
      <c r="F1357" s="9">
        <f>IF(D1357="","",IFERROR(INDEX('Équipements'!$D$5:$D$304,MATCH(D1357,'Équipements'!$A$5:$A$304,0)),""))</f>
        <v/>
      </c>
      <c r="G1357" s="9">
        <f>IF(D1357="","",IFERROR(INDEX('Équipements'!$K$5:$K$304,MATCH(D1357,'Équipements'!$A$5:$A$304,0)),""))</f>
        <v/>
      </c>
      <c r="H1357" s="7" t="inlineStr">
        <is>
          <t>Préventif systématique</t>
        </is>
      </c>
      <c r="I1357" s="7" t="inlineStr">
        <is>
          <t>GP-081</t>
        </is>
      </c>
      <c r="J1357" s="7" t="inlineStr">
        <is>
          <t>Automatisme</t>
        </is>
      </c>
      <c r="K1357" s="7" t="inlineStr">
        <is>
          <t>P3 - Normale</t>
        </is>
      </c>
      <c r="L1357" s="7" t="inlineStr">
        <is>
          <t>Contrôle, nettoyage et sauvegarde programmes</t>
        </is>
      </c>
      <c r="M1357" s="7" t="n"/>
      <c r="N1357" s="7" t="inlineStr">
        <is>
          <t>Gamme réalisée - RAS</t>
        </is>
      </c>
      <c r="O1357" s="7" t="inlineStr">
        <is>
          <t>Julien Moreau</t>
        </is>
      </c>
      <c r="P1357" s="65" t="n">
        <v>46260.65625</v>
      </c>
      <c r="Q1357" s="75" t="n">
        <v>46260.43055555555</v>
      </c>
      <c r="R1357" s="75" t="n">
        <v>46260.49305555555</v>
      </c>
      <c r="S1357" s="76" t="n">
        <v>0</v>
      </c>
      <c r="T1357" s="76" t="n">
        <v>1.5</v>
      </c>
      <c r="U1357" s="70">
        <f>IF($A1357="","",IFERROR(INDEX('Techniciens'!$F$5:$F$44,MATCH(O1357,'Techniciens'!$B$5:$B$44,0)),'Paramètres'!$AA$10))</f>
        <v/>
      </c>
      <c r="V1357" s="70">
        <f>IF($A1357="","",IF(OR(AC1357="Demandé",AC1357="Planifié",AC1357="Annulé"),0,N(T1357)*N(U1357)))</f>
        <v/>
      </c>
      <c r="W1357" s="70">
        <f>IF($A1357="","",SUMIFS('Mouvements stock'!$H$5:$H$3004,'Mouvements stock'!$I$5:$I$3004,$A1357,'Mouvements stock'!$C$5:$C$3004,"Sortie")-SUMIFS('Mouvements stock'!$H$5:$H$3004,'Mouvements stock'!$I$5:$I$3004,$A1357,'Mouvements stock'!$C$5:$C$3004,"Retour"))</f>
        <v/>
      </c>
      <c r="X1357" s="66" t="n">
        <v>0</v>
      </c>
      <c r="Y1357" s="66" t="n">
        <v>0</v>
      </c>
      <c r="Z1357" s="7" t="n"/>
      <c r="AA1357" s="70">
        <f>IF($A1357="","",N(V1357)+N(W1357)+N(X1357)+N(Y1357))</f>
        <v/>
      </c>
      <c r="AB1357" s="70">
        <f>IF($A1357="","",N(S1357)*'Paramètres'!$AA$9*IFERROR(INDEX('Paramètres'!$O$5:$O$7,MATCH(G1357,'Paramètres'!$N$5:$N$7,0)),0))</f>
        <v/>
      </c>
      <c r="AC1357" s="7" t="inlineStr">
        <is>
          <t>Clôturé</t>
        </is>
      </c>
      <c r="AD1357" s="69">
        <f>IF(OR($A1357="",Q1357=""),"",(Q1357-B1357)*24)</f>
        <v/>
      </c>
      <c r="AE1357" s="69">
        <f>IF(OR(Q1357="",R1357=""),"",(R1357-Q1357)*24)</f>
        <v/>
      </c>
      <c r="AF1357" s="77">
        <f>IF(OR($A1357="",B1357=""),"",YEAR(B1357))</f>
        <v/>
      </c>
      <c r="AG1357" s="77">
        <f>IF(OR($A1357="",B1357=""),"",MONTH(B1357))</f>
        <v/>
      </c>
    </row>
    <row r="1358">
      <c r="A1358" s="7" t="inlineStr">
        <is>
          <t>OT-2026-0503</t>
        </is>
      </c>
      <c r="B1358" s="75" t="n">
        <v>46254.43055555555</v>
      </c>
      <c r="C1358" s="7" t="inlineStr">
        <is>
          <t>Plan préventif</t>
        </is>
      </c>
      <c r="D1358" s="7" t="inlineStr">
        <is>
          <t>EQ-ASS-006</t>
        </is>
      </c>
      <c r="E1358" s="9">
        <f>IF(D1358="","",IFERROR(INDEX('Équipements'!$B$5:$B$304,MATCH(D1358,'Équipements'!$A$5:$A$304,0)),"Code inconnu"))</f>
        <v/>
      </c>
      <c r="F1358" s="9">
        <f>IF(D1358="","",IFERROR(INDEX('Équipements'!$D$5:$D$304,MATCH(D1358,'Équipements'!$A$5:$A$304,0)),""))</f>
        <v/>
      </c>
      <c r="G1358" s="9">
        <f>IF(D1358="","",IFERROR(INDEX('Équipements'!$K$5:$K$304,MATCH(D1358,'Équipements'!$A$5:$A$304,0)),""))</f>
        <v/>
      </c>
      <c r="H1358" s="7" t="inlineStr">
        <is>
          <t>Préventif systématique</t>
        </is>
      </c>
      <c r="I1358" s="7" t="inlineStr">
        <is>
          <t>GP-085</t>
        </is>
      </c>
      <c r="J1358" s="7" t="inlineStr">
        <is>
          <t>Mécanique</t>
        </is>
      </c>
      <c r="K1358" s="7" t="inlineStr">
        <is>
          <t>P3 - Normale</t>
        </is>
      </c>
      <c r="L1358" s="7" t="inlineStr">
        <is>
          <t>Graissage chaîne / galets et contrôle tension</t>
        </is>
      </c>
      <c r="M1358" s="7" t="n"/>
      <c r="N1358" s="7" t="inlineStr">
        <is>
          <t>Gamme réalisée - RAS</t>
        </is>
      </c>
      <c r="O1358" s="7" t="inlineStr">
        <is>
          <t>Lucas Fontaine</t>
        </is>
      </c>
      <c r="P1358" s="65" t="n">
        <v>46261.47569444445</v>
      </c>
      <c r="Q1358" s="75" t="n">
        <v>46261.46875</v>
      </c>
      <c r="R1358" s="75" t="n">
        <v>46261.54166666666</v>
      </c>
      <c r="S1358" s="76" t="n">
        <v>0.9</v>
      </c>
      <c r="T1358" s="76" t="n">
        <v>1.75</v>
      </c>
      <c r="U1358" s="70">
        <f>IF($A1358="","",IFERROR(INDEX('Techniciens'!$F$5:$F$44,MATCH(O1358,'Techniciens'!$B$5:$B$44,0)),'Paramètres'!$AA$10))</f>
        <v/>
      </c>
      <c r="V1358" s="70">
        <f>IF($A1358="","",IF(OR(AC1358="Demandé",AC1358="Planifié",AC1358="Annulé"),0,N(T1358)*N(U1358)))</f>
        <v/>
      </c>
      <c r="W1358" s="70">
        <f>IF($A1358="","",SUMIFS('Mouvements stock'!$H$5:$H$3004,'Mouvements stock'!$I$5:$I$3004,$A1358,'Mouvements stock'!$C$5:$C$3004,"Sortie")-SUMIFS('Mouvements stock'!$H$5:$H$3004,'Mouvements stock'!$I$5:$I$3004,$A1358,'Mouvements stock'!$C$5:$C$3004,"Retour"))</f>
        <v/>
      </c>
      <c r="X1358" s="66" t="n">
        <v>0</v>
      </c>
      <c r="Y1358" s="66" t="n">
        <v>0</v>
      </c>
      <c r="Z1358" s="7" t="n"/>
      <c r="AA1358" s="70">
        <f>IF($A1358="","",N(V1358)+N(W1358)+N(X1358)+N(Y1358))</f>
        <v/>
      </c>
      <c r="AB1358" s="70">
        <f>IF($A1358="","",N(S1358)*'Paramètres'!$AA$9*IFERROR(INDEX('Paramètres'!$O$5:$O$7,MATCH(G1358,'Paramètres'!$N$5:$N$7,0)),0))</f>
        <v/>
      </c>
      <c r="AC1358" s="7" t="inlineStr">
        <is>
          <t>Clôturé</t>
        </is>
      </c>
      <c r="AD1358" s="69">
        <f>IF(OR($A1358="",Q1358=""),"",(Q1358-B1358)*24)</f>
        <v/>
      </c>
      <c r="AE1358" s="69">
        <f>IF(OR(Q1358="",R1358=""),"",(R1358-Q1358)*24)</f>
        <v/>
      </c>
      <c r="AF1358" s="77">
        <f>IF(OR($A1358="",B1358=""),"",YEAR(B1358))</f>
        <v/>
      </c>
      <c r="AG1358" s="77">
        <f>IF(OR($A1358="",B1358=""),"",MONTH(B1358))</f>
        <v/>
      </c>
    </row>
    <row r="1359">
      <c r="A1359" s="7" t="inlineStr">
        <is>
          <t>OT-2026-0504</t>
        </is>
      </c>
      <c r="B1359" s="75" t="n">
        <v>46255.39583333334</v>
      </c>
      <c r="C1359" s="7" t="inlineStr">
        <is>
          <t>Plan préventif</t>
        </is>
      </c>
      <c r="D1359" s="7" t="inlineStr">
        <is>
          <t>EQ-UTI-003</t>
        </is>
      </c>
      <c r="E1359" s="9">
        <f>IF(D1359="","",IFERROR(INDEX('Équipements'!$B$5:$B$304,MATCH(D1359,'Équipements'!$A$5:$A$304,0)),"Code inconnu"))</f>
        <v/>
      </c>
      <c r="F1359" s="9">
        <f>IF(D1359="","",IFERROR(INDEX('Équipements'!$D$5:$D$304,MATCH(D1359,'Équipements'!$A$5:$A$304,0)),""))</f>
        <v/>
      </c>
      <c r="G1359" s="9">
        <f>IF(D1359="","",IFERROR(INDEX('Équipements'!$K$5:$K$304,MATCH(D1359,'Équipements'!$A$5:$A$304,0)),""))</f>
        <v/>
      </c>
      <c r="H1359" s="7" t="inlineStr">
        <is>
          <t>Préventif systématique</t>
        </is>
      </c>
      <c r="I1359" s="7" t="inlineStr">
        <is>
          <t>GP-092</t>
        </is>
      </c>
      <c r="J1359" s="7" t="inlineStr">
        <is>
          <t>Pneumatique</t>
        </is>
      </c>
      <c r="K1359" s="7" t="inlineStr">
        <is>
          <t>P3 - Normale</t>
        </is>
      </c>
      <c r="L1359" s="7" t="inlineStr">
        <is>
          <t>Purge, contrôle fuites et point de rosée</t>
        </is>
      </c>
      <c r="M1359" s="7" t="n"/>
      <c r="N1359" s="7" t="inlineStr">
        <is>
          <t>Gamme réalisée - RAS</t>
        </is>
      </c>
      <c r="O1359" s="7" t="inlineStr">
        <is>
          <t>Julien Moreau</t>
        </is>
      </c>
      <c r="P1359" s="65" t="n">
        <v>46262.45833333334</v>
      </c>
      <c r="Q1359" s="75" t="n">
        <v>46262.25694444445</v>
      </c>
      <c r="R1359" s="75" t="n">
        <v>46262.30902777778</v>
      </c>
      <c r="S1359" s="76" t="n">
        <v>0</v>
      </c>
      <c r="T1359" s="76" t="n">
        <v>1.25</v>
      </c>
      <c r="U1359" s="70">
        <f>IF($A1359="","",IFERROR(INDEX('Techniciens'!$F$5:$F$44,MATCH(O1359,'Techniciens'!$B$5:$B$44,0)),'Paramètres'!$AA$10))</f>
        <v/>
      </c>
      <c r="V1359" s="70">
        <f>IF($A1359="","",IF(OR(AC1359="Demandé",AC1359="Planifié",AC1359="Annulé"),0,N(T1359)*N(U1359)))</f>
        <v/>
      </c>
      <c r="W1359" s="70">
        <f>IF($A1359="","",SUMIFS('Mouvements stock'!$H$5:$H$3004,'Mouvements stock'!$I$5:$I$3004,$A1359,'Mouvements stock'!$C$5:$C$3004,"Sortie")-SUMIFS('Mouvements stock'!$H$5:$H$3004,'Mouvements stock'!$I$5:$I$3004,$A1359,'Mouvements stock'!$C$5:$C$3004,"Retour"))</f>
        <v/>
      </c>
      <c r="X1359" s="66" t="n">
        <v>0</v>
      </c>
      <c r="Y1359" s="66" t="n">
        <v>0</v>
      </c>
      <c r="Z1359" s="7" t="n"/>
      <c r="AA1359" s="70">
        <f>IF($A1359="","",N(V1359)+N(W1359)+N(X1359)+N(Y1359))</f>
        <v/>
      </c>
      <c r="AB1359" s="70">
        <f>IF($A1359="","",N(S1359)*'Paramètres'!$AA$9*IFERROR(INDEX('Paramètres'!$O$5:$O$7,MATCH(G1359,'Paramètres'!$N$5:$N$7,0)),0))</f>
        <v/>
      </c>
      <c r="AC1359" s="7" t="inlineStr">
        <is>
          <t>Clôturé</t>
        </is>
      </c>
      <c r="AD1359" s="69">
        <f>IF(OR($A1359="",Q1359=""),"",(Q1359-B1359)*24)</f>
        <v/>
      </c>
      <c r="AE1359" s="69">
        <f>IF(OR(Q1359="",R1359=""),"",(R1359-Q1359)*24)</f>
        <v/>
      </c>
      <c r="AF1359" s="77">
        <f>IF(OR($A1359="",B1359=""),"",YEAR(B1359))</f>
        <v/>
      </c>
      <c r="AG1359" s="77">
        <f>IF(OR($A1359="",B1359=""),"",MONTH(B1359))</f>
        <v/>
      </c>
    </row>
    <row r="1360">
      <c r="A1360" s="7" t="inlineStr">
        <is>
          <t>OT-2026-0505</t>
        </is>
      </c>
      <c r="B1360" s="75" t="n">
        <v>46255.40277777778</v>
      </c>
      <c r="C1360" s="7" t="inlineStr">
        <is>
          <t>Plan préventif</t>
        </is>
      </c>
      <c r="D1360" s="7" t="inlineStr">
        <is>
          <t>EQ-USI-005</t>
        </is>
      </c>
      <c r="E1360" s="9">
        <f>IF(D1360="","",IFERROR(INDEX('Équipements'!$B$5:$B$304,MATCH(D1360,'Équipements'!$A$5:$A$304,0)),"Code inconnu"))</f>
        <v/>
      </c>
      <c r="F1360" s="9">
        <f>IF(D1360="","",IFERROR(INDEX('Équipements'!$D$5:$D$304,MATCH(D1360,'Équipements'!$A$5:$A$304,0)),""))</f>
        <v/>
      </c>
      <c r="G1360" s="9">
        <f>IF(D1360="","",IFERROR(INDEX('Équipements'!$K$5:$K$304,MATCH(D1360,'Équipements'!$A$5:$A$304,0)),""))</f>
        <v/>
      </c>
      <c r="H1360" s="7" t="inlineStr">
        <is>
          <t>Préventif systématique</t>
        </is>
      </c>
      <c r="I1360" s="7" t="inlineStr">
        <is>
          <t>GP-018</t>
        </is>
      </c>
      <c r="J1360" s="7" t="inlineStr">
        <is>
          <t>Mécanique</t>
        </is>
      </c>
      <c r="K1360" s="7" t="inlineStr">
        <is>
          <t>P3 - Normale</t>
        </is>
      </c>
      <c r="L1360" s="7" t="inlineStr">
        <is>
          <t>Contrôle géométrie, jeux et graissage des axes</t>
        </is>
      </c>
      <c r="M1360" s="7" t="n"/>
      <c r="N1360" s="7" t="inlineStr">
        <is>
          <t>Gamme réalisée - RAS</t>
        </is>
      </c>
      <c r="O1360" s="7" t="inlineStr">
        <is>
          <t>Antoine Mercier</t>
        </is>
      </c>
      <c r="P1360" s="65" t="n">
        <v>46262.51736111111</v>
      </c>
      <c r="Q1360" s="75" t="n">
        <v>46262.25694444445</v>
      </c>
      <c r="R1360" s="75" t="n">
        <v>46262.46527777778</v>
      </c>
      <c r="S1360" s="76" t="n">
        <v>5</v>
      </c>
      <c r="T1360" s="76" t="n">
        <v>5</v>
      </c>
      <c r="U1360" s="70">
        <f>IF($A1360="","",IFERROR(INDEX('Techniciens'!$F$5:$F$44,MATCH(O1360,'Techniciens'!$B$5:$B$44,0)),'Paramètres'!$AA$10))</f>
        <v/>
      </c>
      <c r="V1360" s="70">
        <f>IF($A1360="","",IF(OR(AC1360="Demandé",AC1360="Planifié",AC1360="Annulé"),0,N(T1360)*N(U1360)))</f>
        <v/>
      </c>
      <c r="W1360" s="70">
        <f>IF($A1360="","",SUMIFS('Mouvements stock'!$H$5:$H$3004,'Mouvements stock'!$I$5:$I$3004,$A1360,'Mouvements stock'!$C$5:$C$3004,"Sortie")-SUMIFS('Mouvements stock'!$H$5:$H$3004,'Mouvements stock'!$I$5:$I$3004,$A1360,'Mouvements stock'!$C$5:$C$3004,"Retour"))</f>
        <v/>
      </c>
      <c r="X1360" s="66" t="n">
        <v>0</v>
      </c>
      <c r="Y1360" s="66" t="n">
        <v>0</v>
      </c>
      <c r="Z1360" s="7" t="n"/>
      <c r="AA1360" s="70">
        <f>IF($A1360="","",N(V1360)+N(W1360)+N(X1360)+N(Y1360))</f>
        <v/>
      </c>
      <c r="AB1360" s="70">
        <f>IF($A1360="","",N(S1360)*'Paramètres'!$AA$9*IFERROR(INDEX('Paramètres'!$O$5:$O$7,MATCH(G1360,'Paramètres'!$N$5:$N$7,0)),0))</f>
        <v/>
      </c>
      <c r="AC1360" s="7" t="inlineStr">
        <is>
          <t>Clôturé</t>
        </is>
      </c>
      <c r="AD1360" s="69">
        <f>IF(OR($A1360="",Q1360=""),"",(Q1360-B1360)*24)</f>
        <v/>
      </c>
      <c r="AE1360" s="69">
        <f>IF(OR(Q1360="",R1360=""),"",(R1360-Q1360)*24)</f>
        <v/>
      </c>
      <c r="AF1360" s="77">
        <f>IF(OR($A1360="",B1360=""),"",YEAR(B1360))</f>
        <v/>
      </c>
      <c r="AG1360" s="77">
        <f>IF(OR($A1360="",B1360=""),"",MONTH(B1360))</f>
        <v/>
      </c>
    </row>
    <row r="1361">
      <c r="A1361" s="7" t="inlineStr">
        <is>
          <t>OT-2026-0506</t>
        </is>
      </c>
      <c r="B1361" s="75" t="n">
        <v>46255.40972222222</v>
      </c>
      <c r="C1361" s="7" t="inlineStr">
        <is>
          <t>Plan préventif</t>
        </is>
      </c>
      <c r="D1361" s="7" t="inlineStr">
        <is>
          <t>EQ-USI-006</t>
        </is>
      </c>
      <c r="E1361" s="9">
        <f>IF(D1361="","",IFERROR(INDEX('Équipements'!$B$5:$B$304,MATCH(D1361,'Équipements'!$A$5:$A$304,0)),"Code inconnu"))</f>
        <v/>
      </c>
      <c r="F1361" s="9">
        <f>IF(D1361="","",IFERROR(INDEX('Équipements'!$D$5:$D$304,MATCH(D1361,'Équipements'!$A$5:$A$304,0)),""))</f>
        <v/>
      </c>
      <c r="G1361" s="9">
        <f>IF(D1361="","",IFERROR(INDEX('Équipements'!$K$5:$K$304,MATCH(D1361,'Équipements'!$A$5:$A$304,0)),""))</f>
        <v/>
      </c>
      <c r="H1361" s="7" t="inlineStr">
        <is>
          <t>Préventif systématique</t>
        </is>
      </c>
      <c r="I1361" s="7" t="inlineStr">
        <is>
          <t>GP-023</t>
        </is>
      </c>
      <c r="J1361" s="7" t="inlineStr">
        <is>
          <t>Hydraulique</t>
        </is>
      </c>
      <c r="K1361" s="7" t="inlineStr">
        <is>
          <t>P3 - Normale</t>
        </is>
      </c>
      <c r="L1361" s="7" t="inlineStr">
        <is>
          <t>Vidange groupe hydraulique et remplacement filtres</t>
        </is>
      </c>
      <c r="M1361" s="7" t="n"/>
      <c r="N1361" s="7" t="inlineStr">
        <is>
          <t>Gamme réalisée - RAS</t>
        </is>
      </c>
      <c r="O1361" s="7" t="inlineStr">
        <is>
          <t>Karim Benali</t>
        </is>
      </c>
      <c r="P1361" s="65" t="n">
        <v>46262.46875</v>
      </c>
      <c r="Q1361" s="75" t="n">
        <v>46262.26041666666</v>
      </c>
      <c r="R1361" s="75" t="n">
        <v>46262.45833333334</v>
      </c>
      <c r="S1361" s="76" t="n">
        <v>4.8</v>
      </c>
      <c r="T1361" s="76" t="n">
        <v>4.75</v>
      </c>
      <c r="U1361" s="70">
        <f>IF($A1361="","",IFERROR(INDEX('Techniciens'!$F$5:$F$44,MATCH(O1361,'Techniciens'!$B$5:$B$44,0)),'Paramètres'!$AA$10))</f>
        <v/>
      </c>
      <c r="V1361" s="70">
        <f>IF($A1361="","",IF(OR(AC1361="Demandé",AC1361="Planifié",AC1361="Annulé"),0,N(T1361)*N(U1361)))</f>
        <v/>
      </c>
      <c r="W1361" s="70">
        <f>IF($A1361="","",SUMIFS('Mouvements stock'!$H$5:$H$3004,'Mouvements stock'!$I$5:$I$3004,$A1361,'Mouvements stock'!$C$5:$C$3004,"Sortie")-SUMIFS('Mouvements stock'!$H$5:$H$3004,'Mouvements stock'!$I$5:$I$3004,$A1361,'Mouvements stock'!$C$5:$C$3004,"Retour"))</f>
        <v/>
      </c>
      <c r="X1361" s="66" t="n">
        <v>0</v>
      </c>
      <c r="Y1361" s="66" t="n">
        <v>0</v>
      </c>
      <c r="Z1361" s="7" t="n"/>
      <c r="AA1361" s="70">
        <f>IF($A1361="","",N(V1361)+N(W1361)+N(X1361)+N(Y1361))</f>
        <v/>
      </c>
      <c r="AB1361" s="70">
        <f>IF($A1361="","",N(S1361)*'Paramètres'!$AA$9*IFERROR(INDEX('Paramètres'!$O$5:$O$7,MATCH(G1361,'Paramètres'!$N$5:$N$7,0)),0))</f>
        <v/>
      </c>
      <c r="AC1361" s="7" t="inlineStr">
        <is>
          <t>Clôturé</t>
        </is>
      </c>
      <c r="AD1361" s="69">
        <f>IF(OR($A1361="",Q1361=""),"",(Q1361-B1361)*24)</f>
        <v/>
      </c>
      <c r="AE1361" s="69">
        <f>IF(OR(Q1361="",R1361=""),"",(R1361-Q1361)*24)</f>
        <v/>
      </c>
      <c r="AF1361" s="77">
        <f>IF(OR($A1361="",B1361=""),"",YEAR(B1361))</f>
        <v/>
      </c>
      <c r="AG1361" s="77">
        <f>IF(OR($A1361="",B1361=""),"",MONTH(B1361))</f>
        <v/>
      </c>
    </row>
    <row r="1362">
      <c r="A1362" s="7" t="inlineStr">
        <is>
          <t>OT-2026-0507</t>
        </is>
      </c>
      <c r="B1362" s="75" t="n">
        <v>46258.40277777778</v>
      </c>
      <c r="C1362" s="7" t="inlineStr">
        <is>
          <t>Plan préventif</t>
        </is>
      </c>
      <c r="D1362" s="7" t="inlineStr">
        <is>
          <t>EQ-SOU-001</t>
        </is>
      </c>
      <c r="E1362" s="9">
        <f>IF(D1362="","",IFERROR(INDEX('Équipements'!$B$5:$B$304,MATCH(D1362,'Équipements'!$A$5:$A$304,0)),"Code inconnu"))</f>
        <v/>
      </c>
      <c r="F1362" s="9">
        <f>IF(D1362="","",IFERROR(INDEX('Équipements'!$D$5:$D$304,MATCH(D1362,'Équipements'!$A$5:$A$304,0)),""))</f>
        <v/>
      </c>
      <c r="G1362" s="9">
        <f>IF(D1362="","",IFERROR(INDEX('Équipements'!$K$5:$K$304,MATCH(D1362,'Équipements'!$A$5:$A$304,0)),""))</f>
        <v/>
      </c>
      <c r="H1362" s="7" t="inlineStr">
        <is>
          <t>Préventif systématique</t>
        </is>
      </c>
      <c r="I1362" s="7" t="inlineStr">
        <is>
          <t>GP-058</t>
        </is>
      </c>
      <c r="J1362" s="7" t="inlineStr">
        <is>
          <t>Mécanique</t>
        </is>
      </c>
      <c r="K1362" s="7" t="inlineStr">
        <is>
          <t>P3 - Normale</t>
        </is>
      </c>
      <c r="L1362" s="7" t="inlineStr">
        <is>
          <t>Nettoyage torche et contrôle faisceau</t>
        </is>
      </c>
      <c r="M1362" s="7" t="n"/>
      <c r="N1362" s="7" t="inlineStr">
        <is>
          <t>Gamme réalisée - RAS</t>
        </is>
      </c>
      <c r="O1362" s="7" t="inlineStr">
        <is>
          <t>Lucas Fontaine</t>
        </is>
      </c>
      <c r="P1362" s="65" t="n">
        <v>46265.41666666666</v>
      </c>
      <c r="Q1362" s="75" t="n">
        <v>46265.40625</v>
      </c>
      <c r="R1362" s="75" t="n">
        <v>46265.4375</v>
      </c>
      <c r="S1362" s="76" t="n">
        <v>0.8</v>
      </c>
      <c r="T1362" s="76" t="n">
        <v>0.75</v>
      </c>
      <c r="U1362" s="70">
        <f>IF($A1362="","",IFERROR(INDEX('Techniciens'!$F$5:$F$44,MATCH(O1362,'Techniciens'!$B$5:$B$44,0)),'Paramètres'!$AA$10))</f>
        <v/>
      </c>
      <c r="V1362" s="70">
        <f>IF($A1362="","",IF(OR(AC1362="Demandé",AC1362="Planifié",AC1362="Annulé"),0,N(T1362)*N(U1362)))</f>
        <v/>
      </c>
      <c r="W1362" s="70">
        <f>IF($A1362="","",SUMIFS('Mouvements stock'!$H$5:$H$3004,'Mouvements stock'!$I$5:$I$3004,$A1362,'Mouvements stock'!$C$5:$C$3004,"Sortie")-SUMIFS('Mouvements stock'!$H$5:$H$3004,'Mouvements stock'!$I$5:$I$3004,$A1362,'Mouvements stock'!$C$5:$C$3004,"Retour"))</f>
        <v/>
      </c>
      <c r="X1362" s="66" t="n">
        <v>0</v>
      </c>
      <c r="Y1362" s="66" t="n">
        <v>0</v>
      </c>
      <c r="Z1362" s="7" t="n"/>
      <c r="AA1362" s="70">
        <f>IF($A1362="","",N(V1362)+N(W1362)+N(X1362)+N(Y1362))</f>
        <v/>
      </c>
      <c r="AB1362" s="70">
        <f>IF($A1362="","",N(S1362)*'Paramètres'!$AA$9*IFERROR(INDEX('Paramètres'!$O$5:$O$7,MATCH(G1362,'Paramètres'!$N$5:$N$7,0)),0))</f>
        <v/>
      </c>
      <c r="AC1362" s="7" t="inlineStr">
        <is>
          <t>Clôturé</t>
        </is>
      </c>
      <c r="AD1362" s="69">
        <f>IF(OR($A1362="",Q1362=""),"",(Q1362-B1362)*24)</f>
        <v/>
      </c>
      <c r="AE1362" s="69">
        <f>IF(OR(Q1362="",R1362=""),"",(R1362-Q1362)*24)</f>
        <v/>
      </c>
      <c r="AF1362" s="77">
        <f>IF(OR($A1362="",B1362=""),"",YEAR(B1362))</f>
        <v/>
      </c>
      <c r="AG1362" s="77">
        <f>IF(OR($A1362="",B1362=""),"",MONTH(B1362))</f>
        <v/>
      </c>
    </row>
    <row r="1363">
      <c r="A1363" s="7" t="inlineStr">
        <is>
          <t>OT-2026-0508</t>
        </is>
      </c>
      <c r="B1363" s="75" t="n">
        <v>46258.57777777778</v>
      </c>
      <c r="C1363" s="7" t="inlineStr">
        <is>
          <t>Services généraux</t>
        </is>
      </c>
      <c r="D1363" s="7" t="inlineStr">
        <is>
          <t>EQ-BAT-002</t>
        </is>
      </c>
      <c r="E1363" s="9">
        <f>IF(D1363="","",IFERROR(INDEX('Équipements'!$B$5:$B$304,MATCH(D1363,'Équipements'!$A$5:$A$304,0)),"Code inconnu"))</f>
        <v/>
      </c>
      <c r="F1363" s="9">
        <f>IF(D1363="","",IFERROR(INDEX('Équipements'!$D$5:$D$304,MATCH(D1363,'Équipements'!$A$5:$A$304,0)),""))</f>
        <v/>
      </c>
      <c r="G1363" s="9">
        <f>IF(D1363="","",IFERROR(INDEX('Équipements'!$K$5:$K$304,MATCH(D1363,'Équipements'!$A$5:$A$304,0)),""))</f>
        <v/>
      </c>
      <c r="H1363" s="7" t="inlineStr">
        <is>
          <t>Correctif</t>
        </is>
      </c>
      <c r="I1363" s="7" t="n"/>
      <c r="J1363" s="7" t="inlineStr">
        <is>
          <t>Hydraulique</t>
        </is>
      </c>
      <c r="K1363" s="7" t="inlineStr">
        <is>
          <t>P3 - Normale</t>
        </is>
      </c>
      <c r="L1363" s="7" t="inlineStr">
        <is>
          <t>Fuite hydraulique</t>
        </is>
      </c>
      <c r="M1363" s="7" t="inlineStr">
        <is>
          <t>Fuite</t>
        </is>
      </c>
      <c r="N1363" s="7" t="inlineStr">
        <is>
          <t>Remplacement flexible</t>
        </is>
      </c>
      <c r="O1363" s="7" t="inlineStr">
        <is>
          <t>Karim Benali</t>
        </is>
      </c>
      <c r="P1363" s="65" t="n"/>
      <c r="Q1363" s="75" t="n">
        <v>46260.48125</v>
      </c>
      <c r="R1363" s="75" t="n">
        <v>46260.6375</v>
      </c>
      <c r="S1363" s="76" t="n">
        <v>0</v>
      </c>
      <c r="T1363" s="76" t="n">
        <v>3.75</v>
      </c>
      <c r="U1363" s="70">
        <f>IF($A1363="","",IFERROR(INDEX('Techniciens'!$F$5:$F$44,MATCH(O1363,'Techniciens'!$B$5:$B$44,0)),'Paramètres'!$AA$10))</f>
        <v/>
      </c>
      <c r="V1363" s="70">
        <f>IF($A1363="","",IF(OR(AC1363="Demandé",AC1363="Planifié",AC1363="Annulé"),0,N(T1363)*N(U1363)))</f>
        <v/>
      </c>
      <c r="W1363" s="70">
        <f>IF($A1363="","",SUMIFS('Mouvements stock'!$H$5:$H$3004,'Mouvements stock'!$I$5:$I$3004,$A1363,'Mouvements stock'!$C$5:$C$3004,"Sortie")-SUMIFS('Mouvements stock'!$H$5:$H$3004,'Mouvements stock'!$I$5:$I$3004,$A1363,'Mouvements stock'!$C$5:$C$3004,"Retour"))</f>
        <v/>
      </c>
      <c r="X1363" s="66" t="n">
        <v>0</v>
      </c>
      <c r="Y1363" s="66" t="n">
        <v>0</v>
      </c>
      <c r="Z1363" s="7" t="n"/>
      <c r="AA1363" s="70">
        <f>IF($A1363="","",N(V1363)+N(W1363)+N(X1363)+N(Y1363))</f>
        <v/>
      </c>
      <c r="AB1363" s="70">
        <f>IF($A1363="","",N(S1363)*'Paramètres'!$AA$9*IFERROR(INDEX('Paramètres'!$O$5:$O$7,MATCH(G1363,'Paramètres'!$N$5:$N$7,0)),0))</f>
        <v/>
      </c>
      <c r="AC1363" s="7" t="inlineStr">
        <is>
          <t>Clôturé</t>
        </is>
      </c>
      <c r="AD1363" s="69">
        <f>IF(OR($A1363="",Q1363=""),"",(Q1363-B1363)*24)</f>
        <v/>
      </c>
      <c r="AE1363" s="69">
        <f>IF(OR(Q1363="",R1363=""),"",(R1363-Q1363)*24)</f>
        <v/>
      </c>
      <c r="AF1363" s="77">
        <f>IF(OR($A1363="",B1363=""),"",YEAR(B1363))</f>
        <v/>
      </c>
      <c r="AG1363" s="77">
        <f>IF(OR($A1363="",B1363=""),"",MONTH(B1363))</f>
        <v/>
      </c>
    </row>
    <row r="1364">
      <c r="A1364" s="7" t="inlineStr">
        <is>
          <t>OT-2026-0509</t>
        </is>
      </c>
      <c r="B1364" s="75" t="n">
        <v>46259.38194444445</v>
      </c>
      <c r="C1364" s="7" t="inlineStr">
        <is>
          <t>Plan préventif</t>
        </is>
      </c>
      <c r="D1364" s="7" t="inlineStr">
        <is>
          <t>EQ-PEI-003</t>
        </is>
      </c>
      <c r="E1364" s="9">
        <f>IF(D1364="","",IFERROR(INDEX('Équipements'!$B$5:$B$304,MATCH(D1364,'Équipements'!$A$5:$A$304,0)),"Code inconnu"))</f>
        <v/>
      </c>
      <c r="F1364" s="9">
        <f>IF(D1364="","",IFERROR(INDEX('Équipements'!$D$5:$D$304,MATCH(D1364,'Équipements'!$A$5:$A$304,0)),""))</f>
        <v/>
      </c>
      <c r="G1364" s="9">
        <f>IF(D1364="","",IFERROR(INDEX('Équipements'!$K$5:$K$304,MATCH(D1364,'Équipements'!$A$5:$A$304,0)),""))</f>
        <v/>
      </c>
      <c r="H1364" s="7" t="inlineStr">
        <is>
          <t>Préventif systématique</t>
        </is>
      </c>
      <c r="I1364" s="7" t="inlineStr">
        <is>
          <t>GP-070</t>
        </is>
      </c>
      <c r="J1364" s="7" t="inlineStr">
        <is>
          <t>Mécanique</t>
        </is>
      </c>
      <c r="K1364" s="7" t="inlineStr">
        <is>
          <t>P3 - Normale</t>
        </is>
      </c>
      <c r="L1364" s="7" t="inlineStr">
        <is>
          <t>Nettoyage et remplacement des filtres</t>
        </is>
      </c>
      <c r="M1364" s="7" t="n"/>
      <c r="N1364" s="7" t="inlineStr">
        <is>
          <t>Gamme réalisée - RAS</t>
        </is>
      </c>
      <c r="O1364" s="7" t="inlineStr">
        <is>
          <t>Antoine Mercier</t>
        </is>
      </c>
      <c r="P1364" s="65" t="n">
        <v>46266.58680555555</v>
      </c>
      <c r="Q1364" s="75" t="n">
        <v>46266.56944444445</v>
      </c>
      <c r="R1364" s="75" t="n">
        <v>46266.70486111111</v>
      </c>
      <c r="S1364" s="76" t="n">
        <v>1.6</v>
      </c>
      <c r="T1364" s="76" t="n">
        <v>3.25</v>
      </c>
      <c r="U1364" s="70">
        <f>IF($A1364="","",IFERROR(INDEX('Techniciens'!$F$5:$F$44,MATCH(O1364,'Techniciens'!$B$5:$B$44,0)),'Paramètres'!$AA$10))</f>
        <v/>
      </c>
      <c r="V1364" s="70">
        <f>IF($A1364="","",IF(OR(AC1364="Demandé",AC1364="Planifié",AC1364="Annulé"),0,N(T1364)*N(U1364)))</f>
        <v/>
      </c>
      <c r="W1364" s="70">
        <f>IF($A1364="","",SUMIFS('Mouvements stock'!$H$5:$H$3004,'Mouvements stock'!$I$5:$I$3004,$A1364,'Mouvements stock'!$C$5:$C$3004,"Sortie")-SUMIFS('Mouvements stock'!$H$5:$H$3004,'Mouvements stock'!$I$5:$I$3004,$A1364,'Mouvements stock'!$C$5:$C$3004,"Retour"))</f>
        <v/>
      </c>
      <c r="X1364" s="66" t="n">
        <v>0</v>
      </c>
      <c r="Y1364" s="66" t="n">
        <v>0</v>
      </c>
      <c r="Z1364" s="7" t="n"/>
      <c r="AA1364" s="70">
        <f>IF($A1364="","",N(V1364)+N(W1364)+N(X1364)+N(Y1364))</f>
        <v/>
      </c>
      <c r="AB1364" s="70">
        <f>IF($A1364="","",N(S1364)*'Paramètres'!$AA$9*IFERROR(INDEX('Paramètres'!$O$5:$O$7,MATCH(G1364,'Paramètres'!$N$5:$N$7,0)),0))</f>
        <v/>
      </c>
      <c r="AC1364" s="7" t="inlineStr">
        <is>
          <t>Clôturé</t>
        </is>
      </c>
      <c r="AD1364" s="69">
        <f>IF(OR($A1364="",Q1364=""),"",(Q1364-B1364)*24)</f>
        <v/>
      </c>
      <c r="AE1364" s="69">
        <f>IF(OR(Q1364="",R1364=""),"",(R1364-Q1364)*24)</f>
        <v/>
      </c>
      <c r="AF1364" s="77">
        <f>IF(OR($A1364="",B1364=""),"",YEAR(B1364))</f>
        <v/>
      </c>
      <c r="AG1364" s="77">
        <f>IF(OR($A1364="",B1364=""),"",MONTH(B1364))</f>
        <v/>
      </c>
    </row>
    <row r="1365">
      <c r="A1365" s="7" t="inlineStr">
        <is>
          <t>OT-2026-0510</t>
        </is>
      </c>
      <c r="B1365" s="75" t="n">
        <v>46259.44791666666</v>
      </c>
      <c r="C1365" s="7" t="inlineStr">
        <is>
          <t>Plan préventif</t>
        </is>
      </c>
      <c r="D1365" s="7" t="inlineStr">
        <is>
          <t>EQ-UTI-009</t>
        </is>
      </c>
      <c r="E1365" s="9">
        <f>IF(D1365="","",IFERROR(INDEX('Équipements'!$B$5:$B$304,MATCH(D1365,'Équipements'!$A$5:$A$304,0)),"Code inconnu"))</f>
        <v/>
      </c>
      <c r="F1365" s="9">
        <f>IF(D1365="","",IFERROR(INDEX('Équipements'!$D$5:$D$304,MATCH(D1365,'Équipements'!$A$5:$A$304,0)),""))</f>
        <v/>
      </c>
      <c r="G1365" s="9">
        <f>IF(D1365="","",IFERROR(INDEX('Équipements'!$K$5:$K$304,MATCH(D1365,'Équipements'!$A$5:$A$304,0)),""))</f>
        <v/>
      </c>
      <c r="H1365" s="7" t="inlineStr">
        <is>
          <t>Préventif systématique</t>
        </is>
      </c>
      <c r="I1365" s="7" t="inlineStr">
        <is>
          <t>GP-101</t>
        </is>
      </c>
      <c r="J1365" s="7" t="inlineStr">
        <is>
          <t>Électrique</t>
        </is>
      </c>
      <c r="K1365" s="7" t="inlineStr">
        <is>
          <t>P3 - Normale</t>
        </is>
      </c>
      <c r="L1365" s="7" t="inlineStr">
        <is>
          <t>Étalonnage des sondes pH / redox</t>
        </is>
      </c>
      <c r="M1365" s="7" t="n"/>
      <c r="N1365" s="7" t="inlineStr">
        <is>
          <t>Gamme réalisée - RAS</t>
        </is>
      </c>
      <c r="O1365" s="7" t="inlineStr">
        <is>
          <t>Thomas Petit</t>
        </is>
      </c>
      <c r="P1365" s="65" t="n">
        <v>46266.5</v>
      </c>
      <c r="Q1365" s="75" t="n">
        <v>46266.57291666666</v>
      </c>
      <c r="R1365" s="75" t="n">
        <v>46266.64583333334</v>
      </c>
      <c r="S1365" s="76" t="n">
        <v>0</v>
      </c>
      <c r="T1365" s="76" t="n">
        <v>1.75</v>
      </c>
      <c r="U1365" s="70">
        <f>IF($A1365="","",IFERROR(INDEX('Techniciens'!$F$5:$F$44,MATCH(O1365,'Techniciens'!$B$5:$B$44,0)),'Paramètres'!$AA$10))</f>
        <v/>
      </c>
      <c r="V1365" s="70">
        <f>IF($A1365="","",IF(OR(AC1365="Demandé",AC1365="Planifié",AC1365="Annulé"),0,N(T1365)*N(U1365)))</f>
        <v/>
      </c>
      <c r="W1365" s="70">
        <f>IF($A1365="","",SUMIFS('Mouvements stock'!$H$5:$H$3004,'Mouvements stock'!$I$5:$I$3004,$A1365,'Mouvements stock'!$C$5:$C$3004,"Sortie")-SUMIFS('Mouvements stock'!$H$5:$H$3004,'Mouvements stock'!$I$5:$I$3004,$A1365,'Mouvements stock'!$C$5:$C$3004,"Retour"))</f>
        <v/>
      </c>
      <c r="X1365" s="66" t="n">
        <v>0</v>
      </c>
      <c r="Y1365" s="66" t="n">
        <v>0</v>
      </c>
      <c r="Z1365" s="7" t="n"/>
      <c r="AA1365" s="70">
        <f>IF($A1365="","",N(V1365)+N(W1365)+N(X1365)+N(Y1365))</f>
        <v/>
      </c>
      <c r="AB1365" s="70">
        <f>IF($A1365="","",N(S1365)*'Paramètres'!$AA$9*IFERROR(INDEX('Paramètres'!$O$5:$O$7,MATCH(G1365,'Paramètres'!$N$5:$N$7,0)),0))</f>
        <v/>
      </c>
      <c r="AC1365" s="7" t="inlineStr">
        <is>
          <t>Clôturé</t>
        </is>
      </c>
      <c r="AD1365" s="69">
        <f>IF(OR($A1365="",Q1365=""),"",(Q1365-B1365)*24)</f>
        <v/>
      </c>
      <c r="AE1365" s="69">
        <f>IF(OR(Q1365="",R1365=""),"",(R1365-Q1365)*24)</f>
        <v/>
      </c>
      <c r="AF1365" s="77">
        <f>IF(OR($A1365="",B1365=""),"",YEAR(B1365))</f>
        <v/>
      </c>
      <c r="AG1365" s="77">
        <f>IF(OR($A1365="",B1365=""),"",MONTH(B1365))</f>
        <v/>
      </c>
    </row>
    <row r="1366">
      <c r="A1366" s="7" t="inlineStr">
        <is>
          <t>OT-2026-0511</t>
        </is>
      </c>
      <c r="B1366" s="75" t="n">
        <v>46259.49305555555</v>
      </c>
      <c r="C1366" s="7" t="inlineStr">
        <is>
          <t>Plan préventif</t>
        </is>
      </c>
      <c r="D1366" s="7" t="inlineStr">
        <is>
          <t>EQ-PEI-002</t>
        </is>
      </c>
      <c r="E1366" s="9">
        <f>IF(D1366="","",IFERROR(INDEX('Équipements'!$B$5:$B$304,MATCH(D1366,'Équipements'!$A$5:$A$304,0)),"Code inconnu"))</f>
        <v/>
      </c>
      <c r="F1366" s="9">
        <f>IF(D1366="","",IFERROR(INDEX('Équipements'!$D$5:$D$304,MATCH(D1366,'Équipements'!$A$5:$A$304,0)),""))</f>
        <v/>
      </c>
      <c r="G1366" s="9">
        <f>IF(D1366="","",IFERROR(INDEX('Équipements'!$K$5:$K$304,MATCH(D1366,'Équipements'!$A$5:$A$304,0)),""))</f>
        <v/>
      </c>
      <c r="H1366" s="7" t="inlineStr">
        <is>
          <t>Préventif systématique</t>
        </is>
      </c>
      <c r="I1366" s="7" t="inlineStr">
        <is>
          <t>GP-068</t>
        </is>
      </c>
      <c r="J1366" s="7" t="inlineStr">
        <is>
          <t>Mécanique</t>
        </is>
      </c>
      <c r="K1366" s="7" t="inlineStr">
        <is>
          <t>P3 - Normale</t>
        </is>
      </c>
      <c r="L1366" s="7" t="inlineStr">
        <is>
          <t>Nettoyage et remplacement des filtres</t>
        </is>
      </c>
      <c r="M1366" s="7" t="n"/>
      <c r="N1366" s="7" t="inlineStr">
        <is>
          <t>Gamme réalisée - RAS</t>
        </is>
      </c>
      <c r="O1366" s="7" t="inlineStr">
        <is>
          <t>Karim Benali</t>
        </is>
      </c>
      <c r="P1366" s="65" t="n">
        <v>46266.55902777778</v>
      </c>
      <c r="Q1366" s="75" t="n">
        <v>46266.36458333334</v>
      </c>
      <c r="R1366" s="75" t="n">
        <v>46266.5</v>
      </c>
      <c r="S1366" s="76" t="n">
        <v>1.6</v>
      </c>
      <c r="T1366" s="76" t="n">
        <v>3.25</v>
      </c>
      <c r="U1366" s="70">
        <f>IF($A1366="","",IFERROR(INDEX('Techniciens'!$F$5:$F$44,MATCH(O1366,'Techniciens'!$B$5:$B$44,0)),'Paramètres'!$AA$10))</f>
        <v/>
      </c>
      <c r="V1366" s="70">
        <f>IF($A1366="","",IF(OR(AC1366="Demandé",AC1366="Planifié",AC1366="Annulé"),0,N(T1366)*N(U1366)))</f>
        <v/>
      </c>
      <c r="W1366" s="70">
        <f>IF($A1366="","",SUMIFS('Mouvements stock'!$H$5:$H$3004,'Mouvements stock'!$I$5:$I$3004,$A1366,'Mouvements stock'!$C$5:$C$3004,"Sortie")-SUMIFS('Mouvements stock'!$H$5:$H$3004,'Mouvements stock'!$I$5:$I$3004,$A1366,'Mouvements stock'!$C$5:$C$3004,"Retour"))</f>
        <v/>
      </c>
      <c r="X1366" s="66" t="n">
        <v>0</v>
      </c>
      <c r="Y1366" s="66" t="n">
        <v>0</v>
      </c>
      <c r="Z1366" s="7" t="n"/>
      <c r="AA1366" s="70">
        <f>IF($A1366="","",N(V1366)+N(W1366)+N(X1366)+N(Y1366))</f>
        <v/>
      </c>
      <c r="AB1366" s="70">
        <f>IF($A1366="","",N(S1366)*'Paramètres'!$AA$9*IFERROR(INDEX('Paramètres'!$O$5:$O$7,MATCH(G1366,'Paramètres'!$N$5:$N$7,0)),0))</f>
        <v/>
      </c>
      <c r="AC1366" s="7" t="inlineStr">
        <is>
          <t>Clôturé</t>
        </is>
      </c>
      <c r="AD1366" s="69">
        <f>IF(OR($A1366="",Q1366=""),"",(Q1366-B1366)*24)</f>
        <v/>
      </c>
      <c r="AE1366" s="69">
        <f>IF(OR(Q1366="",R1366=""),"",(R1366-Q1366)*24)</f>
        <v/>
      </c>
      <c r="AF1366" s="77">
        <f>IF(OR($A1366="",B1366=""),"",YEAR(B1366))</f>
        <v/>
      </c>
      <c r="AG1366" s="77">
        <f>IF(OR($A1366="",B1366=""),"",MONTH(B1366))</f>
        <v/>
      </c>
    </row>
    <row r="1367">
      <c r="A1367" s="7" t="inlineStr">
        <is>
          <t>OT-2026-0512</t>
        </is>
      </c>
      <c r="B1367" s="75" t="n">
        <v>46261.4375</v>
      </c>
      <c r="C1367" s="7" t="inlineStr">
        <is>
          <t>Plan préventif</t>
        </is>
      </c>
      <c r="D1367" s="7" t="inlineStr">
        <is>
          <t>EQ-SOU-005</t>
        </is>
      </c>
      <c r="E1367" s="9">
        <f>IF(D1367="","",IFERROR(INDEX('Équipements'!$B$5:$B$304,MATCH(D1367,'Équipements'!$A$5:$A$304,0)),"Code inconnu"))</f>
        <v/>
      </c>
      <c r="F1367" s="9">
        <f>IF(D1367="","",IFERROR(INDEX('Équipements'!$D$5:$D$304,MATCH(D1367,'Équipements'!$A$5:$A$304,0)),""))</f>
        <v/>
      </c>
      <c r="G1367" s="9">
        <f>IF(D1367="","",IFERROR(INDEX('Équipements'!$K$5:$K$304,MATCH(D1367,'Équipements'!$A$5:$A$304,0)),""))</f>
        <v/>
      </c>
      <c r="H1367" s="7" t="inlineStr">
        <is>
          <t>Préventif systématique</t>
        </is>
      </c>
      <c r="I1367" s="7" t="inlineStr">
        <is>
          <t>GP-064</t>
        </is>
      </c>
      <c r="J1367" s="7" t="inlineStr">
        <is>
          <t>Mécanique</t>
        </is>
      </c>
      <c r="K1367" s="7" t="inlineStr">
        <is>
          <t>P3 - Normale</t>
        </is>
      </c>
      <c r="L1367" s="7" t="inlineStr">
        <is>
          <t>Remplacement filtres et nettoyage batteries</t>
        </is>
      </c>
      <c r="M1367" s="7" t="n"/>
      <c r="N1367" s="7" t="inlineStr">
        <is>
          <t>Gamme réalisée - RAS</t>
        </is>
      </c>
      <c r="O1367" s="7" t="inlineStr">
        <is>
          <t>Antoine Mercier</t>
        </is>
      </c>
      <c r="P1367" s="65" t="n">
        <v>46268.44097222222</v>
      </c>
      <c r="Q1367" s="75" t="n">
        <v>46268.44791666666</v>
      </c>
      <c r="R1367" s="75" t="n">
        <v>46268.52083333334</v>
      </c>
      <c r="S1367" s="76" t="n">
        <v>0</v>
      </c>
      <c r="T1367" s="76" t="n">
        <v>1.75</v>
      </c>
      <c r="U1367" s="70">
        <f>IF($A1367="","",IFERROR(INDEX('Techniciens'!$F$5:$F$44,MATCH(O1367,'Techniciens'!$B$5:$B$44,0)),'Paramètres'!$AA$10))</f>
        <v/>
      </c>
      <c r="V1367" s="70">
        <f>IF($A1367="","",IF(OR(AC1367="Demandé",AC1367="Planifié",AC1367="Annulé"),0,N(T1367)*N(U1367)))</f>
        <v/>
      </c>
      <c r="W1367" s="70">
        <f>IF($A1367="","",SUMIFS('Mouvements stock'!$H$5:$H$3004,'Mouvements stock'!$I$5:$I$3004,$A1367,'Mouvements stock'!$C$5:$C$3004,"Sortie")-SUMIFS('Mouvements stock'!$H$5:$H$3004,'Mouvements stock'!$I$5:$I$3004,$A1367,'Mouvements stock'!$C$5:$C$3004,"Retour"))</f>
        <v/>
      </c>
      <c r="X1367" s="66" t="n">
        <v>0</v>
      </c>
      <c r="Y1367" s="66" t="n">
        <v>0</v>
      </c>
      <c r="Z1367" s="7" t="n"/>
      <c r="AA1367" s="70">
        <f>IF($A1367="","",N(V1367)+N(W1367)+N(X1367)+N(Y1367))</f>
        <v/>
      </c>
      <c r="AB1367" s="70">
        <f>IF($A1367="","",N(S1367)*'Paramètres'!$AA$9*IFERROR(INDEX('Paramètres'!$O$5:$O$7,MATCH(G1367,'Paramètres'!$N$5:$N$7,0)),0))</f>
        <v/>
      </c>
      <c r="AC1367" s="7" t="inlineStr">
        <is>
          <t>Clôturé</t>
        </is>
      </c>
      <c r="AD1367" s="69">
        <f>IF(OR($A1367="",Q1367=""),"",(Q1367-B1367)*24)</f>
        <v/>
      </c>
      <c r="AE1367" s="69">
        <f>IF(OR(Q1367="",R1367=""),"",(R1367-Q1367)*24)</f>
        <v/>
      </c>
      <c r="AF1367" s="77">
        <f>IF(OR($A1367="",B1367=""),"",YEAR(B1367))</f>
        <v/>
      </c>
      <c r="AG1367" s="77">
        <f>IF(OR($A1367="",B1367=""),"",MONTH(B1367))</f>
        <v/>
      </c>
    </row>
    <row r="1368">
      <c r="A1368" s="7" t="inlineStr">
        <is>
          <t>OT-2026-0513</t>
        </is>
      </c>
      <c r="B1368" s="75" t="n">
        <v>46261.45138888889</v>
      </c>
      <c r="C1368" s="7" t="inlineStr">
        <is>
          <t>Plan préventif</t>
        </is>
      </c>
      <c r="D1368" s="7" t="inlineStr">
        <is>
          <t>EQ-TOL-005</t>
        </is>
      </c>
      <c r="E1368" s="9">
        <f>IF(D1368="","",IFERROR(INDEX('Équipements'!$B$5:$B$304,MATCH(D1368,'Équipements'!$A$5:$A$304,0)),"Code inconnu"))</f>
        <v/>
      </c>
      <c r="F1368" s="9">
        <f>IF(D1368="","",IFERROR(INDEX('Équipements'!$D$5:$D$304,MATCH(D1368,'Équipements'!$A$5:$A$304,0)),""))</f>
        <v/>
      </c>
      <c r="G1368" s="9">
        <f>IF(D1368="","",IFERROR(INDEX('Équipements'!$K$5:$K$304,MATCH(D1368,'Équipements'!$A$5:$A$304,0)),""))</f>
        <v/>
      </c>
      <c r="H1368" s="7" t="inlineStr">
        <is>
          <t>Préventif systématique</t>
        </is>
      </c>
      <c r="I1368" s="7" t="inlineStr">
        <is>
          <t>GP-052</t>
        </is>
      </c>
      <c r="J1368" s="7" t="inlineStr">
        <is>
          <t>Électrique</t>
        </is>
      </c>
      <c r="K1368" s="7" t="inlineStr">
        <is>
          <t>P3 - Normale</t>
        </is>
      </c>
      <c r="L1368" s="7" t="inlineStr">
        <is>
          <t>Contrôle des sécurités (barrages, AU, pédale)</t>
        </is>
      </c>
      <c r="M1368" s="7" t="n"/>
      <c r="N1368" s="7" t="inlineStr">
        <is>
          <t>Gamme réalisée - RAS</t>
        </is>
      </c>
      <c r="O1368" s="7" t="inlineStr">
        <is>
          <t>Julien Moreau</t>
        </is>
      </c>
      <c r="P1368" s="65" t="n">
        <v>46268.42361111111</v>
      </c>
      <c r="Q1368" s="75" t="n">
        <v>46268.29166666666</v>
      </c>
      <c r="R1368" s="75" t="n">
        <v>46268.35416666666</v>
      </c>
      <c r="S1368" s="76" t="n">
        <v>0.8</v>
      </c>
      <c r="T1368" s="76" t="n">
        <v>1.5</v>
      </c>
      <c r="U1368" s="70">
        <f>IF($A1368="","",IFERROR(INDEX('Techniciens'!$F$5:$F$44,MATCH(O1368,'Techniciens'!$B$5:$B$44,0)),'Paramètres'!$AA$10))</f>
        <v/>
      </c>
      <c r="V1368" s="70">
        <f>IF($A1368="","",IF(OR(AC1368="Demandé",AC1368="Planifié",AC1368="Annulé"),0,N(T1368)*N(U1368)))</f>
        <v/>
      </c>
      <c r="W1368" s="70">
        <f>IF($A1368="","",SUMIFS('Mouvements stock'!$H$5:$H$3004,'Mouvements stock'!$I$5:$I$3004,$A1368,'Mouvements stock'!$C$5:$C$3004,"Sortie")-SUMIFS('Mouvements stock'!$H$5:$H$3004,'Mouvements stock'!$I$5:$I$3004,$A1368,'Mouvements stock'!$C$5:$C$3004,"Retour"))</f>
        <v/>
      </c>
      <c r="X1368" s="66" t="n">
        <v>0</v>
      </c>
      <c r="Y1368" s="66" t="n">
        <v>0</v>
      </c>
      <c r="Z1368" s="7" t="n"/>
      <c r="AA1368" s="70">
        <f>IF($A1368="","",N(V1368)+N(W1368)+N(X1368)+N(Y1368))</f>
        <v/>
      </c>
      <c r="AB1368" s="70">
        <f>IF($A1368="","",N(S1368)*'Paramètres'!$AA$9*IFERROR(INDEX('Paramètres'!$O$5:$O$7,MATCH(G1368,'Paramètres'!$N$5:$N$7,0)),0))</f>
        <v/>
      </c>
      <c r="AC1368" s="7" t="inlineStr">
        <is>
          <t>Clôturé</t>
        </is>
      </c>
      <c r="AD1368" s="69">
        <f>IF(OR($A1368="",Q1368=""),"",(Q1368-B1368)*24)</f>
        <v/>
      </c>
      <c r="AE1368" s="69">
        <f>IF(OR(Q1368="",R1368=""),"",(R1368-Q1368)*24)</f>
        <v/>
      </c>
      <c r="AF1368" s="77">
        <f>IF(OR($A1368="",B1368=""),"",YEAR(B1368))</f>
        <v/>
      </c>
      <c r="AG1368" s="77">
        <f>IF(OR($A1368="",B1368=""),"",MONTH(B1368))</f>
        <v/>
      </c>
    </row>
    <row r="1369">
      <c r="A1369" s="7" t="inlineStr">
        <is>
          <t>OT-2026-0514</t>
        </is>
      </c>
      <c r="B1369" s="75" t="n">
        <v>46265.25208333333</v>
      </c>
      <c r="C1369" s="7" t="inlineStr">
        <is>
          <t>Ronde maintenance</t>
        </is>
      </c>
      <c r="D1369" s="7" t="inlineStr">
        <is>
          <t>EQ-UTI-001</t>
        </is>
      </c>
      <c r="E1369" s="9">
        <f>IF(D1369="","",IFERROR(INDEX('Équipements'!$B$5:$B$304,MATCH(D1369,'Équipements'!$A$5:$A$304,0)),"Code inconnu"))</f>
        <v/>
      </c>
      <c r="F1369" s="9">
        <f>IF(D1369="","",IFERROR(INDEX('Équipements'!$D$5:$D$304,MATCH(D1369,'Équipements'!$A$5:$A$304,0)),""))</f>
        <v/>
      </c>
      <c r="G1369" s="9">
        <f>IF(D1369="","",IFERROR(INDEX('Équipements'!$K$5:$K$304,MATCH(D1369,'Équipements'!$A$5:$A$304,0)),""))</f>
        <v/>
      </c>
      <c r="H1369" s="7" t="inlineStr">
        <is>
          <t>Correctif</t>
        </is>
      </c>
      <c r="I1369" s="7" t="n"/>
      <c r="J1369" s="7" t="inlineStr">
        <is>
          <t>Pneumatique</t>
        </is>
      </c>
      <c r="K1369" s="7" t="inlineStr">
        <is>
          <t>P3 - Normale</t>
        </is>
      </c>
      <c r="L1369" s="7" t="inlineStr">
        <is>
          <t>Purgeur de condensats bloqué</t>
        </is>
      </c>
      <c r="M1369" s="7" t="inlineStr">
        <is>
          <t>Encrassement</t>
        </is>
      </c>
      <c r="N1369" s="7" t="inlineStr">
        <is>
          <t>Remplacement purgeur électronique</t>
        </is>
      </c>
      <c r="O1369" s="7" t="inlineStr">
        <is>
          <t>Julien Moreau</t>
        </is>
      </c>
      <c r="P1369" s="65" t="n"/>
      <c r="Q1369" s="75" t="n">
        <v>46265.8125</v>
      </c>
      <c r="R1369" s="75" t="n">
        <v>46265.88541666666</v>
      </c>
      <c r="S1369" s="76" t="n">
        <v>0</v>
      </c>
      <c r="T1369" s="76" t="n">
        <v>1.75</v>
      </c>
      <c r="U1369" s="70">
        <f>IF($A1369="","",IFERROR(INDEX('Techniciens'!$F$5:$F$44,MATCH(O1369,'Techniciens'!$B$5:$B$44,0)),'Paramètres'!$AA$10))</f>
        <v/>
      </c>
      <c r="V1369" s="70">
        <f>IF($A1369="","",IF(OR(AC1369="Demandé",AC1369="Planifié",AC1369="Annulé"),0,N(T1369)*N(U1369)))</f>
        <v/>
      </c>
      <c r="W1369" s="70">
        <f>IF($A1369="","",SUMIFS('Mouvements stock'!$H$5:$H$3004,'Mouvements stock'!$I$5:$I$3004,$A1369,'Mouvements stock'!$C$5:$C$3004,"Sortie")-SUMIFS('Mouvements stock'!$H$5:$H$3004,'Mouvements stock'!$I$5:$I$3004,$A1369,'Mouvements stock'!$C$5:$C$3004,"Retour"))</f>
        <v/>
      </c>
      <c r="X1369" s="66" t="n">
        <v>0</v>
      </c>
      <c r="Y1369" s="66" t="n">
        <v>0</v>
      </c>
      <c r="Z1369" s="7" t="n"/>
      <c r="AA1369" s="70">
        <f>IF($A1369="","",N(V1369)+N(W1369)+N(X1369)+N(Y1369))</f>
        <v/>
      </c>
      <c r="AB1369" s="70">
        <f>IF($A1369="","",N(S1369)*'Paramètres'!$AA$9*IFERROR(INDEX('Paramètres'!$O$5:$O$7,MATCH(G1369,'Paramètres'!$N$5:$N$7,0)),0))</f>
        <v/>
      </c>
      <c r="AC1369" s="7" t="inlineStr">
        <is>
          <t>Clôturé</t>
        </is>
      </c>
      <c r="AD1369" s="69">
        <f>IF(OR($A1369="",Q1369=""),"",(Q1369-B1369)*24)</f>
        <v/>
      </c>
      <c r="AE1369" s="69">
        <f>IF(OR(Q1369="",R1369=""),"",(R1369-Q1369)*24)</f>
        <v/>
      </c>
      <c r="AF1369" s="77">
        <f>IF(OR($A1369="",B1369=""),"",YEAR(B1369))</f>
        <v/>
      </c>
      <c r="AG1369" s="77">
        <f>IF(OR($A1369="",B1369=""),"",MONTH(B1369))</f>
        <v/>
      </c>
    </row>
    <row r="1370">
      <c r="A1370" s="7" t="inlineStr">
        <is>
          <t>OT-2026-0515</t>
        </is>
      </c>
      <c r="B1370" s="75" t="n">
        <v>46265.34027777778</v>
      </c>
      <c r="C1370" s="7" t="inlineStr">
        <is>
          <t>Plan préventif</t>
        </is>
      </c>
      <c r="D1370" s="7" t="inlineStr">
        <is>
          <t>EQ-USI-002</t>
        </is>
      </c>
      <c r="E1370" s="9">
        <f>IF(D1370="","",IFERROR(INDEX('Équipements'!$B$5:$B$304,MATCH(D1370,'Équipements'!$A$5:$A$304,0)),"Code inconnu"))</f>
        <v/>
      </c>
      <c r="F1370" s="9">
        <f>IF(D1370="","",IFERROR(INDEX('Équipements'!$D$5:$D$304,MATCH(D1370,'Équipements'!$A$5:$A$304,0)),""))</f>
        <v/>
      </c>
      <c r="G1370" s="9">
        <f>IF(D1370="","",IFERROR(INDEX('Équipements'!$K$5:$K$304,MATCH(D1370,'Équipements'!$A$5:$A$304,0)),""))</f>
        <v/>
      </c>
      <c r="H1370" s="7" t="inlineStr">
        <is>
          <t>Préventif systématique</t>
        </is>
      </c>
      <c r="I1370" s="7" t="inlineStr">
        <is>
          <t>GP-006</t>
        </is>
      </c>
      <c r="J1370" s="7" t="inlineStr">
        <is>
          <t>Mécanique</t>
        </is>
      </c>
      <c r="K1370" s="7" t="inlineStr">
        <is>
          <t>P3 - Normale</t>
        </is>
      </c>
      <c r="L1370" s="7" t="inlineStr">
        <is>
          <t>Contrôle géométrie, jeux et graissage des axes</t>
        </is>
      </c>
      <c r="M1370" s="7" t="n"/>
      <c r="N1370" s="7" t="inlineStr">
        <is>
          <t>Gamme réalisée - RAS</t>
        </is>
      </c>
      <c r="O1370" s="7" t="inlineStr">
        <is>
          <t>Karim Benali</t>
        </is>
      </c>
      <c r="P1370" s="65" t="n">
        <v>46272.52777777778</v>
      </c>
      <c r="Q1370" s="75" t="n">
        <v>46272.57638888889</v>
      </c>
      <c r="R1370" s="75" t="n">
        <v>46272.80555555555</v>
      </c>
      <c r="S1370" s="76" t="n">
        <v>2.8</v>
      </c>
      <c r="T1370" s="76" t="n">
        <v>5.5</v>
      </c>
      <c r="U1370" s="70">
        <f>IF($A1370="","",IFERROR(INDEX('Techniciens'!$F$5:$F$44,MATCH(O1370,'Techniciens'!$B$5:$B$44,0)),'Paramètres'!$AA$10))</f>
        <v/>
      </c>
      <c r="V1370" s="70">
        <f>IF($A1370="","",IF(OR(AC1370="Demandé",AC1370="Planifié",AC1370="Annulé"),0,N(T1370)*N(U1370)))</f>
        <v/>
      </c>
      <c r="W1370" s="70">
        <f>IF($A1370="","",SUMIFS('Mouvements stock'!$H$5:$H$3004,'Mouvements stock'!$I$5:$I$3004,$A1370,'Mouvements stock'!$C$5:$C$3004,"Sortie")-SUMIFS('Mouvements stock'!$H$5:$H$3004,'Mouvements stock'!$I$5:$I$3004,$A1370,'Mouvements stock'!$C$5:$C$3004,"Retour"))</f>
        <v/>
      </c>
      <c r="X1370" s="66" t="n">
        <v>0</v>
      </c>
      <c r="Y1370" s="66" t="n">
        <v>0</v>
      </c>
      <c r="Z1370" s="7" t="n"/>
      <c r="AA1370" s="70">
        <f>IF($A1370="","",N(V1370)+N(W1370)+N(X1370)+N(Y1370))</f>
        <v/>
      </c>
      <c r="AB1370" s="70">
        <f>IF($A1370="","",N(S1370)*'Paramètres'!$AA$9*IFERROR(INDEX('Paramètres'!$O$5:$O$7,MATCH(G1370,'Paramètres'!$N$5:$N$7,0)),0))</f>
        <v/>
      </c>
      <c r="AC1370" s="7" t="inlineStr">
        <is>
          <t>Clôturé</t>
        </is>
      </c>
      <c r="AD1370" s="69">
        <f>IF(OR($A1370="",Q1370=""),"",(Q1370-B1370)*24)</f>
        <v/>
      </c>
      <c r="AE1370" s="69">
        <f>IF(OR(Q1370="",R1370=""),"",(R1370-Q1370)*24)</f>
        <v/>
      </c>
      <c r="AF1370" s="77">
        <f>IF(OR($A1370="",B1370=""),"",YEAR(B1370))</f>
        <v/>
      </c>
      <c r="AG1370" s="77">
        <f>IF(OR($A1370="",B1370=""),"",MONTH(B1370))</f>
        <v/>
      </c>
    </row>
    <row r="1371">
      <c r="A1371" s="7" t="inlineStr">
        <is>
          <t>OT-2026-0516</t>
        </is>
      </c>
      <c r="B1371" s="75" t="n">
        <v>46265.40625</v>
      </c>
      <c r="C1371" s="7" t="inlineStr">
        <is>
          <t>Plan préventif</t>
        </is>
      </c>
      <c r="D1371" s="7" t="inlineStr">
        <is>
          <t>EQ-USI-006</t>
        </is>
      </c>
      <c r="E1371" s="9">
        <f>IF(D1371="","",IFERROR(INDEX('Équipements'!$B$5:$B$304,MATCH(D1371,'Équipements'!$A$5:$A$304,0)),"Code inconnu"))</f>
        <v/>
      </c>
      <c r="F1371" s="9">
        <f>IF(D1371="","",IFERROR(INDEX('Équipements'!$D$5:$D$304,MATCH(D1371,'Équipements'!$A$5:$A$304,0)),""))</f>
        <v/>
      </c>
      <c r="G1371" s="9">
        <f>IF(D1371="","",IFERROR(INDEX('Équipements'!$K$5:$K$304,MATCH(D1371,'Équipements'!$A$5:$A$304,0)),""))</f>
        <v/>
      </c>
      <c r="H1371" s="7" t="inlineStr">
        <is>
          <t>Préventif systématique</t>
        </is>
      </c>
      <c r="I1371" s="7" t="inlineStr">
        <is>
          <t>GP-021</t>
        </is>
      </c>
      <c r="J1371" s="7" t="inlineStr">
        <is>
          <t>Mécanique</t>
        </is>
      </c>
      <c r="K1371" s="7" t="inlineStr">
        <is>
          <t>P3 - Normale</t>
        </is>
      </c>
      <c r="L1371" s="7" t="inlineStr">
        <is>
          <t>Contrôle niveaux, nettoyage filtres et bac à copeaux</t>
        </is>
      </c>
      <c r="M1371" s="7" t="n"/>
      <c r="N1371" s="7" t="inlineStr">
        <is>
          <t>Gamme réalisée - RAS</t>
        </is>
      </c>
      <c r="O1371" s="7" t="inlineStr">
        <is>
          <t>Lucas Fontaine</t>
        </is>
      </c>
      <c r="P1371" s="65" t="n">
        <v>46272.33680555555</v>
      </c>
      <c r="Q1371" s="75" t="n">
        <v>46272.51041666666</v>
      </c>
      <c r="R1371" s="75" t="n">
        <v>46272.58333333334</v>
      </c>
      <c r="S1371" s="76" t="n">
        <v>0.9</v>
      </c>
      <c r="T1371" s="76" t="n">
        <v>1.75</v>
      </c>
      <c r="U1371" s="70">
        <f>IF($A1371="","",IFERROR(INDEX('Techniciens'!$F$5:$F$44,MATCH(O1371,'Techniciens'!$B$5:$B$44,0)),'Paramètres'!$AA$10))</f>
        <v/>
      </c>
      <c r="V1371" s="70">
        <f>IF($A1371="","",IF(OR(AC1371="Demandé",AC1371="Planifié",AC1371="Annulé"),0,N(T1371)*N(U1371)))</f>
        <v/>
      </c>
      <c r="W1371" s="70">
        <f>IF($A1371="","",SUMIFS('Mouvements stock'!$H$5:$H$3004,'Mouvements stock'!$I$5:$I$3004,$A1371,'Mouvements stock'!$C$5:$C$3004,"Sortie")-SUMIFS('Mouvements stock'!$H$5:$H$3004,'Mouvements stock'!$I$5:$I$3004,$A1371,'Mouvements stock'!$C$5:$C$3004,"Retour"))</f>
        <v/>
      </c>
      <c r="X1371" s="66" t="n">
        <v>0</v>
      </c>
      <c r="Y1371" s="66" t="n">
        <v>0</v>
      </c>
      <c r="Z1371" s="7" t="n"/>
      <c r="AA1371" s="70">
        <f>IF($A1371="","",N(V1371)+N(W1371)+N(X1371)+N(Y1371))</f>
        <v/>
      </c>
      <c r="AB1371" s="70">
        <f>IF($A1371="","",N(S1371)*'Paramètres'!$AA$9*IFERROR(INDEX('Paramètres'!$O$5:$O$7,MATCH(G1371,'Paramètres'!$N$5:$N$7,0)),0))</f>
        <v/>
      </c>
      <c r="AC1371" s="7" t="inlineStr">
        <is>
          <t>Clôturé</t>
        </is>
      </c>
      <c r="AD1371" s="69">
        <f>IF(OR($A1371="",Q1371=""),"",(Q1371-B1371)*24)</f>
        <v/>
      </c>
      <c r="AE1371" s="69">
        <f>IF(OR(Q1371="",R1371=""),"",(R1371-Q1371)*24)</f>
        <v/>
      </c>
      <c r="AF1371" s="77">
        <f>IF(OR($A1371="",B1371=""),"",YEAR(B1371))</f>
        <v/>
      </c>
      <c r="AG1371" s="77">
        <f>IF(OR($A1371="",B1371=""),"",MONTH(B1371))</f>
        <v/>
      </c>
    </row>
    <row r="1372">
      <c r="A1372" s="7" t="inlineStr">
        <is>
          <t>OT-2026-0517</t>
        </is>
      </c>
      <c r="B1372" s="75" t="n">
        <v>46265.48958333334</v>
      </c>
      <c r="C1372" s="7" t="inlineStr">
        <is>
          <t>Plan préventif</t>
        </is>
      </c>
      <c r="D1372" s="7" t="inlineStr">
        <is>
          <t>EQ-UTI-008</t>
        </is>
      </c>
      <c r="E1372" s="9">
        <f>IF(D1372="","",IFERROR(INDEX('Équipements'!$B$5:$B$304,MATCH(D1372,'Équipements'!$A$5:$A$304,0)),"Code inconnu"))</f>
        <v/>
      </c>
      <c r="F1372" s="9">
        <f>IF(D1372="","",IFERROR(INDEX('Équipements'!$D$5:$D$304,MATCH(D1372,'Équipements'!$A$5:$A$304,0)),""))</f>
        <v/>
      </c>
      <c r="G1372" s="9">
        <f>IF(D1372="","",IFERROR(INDEX('Équipements'!$K$5:$K$304,MATCH(D1372,'Équipements'!$A$5:$A$304,0)),""))</f>
        <v/>
      </c>
      <c r="H1372" s="7" t="inlineStr">
        <is>
          <t>Préventif systématique</t>
        </is>
      </c>
      <c r="I1372" s="7" t="inlineStr">
        <is>
          <t>GP-100</t>
        </is>
      </c>
      <c r="J1372" s="7" t="inlineStr">
        <is>
          <t>Électrique</t>
        </is>
      </c>
      <c r="K1372" s="7" t="inlineStr">
        <is>
          <t>P3 - Normale</t>
        </is>
      </c>
      <c r="L1372" s="7" t="inlineStr">
        <is>
          <t>Essai de fonctionnement / contrôle visuel</t>
        </is>
      </c>
      <c r="M1372" s="7" t="n"/>
      <c r="N1372" s="7" t="inlineStr">
        <is>
          <t>Gamme réalisée - RAS</t>
        </is>
      </c>
      <c r="O1372" s="7" t="inlineStr">
        <is>
          <t>Julien Moreau</t>
        </is>
      </c>
      <c r="P1372" s="65" t="n">
        <v>46272.52083333334</v>
      </c>
      <c r="Q1372" s="75" t="n">
        <v>46272.49305555555</v>
      </c>
      <c r="R1372" s="75" t="n">
        <v>46272.56597222222</v>
      </c>
      <c r="S1372" s="76" t="n">
        <v>0</v>
      </c>
      <c r="T1372" s="76" t="n">
        <v>1.75</v>
      </c>
      <c r="U1372" s="70">
        <f>IF($A1372="","",IFERROR(INDEX('Techniciens'!$F$5:$F$44,MATCH(O1372,'Techniciens'!$B$5:$B$44,0)),'Paramètres'!$AA$10))</f>
        <v/>
      </c>
      <c r="V1372" s="70">
        <f>IF($A1372="","",IF(OR(AC1372="Demandé",AC1372="Planifié",AC1372="Annulé"),0,N(T1372)*N(U1372)))</f>
        <v/>
      </c>
      <c r="W1372" s="70">
        <f>IF($A1372="","",SUMIFS('Mouvements stock'!$H$5:$H$3004,'Mouvements stock'!$I$5:$I$3004,$A1372,'Mouvements stock'!$C$5:$C$3004,"Sortie")-SUMIFS('Mouvements stock'!$H$5:$H$3004,'Mouvements stock'!$I$5:$I$3004,$A1372,'Mouvements stock'!$C$5:$C$3004,"Retour"))</f>
        <v/>
      </c>
      <c r="X1372" s="66" t="n">
        <v>0</v>
      </c>
      <c r="Y1372" s="66" t="n">
        <v>0</v>
      </c>
      <c r="Z1372" s="7" t="n"/>
      <c r="AA1372" s="70">
        <f>IF($A1372="","",N(V1372)+N(W1372)+N(X1372)+N(Y1372))</f>
        <v/>
      </c>
      <c r="AB1372" s="70">
        <f>IF($A1372="","",N(S1372)*'Paramètres'!$AA$9*IFERROR(INDEX('Paramètres'!$O$5:$O$7,MATCH(G1372,'Paramètres'!$N$5:$N$7,0)),0))</f>
        <v/>
      </c>
      <c r="AC1372" s="7" t="inlineStr">
        <is>
          <t>Clôturé</t>
        </is>
      </c>
      <c r="AD1372" s="69">
        <f>IF(OR($A1372="",Q1372=""),"",(Q1372-B1372)*24)</f>
        <v/>
      </c>
      <c r="AE1372" s="69">
        <f>IF(OR(Q1372="",R1372=""),"",(R1372-Q1372)*24)</f>
        <v/>
      </c>
      <c r="AF1372" s="77">
        <f>IF(OR($A1372="",B1372=""),"",YEAR(B1372))</f>
        <v/>
      </c>
      <c r="AG1372" s="77">
        <f>IF(OR($A1372="",B1372=""),"",MONTH(B1372))</f>
        <v/>
      </c>
    </row>
    <row r="1373">
      <c r="A1373" s="7" t="inlineStr">
        <is>
          <t>OT-2026-0518</t>
        </is>
      </c>
      <c r="B1373" s="75" t="n">
        <v>46265.70833333334</v>
      </c>
      <c r="C1373" s="7" t="inlineStr">
        <is>
          <t>Céline Morel (cheffe d'atelier)</t>
        </is>
      </c>
      <c r="D1373" s="7" t="inlineStr">
        <is>
          <t>EQ-TOL-003</t>
        </is>
      </c>
      <c r="E1373" s="9">
        <f>IF(D1373="","",IFERROR(INDEX('Équipements'!$B$5:$B$304,MATCH(D1373,'Équipements'!$A$5:$A$304,0)),"Code inconnu"))</f>
        <v/>
      </c>
      <c r="F1373" s="9">
        <f>IF(D1373="","",IFERROR(INDEX('Équipements'!$D$5:$D$304,MATCH(D1373,'Équipements'!$A$5:$A$304,0)),""))</f>
        <v/>
      </c>
      <c r="G1373" s="9">
        <f>IF(D1373="","",IFERROR(INDEX('Équipements'!$K$5:$K$304,MATCH(D1373,'Équipements'!$A$5:$A$304,0)),""))</f>
        <v/>
      </c>
      <c r="H1373" s="7" t="inlineStr">
        <is>
          <t>Correctif</t>
        </is>
      </c>
      <c r="I1373" s="7" t="n"/>
      <c r="J1373" s="7" t="inlineStr">
        <is>
          <t>Automatisme</t>
        </is>
      </c>
      <c r="K1373" s="7" t="inlineStr">
        <is>
          <t>P2 - Haute</t>
        </is>
      </c>
      <c r="L1373" s="7" t="inlineStr">
        <is>
          <t>Défaut de synchronisation Y1/Y2</t>
        </is>
      </c>
      <c r="M1373" s="7" t="inlineStr">
        <is>
          <t>Défaut capteur</t>
        </is>
      </c>
      <c r="N1373" s="7" t="inlineStr">
        <is>
          <t>Recalage règles de mesure, contrôle distributeur proportionnel</t>
        </is>
      </c>
      <c r="O1373" s="7" t="inlineStr">
        <is>
          <t>Sophie Garnier</t>
        </is>
      </c>
      <c r="P1373" s="65" t="n"/>
      <c r="Q1373" s="75" t="n">
        <v>46265.92569444444</v>
      </c>
      <c r="R1373" s="75" t="n">
        <v>46266.09236111111</v>
      </c>
      <c r="S1373" s="76" t="n">
        <v>9.199999999999999</v>
      </c>
      <c r="T1373" s="76" t="n">
        <v>4</v>
      </c>
      <c r="U1373" s="70">
        <f>IF($A1373="","",IFERROR(INDEX('Techniciens'!$F$5:$F$44,MATCH(O1373,'Techniciens'!$B$5:$B$44,0)),'Paramètres'!$AA$10))</f>
        <v/>
      </c>
      <c r="V1373" s="70">
        <f>IF($A1373="","",IF(OR(AC1373="Demandé",AC1373="Planifié",AC1373="Annulé"),0,N(T1373)*N(U1373)))</f>
        <v/>
      </c>
      <c r="W1373" s="70">
        <f>IF($A1373="","",SUMIFS('Mouvements stock'!$H$5:$H$3004,'Mouvements stock'!$I$5:$I$3004,$A1373,'Mouvements stock'!$C$5:$C$3004,"Sortie")-SUMIFS('Mouvements stock'!$H$5:$H$3004,'Mouvements stock'!$I$5:$I$3004,$A1373,'Mouvements stock'!$C$5:$C$3004,"Retour"))</f>
        <v/>
      </c>
      <c r="X1373" s="66" t="n">
        <v>0</v>
      </c>
      <c r="Y1373" s="66" t="n">
        <v>0</v>
      </c>
      <c r="Z1373" s="7" t="n"/>
      <c r="AA1373" s="70">
        <f>IF($A1373="","",N(V1373)+N(W1373)+N(X1373)+N(Y1373))</f>
        <v/>
      </c>
      <c r="AB1373" s="70">
        <f>IF($A1373="","",N(S1373)*'Paramètres'!$AA$9*IFERROR(INDEX('Paramètres'!$O$5:$O$7,MATCH(G1373,'Paramètres'!$N$5:$N$7,0)),0))</f>
        <v/>
      </c>
      <c r="AC1373" s="7" t="inlineStr">
        <is>
          <t>Clôturé</t>
        </is>
      </c>
      <c r="AD1373" s="69">
        <f>IF(OR($A1373="",Q1373=""),"",(Q1373-B1373)*24)</f>
        <v/>
      </c>
      <c r="AE1373" s="69">
        <f>IF(OR(Q1373="",R1373=""),"",(R1373-Q1373)*24)</f>
        <v/>
      </c>
      <c r="AF1373" s="77">
        <f>IF(OR($A1373="",B1373=""),"",YEAR(B1373))</f>
        <v/>
      </c>
      <c r="AG1373" s="77">
        <f>IF(OR($A1373="",B1373=""),"",MONTH(B1373))</f>
        <v/>
      </c>
    </row>
    <row r="1374">
      <c r="A1374" s="7" t="inlineStr">
        <is>
          <t>OT-2026-0519</t>
        </is>
      </c>
      <c r="B1374" s="75" t="n">
        <v>46266.375</v>
      </c>
      <c r="C1374" s="7" t="inlineStr">
        <is>
          <t>Plan préventif</t>
        </is>
      </c>
      <c r="D1374" s="7" t="inlineStr">
        <is>
          <t>EQ-TOL-001</t>
        </is>
      </c>
      <c r="E1374" s="9">
        <f>IF(D1374="","",IFERROR(INDEX('Équipements'!$B$5:$B$304,MATCH(D1374,'Équipements'!$A$5:$A$304,0)),"Code inconnu"))</f>
        <v/>
      </c>
      <c r="F1374" s="9">
        <f>IF(D1374="","",IFERROR(INDEX('Équipements'!$D$5:$D$304,MATCH(D1374,'Équipements'!$A$5:$A$304,0)),""))</f>
        <v/>
      </c>
      <c r="G1374" s="9">
        <f>IF(D1374="","",IFERROR(INDEX('Équipements'!$K$5:$K$304,MATCH(D1374,'Équipements'!$A$5:$A$304,0)),""))</f>
        <v/>
      </c>
      <c r="H1374" s="7" t="inlineStr">
        <is>
          <t>Préventif systématique</t>
        </is>
      </c>
      <c r="I1374" s="7" t="inlineStr">
        <is>
          <t>GP-038</t>
        </is>
      </c>
      <c r="J1374" s="7" t="inlineStr">
        <is>
          <t>Mécanique</t>
        </is>
      </c>
      <c r="K1374" s="7" t="inlineStr">
        <is>
          <t>P3 - Normale</t>
        </is>
      </c>
      <c r="L1374" s="7" t="inlineStr">
        <is>
          <t>Nettoyage optique, contrôle buse et lentille</t>
        </is>
      </c>
      <c r="M1374" s="7" t="n"/>
      <c r="N1374" s="7" t="inlineStr">
        <is>
          <t>Gamme réalisée - RAS</t>
        </is>
      </c>
      <c r="O1374" s="7" t="inlineStr">
        <is>
          <t>Karim Benali</t>
        </is>
      </c>
      <c r="P1374" s="65" t="n">
        <v>46273.58333333334</v>
      </c>
      <c r="Q1374" s="75" t="n">
        <v>46273.59722222222</v>
      </c>
      <c r="R1374" s="75" t="n">
        <v>46273.69097222222</v>
      </c>
      <c r="S1374" s="76" t="n">
        <v>0</v>
      </c>
      <c r="T1374" s="76" t="n">
        <v>2.25</v>
      </c>
      <c r="U1374" s="70">
        <f>IF($A1374="","",IFERROR(INDEX('Techniciens'!$F$5:$F$44,MATCH(O1374,'Techniciens'!$B$5:$B$44,0)),'Paramètres'!$AA$10))</f>
        <v/>
      </c>
      <c r="V1374" s="70">
        <f>IF($A1374="","",IF(OR(AC1374="Demandé",AC1374="Planifié",AC1374="Annulé"),0,N(T1374)*N(U1374)))</f>
        <v/>
      </c>
      <c r="W1374" s="70">
        <f>IF($A1374="","",SUMIFS('Mouvements stock'!$H$5:$H$3004,'Mouvements stock'!$I$5:$I$3004,$A1374,'Mouvements stock'!$C$5:$C$3004,"Sortie")-SUMIFS('Mouvements stock'!$H$5:$H$3004,'Mouvements stock'!$I$5:$I$3004,$A1374,'Mouvements stock'!$C$5:$C$3004,"Retour"))</f>
        <v/>
      </c>
      <c r="X1374" s="66" t="n">
        <v>0</v>
      </c>
      <c r="Y1374" s="66" t="n">
        <v>0</v>
      </c>
      <c r="Z1374" s="7" t="n"/>
      <c r="AA1374" s="70">
        <f>IF($A1374="","",N(V1374)+N(W1374)+N(X1374)+N(Y1374))</f>
        <v/>
      </c>
      <c r="AB1374" s="70">
        <f>IF($A1374="","",N(S1374)*'Paramètres'!$AA$9*IFERROR(INDEX('Paramètres'!$O$5:$O$7,MATCH(G1374,'Paramètres'!$N$5:$N$7,0)),0))</f>
        <v/>
      </c>
      <c r="AC1374" s="7" t="inlineStr">
        <is>
          <t>Clôturé</t>
        </is>
      </c>
      <c r="AD1374" s="69">
        <f>IF(OR($A1374="",Q1374=""),"",(Q1374-B1374)*24)</f>
        <v/>
      </c>
      <c r="AE1374" s="69">
        <f>IF(OR(Q1374="",R1374=""),"",(R1374-Q1374)*24)</f>
        <v/>
      </c>
      <c r="AF1374" s="77">
        <f>IF(OR($A1374="",B1374=""),"",YEAR(B1374))</f>
        <v/>
      </c>
      <c r="AG1374" s="77">
        <f>IF(OR($A1374="",B1374=""),"",MONTH(B1374))</f>
        <v/>
      </c>
    </row>
    <row r="1375">
      <c r="A1375" s="7" t="inlineStr">
        <is>
          <t>OT-2026-0520</t>
        </is>
      </c>
      <c r="B1375" s="75" t="n">
        <v>46266.45347222222</v>
      </c>
      <c r="C1375" s="7" t="inlineStr">
        <is>
          <t>Inès Girard (cheffe d'équipe)</t>
        </is>
      </c>
      <c r="D1375" s="7" t="inlineStr">
        <is>
          <t>EQ-PEI-003</t>
        </is>
      </c>
      <c r="E1375" s="9">
        <f>IF(D1375="","",IFERROR(INDEX('Équipements'!$B$5:$B$304,MATCH(D1375,'Équipements'!$A$5:$A$304,0)),"Code inconnu"))</f>
        <v/>
      </c>
      <c r="F1375" s="9">
        <f>IF(D1375="","",IFERROR(INDEX('Équipements'!$D$5:$D$304,MATCH(D1375,'Équipements'!$A$5:$A$304,0)),""))</f>
        <v/>
      </c>
      <c r="G1375" s="9">
        <f>IF(D1375="","",IFERROR(INDEX('Équipements'!$K$5:$K$304,MATCH(D1375,'Équipements'!$A$5:$A$304,0)),""))</f>
        <v/>
      </c>
      <c r="H1375" s="7" t="inlineStr">
        <is>
          <t>Correctif</t>
        </is>
      </c>
      <c r="I1375" s="7" t="n"/>
      <c r="J1375" s="7" t="inlineStr">
        <is>
          <t>Électrique</t>
        </is>
      </c>
      <c r="K1375" s="7" t="inlineStr">
        <is>
          <t>P1 - Urgent</t>
        </is>
      </c>
      <c r="L1375" s="7" t="inlineStr">
        <is>
          <t>Brûleur en sécurité (défaut flamme)</t>
        </is>
      </c>
      <c r="M1375" s="7" t="inlineStr">
        <is>
          <t>Défaut capteur</t>
        </is>
      </c>
      <c r="N1375" s="7" t="inlineStr">
        <is>
          <t>Remplacement sonde, réglage brûleur</t>
        </is>
      </c>
      <c r="O1375" s="7" t="inlineStr">
        <is>
          <t>Thomas Petit</t>
        </is>
      </c>
      <c r="P1375" s="65" t="n"/>
      <c r="Q1375" s="75" t="n">
        <v>46266.46041666667</v>
      </c>
      <c r="R1375" s="75" t="n">
        <v>46266.7625</v>
      </c>
      <c r="S1375" s="76" t="n">
        <v>7.4</v>
      </c>
      <c r="T1375" s="76" t="n">
        <v>7.25</v>
      </c>
      <c r="U1375" s="70">
        <f>IF($A1375="","",IFERROR(INDEX('Techniciens'!$F$5:$F$44,MATCH(O1375,'Techniciens'!$B$5:$B$44,0)),'Paramètres'!$AA$10))</f>
        <v/>
      </c>
      <c r="V1375" s="70">
        <f>IF($A1375="","",IF(OR(AC1375="Demandé",AC1375="Planifié",AC1375="Annulé"),0,N(T1375)*N(U1375)))</f>
        <v/>
      </c>
      <c r="W1375" s="70">
        <f>IF($A1375="","",SUMIFS('Mouvements stock'!$H$5:$H$3004,'Mouvements stock'!$I$5:$I$3004,$A1375,'Mouvements stock'!$C$5:$C$3004,"Sortie")-SUMIFS('Mouvements stock'!$H$5:$H$3004,'Mouvements stock'!$I$5:$I$3004,$A1375,'Mouvements stock'!$C$5:$C$3004,"Retour"))</f>
        <v/>
      </c>
      <c r="X1375" s="66" t="n">
        <v>0</v>
      </c>
      <c r="Y1375" s="66" t="n">
        <v>0</v>
      </c>
      <c r="Z1375" s="7" t="n"/>
      <c r="AA1375" s="70">
        <f>IF($A1375="","",N(V1375)+N(W1375)+N(X1375)+N(Y1375))</f>
        <v/>
      </c>
      <c r="AB1375" s="70">
        <f>IF($A1375="","",N(S1375)*'Paramètres'!$AA$9*IFERROR(INDEX('Paramètres'!$O$5:$O$7,MATCH(G1375,'Paramètres'!$N$5:$N$7,0)),0))</f>
        <v/>
      </c>
      <c r="AC1375" s="7" t="inlineStr">
        <is>
          <t>Clôturé</t>
        </is>
      </c>
      <c r="AD1375" s="69">
        <f>IF(OR($A1375="",Q1375=""),"",(Q1375-B1375)*24)</f>
        <v/>
      </c>
      <c r="AE1375" s="69">
        <f>IF(OR(Q1375="",R1375=""),"",(R1375-Q1375)*24)</f>
        <v/>
      </c>
      <c r="AF1375" s="77">
        <f>IF(OR($A1375="",B1375=""),"",YEAR(B1375))</f>
        <v/>
      </c>
      <c r="AG1375" s="77">
        <f>IF(OR($A1375="",B1375=""),"",MONTH(B1375))</f>
        <v/>
      </c>
    </row>
    <row r="1376">
      <c r="A1376" s="7" t="inlineStr">
        <is>
          <t>OT-2026-0521</t>
        </is>
      </c>
      <c r="B1376" s="75" t="n">
        <v>46266.48263888889</v>
      </c>
      <c r="C1376" s="7" t="inlineStr">
        <is>
          <t>Ronde maintenance</t>
        </is>
      </c>
      <c r="D1376" s="7" t="inlineStr">
        <is>
          <t>EQ-UTI-005</t>
        </is>
      </c>
      <c r="E1376" s="9">
        <f>IF(D1376="","",IFERROR(INDEX('Équipements'!$B$5:$B$304,MATCH(D1376,'Équipements'!$A$5:$A$304,0)),"Code inconnu"))</f>
        <v/>
      </c>
      <c r="F1376" s="9">
        <f>IF(D1376="","",IFERROR(INDEX('Équipements'!$D$5:$D$304,MATCH(D1376,'Équipements'!$A$5:$A$304,0)),""))</f>
        <v/>
      </c>
      <c r="G1376" s="9">
        <f>IF(D1376="","",IFERROR(INDEX('Équipements'!$K$5:$K$304,MATCH(D1376,'Équipements'!$A$5:$A$304,0)),""))</f>
        <v/>
      </c>
      <c r="H1376" s="7" t="inlineStr">
        <is>
          <t>Correctif</t>
        </is>
      </c>
      <c r="I1376" s="7" t="n"/>
      <c r="J1376" s="7" t="inlineStr">
        <is>
          <t>Électrique</t>
        </is>
      </c>
      <c r="K1376" s="7" t="inlineStr">
        <is>
          <t>P1 - Urgent</t>
        </is>
      </c>
      <c r="L1376" s="7" t="inlineStr">
        <is>
          <t>Mise en sécurité (défaut allumage)</t>
        </is>
      </c>
      <c r="M1376" s="7" t="n"/>
      <c r="N1376" s="7" t="inlineStr">
        <is>
          <t>Doublon de demande - annulé</t>
        </is>
      </c>
      <c r="O1376" s="7" t="inlineStr">
        <is>
          <t>Thomas Petit</t>
        </is>
      </c>
      <c r="P1376" s="65" t="n"/>
      <c r="Q1376" s="75" t="n"/>
      <c r="R1376" s="75" t="n"/>
      <c r="S1376" s="76" t="n">
        <v>0</v>
      </c>
      <c r="T1376" s="76" t="n">
        <v>0</v>
      </c>
      <c r="U1376" s="70">
        <f>IF($A1376="","",IFERROR(INDEX('Techniciens'!$F$5:$F$44,MATCH(O1376,'Techniciens'!$B$5:$B$44,0)),'Paramètres'!$AA$10))</f>
        <v/>
      </c>
      <c r="V1376" s="70">
        <f>IF($A1376="","",IF(OR(AC1376="Demandé",AC1376="Planifié",AC1376="Annulé"),0,N(T1376)*N(U1376)))</f>
        <v/>
      </c>
      <c r="W1376" s="70">
        <f>IF($A1376="","",SUMIFS('Mouvements stock'!$H$5:$H$3004,'Mouvements stock'!$I$5:$I$3004,$A1376,'Mouvements stock'!$C$5:$C$3004,"Sortie")-SUMIFS('Mouvements stock'!$H$5:$H$3004,'Mouvements stock'!$I$5:$I$3004,$A1376,'Mouvements stock'!$C$5:$C$3004,"Retour"))</f>
        <v/>
      </c>
      <c r="X1376" s="66" t="n">
        <v>0</v>
      </c>
      <c r="Y1376" s="66" t="n">
        <v>0</v>
      </c>
      <c r="Z1376" s="7" t="n"/>
      <c r="AA1376" s="70">
        <f>IF($A1376="","",N(V1376)+N(W1376)+N(X1376)+N(Y1376))</f>
        <v/>
      </c>
      <c r="AB1376" s="70">
        <f>IF($A1376="","",N(S1376)*'Paramètres'!$AA$9*IFERROR(INDEX('Paramètres'!$O$5:$O$7,MATCH(G1376,'Paramètres'!$N$5:$N$7,0)),0))</f>
        <v/>
      </c>
      <c r="AC1376" s="7" t="inlineStr">
        <is>
          <t>Annulé</t>
        </is>
      </c>
      <c r="AD1376" s="69">
        <f>IF(OR($A1376="",Q1376=""),"",(Q1376-B1376)*24)</f>
        <v/>
      </c>
      <c r="AE1376" s="69">
        <f>IF(OR(Q1376="",R1376=""),"",(R1376-Q1376)*24)</f>
        <v/>
      </c>
      <c r="AF1376" s="77">
        <f>IF(OR($A1376="",B1376=""),"",YEAR(B1376))</f>
        <v/>
      </c>
      <c r="AG1376" s="77">
        <f>IF(OR($A1376="",B1376=""),"",MONTH(B1376))</f>
        <v/>
      </c>
    </row>
    <row r="1377">
      <c r="A1377" s="7" t="inlineStr">
        <is>
          <t>OT-2026-0522</t>
        </is>
      </c>
      <c r="B1377" s="75" t="n">
        <v>46267.40625</v>
      </c>
      <c r="C1377" s="7" t="inlineStr">
        <is>
          <t>Plan préventif</t>
        </is>
      </c>
      <c r="D1377" s="7" t="inlineStr">
        <is>
          <t>EQ-TOL-006</t>
        </is>
      </c>
      <c r="E1377" s="9">
        <f>IF(D1377="","",IFERROR(INDEX('Équipements'!$B$5:$B$304,MATCH(D1377,'Équipements'!$A$5:$A$304,0)),"Code inconnu"))</f>
        <v/>
      </c>
      <c r="F1377" s="9">
        <f>IF(D1377="","",IFERROR(INDEX('Équipements'!$D$5:$D$304,MATCH(D1377,'Équipements'!$A$5:$A$304,0)),""))</f>
        <v/>
      </c>
      <c r="G1377" s="9">
        <f>IF(D1377="","",IFERROR(INDEX('Équipements'!$K$5:$K$304,MATCH(D1377,'Équipements'!$A$5:$A$304,0)),""))</f>
        <v/>
      </c>
      <c r="H1377" s="7" t="inlineStr">
        <is>
          <t>Préventif systématique</t>
        </is>
      </c>
      <c r="I1377" s="7" t="inlineStr">
        <is>
          <t>GP-053</t>
        </is>
      </c>
      <c r="J1377" s="7" t="inlineStr">
        <is>
          <t>Hydraulique</t>
        </is>
      </c>
      <c r="K1377" s="7" t="inlineStr">
        <is>
          <t>P3 - Normale</t>
        </is>
      </c>
      <c r="L1377" s="7" t="inlineStr">
        <is>
          <t>Contrôle hydraulique : fuites, niveaux, pressions</t>
        </is>
      </c>
      <c r="M1377" s="7" t="n"/>
      <c r="N1377" s="7" t="inlineStr">
        <is>
          <t>Gamme réalisée - RAS</t>
        </is>
      </c>
      <c r="O1377" s="7" t="inlineStr">
        <is>
          <t>Antoine Mercier</t>
        </is>
      </c>
      <c r="P1377" s="65" t="n">
        <v>46274.49652777778</v>
      </c>
      <c r="Q1377" s="75" t="n">
        <v>46274.50694444445</v>
      </c>
      <c r="R1377" s="75" t="n">
        <v>46274.59027777778</v>
      </c>
      <c r="S1377" s="76" t="n">
        <v>1</v>
      </c>
      <c r="T1377" s="76" t="n">
        <v>2</v>
      </c>
      <c r="U1377" s="70">
        <f>IF($A1377="","",IFERROR(INDEX('Techniciens'!$F$5:$F$44,MATCH(O1377,'Techniciens'!$B$5:$B$44,0)),'Paramètres'!$AA$10))</f>
        <v/>
      </c>
      <c r="V1377" s="70">
        <f>IF($A1377="","",IF(OR(AC1377="Demandé",AC1377="Planifié",AC1377="Annulé"),0,N(T1377)*N(U1377)))</f>
        <v/>
      </c>
      <c r="W1377" s="70">
        <f>IF($A1377="","",SUMIFS('Mouvements stock'!$H$5:$H$3004,'Mouvements stock'!$I$5:$I$3004,$A1377,'Mouvements stock'!$C$5:$C$3004,"Sortie")-SUMIFS('Mouvements stock'!$H$5:$H$3004,'Mouvements stock'!$I$5:$I$3004,$A1377,'Mouvements stock'!$C$5:$C$3004,"Retour"))</f>
        <v/>
      </c>
      <c r="X1377" s="66" t="n">
        <v>0</v>
      </c>
      <c r="Y1377" s="66" t="n">
        <v>0</v>
      </c>
      <c r="Z1377" s="7" t="n"/>
      <c r="AA1377" s="70">
        <f>IF($A1377="","",N(V1377)+N(W1377)+N(X1377)+N(Y1377))</f>
        <v/>
      </c>
      <c r="AB1377" s="70">
        <f>IF($A1377="","",N(S1377)*'Paramètres'!$AA$9*IFERROR(INDEX('Paramètres'!$O$5:$O$7,MATCH(G1377,'Paramètres'!$N$5:$N$7,0)),0))</f>
        <v/>
      </c>
      <c r="AC1377" s="7" t="inlineStr">
        <is>
          <t>Clôturé</t>
        </is>
      </c>
      <c r="AD1377" s="69">
        <f>IF(OR($A1377="",Q1377=""),"",(Q1377-B1377)*24)</f>
        <v/>
      </c>
      <c r="AE1377" s="69">
        <f>IF(OR(Q1377="",R1377=""),"",(R1377-Q1377)*24)</f>
        <v/>
      </c>
      <c r="AF1377" s="77">
        <f>IF(OR($A1377="",B1377=""),"",YEAR(B1377))</f>
        <v/>
      </c>
      <c r="AG1377" s="77">
        <f>IF(OR($A1377="",B1377=""),"",MONTH(B1377))</f>
        <v/>
      </c>
    </row>
    <row r="1378">
      <c r="A1378" s="7" t="inlineStr">
        <is>
          <t>OT-2026-0523</t>
        </is>
      </c>
      <c r="B1378" s="75" t="n">
        <v>46267.43055555555</v>
      </c>
      <c r="C1378" s="7" t="inlineStr">
        <is>
          <t>Plan préventif</t>
        </is>
      </c>
      <c r="D1378" s="7" t="inlineStr">
        <is>
          <t>EQ-ASS-001</t>
        </is>
      </c>
      <c r="E1378" s="9">
        <f>IF(D1378="","",IFERROR(INDEX('Équipements'!$B$5:$B$304,MATCH(D1378,'Équipements'!$A$5:$A$304,0)),"Code inconnu"))</f>
        <v/>
      </c>
      <c r="F1378" s="9">
        <f>IF(D1378="","",IFERROR(INDEX('Équipements'!$D$5:$D$304,MATCH(D1378,'Équipements'!$A$5:$A$304,0)),""))</f>
        <v/>
      </c>
      <c r="G1378" s="9">
        <f>IF(D1378="","",IFERROR(INDEX('Équipements'!$K$5:$K$304,MATCH(D1378,'Équipements'!$A$5:$A$304,0)),""))</f>
        <v/>
      </c>
      <c r="H1378" s="7" t="inlineStr">
        <is>
          <t>Préventif systématique</t>
        </is>
      </c>
      <c r="I1378" s="7" t="inlineStr">
        <is>
          <t>GP-076</t>
        </is>
      </c>
      <c r="J1378" s="7" t="inlineStr">
        <is>
          <t>Mécanique</t>
        </is>
      </c>
      <c r="K1378" s="7" t="inlineStr">
        <is>
          <t>P3 - Normale</t>
        </is>
      </c>
      <c r="L1378" s="7" t="inlineStr">
        <is>
          <t>Graissage chaîne / galets et contrôle tension</t>
        </is>
      </c>
      <c r="M1378" s="7" t="n"/>
      <c r="N1378" s="7" t="inlineStr">
        <is>
          <t>Gamme réalisée - RAS</t>
        </is>
      </c>
      <c r="O1378" s="7" t="inlineStr">
        <is>
          <t>Lucas Fontaine</t>
        </is>
      </c>
      <c r="P1378" s="65" t="n">
        <v>46274.34375</v>
      </c>
      <c r="Q1378" s="75" t="n">
        <v>46274.56944444445</v>
      </c>
      <c r="R1378" s="75" t="n">
        <v>46274.69444444445</v>
      </c>
      <c r="S1378" s="76" t="n">
        <v>1.5</v>
      </c>
      <c r="T1378" s="76" t="n">
        <v>3</v>
      </c>
      <c r="U1378" s="70">
        <f>IF($A1378="","",IFERROR(INDEX('Techniciens'!$F$5:$F$44,MATCH(O1378,'Techniciens'!$B$5:$B$44,0)),'Paramètres'!$AA$10))</f>
        <v/>
      </c>
      <c r="V1378" s="70">
        <f>IF($A1378="","",IF(OR(AC1378="Demandé",AC1378="Planifié",AC1378="Annulé"),0,N(T1378)*N(U1378)))</f>
        <v/>
      </c>
      <c r="W1378" s="70">
        <f>IF($A1378="","",SUMIFS('Mouvements stock'!$H$5:$H$3004,'Mouvements stock'!$I$5:$I$3004,$A1378,'Mouvements stock'!$C$5:$C$3004,"Sortie")-SUMIFS('Mouvements stock'!$H$5:$H$3004,'Mouvements stock'!$I$5:$I$3004,$A1378,'Mouvements stock'!$C$5:$C$3004,"Retour"))</f>
        <v/>
      </c>
      <c r="X1378" s="66" t="n">
        <v>0</v>
      </c>
      <c r="Y1378" s="66" t="n">
        <v>0</v>
      </c>
      <c r="Z1378" s="7" t="n"/>
      <c r="AA1378" s="70">
        <f>IF($A1378="","",N(V1378)+N(W1378)+N(X1378)+N(Y1378))</f>
        <v/>
      </c>
      <c r="AB1378" s="70">
        <f>IF($A1378="","",N(S1378)*'Paramètres'!$AA$9*IFERROR(INDEX('Paramètres'!$O$5:$O$7,MATCH(G1378,'Paramètres'!$N$5:$N$7,0)),0))</f>
        <v/>
      </c>
      <c r="AC1378" s="7" t="inlineStr">
        <is>
          <t>Clôturé</t>
        </is>
      </c>
      <c r="AD1378" s="69">
        <f>IF(OR($A1378="",Q1378=""),"",(Q1378-B1378)*24)</f>
        <v/>
      </c>
      <c r="AE1378" s="69">
        <f>IF(OR(Q1378="",R1378=""),"",(R1378-Q1378)*24)</f>
        <v/>
      </c>
      <c r="AF1378" s="77">
        <f>IF(OR($A1378="",B1378=""),"",YEAR(B1378))</f>
        <v/>
      </c>
      <c r="AG1378" s="77">
        <f>IF(OR($A1378="",B1378=""),"",MONTH(B1378))</f>
        <v/>
      </c>
    </row>
    <row r="1379">
      <c r="A1379" s="7" t="inlineStr">
        <is>
          <t>OT-2026-0524</t>
        </is>
      </c>
      <c r="B1379" s="75" t="n">
        <v>46267.48958333334</v>
      </c>
      <c r="C1379" s="7" t="inlineStr">
        <is>
          <t>Plan préventif</t>
        </is>
      </c>
      <c r="D1379" s="7" t="inlineStr">
        <is>
          <t>EQ-USI-006</t>
        </is>
      </c>
      <c r="E1379" s="9">
        <f>IF(D1379="","",IFERROR(INDEX('Équipements'!$B$5:$B$304,MATCH(D1379,'Équipements'!$A$5:$A$304,0)),"Code inconnu"))</f>
        <v/>
      </c>
      <c r="F1379" s="9">
        <f>IF(D1379="","",IFERROR(INDEX('Équipements'!$D$5:$D$304,MATCH(D1379,'Équipements'!$A$5:$A$304,0)),""))</f>
        <v/>
      </c>
      <c r="G1379" s="9">
        <f>IF(D1379="","",IFERROR(INDEX('Équipements'!$K$5:$K$304,MATCH(D1379,'Équipements'!$A$5:$A$304,0)),""))</f>
        <v/>
      </c>
      <c r="H1379" s="7" t="inlineStr">
        <is>
          <t>Préventif systématique</t>
        </is>
      </c>
      <c r="I1379" s="7" t="inlineStr">
        <is>
          <t>GP-022</t>
        </is>
      </c>
      <c r="J1379" s="7" t="inlineStr">
        <is>
          <t>Mécanique</t>
        </is>
      </c>
      <c r="K1379" s="7" t="inlineStr">
        <is>
          <t>P3 - Normale</t>
        </is>
      </c>
      <c r="L1379" s="7" t="inlineStr">
        <is>
          <t>Contrôle géométrie, jeux et graissage des axes</t>
        </is>
      </c>
      <c r="M1379" s="7" t="n"/>
      <c r="N1379" s="7" t="inlineStr">
        <is>
          <t>Gamme réalisée - RAS</t>
        </is>
      </c>
      <c r="O1379" s="7" t="inlineStr">
        <is>
          <t>Antoine Mercier</t>
        </is>
      </c>
      <c r="P1379" s="65" t="n">
        <v>46274.49305555555</v>
      </c>
      <c r="Q1379" s="75" t="n">
        <v>46274.45138888889</v>
      </c>
      <c r="R1379" s="75" t="n">
        <v>46274.70138888889</v>
      </c>
      <c r="S1379" s="76" t="n">
        <v>6</v>
      </c>
      <c r="T1379" s="76" t="n">
        <v>6</v>
      </c>
      <c r="U1379" s="70">
        <f>IF($A1379="","",IFERROR(INDEX('Techniciens'!$F$5:$F$44,MATCH(O1379,'Techniciens'!$B$5:$B$44,0)),'Paramètres'!$AA$10))</f>
        <v/>
      </c>
      <c r="V1379" s="70">
        <f>IF($A1379="","",IF(OR(AC1379="Demandé",AC1379="Planifié",AC1379="Annulé"),0,N(T1379)*N(U1379)))</f>
        <v/>
      </c>
      <c r="W1379" s="70">
        <f>IF($A1379="","",SUMIFS('Mouvements stock'!$H$5:$H$3004,'Mouvements stock'!$I$5:$I$3004,$A1379,'Mouvements stock'!$C$5:$C$3004,"Sortie")-SUMIFS('Mouvements stock'!$H$5:$H$3004,'Mouvements stock'!$I$5:$I$3004,$A1379,'Mouvements stock'!$C$5:$C$3004,"Retour"))</f>
        <v/>
      </c>
      <c r="X1379" s="66" t="n">
        <v>0</v>
      </c>
      <c r="Y1379" s="66" t="n">
        <v>0</v>
      </c>
      <c r="Z1379" s="7" t="n"/>
      <c r="AA1379" s="70">
        <f>IF($A1379="","",N(V1379)+N(W1379)+N(X1379)+N(Y1379))</f>
        <v/>
      </c>
      <c r="AB1379" s="70">
        <f>IF($A1379="","",N(S1379)*'Paramètres'!$AA$9*IFERROR(INDEX('Paramètres'!$O$5:$O$7,MATCH(G1379,'Paramètres'!$N$5:$N$7,0)),0))</f>
        <v/>
      </c>
      <c r="AC1379" s="7" t="inlineStr">
        <is>
          <t>Clôturé</t>
        </is>
      </c>
      <c r="AD1379" s="69">
        <f>IF(OR($A1379="",Q1379=""),"",(Q1379-B1379)*24)</f>
        <v/>
      </c>
      <c r="AE1379" s="69">
        <f>IF(OR(Q1379="",R1379=""),"",(R1379-Q1379)*24)</f>
        <v/>
      </c>
      <c r="AF1379" s="77">
        <f>IF(OR($A1379="",B1379=""),"",YEAR(B1379))</f>
        <v/>
      </c>
      <c r="AG1379" s="77">
        <f>IF(OR($A1379="",B1379=""),"",MONTH(B1379))</f>
        <v/>
      </c>
    </row>
    <row r="1380">
      <c r="A1380" s="7" t="inlineStr">
        <is>
          <t>OT-2026-0525</t>
        </is>
      </c>
      <c r="B1380" s="75" t="n">
        <v>46268.25347222222</v>
      </c>
      <c r="C1380" s="7" t="inlineStr">
        <is>
          <t>Opérateur usinage</t>
        </is>
      </c>
      <c r="D1380" s="7" t="inlineStr">
        <is>
          <t>EQ-USI-009</t>
        </is>
      </c>
      <c r="E1380" s="9">
        <f>IF(D1380="","",IFERROR(INDEX('Équipements'!$B$5:$B$304,MATCH(D1380,'Équipements'!$A$5:$A$304,0)),"Code inconnu"))</f>
        <v/>
      </c>
      <c r="F1380" s="9">
        <f>IF(D1380="","",IFERROR(INDEX('Équipements'!$D$5:$D$304,MATCH(D1380,'Équipements'!$A$5:$A$304,0)),""))</f>
        <v/>
      </c>
      <c r="G1380" s="9">
        <f>IF(D1380="","",IFERROR(INDEX('Équipements'!$K$5:$K$304,MATCH(D1380,'Équipements'!$A$5:$A$304,0)),""))</f>
        <v/>
      </c>
      <c r="H1380" s="7" t="inlineStr">
        <is>
          <t>Correctif</t>
        </is>
      </c>
      <c r="I1380" s="7" t="n"/>
      <c r="J1380" s="7" t="inlineStr">
        <is>
          <t>Mécanique</t>
        </is>
      </c>
      <c r="K1380" s="7" t="inlineStr">
        <is>
          <t>P3 - Normale</t>
        </is>
      </c>
      <c r="L1380" s="7" t="inlineStr">
        <is>
          <t>Lame cassée</t>
        </is>
      </c>
      <c r="M1380" s="7" t="inlineStr">
        <is>
          <t>Usure</t>
        </is>
      </c>
      <c r="N1380" s="7" t="inlineStr">
        <is>
          <t>Remplacement lame, contrôle guides</t>
        </is>
      </c>
      <c r="O1380" s="7" t="inlineStr">
        <is>
          <t>Antoine Mercier</t>
        </is>
      </c>
      <c r="P1380" s="65" t="n"/>
      <c r="Q1380" s="75" t="n">
        <v>46269.8875</v>
      </c>
      <c r="R1380" s="75" t="n">
        <v>46269.92916666667</v>
      </c>
      <c r="S1380" s="76" t="n">
        <v>0</v>
      </c>
      <c r="T1380" s="76" t="n">
        <v>1</v>
      </c>
      <c r="U1380" s="70">
        <f>IF($A1380="","",IFERROR(INDEX('Techniciens'!$F$5:$F$44,MATCH(O1380,'Techniciens'!$B$5:$B$44,0)),'Paramètres'!$AA$10))</f>
        <v/>
      </c>
      <c r="V1380" s="70">
        <f>IF($A1380="","",IF(OR(AC1380="Demandé",AC1380="Planifié",AC1380="Annulé"),0,N(T1380)*N(U1380)))</f>
        <v/>
      </c>
      <c r="W1380" s="70">
        <f>IF($A1380="","",SUMIFS('Mouvements stock'!$H$5:$H$3004,'Mouvements stock'!$I$5:$I$3004,$A1380,'Mouvements stock'!$C$5:$C$3004,"Sortie")-SUMIFS('Mouvements stock'!$H$5:$H$3004,'Mouvements stock'!$I$5:$I$3004,$A1380,'Mouvements stock'!$C$5:$C$3004,"Retour"))</f>
        <v/>
      </c>
      <c r="X1380" s="66" t="n">
        <v>0</v>
      </c>
      <c r="Y1380" s="66" t="n">
        <v>0</v>
      </c>
      <c r="Z1380" s="7" t="n"/>
      <c r="AA1380" s="70">
        <f>IF($A1380="","",N(V1380)+N(W1380)+N(X1380)+N(Y1380))</f>
        <v/>
      </c>
      <c r="AB1380" s="70">
        <f>IF($A1380="","",N(S1380)*'Paramètres'!$AA$9*IFERROR(INDEX('Paramètres'!$O$5:$O$7,MATCH(G1380,'Paramètres'!$N$5:$N$7,0)),0))</f>
        <v/>
      </c>
      <c r="AC1380" s="7" t="inlineStr">
        <is>
          <t>Clôturé</t>
        </is>
      </c>
      <c r="AD1380" s="69">
        <f>IF(OR($A1380="",Q1380=""),"",(Q1380-B1380)*24)</f>
        <v/>
      </c>
      <c r="AE1380" s="69">
        <f>IF(OR(Q1380="",R1380=""),"",(R1380-Q1380)*24)</f>
        <v/>
      </c>
      <c r="AF1380" s="77">
        <f>IF(OR($A1380="",B1380=""),"",YEAR(B1380))</f>
        <v/>
      </c>
      <c r="AG1380" s="77">
        <f>IF(OR($A1380="",B1380=""),"",MONTH(B1380))</f>
        <v/>
      </c>
    </row>
    <row r="1381">
      <c r="A1381" s="7" t="inlineStr">
        <is>
          <t>OT-2026-0526</t>
        </is>
      </c>
      <c r="B1381" s="75" t="n">
        <v>46268.47916666666</v>
      </c>
      <c r="C1381" s="7" t="inlineStr">
        <is>
          <t>Plan préventif</t>
        </is>
      </c>
      <c r="D1381" s="7" t="inlineStr">
        <is>
          <t>EQ-TOL-007</t>
        </is>
      </c>
      <c r="E1381" s="9">
        <f>IF(D1381="","",IFERROR(INDEX('Équipements'!$B$5:$B$304,MATCH(D1381,'Équipements'!$A$5:$A$304,0)),"Code inconnu"))</f>
        <v/>
      </c>
      <c r="F1381" s="9">
        <f>IF(D1381="","",IFERROR(INDEX('Équipements'!$D$5:$D$304,MATCH(D1381,'Équipements'!$A$5:$A$304,0)),""))</f>
        <v/>
      </c>
      <c r="G1381" s="9">
        <f>IF(D1381="","",IFERROR(INDEX('Équipements'!$K$5:$K$304,MATCH(D1381,'Équipements'!$A$5:$A$304,0)),""))</f>
        <v/>
      </c>
      <c r="H1381" s="7" t="inlineStr">
        <is>
          <t>Préventif systématique</t>
        </is>
      </c>
      <c r="I1381" s="7" t="inlineStr">
        <is>
          <t>GP-056</t>
        </is>
      </c>
      <c r="J1381" s="7" t="inlineStr">
        <is>
          <t>Mécanique</t>
        </is>
      </c>
      <c r="K1381" s="7" t="inlineStr">
        <is>
          <t>P3 - Normale</t>
        </is>
      </c>
      <c r="L1381" s="7" t="inlineStr">
        <is>
          <t>Graissage chaîne / galets et contrôle tension</t>
        </is>
      </c>
      <c r="M1381" s="7" t="n"/>
      <c r="N1381" s="7" t="inlineStr">
        <is>
          <t>Gamme réalisée - RAS</t>
        </is>
      </c>
      <c r="O1381" s="7" t="inlineStr">
        <is>
          <t>Antoine Mercier</t>
        </is>
      </c>
      <c r="P1381" s="65" t="n">
        <v>46275.61458333334</v>
      </c>
      <c r="Q1381" s="75" t="n">
        <v>46275.59027777778</v>
      </c>
      <c r="R1381" s="75" t="n">
        <v>46275.69444444445</v>
      </c>
      <c r="S1381" s="76" t="n">
        <v>2.5</v>
      </c>
      <c r="T1381" s="76" t="n">
        <v>2.5</v>
      </c>
      <c r="U1381" s="70">
        <f>IF($A1381="","",IFERROR(INDEX('Techniciens'!$F$5:$F$44,MATCH(O1381,'Techniciens'!$B$5:$B$44,0)),'Paramètres'!$AA$10))</f>
        <v/>
      </c>
      <c r="V1381" s="70">
        <f>IF($A1381="","",IF(OR(AC1381="Demandé",AC1381="Planifié",AC1381="Annulé"),0,N(T1381)*N(U1381)))</f>
        <v/>
      </c>
      <c r="W1381" s="70">
        <f>IF($A1381="","",SUMIFS('Mouvements stock'!$H$5:$H$3004,'Mouvements stock'!$I$5:$I$3004,$A1381,'Mouvements stock'!$C$5:$C$3004,"Sortie")-SUMIFS('Mouvements stock'!$H$5:$H$3004,'Mouvements stock'!$I$5:$I$3004,$A1381,'Mouvements stock'!$C$5:$C$3004,"Retour"))</f>
        <v/>
      </c>
      <c r="X1381" s="66" t="n">
        <v>0</v>
      </c>
      <c r="Y1381" s="66" t="n">
        <v>0</v>
      </c>
      <c r="Z1381" s="7" t="n"/>
      <c r="AA1381" s="70">
        <f>IF($A1381="","",N(V1381)+N(W1381)+N(X1381)+N(Y1381))</f>
        <v/>
      </c>
      <c r="AB1381" s="70">
        <f>IF($A1381="","",N(S1381)*'Paramètres'!$AA$9*IFERROR(INDEX('Paramètres'!$O$5:$O$7,MATCH(G1381,'Paramètres'!$N$5:$N$7,0)),0))</f>
        <v/>
      </c>
      <c r="AC1381" s="7" t="inlineStr">
        <is>
          <t>Clôturé</t>
        </is>
      </c>
      <c r="AD1381" s="69">
        <f>IF(OR($A1381="",Q1381=""),"",(Q1381-B1381)*24)</f>
        <v/>
      </c>
      <c r="AE1381" s="69">
        <f>IF(OR(Q1381="",R1381=""),"",(R1381-Q1381)*24)</f>
        <v/>
      </c>
      <c r="AF1381" s="77">
        <f>IF(OR($A1381="",B1381=""),"",YEAR(B1381))</f>
        <v/>
      </c>
      <c r="AG1381" s="77">
        <f>IF(OR($A1381="",B1381=""),"",MONTH(B1381))</f>
        <v/>
      </c>
    </row>
    <row r="1382">
      <c r="A1382" s="7" t="inlineStr">
        <is>
          <t>OT-2026-0527</t>
        </is>
      </c>
      <c r="B1382" s="75" t="n">
        <v>46268.72430555556</v>
      </c>
      <c r="C1382" s="7" t="inlineStr">
        <is>
          <t>Éric Laurent (chef d'atelier)</t>
        </is>
      </c>
      <c r="D1382" s="7" t="inlineStr">
        <is>
          <t>EQ-USI-006</t>
        </is>
      </c>
      <c r="E1382" s="9">
        <f>IF(D1382="","",IFERROR(INDEX('Équipements'!$B$5:$B$304,MATCH(D1382,'Équipements'!$A$5:$A$304,0)),"Code inconnu"))</f>
        <v/>
      </c>
      <c r="F1382" s="9">
        <f>IF(D1382="","",IFERROR(INDEX('Équipements'!$D$5:$D$304,MATCH(D1382,'Équipements'!$A$5:$A$304,0)),""))</f>
        <v/>
      </c>
      <c r="G1382" s="9">
        <f>IF(D1382="","",IFERROR(INDEX('Équipements'!$K$5:$K$304,MATCH(D1382,'Équipements'!$A$5:$A$304,0)),""))</f>
        <v/>
      </c>
      <c r="H1382" s="7" t="inlineStr">
        <is>
          <t>Correctif</t>
        </is>
      </c>
      <c r="I1382" s="7" t="n"/>
      <c r="J1382" s="7" t="inlineStr">
        <is>
          <t>Mécanique</t>
        </is>
      </c>
      <c r="K1382" s="7" t="inlineStr">
        <is>
          <t>P3 - Normale</t>
        </is>
      </c>
      <c r="L1382" s="7" t="inlineStr">
        <is>
          <t>Collision outil / pièce</t>
        </is>
      </c>
      <c r="M1382" s="7" t="inlineStr">
        <is>
          <t>Erreur opérateur</t>
        </is>
      </c>
      <c r="N1382" s="7" t="inlineStr">
        <is>
          <t>Contrôle géométrie, remplacement porte-outil, recalage</t>
        </is>
      </c>
      <c r="O1382" s="7" t="inlineStr">
        <is>
          <t>Lucas Fontaine</t>
        </is>
      </c>
      <c r="P1382" s="65" t="n"/>
      <c r="Q1382" s="75" t="n">
        <v>46270.60416666666</v>
      </c>
      <c r="R1382" s="75" t="n">
        <v>46270.76041666666</v>
      </c>
      <c r="S1382" s="76" t="n">
        <v>0</v>
      </c>
      <c r="T1382" s="76" t="n">
        <v>3.75</v>
      </c>
      <c r="U1382" s="70">
        <f>IF($A1382="","",IFERROR(INDEX('Techniciens'!$F$5:$F$44,MATCH(O1382,'Techniciens'!$B$5:$B$44,0)),'Paramètres'!$AA$10))</f>
        <v/>
      </c>
      <c r="V1382" s="70">
        <f>IF($A1382="","",IF(OR(AC1382="Demandé",AC1382="Planifié",AC1382="Annulé"),0,N(T1382)*N(U1382)))</f>
        <v/>
      </c>
      <c r="W1382" s="70">
        <f>IF($A1382="","",SUMIFS('Mouvements stock'!$H$5:$H$3004,'Mouvements stock'!$I$5:$I$3004,$A1382,'Mouvements stock'!$C$5:$C$3004,"Sortie")-SUMIFS('Mouvements stock'!$H$5:$H$3004,'Mouvements stock'!$I$5:$I$3004,$A1382,'Mouvements stock'!$C$5:$C$3004,"Retour"))</f>
        <v/>
      </c>
      <c r="X1382" s="66" t="n">
        <v>0</v>
      </c>
      <c r="Y1382" s="66" t="n">
        <v>0</v>
      </c>
      <c r="Z1382" s="7" t="n"/>
      <c r="AA1382" s="70">
        <f>IF($A1382="","",N(V1382)+N(W1382)+N(X1382)+N(Y1382))</f>
        <v/>
      </c>
      <c r="AB1382" s="70">
        <f>IF($A1382="","",N(S1382)*'Paramètres'!$AA$9*IFERROR(INDEX('Paramètres'!$O$5:$O$7,MATCH(G1382,'Paramètres'!$N$5:$N$7,0)),0))</f>
        <v/>
      </c>
      <c r="AC1382" s="7" t="inlineStr">
        <is>
          <t>Clôturé</t>
        </is>
      </c>
      <c r="AD1382" s="69">
        <f>IF(OR($A1382="",Q1382=""),"",(Q1382-B1382)*24)</f>
        <v/>
      </c>
      <c r="AE1382" s="69">
        <f>IF(OR(Q1382="",R1382=""),"",(R1382-Q1382)*24)</f>
        <v/>
      </c>
      <c r="AF1382" s="77">
        <f>IF(OR($A1382="",B1382=""),"",YEAR(B1382))</f>
        <v/>
      </c>
      <c r="AG1382" s="77">
        <f>IF(OR($A1382="",B1382=""),"",MONTH(B1382))</f>
        <v/>
      </c>
    </row>
    <row r="1383">
      <c r="A1383" s="7" t="inlineStr">
        <is>
          <t>OT-2026-0528</t>
        </is>
      </c>
      <c r="B1383" s="75" t="n">
        <v>46269.42361111111</v>
      </c>
      <c r="C1383" s="7" t="inlineStr">
        <is>
          <t>Planning réglementaire</t>
        </is>
      </c>
      <c r="D1383" s="7" t="inlineStr">
        <is>
          <t>EQ-TOL-002</t>
        </is>
      </c>
      <c r="E1383" s="9">
        <f>IF(D1383="","",IFERROR(INDEX('Équipements'!$B$5:$B$304,MATCH(D1383,'Équipements'!$A$5:$A$304,0)),"Code inconnu"))</f>
        <v/>
      </c>
      <c r="F1383" s="9">
        <f>IF(D1383="","",IFERROR(INDEX('Équipements'!$D$5:$D$304,MATCH(D1383,'Équipements'!$A$5:$A$304,0)),""))</f>
        <v/>
      </c>
      <c r="G1383" s="9">
        <f>IF(D1383="","",IFERROR(INDEX('Équipements'!$K$5:$K$304,MATCH(D1383,'Équipements'!$A$5:$A$304,0)),""))</f>
        <v/>
      </c>
      <c r="H1383" s="7" t="inlineStr">
        <is>
          <t>Réglementaire</t>
        </is>
      </c>
      <c r="I1383" s="7" t="inlineStr">
        <is>
          <t>CR-010</t>
        </is>
      </c>
      <c r="J1383" s="7" t="inlineStr">
        <is>
          <t>Multi-technique</t>
        </is>
      </c>
      <c r="K1383" s="7" t="inlineStr">
        <is>
          <t>P2 - Haute</t>
        </is>
      </c>
      <c r="L1383" s="7" t="inlineStr">
        <is>
          <t>Vérification périodique presse plieuse</t>
        </is>
      </c>
      <c r="M1383" s="7" t="n"/>
      <c r="N1383" s="7" t="inlineStr">
        <is>
          <t>Contrôle réalisé - observations mineures au rapport</t>
        </is>
      </c>
      <c r="O1383" s="7" t="inlineStr">
        <is>
          <t>Nadia Rousseau</t>
        </is>
      </c>
      <c r="P1383" s="65" t="n">
        <v>46290</v>
      </c>
      <c r="Q1383" s="75" t="n">
        <v>46290.46527777778</v>
      </c>
      <c r="R1383" s="75" t="n">
        <v>46290.57986111111</v>
      </c>
      <c r="S1383" s="76" t="n">
        <v>1</v>
      </c>
      <c r="T1383" s="76" t="n">
        <v>2.75</v>
      </c>
      <c r="U1383" s="70">
        <f>IF($A1383="","",IFERROR(INDEX('Techniciens'!$F$5:$F$44,MATCH(O1383,'Techniciens'!$B$5:$B$44,0)),'Paramètres'!$AA$10))</f>
        <v/>
      </c>
      <c r="V1383" s="70">
        <f>IF($A1383="","",IF(OR(AC1383="Demandé",AC1383="Planifié",AC1383="Annulé"),0,N(T1383)*N(U1383)))</f>
        <v/>
      </c>
      <c r="W1383" s="70">
        <f>IF($A1383="","",SUMIFS('Mouvements stock'!$H$5:$H$3004,'Mouvements stock'!$I$5:$I$3004,$A1383,'Mouvements stock'!$C$5:$C$3004,"Sortie")-SUMIFS('Mouvements stock'!$H$5:$H$3004,'Mouvements stock'!$I$5:$I$3004,$A1383,'Mouvements stock'!$C$5:$C$3004,"Retour"))</f>
        <v/>
      </c>
      <c r="X1383" s="66" t="n">
        <v>0</v>
      </c>
      <c r="Y1383" s="66" t="n">
        <v>210</v>
      </c>
      <c r="Z1383" s="7" t="inlineStr">
        <is>
          <t>CONTROLIS (organisme fictif)</t>
        </is>
      </c>
      <c r="AA1383" s="70">
        <f>IF($A1383="","",N(V1383)+N(W1383)+N(X1383)+N(Y1383))</f>
        <v/>
      </c>
      <c r="AB1383" s="70">
        <f>IF($A1383="","",N(S1383)*'Paramètres'!$AA$9*IFERROR(INDEX('Paramètres'!$O$5:$O$7,MATCH(G1383,'Paramètres'!$N$5:$N$7,0)),0))</f>
        <v/>
      </c>
      <c r="AC1383" s="7" t="inlineStr">
        <is>
          <t>Clôturé</t>
        </is>
      </c>
      <c r="AD1383" s="69">
        <f>IF(OR($A1383="",Q1383=""),"",(Q1383-B1383)*24)</f>
        <v/>
      </c>
      <c r="AE1383" s="69">
        <f>IF(OR(Q1383="",R1383=""),"",(R1383-Q1383)*24)</f>
        <v/>
      </c>
      <c r="AF1383" s="77">
        <f>IF(OR($A1383="",B1383=""),"",YEAR(B1383))</f>
        <v/>
      </c>
      <c r="AG1383" s="77">
        <f>IF(OR($A1383="",B1383=""),"",MONTH(B1383))</f>
        <v/>
      </c>
    </row>
    <row r="1384">
      <c r="A1384" s="7" t="inlineStr">
        <is>
          <t>OT-2026-0529</t>
        </is>
      </c>
      <c r="B1384" s="75" t="n">
        <v>46269.47222222222</v>
      </c>
      <c r="C1384" s="7" t="inlineStr">
        <is>
          <t>Plan préventif</t>
        </is>
      </c>
      <c r="D1384" s="7" t="inlineStr">
        <is>
          <t>EQ-USI-009</t>
        </is>
      </c>
      <c r="E1384" s="9">
        <f>IF(D1384="","",IFERROR(INDEX('Équipements'!$B$5:$B$304,MATCH(D1384,'Équipements'!$A$5:$A$304,0)),"Code inconnu"))</f>
        <v/>
      </c>
      <c r="F1384" s="9">
        <f>IF(D1384="","",IFERROR(INDEX('Équipements'!$D$5:$D$304,MATCH(D1384,'Équipements'!$A$5:$A$304,0)),""))</f>
        <v/>
      </c>
      <c r="G1384" s="9">
        <f>IF(D1384="","",IFERROR(INDEX('Équipements'!$K$5:$K$304,MATCH(D1384,'Équipements'!$A$5:$A$304,0)),""))</f>
        <v/>
      </c>
      <c r="H1384" s="7" t="inlineStr">
        <is>
          <t>Préventif systématique</t>
        </is>
      </c>
      <c r="I1384" s="7" t="inlineStr">
        <is>
          <t>GP-030</t>
        </is>
      </c>
      <c r="J1384" s="7" t="inlineStr">
        <is>
          <t>Mécanique</t>
        </is>
      </c>
      <c r="K1384" s="7" t="inlineStr">
        <is>
          <t>P3 - Normale</t>
        </is>
      </c>
      <c r="L1384" s="7" t="inlineStr">
        <is>
          <t>Contrôle lame, guides et liquide de coupe</t>
        </is>
      </c>
      <c r="M1384" s="7" t="n"/>
      <c r="N1384" s="7" t="inlineStr">
        <is>
          <t>Gamme réalisée - RAS</t>
        </is>
      </c>
      <c r="O1384" s="7" t="inlineStr">
        <is>
          <t>Karim Benali</t>
        </is>
      </c>
      <c r="P1384" s="65" t="n">
        <v>46276.54861111111</v>
      </c>
      <c r="Q1384" s="75" t="n">
        <v>46276.38194444445</v>
      </c>
      <c r="R1384" s="75" t="n">
        <v>46276.41319444445</v>
      </c>
      <c r="S1384" s="76" t="n">
        <v>0.8</v>
      </c>
      <c r="T1384" s="76" t="n">
        <v>0.75</v>
      </c>
      <c r="U1384" s="70">
        <f>IF($A1384="","",IFERROR(INDEX('Techniciens'!$F$5:$F$44,MATCH(O1384,'Techniciens'!$B$5:$B$44,0)),'Paramètres'!$AA$10))</f>
        <v/>
      </c>
      <c r="V1384" s="70">
        <f>IF($A1384="","",IF(OR(AC1384="Demandé",AC1384="Planifié",AC1384="Annulé"),0,N(T1384)*N(U1384)))</f>
        <v/>
      </c>
      <c r="W1384" s="70">
        <f>IF($A1384="","",SUMIFS('Mouvements stock'!$H$5:$H$3004,'Mouvements stock'!$I$5:$I$3004,$A1384,'Mouvements stock'!$C$5:$C$3004,"Sortie")-SUMIFS('Mouvements stock'!$H$5:$H$3004,'Mouvements stock'!$I$5:$I$3004,$A1384,'Mouvements stock'!$C$5:$C$3004,"Retour"))</f>
        <v/>
      </c>
      <c r="X1384" s="66" t="n">
        <v>0</v>
      </c>
      <c r="Y1384" s="66" t="n">
        <v>0</v>
      </c>
      <c r="Z1384" s="7" t="n"/>
      <c r="AA1384" s="70">
        <f>IF($A1384="","",N(V1384)+N(W1384)+N(X1384)+N(Y1384))</f>
        <v/>
      </c>
      <c r="AB1384" s="70">
        <f>IF($A1384="","",N(S1384)*'Paramètres'!$AA$9*IFERROR(INDEX('Paramètres'!$O$5:$O$7,MATCH(G1384,'Paramètres'!$N$5:$N$7,0)),0))</f>
        <v/>
      </c>
      <c r="AC1384" s="7" t="inlineStr">
        <is>
          <t>Clôturé</t>
        </is>
      </c>
      <c r="AD1384" s="69">
        <f>IF(OR($A1384="",Q1384=""),"",(Q1384-B1384)*24)</f>
        <v/>
      </c>
      <c r="AE1384" s="69">
        <f>IF(OR(Q1384="",R1384=""),"",(R1384-Q1384)*24)</f>
        <v/>
      </c>
      <c r="AF1384" s="77">
        <f>IF(OR($A1384="",B1384=""),"",YEAR(B1384))</f>
        <v/>
      </c>
      <c r="AG1384" s="77">
        <f>IF(OR($A1384="",B1384=""),"",MONTH(B1384))</f>
        <v/>
      </c>
    </row>
    <row r="1385">
      <c r="A1385" s="7" t="inlineStr">
        <is>
          <t>OT-2026-0530</t>
        </is>
      </c>
      <c r="B1385" s="75" t="n">
        <v>46270.51458333333</v>
      </c>
      <c r="C1385" s="7" t="inlineStr">
        <is>
          <t>Opérateur assemblage</t>
        </is>
      </c>
      <c r="D1385" s="7" t="inlineStr">
        <is>
          <t>EQ-ASS-001</t>
        </is>
      </c>
      <c r="E1385" s="9">
        <f>IF(D1385="","",IFERROR(INDEX('Équipements'!$B$5:$B$304,MATCH(D1385,'Équipements'!$A$5:$A$304,0)),"Code inconnu"))</f>
        <v/>
      </c>
      <c r="F1385" s="9">
        <f>IF(D1385="","",IFERROR(INDEX('Équipements'!$D$5:$D$304,MATCH(D1385,'Équipements'!$A$5:$A$304,0)),""))</f>
        <v/>
      </c>
      <c r="G1385" s="9">
        <f>IF(D1385="","",IFERROR(INDEX('Équipements'!$K$5:$K$304,MATCH(D1385,'Équipements'!$A$5:$A$304,0)),""))</f>
        <v/>
      </c>
      <c r="H1385" s="7" t="inlineStr">
        <is>
          <t>Correctif</t>
        </is>
      </c>
      <c r="I1385" s="7" t="n"/>
      <c r="J1385" s="7" t="inlineStr">
        <is>
          <t>Électrique</t>
        </is>
      </c>
      <c r="K1385" s="7" t="inlineStr">
        <is>
          <t>P2 - Haute</t>
        </is>
      </c>
      <c r="L1385" s="7" t="inlineStr">
        <is>
          <t>Défaut variateur de vitesse</t>
        </is>
      </c>
      <c r="M1385" s="7" t="inlineStr">
        <is>
          <t>Défaut électrique</t>
        </is>
      </c>
      <c r="N1385" s="7" t="inlineStr">
        <is>
          <t>Remplacement variateur et paramétrage</t>
        </is>
      </c>
      <c r="O1385" s="7" t="inlineStr">
        <is>
          <t>Julien Moreau</t>
        </is>
      </c>
      <c r="P1385" s="65" t="n"/>
      <c r="Q1385" s="75" t="n">
        <v>46270.66319444445</v>
      </c>
      <c r="R1385" s="75" t="n">
        <v>46270.81944444445</v>
      </c>
      <c r="S1385" s="76" t="n">
        <v>0</v>
      </c>
      <c r="T1385" s="76" t="n">
        <v>3.75</v>
      </c>
      <c r="U1385" s="70">
        <f>IF($A1385="","",IFERROR(INDEX('Techniciens'!$F$5:$F$44,MATCH(O1385,'Techniciens'!$B$5:$B$44,0)),'Paramètres'!$AA$10))</f>
        <v/>
      </c>
      <c r="V1385" s="70">
        <f>IF($A1385="","",IF(OR(AC1385="Demandé",AC1385="Planifié",AC1385="Annulé"),0,N(T1385)*N(U1385)))</f>
        <v/>
      </c>
      <c r="W1385" s="70">
        <f>IF($A1385="","",SUMIFS('Mouvements stock'!$H$5:$H$3004,'Mouvements stock'!$I$5:$I$3004,$A1385,'Mouvements stock'!$C$5:$C$3004,"Sortie")-SUMIFS('Mouvements stock'!$H$5:$H$3004,'Mouvements stock'!$I$5:$I$3004,$A1385,'Mouvements stock'!$C$5:$C$3004,"Retour"))</f>
        <v/>
      </c>
      <c r="X1385" s="66" t="n">
        <v>0</v>
      </c>
      <c r="Y1385" s="66" t="n">
        <v>0</v>
      </c>
      <c r="Z1385" s="7" t="n"/>
      <c r="AA1385" s="70">
        <f>IF($A1385="","",N(V1385)+N(W1385)+N(X1385)+N(Y1385))</f>
        <v/>
      </c>
      <c r="AB1385" s="70">
        <f>IF($A1385="","",N(S1385)*'Paramètres'!$AA$9*IFERROR(INDEX('Paramètres'!$O$5:$O$7,MATCH(G1385,'Paramètres'!$N$5:$N$7,0)),0))</f>
        <v/>
      </c>
      <c r="AC1385" s="7" t="inlineStr">
        <is>
          <t>Clôturé</t>
        </is>
      </c>
      <c r="AD1385" s="69">
        <f>IF(OR($A1385="",Q1385=""),"",(Q1385-B1385)*24)</f>
        <v/>
      </c>
      <c r="AE1385" s="69">
        <f>IF(OR(Q1385="",R1385=""),"",(R1385-Q1385)*24)</f>
        <v/>
      </c>
      <c r="AF1385" s="77">
        <f>IF(OR($A1385="",B1385=""),"",YEAR(B1385))</f>
        <v/>
      </c>
      <c r="AG1385" s="77">
        <f>IF(OR($A1385="",B1385=""),"",MONTH(B1385))</f>
        <v/>
      </c>
    </row>
    <row r="1386">
      <c r="A1386" s="7" t="inlineStr">
        <is>
          <t>OT-2026-0531</t>
        </is>
      </c>
      <c r="B1386" s="75" t="n">
        <v>46272.21527777778</v>
      </c>
      <c r="C1386" s="7" t="inlineStr">
        <is>
          <t>Hugo Blanc (chef d'équipe)</t>
        </is>
      </c>
      <c r="D1386" s="7" t="inlineStr">
        <is>
          <t>EQ-SOU-001</t>
        </is>
      </c>
      <c r="E1386" s="9">
        <f>IF(D1386="","",IFERROR(INDEX('Équipements'!$B$5:$B$304,MATCH(D1386,'Équipements'!$A$5:$A$304,0)),"Code inconnu"))</f>
        <v/>
      </c>
      <c r="F1386" s="9">
        <f>IF(D1386="","",IFERROR(INDEX('Équipements'!$D$5:$D$304,MATCH(D1386,'Équipements'!$A$5:$A$304,0)),""))</f>
        <v/>
      </c>
      <c r="G1386" s="9">
        <f>IF(D1386="","",IFERROR(INDEX('Équipements'!$K$5:$K$304,MATCH(D1386,'Équipements'!$A$5:$A$304,0)),""))</f>
        <v/>
      </c>
      <c r="H1386" s="7" t="inlineStr">
        <is>
          <t>Correctif</t>
        </is>
      </c>
      <c r="I1386" s="7" t="n"/>
      <c r="J1386" s="7" t="inlineStr">
        <is>
          <t>Automatisme</t>
        </is>
      </c>
      <c r="K1386" s="7" t="inlineStr">
        <is>
          <t>P2 - Haute</t>
        </is>
      </c>
      <c r="L1386" s="7" t="inlineStr">
        <is>
          <t>Perte de communication automate / robot</t>
        </is>
      </c>
      <c r="M1386" s="7" t="inlineStr">
        <is>
          <t>Défaut logiciel/automate</t>
        </is>
      </c>
      <c r="N1386" s="7" t="inlineStr">
        <is>
          <t>Remplacement câble réseau, redémarrage, sauvegarde</t>
        </is>
      </c>
      <c r="O1386" s="7" t="inlineStr">
        <is>
          <t>Julien Moreau</t>
        </is>
      </c>
      <c r="P1386" s="65" t="n"/>
      <c r="Q1386" s="75" t="n">
        <v>46272.31805555556</v>
      </c>
      <c r="R1386" s="75" t="n">
        <v>46276.00120353469</v>
      </c>
      <c r="S1386" s="76" t="n">
        <v>57.6</v>
      </c>
      <c r="T1386" s="76" t="n">
        <v>21.75</v>
      </c>
      <c r="U1386" s="70">
        <f>IF($A1386="","",IFERROR(INDEX('Techniciens'!$F$5:$F$44,MATCH(O1386,'Techniciens'!$B$5:$B$44,0)),'Paramètres'!$AA$10))</f>
        <v/>
      </c>
      <c r="V1386" s="70">
        <f>IF($A1386="","",IF(OR(AC1386="Demandé",AC1386="Planifié",AC1386="Annulé"),0,N(T1386)*N(U1386)))</f>
        <v/>
      </c>
      <c r="W1386" s="70">
        <f>IF($A1386="","",SUMIFS('Mouvements stock'!$H$5:$H$3004,'Mouvements stock'!$I$5:$I$3004,$A1386,'Mouvements stock'!$C$5:$C$3004,"Sortie")-SUMIFS('Mouvements stock'!$H$5:$H$3004,'Mouvements stock'!$I$5:$I$3004,$A1386,'Mouvements stock'!$C$5:$C$3004,"Retour"))</f>
        <v/>
      </c>
      <c r="X1386" s="66" t="n">
        <v>0</v>
      </c>
      <c r="Y1386" s="66" t="n">
        <v>0</v>
      </c>
      <c r="Z1386" s="7" t="n"/>
      <c r="AA1386" s="70">
        <f>IF($A1386="","",N(V1386)+N(W1386)+N(X1386)+N(Y1386))</f>
        <v/>
      </c>
      <c r="AB1386" s="70">
        <f>IF($A1386="","",N(S1386)*'Paramètres'!$AA$9*IFERROR(INDEX('Paramètres'!$O$5:$O$7,MATCH(G1386,'Paramètres'!$N$5:$N$7,0)),0))</f>
        <v/>
      </c>
      <c r="AC1386" s="7" t="inlineStr">
        <is>
          <t>Clôturé</t>
        </is>
      </c>
      <c r="AD1386" s="69">
        <f>IF(OR($A1386="",Q1386=""),"",(Q1386-B1386)*24)</f>
        <v/>
      </c>
      <c r="AE1386" s="69">
        <f>IF(OR(Q1386="",R1386=""),"",(R1386-Q1386)*24)</f>
        <v/>
      </c>
      <c r="AF1386" s="77">
        <f>IF(OR($A1386="",B1386=""),"",YEAR(B1386))</f>
        <v/>
      </c>
      <c r="AG1386" s="77">
        <f>IF(OR($A1386="",B1386=""),"",MONTH(B1386))</f>
        <v/>
      </c>
    </row>
    <row r="1387">
      <c r="A1387" s="7" t="inlineStr">
        <is>
          <t>OT-2026-0532</t>
        </is>
      </c>
      <c r="B1387" s="75" t="n">
        <v>46272.36458333334</v>
      </c>
      <c r="C1387" s="7" t="inlineStr">
        <is>
          <t>Plan préventif</t>
        </is>
      </c>
      <c r="D1387" s="7" t="inlineStr">
        <is>
          <t>EQ-USI-004</t>
        </is>
      </c>
      <c r="E1387" s="9">
        <f>IF(D1387="","",IFERROR(INDEX('Équipements'!$B$5:$B$304,MATCH(D1387,'Équipements'!$A$5:$A$304,0)),"Code inconnu"))</f>
        <v/>
      </c>
      <c r="F1387" s="9">
        <f>IF(D1387="","",IFERROR(INDEX('Équipements'!$D$5:$D$304,MATCH(D1387,'Équipements'!$A$5:$A$304,0)),""))</f>
        <v/>
      </c>
      <c r="G1387" s="9">
        <f>IF(D1387="","",IFERROR(INDEX('Équipements'!$K$5:$K$304,MATCH(D1387,'Équipements'!$A$5:$A$304,0)),""))</f>
        <v/>
      </c>
      <c r="H1387" s="7" t="inlineStr">
        <is>
          <t>Préventif systématique</t>
        </is>
      </c>
      <c r="I1387" s="7" t="inlineStr">
        <is>
          <t>GP-013</t>
        </is>
      </c>
      <c r="J1387" s="7" t="inlineStr">
        <is>
          <t>Mécanique</t>
        </is>
      </c>
      <c r="K1387" s="7" t="inlineStr">
        <is>
          <t>P3 - Normale</t>
        </is>
      </c>
      <c r="L1387" s="7" t="inlineStr">
        <is>
          <t>Contrôle niveaux, nettoyage filtres et bac à copeaux</t>
        </is>
      </c>
      <c r="M1387" s="7" t="n"/>
      <c r="N1387" s="7" t="inlineStr">
        <is>
          <t>Gamme réalisée - RAS</t>
        </is>
      </c>
      <c r="O1387" s="7" t="inlineStr">
        <is>
          <t>Lucas Fontaine</t>
        </is>
      </c>
      <c r="P1387" s="65" t="n">
        <v>46279.38194444445</v>
      </c>
      <c r="Q1387" s="75" t="n">
        <v>46279.54861111111</v>
      </c>
      <c r="R1387" s="75" t="n">
        <v>46279.61111111111</v>
      </c>
      <c r="S1387" s="76" t="n">
        <v>1.5</v>
      </c>
      <c r="T1387" s="76" t="n">
        <v>1.5</v>
      </c>
      <c r="U1387" s="70">
        <f>IF($A1387="","",IFERROR(INDEX('Techniciens'!$F$5:$F$44,MATCH(O1387,'Techniciens'!$B$5:$B$44,0)),'Paramètres'!$AA$10))</f>
        <v/>
      </c>
      <c r="V1387" s="70">
        <f>IF($A1387="","",IF(OR(AC1387="Demandé",AC1387="Planifié",AC1387="Annulé"),0,N(T1387)*N(U1387)))</f>
        <v/>
      </c>
      <c r="W1387" s="70">
        <f>IF($A1387="","",SUMIFS('Mouvements stock'!$H$5:$H$3004,'Mouvements stock'!$I$5:$I$3004,$A1387,'Mouvements stock'!$C$5:$C$3004,"Sortie")-SUMIFS('Mouvements stock'!$H$5:$H$3004,'Mouvements stock'!$I$5:$I$3004,$A1387,'Mouvements stock'!$C$5:$C$3004,"Retour"))</f>
        <v/>
      </c>
      <c r="X1387" s="66" t="n">
        <v>0</v>
      </c>
      <c r="Y1387" s="66" t="n">
        <v>0</v>
      </c>
      <c r="Z1387" s="7" t="n"/>
      <c r="AA1387" s="70">
        <f>IF($A1387="","",N(V1387)+N(W1387)+N(X1387)+N(Y1387))</f>
        <v/>
      </c>
      <c r="AB1387" s="70">
        <f>IF($A1387="","",N(S1387)*'Paramètres'!$AA$9*IFERROR(INDEX('Paramètres'!$O$5:$O$7,MATCH(G1387,'Paramètres'!$N$5:$N$7,0)),0))</f>
        <v/>
      </c>
      <c r="AC1387" s="7" t="inlineStr">
        <is>
          <t>Clôturé</t>
        </is>
      </c>
      <c r="AD1387" s="69">
        <f>IF(OR($A1387="",Q1387=""),"",(Q1387-B1387)*24)</f>
        <v/>
      </c>
      <c r="AE1387" s="69">
        <f>IF(OR(Q1387="",R1387=""),"",(R1387-Q1387)*24)</f>
        <v/>
      </c>
      <c r="AF1387" s="77">
        <f>IF(OR($A1387="",B1387=""),"",YEAR(B1387))</f>
        <v/>
      </c>
      <c r="AG1387" s="77">
        <f>IF(OR($A1387="",B1387=""),"",MONTH(B1387))</f>
        <v/>
      </c>
    </row>
    <row r="1388">
      <c r="A1388" s="7" t="inlineStr">
        <is>
          <t>OT-2026-0533</t>
        </is>
      </c>
      <c r="B1388" s="75" t="n">
        <v>46272.63958333333</v>
      </c>
      <c r="C1388" s="7" t="inlineStr">
        <is>
          <t>Cariste</t>
        </is>
      </c>
      <c r="D1388" s="7" t="inlineStr">
        <is>
          <t>EQ-LOG-006</t>
        </is>
      </c>
      <c r="E1388" s="9">
        <f>IF(D1388="","",IFERROR(INDEX('Équipements'!$B$5:$B$304,MATCH(D1388,'Équipements'!$A$5:$A$304,0)),"Code inconnu"))</f>
        <v/>
      </c>
      <c r="F1388" s="9">
        <f>IF(D1388="","",IFERROR(INDEX('Équipements'!$D$5:$D$304,MATCH(D1388,'Équipements'!$A$5:$A$304,0)),""))</f>
        <v/>
      </c>
      <c r="G1388" s="9">
        <f>IF(D1388="","",IFERROR(INDEX('Équipements'!$K$5:$K$304,MATCH(D1388,'Équipements'!$A$5:$A$304,0)),""))</f>
        <v/>
      </c>
      <c r="H1388" s="7" t="inlineStr">
        <is>
          <t>Correctif</t>
        </is>
      </c>
      <c r="I1388" s="7" t="n"/>
      <c r="J1388" s="7" t="inlineStr">
        <is>
          <t>Électrique</t>
        </is>
      </c>
      <c r="K1388" s="7" t="inlineStr">
        <is>
          <t>P2 - Haute</t>
        </is>
      </c>
      <c r="L1388" s="7" t="inlineStr">
        <is>
          <t>Défaut boîte à boutons de commande</t>
        </is>
      </c>
      <c r="M1388" s="7" t="inlineStr">
        <is>
          <t>Défaut électrique</t>
        </is>
      </c>
      <c r="N1388" s="7" t="inlineStr">
        <is>
          <t>Remplacement contacteur de boîte à boutons</t>
        </is>
      </c>
      <c r="O1388" s="7" t="inlineStr">
        <is>
          <t>Antoine Mercier</t>
        </is>
      </c>
      <c r="P1388" s="65" t="n"/>
      <c r="Q1388" s="75" t="n">
        <v>46272.83680555555</v>
      </c>
      <c r="R1388" s="75" t="n">
        <v>46275.97059482864</v>
      </c>
      <c r="S1388" s="76" t="n">
        <v>44.5</v>
      </c>
      <c r="T1388" s="76" t="n">
        <v>4.25</v>
      </c>
      <c r="U1388" s="70">
        <f>IF($A1388="","",IFERROR(INDEX('Techniciens'!$F$5:$F$44,MATCH(O1388,'Techniciens'!$B$5:$B$44,0)),'Paramètres'!$AA$10))</f>
        <v/>
      </c>
      <c r="V1388" s="70">
        <f>IF($A1388="","",IF(OR(AC1388="Demandé",AC1388="Planifié",AC1388="Annulé"),0,N(T1388)*N(U1388)))</f>
        <v/>
      </c>
      <c r="W1388" s="70">
        <f>IF($A1388="","",SUMIFS('Mouvements stock'!$H$5:$H$3004,'Mouvements stock'!$I$5:$I$3004,$A1388,'Mouvements stock'!$C$5:$C$3004,"Sortie")-SUMIFS('Mouvements stock'!$H$5:$H$3004,'Mouvements stock'!$I$5:$I$3004,$A1388,'Mouvements stock'!$C$5:$C$3004,"Retour"))</f>
        <v/>
      </c>
      <c r="X1388" s="66" t="n">
        <v>0</v>
      </c>
      <c r="Y1388" s="66" t="n">
        <v>0</v>
      </c>
      <c r="Z1388" s="7" t="n"/>
      <c r="AA1388" s="70">
        <f>IF($A1388="","",N(V1388)+N(W1388)+N(X1388)+N(Y1388))</f>
        <v/>
      </c>
      <c r="AB1388" s="70">
        <f>IF($A1388="","",N(S1388)*'Paramètres'!$AA$9*IFERROR(INDEX('Paramètres'!$O$5:$O$7,MATCH(G1388,'Paramètres'!$N$5:$N$7,0)),0))</f>
        <v/>
      </c>
      <c r="AC1388" s="7" t="inlineStr">
        <is>
          <t>Clôturé</t>
        </is>
      </c>
      <c r="AD1388" s="69">
        <f>IF(OR($A1388="",Q1388=""),"",(Q1388-B1388)*24)</f>
        <v/>
      </c>
      <c r="AE1388" s="69">
        <f>IF(OR(Q1388="",R1388=""),"",(R1388-Q1388)*24)</f>
        <v/>
      </c>
      <c r="AF1388" s="77">
        <f>IF(OR($A1388="",B1388=""),"",YEAR(B1388))</f>
        <v/>
      </c>
      <c r="AG1388" s="77">
        <f>IF(OR($A1388="",B1388=""),"",MONTH(B1388))</f>
        <v/>
      </c>
    </row>
    <row r="1389">
      <c r="A1389" s="7" t="inlineStr">
        <is>
          <t>OT-2026-0534</t>
        </is>
      </c>
      <c r="B1389" s="75" t="n">
        <v>46272.65694444445</v>
      </c>
      <c r="C1389" s="7" t="inlineStr">
        <is>
          <t>Céline Morel (cheffe d'atelier)</t>
        </is>
      </c>
      <c r="D1389" s="7" t="inlineStr">
        <is>
          <t>EQ-TOL-001</t>
        </is>
      </c>
      <c r="E1389" s="9">
        <f>IF(D1389="","",IFERROR(INDEX('Équipements'!$B$5:$B$304,MATCH(D1389,'Équipements'!$A$5:$A$304,0)),"Code inconnu"))</f>
        <v/>
      </c>
      <c r="F1389" s="9">
        <f>IF(D1389="","",IFERROR(INDEX('Équipements'!$D$5:$D$304,MATCH(D1389,'Équipements'!$A$5:$A$304,0)),""))</f>
        <v/>
      </c>
      <c r="G1389" s="9">
        <f>IF(D1389="","",IFERROR(INDEX('Équipements'!$K$5:$K$304,MATCH(D1389,'Équipements'!$A$5:$A$304,0)),""))</f>
        <v/>
      </c>
      <c r="H1389" s="7" t="inlineStr">
        <is>
          <t>Correctif</t>
        </is>
      </c>
      <c r="I1389" s="7" t="n"/>
      <c r="J1389" s="7" t="inlineStr">
        <is>
          <t>Mécanique</t>
        </is>
      </c>
      <c r="K1389" s="7" t="inlineStr">
        <is>
          <t>P1 - Urgent</t>
        </is>
      </c>
      <c r="L1389" s="7" t="inlineStr">
        <is>
          <t>Défaut changeur de palettes</t>
        </is>
      </c>
      <c r="M1389" s="7" t="inlineStr">
        <is>
          <t>Usure</t>
        </is>
      </c>
      <c r="N1389" s="7" t="inlineStr">
        <is>
          <t>Remplacement détecteur et réglage chaîne</t>
        </is>
      </c>
      <c r="O1389" s="7" t="inlineStr">
        <is>
          <t>Karim Benali</t>
        </is>
      </c>
      <c r="P1389" s="65" t="n"/>
      <c r="Q1389" s="75" t="n">
        <v>46272.69375</v>
      </c>
      <c r="R1389" s="75" t="n">
        <v>46272.7875</v>
      </c>
      <c r="S1389" s="76" t="n">
        <v>0</v>
      </c>
      <c r="T1389" s="76" t="n">
        <v>2.25</v>
      </c>
      <c r="U1389" s="70">
        <f>IF($A1389="","",IFERROR(INDEX('Techniciens'!$F$5:$F$44,MATCH(O1389,'Techniciens'!$B$5:$B$44,0)),'Paramètres'!$AA$10))</f>
        <v/>
      </c>
      <c r="V1389" s="70">
        <f>IF($A1389="","",IF(OR(AC1389="Demandé",AC1389="Planifié",AC1389="Annulé"),0,N(T1389)*N(U1389)))</f>
        <v/>
      </c>
      <c r="W1389" s="70">
        <f>IF($A1389="","",SUMIFS('Mouvements stock'!$H$5:$H$3004,'Mouvements stock'!$I$5:$I$3004,$A1389,'Mouvements stock'!$C$5:$C$3004,"Sortie")-SUMIFS('Mouvements stock'!$H$5:$H$3004,'Mouvements stock'!$I$5:$I$3004,$A1389,'Mouvements stock'!$C$5:$C$3004,"Retour"))</f>
        <v/>
      </c>
      <c r="X1389" s="66" t="n">
        <v>0</v>
      </c>
      <c r="Y1389" s="66" t="n">
        <v>0</v>
      </c>
      <c r="Z1389" s="7" t="n"/>
      <c r="AA1389" s="70">
        <f>IF($A1389="","",N(V1389)+N(W1389)+N(X1389)+N(Y1389))</f>
        <v/>
      </c>
      <c r="AB1389" s="70">
        <f>IF($A1389="","",N(S1389)*'Paramètres'!$AA$9*IFERROR(INDEX('Paramètres'!$O$5:$O$7,MATCH(G1389,'Paramètres'!$N$5:$N$7,0)),0))</f>
        <v/>
      </c>
      <c r="AC1389" s="7" t="inlineStr">
        <is>
          <t>Clôturé</t>
        </is>
      </c>
      <c r="AD1389" s="69">
        <f>IF(OR($A1389="",Q1389=""),"",(Q1389-B1389)*24)</f>
        <v/>
      </c>
      <c r="AE1389" s="69">
        <f>IF(OR(Q1389="",R1389=""),"",(R1389-Q1389)*24)</f>
        <v/>
      </c>
      <c r="AF1389" s="77">
        <f>IF(OR($A1389="",B1389=""),"",YEAR(B1389))</f>
        <v/>
      </c>
      <c r="AG1389" s="77">
        <f>IF(OR($A1389="",B1389=""),"",MONTH(B1389))</f>
        <v/>
      </c>
    </row>
    <row r="1390">
      <c r="A1390" s="7" t="inlineStr">
        <is>
          <t>OT-2026-0535</t>
        </is>
      </c>
      <c r="B1390" s="75" t="n">
        <v>46272.68055555555</v>
      </c>
      <c r="C1390" s="7" t="inlineStr">
        <is>
          <t>Direction industrielle</t>
        </is>
      </c>
      <c r="D1390" s="7" t="inlineStr">
        <is>
          <t>EQ-USI-012</t>
        </is>
      </c>
      <c r="E1390" s="9">
        <f>IF(D1390="","",IFERROR(INDEX('Équipements'!$B$5:$B$304,MATCH(D1390,'Équipements'!$A$5:$A$304,0)),"Code inconnu"))</f>
        <v/>
      </c>
      <c r="F1390" s="9">
        <f>IF(D1390="","",IFERROR(INDEX('Équipements'!$D$5:$D$304,MATCH(D1390,'Équipements'!$A$5:$A$304,0)),""))</f>
        <v/>
      </c>
      <c r="G1390" s="9">
        <f>IF(D1390="","",IFERROR(INDEX('Équipements'!$K$5:$K$304,MATCH(D1390,'Équipements'!$A$5:$A$304,0)),""))</f>
        <v/>
      </c>
      <c r="H1390" s="7" t="inlineStr">
        <is>
          <t>Amélioratif</t>
        </is>
      </c>
      <c r="I1390" s="7" t="n"/>
      <c r="J1390" s="7" t="inlineStr">
        <is>
          <t>Automatisme</t>
        </is>
      </c>
      <c r="K1390" s="7" t="inlineStr">
        <is>
          <t>P4 - Basse</t>
        </is>
      </c>
      <c r="L1390" s="7" t="inlineStr">
        <is>
          <t>Intégration robot collaboratif : sécurités et carters</t>
        </is>
      </c>
      <c r="M1390" s="7" t="n"/>
      <c r="N1390" s="7" t="inlineStr">
        <is>
          <t>Réalisé conformément au devis / dossier technique</t>
        </is>
      </c>
      <c r="O1390" s="7" t="inlineStr">
        <is>
          <t>Sophie Garnier</t>
        </is>
      </c>
      <c r="P1390" s="65" t="n">
        <v>46287</v>
      </c>
      <c r="Q1390" s="75" t="n">
        <v>46287.29861111111</v>
      </c>
      <c r="R1390" s="75" t="n">
        <v>46288.46527777778</v>
      </c>
      <c r="S1390" s="76" t="n">
        <v>0</v>
      </c>
      <c r="T1390" s="76" t="n">
        <v>20</v>
      </c>
      <c r="U1390" s="70">
        <f>IF($A1390="","",IFERROR(INDEX('Techniciens'!$F$5:$F$44,MATCH(O1390,'Techniciens'!$B$5:$B$44,0)),'Paramètres'!$AA$10))</f>
        <v/>
      </c>
      <c r="V1390" s="70">
        <f>IF($A1390="","",IF(OR(AC1390="Demandé",AC1390="Planifié",AC1390="Annulé"),0,N(T1390)*N(U1390)))</f>
        <v/>
      </c>
      <c r="W1390" s="70">
        <f>IF($A1390="","",SUMIFS('Mouvements stock'!$H$5:$H$3004,'Mouvements stock'!$I$5:$I$3004,$A1390,'Mouvements stock'!$C$5:$C$3004,"Sortie")-SUMIFS('Mouvements stock'!$H$5:$H$3004,'Mouvements stock'!$I$5:$I$3004,$A1390,'Mouvements stock'!$C$5:$C$3004,"Retour"))</f>
        <v/>
      </c>
      <c r="X1390" s="66" t="n">
        <v>1900</v>
      </c>
      <c r="Y1390" s="66" t="n">
        <v>2500</v>
      </c>
      <c r="Z1390" s="7" t="inlineStr">
        <is>
          <t>AutomaSys Ingénierie</t>
        </is>
      </c>
      <c r="AA1390" s="70">
        <f>IF($A1390="","",N(V1390)+N(W1390)+N(X1390)+N(Y1390))</f>
        <v/>
      </c>
      <c r="AB1390" s="70">
        <f>IF($A1390="","",N(S1390)*'Paramètres'!$AA$9*IFERROR(INDEX('Paramètres'!$O$5:$O$7,MATCH(G1390,'Paramètres'!$N$5:$N$7,0)),0))</f>
        <v/>
      </c>
      <c r="AC1390" s="7" t="inlineStr">
        <is>
          <t>Clôturé</t>
        </is>
      </c>
      <c r="AD1390" s="69">
        <f>IF(OR($A1390="",Q1390=""),"",(Q1390-B1390)*24)</f>
        <v/>
      </c>
      <c r="AE1390" s="69">
        <f>IF(OR(Q1390="",R1390=""),"",(R1390-Q1390)*24)</f>
        <v/>
      </c>
      <c r="AF1390" s="77">
        <f>IF(OR($A1390="",B1390=""),"",YEAR(B1390))</f>
        <v/>
      </c>
      <c r="AG1390" s="77">
        <f>IF(OR($A1390="",B1390=""),"",MONTH(B1390))</f>
        <v/>
      </c>
    </row>
    <row r="1391">
      <c r="A1391" s="7" t="inlineStr">
        <is>
          <t>OT-2026-0536</t>
        </is>
      </c>
      <c r="B1391" s="75" t="n">
        <v>46273.38194444445</v>
      </c>
      <c r="C1391" s="7" t="inlineStr">
        <is>
          <t>Plan préventif</t>
        </is>
      </c>
      <c r="D1391" s="7" t="inlineStr">
        <is>
          <t>EQ-USI-003</t>
        </is>
      </c>
      <c r="E1391" s="9">
        <f>IF(D1391="","",IFERROR(INDEX('Équipements'!$B$5:$B$304,MATCH(D1391,'Équipements'!$A$5:$A$304,0)),"Code inconnu"))</f>
        <v/>
      </c>
      <c r="F1391" s="9">
        <f>IF(D1391="","",IFERROR(INDEX('Équipements'!$D$5:$D$304,MATCH(D1391,'Équipements'!$A$5:$A$304,0)),""))</f>
        <v/>
      </c>
      <c r="G1391" s="9">
        <f>IF(D1391="","",IFERROR(INDEX('Équipements'!$K$5:$K$304,MATCH(D1391,'Équipements'!$A$5:$A$304,0)),""))</f>
        <v/>
      </c>
      <c r="H1391" s="7" t="inlineStr">
        <is>
          <t>Préventif systématique</t>
        </is>
      </c>
      <c r="I1391" s="7" t="inlineStr">
        <is>
          <t>GP-009</t>
        </is>
      </c>
      <c r="J1391" s="7" t="inlineStr">
        <is>
          <t>Mécanique</t>
        </is>
      </c>
      <c r="K1391" s="7" t="inlineStr">
        <is>
          <t>P3 - Normale</t>
        </is>
      </c>
      <c r="L1391" s="7" t="inlineStr">
        <is>
          <t>Contrôle niveaux, nettoyage filtres et bac à copeaux</t>
        </is>
      </c>
      <c r="M1391" s="7" t="n"/>
      <c r="N1391" s="7" t="inlineStr">
        <is>
          <t>Gamme réalisée - RAS</t>
        </is>
      </c>
      <c r="O1391" s="7" t="inlineStr">
        <is>
          <t>Lucas Fontaine</t>
        </is>
      </c>
      <c r="P1391" s="65" t="n">
        <v>46280.46875</v>
      </c>
      <c r="Q1391" s="75" t="n">
        <v>46280.51388888889</v>
      </c>
      <c r="R1391" s="75" t="n">
        <v>46280.56597222222</v>
      </c>
      <c r="S1391" s="76" t="n">
        <v>0</v>
      </c>
      <c r="T1391" s="76" t="n">
        <v>1.25</v>
      </c>
      <c r="U1391" s="70">
        <f>IF($A1391="","",IFERROR(INDEX('Techniciens'!$F$5:$F$44,MATCH(O1391,'Techniciens'!$B$5:$B$44,0)),'Paramètres'!$AA$10))</f>
        <v/>
      </c>
      <c r="V1391" s="70">
        <f>IF($A1391="","",IF(OR(AC1391="Demandé",AC1391="Planifié",AC1391="Annulé"),0,N(T1391)*N(U1391)))</f>
        <v/>
      </c>
      <c r="W1391" s="70">
        <f>IF($A1391="","",SUMIFS('Mouvements stock'!$H$5:$H$3004,'Mouvements stock'!$I$5:$I$3004,$A1391,'Mouvements stock'!$C$5:$C$3004,"Sortie")-SUMIFS('Mouvements stock'!$H$5:$H$3004,'Mouvements stock'!$I$5:$I$3004,$A1391,'Mouvements stock'!$C$5:$C$3004,"Retour"))</f>
        <v/>
      </c>
      <c r="X1391" s="66" t="n">
        <v>0</v>
      </c>
      <c r="Y1391" s="66" t="n">
        <v>0</v>
      </c>
      <c r="Z1391" s="7" t="n"/>
      <c r="AA1391" s="70">
        <f>IF($A1391="","",N(V1391)+N(W1391)+N(X1391)+N(Y1391))</f>
        <v/>
      </c>
      <c r="AB1391" s="70">
        <f>IF($A1391="","",N(S1391)*'Paramètres'!$AA$9*IFERROR(INDEX('Paramètres'!$O$5:$O$7,MATCH(G1391,'Paramètres'!$N$5:$N$7,0)),0))</f>
        <v/>
      </c>
      <c r="AC1391" s="7" t="inlineStr">
        <is>
          <t>Clôturé</t>
        </is>
      </c>
      <c r="AD1391" s="69">
        <f>IF(OR($A1391="",Q1391=""),"",(Q1391-B1391)*24)</f>
        <v/>
      </c>
      <c r="AE1391" s="69">
        <f>IF(OR(Q1391="",R1391=""),"",(R1391-Q1391)*24)</f>
        <v/>
      </c>
      <c r="AF1391" s="77">
        <f>IF(OR($A1391="",B1391=""),"",YEAR(B1391))</f>
        <v/>
      </c>
      <c r="AG1391" s="77">
        <f>IF(OR($A1391="",B1391=""),"",MONTH(B1391))</f>
        <v/>
      </c>
    </row>
    <row r="1392">
      <c r="A1392" s="7" t="inlineStr">
        <is>
          <t>OT-2026-0537</t>
        </is>
      </c>
      <c r="B1392" s="75" t="n">
        <v>46273.47916666666</v>
      </c>
      <c r="C1392" s="7" t="inlineStr">
        <is>
          <t>Plan préventif</t>
        </is>
      </c>
      <c r="D1392" s="7" t="inlineStr">
        <is>
          <t>EQ-USI-001</t>
        </is>
      </c>
      <c r="E1392" s="9">
        <f>IF(D1392="","",IFERROR(INDEX('Équipements'!$B$5:$B$304,MATCH(D1392,'Équipements'!$A$5:$A$304,0)),"Code inconnu"))</f>
        <v/>
      </c>
      <c r="F1392" s="9">
        <f>IF(D1392="","",IFERROR(INDEX('Équipements'!$D$5:$D$304,MATCH(D1392,'Équipements'!$A$5:$A$304,0)),""))</f>
        <v/>
      </c>
      <c r="G1392" s="9">
        <f>IF(D1392="","",IFERROR(INDEX('Équipements'!$K$5:$K$304,MATCH(D1392,'Équipements'!$A$5:$A$304,0)),""))</f>
        <v/>
      </c>
      <c r="H1392" s="7" t="inlineStr">
        <is>
          <t>Préventif systématique</t>
        </is>
      </c>
      <c r="I1392" s="7" t="inlineStr">
        <is>
          <t>GP-001</t>
        </is>
      </c>
      <c r="J1392" s="7" t="inlineStr">
        <is>
          <t>Mécanique</t>
        </is>
      </c>
      <c r="K1392" s="7" t="inlineStr">
        <is>
          <t>P3 - Normale</t>
        </is>
      </c>
      <c r="L1392" s="7" t="inlineStr">
        <is>
          <t>Contrôle niveaux, nettoyage filtres et bac à copeaux</t>
        </is>
      </c>
      <c r="M1392" s="7" t="n"/>
      <c r="N1392" s="7" t="inlineStr">
        <is>
          <t>Gamme réalisée - RAS</t>
        </is>
      </c>
      <c r="O1392" s="7" t="inlineStr">
        <is>
          <t>Antoine Mercier</t>
        </is>
      </c>
      <c r="P1392" s="65" t="n">
        <v>46280.47222222222</v>
      </c>
      <c r="Q1392" s="75" t="n">
        <v>46280.35416666666</v>
      </c>
      <c r="R1392" s="75" t="n">
        <v>46280.41666666666</v>
      </c>
      <c r="S1392" s="76" t="n">
        <v>0.8</v>
      </c>
      <c r="T1392" s="76" t="n">
        <v>1.5</v>
      </c>
      <c r="U1392" s="70">
        <f>IF($A1392="","",IFERROR(INDEX('Techniciens'!$F$5:$F$44,MATCH(O1392,'Techniciens'!$B$5:$B$44,0)),'Paramètres'!$AA$10))</f>
        <v/>
      </c>
      <c r="V1392" s="70">
        <f>IF($A1392="","",IF(OR(AC1392="Demandé",AC1392="Planifié",AC1392="Annulé"),0,N(T1392)*N(U1392)))</f>
        <v/>
      </c>
      <c r="W1392" s="70">
        <f>IF($A1392="","",SUMIFS('Mouvements stock'!$H$5:$H$3004,'Mouvements stock'!$I$5:$I$3004,$A1392,'Mouvements stock'!$C$5:$C$3004,"Sortie")-SUMIFS('Mouvements stock'!$H$5:$H$3004,'Mouvements stock'!$I$5:$I$3004,$A1392,'Mouvements stock'!$C$5:$C$3004,"Retour"))</f>
        <v/>
      </c>
      <c r="X1392" s="66" t="n">
        <v>0</v>
      </c>
      <c r="Y1392" s="66" t="n">
        <v>0</v>
      </c>
      <c r="Z1392" s="7" t="n"/>
      <c r="AA1392" s="70">
        <f>IF($A1392="","",N(V1392)+N(W1392)+N(X1392)+N(Y1392))</f>
        <v/>
      </c>
      <c r="AB1392" s="70">
        <f>IF($A1392="","",N(S1392)*'Paramètres'!$AA$9*IFERROR(INDEX('Paramètres'!$O$5:$O$7,MATCH(G1392,'Paramètres'!$N$5:$N$7,0)),0))</f>
        <v/>
      </c>
      <c r="AC1392" s="7" t="inlineStr">
        <is>
          <t>Clôturé</t>
        </is>
      </c>
      <c r="AD1392" s="69">
        <f>IF(OR($A1392="",Q1392=""),"",(Q1392-B1392)*24)</f>
        <v/>
      </c>
      <c r="AE1392" s="69">
        <f>IF(OR(Q1392="",R1392=""),"",(R1392-Q1392)*24)</f>
        <v/>
      </c>
      <c r="AF1392" s="77">
        <f>IF(OR($A1392="",B1392=""),"",YEAR(B1392))</f>
        <v/>
      </c>
      <c r="AG1392" s="77">
        <f>IF(OR($A1392="",B1392=""),"",MONTH(B1392))</f>
        <v/>
      </c>
    </row>
    <row r="1393">
      <c r="A1393" s="7" t="inlineStr">
        <is>
          <t>OT-2026-0538</t>
        </is>
      </c>
      <c r="B1393" s="75" t="n">
        <v>46276.39722222222</v>
      </c>
      <c r="C1393" s="7" t="inlineStr">
        <is>
          <t>Marc Lefèvre</t>
        </is>
      </c>
      <c r="D1393" s="7" t="inlineStr">
        <is>
          <t>EQ-BAT-001</t>
        </is>
      </c>
      <c r="E1393" s="9">
        <f>IF(D1393="","",IFERROR(INDEX('Équipements'!$B$5:$B$304,MATCH(D1393,'Équipements'!$A$5:$A$304,0)),"Code inconnu"))</f>
        <v/>
      </c>
      <c r="F1393" s="9">
        <f>IF(D1393="","",IFERROR(INDEX('Équipements'!$D$5:$D$304,MATCH(D1393,'Équipements'!$A$5:$A$304,0)),""))</f>
        <v/>
      </c>
      <c r="G1393" s="9">
        <f>IF(D1393="","",IFERROR(INDEX('Équipements'!$K$5:$K$304,MATCH(D1393,'Équipements'!$A$5:$A$304,0)),""))</f>
        <v/>
      </c>
      <c r="H1393" s="7" t="inlineStr">
        <is>
          <t>Correctif</t>
        </is>
      </c>
      <c r="I1393" s="7" t="n"/>
      <c r="J1393" s="7" t="inlineStr">
        <is>
          <t>Électrique</t>
        </is>
      </c>
      <c r="K1393" s="7" t="inlineStr">
        <is>
          <t>P3 - Normale</t>
        </is>
      </c>
      <c r="L1393" s="7" t="inlineStr">
        <is>
          <t>Cellule photoélectrique HS</t>
        </is>
      </c>
      <c r="M1393" s="7" t="inlineStr">
        <is>
          <t>Défaut capteur</t>
        </is>
      </c>
      <c r="N1393" s="7" t="inlineStr">
        <is>
          <t>Remplacement cellule</t>
        </is>
      </c>
      <c r="O1393" s="7" t="inlineStr">
        <is>
          <t>Antoine Mercier</t>
        </is>
      </c>
      <c r="P1393" s="65" t="n"/>
      <c r="Q1393" s="75" t="n">
        <v>46276.89236111111</v>
      </c>
      <c r="R1393" s="75" t="n">
        <v>46276.98611111111</v>
      </c>
      <c r="S1393" s="76" t="n">
        <v>0</v>
      </c>
      <c r="T1393" s="76" t="n">
        <v>2.25</v>
      </c>
      <c r="U1393" s="70">
        <f>IF($A1393="","",IFERROR(INDEX('Techniciens'!$F$5:$F$44,MATCH(O1393,'Techniciens'!$B$5:$B$44,0)),'Paramètres'!$AA$10))</f>
        <v/>
      </c>
      <c r="V1393" s="70">
        <f>IF($A1393="","",IF(OR(AC1393="Demandé",AC1393="Planifié",AC1393="Annulé"),0,N(T1393)*N(U1393)))</f>
        <v/>
      </c>
      <c r="W1393" s="70">
        <f>IF($A1393="","",SUMIFS('Mouvements stock'!$H$5:$H$3004,'Mouvements stock'!$I$5:$I$3004,$A1393,'Mouvements stock'!$C$5:$C$3004,"Sortie")-SUMIFS('Mouvements stock'!$H$5:$H$3004,'Mouvements stock'!$I$5:$I$3004,$A1393,'Mouvements stock'!$C$5:$C$3004,"Retour"))</f>
        <v/>
      </c>
      <c r="X1393" s="66" t="n">
        <v>286</v>
      </c>
      <c r="Y1393" s="66" t="n">
        <v>0</v>
      </c>
      <c r="Z1393" s="7" t="n"/>
      <c r="AA1393" s="70">
        <f>IF($A1393="","",N(V1393)+N(W1393)+N(X1393)+N(Y1393))</f>
        <v/>
      </c>
      <c r="AB1393" s="70">
        <f>IF($A1393="","",N(S1393)*'Paramètres'!$AA$9*IFERROR(INDEX('Paramètres'!$O$5:$O$7,MATCH(G1393,'Paramètres'!$N$5:$N$7,0)),0))</f>
        <v/>
      </c>
      <c r="AC1393" s="7" t="inlineStr">
        <is>
          <t>Clôturé</t>
        </is>
      </c>
      <c r="AD1393" s="69">
        <f>IF(OR($A1393="",Q1393=""),"",(Q1393-B1393)*24)</f>
        <v/>
      </c>
      <c r="AE1393" s="69">
        <f>IF(OR(Q1393="",R1393=""),"",(R1393-Q1393)*24)</f>
        <v/>
      </c>
      <c r="AF1393" s="77">
        <f>IF(OR($A1393="",B1393=""),"",YEAR(B1393))</f>
        <v/>
      </c>
      <c r="AG1393" s="77">
        <f>IF(OR($A1393="",B1393=""),"",MONTH(B1393))</f>
        <v/>
      </c>
    </row>
    <row r="1394">
      <c r="A1394" s="7" t="inlineStr">
        <is>
          <t>OT-2026-0539</t>
        </is>
      </c>
      <c r="B1394" s="75" t="n">
        <v>46277.90763888889</v>
      </c>
      <c r="C1394" s="7" t="inlineStr">
        <is>
          <t>Inès Girard (cheffe d'équipe)</t>
        </is>
      </c>
      <c r="D1394" s="7" t="inlineStr">
        <is>
          <t>EQ-PEI-002</t>
        </is>
      </c>
      <c r="E1394" s="9">
        <f>IF(D1394="","",IFERROR(INDEX('Équipements'!$B$5:$B$304,MATCH(D1394,'Équipements'!$A$5:$A$304,0)),"Code inconnu"))</f>
        <v/>
      </c>
      <c r="F1394" s="9">
        <f>IF(D1394="","",IFERROR(INDEX('Équipements'!$D$5:$D$304,MATCH(D1394,'Équipements'!$A$5:$A$304,0)),""))</f>
        <v/>
      </c>
      <c r="G1394" s="9">
        <f>IF(D1394="","",IFERROR(INDEX('Équipements'!$K$5:$K$304,MATCH(D1394,'Équipements'!$A$5:$A$304,0)),""))</f>
        <v/>
      </c>
      <c r="H1394" s="7" t="inlineStr">
        <is>
          <t>Correctif</t>
        </is>
      </c>
      <c r="I1394" s="7" t="n"/>
      <c r="J1394" s="7" t="inlineStr">
        <is>
          <t>Électrique</t>
        </is>
      </c>
      <c r="K1394" s="7" t="inlineStr">
        <is>
          <t>P2 - Haute</t>
        </is>
      </c>
      <c r="L1394" s="7" t="inlineStr">
        <is>
          <t>Température de bain hors tolérance</t>
        </is>
      </c>
      <c r="M1394" s="7" t="inlineStr">
        <is>
          <t>Défaut capteur</t>
        </is>
      </c>
      <c r="N1394" s="7" t="inlineStr">
        <is>
          <t>Remplacement sonde PT100</t>
        </is>
      </c>
      <c r="O1394" s="7" t="inlineStr">
        <is>
          <t>Julien Moreau</t>
        </is>
      </c>
      <c r="P1394" s="65" t="n"/>
      <c r="Q1394" s="75" t="n">
        <v>46278.10833333333</v>
      </c>
      <c r="R1394" s="75" t="n">
        <v>46278.41041666667</v>
      </c>
      <c r="S1394" s="76" t="n">
        <v>0</v>
      </c>
      <c r="T1394" s="76" t="n">
        <v>7.25</v>
      </c>
      <c r="U1394" s="70">
        <f>IF($A1394="","",IFERROR(INDEX('Techniciens'!$F$5:$F$44,MATCH(O1394,'Techniciens'!$B$5:$B$44,0)),'Paramètres'!$AA$10))</f>
        <v/>
      </c>
      <c r="V1394" s="70">
        <f>IF($A1394="","",IF(OR(AC1394="Demandé",AC1394="Planifié",AC1394="Annulé"),0,N(T1394)*N(U1394)))</f>
        <v/>
      </c>
      <c r="W1394" s="70">
        <f>IF($A1394="","",SUMIFS('Mouvements stock'!$H$5:$H$3004,'Mouvements stock'!$I$5:$I$3004,$A1394,'Mouvements stock'!$C$5:$C$3004,"Sortie")-SUMIFS('Mouvements stock'!$H$5:$H$3004,'Mouvements stock'!$I$5:$I$3004,$A1394,'Mouvements stock'!$C$5:$C$3004,"Retour"))</f>
        <v/>
      </c>
      <c r="X1394" s="66" t="n">
        <v>0</v>
      </c>
      <c r="Y1394" s="66" t="n">
        <v>0</v>
      </c>
      <c r="Z1394" s="7" t="n"/>
      <c r="AA1394" s="70">
        <f>IF($A1394="","",N(V1394)+N(W1394)+N(X1394)+N(Y1394))</f>
        <v/>
      </c>
      <c r="AB1394" s="70">
        <f>IF($A1394="","",N(S1394)*'Paramètres'!$AA$9*IFERROR(INDEX('Paramètres'!$O$5:$O$7,MATCH(G1394,'Paramètres'!$N$5:$N$7,0)),0))</f>
        <v/>
      </c>
      <c r="AC1394" s="7" t="inlineStr">
        <is>
          <t>Clôturé</t>
        </is>
      </c>
      <c r="AD1394" s="69">
        <f>IF(OR($A1394="",Q1394=""),"",(Q1394-B1394)*24)</f>
        <v/>
      </c>
      <c r="AE1394" s="69">
        <f>IF(OR(Q1394="",R1394=""),"",(R1394-Q1394)*24)</f>
        <v/>
      </c>
      <c r="AF1394" s="77">
        <f>IF(OR($A1394="",B1394=""),"",YEAR(B1394))</f>
        <v/>
      </c>
      <c r="AG1394" s="77">
        <f>IF(OR($A1394="",B1394=""),"",MONTH(B1394))</f>
        <v/>
      </c>
    </row>
    <row r="1395">
      <c r="A1395" s="7" t="inlineStr">
        <is>
          <t>OT-2026-0540</t>
        </is>
      </c>
      <c r="B1395" s="75" t="n">
        <v>46279.34027777778</v>
      </c>
      <c r="C1395" s="7" t="inlineStr">
        <is>
          <t>Plan préventif</t>
        </is>
      </c>
      <c r="D1395" s="7" t="inlineStr">
        <is>
          <t>EQ-USI-007</t>
        </is>
      </c>
      <c r="E1395" s="9">
        <f>IF(D1395="","",IFERROR(INDEX('Équipements'!$B$5:$B$304,MATCH(D1395,'Équipements'!$A$5:$A$304,0)),"Code inconnu"))</f>
        <v/>
      </c>
      <c r="F1395" s="9">
        <f>IF(D1395="","",IFERROR(INDEX('Équipements'!$D$5:$D$304,MATCH(D1395,'Équipements'!$A$5:$A$304,0)),""))</f>
        <v/>
      </c>
      <c r="G1395" s="9">
        <f>IF(D1395="","",IFERROR(INDEX('Équipements'!$K$5:$K$304,MATCH(D1395,'Équipements'!$A$5:$A$304,0)),""))</f>
        <v/>
      </c>
      <c r="H1395" s="7" t="inlineStr">
        <is>
          <t>Préventif systématique</t>
        </is>
      </c>
      <c r="I1395" s="7" t="inlineStr">
        <is>
          <t>GP-025</t>
        </is>
      </c>
      <c r="J1395" s="7" t="inlineStr">
        <is>
          <t>Mécanique</t>
        </is>
      </c>
      <c r="K1395" s="7" t="inlineStr">
        <is>
          <t>P3 - Normale</t>
        </is>
      </c>
      <c r="L1395" s="7" t="inlineStr">
        <is>
          <t>Contrôle niveaux, nettoyage filtres et bac à copeaux</t>
        </is>
      </c>
      <c r="M1395" s="7" t="n"/>
      <c r="N1395" s="7" t="inlineStr">
        <is>
          <t>Gamme réalisée - RAS</t>
        </is>
      </c>
      <c r="O1395" s="7" t="inlineStr">
        <is>
          <t>Lucas Fontaine</t>
        </is>
      </c>
      <c r="P1395" s="65" t="n">
        <v>46286.49652777778</v>
      </c>
      <c r="Q1395" s="75" t="n">
        <v>46286.54861111111</v>
      </c>
      <c r="R1395" s="75" t="n">
        <v>46286.61111111111</v>
      </c>
      <c r="S1395" s="76" t="n">
        <v>0.8</v>
      </c>
      <c r="T1395" s="76" t="n">
        <v>1.5</v>
      </c>
      <c r="U1395" s="70">
        <f>IF($A1395="","",IFERROR(INDEX('Techniciens'!$F$5:$F$44,MATCH(O1395,'Techniciens'!$B$5:$B$44,0)),'Paramètres'!$AA$10))</f>
        <v/>
      </c>
      <c r="V1395" s="70">
        <f>IF($A1395="","",IF(OR(AC1395="Demandé",AC1395="Planifié",AC1395="Annulé"),0,N(T1395)*N(U1395)))</f>
        <v/>
      </c>
      <c r="W1395" s="70">
        <f>IF($A1395="","",SUMIFS('Mouvements stock'!$H$5:$H$3004,'Mouvements stock'!$I$5:$I$3004,$A1395,'Mouvements stock'!$C$5:$C$3004,"Sortie")-SUMIFS('Mouvements stock'!$H$5:$H$3004,'Mouvements stock'!$I$5:$I$3004,$A1395,'Mouvements stock'!$C$5:$C$3004,"Retour"))</f>
        <v/>
      </c>
      <c r="X1395" s="66" t="n">
        <v>0</v>
      </c>
      <c r="Y1395" s="66" t="n">
        <v>0</v>
      </c>
      <c r="Z1395" s="7" t="n"/>
      <c r="AA1395" s="70">
        <f>IF($A1395="","",N(V1395)+N(W1395)+N(X1395)+N(Y1395))</f>
        <v/>
      </c>
      <c r="AB1395" s="70">
        <f>IF($A1395="","",N(S1395)*'Paramètres'!$AA$9*IFERROR(INDEX('Paramètres'!$O$5:$O$7,MATCH(G1395,'Paramètres'!$N$5:$N$7,0)),0))</f>
        <v/>
      </c>
      <c r="AC1395" s="7" t="inlineStr">
        <is>
          <t>Clôturé</t>
        </is>
      </c>
      <c r="AD1395" s="69">
        <f>IF(OR($A1395="",Q1395=""),"",(Q1395-B1395)*24)</f>
        <v/>
      </c>
      <c r="AE1395" s="69">
        <f>IF(OR(Q1395="",R1395=""),"",(R1395-Q1395)*24)</f>
        <v/>
      </c>
      <c r="AF1395" s="77">
        <f>IF(OR($A1395="",B1395=""),"",YEAR(B1395))</f>
        <v/>
      </c>
      <c r="AG1395" s="77">
        <f>IF(OR($A1395="",B1395=""),"",MONTH(B1395))</f>
        <v/>
      </c>
    </row>
    <row r="1396">
      <c r="A1396" s="7" t="inlineStr">
        <is>
          <t>OT-2026-0541</t>
        </is>
      </c>
      <c r="B1396" s="75" t="n">
        <v>46279.41666666666</v>
      </c>
      <c r="C1396" s="7" t="inlineStr">
        <is>
          <t>Plan préventif</t>
        </is>
      </c>
      <c r="D1396" s="7" t="inlineStr">
        <is>
          <t>EQ-UTI-001</t>
        </is>
      </c>
      <c r="E1396" s="9">
        <f>IF(D1396="","",IFERROR(INDEX('Équipements'!$B$5:$B$304,MATCH(D1396,'Équipements'!$A$5:$A$304,0)),"Code inconnu"))</f>
        <v/>
      </c>
      <c r="F1396" s="9">
        <f>IF(D1396="","",IFERROR(INDEX('Équipements'!$D$5:$D$304,MATCH(D1396,'Équipements'!$A$5:$A$304,0)),""))</f>
        <v/>
      </c>
      <c r="G1396" s="9">
        <f>IF(D1396="","",IFERROR(INDEX('Équipements'!$K$5:$K$304,MATCH(D1396,'Équipements'!$A$5:$A$304,0)),""))</f>
        <v/>
      </c>
      <c r="H1396" s="7" t="inlineStr">
        <is>
          <t>Préventif systématique</t>
        </is>
      </c>
      <c r="I1396" s="7" t="inlineStr">
        <is>
          <t>GP-088</t>
        </is>
      </c>
      <c r="J1396" s="7" t="inlineStr">
        <is>
          <t>Pneumatique</t>
        </is>
      </c>
      <c r="K1396" s="7" t="inlineStr">
        <is>
          <t>P3 - Normale</t>
        </is>
      </c>
      <c r="L1396" s="7" t="inlineStr">
        <is>
          <t>Purge, contrôle fuites et point de rosée</t>
        </is>
      </c>
      <c r="M1396" s="7" t="n"/>
      <c r="N1396" s="7" t="inlineStr">
        <is>
          <t>Gamme réalisée - RAS</t>
        </is>
      </c>
      <c r="O1396" s="7" t="inlineStr">
        <is>
          <t>Julien Moreau</t>
        </is>
      </c>
      <c r="P1396" s="65" t="n">
        <v>46286.32291666666</v>
      </c>
      <c r="Q1396" s="75" t="n">
        <v>46286.57291666666</v>
      </c>
      <c r="R1396" s="75" t="n">
        <v>46286.63541666666</v>
      </c>
      <c r="S1396" s="76" t="n">
        <v>0</v>
      </c>
      <c r="T1396" s="76" t="n">
        <v>1.5</v>
      </c>
      <c r="U1396" s="70">
        <f>IF($A1396="","",IFERROR(INDEX('Techniciens'!$F$5:$F$44,MATCH(O1396,'Techniciens'!$B$5:$B$44,0)),'Paramètres'!$AA$10))</f>
        <v/>
      </c>
      <c r="V1396" s="70">
        <f>IF($A1396="","",IF(OR(AC1396="Demandé",AC1396="Planifié",AC1396="Annulé"),0,N(T1396)*N(U1396)))</f>
        <v/>
      </c>
      <c r="W1396" s="70">
        <f>IF($A1396="","",SUMIFS('Mouvements stock'!$H$5:$H$3004,'Mouvements stock'!$I$5:$I$3004,$A1396,'Mouvements stock'!$C$5:$C$3004,"Sortie")-SUMIFS('Mouvements stock'!$H$5:$H$3004,'Mouvements stock'!$I$5:$I$3004,$A1396,'Mouvements stock'!$C$5:$C$3004,"Retour"))</f>
        <v/>
      </c>
      <c r="X1396" s="66" t="n">
        <v>0</v>
      </c>
      <c r="Y1396" s="66" t="n">
        <v>0</v>
      </c>
      <c r="Z1396" s="7" t="n"/>
      <c r="AA1396" s="70">
        <f>IF($A1396="","",N(V1396)+N(W1396)+N(X1396)+N(Y1396))</f>
        <v/>
      </c>
      <c r="AB1396" s="70">
        <f>IF($A1396="","",N(S1396)*'Paramètres'!$AA$9*IFERROR(INDEX('Paramètres'!$O$5:$O$7,MATCH(G1396,'Paramètres'!$N$5:$N$7,0)),0))</f>
        <v/>
      </c>
      <c r="AC1396" s="7" t="inlineStr">
        <is>
          <t>Clôturé</t>
        </is>
      </c>
      <c r="AD1396" s="69">
        <f>IF(OR($A1396="",Q1396=""),"",(Q1396-B1396)*24)</f>
        <v/>
      </c>
      <c r="AE1396" s="69">
        <f>IF(OR(Q1396="",R1396=""),"",(R1396-Q1396)*24)</f>
        <v/>
      </c>
      <c r="AF1396" s="77">
        <f>IF(OR($A1396="",B1396=""),"",YEAR(B1396))</f>
        <v/>
      </c>
      <c r="AG1396" s="77">
        <f>IF(OR($A1396="",B1396=""),"",MONTH(B1396))</f>
        <v/>
      </c>
    </row>
    <row r="1397">
      <c r="A1397" s="7" t="inlineStr">
        <is>
          <t>OT-2026-0542</t>
        </is>
      </c>
      <c r="B1397" s="75" t="n">
        <v>46280.44444444445</v>
      </c>
      <c r="C1397" s="7" t="inlineStr">
        <is>
          <t>Plan préventif</t>
        </is>
      </c>
      <c r="D1397" s="7" t="inlineStr">
        <is>
          <t>EQ-PEI-005</t>
        </is>
      </c>
      <c r="E1397" s="9">
        <f>IF(D1397="","",IFERROR(INDEX('Équipements'!$B$5:$B$304,MATCH(D1397,'Équipements'!$A$5:$A$304,0)),"Code inconnu"))</f>
        <v/>
      </c>
      <c r="F1397" s="9">
        <f>IF(D1397="","",IFERROR(INDEX('Équipements'!$D$5:$D$304,MATCH(D1397,'Équipements'!$A$5:$A$304,0)),""))</f>
        <v/>
      </c>
      <c r="G1397" s="9">
        <f>IF(D1397="","",IFERROR(INDEX('Équipements'!$K$5:$K$304,MATCH(D1397,'Équipements'!$A$5:$A$304,0)),""))</f>
        <v/>
      </c>
      <c r="H1397" s="7" t="inlineStr">
        <is>
          <t>Préventif systématique</t>
        </is>
      </c>
      <c r="I1397" s="7" t="inlineStr">
        <is>
          <t>GP-074</t>
        </is>
      </c>
      <c r="J1397" s="7" t="inlineStr">
        <is>
          <t>Mécanique</t>
        </is>
      </c>
      <c r="K1397" s="7" t="inlineStr">
        <is>
          <t>P3 - Normale</t>
        </is>
      </c>
      <c r="L1397" s="7" t="inlineStr">
        <is>
          <t>Nettoyage et remplacement des filtres</t>
        </is>
      </c>
      <c r="M1397" s="7" t="n"/>
      <c r="N1397" s="7" t="inlineStr">
        <is>
          <t>Gamme réalisée - RAS</t>
        </is>
      </c>
      <c r="O1397" s="7" t="inlineStr">
        <is>
          <t>Lucas Fontaine</t>
        </is>
      </c>
      <c r="P1397" s="65" t="n">
        <v>46287.6875</v>
      </c>
      <c r="Q1397" s="75" t="n">
        <v>46287.51388888889</v>
      </c>
      <c r="R1397" s="75" t="n">
        <v>46287.64930555555</v>
      </c>
      <c r="S1397" s="76" t="n">
        <v>1.6</v>
      </c>
      <c r="T1397" s="76" t="n">
        <v>3.25</v>
      </c>
      <c r="U1397" s="70">
        <f>IF($A1397="","",IFERROR(INDEX('Techniciens'!$F$5:$F$44,MATCH(O1397,'Techniciens'!$B$5:$B$44,0)),'Paramètres'!$AA$10))</f>
        <v/>
      </c>
      <c r="V1397" s="70">
        <f>IF($A1397="","",IF(OR(AC1397="Demandé",AC1397="Planifié",AC1397="Annulé"),0,N(T1397)*N(U1397)))</f>
        <v/>
      </c>
      <c r="W1397" s="70">
        <f>IF($A1397="","",SUMIFS('Mouvements stock'!$H$5:$H$3004,'Mouvements stock'!$I$5:$I$3004,$A1397,'Mouvements stock'!$C$5:$C$3004,"Sortie")-SUMIFS('Mouvements stock'!$H$5:$H$3004,'Mouvements stock'!$I$5:$I$3004,$A1397,'Mouvements stock'!$C$5:$C$3004,"Retour"))</f>
        <v/>
      </c>
      <c r="X1397" s="66" t="n">
        <v>0</v>
      </c>
      <c r="Y1397" s="66" t="n">
        <v>0</v>
      </c>
      <c r="Z1397" s="7" t="n"/>
      <c r="AA1397" s="70">
        <f>IF($A1397="","",N(V1397)+N(W1397)+N(X1397)+N(Y1397))</f>
        <v/>
      </c>
      <c r="AB1397" s="70">
        <f>IF($A1397="","",N(S1397)*'Paramètres'!$AA$9*IFERROR(INDEX('Paramètres'!$O$5:$O$7,MATCH(G1397,'Paramètres'!$N$5:$N$7,0)),0))</f>
        <v/>
      </c>
      <c r="AC1397" s="7" t="inlineStr">
        <is>
          <t>Clôturé</t>
        </is>
      </c>
      <c r="AD1397" s="69">
        <f>IF(OR($A1397="",Q1397=""),"",(Q1397-B1397)*24)</f>
        <v/>
      </c>
      <c r="AE1397" s="69">
        <f>IF(OR(Q1397="",R1397=""),"",(R1397-Q1397)*24)</f>
        <v/>
      </c>
      <c r="AF1397" s="77">
        <f>IF(OR($A1397="",B1397=""),"",YEAR(B1397))</f>
        <v/>
      </c>
      <c r="AG1397" s="77">
        <f>IF(OR($A1397="",B1397=""),"",MONTH(B1397))</f>
        <v/>
      </c>
    </row>
    <row r="1398">
      <c r="A1398" s="7" t="inlineStr">
        <is>
          <t>OT-2026-0543</t>
        </is>
      </c>
      <c r="B1398" s="75" t="n">
        <v>46280.47916666666</v>
      </c>
      <c r="C1398" s="7" t="inlineStr">
        <is>
          <t>Plan préventif</t>
        </is>
      </c>
      <c r="D1398" s="7" t="inlineStr">
        <is>
          <t>EQ-TOL-004</t>
        </is>
      </c>
      <c r="E1398" s="9">
        <f>IF(D1398="","",IFERROR(INDEX('Équipements'!$B$5:$B$304,MATCH(D1398,'Équipements'!$A$5:$A$304,0)),"Code inconnu"))</f>
        <v/>
      </c>
      <c r="F1398" s="9">
        <f>IF(D1398="","",IFERROR(INDEX('Équipements'!$D$5:$D$304,MATCH(D1398,'Équipements'!$A$5:$A$304,0)),""))</f>
        <v/>
      </c>
      <c r="G1398" s="9">
        <f>IF(D1398="","",IFERROR(INDEX('Équipements'!$K$5:$K$304,MATCH(D1398,'Équipements'!$A$5:$A$304,0)),""))</f>
        <v/>
      </c>
      <c r="H1398" s="7" t="inlineStr">
        <is>
          <t>Préventif systématique</t>
        </is>
      </c>
      <c r="I1398" s="7" t="inlineStr">
        <is>
          <t>GP-049</t>
        </is>
      </c>
      <c r="J1398" s="7" t="inlineStr">
        <is>
          <t>Électrique</t>
        </is>
      </c>
      <c r="K1398" s="7" t="inlineStr">
        <is>
          <t>P3 - Normale</t>
        </is>
      </c>
      <c r="L1398" s="7" t="inlineStr">
        <is>
          <t>Contrôle des sécurités (barrages, AU, pédale)</t>
        </is>
      </c>
      <c r="M1398" s="7" t="n"/>
      <c r="N1398" s="7" t="inlineStr">
        <is>
          <t>Gamme réalisée - RAS</t>
        </is>
      </c>
      <c r="O1398" s="7" t="inlineStr">
        <is>
          <t>Antoine Mercier</t>
        </is>
      </c>
      <c r="P1398" s="65" t="n">
        <v>46287.43402777778</v>
      </c>
      <c r="Q1398" s="75" t="n">
        <v>46287.375</v>
      </c>
      <c r="R1398" s="75" t="n">
        <v>46287.44791666666</v>
      </c>
      <c r="S1398" s="76" t="n">
        <v>0.9</v>
      </c>
      <c r="T1398" s="76" t="n">
        <v>1.75</v>
      </c>
      <c r="U1398" s="70">
        <f>IF($A1398="","",IFERROR(INDEX('Techniciens'!$F$5:$F$44,MATCH(O1398,'Techniciens'!$B$5:$B$44,0)),'Paramètres'!$AA$10))</f>
        <v/>
      </c>
      <c r="V1398" s="70">
        <f>IF($A1398="","",IF(OR(AC1398="Demandé",AC1398="Planifié",AC1398="Annulé"),0,N(T1398)*N(U1398)))</f>
        <v/>
      </c>
      <c r="W1398" s="70">
        <f>IF($A1398="","",SUMIFS('Mouvements stock'!$H$5:$H$3004,'Mouvements stock'!$I$5:$I$3004,$A1398,'Mouvements stock'!$C$5:$C$3004,"Sortie")-SUMIFS('Mouvements stock'!$H$5:$H$3004,'Mouvements stock'!$I$5:$I$3004,$A1398,'Mouvements stock'!$C$5:$C$3004,"Retour"))</f>
        <v/>
      </c>
      <c r="X1398" s="66" t="n">
        <v>0</v>
      </c>
      <c r="Y1398" s="66" t="n">
        <v>0</v>
      </c>
      <c r="Z1398" s="7" t="n"/>
      <c r="AA1398" s="70">
        <f>IF($A1398="","",N(V1398)+N(W1398)+N(X1398)+N(Y1398))</f>
        <v/>
      </c>
      <c r="AB1398" s="70">
        <f>IF($A1398="","",N(S1398)*'Paramètres'!$AA$9*IFERROR(INDEX('Paramètres'!$O$5:$O$7,MATCH(G1398,'Paramètres'!$N$5:$N$7,0)),0))</f>
        <v/>
      </c>
      <c r="AC1398" s="7" t="inlineStr">
        <is>
          <t>Clôturé</t>
        </is>
      </c>
      <c r="AD1398" s="69">
        <f>IF(OR($A1398="",Q1398=""),"",(Q1398-B1398)*24)</f>
        <v/>
      </c>
      <c r="AE1398" s="69">
        <f>IF(OR(Q1398="",R1398=""),"",(R1398-Q1398)*24)</f>
        <v/>
      </c>
      <c r="AF1398" s="77">
        <f>IF(OR($A1398="",B1398=""),"",YEAR(B1398))</f>
        <v/>
      </c>
      <c r="AG1398" s="77">
        <f>IF(OR($A1398="",B1398=""),"",MONTH(B1398))</f>
        <v/>
      </c>
    </row>
    <row r="1399">
      <c r="A1399" s="7" t="inlineStr">
        <is>
          <t>OT-2026-0544</t>
        </is>
      </c>
      <c r="B1399" s="75" t="n">
        <v>46281.33333333334</v>
      </c>
      <c r="C1399" s="7" t="inlineStr">
        <is>
          <t>Plan préventif</t>
        </is>
      </c>
      <c r="D1399" s="7" t="inlineStr">
        <is>
          <t>EQ-TOL-002</t>
        </is>
      </c>
      <c r="E1399" s="9">
        <f>IF(D1399="","",IFERROR(INDEX('Équipements'!$B$5:$B$304,MATCH(D1399,'Équipements'!$A$5:$A$304,0)),"Code inconnu"))</f>
        <v/>
      </c>
      <c r="F1399" s="9">
        <f>IF(D1399="","",IFERROR(INDEX('Équipements'!$D$5:$D$304,MATCH(D1399,'Équipements'!$A$5:$A$304,0)),""))</f>
        <v/>
      </c>
      <c r="G1399" s="9">
        <f>IF(D1399="","",IFERROR(INDEX('Équipements'!$K$5:$K$304,MATCH(D1399,'Équipements'!$A$5:$A$304,0)),""))</f>
        <v/>
      </c>
      <c r="H1399" s="7" t="inlineStr">
        <is>
          <t>Préventif systématique</t>
        </is>
      </c>
      <c r="I1399" s="7" t="inlineStr">
        <is>
          <t>GP-043</t>
        </is>
      </c>
      <c r="J1399" s="7" t="inlineStr">
        <is>
          <t>Électrique</t>
        </is>
      </c>
      <c r="K1399" s="7" t="inlineStr">
        <is>
          <t>P3 - Normale</t>
        </is>
      </c>
      <c r="L1399" s="7" t="inlineStr">
        <is>
          <t>Contrôle des sécurités (barrages, AU, pédale)</t>
        </is>
      </c>
      <c r="M1399" s="7" t="n"/>
      <c r="N1399" s="7" t="inlineStr">
        <is>
          <t>Gamme réalisée - RAS</t>
        </is>
      </c>
      <c r="O1399" s="7" t="inlineStr">
        <is>
          <t>Julien Moreau</t>
        </is>
      </c>
      <c r="P1399" s="65" t="n">
        <v>46288.64583333334</v>
      </c>
      <c r="Q1399" s="75" t="n">
        <v>46288.26041666666</v>
      </c>
      <c r="R1399" s="75" t="n">
        <v>46288.32291666666</v>
      </c>
      <c r="S1399" s="76" t="n">
        <v>1.5</v>
      </c>
      <c r="T1399" s="76" t="n">
        <v>1.5</v>
      </c>
      <c r="U1399" s="70">
        <f>IF($A1399="","",IFERROR(INDEX('Techniciens'!$F$5:$F$44,MATCH(O1399,'Techniciens'!$B$5:$B$44,0)),'Paramètres'!$AA$10))</f>
        <v/>
      </c>
      <c r="V1399" s="70">
        <f>IF($A1399="","",IF(OR(AC1399="Demandé",AC1399="Planifié",AC1399="Annulé"),0,N(T1399)*N(U1399)))</f>
        <v/>
      </c>
      <c r="W1399" s="70">
        <f>IF($A1399="","",SUMIFS('Mouvements stock'!$H$5:$H$3004,'Mouvements stock'!$I$5:$I$3004,$A1399,'Mouvements stock'!$C$5:$C$3004,"Sortie")-SUMIFS('Mouvements stock'!$H$5:$H$3004,'Mouvements stock'!$I$5:$I$3004,$A1399,'Mouvements stock'!$C$5:$C$3004,"Retour"))</f>
        <v/>
      </c>
      <c r="X1399" s="66" t="n">
        <v>0</v>
      </c>
      <c r="Y1399" s="66" t="n">
        <v>0</v>
      </c>
      <c r="Z1399" s="7" t="n"/>
      <c r="AA1399" s="70">
        <f>IF($A1399="","",N(V1399)+N(W1399)+N(X1399)+N(Y1399))</f>
        <v/>
      </c>
      <c r="AB1399" s="70">
        <f>IF($A1399="","",N(S1399)*'Paramètres'!$AA$9*IFERROR(INDEX('Paramètres'!$O$5:$O$7,MATCH(G1399,'Paramètres'!$N$5:$N$7,0)),0))</f>
        <v/>
      </c>
      <c r="AC1399" s="7" t="inlineStr">
        <is>
          <t>Clôturé</t>
        </is>
      </c>
      <c r="AD1399" s="69">
        <f>IF(OR($A1399="",Q1399=""),"",(Q1399-B1399)*24)</f>
        <v/>
      </c>
      <c r="AE1399" s="69">
        <f>IF(OR(Q1399="",R1399=""),"",(R1399-Q1399)*24)</f>
        <v/>
      </c>
      <c r="AF1399" s="77">
        <f>IF(OR($A1399="",B1399=""),"",YEAR(B1399))</f>
        <v/>
      </c>
      <c r="AG1399" s="77">
        <f>IF(OR($A1399="",B1399=""),"",MONTH(B1399))</f>
        <v/>
      </c>
    </row>
    <row r="1400">
      <c r="A1400" s="7" t="inlineStr">
        <is>
          <t>OT-2026-0545</t>
        </is>
      </c>
      <c r="B1400" s="75" t="n">
        <v>46281.34375</v>
      </c>
      <c r="C1400" s="7" t="inlineStr">
        <is>
          <t>Cariste</t>
        </is>
      </c>
      <c r="D1400" s="7" t="inlineStr">
        <is>
          <t>EQ-LOG-003</t>
        </is>
      </c>
      <c r="E1400" s="9">
        <f>IF(D1400="","",IFERROR(INDEX('Équipements'!$B$5:$B$304,MATCH(D1400,'Équipements'!$A$5:$A$304,0)),"Code inconnu"))</f>
        <v/>
      </c>
      <c r="F1400" s="9">
        <f>IF(D1400="","",IFERROR(INDEX('Équipements'!$D$5:$D$304,MATCH(D1400,'Équipements'!$A$5:$A$304,0)),""))</f>
        <v/>
      </c>
      <c r="G1400" s="9">
        <f>IF(D1400="","",IFERROR(INDEX('Équipements'!$K$5:$K$304,MATCH(D1400,'Équipements'!$A$5:$A$304,0)),""))</f>
        <v/>
      </c>
      <c r="H1400" s="7" t="inlineStr">
        <is>
          <t>Correctif</t>
        </is>
      </c>
      <c r="I1400" s="7" t="n"/>
      <c r="J1400" s="7" t="inlineStr">
        <is>
          <t>Mécanique</t>
        </is>
      </c>
      <c r="K1400" s="7" t="inlineStr">
        <is>
          <t>P3 - Normale</t>
        </is>
      </c>
      <c r="L1400" s="7" t="inlineStr">
        <is>
          <t>Freinage inefficace</t>
        </is>
      </c>
      <c r="M1400" s="7" t="inlineStr">
        <is>
          <t>Usure</t>
        </is>
      </c>
      <c r="N1400" s="7" t="inlineStr">
        <is>
          <t>Remplacement garnitures de frein</t>
        </is>
      </c>
      <c r="O1400" s="7" t="inlineStr">
        <is>
          <t>Antoine Mercier</t>
        </is>
      </c>
      <c r="P1400" s="65" t="n"/>
      <c r="Q1400" s="75" t="n">
        <v>46282.79097222222</v>
      </c>
      <c r="R1400" s="75" t="n">
        <v>46283.06180555555</v>
      </c>
      <c r="S1400" s="76" t="n">
        <v>1.9</v>
      </c>
      <c r="T1400" s="76" t="n">
        <v>6.5</v>
      </c>
      <c r="U1400" s="70">
        <f>IF($A1400="","",IFERROR(INDEX('Techniciens'!$F$5:$F$44,MATCH(O1400,'Techniciens'!$B$5:$B$44,0)),'Paramètres'!$AA$10))</f>
        <v/>
      </c>
      <c r="V1400" s="70">
        <f>IF($A1400="","",IF(OR(AC1400="Demandé",AC1400="Planifié",AC1400="Annulé"),0,N(T1400)*N(U1400)))</f>
        <v/>
      </c>
      <c r="W1400" s="70">
        <f>IF($A1400="","",SUMIFS('Mouvements stock'!$H$5:$H$3004,'Mouvements stock'!$I$5:$I$3004,$A1400,'Mouvements stock'!$C$5:$C$3004,"Sortie")-SUMIFS('Mouvements stock'!$H$5:$H$3004,'Mouvements stock'!$I$5:$I$3004,$A1400,'Mouvements stock'!$C$5:$C$3004,"Retour"))</f>
        <v/>
      </c>
      <c r="X1400" s="66" t="n">
        <v>0</v>
      </c>
      <c r="Y1400" s="66" t="n">
        <v>0</v>
      </c>
      <c r="Z1400" s="7" t="n"/>
      <c r="AA1400" s="70">
        <f>IF($A1400="","",N(V1400)+N(W1400)+N(X1400)+N(Y1400))</f>
        <v/>
      </c>
      <c r="AB1400" s="70">
        <f>IF($A1400="","",N(S1400)*'Paramètres'!$AA$9*IFERROR(INDEX('Paramètres'!$O$5:$O$7,MATCH(G1400,'Paramètres'!$N$5:$N$7,0)),0))</f>
        <v/>
      </c>
      <c r="AC1400" s="7" t="inlineStr">
        <is>
          <t>Clôturé</t>
        </is>
      </c>
      <c r="AD1400" s="69">
        <f>IF(OR($A1400="",Q1400=""),"",(Q1400-B1400)*24)</f>
        <v/>
      </c>
      <c r="AE1400" s="69">
        <f>IF(OR(Q1400="",R1400=""),"",(R1400-Q1400)*24)</f>
        <v/>
      </c>
      <c r="AF1400" s="77">
        <f>IF(OR($A1400="",B1400=""),"",YEAR(B1400))</f>
        <v/>
      </c>
      <c r="AG1400" s="77">
        <f>IF(OR($A1400="",B1400=""),"",MONTH(B1400))</f>
        <v/>
      </c>
    </row>
    <row r="1401">
      <c r="A1401" s="7" t="inlineStr">
        <is>
          <t>OT-2026-0546</t>
        </is>
      </c>
      <c r="B1401" s="75" t="n">
        <v>46281.375</v>
      </c>
      <c r="C1401" s="7" t="inlineStr">
        <is>
          <t>Plan préventif</t>
        </is>
      </c>
      <c r="D1401" s="7" t="inlineStr">
        <is>
          <t>EQ-UTI-002</t>
        </is>
      </c>
      <c r="E1401" s="9">
        <f>IF(D1401="","",IFERROR(INDEX('Équipements'!$B$5:$B$304,MATCH(D1401,'Équipements'!$A$5:$A$304,0)),"Code inconnu"))</f>
        <v/>
      </c>
      <c r="F1401" s="9">
        <f>IF(D1401="","",IFERROR(INDEX('Équipements'!$D$5:$D$304,MATCH(D1401,'Équipements'!$A$5:$A$304,0)),""))</f>
        <v/>
      </c>
      <c r="G1401" s="9">
        <f>IF(D1401="","",IFERROR(INDEX('Équipements'!$K$5:$K$304,MATCH(D1401,'Équipements'!$A$5:$A$304,0)),""))</f>
        <v/>
      </c>
      <c r="H1401" s="7" t="inlineStr">
        <is>
          <t>Préventif systématique</t>
        </is>
      </c>
      <c r="I1401" s="7" t="inlineStr">
        <is>
          <t>GP-090</t>
        </is>
      </c>
      <c r="J1401" s="7" t="inlineStr">
        <is>
          <t>Pneumatique</t>
        </is>
      </c>
      <c r="K1401" s="7" t="inlineStr">
        <is>
          <t>P3 - Normale</t>
        </is>
      </c>
      <c r="L1401" s="7" t="inlineStr">
        <is>
          <t>Purge, contrôle fuites et point de rosée</t>
        </is>
      </c>
      <c r="M1401" s="7" t="n"/>
      <c r="N1401" s="7" t="inlineStr">
        <is>
          <t>Gamme réalisée - RAS</t>
        </is>
      </c>
      <c r="O1401" s="7" t="inlineStr">
        <is>
          <t>Lucas Fontaine</t>
        </is>
      </c>
      <c r="P1401" s="65" t="n">
        <v>46288.55902777778</v>
      </c>
      <c r="Q1401" s="75" t="n">
        <v>46288.5</v>
      </c>
      <c r="R1401" s="75" t="n">
        <v>46288.57291666666</v>
      </c>
      <c r="S1401" s="76" t="n">
        <v>0</v>
      </c>
      <c r="T1401" s="76" t="n">
        <v>1.75</v>
      </c>
      <c r="U1401" s="70">
        <f>IF($A1401="","",IFERROR(INDEX('Techniciens'!$F$5:$F$44,MATCH(O1401,'Techniciens'!$B$5:$B$44,0)),'Paramètres'!$AA$10))</f>
        <v/>
      </c>
      <c r="V1401" s="70">
        <f>IF($A1401="","",IF(OR(AC1401="Demandé",AC1401="Planifié",AC1401="Annulé"),0,N(T1401)*N(U1401)))</f>
        <v/>
      </c>
      <c r="W1401" s="70">
        <f>IF($A1401="","",SUMIFS('Mouvements stock'!$H$5:$H$3004,'Mouvements stock'!$I$5:$I$3004,$A1401,'Mouvements stock'!$C$5:$C$3004,"Sortie")-SUMIFS('Mouvements stock'!$H$5:$H$3004,'Mouvements stock'!$I$5:$I$3004,$A1401,'Mouvements stock'!$C$5:$C$3004,"Retour"))</f>
        <v/>
      </c>
      <c r="X1401" s="66" t="n">
        <v>0</v>
      </c>
      <c r="Y1401" s="66" t="n">
        <v>0</v>
      </c>
      <c r="Z1401" s="7" t="n"/>
      <c r="AA1401" s="70">
        <f>IF($A1401="","",N(V1401)+N(W1401)+N(X1401)+N(Y1401))</f>
        <v/>
      </c>
      <c r="AB1401" s="70">
        <f>IF($A1401="","",N(S1401)*'Paramètres'!$AA$9*IFERROR(INDEX('Paramètres'!$O$5:$O$7,MATCH(G1401,'Paramètres'!$N$5:$N$7,0)),0))</f>
        <v/>
      </c>
      <c r="AC1401" s="7" t="inlineStr">
        <is>
          <t>Clôturé</t>
        </is>
      </c>
      <c r="AD1401" s="69">
        <f>IF(OR($A1401="",Q1401=""),"",(Q1401-B1401)*24)</f>
        <v/>
      </c>
      <c r="AE1401" s="69">
        <f>IF(OR(Q1401="",R1401=""),"",(R1401-Q1401)*24)</f>
        <v/>
      </c>
      <c r="AF1401" s="77">
        <f>IF(OR($A1401="",B1401=""),"",YEAR(B1401))</f>
        <v/>
      </c>
      <c r="AG1401" s="77">
        <f>IF(OR($A1401="",B1401=""),"",MONTH(B1401))</f>
        <v/>
      </c>
    </row>
    <row r="1402">
      <c r="A1402" s="7" t="inlineStr">
        <is>
          <t>OT-2026-0547</t>
        </is>
      </c>
      <c r="B1402" s="75" t="n">
        <v>46281.37708333333</v>
      </c>
      <c r="C1402" s="7" t="inlineStr">
        <is>
          <t>Éric Laurent (chef d'atelier)</t>
        </is>
      </c>
      <c r="D1402" s="7" t="inlineStr">
        <is>
          <t>EQ-USI-002</t>
        </is>
      </c>
      <c r="E1402" s="9">
        <f>IF(D1402="","",IFERROR(INDEX('Équipements'!$B$5:$B$304,MATCH(D1402,'Équipements'!$A$5:$A$304,0)),"Code inconnu"))</f>
        <v/>
      </c>
      <c r="F1402" s="9">
        <f>IF(D1402="","",IFERROR(INDEX('Équipements'!$D$5:$D$304,MATCH(D1402,'Équipements'!$A$5:$A$304,0)),""))</f>
        <v/>
      </c>
      <c r="G1402" s="9">
        <f>IF(D1402="","",IFERROR(INDEX('Équipements'!$K$5:$K$304,MATCH(D1402,'Équipements'!$A$5:$A$304,0)),""))</f>
        <v/>
      </c>
      <c r="H1402" s="7" t="inlineStr">
        <is>
          <t>Correctif</t>
        </is>
      </c>
      <c r="I1402" s="7" t="n"/>
      <c r="J1402" s="7" t="inlineStr">
        <is>
          <t>Mécanique</t>
        </is>
      </c>
      <c r="K1402" s="7" t="inlineStr">
        <is>
          <t>P2 - Haute</t>
        </is>
      </c>
      <c r="L1402" s="7" t="inlineStr">
        <is>
          <t>Bourrage convoyeur à copeaux</t>
        </is>
      </c>
      <c r="M1402" s="7" t="inlineStr">
        <is>
          <t>Encrassement</t>
        </is>
      </c>
      <c r="N1402" s="7" t="inlineStr">
        <is>
          <t>Dégagement et nettoyage convoyeur, retension chaîne</t>
        </is>
      </c>
      <c r="O1402" s="7" t="inlineStr">
        <is>
          <t>Karim Benali</t>
        </is>
      </c>
      <c r="P1402" s="65" t="n"/>
      <c r="Q1402" s="75" t="n">
        <v>46281.52916666667</v>
      </c>
      <c r="R1402" s="75" t="n">
        <v>46281.70625</v>
      </c>
      <c r="S1402" s="76" t="n">
        <v>0</v>
      </c>
      <c r="T1402" s="76" t="n">
        <v>4.25</v>
      </c>
      <c r="U1402" s="70">
        <f>IF($A1402="","",IFERROR(INDEX('Techniciens'!$F$5:$F$44,MATCH(O1402,'Techniciens'!$B$5:$B$44,0)),'Paramètres'!$AA$10))</f>
        <v/>
      </c>
      <c r="V1402" s="70">
        <f>IF($A1402="","",IF(OR(AC1402="Demandé",AC1402="Planifié",AC1402="Annulé"),0,N(T1402)*N(U1402)))</f>
        <v/>
      </c>
      <c r="W1402" s="70">
        <f>IF($A1402="","",SUMIFS('Mouvements stock'!$H$5:$H$3004,'Mouvements stock'!$I$5:$I$3004,$A1402,'Mouvements stock'!$C$5:$C$3004,"Sortie")-SUMIFS('Mouvements stock'!$H$5:$H$3004,'Mouvements stock'!$I$5:$I$3004,$A1402,'Mouvements stock'!$C$5:$C$3004,"Retour"))</f>
        <v/>
      </c>
      <c r="X1402" s="66" t="n">
        <v>0</v>
      </c>
      <c r="Y1402" s="66" t="n">
        <v>0</v>
      </c>
      <c r="Z1402" s="7" t="n"/>
      <c r="AA1402" s="70">
        <f>IF($A1402="","",N(V1402)+N(W1402)+N(X1402)+N(Y1402))</f>
        <v/>
      </c>
      <c r="AB1402" s="70">
        <f>IF($A1402="","",N(S1402)*'Paramètres'!$AA$9*IFERROR(INDEX('Paramètres'!$O$5:$O$7,MATCH(G1402,'Paramètres'!$N$5:$N$7,0)),0))</f>
        <v/>
      </c>
      <c r="AC1402" s="7" t="inlineStr">
        <is>
          <t>Clôturé</t>
        </is>
      </c>
      <c r="AD1402" s="69">
        <f>IF(OR($A1402="",Q1402=""),"",(Q1402-B1402)*24)</f>
        <v/>
      </c>
      <c r="AE1402" s="69">
        <f>IF(OR(Q1402="",R1402=""),"",(R1402-Q1402)*24)</f>
        <v/>
      </c>
      <c r="AF1402" s="77">
        <f>IF(OR($A1402="",B1402=""),"",YEAR(B1402))</f>
        <v/>
      </c>
      <c r="AG1402" s="77">
        <f>IF(OR($A1402="",B1402=""),"",MONTH(B1402))</f>
        <v/>
      </c>
    </row>
    <row r="1403">
      <c r="A1403" s="7" t="inlineStr">
        <is>
          <t>OT-2026-0548</t>
        </is>
      </c>
      <c r="B1403" s="75" t="n">
        <v>46281.39583333334</v>
      </c>
      <c r="C1403" s="7" t="inlineStr">
        <is>
          <t>Plan préventif</t>
        </is>
      </c>
      <c r="D1403" s="7" t="inlineStr">
        <is>
          <t>EQ-PEI-001</t>
        </is>
      </c>
      <c r="E1403" s="9">
        <f>IF(D1403="","",IFERROR(INDEX('Équipements'!$B$5:$B$304,MATCH(D1403,'Équipements'!$A$5:$A$304,0)),"Code inconnu"))</f>
        <v/>
      </c>
      <c r="F1403" s="9">
        <f>IF(D1403="","",IFERROR(INDEX('Équipements'!$D$5:$D$304,MATCH(D1403,'Équipements'!$A$5:$A$304,0)),""))</f>
        <v/>
      </c>
      <c r="G1403" s="9">
        <f>IF(D1403="","",IFERROR(INDEX('Équipements'!$K$5:$K$304,MATCH(D1403,'Équipements'!$A$5:$A$304,0)),""))</f>
        <v/>
      </c>
      <c r="H1403" s="7" t="inlineStr">
        <is>
          <t>Préventif systématique</t>
        </is>
      </c>
      <c r="I1403" s="7" t="inlineStr">
        <is>
          <t>GP-066</t>
        </is>
      </c>
      <c r="J1403" s="7" t="inlineStr">
        <is>
          <t>Mécanique</t>
        </is>
      </c>
      <c r="K1403" s="7" t="inlineStr">
        <is>
          <t>P3 - Normale</t>
        </is>
      </c>
      <c r="L1403" s="7" t="inlineStr">
        <is>
          <t>Nettoyage et remplacement des filtres</t>
        </is>
      </c>
      <c r="M1403" s="7" t="n"/>
      <c r="N1403" s="7" t="inlineStr">
        <is>
          <t>Gamme réalisée - RAS</t>
        </is>
      </c>
      <c r="O1403" s="7" t="inlineStr">
        <is>
          <t>Lucas Fontaine</t>
        </is>
      </c>
      <c r="P1403" s="65" t="n">
        <v>46288.52777777778</v>
      </c>
      <c r="Q1403" s="75" t="n">
        <v>46288.25694444445</v>
      </c>
      <c r="R1403" s="75" t="n">
        <v>46288.36111111111</v>
      </c>
      <c r="S1403" s="76" t="n">
        <v>2.5</v>
      </c>
      <c r="T1403" s="76" t="n">
        <v>2.5</v>
      </c>
      <c r="U1403" s="70">
        <f>IF($A1403="","",IFERROR(INDEX('Techniciens'!$F$5:$F$44,MATCH(O1403,'Techniciens'!$B$5:$B$44,0)),'Paramètres'!$AA$10))</f>
        <v/>
      </c>
      <c r="V1403" s="70">
        <f>IF($A1403="","",IF(OR(AC1403="Demandé",AC1403="Planifié",AC1403="Annulé"),0,N(T1403)*N(U1403)))</f>
        <v/>
      </c>
      <c r="W1403" s="70">
        <f>IF($A1403="","",SUMIFS('Mouvements stock'!$H$5:$H$3004,'Mouvements stock'!$I$5:$I$3004,$A1403,'Mouvements stock'!$C$5:$C$3004,"Sortie")-SUMIFS('Mouvements stock'!$H$5:$H$3004,'Mouvements stock'!$I$5:$I$3004,$A1403,'Mouvements stock'!$C$5:$C$3004,"Retour"))</f>
        <v/>
      </c>
      <c r="X1403" s="66" t="n">
        <v>0</v>
      </c>
      <c r="Y1403" s="66" t="n">
        <v>0</v>
      </c>
      <c r="Z1403" s="7" t="n"/>
      <c r="AA1403" s="70">
        <f>IF($A1403="","",N(V1403)+N(W1403)+N(X1403)+N(Y1403))</f>
        <v/>
      </c>
      <c r="AB1403" s="70">
        <f>IF($A1403="","",N(S1403)*'Paramètres'!$AA$9*IFERROR(INDEX('Paramètres'!$O$5:$O$7,MATCH(G1403,'Paramètres'!$N$5:$N$7,0)),0))</f>
        <v/>
      </c>
      <c r="AC1403" s="7" t="inlineStr">
        <is>
          <t>Clôturé</t>
        </is>
      </c>
      <c r="AD1403" s="69">
        <f>IF(OR($A1403="",Q1403=""),"",(Q1403-B1403)*24)</f>
        <v/>
      </c>
      <c r="AE1403" s="69">
        <f>IF(OR(Q1403="",R1403=""),"",(R1403-Q1403)*24)</f>
        <v/>
      </c>
      <c r="AF1403" s="77">
        <f>IF(OR($A1403="",B1403=""),"",YEAR(B1403))</f>
        <v/>
      </c>
      <c r="AG1403" s="77">
        <f>IF(OR($A1403="",B1403=""),"",MONTH(B1403))</f>
        <v/>
      </c>
    </row>
    <row r="1404">
      <c r="A1404" s="7" t="inlineStr">
        <is>
          <t>OT-2026-0549</t>
        </is>
      </c>
      <c r="B1404" s="75" t="n">
        <v>46281.47222222222</v>
      </c>
      <c r="C1404" s="7" t="inlineStr">
        <is>
          <t>Plan préventif</t>
        </is>
      </c>
      <c r="D1404" s="7" t="inlineStr">
        <is>
          <t>EQ-ASS-002</t>
        </is>
      </c>
      <c r="E1404" s="9">
        <f>IF(D1404="","",IFERROR(INDEX('Équipements'!$B$5:$B$304,MATCH(D1404,'Équipements'!$A$5:$A$304,0)),"Code inconnu"))</f>
        <v/>
      </c>
      <c r="F1404" s="9">
        <f>IF(D1404="","",IFERROR(INDEX('Équipements'!$D$5:$D$304,MATCH(D1404,'Équipements'!$A$5:$A$304,0)),""))</f>
        <v/>
      </c>
      <c r="G1404" s="9">
        <f>IF(D1404="","",IFERROR(INDEX('Équipements'!$K$5:$K$304,MATCH(D1404,'Équipements'!$A$5:$A$304,0)),""))</f>
        <v/>
      </c>
      <c r="H1404" s="7" t="inlineStr">
        <is>
          <t>Préventif systématique</t>
        </is>
      </c>
      <c r="I1404" s="7" t="inlineStr">
        <is>
          <t>GP-080</t>
        </is>
      </c>
      <c r="J1404" s="7" t="inlineStr">
        <is>
          <t>Électrique</t>
        </is>
      </c>
      <c r="K1404" s="7" t="inlineStr">
        <is>
          <t>P3 - Normale</t>
        </is>
      </c>
      <c r="L1404" s="7" t="inlineStr">
        <is>
          <t>Contrôle des sécurités (barrages, AU, pédale)</t>
        </is>
      </c>
      <c r="M1404" s="7" t="n"/>
      <c r="N1404" s="7" t="inlineStr">
        <is>
          <t>Gamme réalisée - RAS</t>
        </is>
      </c>
      <c r="O1404" s="7" t="inlineStr">
        <is>
          <t>Thomas Petit</t>
        </is>
      </c>
      <c r="P1404" s="65" t="n">
        <v>46288.61111111111</v>
      </c>
      <c r="Q1404" s="75" t="n">
        <v>46288.36458333334</v>
      </c>
      <c r="R1404" s="75" t="n">
        <v>46288.4375</v>
      </c>
      <c r="S1404" s="76" t="n">
        <v>0.9</v>
      </c>
      <c r="T1404" s="76" t="n">
        <v>1.75</v>
      </c>
      <c r="U1404" s="70">
        <f>IF($A1404="","",IFERROR(INDEX('Techniciens'!$F$5:$F$44,MATCH(O1404,'Techniciens'!$B$5:$B$44,0)),'Paramètres'!$AA$10))</f>
        <v/>
      </c>
      <c r="V1404" s="70">
        <f>IF($A1404="","",IF(OR(AC1404="Demandé",AC1404="Planifié",AC1404="Annulé"),0,N(T1404)*N(U1404)))</f>
        <v/>
      </c>
      <c r="W1404" s="70">
        <f>IF($A1404="","",SUMIFS('Mouvements stock'!$H$5:$H$3004,'Mouvements stock'!$I$5:$I$3004,$A1404,'Mouvements stock'!$C$5:$C$3004,"Sortie")-SUMIFS('Mouvements stock'!$H$5:$H$3004,'Mouvements stock'!$I$5:$I$3004,$A1404,'Mouvements stock'!$C$5:$C$3004,"Retour"))</f>
        <v/>
      </c>
      <c r="X1404" s="66" t="n">
        <v>0</v>
      </c>
      <c r="Y1404" s="66" t="n">
        <v>0</v>
      </c>
      <c r="Z1404" s="7" t="n"/>
      <c r="AA1404" s="70">
        <f>IF($A1404="","",N(V1404)+N(W1404)+N(X1404)+N(Y1404))</f>
        <v/>
      </c>
      <c r="AB1404" s="70">
        <f>IF($A1404="","",N(S1404)*'Paramètres'!$AA$9*IFERROR(INDEX('Paramètres'!$O$5:$O$7,MATCH(G1404,'Paramètres'!$N$5:$N$7,0)),0))</f>
        <v/>
      </c>
      <c r="AC1404" s="7" t="inlineStr">
        <is>
          <t>Clôturé</t>
        </is>
      </c>
      <c r="AD1404" s="69">
        <f>IF(OR($A1404="",Q1404=""),"",(Q1404-B1404)*24)</f>
        <v/>
      </c>
      <c r="AE1404" s="69">
        <f>IF(OR(Q1404="",R1404=""),"",(R1404-Q1404)*24)</f>
        <v/>
      </c>
      <c r="AF1404" s="77">
        <f>IF(OR($A1404="",B1404=""),"",YEAR(B1404))</f>
        <v/>
      </c>
      <c r="AG1404" s="77">
        <f>IF(OR($A1404="",B1404=""),"",MONTH(B1404))</f>
        <v/>
      </c>
    </row>
    <row r="1405">
      <c r="A1405" s="7" t="inlineStr">
        <is>
          <t>OT-2026-0550</t>
        </is>
      </c>
      <c r="B1405" s="75" t="n">
        <v>46282.38541666666</v>
      </c>
      <c r="C1405" s="7" t="inlineStr">
        <is>
          <t>Plan préventif</t>
        </is>
      </c>
      <c r="D1405" s="7" t="inlineStr">
        <is>
          <t>EQ-UTI-003</t>
        </is>
      </c>
      <c r="E1405" s="9">
        <f>IF(D1405="","",IFERROR(INDEX('Équipements'!$B$5:$B$304,MATCH(D1405,'Équipements'!$A$5:$A$304,0)),"Code inconnu"))</f>
        <v/>
      </c>
      <c r="F1405" s="9">
        <f>IF(D1405="","",IFERROR(INDEX('Équipements'!$D$5:$D$304,MATCH(D1405,'Équipements'!$A$5:$A$304,0)),""))</f>
        <v/>
      </c>
      <c r="G1405" s="9">
        <f>IF(D1405="","",IFERROR(INDEX('Équipements'!$K$5:$K$304,MATCH(D1405,'Équipements'!$A$5:$A$304,0)),""))</f>
        <v/>
      </c>
      <c r="H1405" s="7" t="inlineStr">
        <is>
          <t>Préventif systématique</t>
        </is>
      </c>
      <c r="I1405" s="7" t="inlineStr">
        <is>
          <t>GP-092</t>
        </is>
      </c>
      <c r="J1405" s="7" t="inlineStr">
        <is>
          <t>Pneumatique</t>
        </is>
      </c>
      <c r="K1405" s="7" t="inlineStr">
        <is>
          <t>P3 - Normale</t>
        </is>
      </c>
      <c r="L1405" s="7" t="inlineStr">
        <is>
          <t>Purge, contrôle fuites et point de rosée</t>
        </is>
      </c>
      <c r="M1405" s="7" t="n"/>
      <c r="N1405" s="7" t="inlineStr">
        <is>
          <t>Gamme réalisée - DI émise pour remplacement pièce</t>
        </is>
      </c>
      <c r="O1405" s="7" t="inlineStr">
        <is>
          <t>Julien Moreau</t>
        </is>
      </c>
      <c r="P1405" s="65" t="n">
        <v>46289.30902777778</v>
      </c>
      <c r="Q1405" s="75" t="n">
        <v>46289.57291666666</v>
      </c>
      <c r="R1405" s="75" t="n">
        <v>46289.64583333334</v>
      </c>
      <c r="S1405" s="76" t="n">
        <v>0</v>
      </c>
      <c r="T1405" s="76" t="n">
        <v>1.75</v>
      </c>
      <c r="U1405" s="70">
        <f>IF($A1405="","",IFERROR(INDEX('Techniciens'!$F$5:$F$44,MATCH(O1405,'Techniciens'!$B$5:$B$44,0)),'Paramètres'!$AA$10))</f>
        <v/>
      </c>
      <c r="V1405" s="70">
        <f>IF($A1405="","",IF(OR(AC1405="Demandé",AC1405="Planifié",AC1405="Annulé"),0,N(T1405)*N(U1405)))</f>
        <v/>
      </c>
      <c r="W1405" s="70">
        <f>IF($A1405="","",SUMIFS('Mouvements stock'!$H$5:$H$3004,'Mouvements stock'!$I$5:$I$3004,$A1405,'Mouvements stock'!$C$5:$C$3004,"Sortie")-SUMIFS('Mouvements stock'!$H$5:$H$3004,'Mouvements stock'!$I$5:$I$3004,$A1405,'Mouvements stock'!$C$5:$C$3004,"Retour"))</f>
        <v/>
      </c>
      <c r="X1405" s="66" t="n">
        <v>0</v>
      </c>
      <c r="Y1405" s="66" t="n">
        <v>0</v>
      </c>
      <c r="Z1405" s="7" t="n"/>
      <c r="AA1405" s="70">
        <f>IF($A1405="","",N(V1405)+N(W1405)+N(X1405)+N(Y1405))</f>
        <v/>
      </c>
      <c r="AB1405" s="70">
        <f>IF($A1405="","",N(S1405)*'Paramètres'!$AA$9*IFERROR(INDEX('Paramètres'!$O$5:$O$7,MATCH(G1405,'Paramètres'!$N$5:$N$7,0)),0))</f>
        <v/>
      </c>
      <c r="AC1405" s="7" t="inlineStr">
        <is>
          <t>Clôturé</t>
        </is>
      </c>
      <c r="AD1405" s="69">
        <f>IF(OR($A1405="",Q1405=""),"",(Q1405-B1405)*24)</f>
        <v/>
      </c>
      <c r="AE1405" s="69">
        <f>IF(OR(Q1405="",R1405=""),"",(R1405-Q1405)*24)</f>
        <v/>
      </c>
      <c r="AF1405" s="77">
        <f>IF(OR($A1405="",B1405=""),"",YEAR(B1405))</f>
        <v/>
      </c>
      <c r="AG1405" s="77">
        <f>IF(OR($A1405="",B1405=""),"",MONTH(B1405))</f>
        <v/>
      </c>
    </row>
    <row r="1406">
      <c r="A1406" s="7" t="inlineStr">
        <is>
          <t>OT-2026-0551</t>
        </is>
      </c>
      <c r="B1406" s="75" t="n">
        <v>46283.38888888889</v>
      </c>
      <c r="C1406" s="7" t="inlineStr">
        <is>
          <t>Planning réglementaire</t>
        </is>
      </c>
      <c r="D1406" s="7" t="inlineStr">
        <is>
          <t>EQ-LOG-008</t>
        </is>
      </c>
      <c r="E1406" s="9">
        <f>IF(D1406="","",IFERROR(INDEX('Équipements'!$B$5:$B$304,MATCH(D1406,'Équipements'!$A$5:$A$304,0)),"Code inconnu"))</f>
        <v/>
      </c>
      <c r="F1406" s="9">
        <f>IF(D1406="","",IFERROR(INDEX('Équipements'!$D$5:$D$304,MATCH(D1406,'Équipements'!$A$5:$A$304,0)),""))</f>
        <v/>
      </c>
      <c r="G1406" s="9">
        <f>IF(D1406="","",IFERROR(INDEX('Équipements'!$K$5:$K$304,MATCH(D1406,'Équipements'!$A$5:$A$304,0)),""))</f>
        <v/>
      </c>
      <c r="H1406" s="7" t="inlineStr">
        <is>
          <t>Réglementaire</t>
        </is>
      </c>
      <c r="I1406" s="7" t="inlineStr">
        <is>
          <t>CR-003</t>
        </is>
      </c>
      <c r="J1406" s="7" t="inlineStr">
        <is>
          <t>Multi-technique</t>
        </is>
      </c>
      <c r="K1406" s="7" t="inlineStr">
        <is>
          <t>P2 - Haute</t>
        </is>
      </c>
      <c r="L1406" s="7" t="inlineStr">
        <is>
          <t>Vérification générale périodique (VGP) appareil de levage</t>
        </is>
      </c>
      <c r="M1406" s="7" t="n"/>
      <c r="N1406" s="7" t="n"/>
      <c r="O1406" s="7" t="inlineStr">
        <is>
          <t>Marc Lefèvre</t>
        </is>
      </c>
      <c r="P1406" s="65" t="n">
        <v>46303</v>
      </c>
      <c r="Q1406" s="75" t="n"/>
      <c r="R1406" s="75" t="n"/>
      <c r="S1406" s="76" t="n">
        <v>0</v>
      </c>
      <c r="T1406" s="76" t="n">
        <v>1</v>
      </c>
      <c r="U1406" s="70">
        <f>IF($A1406="","",IFERROR(INDEX('Techniciens'!$F$5:$F$44,MATCH(O1406,'Techniciens'!$B$5:$B$44,0)),'Paramètres'!$AA$10))</f>
        <v/>
      </c>
      <c r="V1406" s="70">
        <f>IF($A1406="","",IF(OR(AC1406="Demandé",AC1406="Planifié",AC1406="Annulé"),0,N(T1406)*N(U1406)))</f>
        <v/>
      </c>
      <c r="W1406" s="70">
        <f>IF($A1406="","",SUMIFS('Mouvements stock'!$H$5:$H$3004,'Mouvements stock'!$I$5:$I$3004,$A1406,'Mouvements stock'!$C$5:$C$3004,"Sortie")-SUMIFS('Mouvements stock'!$H$5:$H$3004,'Mouvements stock'!$I$5:$I$3004,$A1406,'Mouvements stock'!$C$5:$C$3004,"Retour"))</f>
        <v/>
      </c>
      <c r="X1406" s="66" t="n">
        <v>0</v>
      </c>
      <c r="Y1406" s="66" t="n">
        <v>0</v>
      </c>
      <c r="Z1406" s="7" t="inlineStr">
        <is>
          <t>CONTROLIS (organisme fictif)</t>
        </is>
      </c>
      <c r="AA1406" s="70">
        <f>IF($A1406="","",N(V1406)+N(W1406)+N(X1406)+N(Y1406))</f>
        <v/>
      </c>
      <c r="AB1406" s="70">
        <f>IF($A1406="","",N(S1406)*'Paramètres'!$AA$9*IFERROR(INDEX('Paramètres'!$O$5:$O$7,MATCH(G1406,'Paramètres'!$N$5:$N$7,0)),0))</f>
        <v/>
      </c>
      <c r="AC1406" s="7" t="inlineStr">
        <is>
          <t>Planifié</t>
        </is>
      </c>
      <c r="AD1406" s="69">
        <f>IF(OR($A1406="",Q1406=""),"",(Q1406-B1406)*24)</f>
        <v/>
      </c>
      <c r="AE1406" s="69">
        <f>IF(OR(Q1406="",R1406=""),"",(R1406-Q1406)*24)</f>
        <v/>
      </c>
      <c r="AF1406" s="77">
        <f>IF(OR($A1406="",B1406=""),"",YEAR(B1406))</f>
        <v/>
      </c>
      <c r="AG1406" s="77">
        <f>IF(OR($A1406="",B1406=""),"",MONTH(B1406))</f>
        <v/>
      </c>
    </row>
    <row r="1407">
      <c r="A1407" s="7" t="inlineStr">
        <is>
          <t>OT-2026-0552</t>
        </is>
      </c>
      <c r="B1407" s="75" t="n">
        <v>46283.42361111111</v>
      </c>
      <c r="C1407" s="7" t="inlineStr">
        <is>
          <t>Plan préventif</t>
        </is>
      </c>
      <c r="D1407" s="7" t="inlineStr">
        <is>
          <t>EQ-PEI-004</t>
        </is>
      </c>
      <c r="E1407" s="9">
        <f>IF(D1407="","",IFERROR(INDEX('Équipements'!$B$5:$B$304,MATCH(D1407,'Équipements'!$A$5:$A$304,0)),"Code inconnu"))</f>
        <v/>
      </c>
      <c r="F1407" s="9">
        <f>IF(D1407="","",IFERROR(INDEX('Équipements'!$D$5:$D$304,MATCH(D1407,'Équipements'!$A$5:$A$304,0)),""))</f>
        <v/>
      </c>
      <c r="G1407" s="9">
        <f>IF(D1407="","",IFERROR(INDEX('Équipements'!$K$5:$K$304,MATCH(D1407,'Équipements'!$A$5:$A$304,0)),""))</f>
        <v/>
      </c>
      <c r="H1407" s="7" t="inlineStr">
        <is>
          <t>Préventif systématique</t>
        </is>
      </c>
      <c r="I1407" s="7" t="inlineStr">
        <is>
          <t>GP-072</t>
        </is>
      </c>
      <c r="J1407" s="7" t="inlineStr">
        <is>
          <t>Mécanique</t>
        </is>
      </c>
      <c r="K1407" s="7" t="inlineStr">
        <is>
          <t>P3 - Normale</t>
        </is>
      </c>
      <c r="L1407" s="7" t="inlineStr">
        <is>
          <t>Graissage chaîne / galets et contrôle tension</t>
        </is>
      </c>
      <c r="M1407" s="7" t="n"/>
      <c r="N1407" s="7" t="inlineStr">
        <is>
          <t>Gamme réalisée - RAS</t>
        </is>
      </c>
      <c r="O1407" s="7" t="inlineStr">
        <is>
          <t>Karim Benali</t>
        </is>
      </c>
      <c r="P1407" s="65" t="n">
        <v>46290.64236111111</v>
      </c>
      <c r="Q1407" s="75" t="n">
        <v>46290.25</v>
      </c>
      <c r="R1407" s="75" t="n">
        <v>46290.34375</v>
      </c>
      <c r="S1407" s="76" t="n">
        <v>2.2</v>
      </c>
      <c r="T1407" s="76" t="n">
        <v>2.25</v>
      </c>
      <c r="U1407" s="70">
        <f>IF($A1407="","",IFERROR(INDEX('Techniciens'!$F$5:$F$44,MATCH(O1407,'Techniciens'!$B$5:$B$44,0)),'Paramètres'!$AA$10))</f>
        <v/>
      </c>
      <c r="V1407" s="70">
        <f>IF($A1407="","",IF(OR(AC1407="Demandé",AC1407="Planifié",AC1407="Annulé"),0,N(T1407)*N(U1407)))</f>
        <v/>
      </c>
      <c r="W1407" s="70">
        <f>IF($A1407="","",SUMIFS('Mouvements stock'!$H$5:$H$3004,'Mouvements stock'!$I$5:$I$3004,$A1407,'Mouvements stock'!$C$5:$C$3004,"Sortie")-SUMIFS('Mouvements stock'!$H$5:$H$3004,'Mouvements stock'!$I$5:$I$3004,$A1407,'Mouvements stock'!$C$5:$C$3004,"Retour"))</f>
        <v/>
      </c>
      <c r="X1407" s="66" t="n">
        <v>0</v>
      </c>
      <c r="Y1407" s="66" t="n">
        <v>0</v>
      </c>
      <c r="Z1407" s="7" t="n"/>
      <c r="AA1407" s="70">
        <f>IF($A1407="","",N(V1407)+N(W1407)+N(X1407)+N(Y1407))</f>
        <v/>
      </c>
      <c r="AB1407" s="70">
        <f>IF($A1407="","",N(S1407)*'Paramètres'!$AA$9*IFERROR(INDEX('Paramètres'!$O$5:$O$7,MATCH(G1407,'Paramètres'!$N$5:$N$7,0)),0))</f>
        <v/>
      </c>
      <c r="AC1407" s="7" t="inlineStr">
        <is>
          <t>Clôturé</t>
        </is>
      </c>
      <c r="AD1407" s="69">
        <f>IF(OR($A1407="",Q1407=""),"",(Q1407-B1407)*24)</f>
        <v/>
      </c>
      <c r="AE1407" s="69">
        <f>IF(OR(Q1407="",R1407=""),"",(R1407-Q1407)*24)</f>
        <v/>
      </c>
      <c r="AF1407" s="77">
        <f>IF(OR($A1407="",B1407=""),"",YEAR(B1407))</f>
        <v/>
      </c>
      <c r="AG1407" s="77">
        <f>IF(OR($A1407="",B1407=""),"",MONTH(B1407))</f>
        <v/>
      </c>
    </row>
    <row r="1408">
      <c r="A1408" s="7" t="inlineStr">
        <is>
          <t>OT-2026-0553</t>
        </is>
      </c>
      <c r="B1408" s="75" t="n">
        <v>46283.45138888889</v>
      </c>
      <c r="C1408" s="7" t="inlineStr">
        <is>
          <t>Plan préventif</t>
        </is>
      </c>
      <c r="D1408" s="7" t="inlineStr">
        <is>
          <t>EQ-UTI-006</t>
        </is>
      </c>
      <c r="E1408" s="9">
        <f>IF(D1408="","",IFERROR(INDEX('Équipements'!$B$5:$B$304,MATCH(D1408,'Équipements'!$A$5:$A$304,0)),"Code inconnu"))</f>
        <v/>
      </c>
      <c r="F1408" s="9">
        <f>IF(D1408="","",IFERROR(INDEX('Équipements'!$D$5:$D$304,MATCH(D1408,'Équipements'!$A$5:$A$304,0)),""))</f>
        <v/>
      </c>
      <c r="G1408" s="9">
        <f>IF(D1408="","",IFERROR(INDEX('Équipements'!$K$5:$K$304,MATCH(D1408,'Équipements'!$A$5:$A$304,0)),""))</f>
        <v/>
      </c>
      <c r="H1408" s="7" t="inlineStr">
        <is>
          <t>Préventif systématique</t>
        </is>
      </c>
      <c r="I1408" s="7" t="inlineStr">
        <is>
          <t>GP-095</t>
        </is>
      </c>
      <c r="J1408" s="7" t="inlineStr">
        <is>
          <t>Mécanique</t>
        </is>
      </c>
      <c r="K1408" s="7" t="inlineStr">
        <is>
          <t>P3 - Normale</t>
        </is>
      </c>
      <c r="L1408" s="7" t="inlineStr">
        <is>
          <t>Remplacement filtres et nettoyage batteries</t>
        </is>
      </c>
      <c r="M1408" s="7" t="n"/>
      <c r="N1408" s="7" t="inlineStr">
        <is>
          <t>Gamme réalisée - usure constatée, à surveiller</t>
        </is>
      </c>
      <c r="O1408" s="7" t="inlineStr">
        <is>
          <t>Karim Benali</t>
        </is>
      </c>
      <c r="P1408" s="65" t="n">
        <v>46290.58333333334</v>
      </c>
      <c r="Q1408" s="75" t="n">
        <v>46290.44444444445</v>
      </c>
      <c r="R1408" s="75" t="n">
        <v>46290.54861111111</v>
      </c>
      <c r="S1408" s="76" t="n">
        <v>0</v>
      </c>
      <c r="T1408" s="76" t="n">
        <v>2.5</v>
      </c>
      <c r="U1408" s="70">
        <f>IF($A1408="","",IFERROR(INDEX('Techniciens'!$F$5:$F$44,MATCH(O1408,'Techniciens'!$B$5:$B$44,0)),'Paramètres'!$AA$10))</f>
        <v/>
      </c>
      <c r="V1408" s="70">
        <f>IF($A1408="","",IF(OR(AC1408="Demandé",AC1408="Planifié",AC1408="Annulé"),0,N(T1408)*N(U1408)))</f>
        <v/>
      </c>
      <c r="W1408" s="70">
        <f>IF($A1408="","",SUMIFS('Mouvements stock'!$H$5:$H$3004,'Mouvements stock'!$I$5:$I$3004,$A1408,'Mouvements stock'!$C$5:$C$3004,"Sortie")-SUMIFS('Mouvements stock'!$H$5:$H$3004,'Mouvements stock'!$I$5:$I$3004,$A1408,'Mouvements stock'!$C$5:$C$3004,"Retour"))</f>
        <v/>
      </c>
      <c r="X1408" s="66" t="n">
        <v>0</v>
      </c>
      <c r="Y1408" s="66" t="n">
        <v>0</v>
      </c>
      <c r="Z1408" s="7" t="n"/>
      <c r="AA1408" s="70">
        <f>IF($A1408="","",N(V1408)+N(W1408)+N(X1408)+N(Y1408))</f>
        <v/>
      </c>
      <c r="AB1408" s="70">
        <f>IF($A1408="","",N(S1408)*'Paramètres'!$AA$9*IFERROR(INDEX('Paramètres'!$O$5:$O$7,MATCH(G1408,'Paramètres'!$N$5:$N$7,0)),0))</f>
        <v/>
      </c>
      <c r="AC1408" s="7" t="inlineStr">
        <is>
          <t>Clôturé</t>
        </is>
      </c>
      <c r="AD1408" s="69">
        <f>IF(OR($A1408="",Q1408=""),"",(Q1408-B1408)*24)</f>
        <v/>
      </c>
      <c r="AE1408" s="69">
        <f>IF(OR(Q1408="",R1408=""),"",(R1408-Q1408)*24)</f>
        <v/>
      </c>
      <c r="AF1408" s="77">
        <f>IF(OR($A1408="",B1408=""),"",YEAR(B1408))</f>
        <v/>
      </c>
      <c r="AG1408" s="77">
        <f>IF(OR($A1408="",B1408=""),"",MONTH(B1408))</f>
        <v/>
      </c>
    </row>
    <row r="1409">
      <c r="A1409" s="7" t="inlineStr">
        <is>
          <t>OT-2026-0554</t>
        </is>
      </c>
      <c r="B1409" s="75" t="n">
        <v>46284.275</v>
      </c>
      <c r="C1409" s="7" t="inlineStr">
        <is>
          <t>Éric Laurent (chef d'atelier)</t>
        </is>
      </c>
      <c r="D1409" s="7" t="inlineStr">
        <is>
          <t>EQ-USI-001</t>
        </is>
      </c>
      <c r="E1409" s="9">
        <f>IF(D1409="","",IFERROR(INDEX('Équipements'!$B$5:$B$304,MATCH(D1409,'Équipements'!$A$5:$A$304,0)),"Code inconnu"))</f>
        <v/>
      </c>
      <c r="F1409" s="9">
        <f>IF(D1409="","",IFERROR(INDEX('Équipements'!$D$5:$D$304,MATCH(D1409,'Équipements'!$A$5:$A$304,0)),""))</f>
        <v/>
      </c>
      <c r="G1409" s="9">
        <f>IF(D1409="","",IFERROR(INDEX('Équipements'!$K$5:$K$304,MATCH(D1409,'Équipements'!$A$5:$A$304,0)),""))</f>
        <v/>
      </c>
      <c r="H1409" s="7" t="inlineStr">
        <is>
          <t>Correctif</t>
        </is>
      </c>
      <c r="I1409" s="7" t="n"/>
      <c r="J1409" s="7" t="inlineStr">
        <is>
          <t>Automatisme</t>
        </is>
      </c>
      <c r="K1409" s="7" t="inlineStr">
        <is>
          <t>P1 - Urgent</t>
        </is>
      </c>
      <c r="L1409" s="7" t="inlineStr">
        <is>
          <t>Perte des origines machine après coupure</t>
        </is>
      </c>
      <c r="M1409" s="7" t="inlineStr">
        <is>
          <t>Défaut logiciel/automate</t>
        </is>
      </c>
      <c r="N1409" s="7" t="inlineStr">
        <is>
          <t>Reprise des origines, remplacement pile de sauvegarde CN</t>
        </is>
      </c>
      <c r="O1409" s="7" t="inlineStr">
        <is>
          <t>Julien Moreau</t>
        </is>
      </c>
      <c r="P1409" s="65" t="n"/>
      <c r="Q1409" s="75" t="n">
        <v>46284.29444444444</v>
      </c>
      <c r="R1409" s="75" t="n">
        <v>46284.38819444444</v>
      </c>
      <c r="S1409" s="76" t="n">
        <v>2.7</v>
      </c>
      <c r="T1409" s="76" t="n">
        <v>2.25</v>
      </c>
      <c r="U1409" s="70">
        <f>IF($A1409="","",IFERROR(INDEX('Techniciens'!$F$5:$F$44,MATCH(O1409,'Techniciens'!$B$5:$B$44,0)),'Paramètres'!$AA$10))</f>
        <v/>
      </c>
      <c r="V1409" s="70">
        <f>IF($A1409="","",IF(OR(AC1409="Demandé",AC1409="Planifié",AC1409="Annulé"),0,N(T1409)*N(U1409)))</f>
        <v/>
      </c>
      <c r="W1409" s="70">
        <f>IF($A1409="","",SUMIFS('Mouvements stock'!$H$5:$H$3004,'Mouvements stock'!$I$5:$I$3004,$A1409,'Mouvements stock'!$C$5:$C$3004,"Sortie")-SUMIFS('Mouvements stock'!$H$5:$H$3004,'Mouvements stock'!$I$5:$I$3004,$A1409,'Mouvements stock'!$C$5:$C$3004,"Retour"))</f>
        <v/>
      </c>
      <c r="X1409" s="66" t="n">
        <v>0</v>
      </c>
      <c r="Y1409" s="66" t="n">
        <v>0</v>
      </c>
      <c r="Z1409" s="7" t="n"/>
      <c r="AA1409" s="70">
        <f>IF($A1409="","",N(V1409)+N(W1409)+N(X1409)+N(Y1409))</f>
        <v/>
      </c>
      <c r="AB1409" s="70">
        <f>IF($A1409="","",N(S1409)*'Paramètres'!$AA$9*IFERROR(INDEX('Paramètres'!$O$5:$O$7,MATCH(G1409,'Paramètres'!$N$5:$N$7,0)),0))</f>
        <v/>
      </c>
      <c r="AC1409" s="7" t="inlineStr">
        <is>
          <t>Clôturé</t>
        </is>
      </c>
      <c r="AD1409" s="69">
        <f>IF(OR($A1409="",Q1409=""),"",(Q1409-B1409)*24)</f>
        <v/>
      </c>
      <c r="AE1409" s="69">
        <f>IF(OR(Q1409="",R1409=""),"",(R1409-Q1409)*24)</f>
        <v/>
      </c>
      <c r="AF1409" s="77">
        <f>IF(OR($A1409="",B1409=""),"",YEAR(B1409))</f>
        <v/>
      </c>
      <c r="AG1409" s="77">
        <f>IF(OR($A1409="",B1409=""),"",MONTH(B1409))</f>
        <v/>
      </c>
    </row>
    <row r="1410">
      <c r="A1410" s="7" t="inlineStr">
        <is>
          <t>OT-2026-0555</t>
        </is>
      </c>
      <c r="B1410" s="75" t="n">
        <v>46284.48611111111</v>
      </c>
      <c r="C1410" s="7" t="inlineStr">
        <is>
          <t>Opérateur peinture</t>
        </is>
      </c>
      <c r="D1410" s="7" t="inlineStr">
        <is>
          <t>EQ-PEI-001</t>
        </is>
      </c>
      <c r="E1410" s="9">
        <f>IF(D1410="","",IFERROR(INDEX('Équipements'!$B$5:$B$304,MATCH(D1410,'Équipements'!$A$5:$A$304,0)),"Code inconnu"))</f>
        <v/>
      </c>
      <c r="F1410" s="9">
        <f>IF(D1410="","",IFERROR(INDEX('Équipements'!$D$5:$D$304,MATCH(D1410,'Équipements'!$A$5:$A$304,0)),""))</f>
        <v/>
      </c>
      <c r="G1410" s="9">
        <f>IF(D1410="","",IFERROR(INDEX('Équipements'!$K$5:$K$304,MATCH(D1410,'Équipements'!$A$5:$A$304,0)),""))</f>
        <v/>
      </c>
      <c r="H1410" s="7" t="inlineStr">
        <is>
          <t>Correctif</t>
        </is>
      </c>
      <c r="I1410" s="7" t="n"/>
      <c r="J1410" s="7" t="inlineStr">
        <is>
          <t>Mécanique</t>
        </is>
      </c>
      <c r="K1410" s="7" t="inlineStr">
        <is>
          <t>P1 - Urgent</t>
        </is>
      </c>
      <c r="L1410" s="7" t="inlineStr">
        <is>
          <t>Colmatage des filtres cabine</t>
        </is>
      </c>
      <c r="M1410" s="7" t="inlineStr">
        <is>
          <t>Encrassement</t>
        </is>
      </c>
      <c r="N1410" s="7" t="inlineStr">
        <is>
          <t>Remplacement filtres et nettoyage cabine</t>
        </is>
      </c>
      <c r="O1410" s="7" t="inlineStr">
        <is>
          <t>Antoine Mercier</t>
        </is>
      </c>
      <c r="P1410" s="65" t="n"/>
      <c r="Q1410" s="75" t="n">
        <v>46284.51597222222</v>
      </c>
      <c r="R1410" s="75" t="n">
        <v>46284.73472222222</v>
      </c>
      <c r="S1410" s="76" t="n">
        <v>6</v>
      </c>
      <c r="T1410" s="76" t="n">
        <v>5.25</v>
      </c>
      <c r="U1410" s="70">
        <f>IF($A1410="","",IFERROR(INDEX('Techniciens'!$F$5:$F$44,MATCH(O1410,'Techniciens'!$B$5:$B$44,0)),'Paramètres'!$AA$10))</f>
        <v/>
      </c>
      <c r="V1410" s="70">
        <f>IF($A1410="","",IF(OR(AC1410="Demandé",AC1410="Planifié",AC1410="Annulé"),0,N(T1410)*N(U1410)))</f>
        <v/>
      </c>
      <c r="W1410" s="70">
        <f>IF($A1410="","",SUMIFS('Mouvements stock'!$H$5:$H$3004,'Mouvements stock'!$I$5:$I$3004,$A1410,'Mouvements stock'!$C$5:$C$3004,"Sortie")-SUMIFS('Mouvements stock'!$H$5:$H$3004,'Mouvements stock'!$I$5:$I$3004,$A1410,'Mouvements stock'!$C$5:$C$3004,"Retour"))</f>
        <v/>
      </c>
      <c r="X1410" s="66" t="n">
        <v>0</v>
      </c>
      <c r="Y1410" s="66" t="n">
        <v>0</v>
      </c>
      <c r="Z1410" s="7" t="n"/>
      <c r="AA1410" s="70">
        <f>IF($A1410="","",N(V1410)+N(W1410)+N(X1410)+N(Y1410))</f>
        <v/>
      </c>
      <c r="AB1410" s="70">
        <f>IF($A1410="","",N(S1410)*'Paramètres'!$AA$9*IFERROR(INDEX('Paramètres'!$O$5:$O$7,MATCH(G1410,'Paramètres'!$N$5:$N$7,0)),0))</f>
        <v/>
      </c>
      <c r="AC1410" s="7" t="inlineStr">
        <is>
          <t>Clôturé</t>
        </is>
      </c>
      <c r="AD1410" s="69">
        <f>IF(OR($A1410="",Q1410=""),"",(Q1410-B1410)*24)</f>
        <v/>
      </c>
      <c r="AE1410" s="69">
        <f>IF(OR(Q1410="",R1410=""),"",(R1410-Q1410)*24)</f>
        <v/>
      </c>
      <c r="AF1410" s="77">
        <f>IF(OR($A1410="",B1410=""),"",YEAR(B1410))</f>
        <v/>
      </c>
      <c r="AG1410" s="77">
        <f>IF(OR($A1410="",B1410=""),"",MONTH(B1410))</f>
        <v/>
      </c>
    </row>
    <row r="1411">
      <c r="A1411" s="7" t="inlineStr">
        <is>
          <t>OT-2026-0556</t>
        </is>
      </c>
      <c r="B1411" s="75" t="n">
        <v>46284.67152777778</v>
      </c>
      <c r="C1411" s="7" t="inlineStr">
        <is>
          <t>Céline Morel (cheffe d'atelier)</t>
        </is>
      </c>
      <c r="D1411" s="7" t="inlineStr">
        <is>
          <t>EQ-TOL-003</t>
        </is>
      </c>
      <c r="E1411" s="9">
        <f>IF(D1411="","",IFERROR(INDEX('Équipements'!$B$5:$B$304,MATCH(D1411,'Équipements'!$A$5:$A$304,0)),"Code inconnu"))</f>
        <v/>
      </c>
      <c r="F1411" s="9">
        <f>IF(D1411="","",IFERROR(INDEX('Équipements'!$D$5:$D$304,MATCH(D1411,'Équipements'!$A$5:$A$304,0)),""))</f>
        <v/>
      </c>
      <c r="G1411" s="9">
        <f>IF(D1411="","",IFERROR(INDEX('Équipements'!$K$5:$K$304,MATCH(D1411,'Équipements'!$A$5:$A$304,0)),""))</f>
        <v/>
      </c>
      <c r="H1411" s="7" t="inlineStr">
        <is>
          <t>Correctif</t>
        </is>
      </c>
      <c r="I1411" s="7" t="n"/>
      <c r="J1411" s="7" t="inlineStr">
        <is>
          <t>Électrique</t>
        </is>
      </c>
      <c r="K1411" s="7" t="inlineStr">
        <is>
          <t>P1 - Urgent</t>
        </is>
      </c>
      <c r="L1411" s="7" t="inlineStr">
        <is>
          <t>Défaut barrage immatériel</t>
        </is>
      </c>
      <c r="M1411" s="7" t="inlineStr">
        <is>
          <t>Défaut capteur</t>
        </is>
      </c>
      <c r="N1411" s="7" t="inlineStr">
        <is>
          <t>Nettoyage / réalignement, remplacement émetteur</t>
        </is>
      </c>
      <c r="O1411" s="7" t="inlineStr">
        <is>
          <t>Antoine Mercier</t>
        </is>
      </c>
      <c r="P1411" s="65" t="n"/>
      <c r="Q1411" s="75" t="n">
        <v>46284.69583333333</v>
      </c>
      <c r="R1411" s="75" t="n">
        <v>46284.9875</v>
      </c>
      <c r="S1411" s="76" t="n">
        <v>7.6</v>
      </c>
      <c r="T1411" s="76" t="n">
        <v>7</v>
      </c>
      <c r="U1411" s="70">
        <f>IF($A1411="","",IFERROR(INDEX('Techniciens'!$F$5:$F$44,MATCH(O1411,'Techniciens'!$B$5:$B$44,0)),'Paramètres'!$AA$10))</f>
        <v/>
      </c>
      <c r="V1411" s="70">
        <f>IF($A1411="","",IF(OR(AC1411="Demandé",AC1411="Planifié",AC1411="Annulé"),0,N(T1411)*N(U1411)))</f>
        <v/>
      </c>
      <c r="W1411" s="70">
        <f>IF($A1411="","",SUMIFS('Mouvements stock'!$H$5:$H$3004,'Mouvements stock'!$I$5:$I$3004,$A1411,'Mouvements stock'!$C$5:$C$3004,"Sortie")-SUMIFS('Mouvements stock'!$H$5:$H$3004,'Mouvements stock'!$I$5:$I$3004,$A1411,'Mouvements stock'!$C$5:$C$3004,"Retour"))</f>
        <v/>
      </c>
      <c r="X1411" s="66" t="n">
        <v>0</v>
      </c>
      <c r="Y1411" s="66" t="n">
        <v>0</v>
      </c>
      <c r="Z1411" s="7" t="n"/>
      <c r="AA1411" s="70">
        <f>IF($A1411="","",N(V1411)+N(W1411)+N(X1411)+N(Y1411))</f>
        <v/>
      </c>
      <c r="AB1411" s="70">
        <f>IF($A1411="","",N(S1411)*'Paramètres'!$AA$9*IFERROR(INDEX('Paramètres'!$O$5:$O$7,MATCH(G1411,'Paramètres'!$N$5:$N$7,0)),0))</f>
        <v/>
      </c>
      <c r="AC1411" s="7" t="inlineStr">
        <is>
          <t>Clôturé</t>
        </is>
      </c>
      <c r="AD1411" s="69">
        <f>IF(OR($A1411="",Q1411=""),"",(Q1411-B1411)*24)</f>
        <v/>
      </c>
      <c r="AE1411" s="69">
        <f>IF(OR(Q1411="",R1411=""),"",(R1411-Q1411)*24)</f>
        <v/>
      </c>
      <c r="AF1411" s="77">
        <f>IF(OR($A1411="",B1411=""),"",YEAR(B1411))</f>
        <v/>
      </c>
      <c r="AG1411" s="77">
        <f>IF(OR($A1411="",B1411=""),"",MONTH(B1411))</f>
        <v/>
      </c>
    </row>
    <row r="1412">
      <c r="A1412" s="7" t="inlineStr">
        <is>
          <t>OT-2026-0557</t>
        </is>
      </c>
      <c r="B1412" s="75" t="n">
        <v>46286.21805555555</v>
      </c>
      <c r="C1412" s="7" t="inlineStr">
        <is>
          <t>Inès Girard (cheffe d'équipe)</t>
        </is>
      </c>
      <c r="D1412" s="7" t="inlineStr">
        <is>
          <t>EQ-PEI-004</t>
        </is>
      </c>
      <c r="E1412" s="9">
        <f>IF(D1412="","",IFERROR(INDEX('Équipements'!$B$5:$B$304,MATCH(D1412,'Équipements'!$A$5:$A$304,0)),"Code inconnu"))</f>
        <v/>
      </c>
      <c r="F1412" s="9">
        <f>IF(D1412="","",IFERROR(INDEX('Équipements'!$D$5:$D$304,MATCH(D1412,'Équipements'!$A$5:$A$304,0)),""))</f>
        <v/>
      </c>
      <c r="G1412" s="9">
        <f>IF(D1412="","",IFERROR(INDEX('Équipements'!$K$5:$K$304,MATCH(D1412,'Équipements'!$A$5:$A$304,0)),""))</f>
        <v/>
      </c>
      <c r="H1412" s="7" t="inlineStr">
        <is>
          <t>Correctif</t>
        </is>
      </c>
      <c r="I1412" s="7" t="n"/>
      <c r="J1412" s="7" t="inlineStr">
        <is>
          <t>Électrique</t>
        </is>
      </c>
      <c r="K1412" s="7" t="inlineStr">
        <is>
          <t>P1 - Urgent</t>
        </is>
      </c>
      <c r="L1412" s="7" t="inlineStr">
        <is>
          <t>Défaut variateur de vitesse</t>
        </is>
      </c>
      <c r="M1412" s="7" t="inlineStr">
        <is>
          <t>Cause inconnue</t>
        </is>
      </c>
      <c r="N1412" s="7" t="inlineStr">
        <is>
          <t>Remplacement variateur et paramétrage</t>
        </is>
      </c>
      <c r="O1412" s="7" t="inlineStr">
        <is>
          <t>Julien Moreau</t>
        </is>
      </c>
      <c r="P1412" s="65" t="n"/>
      <c r="Q1412" s="75" t="n">
        <v>46286.23611111111</v>
      </c>
      <c r="R1412" s="75" t="n">
        <v>46286.36111111111</v>
      </c>
      <c r="S1412" s="76" t="n">
        <v>3.4</v>
      </c>
      <c r="T1412" s="76" t="n">
        <v>3</v>
      </c>
      <c r="U1412" s="70">
        <f>IF($A1412="","",IFERROR(INDEX('Techniciens'!$F$5:$F$44,MATCH(O1412,'Techniciens'!$B$5:$B$44,0)),'Paramètres'!$AA$10))</f>
        <v/>
      </c>
      <c r="V1412" s="70">
        <f>IF($A1412="","",IF(OR(AC1412="Demandé",AC1412="Planifié",AC1412="Annulé"),0,N(T1412)*N(U1412)))</f>
        <v/>
      </c>
      <c r="W1412" s="70">
        <f>IF($A1412="","",SUMIFS('Mouvements stock'!$H$5:$H$3004,'Mouvements stock'!$I$5:$I$3004,$A1412,'Mouvements stock'!$C$5:$C$3004,"Sortie")-SUMIFS('Mouvements stock'!$H$5:$H$3004,'Mouvements stock'!$I$5:$I$3004,$A1412,'Mouvements stock'!$C$5:$C$3004,"Retour"))</f>
        <v/>
      </c>
      <c r="X1412" s="66" t="n">
        <v>0</v>
      </c>
      <c r="Y1412" s="66" t="n">
        <v>0</v>
      </c>
      <c r="Z1412" s="7" t="n"/>
      <c r="AA1412" s="70">
        <f>IF($A1412="","",N(V1412)+N(W1412)+N(X1412)+N(Y1412))</f>
        <v/>
      </c>
      <c r="AB1412" s="70">
        <f>IF($A1412="","",N(S1412)*'Paramètres'!$AA$9*IFERROR(INDEX('Paramètres'!$O$5:$O$7,MATCH(G1412,'Paramètres'!$N$5:$N$7,0)),0))</f>
        <v/>
      </c>
      <c r="AC1412" s="7" t="inlineStr">
        <is>
          <t>Clôturé</t>
        </is>
      </c>
      <c r="AD1412" s="69">
        <f>IF(OR($A1412="",Q1412=""),"",(Q1412-B1412)*24)</f>
        <v/>
      </c>
      <c r="AE1412" s="69">
        <f>IF(OR(Q1412="",R1412=""),"",(R1412-Q1412)*24)</f>
        <v/>
      </c>
      <c r="AF1412" s="77">
        <f>IF(OR($A1412="",B1412=""),"",YEAR(B1412))</f>
        <v/>
      </c>
      <c r="AG1412" s="77">
        <f>IF(OR($A1412="",B1412=""),"",MONTH(B1412))</f>
        <v/>
      </c>
    </row>
    <row r="1413">
      <c r="A1413" s="7" t="inlineStr">
        <is>
          <t>OT-2026-0558</t>
        </is>
      </c>
      <c r="B1413" s="75" t="n">
        <v>46286.40277777778</v>
      </c>
      <c r="C1413" s="7" t="inlineStr">
        <is>
          <t>Plan préventif</t>
        </is>
      </c>
      <c r="D1413" s="7" t="inlineStr">
        <is>
          <t>EQ-USI-010</t>
        </is>
      </c>
      <c r="E1413" s="9">
        <f>IF(D1413="","",IFERROR(INDEX('Équipements'!$B$5:$B$304,MATCH(D1413,'Équipements'!$A$5:$A$304,0)),"Code inconnu"))</f>
        <v/>
      </c>
      <c r="F1413" s="9">
        <f>IF(D1413="","",IFERROR(INDEX('Équipements'!$D$5:$D$304,MATCH(D1413,'Équipements'!$A$5:$A$304,0)),""))</f>
        <v/>
      </c>
      <c r="G1413" s="9">
        <f>IF(D1413="","",IFERROR(INDEX('Équipements'!$K$5:$K$304,MATCH(D1413,'Équipements'!$A$5:$A$304,0)),""))</f>
        <v/>
      </c>
      <c r="H1413" s="7" t="inlineStr">
        <is>
          <t>Préventif systématique</t>
        </is>
      </c>
      <c r="I1413" s="7" t="inlineStr">
        <is>
          <t>GP-032</t>
        </is>
      </c>
      <c r="J1413" s="7" t="inlineStr">
        <is>
          <t>Électrique</t>
        </is>
      </c>
      <c r="K1413" s="7" t="inlineStr">
        <is>
          <t>P3 - Normale</t>
        </is>
      </c>
      <c r="L1413" s="7" t="inlineStr">
        <is>
          <t>Étalonnage / vérification métrologique</t>
        </is>
      </c>
      <c r="M1413" s="7" t="n"/>
      <c r="N1413" s="7" t="inlineStr">
        <is>
          <t>Gamme réalisée - RAS</t>
        </is>
      </c>
      <c r="O1413" s="7" t="inlineStr">
        <is>
          <t>Julien Moreau</t>
        </is>
      </c>
      <c r="P1413" s="65" t="n">
        <v>46293.6875</v>
      </c>
      <c r="Q1413" s="75" t="n">
        <v>46293.57638888889</v>
      </c>
      <c r="R1413" s="75" t="n">
        <v>46293.70138888889</v>
      </c>
      <c r="S1413" s="76" t="n">
        <v>0</v>
      </c>
      <c r="T1413" s="76" t="n">
        <v>2</v>
      </c>
      <c r="U1413" s="70">
        <f>IF($A1413="","",IFERROR(INDEX('Techniciens'!$F$5:$F$44,MATCH(O1413,'Techniciens'!$B$5:$B$44,0)),'Paramètres'!$AA$10))</f>
        <v/>
      </c>
      <c r="V1413" s="70">
        <f>IF($A1413="","",IF(OR(AC1413="Demandé",AC1413="Planifié",AC1413="Annulé"),0,N(T1413)*N(U1413)))</f>
        <v/>
      </c>
      <c r="W1413" s="70">
        <f>IF($A1413="","",SUMIFS('Mouvements stock'!$H$5:$H$3004,'Mouvements stock'!$I$5:$I$3004,$A1413,'Mouvements stock'!$C$5:$C$3004,"Sortie")-SUMIFS('Mouvements stock'!$H$5:$H$3004,'Mouvements stock'!$I$5:$I$3004,$A1413,'Mouvements stock'!$C$5:$C$3004,"Retour"))</f>
        <v/>
      </c>
      <c r="X1413" s="66" t="n">
        <v>0</v>
      </c>
      <c r="Y1413" s="66" t="n">
        <v>610</v>
      </c>
      <c r="Z1413" s="7" t="inlineStr">
        <is>
          <t>Métrologie Contrôle Services</t>
        </is>
      </c>
      <c r="AA1413" s="70">
        <f>IF($A1413="","",N(V1413)+N(W1413)+N(X1413)+N(Y1413))</f>
        <v/>
      </c>
      <c r="AB1413" s="70">
        <f>IF($A1413="","",N(S1413)*'Paramètres'!$AA$9*IFERROR(INDEX('Paramètres'!$O$5:$O$7,MATCH(G1413,'Paramètres'!$N$5:$N$7,0)),0))</f>
        <v/>
      </c>
      <c r="AC1413" s="7" t="inlineStr">
        <is>
          <t>Clôturé</t>
        </is>
      </c>
      <c r="AD1413" s="69">
        <f>IF(OR($A1413="",Q1413=""),"",(Q1413-B1413)*24)</f>
        <v/>
      </c>
      <c r="AE1413" s="69">
        <f>IF(OR(Q1413="",R1413=""),"",(R1413-Q1413)*24)</f>
        <v/>
      </c>
      <c r="AF1413" s="77">
        <f>IF(OR($A1413="",B1413=""),"",YEAR(B1413))</f>
        <v/>
      </c>
      <c r="AG1413" s="77">
        <f>IF(OR($A1413="",B1413=""),"",MONTH(B1413))</f>
        <v/>
      </c>
    </row>
    <row r="1414">
      <c r="A1414" s="7" t="inlineStr">
        <is>
          <t>OT-2026-0559</t>
        </is>
      </c>
      <c r="B1414" s="75" t="n">
        <v>46286.47222222222</v>
      </c>
      <c r="C1414" s="7" t="inlineStr">
        <is>
          <t>Plan préventif</t>
        </is>
      </c>
      <c r="D1414" s="7" t="inlineStr">
        <is>
          <t>EQ-USI-002</t>
        </is>
      </c>
      <c r="E1414" s="9">
        <f>IF(D1414="","",IFERROR(INDEX('Équipements'!$B$5:$B$304,MATCH(D1414,'Équipements'!$A$5:$A$304,0)),"Code inconnu"))</f>
        <v/>
      </c>
      <c r="F1414" s="9">
        <f>IF(D1414="","",IFERROR(INDEX('Équipements'!$D$5:$D$304,MATCH(D1414,'Équipements'!$A$5:$A$304,0)),""))</f>
        <v/>
      </c>
      <c r="G1414" s="9">
        <f>IF(D1414="","",IFERROR(INDEX('Équipements'!$K$5:$K$304,MATCH(D1414,'Équipements'!$A$5:$A$304,0)),""))</f>
        <v/>
      </c>
      <c r="H1414" s="7" t="inlineStr">
        <is>
          <t>Préventif systématique</t>
        </is>
      </c>
      <c r="I1414" s="7" t="inlineStr">
        <is>
          <t>GP-005</t>
        </is>
      </c>
      <c r="J1414" s="7" t="inlineStr">
        <is>
          <t>Mécanique</t>
        </is>
      </c>
      <c r="K1414" s="7" t="inlineStr">
        <is>
          <t>P3 - Normale</t>
        </is>
      </c>
      <c r="L1414" s="7" t="inlineStr">
        <is>
          <t>Contrôle niveaux, nettoyage filtres et bac à copeaux</t>
        </is>
      </c>
      <c r="M1414" s="7" t="n"/>
      <c r="N1414" s="7" t="inlineStr">
        <is>
          <t>Gamme réalisée - RAS</t>
        </is>
      </c>
      <c r="O1414" s="7" t="inlineStr">
        <is>
          <t>Antoine Mercier</t>
        </is>
      </c>
      <c r="P1414" s="65" t="n">
        <v>46293.56944444445</v>
      </c>
      <c r="Q1414" s="75" t="n">
        <v>46293.53125</v>
      </c>
      <c r="R1414" s="75" t="n">
        <v>46293.60416666666</v>
      </c>
      <c r="S1414" s="76" t="n">
        <v>0.9</v>
      </c>
      <c r="T1414" s="76" t="n">
        <v>1.75</v>
      </c>
      <c r="U1414" s="70">
        <f>IF($A1414="","",IFERROR(INDEX('Techniciens'!$F$5:$F$44,MATCH(O1414,'Techniciens'!$B$5:$B$44,0)),'Paramètres'!$AA$10))</f>
        <v/>
      </c>
      <c r="V1414" s="70">
        <f>IF($A1414="","",IF(OR(AC1414="Demandé",AC1414="Planifié",AC1414="Annulé"),0,N(T1414)*N(U1414)))</f>
        <v/>
      </c>
      <c r="W1414" s="70">
        <f>IF($A1414="","",SUMIFS('Mouvements stock'!$H$5:$H$3004,'Mouvements stock'!$I$5:$I$3004,$A1414,'Mouvements stock'!$C$5:$C$3004,"Sortie")-SUMIFS('Mouvements stock'!$H$5:$H$3004,'Mouvements stock'!$I$5:$I$3004,$A1414,'Mouvements stock'!$C$5:$C$3004,"Retour"))</f>
        <v/>
      </c>
      <c r="X1414" s="66" t="n">
        <v>0</v>
      </c>
      <c r="Y1414" s="66" t="n">
        <v>0</v>
      </c>
      <c r="Z1414" s="7" t="n"/>
      <c r="AA1414" s="70">
        <f>IF($A1414="","",N(V1414)+N(W1414)+N(X1414)+N(Y1414))</f>
        <v/>
      </c>
      <c r="AB1414" s="70">
        <f>IF($A1414="","",N(S1414)*'Paramètres'!$AA$9*IFERROR(INDEX('Paramètres'!$O$5:$O$7,MATCH(G1414,'Paramètres'!$N$5:$N$7,0)),0))</f>
        <v/>
      </c>
      <c r="AC1414" s="7" t="inlineStr">
        <is>
          <t>Clôturé</t>
        </is>
      </c>
      <c r="AD1414" s="69">
        <f>IF(OR($A1414="",Q1414=""),"",(Q1414-B1414)*24)</f>
        <v/>
      </c>
      <c r="AE1414" s="69">
        <f>IF(OR(Q1414="",R1414=""),"",(R1414-Q1414)*24)</f>
        <v/>
      </c>
      <c r="AF1414" s="77">
        <f>IF(OR($A1414="",B1414=""),"",YEAR(B1414))</f>
        <v/>
      </c>
      <c r="AG1414" s="77">
        <f>IF(OR($A1414="",B1414=""),"",MONTH(B1414))</f>
        <v/>
      </c>
    </row>
    <row r="1415">
      <c r="A1415" s="7" t="inlineStr">
        <is>
          <t>OT-2026-0560</t>
        </is>
      </c>
      <c r="B1415" s="75" t="n">
        <v>46287.31527777778</v>
      </c>
      <c r="C1415" s="7" t="inlineStr">
        <is>
          <t>Cariste</t>
        </is>
      </c>
      <c r="D1415" s="7" t="inlineStr">
        <is>
          <t>EQ-LOG-002</t>
        </is>
      </c>
      <c r="E1415" s="9">
        <f>IF(D1415="","",IFERROR(INDEX('Équipements'!$B$5:$B$304,MATCH(D1415,'Équipements'!$A$5:$A$304,0)),"Code inconnu"))</f>
        <v/>
      </c>
      <c r="F1415" s="9">
        <f>IF(D1415="","",IFERROR(INDEX('Équipements'!$D$5:$D$304,MATCH(D1415,'Équipements'!$A$5:$A$304,0)),""))</f>
        <v/>
      </c>
      <c r="G1415" s="9">
        <f>IF(D1415="","",IFERROR(INDEX('Équipements'!$K$5:$K$304,MATCH(D1415,'Équipements'!$A$5:$A$304,0)),""))</f>
        <v/>
      </c>
      <c r="H1415" s="7" t="inlineStr">
        <is>
          <t>Correctif</t>
        </is>
      </c>
      <c r="I1415" s="7" t="n"/>
      <c r="J1415" s="7" t="inlineStr">
        <is>
          <t>Électrique</t>
        </is>
      </c>
      <c r="K1415" s="7" t="inlineStr">
        <is>
          <t>P2 - Haute</t>
        </is>
      </c>
      <c r="L1415" s="7" t="inlineStr">
        <is>
          <t>Défaut batterie / charge</t>
        </is>
      </c>
      <c r="M1415" s="7" t="inlineStr">
        <is>
          <t>Usure</t>
        </is>
      </c>
      <c r="N1415" s="7" t="inlineStr">
        <is>
          <t>Contrôle chargeur, remplacement batterie</t>
        </is>
      </c>
      <c r="O1415" s="7" t="inlineStr">
        <is>
          <t>Julien Moreau</t>
        </is>
      </c>
      <c r="P1415" s="65" t="n"/>
      <c r="Q1415" s="75" t="n">
        <v>46287.3875</v>
      </c>
      <c r="R1415" s="75" t="n">
        <v>46287.7625</v>
      </c>
      <c r="S1415" s="76" t="n">
        <v>3.2</v>
      </c>
      <c r="T1415" s="76" t="n">
        <v>9</v>
      </c>
      <c r="U1415" s="70">
        <f>IF($A1415="","",IFERROR(INDEX('Techniciens'!$F$5:$F$44,MATCH(O1415,'Techniciens'!$B$5:$B$44,0)),'Paramètres'!$AA$10))</f>
        <v/>
      </c>
      <c r="V1415" s="70">
        <f>IF($A1415="","",IF(OR(AC1415="Demandé",AC1415="Planifié",AC1415="Annulé"),0,N(T1415)*N(U1415)))</f>
        <v/>
      </c>
      <c r="W1415" s="70">
        <f>IF($A1415="","",SUMIFS('Mouvements stock'!$H$5:$H$3004,'Mouvements stock'!$I$5:$I$3004,$A1415,'Mouvements stock'!$C$5:$C$3004,"Sortie")-SUMIFS('Mouvements stock'!$H$5:$H$3004,'Mouvements stock'!$I$5:$I$3004,$A1415,'Mouvements stock'!$C$5:$C$3004,"Retour"))</f>
        <v/>
      </c>
      <c r="X1415" s="66" t="n">
        <v>474</v>
      </c>
      <c r="Y1415" s="66" t="n">
        <v>0</v>
      </c>
      <c r="Z1415" s="7" t="n"/>
      <c r="AA1415" s="70">
        <f>IF($A1415="","",N(V1415)+N(W1415)+N(X1415)+N(Y1415))</f>
        <v/>
      </c>
      <c r="AB1415" s="70">
        <f>IF($A1415="","",N(S1415)*'Paramètres'!$AA$9*IFERROR(INDEX('Paramètres'!$O$5:$O$7,MATCH(G1415,'Paramètres'!$N$5:$N$7,0)),0))</f>
        <v/>
      </c>
      <c r="AC1415" s="7" t="inlineStr">
        <is>
          <t>Clôturé</t>
        </is>
      </c>
      <c r="AD1415" s="69">
        <f>IF(OR($A1415="",Q1415=""),"",(Q1415-B1415)*24)</f>
        <v/>
      </c>
      <c r="AE1415" s="69">
        <f>IF(OR(Q1415="",R1415=""),"",(R1415-Q1415)*24)</f>
        <v/>
      </c>
      <c r="AF1415" s="77">
        <f>IF(OR($A1415="",B1415=""),"",YEAR(B1415))</f>
        <v/>
      </c>
      <c r="AG1415" s="77">
        <f>IF(OR($A1415="",B1415=""),"",MONTH(B1415))</f>
        <v/>
      </c>
    </row>
    <row r="1416">
      <c r="A1416" s="7" t="inlineStr">
        <is>
          <t>OT-2026-0561</t>
        </is>
      </c>
      <c r="B1416" s="75" t="n">
        <v>46287.36111111111</v>
      </c>
      <c r="C1416" s="7" t="inlineStr">
        <is>
          <t>Plan préventif</t>
        </is>
      </c>
      <c r="D1416" s="7" t="inlineStr">
        <is>
          <t>EQ-BAT-006</t>
        </is>
      </c>
      <c r="E1416" s="9">
        <f>IF(D1416="","",IFERROR(INDEX('Équipements'!$B$5:$B$304,MATCH(D1416,'Équipements'!$A$5:$A$304,0)),"Code inconnu"))</f>
        <v/>
      </c>
      <c r="F1416" s="9">
        <f>IF(D1416="","",IFERROR(INDEX('Équipements'!$D$5:$D$304,MATCH(D1416,'Équipements'!$A$5:$A$304,0)),""))</f>
        <v/>
      </c>
      <c r="G1416" s="9">
        <f>IF(D1416="","",IFERROR(INDEX('Équipements'!$K$5:$K$304,MATCH(D1416,'Équipements'!$A$5:$A$304,0)),""))</f>
        <v/>
      </c>
      <c r="H1416" s="7" t="inlineStr">
        <is>
          <t>Préventif systématique</t>
        </is>
      </c>
      <c r="I1416" s="7" t="inlineStr">
        <is>
          <t>GP-126</t>
        </is>
      </c>
      <c r="J1416" s="7" t="inlineStr">
        <is>
          <t>Électrique</t>
        </is>
      </c>
      <c r="K1416" s="7" t="inlineStr">
        <is>
          <t>P3 - Normale</t>
        </is>
      </c>
      <c r="L1416" s="7" t="inlineStr">
        <is>
          <t>Inspection, nettoyage et resserrage des connexions</t>
        </is>
      </c>
      <c r="M1416" s="7" t="n"/>
      <c r="N1416" s="7" t="inlineStr">
        <is>
          <t>Gamme réalisée - RAS</t>
        </is>
      </c>
      <c r="O1416" s="7" t="inlineStr">
        <is>
          <t>Antoine Mercier</t>
        </is>
      </c>
      <c r="P1416" s="65" t="n">
        <v>46294.33333333334</v>
      </c>
      <c r="Q1416" s="75" t="n">
        <v>46294.36805555555</v>
      </c>
      <c r="R1416" s="75" t="n">
        <v>46294.65972222222</v>
      </c>
      <c r="S1416" s="76" t="n">
        <v>0</v>
      </c>
      <c r="T1416" s="76" t="n">
        <v>7</v>
      </c>
      <c r="U1416" s="70">
        <f>IF($A1416="","",IFERROR(INDEX('Techniciens'!$F$5:$F$44,MATCH(O1416,'Techniciens'!$B$5:$B$44,0)),'Paramètres'!$AA$10))</f>
        <v/>
      </c>
      <c r="V1416" s="70">
        <f>IF($A1416="","",IF(OR(AC1416="Demandé",AC1416="Planifié",AC1416="Annulé"),0,N(T1416)*N(U1416)))</f>
        <v/>
      </c>
      <c r="W1416" s="70">
        <f>IF($A1416="","",SUMIFS('Mouvements stock'!$H$5:$H$3004,'Mouvements stock'!$I$5:$I$3004,$A1416,'Mouvements stock'!$C$5:$C$3004,"Sortie")-SUMIFS('Mouvements stock'!$H$5:$H$3004,'Mouvements stock'!$I$5:$I$3004,$A1416,'Mouvements stock'!$C$5:$C$3004,"Retour"))</f>
        <v/>
      </c>
      <c r="X1416" s="66" t="n">
        <v>0</v>
      </c>
      <c r="Y1416" s="66" t="n">
        <v>0</v>
      </c>
      <c r="Z1416" s="7" t="n"/>
      <c r="AA1416" s="70">
        <f>IF($A1416="","",N(V1416)+N(W1416)+N(X1416)+N(Y1416))</f>
        <v/>
      </c>
      <c r="AB1416" s="70">
        <f>IF($A1416="","",N(S1416)*'Paramètres'!$AA$9*IFERROR(INDEX('Paramètres'!$O$5:$O$7,MATCH(G1416,'Paramètres'!$N$5:$N$7,0)),0))</f>
        <v/>
      </c>
      <c r="AC1416" s="7" t="inlineStr">
        <is>
          <t>Clôturé</t>
        </is>
      </c>
      <c r="AD1416" s="69">
        <f>IF(OR($A1416="",Q1416=""),"",(Q1416-B1416)*24)</f>
        <v/>
      </c>
      <c r="AE1416" s="69">
        <f>IF(OR(Q1416="",R1416=""),"",(R1416-Q1416)*24)</f>
        <v/>
      </c>
      <c r="AF1416" s="77">
        <f>IF(OR($A1416="",B1416=""),"",YEAR(B1416))</f>
        <v/>
      </c>
      <c r="AG1416" s="77">
        <f>IF(OR($A1416="",B1416=""),"",MONTH(B1416))</f>
        <v/>
      </c>
    </row>
    <row r="1417">
      <c r="A1417" s="7" t="inlineStr">
        <is>
          <t>OT-2026-0562</t>
        </is>
      </c>
      <c r="B1417" s="75" t="n">
        <v>46287.47916666666</v>
      </c>
      <c r="C1417" s="7" t="inlineStr">
        <is>
          <t>Plan préventif</t>
        </is>
      </c>
      <c r="D1417" s="7" t="inlineStr">
        <is>
          <t>EQ-ASS-006</t>
        </is>
      </c>
      <c r="E1417" s="9">
        <f>IF(D1417="","",IFERROR(INDEX('Équipements'!$B$5:$B$304,MATCH(D1417,'Équipements'!$A$5:$A$304,0)),"Code inconnu"))</f>
        <v/>
      </c>
      <c r="F1417" s="9">
        <f>IF(D1417="","",IFERROR(INDEX('Équipements'!$D$5:$D$304,MATCH(D1417,'Équipements'!$A$5:$A$304,0)),""))</f>
        <v/>
      </c>
      <c r="G1417" s="9">
        <f>IF(D1417="","",IFERROR(INDEX('Équipements'!$K$5:$K$304,MATCH(D1417,'Équipements'!$A$5:$A$304,0)),""))</f>
        <v/>
      </c>
      <c r="H1417" s="7" t="inlineStr">
        <is>
          <t>Préventif systématique</t>
        </is>
      </c>
      <c r="I1417" s="7" t="inlineStr">
        <is>
          <t>GP-085</t>
        </is>
      </c>
      <c r="J1417" s="7" t="inlineStr">
        <is>
          <t>Mécanique</t>
        </is>
      </c>
      <c r="K1417" s="7" t="inlineStr">
        <is>
          <t>P3 - Normale</t>
        </is>
      </c>
      <c r="L1417" s="7" t="inlineStr">
        <is>
          <t>Graissage chaîne / galets et contrôle tension</t>
        </is>
      </c>
      <c r="M1417" s="7" t="n"/>
      <c r="N1417" s="7" t="inlineStr">
        <is>
          <t>Gamme réalisée - RAS</t>
        </is>
      </c>
      <c r="O1417" s="7" t="inlineStr">
        <is>
          <t>Lucas Fontaine</t>
        </is>
      </c>
      <c r="P1417" s="65" t="n">
        <v>46294.54166666666</v>
      </c>
      <c r="Q1417" s="75" t="n">
        <v>46294.53472222222</v>
      </c>
      <c r="R1417" s="75" t="n">
        <v>46294.61805555555</v>
      </c>
      <c r="S1417" s="76" t="n">
        <v>0</v>
      </c>
      <c r="T1417" s="76" t="n">
        <v>2</v>
      </c>
      <c r="U1417" s="70">
        <f>IF($A1417="","",IFERROR(INDEX('Techniciens'!$F$5:$F$44,MATCH(O1417,'Techniciens'!$B$5:$B$44,0)),'Paramètres'!$AA$10))</f>
        <v/>
      </c>
      <c r="V1417" s="70">
        <f>IF($A1417="","",IF(OR(AC1417="Demandé",AC1417="Planifié",AC1417="Annulé"),0,N(T1417)*N(U1417)))</f>
        <v/>
      </c>
      <c r="W1417" s="70">
        <f>IF($A1417="","",SUMIFS('Mouvements stock'!$H$5:$H$3004,'Mouvements stock'!$I$5:$I$3004,$A1417,'Mouvements stock'!$C$5:$C$3004,"Sortie")-SUMIFS('Mouvements stock'!$H$5:$H$3004,'Mouvements stock'!$I$5:$I$3004,$A1417,'Mouvements stock'!$C$5:$C$3004,"Retour"))</f>
        <v/>
      </c>
      <c r="X1417" s="66" t="n">
        <v>0</v>
      </c>
      <c r="Y1417" s="66" t="n">
        <v>0</v>
      </c>
      <c r="Z1417" s="7" t="n"/>
      <c r="AA1417" s="70">
        <f>IF($A1417="","",N(V1417)+N(W1417)+N(X1417)+N(Y1417))</f>
        <v/>
      </c>
      <c r="AB1417" s="70">
        <f>IF($A1417="","",N(S1417)*'Paramètres'!$AA$9*IFERROR(INDEX('Paramètres'!$O$5:$O$7,MATCH(G1417,'Paramètres'!$N$5:$N$7,0)),0))</f>
        <v/>
      </c>
      <c r="AC1417" s="7" t="inlineStr">
        <is>
          <t>Clôturé</t>
        </is>
      </c>
      <c r="AD1417" s="69">
        <f>IF(OR($A1417="",Q1417=""),"",(Q1417-B1417)*24)</f>
        <v/>
      </c>
      <c r="AE1417" s="69">
        <f>IF(OR(Q1417="",R1417=""),"",(R1417-Q1417)*24)</f>
        <v/>
      </c>
      <c r="AF1417" s="77">
        <f>IF(OR($A1417="",B1417=""),"",YEAR(B1417))</f>
        <v/>
      </c>
      <c r="AG1417" s="77">
        <f>IF(OR($A1417="",B1417=""),"",MONTH(B1417))</f>
        <v/>
      </c>
    </row>
    <row r="1418">
      <c r="A1418" s="7" t="inlineStr">
        <is>
          <t>OT-2026-0563</t>
        </is>
      </c>
      <c r="B1418" s="75" t="n">
        <v>46288.43055555555</v>
      </c>
      <c r="C1418" s="7" t="inlineStr">
        <is>
          <t>Plan préventif</t>
        </is>
      </c>
      <c r="D1418" s="7" t="inlineStr">
        <is>
          <t>EQ-SOU-001</t>
        </is>
      </c>
      <c r="E1418" s="9">
        <f>IF(D1418="","",IFERROR(INDEX('Équipements'!$B$5:$B$304,MATCH(D1418,'Équipements'!$A$5:$A$304,0)),"Code inconnu"))</f>
        <v/>
      </c>
      <c r="F1418" s="9">
        <f>IF(D1418="","",IFERROR(INDEX('Équipements'!$D$5:$D$304,MATCH(D1418,'Équipements'!$A$5:$A$304,0)),""))</f>
        <v/>
      </c>
      <c r="G1418" s="9">
        <f>IF(D1418="","",IFERROR(INDEX('Équipements'!$K$5:$K$304,MATCH(D1418,'Équipements'!$A$5:$A$304,0)),""))</f>
        <v/>
      </c>
      <c r="H1418" s="7" t="inlineStr">
        <is>
          <t>Préventif systématique</t>
        </is>
      </c>
      <c r="I1418" s="7" t="inlineStr">
        <is>
          <t>GP-058</t>
        </is>
      </c>
      <c r="J1418" s="7" t="inlineStr">
        <is>
          <t>Mécanique</t>
        </is>
      </c>
      <c r="K1418" s="7" t="inlineStr">
        <is>
          <t>P3 - Normale</t>
        </is>
      </c>
      <c r="L1418" s="7" t="inlineStr">
        <is>
          <t>Nettoyage torche et contrôle faisceau</t>
        </is>
      </c>
      <c r="M1418" s="7" t="n"/>
      <c r="N1418" s="7" t="n"/>
      <c r="O1418" s="7" t="inlineStr">
        <is>
          <t>Lucas Fontaine</t>
        </is>
      </c>
      <c r="P1418" s="65" t="n">
        <v>46297.33333333334</v>
      </c>
      <c r="Q1418" s="75" t="n"/>
      <c r="R1418" s="75" t="n"/>
      <c r="S1418" s="76" t="n">
        <v>0</v>
      </c>
      <c r="T1418" s="76" t="n">
        <v>0.5</v>
      </c>
      <c r="U1418" s="70">
        <f>IF($A1418="","",IFERROR(INDEX('Techniciens'!$F$5:$F$44,MATCH(O1418,'Techniciens'!$B$5:$B$44,0)),'Paramètres'!$AA$10))</f>
        <v/>
      </c>
      <c r="V1418" s="70">
        <f>IF($A1418="","",IF(OR(AC1418="Demandé",AC1418="Planifié",AC1418="Annulé"),0,N(T1418)*N(U1418)))</f>
        <v/>
      </c>
      <c r="W1418" s="70">
        <f>IF($A1418="","",SUMIFS('Mouvements stock'!$H$5:$H$3004,'Mouvements stock'!$I$5:$I$3004,$A1418,'Mouvements stock'!$C$5:$C$3004,"Sortie")-SUMIFS('Mouvements stock'!$H$5:$H$3004,'Mouvements stock'!$I$5:$I$3004,$A1418,'Mouvements stock'!$C$5:$C$3004,"Retour"))</f>
        <v/>
      </c>
      <c r="X1418" s="66" t="n">
        <v>0</v>
      </c>
      <c r="Y1418" s="66" t="n">
        <v>0</v>
      </c>
      <c r="Z1418" s="7" t="n"/>
      <c r="AA1418" s="70">
        <f>IF($A1418="","",N(V1418)+N(W1418)+N(X1418)+N(Y1418))</f>
        <v/>
      </c>
      <c r="AB1418" s="70">
        <f>IF($A1418="","",N(S1418)*'Paramètres'!$AA$9*IFERROR(INDEX('Paramètres'!$O$5:$O$7,MATCH(G1418,'Paramètres'!$N$5:$N$7,0)),0))</f>
        <v/>
      </c>
      <c r="AC1418" s="7" t="inlineStr">
        <is>
          <t>Planifié</t>
        </is>
      </c>
      <c r="AD1418" s="69">
        <f>IF(OR($A1418="",Q1418=""),"",(Q1418-B1418)*24)</f>
        <v/>
      </c>
      <c r="AE1418" s="69">
        <f>IF(OR(Q1418="",R1418=""),"",(R1418-Q1418)*24)</f>
        <v/>
      </c>
      <c r="AF1418" s="77">
        <f>IF(OR($A1418="",B1418=""),"",YEAR(B1418))</f>
        <v/>
      </c>
      <c r="AG1418" s="77">
        <f>IF(OR($A1418="",B1418=""),"",MONTH(B1418))</f>
        <v/>
      </c>
    </row>
    <row r="1419">
      <c r="A1419" s="7" t="inlineStr">
        <is>
          <t>OT-2026-0564</t>
        </is>
      </c>
      <c r="B1419" s="75" t="n">
        <v>46288.4375</v>
      </c>
      <c r="C1419" s="7" t="inlineStr">
        <is>
          <t>Plan préventif</t>
        </is>
      </c>
      <c r="D1419" s="7" t="inlineStr">
        <is>
          <t>EQ-ASS-004</t>
        </is>
      </c>
      <c r="E1419" s="9">
        <f>IF(D1419="","",IFERROR(INDEX('Équipements'!$B$5:$B$304,MATCH(D1419,'Équipements'!$A$5:$A$304,0)),"Code inconnu"))</f>
        <v/>
      </c>
      <c r="F1419" s="9">
        <f>IF(D1419="","",IFERROR(INDEX('Équipements'!$D$5:$D$304,MATCH(D1419,'Équipements'!$A$5:$A$304,0)),""))</f>
        <v/>
      </c>
      <c r="G1419" s="9">
        <f>IF(D1419="","",IFERROR(INDEX('Équipements'!$K$5:$K$304,MATCH(D1419,'Équipements'!$A$5:$A$304,0)),""))</f>
        <v/>
      </c>
      <c r="H1419" s="7" t="inlineStr">
        <is>
          <t>Préventif systématique</t>
        </is>
      </c>
      <c r="I1419" s="7" t="inlineStr">
        <is>
          <t>GP-082</t>
        </is>
      </c>
      <c r="J1419" s="7" t="inlineStr">
        <is>
          <t>Électrique</t>
        </is>
      </c>
      <c r="K1419" s="7" t="inlineStr">
        <is>
          <t>P3 - Normale</t>
        </is>
      </c>
      <c r="L1419" s="7" t="inlineStr">
        <is>
          <t>Étalonnage / vérification métrologique</t>
        </is>
      </c>
      <c r="M1419" s="7" t="n"/>
      <c r="N1419" s="7" t="inlineStr">
        <is>
          <t>Gamme réalisée - RAS</t>
        </is>
      </c>
      <c r="O1419" s="7" t="inlineStr">
        <is>
          <t>Antoine Mercier</t>
        </is>
      </c>
      <c r="P1419" s="65" t="n">
        <v>46295.6875</v>
      </c>
      <c r="Q1419" s="75" t="n">
        <v>46295.57638888889</v>
      </c>
      <c r="R1419" s="75" t="n">
        <v>46295.70138888889</v>
      </c>
      <c r="S1419" s="76" t="n">
        <v>0</v>
      </c>
      <c r="T1419" s="76" t="n">
        <v>2</v>
      </c>
      <c r="U1419" s="70">
        <f>IF($A1419="","",IFERROR(INDEX('Techniciens'!$F$5:$F$44,MATCH(O1419,'Techniciens'!$B$5:$B$44,0)),'Paramètres'!$AA$10))</f>
        <v/>
      </c>
      <c r="V1419" s="70">
        <f>IF($A1419="","",IF(OR(AC1419="Demandé",AC1419="Planifié",AC1419="Annulé"),0,N(T1419)*N(U1419)))</f>
        <v/>
      </c>
      <c r="W1419" s="70">
        <f>IF($A1419="","",SUMIFS('Mouvements stock'!$H$5:$H$3004,'Mouvements stock'!$I$5:$I$3004,$A1419,'Mouvements stock'!$C$5:$C$3004,"Sortie")-SUMIFS('Mouvements stock'!$H$5:$H$3004,'Mouvements stock'!$I$5:$I$3004,$A1419,'Mouvements stock'!$C$5:$C$3004,"Retour"))</f>
        <v/>
      </c>
      <c r="X1419" s="66" t="n">
        <v>0</v>
      </c>
      <c r="Y1419" s="66" t="n">
        <v>640</v>
      </c>
      <c r="Z1419" s="7" t="inlineStr">
        <is>
          <t>Métrologie Contrôle Services</t>
        </is>
      </c>
      <c r="AA1419" s="70">
        <f>IF($A1419="","",N(V1419)+N(W1419)+N(X1419)+N(Y1419))</f>
        <v/>
      </c>
      <c r="AB1419" s="70">
        <f>IF($A1419="","",N(S1419)*'Paramètres'!$AA$9*IFERROR(INDEX('Paramètres'!$O$5:$O$7,MATCH(G1419,'Paramètres'!$N$5:$N$7,0)),0))</f>
        <v/>
      </c>
      <c r="AC1419" s="7" t="inlineStr">
        <is>
          <t>Clôturé</t>
        </is>
      </c>
      <c r="AD1419" s="69">
        <f>IF(OR($A1419="",Q1419=""),"",(Q1419-B1419)*24)</f>
        <v/>
      </c>
      <c r="AE1419" s="69">
        <f>IF(OR(Q1419="",R1419=""),"",(R1419-Q1419)*24)</f>
        <v/>
      </c>
      <c r="AF1419" s="77">
        <f>IF(OR($A1419="",B1419=""),"",YEAR(B1419))</f>
        <v/>
      </c>
      <c r="AG1419" s="77">
        <f>IF(OR($A1419="",B1419=""),"",MONTH(B1419))</f>
        <v/>
      </c>
    </row>
    <row r="1420">
      <c r="A1420" s="7" t="inlineStr">
        <is>
          <t>OT-2026-0565</t>
        </is>
      </c>
      <c r="B1420" s="75" t="n">
        <v>46288.45555555556</v>
      </c>
      <c r="C1420" s="7" t="inlineStr">
        <is>
          <t>Opérateur usinage</t>
        </is>
      </c>
      <c r="D1420" s="7" t="inlineStr">
        <is>
          <t>EQ-USI-005</t>
        </is>
      </c>
      <c r="E1420" s="9">
        <f>IF(D1420="","",IFERROR(INDEX('Équipements'!$B$5:$B$304,MATCH(D1420,'Équipements'!$A$5:$A$304,0)),"Code inconnu"))</f>
        <v/>
      </c>
      <c r="F1420" s="9">
        <f>IF(D1420="","",IFERROR(INDEX('Équipements'!$D$5:$D$304,MATCH(D1420,'Équipements'!$A$5:$A$304,0)),""))</f>
        <v/>
      </c>
      <c r="G1420" s="9">
        <f>IF(D1420="","",IFERROR(INDEX('Équipements'!$K$5:$K$304,MATCH(D1420,'Équipements'!$A$5:$A$304,0)),""))</f>
        <v/>
      </c>
      <c r="H1420" s="7" t="inlineStr">
        <is>
          <t>Correctif</t>
        </is>
      </c>
      <c r="I1420" s="7" t="n"/>
      <c r="J1420" s="7" t="inlineStr">
        <is>
          <t>Électrique</t>
        </is>
      </c>
      <c r="K1420" s="7" t="inlineStr">
        <is>
          <t>P1 - Urgent</t>
        </is>
      </c>
      <c r="L1420" s="7" t="inlineStr">
        <is>
          <t>Alarme codeur axe X</t>
        </is>
      </c>
      <c r="M1420" s="7" t="inlineStr">
        <is>
          <t>Défaut capteur</t>
        </is>
      </c>
      <c r="N1420" s="7" t="inlineStr">
        <is>
          <t>Contrôle câblage, remplacement codeur</t>
        </is>
      </c>
      <c r="O1420" s="7" t="inlineStr">
        <is>
          <t>Antoine Mercier</t>
        </is>
      </c>
      <c r="P1420" s="65" t="n"/>
      <c r="Q1420" s="75" t="n">
        <v>46288.48958333334</v>
      </c>
      <c r="R1420" s="75" t="n">
        <v>46288.75</v>
      </c>
      <c r="S1420" s="76" t="n">
        <v>7.1</v>
      </c>
      <c r="T1420" s="76" t="n">
        <v>6.25</v>
      </c>
      <c r="U1420" s="70">
        <f>IF($A1420="","",IFERROR(INDEX('Techniciens'!$F$5:$F$44,MATCH(O1420,'Techniciens'!$B$5:$B$44,0)),'Paramètres'!$AA$10))</f>
        <v/>
      </c>
      <c r="V1420" s="70">
        <f>IF($A1420="","",IF(OR(AC1420="Demandé",AC1420="Planifié",AC1420="Annulé"),0,N(T1420)*N(U1420)))</f>
        <v/>
      </c>
      <c r="W1420" s="70">
        <f>IF($A1420="","",SUMIFS('Mouvements stock'!$H$5:$H$3004,'Mouvements stock'!$I$5:$I$3004,$A1420,'Mouvements stock'!$C$5:$C$3004,"Sortie")-SUMIFS('Mouvements stock'!$H$5:$H$3004,'Mouvements stock'!$I$5:$I$3004,$A1420,'Mouvements stock'!$C$5:$C$3004,"Retour"))</f>
        <v/>
      </c>
      <c r="X1420" s="66" t="n">
        <v>0</v>
      </c>
      <c r="Y1420" s="66" t="n">
        <v>0</v>
      </c>
      <c r="Z1420" s="7" t="n"/>
      <c r="AA1420" s="70">
        <f>IF($A1420="","",N(V1420)+N(W1420)+N(X1420)+N(Y1420))</f>
        <v/>
      </c>
      <c r="AB1420" s="70">
        <f>IF($A1420="","",N(S1420)*'Paramètres'!$AA$9*IFERROR(INDEX('Paramètres'!$O$5:$O$7,MATCH(G1420,'Paramètres'!$N$5:$N$7,0)),0))</f>
        <v/>
      </c>
      <c r="AC1420" s="7" t="inlineStr">
        <is>
          <t>Clôturé</t>
        </is>
      </c>
      <c r="AD1420" s="69">
        <f>IF(OR($A1420="",Q1420=""),"",(Q1420-B1420)*24)</f>
        <v/>
      </c>
      <c r="AE1420" s="69">
        <f>IF(OR(Q1420="",R1420=""),"",(R1420-Q1420)*24)</f>
        <v/>
      </c>
      <c r="AF1420" s="77">
        <f>IF(OR($A1420="",B1420=""),"",YEAR(B1420))</f>
        <v/>
      </c>
      <c r="AG1420" s="77">
        <f>IF(OR($A1420="",B1420=""),"",MONTH(B1420))</f>
        <v/>
      </c>
    </row>
    <row r="1421">
      <c r="A1421" s="7" t="inlineStr">
        <is>
          <t>OT-2026-0566</t>
        </is>
      </c>
      <c r="B1421" s="75" t="n">
        <v>46289.36458333334</v>
      </c>
      <c r="C1421" s="7" t="inlineStr">
        <is>
          <t>Plan préventif</t>
        </is>
      </c>
      <c r="D1421" s="7" t="inlineStr">
        <is>
          <t>EQ-PEI-002</t>
        </is>
      </c>
      <c r="E1421" s="9">
        <f>IF(D1421="","",IFERROR(INDEX('Équipements'!$B$5:$B$304,MATCH(D1421,'Équipements'!$A$5:$A$304,0)),"Code inconnu"))</f>
        <v/>
      </c>
      <c r="F1421" s="9">
        <f>IF(D1421="","",IFERROR(INDEX('Équipements'!$D$5:$D$304,MATCH(D1421,'Équipements'!$A$5:$A$304,0)),""))</f>
        <v/>
      </c>
      <c r="G1421" s="9">
        <f>IF(D1421="","",IFERROR(INDEX('Équipements'!$K$5:$K$304,MATCH(D1421,'Équipements'!$A$5:$A$304,0)),""))</f>
        <v/>
      </c>
      <c r="H1421" s="7" t="inlineStr">
        <is>
          <t>Préventif systématique</t>
        </is>
      </c>
      <c r="I1421" s="7" t="inlineStr">
        <is>
          <t>GP-068</t>
        </is>
      </c>
      <c r="J1421" s="7" t="inlineStr">
        <is>
          <t>Mécanique</t>
        </is>
      </c>
      <c r="K1421" s="7" t="inlineStr">
        <is>
          <t>P3 - Normale</t>
        </is>
      </c>
      <c r="L1421" s="7" t="inlineStr">
        <is>
          <t>Nettoyage et remplacement des filtres</t>
        </is>
      </c>
      <c r="M1421" s="7" t="n"/>
      <c r="N1421" s="7" t="n"/>
      <c r="O1421" s="7" t="inlineStr">
        <is>
          <t>Karim Benali</t>
        </is>
      </c>
      <c r="P1421" s="65" t="n">
        <v>46297.33333333334</v>
      </c>
      <c r="Q1421" s="75" t="n"/>
      <c r="R1421" s="75" t="n"/>
      <c r="S1421" s="76" t="n">
        <v>0</v>
      </c>
      <c r="T1421" s="76" t="n">
        <v>2</v>
      </c>
      <c r="U1421" s="70">
        <f>IF($A1421="","",IFERROR(INDEX('Techniciens'!$F$5:$F$44,MATCH(O1421,'Techniciens'!$B$5:$B$44,0)),'Paramètres'!$AA$10))</f>
        <v/>
      </c>
      <c r="V1421" s="70">
        <f>IF($A1421="","",IF(OR(AC1421="Demandé",AC1421="Planifié",AC1421="Annulé"),0,N(T1421)*N(U1421)))</f>
        <v/>
      </c>
      <c r="W1421" s="70">
        <f>IF($A1421="","",SUMIFS('Mouvements stock'!$H$5:$H$3004,'Mouvements stock'!$I$5:$I$3004,$A1421,'Mouvements stock'!$C$5:$C$3004,"Sortie")-SUMIFS('Mouvements stock'!$H$5:$H$3004,'Mouvements stock'!$I$5:$I$3004,$A1421,'Mouvements stock'!$C$5:$C$3004,"Retour"))</f>
        <v/>
      </c>
      <c r="X1421" s="66" t="n">
        <v>0</v>
      </c>
      <c r="Y1421" s="66" t="n">
        <v>0</v>
      </c>
      <c r="Z1421" s="7" t="n"/>
      <c r="AA1421" s="70">
        <f>IF($A1421="","",N(V1421)+N(W1421)+N(X1421)+N(Y1421))</f>
        <v/>
      </c>
      <c r="AB1421" s="70">
        <f>IF($A1421="","",N(S1421)*'Paramètres'!$AA$9*IFERROR(INDEX('Paramètres'!$O$5:$O$7,MATCH(G1421,'Paramètres'!$N$5:$N$7,0)),0))</f>
        <v/>
      </c>
      <c r="AC1421" s="7" t="inlineStr">
        <is>
          <t>Planifié</t>
        </is>
      </c>
      <c r="AD1421" s="69">
        <f>IF(OR($A1421="",Q1421=""),"",(Q1421-B1421)*24)</f>
        <v/>
      </c>
      <c r="AE1421" s="69">
        <f>IF(OR(Q1421="",R1421=""),"",(R1421-Q1421)*24)</f>
        <v/>
      </c>
      <c r="AF1421" s="77">
        <f>IF(OR($A1421="",B1421=""),"",YEAR(B1421))</f>
        <v/>
      </c>
      <c r="AG1421" s="77">
        <f>IF(OR($A1421="",B1421=""),"",MONTH(B1421))</f>
        <v/>
      </c>
    </row>
    <row r="1422">
      <c r="A1422" s="7" t="inlineStr">
        <is>
          <t>OT-2026-0567</t>
        </is>
      </c>
      <c r="B1422" s="75" t="n">
        <v>46289.38888888889</v>
      </c>
      <c r="C1422" s="7" t="inlineStr">
        <is>
          <t>Plan préventif</t>
        </is>
      </c>
      <c r="D1422" s="7" t="inlineStr">
        <is>
          <t>EQ-TOL-003</t>
        </is>
      </c>
      <c r="E1422" s="9">
        <f>IF(D1422="","",IFERROR(INDEX('Équipements'!$B$5:$B$304,MATCH(D1422,'Équipements'!$A$5:$A$304,0)),"Code inconnu"))</f>
        <v/>
      </c>
      <c r="F1422" s="9">
        <f>IF(D1422="","",IFERROR(INDEX('Équipements'!$D$5:$D$304,MATCH(D1422,'Équipements'!$A$5:$A$304,0)),""))</f>
        <v/>
      </c>
      <c r="G1422" s="9">
        <f>IF(D1422="","",IFERROR(INDEX('Équipements'!$K$5:$K$304,MATCH(D1422,'Équipements'!$A$5:$A$304,0)),""))</f>
        <v/>
      </c>
      <c r="H1422" s="7" t="inlineStr">
        <is>
          <t>Préventif systématique</t>
        </is>
      </c>
      <c r="I1422" s="7" t="inlineStr">
        <is>
          <t>GP-044</t>
        </is>
      </c>
      <c r="J1422" s="7" t="inlineStr">
        <is>
          <t>Hydraulique</t>
        </is>
      </c>
      <c r="K1422" s="7" t="inlineStr">
        <is>
          <t>P3 - Normale</t>
        </is>
      </c>
      <c r="L1422" s="7" t="inlineStr">
        <is>
          <t>Contrôle hydraulique : fuites, niveaux, pressions</t>
        </is>
      </c>
      <c r="M1422" s="7" t="n"/>
      <c r="N1422" s="7" t="n"/>
      <c r="O1422" s="7" t="inlineStr">
        <is>
          <t>Karim Benali</t>
        </is>
      </c>
      <c r="P1422" s="65" t="n">
        <v>46297.33333333334</v>
      </c>
      <c r="Q1422" s="75" t="n"/>
      <c r="R1422" s="75" t="n"/>
      <c r="S1422" s="76" t="n">
        <v>0</v>
      </c>
      <c r="T1422" s="76" t="n">
        <v>1.5</v>
      </c>
      <c r="U1422" s="70">
        <f>IF($A1422="","",IFERROR(INDEX('Techniciens'!$F$5:$F$44,MATCH(O1422,'Techniciens'!$B$5:$B$44,0)),'Paramètres'!$AA$10))</f>
        <v/>
      </c>
      <c r="V1422" s="70">
        <f>IF($A1422="","",IF(OR(AC1422="Demandé",AC1422="Planifié",AC1422="Annulé"),0,N(T1422)*N(U1422)))</f>
        <v/>
      </c>
      <c r="W1422" s="70">
        <f>IF($A1422="","",SUMIFS('Mouvements stock'!$H$5:$H$3004,'Mouvements stock'!$I$5:$I$3004,$A1422,'Mouvements stock'!$C$5:$C$3004,"Sortie")-SUMIFS('Mouvements stock'!$H$5:$H$3004,'Mouvements stock'!$I$5:$I$3004,$A1422,'Mouvements stock'!$C$5:$C$3004,"Retour"))</f>
        <v/>
      </c>
      <c r="X1422" s="66" t="n">
        <v>0</v>
      </c>
      <c r="Y1422" s="66" t="n">
        <v>0</v>
      </c>
      <c r="Z1422" s="7" t="n"/>
      <c r="AA1422" s="70">
        <f>IF($A1422="","",N(V1422)+N(W1422)+N(X1422)+N(Y1422))</f>
        <v/>
      </c>
      <c r="AB1422" s="70">
        <f>IF($A1422="","",N(S1422)*'Paramètres'!$AA$9*IFERROR(INDEX('Paramètres'!$O$5:$O$7,MATCH(G1422,'Paramètres'!$N$5:$N$7,0)),0))</f>
        <v/>
      </c>
      <c r="AC1422" s="7" t="inlineStr">
        <is>
          <t>Planifié</t>
        </is>
      </c>
      <c r="AD1422" s="69">
        <f>IF(OR($A1422="",Q1422=""),"",(Q1422-B1422)*24)</f>
        <v/>
      </c>
      <c r="AE1422" s="69">
        <f>IF(OR(Q1422="",R1422=""),"",(R1422-Q1422)*24)</f>
        <v/>
      </c>
      <c r="AF1422" s="77">
        <f>IF(OR($A1422="",B1422=""),"",YEAR(B1422))</f>
        <v/>
      </c>
      <c r="AG1422" s="77">
        <f>IF(OR($A1422="",B1422=""),"",MONTH(B1422))</f>
        <v/>
      </c>
    </row>
    <row r="1423">
      <c r="A1423" s="7" t="inlineStr">
        <is>
          <t>OT-2026-0568</t>
        </is>
      </c>
      <c r="B1423" s="75" t="n">
        <v>46289.39583333334</v>
      </c>
      <c r="C1423" s="7" t="inlineStr">
        <is>
          <t>Plan préventif</t>
        </is>
      </c>
      <c r="D1423" s="7" t="inlineStr">
        <is>
          <t>EQ-UTI-009</t>
        </is>
      </c>
      <c r="E1423" s="9">
        <f>IF(D1423="","",IFERROR(INDEX('Équipements'!$B$5:$B$304,MATCH(D1423,'Équipements'!$A$5:$A$304,0)),"Code inconnu"))</f>
        <v/>
      </c>
      <c r="F1423" s="9">
        <f>IF(D1423="","",IFERROR(INDEX('Équipements'!$D$5:$D$304,MATCH(D1423,'Équipements'!$A$5:$A$304,0)),""))</f>
        <v/>
      </c>
      <c r="G1423" s="9">
        <f>IF(D1423="","",IFERROR(INDEX('Équipements'!$K$5:$K$304,MATCH(D1423,'Équipements'!$A$5:$A$304,0)),""))</f>
        <v/>
      </c>
      <c r="H1423" s="7" t="inlineStr">
        <is>
          <t>Préventif systématique</t>
        </is>
      </c>
      <c r="I1423" s="7" t="inlineStr">
        <is>
          <t>GP-101</t>
        </is>
      </c>
      <c r="J1423" s="7" t="inlineStr">
        <is>
          <t>Électrique</t>
        </is>
      </c>
      <c r="K1423" s="7" t="inlineStr">
        <is>
          <t>P3 - Normale</t>
        </is>
      </c>
      <c r="L1423" s="7" t="inlineStr">
        <is>
          <t>Étalonnage des sondes pH / redox</t>
        </is>
      </c>
      <c r="M1423" s="7" t="n"/>
      <c r="N1423" s="7" t="n"/>
      <c r="O1423" s="7" t="inlineStr">
        <is>
          <t>Thomas Petit</t>
        </is>
      </c>
      <c r="P1423" s="65" t="n">
        <v>46297.33333333334</v>
      </c>
      <c r="Q1423" s="75" t="n"/>
      <c r="R1423" s="75" t="n"/>
      <c r="S1423" s="76" t="n">
        <v>0</v>
      </c>
      <c r="T1423" s="76" t="n">
        <v>1</v>
      </c>
      <c r="U1423" s="70">
        <f>IF($A1423="","",IFERROR(INDEX('Techniciens'!$F$5:$F$44,MATCH(O1423,'Techniciens'!$B$5:$B$44,0)),'Paramètres'!$AA$10))</f>
        <v/>
      </c>
      <c r="V1423" s="70">
        <f>IF($A1423="","",IF(OR(AC1423="Demandé",AC1423="Planifié",AC1423="Annulé"),0,N(T1423)*N(U1423)))</f>
        <v/>
      </c>
      <c r="W1423" s="70">
        <f>IF($A1423="","",SUMIFS('Mouvements stock'!$H$5:$H$3004,'Mouvements stock'!$I$5:$I$3004,$A1423,'Mouvements stock'!$C$5:$C$3004,"Sortie")-SUMIFS('Mouvements stock'!$H$5:$H$3004,'Mouvements stock'!$I$5:$I$3004,$A1423,'Mouvements stock'!$C$5:$C$3004,"Retour"))</f>
        <v/>
      </c>
      <c r="X1423" s="66" t="n">
        <v>0</v>
      </c>
      <c r="Y1423" s="66" t="n">
        <v>0</v>
      </c>
      <c r="Z1423" s="7" t="n"/>
      <c r="AA1423" s="70">
        <f>IF($A1423="","",N(V1423)+N(W1423)+N(X1423)+N(Y1423))</f>
        <v/>
      </c>
      <c r="AB1423" s="70">
        <f>IF($A1423="","",N(S1423)*'Paramètres'!$AA$9*IFERROR(INDEX('Paramètres'!$O$5:$O$7,MATCH(G1423,'Paramètres'!$N$5:$N$7,0)),0))</f>
        <v/>
      </c>
      <c r="AC1423" s="7" t="inlineStr">
        <is>
          <t>Planifié</t>
        </is>
      </c>
      <c r="AD1423" s="69">
        <f>IF(OR($A1423="",Q1423=""),"",(Q1423-B1423)*24)</f>
        <v/>
      </c>
      <c r="AE1423" s="69">
        <f>IF(OR(Q1423="",R1423=""),"",(R1423-Q1423)*24)</f>
        <v/>
      </c>
      <c r="AF1423" s="77">
        <f>IF(OR($A1423="",B1423=""),"",YEAR(B1423))</f>
        <v/>
      </c>
      <c r="AG1423" s="77">
        <f>IF(OR($A1423="",B1423=""),"",MONTH(B1423))</f>
        <v/>
      </c>
    </row>
    <row r="1424">
      <c r="A1424" s="7" t="inlineStr">
        <is>
          <t>OT-2026-0569</t>
        </is>
      </c>
      <c r="B1424" s="75" t="n">
        <v>46289.40277777778</v>
      </c>
      <c r="C1424" s="7" t="inlineStr">
        <is>
          <t>Plan préventif</t>
        </is>
      </c>
      <c r="D1424" s="7" t="inlineStr">
        <is>
          <t>EQ-PEI-003</t>
        </is>
      </c>
      <c r="E1424" s="9">
        <f>IF(D1424="","",IFERROR(INDEX('Équipements'!$B$5:$B$304,MATCH(D1424,'Équipements'!$A$5:$A$304,0)),"Code inconnu"))</f>
        <v/>
      </c>
      <c r="F1424" s="9">
        <f>IF(D1424="","",IFERROR(INDEX('Équipements'!$D$5:$D$304,MATCH(D1424,'Équipements'!$A$5:$A$304,0)),""))</f>
        <v/>
      </c>
      <c r="G1424" s="9">
        <f>IF(D1424="","",IFERROR(INDEX('Équipements'!$K$5:$K$304,MATCH(D1424,'Équipements'!$A$5:$A$304,0)),""))</f>
        <v/>
      </c>
      <c r="H1424" s="7" t="inlineStr">
        <is>
          <t>Préventif systématique</t>
        </is>
      </c>
      <c r="I1424" s="7" t="inlineStr">
        <is>
          <t>GP-070</t>
        </is>
      </c>
      <c r="J1424" s="7" t="inlineStr">
        <is>
          <t>Mécanique</t>
        </is>
      </c>
      <c r="K1424" s="7" t="inlineStr">
        <is>
          <t>P3 - Normale</t>
        </is>
      </c>
      <c r="L1424" s="7" t="inlineStr">
        <is>
          <t>Nettoyage et remplacement des filtres</t>
        </is>
      </c>
      <c r="M1424" s="7" t="n"/>
      <c r="N1424" s="7" t="n"/>
      <c r="O1424" s="7" t="inlineStr">
        <is>
          <t>Antoine Mercier</t>
        </is>
      </c>
      <c r="P1424" s="65" t="n">
        <v>46297.33333333334</v>
      </c>
      <c r="Q1424" s="75" t="n"/>
      <c r="R1424" s="75" t="n"/>
      <c r="S1424" s="76" t="n">
        <v>0</v>
      </c>
      <c r="T1424" s="76" t="n">
        <v>2</v>
      </c>
      <c r="U1424" s="70">
        <f>IF($A1424="","",IFERROR(INDEX('Techniciens'!$F$5:$F$44,MATCH(O1424,'Techniciens'!$B$5:$B$44,0)),'Paramètres'!$AA$10))</f>
        <v/>
      </c>
      <c r="V1424" s="70">
        <f>IF($A1424="","",IF(OR(AC1424="Demandé",AC1424="Planifié",AC1424="Annulé"),0,N(T1424)*N(U1424)))</f>
        <v/>
      </c>
      <c r="W1424" s="70">
        <f>IF($A1424="","",SUMIFS('Mouvements stock'!$H$5:$H$3004,'Mouvements stock'!$I$5:$I$3004,$A1424,'Mouvements stock'!$C$5:$C$3004,"Sortie")-SUMIFS('Mouvements stock'!$H$5:$H$3004,'Mouvements stock'!$I$5:$I$3004,$A1424,'Mouvements stock'!$C$5:$C$3004,"Retour"))</f>
        <v/>
      </c>
      <c r="X1424" s="66" t="n">
        <v>0</v>
      </c>
      <c r="Y1424" s="66" t="n">
        <v>0</v>
      </c>
      <c r="Z1424" s="7" t="n"/>
      <c r="AA1424" s="70">
        <f>IF($A1424="","",N(V1424)+N(W1424)+N(X1424)+N(Y1424))</f>
        <v/>
      </c>
      <c r="AB1424" s="70">
        <f>IF($A1424="","",N(S1424)*'Paramètres'!$AA$9*IFERROR(INDEX('Paramètres'!$O$5:$O$7,MATCH(G1424,'Paramètres'!$N$5:$N$7,0)),0))</f>
        <v/>
      </c>
      <c r="AC1424" s="7" t="inlineStr">
        <is>
          <t>Planifié</t>
        </is>
      </c>
      <c r="AD1424" s="69">
        <f>IF(OR($A1424="",Q1424=""),"",(Q1424-B1424)*24)</f>
        <v/>
      </c>
      <c r="AE1424" s="69">
        <f>IF(OR(Q1424="",R1424=""),"",(R1424-Q1424)*24)</f>
        <v/>
      </c>
      <c r="AF1424" s="77">
        <f>IF(OR($A1424="",B1424=""),"",YEAR(B1424))</f>
        <v/>
      </c>
      <c r="AG1424" s="77">
        <f>IF(OR($A1424="",B1424=""),"",MONTH(B1424))</f>
        <v/>
      </c>
    </row>
    <row r="1425">
      <c r="A1425" s="7" t="inlineStr">
        <is>
          <t>OT-2026-0570</t>
        </is>
      </c>
      <c r="B1425" s="75" t="n">
        <v>46289.4375</v>
      </c>
      <c r="C1425" s="7" t="inlineStr">
        <is>
          <t>Planning réglementaire</t>
        </is>
      </c>
      <c r="D1425" s="7" t="inlineStr">
        <is>
          <t>EQ-ASS-002</t>
        </is>
      </c>
      <c r="E1425" s="9">
        <f>IF(D1425="","",IFERROR(INDEX('Équipements'!$B$5:$B$304,MATCH(D1425,'Équipements'!$A$5:$A$304,0)),"Code inconnu"))</f>
        <v/>
      </c>
      <c r="F1425" s="9">
        <f>IF(D1425="","",IFERROR(INDEX('Équipements'!$D$5:$D$304,MATCH(D1425,'Équipements'!$A$5:$A$304,0)),""))</f>
        <v/>
      </c>
      <c r="G1425" s="9">
        <f>IF(D1425="","",IFERROR(INDEX('Équipements'!$K$5:$K$304,MATCH(D1425,'Équipements'!$A$5:$A$304,0)),""))</f>
        <v/>
      </c>
      <c r="H1425" s="7" t="inlineStr">
        <is>
          <t>Réglementaire</t>
        </is>
      </c>
      <c r="I1425" s="7" t="inlineStr">
        <is>
          <t>CR-012</t>
        </is>
      </c>
      <c r="J1425" s="7" t="inlineStr">
        <is>
          <t>Multi-technique</t>
        </is>
      </c>
      <c r="K1425" s="7" t="inlineStr">
        <is>
          <t>P2 - Haute</t>
        </is>
      </c>
      <c r="L1425" s="7" t="inlineStr">
        <is>
          <t>Vérification périodique presse hydraulique</t>
        </is>
      </c>
      <c r="M1425" s="7" t="n"/>
      <c r="N1425" s="7" t="n"/>
      <c r="O1425" s="7" t="inlineStr">
        <is>
          <t>Marc Lefèvre</t>
        </is>
      </c>
      <c r="P1425" s="65" t="n">
        <v>46303</v>
      </c>
      <c r="Q1425" s="75" t="n"/>
      <c r="R1425" s="75" t="n"/>
      <c r="S1425" s="76" t="n">
        <v>0</v>
      </c>
      <c r="T1425" s="76" t="n">
        <v>1</v>
      </c>
      <c r="U1425" s="70">
        <f>IF($A1425="","",IFERROR(INDEX('Techniciens'!$F$5:$F$44,MATCH(O1425,'Techniciens'!$B$5:$B$44,0)),'Paramètres'!$AA$10))</f>
        <v/>
      </c>
      <c r="V1425" s="70">
        <f>IF($A1425="","",IF(OR(AC1425="Demandé",AC1425="Planifié",AC1425="Annulé"),0,N(T1425)*N(U1425)))</f>
        <v/>
      </c>
      <c r="W1425" s="70">
        <f>IF($A1425="","",SUMIFS('Mouvements stock'!$H$5:$H$3004,'Mouvements stock'!$I$5:$I$3004,$A1425,'Mouvements stock'!$C$5:$C$3004,"Sortie")-SUMIFS('Mouvements stock'!$H$5:$H$3004,'Mouvements stock'!$I$5:$I$3004,$A1425,'Mouvements stock'!$C$5:$C$3004,"Retour"))</f>
        <v/>
      </c>
      <c r="X1425" s="66" t="n">
        <v>0</v>
      </c>
      <c r="Y1425" s="66" t="n">
        <v>0</v>
      </c>
      <c r="Z1425" s="7" t="inlineStr">
        <is>
          <t>CONTROLIS (organisme fictif)</t>
        </is>
      </c>
      <c r="AA1425" s="70">
        <f>IF($A1425="","",N(V1425)+N(W1425)+N(X1425)+N(Y1425))</f>
        <v/>
      </c>
      <c r="AB1425" s="70">
        <f>IF($A1425="","",N(S1425)*'Paramètres'!$AA$9*IFERROR(INDEX('Paramètres'!$O$5:$O$7,MATCH(G1425,'Paramètres'!$N$5:$N$7,0)),0))</f>
        <v/>
      </c>
      <c r="AC1425" s="7" t="inlineStr">
        <is>
          <t>Planifié</t>
        </is>
      </c>
      <c r="AD1425" s="69">
        <f>IF(OR($A1425="",Q1425=""),"",(Q1425-B1425)*24)</f>
        <v/>
      </c>
      <c r="AE1425" s="69">
        <f>IF(OR(Q1425="",R1425=""),"",(R1425-Q1425)*24)</f>
        <v/>
      </c>
      <c r="AF1425" s="77">
        <f>IF(OR($A1425="",B1425=""),"",YEAR(B1425))</f>
        <v/>
      </c>
      <c r="AG1425" s="77">
        <f>IF(OR($A1425="",B1425=""),"",MONTH(B1425))</f>
        <v/>
      </c>
    </row>
    <row r="1426">
      <c r="A1426" s="7" t="inlineStr">
        <is>
          <t>OT-2026-0571</t>
        </is>
      </c>
      <c r="B1426" s="75" t="n">
        <v>46289.58333333334</v>
      </c>
      <c r="C1426" s="7" t="inlineStr">
        <is>
          <t>Cariste</t>
        </is>
      </c>
      <c r="D1426" s="7" t="inlineStr">
        <is>
          <t>EQ-LOG-001</t>
        </is>
      </c>
      <c r="E1426" s="9">
        <f>IF(D1426="","",IFERROR(INDEX('Équipements'!$B$5:$B$304,MATCH(D1426,'Équipements'!$A$5:$A$304,0)),"Code inconnu"))</f>
        <v/>
      </c>
      <c r="F1426" s="9">
        <f>IF(D1426="","",IFERROR(INDEX('Équipements'!$D$5:$D$304,MATCH(D1426,'Équipements'!$A$5:$A$304,0)),""))</f>
        <v/>
      </c>
      <c r="G1426" s="9">
        <f>IF(D1426="","",IFERROR(INDEX('Équipements'!$K$5:$K$304,MATCH(D1426,'Équipements'!$A$5:$A$304,0)),""))</f>
        <v/>
      </c>
      <c r="H1426" s="7" t="inlineStr">
        <is>
          <t>Correctif</t>
        </is>
      </c>
      <c r="I1426" s="7" t="n"/>
      <c r="J1426" s="7" t="inlineStr">
        <is>
          <t>Mécanique</t>
        </is>
      </c>
      <c r="K1426" s="7" t="inlineStr">
        <is>
          <t>P3 - Normale</t>
        </is>
      </c>
      <c r="L1426" s="7" t="inlineStr">
        <is>
          <t>Bandage de roue usé / arraché</t>
        </is>
      </c>
      <c r="M1426" s="7" t="inlineStr">
        <is>
          <t>Usure</t>
        </is>
      </c>
      <c r="N1426" s="7" t="inlineStr">
        <is>
          <t>Remplacement bandage</t>
        </is>
      </c>
      <c r="O1426" s="7" t="inlineStr">
        <is>
          <t>Karim Benali</t>
        </is>
      </c>
      <c r="P1426" s="65" t="n"/>
      <c r="Q1426" s="75" t="n">
        <v>46290.43194444444</v>
      </c>
      <c r="R1426" s="75" t="n">
        <v>46290.47361111111</v>
      </c>
      <c r="S1426" s="76" t="n">
        <v>0</v>
      </c>
      <c r="T1426" s="76" t="n">
        <v>1</v>
      </c>
      <c r="U1426" s="70">
        <f>IF($A1426="","",IFERROR(INDEX('Techniciens'!$F$5:$F$44,MATCH(O1426,'Techniciens'!$B$5:$B$44,0)),'Paramètres'!$AA$10))</f>
        <v/>
      </c>
      <c r="V1426" s="70">
        <f>IF($A1426="","",IF(OR(AC1426="Demandé",AC1426="Planifié",AC1426="Annulé"),0,N(T1426)*N(U1426)))</f>
        <v/>
      </c>
      <c r="W1426" s="70">
        <f>IF($A1426="","",SUMIFS('Mouvements stock'!$H$5:$H$3004,'Mouvements stock'!$I$5:$I$3004,$A1426,'Mouvements stock'!$C$5:$C$3004,"Sortie")-SUMIFS('Mouvements stock'!$H$5:$H$3004,'Mouvements stock'!$I$5:$I$3004,$A1426,'Mouvements stock'!$C$5:$C$3004,"Retour"))</f>
        <v/>
      </c>
      <c r="X1426" s="66" t="n">
        <v>0</v>
      </c>
      <c r="Y1426" s="66" t="n">
        <v>0</v>
      </c>
      <c r="Z1426" s="7" t="n"/>
      <c r="AA1426" s="70">
        <f>IF($A1426="","",N(V1426)+N(W1426)+N(X1426)+N(Y1426))</f>
        <v/>
      </c>
      <c r="AB1426" s="70">
        <f>IF($A1426="","",N(S1426)*'Paramètres'!$AA$9*IFERROR(INDEX('Paramètres'!$O$5:$O$7,MATCH(G1426,'Paramètres'!$N$5:$N$7,0)),0))</f>
        <v/>
      </c>
      <c r="AC1426" s="7" t="inlineStr">
        <is>
          <t>Clôturé</t>
        </is>
      </c>
      <c r="AD1426" s="69">
        <f>IF(OR($A1426="",Q1426=""),"",(Q1426-B1426)*24)</f>
        <v/>
      </c>
      <c r="AE1426" s="69">
        <f>IF(OR(Q1426="",R1426=""),"",(R1426-Q1426)*24)</f>
        <v/>
      </c>
      <c r="AF1426" s="77">
        <f>IF(OR($A1426="",B1426=""),"",YEAR(B1426))</f>
        <v/>
      </c>
      <c r="AG1426" s="77">
        <f>IF(OR($A1426="",B1426=""),"",MONTH(B1426))</f>
        <v/>
      </c>
    </row>
    <row r="1427">
      <c r="A1427" s="7" t="inlineStr">
        <is>
          <t>OT-2026-0572</t>
        </is>
      </c>
      <c r="B1427" s="75" t="n">
        <v>46291.30833333333</v>
      </c>
      <c r="C1427" s="7" t="inlineStr">
        <is>
          <t>Opérateur usinage</t>
        </is>
      </c>
      <c r="D1427" s="7" t="inlineStr">
        <is>
          <t>EQ-USI-010</t>
        </is>
      </c>
      <c r="E1427" s="9">
        <f>IF(D1427="","",IFERROR(INDEX('Équipements'!$B$5:$B$304,MATCH(D1427,'Équipements'!$A$5:$A$304,0)),"Code inconnu"))</f>
        <v/>
      </c>
      <c r="F1427" s="9">
        <f>IF(D1427="","",IFERROR(INDEX('Équipements'!$D$5:$D$304,MATCH(D1427,'Équipements'!$A$5:$A$304,0)),""))</f>
        <v/>
      </c>
      <c r="G1427" s="9">
        <f>IF(D1427="","",IFERROR(INDEX('Équipements'!$K$5:$K$304,MATCH(D1427,'Équipements'!$A$5:$A$304,0)),""))</f>
        <v/>
      </c>
      <c r="H1427" s="7" t="inlineStr">
        <is>
          <t>Correctif</t>
        </is>
      </c>
      <c r="I1427" s="7" t="n"/>
      <c r="J1427" s="7" t="inlineStr">
        <is>
          <t>Électrique</t>
        </is>
      </c>
      <c r="K1427" s="7" t="inlineStr">
        <is>
          <t>P2 - Haute</t>
        </is>
      </c>
      <c r="L1427" s="7" t="inlineStr">
        <is>
          <t>Mesures incohérentes / défaut palpeur</t>
        </is>
      </c>
      <c r="M1427" s="7" t="inlineStr">
        <is>
          <t>Défaut capteur</t>
        </is>
      </c>
      <c r="N1427" s="7" t="inlineStr">
        <is>
          <t>Requalification palpeur, étalonnage</t>
        </is>
      </c>
      <c r="O1427" s="7" t="inlineStr">
        <is>
          <t>Thomas Petit</t>
        </is>
      </c>
      <c r="P1427" s="65" t="n"/>
      <c r="Q1427" s="75" t="n">
        <v>46291.39583333334</v>
      </c>
      <c r="R1427" s="75" t="n">
        <v>46291.63541666666</v>
      </c>
      <c r="S1427" s="76" t="n">
        <v>7.9</v>
      </c>
      <c r="T1427" s="76" t="n">
        <v>5.75</v>
      </c>
      <c r="U1427" s="70">
        <f>IF($A1427="","",IFERROR(INDEX('Techniciens'!$F$5:$F$44,MATCH(O1427,'Techniciens'!$B$5:$B$44,0)),'Paramètres'!$AA$10))</f>
        <v/>
      </c>
      <c r="V1427" s="70">
        <f>IF($A1427="","",IF(OR(AC1427="Demandé",AC1427="Planifié",AC1427="Annulé"),0,N(T1427)*N(U1427)))</f>
        <v/>
      </c>
      <c r="W1427" s="70">
        <f>IF($A1427="","",SUMIFS('Mouvements stock'!$H$5:$H$3004,'Mouvements stock'!$I$5:$I$3004,$A1427,'Mouvements stock'!$C$5:$C$3004,"Sortie")-SUMIFS('Mouvements stock'!$H$5:$H$3004,'Mouvements stock'!$I$5:$I$3004,$A1427,'Mouvements stock'!$C$5:$C$3004,"Retour"))</f>
        <v/>
      </c>
      <c r="X1427" s="66" t="n">
        <v>0</v>
      </c>
      <c r="Y1427" s="66" t="n">
        <v>0</v>
      </c>
      <c r="Z1427" s="7" t="n"/>
      <c r="AA1427" s="70">
        <f>IF($A1427="","",N(V1427)+N(W1427)+N(X1427)+N(Y1427))</f>
        <v/>
      </c>
      <c r="AB1427" s="70">
        <f>IF($A1427="","",N(S1427)*'Paramètres'!$AA$9*IFERROR(INDEX('Paramètres'!$O$5:$O$7,MATCH(G1427,'Paramètres'!$N$5:$N$7,0)),0))</f>
        <v/>
      </c>
      <c r="AC1427" s="7" t="inlineStr">
        <is>
          <t>Clôturé</t>
        </is>
      </c>
      <c r="AD1427" s="69">
        <f>IF(OR($A1427="",Q1427=""),"",(Q1427-B1427)*24)</f>
        <v/>
      </c>
      <c r="AE1427" s="69">
        <f>IF(OR(Q1427="",R1427=""),"",(R1427-Q1427)*24)</f>
        <v/>
      </c>
      <c r="AF1427" s="77">
        <f>IF(OR($A1427="",B1427=""),"",YEAR(B1427))</f>
        <v/>
      </c>
      <c r="AG1427" s="77">
        <f>IF(OR($A1427="",B1427=""),"",MONTH(B1427))</f>
        <v/>
      </c>
    </row>
    <row r="1428">
      <c r="A1428" s="7" t="inlineStr">
        <is>
          <t>OT-2026-0573</t>
        </is>
      </c>
      <c r="B1428" s="75" t="n">
        <v>46291.79305555556</v>
      </c>
      <c r="C1428" s="7" t="inlineStr">
        <is>
          <t>Opérateur usinage</t>
        </is>
      </c>
      <c r="D1428" s="7" t="inlineStr">
        <is>
          <t>EQ-USI-009</t>
        </is>
      </c>
      <c r="E1428" s="9">
        <f>IF(D1428="","",IFERROR(INDEX('Équipements'!$B$5:$B$304,MATCH(D1428,'Équipements'!$A$5:$A$304,0)),"Code inconnu"))</f>
        <v/>
      </c>
      <c r="F1428" s="9">
        <f>IF(D1428="","",IFERROR(INDEX('Équipements'!$D$5:$D$304,MATCH(D1428,'Équipements'!$A$5:$A$304,0)),""))</f>
        <v/>
      </c>
      <c r="G1428" s="9">
        <f>IF(D1428="","",IFERROR(INDEX('Équipements'!$K$5:$K$304,MATCH(D1428,'Équipements'!$A$5:$A$304,0)),""))</f>
        <v/>
      </c>
      <c r="H1428" s="7" t="inlineStr">
        <is>
          <t>Correctif</t>
        </is>
      </c>
      <c r="I1428" s="7" t="n"/>
      <c r="J1428" s="7" t="inlineStr">
        <is>
          <t>Mécanique</t>
        </is>
      </c>
      <c r="K1428" s="7" t="inlineStr">
        <is>
          <t>P1 - Urgent</t>
        </is>
      </c>
      <c r="L1428" s="7" t="inlineStr">
        <is>
          <t>Lame cassée</t>
        </is>
      </c>
      <c r="M1428" s="7" t="inlineStr">
        <is>
          <t>Usure</t>
        </is>
      </c>
      <c r="N1428" s="7" t="n"/>
      <c r="O1428" s="7" t="inlineStr">
        <is>
          <t>Lucas Fontaine</t>
        </is>
      </c>
      <c r="P1428" s="65" t="n"/>
      <c r="Q1428" s="75" t="n">
        <v>46291.81805555556</v>
      </c>
      <c r="R1428" s="75" t="n"/>
      <c r="S1428" s="76" t="n">
        <v>10.4</v>
      </c>
      <c r="T1428" s="76" t="n">
        <v>9.75</v>
      </c>
      <c r="U1428" s="70">
        <f>IF($A1428="","",IFERROR(INDEX('Techniciens'!$F$5:$F$44,MATCH(O1428,'Techniciens'!$B$5:$B$44,0)),'Paramètres'!$AA$10))</f>
        <v/>
      </c>
      <c r="V1428" s="70">
        <f>IF($A1428="","",IF(OR(AC1428="Demandé",AC1428="Planifié",AC1428="Annulé"),0,N(T1428)*N(U1428)))</f>
        <v/>
      </c>
      <c r="W1428" s="70">
        <f>IF($A1428="","",SUMIFS('Mouvements stock'!$H$5:$H$3004,'Mouvements stock'!$I$5:$I$3004,$A1428,'Mouvements stock'!$C$5:$C$3004,"Sortie")-SUMIFS('Mouvements stock'!$H$5:$H$3004,'Mouvements stock'!$I$5:$I$3004,$A1428,'Mouvements stock'!$C$5:$C$3004,"Retour"))</f>
        <v/>
      </c>
      <c r="X1428" s="66" t="n">
        <v>0</v>
      </c>
      <c r="Y1428" s="66" t="n">
        <v>0</v>
      </c>
      <c r="Z1428" s="7" t="n"/>
      <c r="AA1428" s="70">
        <f>IF($A1428="","",N(V1428)+N(W1428)+N(X1428)+N(Y1428))</f>
        <v/>
      </c>
      <c r="AB1428" s="70">
        <f>IF($A1428="","",N(S1428)*'Paramètres'!$AA$9*IFERROR(INDEX('Paramètres'!$O$5:$O$7,MATCH(G1428,'Paramètres'!$N$5:$N$7,0)),0))</f>
        <v/>
      </c>
      <c r="AC1428" s="7" t="inlineStr">
        <is>
          <t>En cours</t>
        </is>
      </c>
      <c r="AD1428" s="69">
        <f>IF(OR($A1428="",Q1428=""),"",(Q1428-B1428)*24)</f>
        <v/>
      </c>
      <c r="AE1428" s="69">
        <f>IF(OR(Q1428="",R1428=""),"",(R1428-Q1428)*24)</f>
        <v/>
      </c>
      <c r="AF1428" s="77">
        <f>IF(OR($A1428="",B1428=""),"",YEAR(B1428))</f>
        <v/>
      </c>
      <c r="AG1428" s="77">
        <f>IF(OR($A1428="",B1428=""),"",MONTH(B1428))</f>
        <v/>
      </c>
    </row>
    <row r="1429">
      <c r="A1429" s="7" t="inlineStr">
        <is>
          <t>OT-2026-0574</t>
        </is>
      </c>
      <c r="B1429" s="75" t="n">
        <v>46292.34375</v>
      </c>
      <c r="C1429" s="7" t="inlineStr">
        <is>
          <t>Plan préventif</t>
        </is>
      </c>
      <c r="D1429" s="7" t="inlineStr">
        <is>
          <t>EQ-LOG-004</t>
        </is>
      </c>
      <c r="E1429" s="9">
        <f>IF(D1429="","",IFERROR(INDEX('Équipements'!$B$5:$B$304,MATCH(D1429,'Équipements'!$A$5:$A$304,0)),"Code inconnu"))</f>
        <v/>
      </c>
      <c r="F1429" s="9">
        <f>IF(D1429="","",IFERROR(INDEX('Équipements'!$D$5:$D$304,MATCH(D1429,'Équipements'!$A$5:$A$304,0)),""))</f>
        <v/>
      </c>
      <c r="G1429" s="9">
        <f>IF(D1429="","",IFERROR(INDEX('Équipements'!$K$5:$K$304,MATCH(D1429,'Équipements'!$A$5:$A$304,0)),""))</f>
        <v/>
      </c>
      <c r="H1429" s="7" t="inlineStr">
        <is>
          <t>Préventif systématique</t>
        </is>
      </c>
      <c r="I1429" s="7" t="inlineStr">
        <is>
          <t>GP-112</t>
        </is>
      </c>
      <c r="J1429" s="7" t="inlineStr">
        <is>
          <t>Mécanique</t>
        </is>
      </c>
      <c r="K1429" s="7" t="inlineStr">
        <is>
          <t>P3 - Normale</t>
        </is>
      </c>
      <c r="L1429" s="7" t="inlineStr">
        <is>
          <t>Contrôle batterie, niveaux et bandages</t>
        </is>
      </c>
      <c r="M1429" s="7" t="n"/>
      <c r="N1429" s="7" t="n"/>
      <c r="O1429" s="7" t="inlineStr">
        <is>
          <t>Karim Benali</t>
        </is>
      </c>
      <c r="P1429" s="65" t="n">
        <v>46300.58333333334</v>
      </c>
      <c r="Q1429" s="75" t="n"/>
      <c r="R1429" s="75" t="n"/>
      <c r="S1429" s="76" t="n">
        <v>0</v>
      </c>
      <c r="T1429" s="76" t="n">
        <v>0.5</v>
      </c>
      <c r="U1429" s="70">
        <f>IF($A1429="","",IFERROR(INDEX('Techniciens'!$F$5:$F$44,MATCH(O1429,'Techniciens'!$B$5:$B$44,0)),'Paramètres'!$AA$10))</f>
        <v/>
      </c>
      <c r="V1429" s="70">
        <f>IF($A1429="","",IF(OR(AC1429="Demandé",AC1429="Planifié",AC1429="Annulé"),0,N(T1429)*N(U1429)))</f>
        <v/>
      </c>
      <c r="W1429" s="70">
        <f>IF($A1429="","",SUMIFS('Mouvements stock'!$H$5:$H$3004,'Mouvements stock'!$I$5:$I$3004,$A1429,'Mouvements stock'!$C$5:$C$3004,"Sortie")-SUMIFS('Mouvements stock'!$H$5:$H$3004,'Mouvements stock'!$I$5:$I$3004,$A1429,'Mouvements stock'!$C$5:$C$3004,"Retour"))</f>
        <v/>
      </c>
      <c r="X1429" s="66" t="n">
        <v>0</v>
      </c>
      <c r="Y1429" s="66" t="n">
        <v>0</v>
      </c>
      <c r="Z1429" s="7" t="n"/>
      <c r="AA1429" s="70">
        <f>IF($A1429="","",N(V1429)+N(W1429)+N(X1429)+N(Y1429))</f>
        <v/>
      </c>
      <c r="AB1429" s="70">
        <f>IF($A1429="","",N(S1429)*'Paramètres'!$AA$9*IFERROR(INDEX('Paramètres'!$O$5:$O$7,MATCH(G1429,'Paramètres'!$N$5:$N$7,0)),0))</f>
        <v/>
      </c>
      <c r="AC1429" s="7" t="inlineStr">
        <is>
          <t>Planifié</t>
        </is>
      </c>
      <c r="AD1429" s="69">
        <f>IF(OR($A1429="",Q1429=""),"",(Q1429-B1429)*24)</f>
        <v/>
      </c>
      <c r="AE1429" s="69">
        <f>IF(OR(Q1429="",R1429=""),"",(R1429-Q1429)*24)</f>
        <v/>
      </c>
      <c r="AF1429" s="77">
        <f>IF(OR($A1429="",B1429=""),"",YEAR(B1429))</f>
        <v/>
      </c>
      <c r="AG1429" s="77">
        <f>IF(OR($A1429="",B1429=""),"",MONTH(B1429))</f>
        <v/>
      </c>
    </row>
    <row r="1430">
      <c r="A1430" s="7" t="inlineStr">
        <is>
          <t>OT-2026-0575</t>
        </is>
      </c>
      <c r="B1430" s="75" t="n">
        <v>46293.34027777778</v>
      </c>
      <c r="C1430" s="7" t="inlineStr">
        <is>
          <t>Plan préventif</t>
        </is>
      </c>
      <c r="D1430" s="7" t="inlineStr">
        <is>
          <t>EQ-TOL-002</t>
        </is>
      </c>
      <c r="E1430" s="9">
        <f>IF(D1430="","",IFERROR(INDEX('Équipements'!$B$5:$B$304,MATCH(D1430,'Équipements'!$A$5:$A$304,0)),"Code inconnu"))</f>
        <v/>
      </c>
      <c r="F1430" s="9">
        <f>IF(D1430="","",IFERROR(INDEX('Équipements'!$D$5:$D$304,MATCH(D1430,'Équipements'!$A$5:$A$304,0)),""))</f>
        <v/>
      </c>
      <c r="G1430" s="9">
        <f>IF(D1430="","",IFERROR(INDEX('Équipements'!$K$5:$K$304,MATCH(D1430,'Équipements'!$A$5:$A$304,0)),""))</f>
        <v/>
      </c>
      <c r="H1430" s="7" t="inlineStr">
        <is>
          <t>Préventif systématique</t>
        </is>
      </c>
      <c r="I1430" s="7" t="inlineStr">
        <is>
          <t>GP-041</t>
        </is>
      </c>
      <c r="J1430" s="7" t="inlineStr">
        <is>
          <t>Hydraulique</t>
        </is>
      </c>
      <c r="K1430" s="7" t="inlineStr">
        <is>
          <t>P3 - Normale</t>
        </is>
      </c>
      <c r="L1430" s="7" t="inlineStr">
        <is>
          <t>Contrôle hydraulique : fuites, niveaux, pressions</t>
        </is>
      </c>
      <c r="M1430" s="7" t="n"/>
      <c r="N1430" s="7" t="n"/>
      <c r="O1430" s="7" t="inlineStr">
        <is>
          <t>Antoine Mercier</t>
        </is>
      </c>
      <c r="P1430" s="65" t="n">
        <v>46300.56597222222</v>
      </c>
      <c r="Q1430" s="75" t="n"/>
      <c r="R1430" s="75" t="n"/>
      <c r="S1430" s="76" t="n">
        <v>0</v>
      </c>
      <c r="T1430" s="76" t="n">
        <v>1.5</v>
      </c>
      <c r="U1430" s="70">
        <f>IF($A1430="","",IFERROR(INDEX('Techniciens'!$F$5:$F$44,MATCH(O1430,'Techniciens'!$B$5:$B$44,0)),'Paramètres'!$AA$10))</f>
        <v/>
      </c>
      <c r="V1430" s="70">
        <f>IF($A1430="","",IF(OR(AC1430="Demandé",AC1430="Planifié",AC1430="Annulé"),0,N(T1430)*N(U1430)))</f>
        <v/>
      </c>
      <c r="W1430" s="70">
        <f>IF($A1430="","",SUMIFS('Mouvements stock'!$H$5:$H$3004,'Mouvements stock'!$I$5:$I$3004,$A1430,'Mouvements stock'!$C$5:$C$3004,"Sortie")-SUMIFS('Mouvements stock'!$H$5:$H$3004,'Mouvements stock'!$I$5:$I$3004,$A1430,'Mouvements stock'!$C$5:$C$3004,"Retour"))</f>
        <v/>
      </c>
      <c r="X1430" s="66" t="n">
        <v>0</v>
      </c>
      <c r="Y1430" s="66" t="n">
        <v>0</v>
      </c>
      <c r="Z1430" s="7" t="n"/>
      <c r="AA1430" s="70">
        <f>IF($A1430="","",N(V1430)+N(W1430)+N(X1430)+N(Y1430))</f>
        <v/>
      </c>
      <c r="AB1430" s="70">
        <f>IF($A1430="","",N(S1430)*'Paramètres'!$AA$9*IFERROR(INDEX('Paramètres'!$O$5:$O$7,MATCH(G1430,'Paramètres'!$N$5:$N$7,0)),0))</f>
        <v/>
      </c>
      <c r="AC1430" s="7" t="inlineStr">
        <is>
          <t>Planifié</t>
        </is>
      </c>
      <c r="AD1430" s="69">
        <f>IF(OR($A1430="",Q1430=""),"",(Q1430-B1430)*24)</f>
        <v/>
      </c>
      <c r="AE1430" s="69">
        <f>IF(OR(Q1430="",R1430=""),"",(R1430-Q1430)*24)</f>
        <v/>
      </c>
      <c r="AF1430" s="77">
        <f>IF(OR($A1430="",B1430=""),"",YEAR(B1430))</f>
        <v/>
      </c>
      <c r="AG1430" s="77">
        <f>IF(OR($A1430="",B1430=""),"",MONTH(B1430))</f>
        <v/>
      </c>
    </row>
    <row r="1431">
      <c r="A1431" s="7" t="inlineStr">
        <is>
          <t>OT-2026-0576</t>
        </is>
      </c>
      <c r="B1431" s="75" t="n">
        <v>46294.36458333334</v>
      </c>
      <c r="C1431" s="7" t="inlineStr">
        <is>
          <t>Planning réglementaire</t>
        </is>
      </c>
      <c r="D1431" s="7" t="n"/>
      <c r="E1431" s="9">
        <f>IF(D1431="","",IFERROR(INDEX('Équipements'!$B$5:$B$304,MATCH(D1431,'Équipements'!$A$5:$A$304,0)),"Code inconnu"))</f>
        <v/>
      </c>
      <c r="F1431" s="9">
        <f>IF(D1431="","",IFERROR(INDEX('Équipements'!$D$5:$D$304,MATCH(D1431,'Équipements'!$A$5:$A$304,0)),""))</f>
        <v/>
      </c>
      <c r="G1431" s="9">
        <f>IF(D1431="","",IFERROR(INDEX('Équipements'!$K$5:$K$304,MATCH(D1431,'Équipements'!$A$5:$A$304,0)),""))</f>
        <v/>
      </c>
      <c r="H1431" s="7" t="inlineStr">
        <is>
          <t>Réglementaire</t>
        </is>
      </c>
      <c r="I1431" s="7" t="inlineStr">
        <is>
          <t>CR-013</t>
        </is>
      </c>
      <c r="J1431" s="7" t="inlineStr">
        <is>
          <t>Multi-technique</t>
        </is>
      </c>
      <c r="K1431" s="7" t="inlineStr">
        <is>
          <t>P2 - Haute</t>
        </is>
      </c>
      <c r="L1431" s="7" t="inlineStr">
        <is>
          <t>Vérification périodique des installations électriques</t>
        </is>
      </c>
      <c r="M1431" s="7" t="n"/>
      <c r="N1431" s="7" t="n"/>
      <c r="O1431" s="7" t="inlineStr">
        <is>
          <t>Marc Lefèvre</t>
        </is>
      </c>
      <c r="P1431" s="65" t="n">
        <v>46309</v>
      </c>
      <c r="Q1431" s="75" t="n"/>
      <c r="R1431" s="75" t="n"/>
      <c r="S1431" s="76" t="n">
        <v>0</v>
      </c>
      <c r="T1431" s="76" t="n">
        <v>1</v>
      </c>
      <c r="U1431" s="70">
        <f>IF($A1431="","",IFERROR(INDEX('Techniciens'!$F$5:$F$44,MATCH(O1431,'Techniciens'!$B$5:$B$44,0)),'Paramètres'!$AA$10))</f>
        <v/>
      </c>
      <c r="V1431" s="70">
        <f>IF($A1431="","",IF(OR(AC1431="Demandé",AC1431="Planifié",AC1431="Annulé"),0,N(T1431)*N(U1431)))</f>
        <v/>
      </c>
      <c r="W1431" s="70">
        <f>IF($A1431="","",SUMIFS('Mouvements stock'!$H$5:$H$3004,'Mouvements stock'!$I$5:$I$3004,$A1431,'Mouvements stock'!$C$5:$C$3004,"Sortie")-SUMIFS('Mouvements stock'!$H$5:$H$3004,'Mouvements stock'!$I$5:$I$3004,$A1431,'Mouvements stock'!$C$5:$C$3004,"Retour"))</f>
        <v/>
      </c>
      <c r="X1431" s="66" t="n">
        <v>0</v>
      </c>
      <c r="Y1431" s="66" t="n">
        <v>0</v>
      </c>
      <c r="Z1431" s="7" t="inlineStr">
        <is>
          <t>CONTROLIS (organisme fictif)</t>
        </is>
      </c>
      <c r="AA1431" s="70">
        <f>IF($A1431="","",N(V1431)+N(W1431)+N(X1431)+N(Y1431))</f>
        <v/>
      </c>
      <c r="AB1431" s="70">
        <f>IF($A1431="","",N(S1431)*'Paramètres'!$AA$9*IFERROR(INDEX('Paramètres'!$O$5:$O$7,MATCH(G1431,'Paramètres'!$N$5:$N$7,0)),0))</f>
        <v/>
      </c>
      <c r="AC1431" s="7" t="inlineStr">
        <is>
          <t>Planifié</t>
        </is>
      </c>
      <c r="AD1431" s="69">
        <f>IF(OR($A1431="",Q1431=""),"",(Q1431-B1431)*24)</f>
        <v/>
      </c>
      <c r="AE1431" s="69">
        <f>IF(OR(Q1431="",R1431=""),"",(R1431-Q1431)*24)</f>
        <v/>
      </c>
      <c r="AF1431" s="77">
        <f>IF(OR($A1431="",B1431=""),"",YEAR(B1431))</f>
        <v/>
      </c>
      <c r="AG1431" s="77">
        <f>IF(OR($A1431="",B1431=""),"",MONTH(B1431))</f>
        <v/>
      </c>
    </row>
    <row r="1432">
      <c r="A1432" s="7" t="inlineStr">
        <is>
          <t>OT-2026-0577</t>
        </is>
      </c>
      <c r="B1432" s="75" t="n">
        <v>46294.38194444445</v>
      </c>
      <c r="C1432" s="7" t="inlineStr">
        <is>
          <t>Plan préventif</t>
        </is>
      </c>
      <c r="D1432" s="7" t="inlineStr">
        <is>
          <t>EQ-USI-011</t>
        </is>
      </c>
      <c r="E1432" s="9">
        <f>IF(D1432="","",IFERROR(INDEX('Équipements'!$B$5:$B$304,MATCH(D1432,'Équipements'!$A$5:$A$304,0)),"Code inconnu"))</f>
        <v/>
      </c>
      <c r="F1432" s="9">
        <f>IF(D1432="","",IFERROR(INDEX('Équipements'!$D$5:$D$304,MATCH(D1432,'Équipements'!$A$5:$A$304,0)),""))</f>
        <v/>
      </c>
      <c r="G1432" s="9">
        <f>IF(D1432="","",IFERROR(INDEX('Équipements'!$K$5:$K$304,MATCH(D1432,'Équipements'!$A$5:$A$304,0)),""))</f>
        <v/>
      </c>
      <c r="H1432" s="7" t="inlineStr">
        <is>
          <t>Préventif systématique</t>
        </is>
      </c>
      <c r="I1432" s="7" t="inlineStr">
        <is>
          <t>GP-034</t>
        </is>
      </c>
      <c r="J1432" s="7" t="inlineStr">
        <is>
          <t>Mécanique</t>
        </is>
      </c>
      <c r="K1432" s="7" t="inlineStr">
        <is>
          <t>P3 - Normale</t>
        </is>
      </c>
      <c r="L1432" s="7" t="inlineStr">
        <is>
          <t>Graissage et contrôle général</t>
        </is>
      </c>
      <c r="M1432" s="7" t="n"/>
      <c r="N1432" s="7" t="n"/>
      <c r="O1432" s="7" t="inlineStr">
        <is>
          <t>Karim Benali</t>
        </is>
      </c>
      <c r="P1432" s="65" t="n">
        <v>46301.30208333334</v>
      </c>
      <c r="Q1432" s="75" t="n"/>
      <c r="R1432" s="75" t="n"/>
      <c r="S1432" s="76" t="n">
        <v>0</v>
      </c>
      <c r="T1432" s="76" t="n">
        <v>1</v>
      </c>
      <c r="U1432" s="70">
        <f>IF($A1432="","",IFERROR(INDEX('Techniciens'!$F$5:$F$44,MATCH(O1432,'Techniciens'!$B$5:$B$44,0)),'Paramètres'!$AA$10))</f>
        <v/>
      </c>
      <c r="V1432" s="70">
        <f>IF($A1432="","",IF(OR(AC1432="Demandé",AC1432="Planifié",AC1432="Annulé"),0,N(T1432)*N(U1432)))</f>
        <v/>
      </c>
      <c r="W1432" s="70">
        <f>IF($A1432="","",SUMIFS('Mouvements stock'!$H$5:$H$3004,'Mouvements stock'!$I$5:$I$3004,$A1432,'Mouvements stock'!$C$5:$C$3004,"Sortie")-SUMIFS('Mouvements stock'!$H$5:$H$3004,'Mouvements stock'!$I$5:$I$3004,$A1432,'Mouvements stock'!$C$5:$C$3004,"Retour"))</f>
        <v/>
      </c>
      <c r="X1432" s="66" t="n">
        <v>0</v>
      </c>
      <c r="Y1432" s="66" t="n">
        <v>0</v>
      </c>
      <c r="Z1432" s="7" t="n"/>
      <c r="AA1432" s="70">
        <f>IF($A1432="","",N(V1432)+N(W1432)+N(X1432)+N(Y1432))</f>
        <v/>
      </c>
      <c r="AB1432" s="70">
        <f>IF($A1432="","",N(S1432)*'Paramètres'!$AA$9*IFERROR(INDEX('Paramètres'!$O$5:$O$7,MATCH(G1432,'Paramètres'!$N$5:$N$7,0)),0))</f>
        <v/>
      </c>
      <c r="AC1432" s="7" t="inlineStr">
        <is>
          <t>Planifié</t>
        </is>
      </c>
      <c r="AD1432" s="69">
        <f>IF(OR($A1432="",Q1432=""),"",(Q1432-B1432)*24)</f>
        <v/>
      </c>
      <c r="AE1432" s="69">
        <f>IF(OR(Q1432="",R1432=""),"",(R1432-Q1432)*24)</f>
        <v/>
      </c>
      <c r="AF1432" s="77">
        <f>IF(OR($A1432="",B1432=""),"",YEAR(B1432))</f>
        <v/>
      </c>
      <c r="AG1432" s="77">
        <f>IF(OR($A1432="",B1432=""),"",MONTH(B1432))</f>
        <v/>
      </c>
    </row>
    <row r="1433">
      <c r="A1433" s="7" t="inlineStr">
        <is>
          <t>OT-2026-0578</t>
        </is>
      </c>
      <c r="B1433" s="75" t="n">
        <v>46295.45833333334</v>
      </c>
      <c r="C1433" s="7" t="inlineStr">
        <is>
          <t>Plan préventif</t>
        </is>
      </c>
      <c r="D1433" s="7" t="inlineStr">
        <is>
          <t>EQ-LOG-005</t>
        </is>
      </c>
      <c r="E1433" s="9">
        <f>IF(D1433="","",IFERROR(INDEX('Équipements'!$B$5:$B$304,MATCH(D1433,'Équipements'!$A$5:$A$304,0)),"Code inconnu"))</f>
        <v/>
      </c>
      <c r="F1433" s="9">
        <f>IF(D1433="","",IFERROR(INDEX('Équipements'!$D$5:$D$304,MATCH(D1433,'Équipements'!$A$5:$A$304,0)),""))</f>
        <v/>
      </c>
      <c r="G1433" s="9">
        <f>IF(D1433="","",IFERROR(INDEX('Équipements'!$K$5:$K$304,MATCH(D1433,'Équipements'!$A$5:$A$304,0)),""))</f>
        <v/>
      </c>
      <c r="H1433" s="7" t="inlineStr">
        <is>
          <t>Préventif systématique</t>
        </is>
      </c>
      <c r="I1433" s="7" t="inlineStr">
        <is>
          <t>GP-113</t>
        </is>
      </c>
      <c r="J1433" s="7" t="inlineStr">
        <is>
          <t>Multi-technique</t>
        </is>
      </c>
      <c r="K1433" s="7" t="inlineStr">
        <is>
          <t>P3 - Normale</t>
        </is>
      </c>
      <c r="L1433" s="7" t="inlineStr">
        <is>
          <t>Entretien périodique constructeur</t>
        </is>
      </c>
      <c r="M1433" s="7" t="n"/>
      <c r="N1433" s="7" t="n"/>
      <c r="O1433" s="7" t="inlineStr">
        <is>
          <t>Antoine Mercier</t>
        </is>
      </c>
      <c r="P1433" s="65" t="n">
        <v>46302.625</v>
      </c>
      <c r="Q1433" s="75" t="n"/>
      <c r="R1433" s="75" t="n"/>
      <c r="S1433" s="76" t="n">
        <v>0</v>
      </c>
      <c r="T1433" s="76" t="n">
        <v>2.5</v>
      </c>
      <c r="U1433" s="70">
        <f>IF($A1433="","",IFERROR(INDEX('Techniciens'!$F$5:$F$44,MATCH(O1433,'Techniciens'!$B$5:$B$44,0)),'Paramètres'!$AA$10))</f>
        <v/>
      </c>
      <c r="V1433" s="70">
        <f>IF($A1433="","",IF(OR(AC1433="Demandé",AC1433="Planifié",AC1433="Annulé"),0,N(T1433)*N(U1433)))</f>
        <v/>
      </c>
      <c r="W1433" s="70">
        <f>IF($A1433="","",SUMIFS('Mouvements stock'!$H$5:$H$3004,'Mouvements stock'!$I$5:$I$3004,$A1433,'Mouvements stock'!$C$5:$C$3004,"Sortie")-SUMIFS('Mouvements stock'!$H$5:$H$3004,'Mouvements stock'!$I$5:$I$3004,$A1433,'Mouvements stock'!$C$5:$C$3004,"Retour"))</f>
        <v/>
      </c>
      <c r="X1433" s="66" t="n">
        <v>0</v>
      </c>
      <c r="Y1433" s="66" t="n">
        <v>0</v>
      </c>
      <c r="Z1433" s="7" t="inlineStr">
        <is>
          <t>Manutention Services 44</t>
        </is>
      </c>
      <c r="AA1433" s="70">
        <f>IF($A1433="","",N(V1433)+N(W1433)+N(X1433)+N(Y1433))</f>
        <v/>
      </c>
      <c r="AB1433" s="70">
        <f>IF($A1433="","",N(S1433)*'Paramètres'!$AA$9*IFERROR(INDEX('Paramètres'!$O$5:$O$7,MATCH(G1433,'Paramètres'!$N$5:$N$7,0)),0))</f>
        <v/>
      </c>
      <c r="AC1433" s="7" t="inlineStr">
        <is>
          <t>Planifié</t>
        </is>
      </c>
      <c r="AD1433" s="69">
        <f>IF(OR($A1433="",Q1433=""),"",(Q1433-B1433)*24)</f>
        <v/>
      </c>
      <c r="AE1433" s="69">
        <f>IF(OR(Q1433="",R1433=""),"",(R1433-Q1433)*24)</f>
        <v/>
      </c>
      <c r="AF1433" s="77">
        <f>IF(OR($A1433="",B1433=""),"",YEAR(B1433))</f>
        <v/>
      </c>
      <c r="AG1433" s="77">
        <f>IF(OR($A1433="",B1433=""),"",MONTH(B1433))</f>
        <v/>
      </c>
    </row>
    <row r="1434">
      <c r="A1434" s="7" t="inlineStr">
        <is>
          <t>OT-2026-0579</t>
        </is>
      </c>
      <c r="B1434" s="75" t="n">
        <v>46295.45833333334</v>
      </c>
      <c r="C1434" s="7" t="inlineStr">
        <is>
          <t>Plan préventif</t>
        </is>
      </c>
      <c r="D1434" s="7" t="inlineStr">
        <is>
          <t>EQ-LOG-008</t>
        </is>
      </c>
      <c r="E1434" s="9">
        <f>IF(D1434="","",IFERROR(INDEX('Équipements'!$B$5:$B$304,MATCH(D1434,'Équipements'!$A$5:$A$304,0)),"Code inconnu"))</f>
        <v/>
      </c>
      <c r="F1434" s="9">
        <f>IF(D1434="","",IFERROR(INDEX('Équipements'!$D$5:$D$304,MATCH(D1434,'Équipements'!$A$5:$A$304,0)),""))</f>
        <v/>
      </c>
      <c r="G1434" s="9">
        <f>IF(D1434="","",IFERROR(INDEX('Équipements'!$K$5:$K$304,MATCH(D1434,'Équipements'!$A$5:$A$304,0)),""))</f>
        <v/>
      </c>
      <c r="H1434" s="7" t="inlineStr">
        <is>
          <t>Préventif systématique</t>
        </is>
      </c>
      <c r="I1434" s="7" t="inlineStr">
        <is>
          <t>GP-119</t>
        </is>
      </c>
      <c r="J1434" s="7" t="inlineStr">
        <is>
          <t>Mécanique</t>
        </is>
      </c>
      <c r="K1434" s="7" t="inlineStr">
        <is>
          <t>P3 - Normale</t>
        </is>
      </c>
      <c r="L1434" s="7" t="inlineStr">
        <is>
          <t>Contrôle câbles, crochets, freins et fins de course</t>
        </is>
      </c>
      <c r="M1434" s="7" t="n"/>
      <c r="N1434" s="7" t="n"/>
      <c r="O1434" s="7" t="inlineStr">
        <is>
          <t>Karim Benali</t>
        </is>
      </c>
      <c r="P1434" s="65" t="n">
        <v>46302.76041666666</v>
      </c>
      <c r="Q1434" s="75" t="n"/>
      <c r="R1434" s="75" t="n"/>
      <c r="S1434" s="76" t="n">
        <v>0</v>
      </c>
      <c r="T1434" s="76" t="n">
        <v>2</v>
      </c>
      <c r="U1434" s="70">
        <f>IF($A1434="","",IFERROR(INDEX('Techniciens'!$F$5:$F$44,MATCH(O1434,'Techniciens'!$B$5:$B$44,0)),'Paramètres'!$AA$10))</f>
        <v/>
      </c>
      <c r="V1434" s="70">
        <f>IF($A1434="","",IF(OR(AC1434="Demandé",AC1434="Planifié",AC1434="Annulé"),0,N(T1434)*N(U1434)))</f>
        <v/>
      </c>
      <c r="W1434" s="70">
        <f>IF($A1434="","",SUMIFS('Mouvements stock'!$H$5:$H$3004,'Mouvements stock'!$I$5:$I$3004,$A1434,'Mouvements stock'!$C$5:$C$3004,"Sortie")-SUMIFS('Mouvements stock'!$H$5:$H$3004,'Mouvements stock'!$I$5:$I$3004,$A1434,'Mouvements stock'!$C$5:$C$3004,"Retour"))</f>
        <v/>
      </c>
      <c r="X1434" s="66" t="n">
        <v>0</v>
      </c>
      <c r="Y1434" s="66" t="n">
        <v>0</v>
      </c>
      <c r="Z1434" s="7" t="n"/>
      <c r="AA1434" s="70">
        <f>IF($A1434="","",N(V1434)+N(W1434)+N(X1434)+N(Y1434))</f>
        <v/>
      </c>
      <c r="AB1434" s="70">
        <f>IF($A1434="","",N(S1434)*'Paramètres'!$AA$9*IFERROR(INDEX('Paramètres'!$O$5:$O$7,MATCH(G1434,'Paramètres'!$N$5:$N$7,0)),0))</f>
        <v/>
      </c>
      <c r="AC1434" s="7" t="inlineStr">
        <is>
          <t>Planifié</t>
        </is>
      </c>
      <c r="AD1434" s="69">
        <f>IF(OR($A1434="",Q1434=""),"",(Q1434-B1434)*24)</f>
        <v/>
      </c>
      <c r="AE1434" s="69">
        <f>IF(OR(Q1434="",R1434=""),"",(R1434-Q1434)*24)</f>
        <v/>
      </c>
      <c r="AF1434" s="77">
        <f>IF(OR($A1434="",B1434=""),"",YEAR(B1434))</f>
        <v/>
      </c>
      <c r="AG1434" s="77">
        <f>IF(OR($A1434="",B1434=""),"",MONTH(B1434))</f>
        <v/>
      </c>
    </row>
    <row r="1435">
      <c r="A1435" s="7" t="inlineStr">
        <is>
          <t>OT-2026-0580</t>
        </is>
      </c>
      <c r="B1435" s="75" t="n">
        <v>46296.33541666667</v>
      </c>
      <c r="C1435" s="7" t="inlineStr">
        <is>
          <t>Céline Morel (cheffe d'atelier)</t>
        </is>
      </c>
      <c r="D1435" s="7" t="inlineStr">
        <is>
          <t>EQ-TOL-002</t>
        </is>
      </c>
      <c r="E1435" s="9">
        <f>IF(D1435="","",IFERROR(INDEX('Équipements'!$B$5:$B$304,MATCH(D1435,'Équipements'!$A$5:$A$304,0)),"Code inconnu"))</f>
        <v/>
      </c>
      <c r="F1435" s="9">
        <f>IF(D1435="","",IFERROR(INDEX('Équipements'!$D$5:$D$304,MATCH(D1435,'Équipements'!$A$5:$A$304,0)),""))</f>
        <v/>
      </c>
      <c r="G1435" s="9">
        <f>IF(D1435="","",IFERROR(INDEX('Équipements'!$K$5:$K$304,MATCH(D1435,'Équipements'!$A$5:$A$304,0)),""))</f>
        <v/>
      </c>
      <c r="H1435" s="7" t="inlineStr">
        <is>
          <t>Correctif</t>
        </is>
      </c>
      <c r="I1435" s="7" t="n"/>
      <c r="J1435" s="7" t="inlineStr">
        <is>
          <t>Hydraulique</t>
        </is>
      </c>
      <c r="K1435" s="7" t="inlineStr">
        <is>
          <t>P2 - Haute</t>
        </is>
      </c>
      <c r="L1435" s="7" t="inlineStr">
        <is>
          <t>Pompe hydraulique bruyante</t>
        </is>
      </c>
      <c r="M1435" s="7" t="inlineStr">
        <is>
          <t>Cause inconnue</t>
        </is>
      </c>
      <c r="N1435" s="7" t="inlineStr">
        <is>
          <t>Remplacement accouplement, contrôle débit pompe</t>
        </is>
      </c>
      <c r="O1435" s="7" t="inlineStr">
        <is>
          <t>Antoine Mercier</t>
        </is>
      </c>
      <c r="P1435" s="65" t="n"/>
      <c r="Q1435" s="75" t="n">
        <v>46296.53888888889</v>
      </c>
      <c r="R1435" s="75" t="n">
        <v>46296.75763888889</v>
      </c>
      <c r="S1435" s="76" t="n">
        <v>10.1</v>
      </c>
      <c r="T1435" s="76" t="n">
        <v>5.25</v>
      </c>
      <c r="U1435" s="70">
        <f>IF($A1435="","",IFERROR(INDEX('Techniciens'!$F$5:$F$44,MATCH(O1435,'Techniciens'!$B$5:$B$44,0)),'Paramètres'!$AA$10))</f>
        <v/>
      </c>
      <c r="V1435" s="70">
        <f>IF($A1435="","",IF(OR(AC1435="Demandé",AC1435="Planifié",AC1435="Annulé"),0,N(T1435)*N(U1435)))</f>
        <v/>
      </c>
      <c r="W1435" s="70">
        <f>IF($A1435="","",SUMIFS('Mouvements stock'!$H$5:$H$3004,'Mouvements stock'!$I$5:$I$3004,$A1435,'Mouvements stock'!$C$5:$C$3004,"Sortie")-SUMIFS('Mouvements stock'!$H$5:$H$3004,'Mouvements stock'!$I$5:$I$3004,$A1435,'Mouvements stock'!$C$5:$C$3004,"Retour"))</f>
        <v/>
      </c>
      <c r="X1435" s="66" t="n">
        <v>0</v>
      </c>
      <c r="Y1435" s="66" t="n">
        <v>0</v>
      </c>
      <c r="Z1435" s="7" t="n"/>
      <c r="AA1435" s="70">
        <f>IF($A1435="","",N(V1435)+N(W1435)+N(X1435)+N(Y1435))</f>
        <v/>
      </c>
      <c r="AB1435" s="70">
        <f>IF($A1435="","",N(S1435)*'Paramètres'!$AA$9*IFERROR(INDEX('Paramètres'!$O$5:$O$7,MATCH(G1435,'Paramètres'!$N$5:$N$7,0)),0))</f>
        <v/>
      </c>
      <c r="AC1435" s="7" t="inlineStr">
        <is>
          <t>Clôturé</t>
        </is>
      </c>
      <c r="AD1435" s="69">
        <f>IF(OR($A1435="",Q1435=""),"",(Q1435-B1435)*24)</f>
        <v/>
      </c>
      <c r="AE1435" s="69">
        <f>IF(OR(Q1435="",R1435=""),"",(R1435-Q1435)*24)</f>
        <v/>
      </c>
      <c r="AF1435" s="77">
        <f>IF(OR($A1435="",B1435=""),"",YEAR(B1435))</f>
        <v/>
      </c>
      <c r="AG1435" s="77">
        <f>IF(OR($A1435="",B1435=""),"",MONTH(B1435))</f>
        <v/>
      </c>
    </row>
    <row r="1436">
      <c r="A1436" s="7" t="inlineStr">
        <is>
          <t>OT-2026-0581</t>
        </is>
      </c>
      <c r="B1436" s="75" t="n">
        <v>46296.34027777778</v>
      </c>
      <c r="C1436" s="7" t="inlineStr">
        <is>
          <t>Plan préventif</t>
        </is>
      </c>
      <c r="D1436" s="7" t="inlineStr">
        <is>
          <t>EQ-ASS-001</t>
        </is>
      </c>
      <c r="E1436" s="9">
        <f>IF(D1436="","",IFERROR(INDEX('Équipements'!$B$5:$B$304,MATCH(D1436,'Équipements'!$A$5:$A$304,0)),"Code inconnu"))</f>
        <v/>
      </c>
      <c r="F1436" s="9">
        <f>IF(D1436="","",IFERROR(INDEX('Équipements'!$D$5:$D$304,MATCH(D1436,'Équipements'!$A$5:$A$304,0)),""))</f>
        <v/>
      </c>
      <c r="G1436" s="9">
        <f>IF(D1436="","",IFERROR(INDEX('Équipements'!$K$5:$K$304,MATCH(D1436,'Équipements'!$A$5:$A$304,0)),""))</f>
        <v/>
      </c>
      <c r="H1436" s="7" t="inlineStr">
        <is>
          <t>Préventif systématique</t>
        </is>
      </c>
      <c r="I1436" s="7" t="inlineStr">
        <is>
          <t>GP-076</t>
        </is>
      </c>
      <c r="J1436" s="7" t="inlineStr">
        <is>
          <t>Mécanique</t>
        </is>
      </c>
      <c r="K1436" s="7" t="inlineStr">
        <is>
          <t>P3 - Normale</t>
        </is>
      </c>
      <c r="L1436" s="7" t="inlineStr">
        <is>
          <t>Graissage chaîne / galets et contrôle tension</t>
        </is>
      </c>
      <c r="M1436" s="7" t="n"/>
      <c r="N1436" s="7" t="n"/>
      <c r="O1436" s="7" t="inlineStr">
        <is>
          <t>Lucas Fontaine</t>
        </is>
      </c>
      <c r="P1436" s="65" t="n">
        <v>46304.69444444445</v>
      </c>
      <c r="Q1436" s="75" t="n"/>
      <c r="R1436" s="75" t="n"/>
      <c r="S1436" s="76" t="n">
        <v>0</v>
      </c>
      <c r="T1436" s="76" t="n">
        <v>1.5</v>
      </c>
      <c r="U1436" s="70">
        <f>IF($A1436="","",IFERROR(INDEX('Techniciens'!$F$5:$F$44,MATCH(O1436,'Techniciens'!$B$5:$B$44,0)),'Paramètres'!$AA$10))</f>
        <v/>
      </c>
      <c r="V1436" s="70">
        <f>IF($A1436="","",IF(OR(AC1436="Demandé",AC1436="Planifié",AC1436="Annulé"),0,N(T1436)*N(U1436)))</f>
        <v/>
      </c>
      <c r="W1436" s="70">
        <f>IF($A1436="","",SUMIFS('Mouvements stock'!$H$5:$H$3004,'Mouvements stock'!$I$5:$I$3004,$A1436,'Mouvements stock'!$C$5:$C$3004,"Sortie")-SUMIFS('Mouvements stock'!$H$5:$H$3004,'Mouvements stock'!$I$5:$I$3004,$A1436,'Mouvements stock'!$C$5:$C$3004,"Retour"))</f>
        <v/>
      </c>
      <c r="X1436" s="66" t="n">
        <v>0</v>
      </c>
      <c r="Y1436" s="66" t="n">
        <v>0</v>
      </c>
      <c r="Z1436" s="7" t="n"/>
      <c r="AA1436" s="70">
        <f>IF($A1436="","",N(V1436)+N(W1436)+N(X1436)+N(Y1436))</f>
        <v/>
      </c>
      <c r="AB1436" s="70">
        <f>IF($A1436="","",N(S1436)*'Paramètres'!$AA$9*IFERROR(INDEX('Paramètres'!$O$5:$O$7,MATCH(G1436,'Paramètres'!$N$5:$N$7,0)),0))</f>
        <v/>
      </c>
      <c r="AC1436" s="7" t="inlineStr">
        <is>
          <t>Planifié</t>
        </is>
      </c>
      <c r="AD1436" s="69">
        <f>IF(OR($A1436="",Q1436=""),"",(Q1436-B1436)*24)</f>
        <v/>
      </c>
      <c r="AE1436" s="69">
        <f>IF(OR(Q1436="",R1436=""),"",(R1436-Q1436)*24)</f>
        <v/>
      </c>
      <c r="AF1436" s="77">
        <f>IF(OR($A1436="",B1436=""),"",YEAR(B1436))</f>
        <v/>
      </c>
      <c r="AG1436" s="77">
        <f>IF(OR($A1436="",B1436=""),"",MONTH(B1436))</f>
        <v/>
      </c>
    </row>
    <row r="1437">
      <c r="A1437" s="7" t="inlineStr">
        <is>
          <t>OT-2026-0582</t>
        </is>
      </c>
      <c r="B1437" s="75" t="n">
        <v>46296.36458333334</v>
      </c>
      <c r="C1437" s="7" t="inlineStr">
        <is>
          <t>Plan préventif</t>
        </is>
      </c>
      <c r="D1437" s="7" t="inlineStr">
        <is>
          <t>EQ-USI-004</t>
        </is>
      </c>
      <c r="E1437" s="9">
        <f>IF(D1437="","",IFERROR(INDEX('Équipements'!$B$5:$B$304,MATCH(D1437,'Équipements'!$A$5:$A$304,0)),"Code inconnu"))</f>
        <v/>
      </c>
      <c r="F1437" s="9">
        <f>IF(D1437="","",IFERROR(INDEX('Équipements'!$D$5:$D$304,MATCH(D1437,'Équipements'!$A$5:$A$304,0)),""))</f>
        <v/>
      </c>
      <c r="G1437" s="9">
        <f>IF(D1437="","",IFERROR(INDEX('Équipements'!$K$5:$K$304,MATCH(D1437,'Équipements'!$A$5:$A$304,0)),""))</f>
        <v/>
      </c>
      <c r="H1437" s="7" t="inlineStr">
        <is>
          <t>Préventif systématique</t>
        </is>
      </c>
      <c r="I1437" s="7" t="inlineStr">
        <is>
          <t>GP-013</t>
        </is>
      </c>
      <c r="J1437" s="7" t="inlineStr">
        <is>
          <t>Mécanique</t>
        </is>
      </c>
      <c r="K1437" s="7" t="inlineStr">
        <is>
          <t>P3 - Normale</t>
        </is>
      </c>
      <c r="L1437" s="7" t="inlineStr">
        <is>
          <t>Contrôle niveaux, nettoyage filtres et bac à copeaux</t>
        </is>
      </c>
      <c r="M1437" s="7" t="n"/>
      <c r="N1437" s="7" t="n"/>
      <c r="O1437" s="7" t="inlineStr">
        <is>
          <t>Lucas Fontaine</t>
        </is>
      </c>
      <c r="P1437" s="65" t="n">
        <v>46309.61111111111</v>
      </c>
      <c r="Q1437" s="75" t="n"/>
      <c r="R1437" s="75" t="n"/>
      <c r="S1437" s="76" t="n">
        <v>0</v>
      </c>
      <c r="T1437" s="76" t="n">
        <v>1</v>
      </c>
      <c r="U1437" s="70">
        <f>IF($A1437="","",IFERROR(INDEX('Techniciens'!$F$5:$F$44,MATCH(O1437,'Techniciens'!$B$5:$B$44,0)),'Paramètres'!$AA$10))</f>
        <v/>
      </c>
      <c r="V1437" s="70">
        <f>IF($A1437="","",IF(OR(AC1437="Demandé",AC1437="Planifié",AC1437="Annulé"),0,N(T1437)*N(U1437)))</f>
        <v/>
      </c>
      <c r="W1437" s="70">
        <f>IF($A1437="","",SUMIFS('Mouvements stock'!$H$5:$H$3004,'Mouvements stock'!$I$5:$I$3004,$A1437,'Mouvements stock'!$C$5:$C$3004,"Sortie")-SUMIFS('Mouvements stock'!$H$5:$H$3004,'Mouvements stock'!$I$5:$I$3004,$A1437,'Mouvements stock'!$C$5:$C$3004,"Retour"))</f>
        <v/>
      </c>
      <c r="X1437" s="66" t="n">
        <v>0</v>
      </c>
      <c r="Y1437" s="66" t="n">
        <v>0</v>
      </c>
      <c r="Z1437" s="7" t="n"/>
      <c r="AA1437" s="70">
        <f>IF($A1437="","",N(V1437)+N(W1437)+N(X1437)+N(Y1437))</f>
        <v/>
      </c>
      <c r="AB1437" s="70">
        <f>IF($A1437="","",N(S1437)*'Paramètres'!$AA$9*IFERROR(INDEX('Paramètres'!$O$5:$O$7,MATCH(G1437,'Paramètres'!$N$5:$N$7,0)),0))</f>
        <v/>
      </c>
      <c r="AC1437" s="7" t="inlineStr">
        <is>
          <t>Planifié</t>
        </is>
      </c>
      <c r="AD1437" s="69">
        <f>IF(OR($A1437="",Q1437=""),"",(Q1437-B1437)*24)</f>
        <v/>
      </c>
      <c r="AE1437" s="69">
        <f>IF(OR(Q1437="",R1437=""),"",(R1437-Q1437)*24)</f>
        <v/>
      </c>
      <c r="AF1437" s="77">
        <f>IF(OR($A1437="",B1437=""),"",YEAR(B1437))</f>
        <v/>
      </c>
      <c r="AG1437" s="77">
        <f>IF(OR($A1437="",B1437=""),"",MONTH(B1437))</f>
        <v/>
      </c>
    </row>
    <row r="1438">
      <c r="A1438" s="7" t="inlineStr">
        <is>
          <t>OT-2026-0583</t>
        </is>
      </c>
      <c r="B1438" s="75" t="n">
        <v>46296.36458333334</v>
      </c>
      <c r="C1438" s="7" t="inlineStr">
        <is>
          <t>Plan préventif</t>
        </is>
      </c>
      <c r="D1438" s="7" t="inlineStr">
        <is>
          <t>EQ-TOL-001</t>
        </is>
      </c>
      <c r="E1438" s="9">
        <f>IF(D1438="","",IFERROR(INDEX('Équipements'!$B$5:$B$304,MATCH(D1438,'Équipements'!$A$5:$A$304,0)),"Code inconnu"))</f>
        <v/>
      </c>
      <c r="F1438" s="9">
        <f>IF(D1438="","",IFERROR(INDEX('Équipements'!$D$5:$D$304,MATCH(D1438,'Équipements'!$A$5:$A$304,0)),""))</f>
        <v/>
      </c>
      <c r="G1438" s="9">
        <f>IF(D1438="","",IFERROR(INDEX('Équipements'!$K$5:$K$304,MATCH(D1438,'Équipements'!$A$5:$A$304,0)),""))</f>
        <v/>
      </c>
      <c r="H1438" s="7" t="inlineStr">
        <is>
          <t>Préventif systématique</t>
        </is>
      </c>
      <c r="I1438" s="7" t="inlineStr">
        <is>
          <t>GP-040</t>
        </is>
      </c>
      <c r="J1438" s="7" t="inlineStr">
        <is>
          <t>Multi-technique</t>
        </is>
      </c>
      <c r="K1438" s="7" t="inlineStr">
        <is>
          <t>P3 - Normale</t>
        </is>
      </c>
      <c r="L1438" s="7" t="inlineStr">
        <is>
          <t>Entretien annuel constructeur (source et tête de coupe)</t>
        </is>
      </c>
      <c r="M1438" s="7" t="n"/>
      <c r="N1438" s="7" t="n"/>
      <c r="O1438" s="7" t="inlineStr">
        <is>
          <t>Antoine Mercier</t>
        </is>
      </c>
      <c r="P1438" s="65" t="n">
        <v>46309.02430555555</v>
      </c>
      <c r="Q1438" s="75" t="n"/>
      <c r="R1438" s="75" t="n"/>
      <c r="S1438" s="76" t="n">
        <v>0</v>
      </c>
      <c r="T1438" s="76" t="n">
        <v>8</v>
      </c>
      <c r="U1438" s="70">
        <f>IF($A1438="","",IFERROR(INDEX('Techniciens'!$F$5:$F$44,MATCH(O1438,'Techniciens'!$B$5:$B$44,0)),'Paramètres'!$AA$10))</f>
        <v/>
      </c>
      <c r="V1438" s="70">
        <f>IF($A1438="","",IF(OR(AC1438="Demandé",AC1438="Planifié",AC1438="Annulé"),0,N(T1438)*N(U1438)))</f>
        <v/>
      </c>
      <c r="W1438" s="70">
        <f>IF($A1438="","",SUMIFS('Mouvements stock'!$H$5:$H$3004,'Mouvements stock'!$I$5:$I$3004,$A1438,'Mouvements stock'!$C$5:$C$3004,"Sortie")-SUMIFS('Mouvements stock'!$H$5:$H$3004,'Mouvements stock'!$I$5:$I$3004,$A1438,'Mouvements stock'!$C$5:$C$3004,"Retour"))</f>
        <v/>
      </c>
      <c r="X1438" s="66" t="n">
        <v>0</v>
      </c>
      <c r="Y1438" s="66" t="n">
        <v>0</v>
      </c>
      <c r="Z1438" s="7" t="inlineStr">
        <is>
          <t>LaserCare Services</t>
        </is>
      </c>
      <c r="AA1438" s="70">
        <f>IF($A1438="","",N(V1438)+N(W1438)+N(X1438)+N(Y1438))</f>
        <v/>
      </c>
      <c r="AB1438" s="70">
        <f>IF($A1438="","",N(S1438)*'Paramètres'!$AA$9*IFERROR(INDEX('Paramètres'!$O$5:$O$7,MATCH(G1438,'Paramètres'!$N$5:$N$7,0)),0))</f>
        <v/>
      </c>
      <c r="AC1438" s="7" t="inlineStr">
        <is>
          <t>Planifié</t>
        </is>
      </c>
      <c r="AD1438" s="69">
        <f>IF(OR($A1438="",Q1438=""),"",(Q1438-B1438)*24)</f>
        <v/>
      </c>
      <c r="AE1438" s="69">
        <f>IF(OR(Q1438="",R1438=""),"",(R1438-Q1438)*24)</f>
        <v/>
      </c>
      <c r="AF1438" s="77">
        <f>IF(OR($A1438="",B1438=""),"",YEAR(B1438))</f>
        <v/>
      </c>
      <c r="AG1438" s="77">
        <f>IF(OR($A1438="",B1438=""),"",MONTH(B1438))</f>
        <v/>
      </c>
    </row>
    <row r="1439">
      <c r="A1439" s="7" t="inlineStr">
        <is>
          <t>OT-2026-0584</t>
        </is>
      </c>
      <c r="B1439" s="75" t="n">
        <v>46296.38888888889</v>
      </c>
      <c r="C1439" s="7" t="inlineStr">
        <is>
          <t>Plan préventif</t>
        </is>
      </c>
      <c r="D1439" s="7" t="inlineStr">
        <is>
          <t>EQ-USI-009</t>
        </is>
      </c>
      <c r="E1439" s="9">
        <f>IF(D1439="","",IFERROR(INDEX('Équipements'!$B$5:$B$304,MATCH(D1439,'Équipements'!$A$5:$A$304,0)),"Code inconnu"))</f>
        <v/>
      </c>
      <c r="F1439" s="9">
        <f>IF(D1439="","",IFERROR(INDEX('Équipements'!$D$5:$D$304,MATCH(D1439,'Équipements'!$A$5:$A$304,0)),""))</f>
        <v/>
      </c>
      <c r="G1439" s="9">
        <f>IF(D1439="","",IFERROR(INDEX('Équipements'!$K$5:$K$304,MATCH(D1439,'Équipements'!$A$5:$A$304,0)),""))</f>
        <v/>
      </c>
      <c r="H1439" s="7" t="inlineStr">
        <is>
          <t>Préventif systématique</t>
        </is>
      </c>
      <c r="I1439" s="7" t="inlineStr">
        <is>
          <t>GP-030</t>
        </is>
      </c>
      <c r="J1439" s="7" t="inlineStr">
        <is>
          <t>Mécanique</t>
        </is>
      </c>
      <c r="K1439" s="7" t="inlineStr">
        <is>
          <t>P3 - Normale</t>
        </is>
      </c>
      <c r="L1439" s="7" t="inlineStr">
        <is>
          <t>Contrôle lame, guides et liquide de coupe</t>
        </is>
      </c>
      <c r="M1439" s="7" t="n"/>
      <c r="N1439" s="7" t="n"/>
      <c r="O1439" s="7" t="inlineStr">
        <is>
          <t>Karim Benali</t>
        </is>
      </c>
      <c r="P1439" s="65" t="n">
        <v>46307.41319444445</v>
      </c>
      <c r="Q1439" s="75" t="n"/>
      <c r="R1439" s="75" t="n"/>
      <c r="S1439" s="76" t="n">
        <v>0</v>
      </c>
      <c r="T1439" s="76" t="n">
        <v>0.5</v>
      </c>
      <c r="U1439" s="70">
        <f>IF($A1439="","",IFERROR(INDEX('Techniciens'!$F$5:$F$44,MATCH(O1439,'Techniciens'!$B$5:$B$44,0)),'Paramètres'!$AA$10))</f>
        <v/>
      </c>
      <c r="V1439" s="70">
        <f>IF($A1439="","",IF(OR(AC1439="Demandé",AC1439="Planifié",AC1439="Annulé"),0,N(T1439)*N(U1439)))</f>
        <v/>
      </c>
      <c r="W1439" s="70">
        <f>IF($A1439="","",SUMIFS('Mouvements stock'!$H$5:$H$3004,'Mouvements stock'!$I$5:$I$3004,$A1439,'Mouvements stock'!$C$5:$C$3004,"Sortie")-SUMIFS('Mouvements stock'!$H$5:$H$3004,'Mouvements stock'!$I$5:$I$3004,$A1439,'Mouvements stock'!$C$5:$C$3004,"Retour"))</f>
        <v/>
      </c>
      <c r="X1439" s="66" t="n">
        <v>0</v>
      </c>
      <c r="Y1439" s="66" t="n">
        <v>0</v>
      </c>
      <c r="Z1439" s="7" t="n"/>
      <c r="AA1439" s="70">
        <f>IF($A1439="","",N(V1439)+N(W1439)+N(X1439)+N(Y1439))</f>
        <v/>
      </c>
      <c r="AB1439" s="70">
        <f>IF($A1439="","",N(S1439)*'Paramètres'!$AA$9*IFERROR(INDEX('Paramètres'!$O$5:$O$7,MATCH(G1439,'Paramètres'!$N$5:$N$7,0)),0))</f>
        <v/>
      </c>
      <c r="AC1439" s="7" t="inlineStr">
        <is>
          <t>Planifié</t>
        </is>
      </c>
      <c r="AD1439" s="69">
        <f>IF(OR($A1439="",Q1439=""),"",(Q1439-B1439)*24)</f>
        <v/>
      </c>
      <c r="AE1439" s="69">
        <f>IF(OR(Q1439="",R1439=""),"",(R1439-Q1439)*24)</f>
        <v/>
      </c>
      <c r="AF1439" s="77">
        <f>IF(OR($A1439="",B1439=""),"",YEAR(B1439))</f>
        <v/>
      </c>
      <c r="AG1439" s="77">
        <f>IF(OR($A1439="",B1439=""),"",MONTH(B1439))</f>
        <v/>
      </c>
    </row>
    <row r="1440">
      <c r="A1440" s="7" t="inlineStr">
        <is>
          <t>OT-2026-0585</t>
        </is>
      </c>
      <c r="B1440" s="75" t="n">
        <v>46296.39583333334</v>
      </c>
      <c r="C1440" s="7" t="inlineStr">
        <is>
          <t>Plan préventif</t>
        </is>
      </c>
      <c r="D1440" s="7" t="inlineStr">
        <is>
          <t>EQ-TOL-007</t>
        </is>
      </c>
      <c r="E1440" s="9">
        <f>IF(D1440="","",IFERROR(INDEX('Équipements'!$B$5:$B$304,MATCH(D1440,'Équipements'!$A$5:$A$304,0)),"Code inconnu"))</f>
        <v/>
      </c>
      <c r="F1440" s="9">
        <f>IF(D1440="","",IFERROR(INDEX('Équipements'!$D$5:$D$304,MATCH(D1440,'Équipements'!$A$5:$A$304,0)),""))</f>
        <v/>
      </c>
      <c r="G1440" s="9">
        <f>IF(D1440="","",IFERROR(INDEX('Équipements'!$K$5:$K$304,MATCH(D1440,'Équipements'!$A$5:$A$304,0)),""))</f>
        <v/>
      </c>
      <c r="H1440" s="7" t="inlineStr">
        <is>
          <t>Préventif systématique</t>
        </is>
      </c>
      <c r="I1440" s="7" t="inlineStr">
        <is>
          <t>GP-056</t>
        </is>
      </c>
      <c r="J1440" s="7" t="inlineStr">
        <is>
          <t>Mécanique</t>
        </is>
      </c>
      <c r="K1440" s="7" t="inlineStr">
        <is>
          <t>P3 - Normale</t>
        </is>
      </c>
      <c r="L1440" s="7" t="inlineStr">
        <is>
          <t>Graissage chaîne / galets et contrôle tension</t>
        </is>
      </c>
      <c r="M1440" s="7" t="n"/>
      <c r="N1440" s="7" t="n"/>
      <c r="O1440" s="7" t="inlineStr">
        <is>
          <t>Antoine Mercier</t>
        </is>
      </c>
      <c r="P1440" s="65" t="n">
        <v>46307.69444444445</v>
      </c>
      <c r="Q1440" s="75" t="n"/>
      <c r="R1440" s="75" t="n"/>
      <c r="S1440" s="76" t="n">
        <v>0</v>
      </c>
      <c r="T1440" s="76" t="n">
        <v>1.5</v>
      </c>
      <c r="U1440" s="70">
        <f>IF($A1440="","",IFERROR(INDEX('Techniciens'!$F$5:$F$44,MATCH(O1440,'Techniciens'!$B$5:$B$44,0)),'Paramètres'!$AA$10))</f>
        <v/>
      </c>
      <c r="V1440" s="70">
        <f>IF($A1440="","",IF(OR(AC1440="Demandé",AC1440="Planifié",AC1440="Annulé"),0,N(T1440)*N(U1440)))</f>
        <v/>
      </c>
      <c r="W1440" s="70">
        <f>IF($A1440="","",SUMIFS('Mouvements stock'!$H$5:$H$3004,'Mouvements stock'!$I$5:$I$3004,$A1440,'Mouvements stock'!$C$5:$C$3004,"Sortie")-SUMIFS('Mouvements stock'!$H$5:$H$3004,'Mouvements stock'!$I$5:$I$3004,$A1440,'Mouvements stock'!$C$5:$C$3004,"Retour"))</f>
        <v/>
      </c>
      <c r="X1440" s="66" t="n">
        <v>0</v>
      </c>
      <c r="Y1440" s="66" t="n">
        <v>0</v>
      </c>
      <c r="Z1440" s="7" t="n"/>
      <c r="AA1440" s="70">
        <f>IF($A1440="","",N(V1440)+N(W1440)+N(X1440)+N(Y1440))</f>
        <v/>
      </c>
      <c r="AB1440" s="70">
        <f>IF($A1440="","",N(S1440)*'Paramètres'!$AA$9*IFERROR(INDEX('Paramètres'!$O$5:$O$7,MATCH(G1440,'Paramètres'!$N$5:$N$7,0)),0))</f>
        <v/>
      </c>
      <c r="AC1440" s="7" t="inlineStr">
        <is>
          <t>Planifié</t>
        </is>
      </c>
      <c r="AD1440" s="69">
        <f>IF(OR($A1440="",Q1440=""),"",(Q1440-B1440)*24)</f>
        <v/>
      </c>
      <c r="AE1440" s="69">
        <f>IF(OR(Q1440="",R1440=""),"",(R1440-Q1440)*24)</f>
        <v/>
      </c>
      <c r="AF1440" s="77">
        <f>IF(OR($A1440="",B1440=""),"",YEAR(B1440))</f>
        <v/>
      </c>
      <c r="AG1440" s="77">
        <f>IF(OR($A1440="",B1440=""),"",MONTH(B1440))</f>
        <v/>
      </c>
    </row>
    <row r="1441">
      <c r="A1441" s="7" t="inlineStr">
        <is>
          <t>OT-2026-0586</t>
        </is>
      </c>
      <c r="B1441" s="75" t="n">
        <v>46296.41666666666</v>
      </c>
      <c r="C1441" s="7" t="inlineStr">
        <is>
          <t>Plan préventif</t>
        </is>
      </c>
      <c r="D1441" s="7" t="inlineStr">
        <is>
          <t>EQ-USI-001</t>
        </is>
      </c>
      <c r="E1441" s="9">
        <f>IF(D1441="","",IFERROR(INDEX('Équipements'!$B$5:$B$304,MATCH(D1441,'Équipements'!$A$5:$A$304,0)),"Code inconnu"))</f>
        <v/>
      </c>
      <c r="F1441" s="9">
        <f>IF(D1441="","",IFERROR(INDEX('Équipements'!$D$5:$D$304,MATCH(D1441,'Équipements'!$A$5:$A$304,0)),""))</f>
        <v/>
      </c>
      <c r="G1441" s="9">
        <f>IF(D1441="","",IFERROR(INDEX('Équipements'!$K$5:$K$304,MATCH(D1441,'Équipements'!$A$5:$A$304,0)),""))</f>
        <v/>
      </c>
      <c r="H1441" s="7" t="inlineStr">
        <is>
          <t>Préventif systématique</t>
        </is>
      </c>
      <c r="I1441" s="7" t="inlineStr">
        <is>
          <t>GP-001</t>
        </is>
      </c>
      <c r="J1441" s="7" t="inlineStr">
        <is>
          <t>Mécanique</t>
        </is>
      </c>
      <c r="K1441" s="7" t="inlineStr">
        <is>
          <t>P3 - Normale</t>
        </is>
      </c>
      <c r="L1441" s="7" t="inlineStr">
        <is>
          <t>Contrôle niveaux, nettoyage filtres et bac à copeaux</t>
        </is>
      </c>
      <c r="M1441" s="7" t="n"/>
      <c r="N1441" s="7" t="n"/>
      <c r="O1441" s="7" t="inlineStr">
        <is>
          <t>Antoine Mercier</t>
        </is>
      </c>
      <c r="P1441" s="65" t="n">
        <v>46310.41666666666</v>
      </c>
      <c r="Q1441" s="75" t="n"/>
      <c r="R1441" s="75" t="n"/>
      <c r="S1441" s="76" t="n">
        <v>0</v>
      </c>
      <c r="T1441" s="76" t="n">
        <v>1</v>
      </c>
      <c r="U1441" s="70">
        <f>IF($A1441="","",IFERROR(INDEX('Techniciens'!$F$5:$F$44,MATCH(O1441,'Techniciens'!$B$5:$B$44,0)),'Paramètres'!$AA$10))</f>
        <v/>
      </c>
      <c r="V1441" s="70">
        <f>IF($A1441="","",IF(OR(AC1441="Demandé",AC1441="Planifié",AC1441="Annulé"),0,N(T1441)*N(U1441)))</f>
        <v/>
      </c>
      <c r="W1441" s="70">
        <f>IF($A1441="","",SUMIFS('Mouvements stock'!$H$5:$H$3004,'Mouvements stock'!$I$5:$I$3004,$A1441,'Mouvements stock'!$C$5:$C$3004,"Sortie")-SUMIFS('Mouvements stock'!$H$5:$H$3004,'Mouvements stock'!$I$5:$I$3004,$A1441,'Mouvements stock'!$C$5:$C$3004,"Retour"))</f>
        <v/>
      </c>
      <c r="X1441" s="66" t="n">
        <v>0</v>
      </c>
      <c r="Y1441" s="66" t="n">
        <v>0</v>
      </c>
      <c r="Z1441" s="7" t="n"/>
      <c r="AA1441" s="70">
        <f>IF($A1441="","",N(V1441)+N(W1441)+N(X1441)+N(Y1441))</f>
        <v/>
      </c>
      <c r="AB1441" s="70">
        <f>IF($A1441="","",N(S1441)*'Paramètres'!$AA$9*IFERROR(INDEX('Paramètres'!$O$5:$O$7,MATCH(G1441,'Paramètres'!$N$5:$N$7,0)),0))</f>
        <v/>
      </c>
      <c r="AC1441" s="7" t="inlineStr">
        <is>
          <t>Planifié</t>
        </is>
      </c>
      <c r="AD1441" s="69">
        <f>IF(OR($A1441="",Q1441=""),"",(Q1441-B1441)*24)</f>
        <v/>
      </c>
      <c r="AE1441" s="69">
        <f>IF(OR(Q1441="",R1441=""),"",(R1441-Q1441)*24)</f>
        <v/>
      </c>
      <c r="AF1441" s="77">
        <f>IF(OR($A1441="",B1441=""),"",YEAR(B1441))</f>
        <v/>
      </c>
      <c r="AG1441" s="77">
        <f>IF(OR($A1441="",B1441=""),"",MONTH(B1441))</f>
        <v/>
      </c>
    </row>
    <row r="1442">
      <c r="A1442" s="7" t="inlineStr">
        <is>
          <t>OT-2026-0587</t>
        </is>
      </c>
      <c r="B1442" s="75" t="n">
        <v>46296.42708333334</v>
      </c>
      <c r="C1442" s="7" t="inlineStr">
        <is>
          <t>Plan préventif</t>
        </is>
      </c>
      <c r="D1442" s="7" t="inlineStr">
        <is>
          <t>EQ-TOL-001</t>
        </is>
      </c>
      <c r="E1442" s="9">
        <f>IF(D1442="","",IFERROR(INDEX('Équipements'!$B$5:$B$304,MATCH(D1442,'Équipements'!$A$5:$A$304,0)),"Code inconnu"))</f>
        <v/>
      </c>
      <c r="F1442" s="9">
        <f>IF(D1442="","",IFERROR(INDEX('Équipements'!$D$5:$D$304,MATCH(D1442,'Équipements'!$A$5:$A$304,0)),""))</f>
        <v/>
      </c>
      <c r="G1442" s="9">
        <f>IF(D1442="","",IFERROR(INDEX('Équipements'!$K$5:$K$304,MATCH(D1442,'Équipements'!$A$5:$A$304,0)),""))</f>
        <v/>
      </c>
      <c r="H1442" s="7" t="inlineStr">
        <is>
          <t>Préventif systématique</t>
        </is>
      </c>
      <c r="I1442" s="7" t="inlineStr">
        <is>
          <t>GP-038</t>
        </is>
      </c>
      <c r="J1442" s="7" t="inlineStr">
        <is>
          <t>Mécanique</t>
        </is>
      </c>
      <c r="K1442" s="7" t="inlineStr">
        <is>
          <t>P3 - Normale</t>
        </is>
      </c>
      <c r="L1442" s="7" t="inlineStr">
        <is>
          <t>Nettoyage optique, contrôle buse et lentille</t>
        </is>
      </c>
      <c r="M1442" s="7" t="n"/>
      <c r="N1442" s="7" t="n"/>
      <c r="O1442" s="7" t="inlineStr">
        <is>
          <t>Karim Benali</t>
        </is>
      </c>
      <c r="P1442" s="65" t="n">
        <v>46303.69097222222</v>
      </c>
      <c r="Q1442" s="75" t="n"/>
      <c r="R1442" s="75" t="n"/>
      <c r="S1442" s="76" t="n">
        <v>0</v>
      </c>
      <c r="T1442" s="76" t="n">
        <v>1.5</v>
      </c>
      <c r="U1442" s="70">
        <f>IF($A1442="","",IFERROR(INDEX('Techniciens'!$F$5:$F$44,MATCH(O1442,'Techniciens'!$B$5:$B$44,0)),'Paramètres'!$AA$10))</f>
        <v/>
      </c>
      <c r="V1442" s="70">
        <f>IF($A1442="","",IF(OR(AC1442="Demandé",AC1442="Planifié",AC1442="Annulé"),0,N(T1442)*N(U1442)))</f>
        <v/>
      </c>
      <c r="W1442" s="70">
        <f>IF($A1442="","",SUMIFS('Mouvements stock'!$H$5:$H$3004,'Mouvements stock'!$I$5:$I$3004,$A1442,'Mouvements stock'!$C$5:$C$3004,"Sortie")-SUMIFS('Mouvements stock'!$H$5:$H$3004,'Mouvements stock'!$I$5:$I$3004,$A1442,'Mouvements stock'!$C$5:$C$3004,"Retour"))</f>
        <v/>
      </c>
      <c r="X1442" s="66" t="n">
        <v>0</v>
      </c>
      <c r="Y1442" s="66" t="n">
        <v>0</v>
      </c>
      <c r="Z1442" s="7" t="n"/>
      <c r="AA1442" s="70">
        <f>IF($A1442="","",N(V1442)+N(W1442)+N(X1442)+N(Y1442))</f>
        <v/>
      </c>
      <c r="AB1442" s="70">
        <f>IF($A1442="","",N(S1442)*'Paramètres'!$AA$9*IFERROR(INDEX('Paramètres'!$O$5:$O$7,MATCH(G1442,'Paramètres'!$N$5:$N$7,0)),0))</f>
        <v/>
      </c>
      <c r="AC1442" s="7" t="inlineStr">
        <is>
          <t>Planifié</t>
        </is>
      </c>
      <c r="AD1442" s="69">
        <f>IF(OR($A1442="",Q1442=""),"",(Q1442-B1442)*24)</f>
        <v/>
      </c>
      <c r="AE1442" s="69">
        <f>IF(OR(Q1442="",R1442=""),"",(R1442-Q1442)*24)</f>
        <v/>
      </c>
      <c r="AF1442" s="77">
        <f>IF(OR($A1442="",B1442=""),"",YEAR(B1442))</f>
        <v/>
      </c>
      <c r="AG1442" s="77">
        <f>IF(OR($A1442="",B1442=""),"",MONTH(B1442))</f>
        <v/>
      </c>
    </row>
    <row r="1443">
      <c r="A1443" s="7" t="inlineStr">
        <is>
          <t>OT-2026-0588</t>
        </is>
      </c>
      <c r="B1443" s="75" t="n">
        <v>46296.44444444445</v>
      </c>
      <c r="C1443" s="7" t="inlineStr">
        <is>
          <t>Plan préventif</t>
        </is>
      </c>
      <c r="D1443" s="7" t="inlineStr">
        <is>
          <t>EQ-ASS-002</t>
        </is>
      </c>
      <c r="E1443" s="9">
        <f>IF(D1443="","",IFERROR(INDEX('Équipements'!$B$5:$B$304,MATCH(D1443,'Équipements'!$A$5:$A$304,0)),"Code inconnu"))</f>
        <v/>
      </c>
      <c r="F1443" s="9">
        <f>IF(D1443="","",IFERROR(INDEX('Équipements'!$D$5:$D$304,MATCH(D1443,'Équipements'!$A$5:$A$304,0)),""))</f>
        <v/>
      </c>
      <c r="G1443" s="9">
        <f>IF(D1443="","",IFERROR(INDEX('Équipements'!$K$5:$K$304,MATCH(D1443,'Équipements'!$A$5:$A$304,0)),""))</f>
        <v/>
      </c>
      <c r="H1443" s="7" t="inlineStr">
        <is>
          <t>Préventif systématique</t>
        </is>
      </c>
      <c r="I1443" s="7" t="inlineStr">
        <is>
          <t>GP-078</t>
        </is>
      </c>
      <c r="J1443" s="7" t="inlineStr">
        <is>
          <t>Hydraulique</t>
        </is>
      </c>
      <c r="K1443" s="7" t="inlineStr">
        <is>
          <t>P3 - Normale</t>
        </is>
      </c>
      <c r="L1443" s="7" t="inlineStr">
        <is>
          <t>Contrôle hydraulique : fuites, niveaux, pressions</t>
        </is>
      </c>
      <c r="M1443" s="7" t="n"/>
      <c r="N1443" s="7" t="n"/>
      <c r="O1443" s="7" t="inlineStr">
        <is>
          <t>Karim Benali</t>
        </is>
      </c>
      <c r="P1443" s="65" t="n">
        <v>46308.54166666666</v>
      </c>
      <c r="Q1443" s="75" t="n"/>
      <c r="R1443" s="75" t="n"/>
      <c r="S1443" s="76" t="n">
        <v>0</v>
      </c>
      <c r="T1443" s="76" t="n">
        <v>1.5</v>
      </c>
      <c r="U1443" s="70">
        <f>IF($A1443="","",IFERROR(INDEX('Techniciens'!$F$5:$F$44,MATCH(O1443,'Techniciens'!$B$5:$B$44,0)),'Paramètres'!$AA$10))</f>
        <v/>
      </c>
      <c r="V1443" s="70">
        <f>IF($A1443="","",IF(OR(AC1443="Demandé",AC1443="Planifié",AC1443="Annulé"),0,N(T1443)*N(U1443)))</f>
        <v/>
      </c>
      <c r="W1443" s="70">
        <f>IF($A1443="","",SUMIFS('Mouvements stock'!$H$5:$H$3004,'Mouvements stock'!$I$5:$I$3004,$A1443,'Mouvements stock'!$C$5:$C$3004,"Sortie")-SUMIFS('Mouvements stock'!$H$5:$H$3004,'Mouvements stock'!$I$5:$I$3004,$A1443,'Mouvements stock'!$C$5:$C$3004,"Retour"))</f>
        <v/>
      </c>
      <c r="X1443" s="66" t="n">
        <v>0</v>
      </c>
      <c r="Y1443" s="66" t="n">
        <v>0</v>
      </c>
      <c r="Z1443" s="7" t="n"/>
      <c r="AA1443" s="70">
        <f>IF($A1443="","",N(V1443)+N(W1443)+N(X1443)+N(Y1443))</f>
        <v/>
      </c>
      <c r="AB1443" s="70">
        <f>IF($A1443="","",N(S1443)*'Paramètres'!$AA$9*IFERROR(INDEX('Paramètres'!$O$5:$O$7,MATCH(G1443,'Paramètres'!$N$5:$N$7,0)),0))</f>
        <v/>
      </c>
      <c r="AC1443" s="7" t="inlineStr">
        <is>
          <t>Planifié</t>
        </is>
      </c>
      <c r="AD1443" s="69">
        <f>IF(OR($A1443="",Q1443=""),"",(Q1443-B1443)*24)</f>
        <v/>
      </c>
      <c r="AE1443" s="69">
        <f>IF(OR(Q1443="",R1443=""),"",(R1443-Q1443)*24)</f>
        <v/>
      </c>
      <c r="AF1443" s="77">
        <f>IF(OR($A1443="",B1443=""),"",YEAR(B1443))</f>
        <v/>
      </c>
      <c r="AG1443" s="77">
        <f>IF(OR($A1443="",B1443=""),"",MONTH(B1443))</f>
        <v/>
      </c>
    </row>
    <row r="1444">
      <c r="A1444" s="7" t="inlineStr">
        <is>
          <t>OT-2026-0589</t>
        </is>
      </c>
      <c r="B1444" s="75" t="n">
        <v>46296.47222222222</v>
      </c>
      <c r="C1444" s="7" t="inlineStr">
        <is>
          <t>Plan préventif</t>
        </is>
      </c>
      <c r="D1444" s="7" t="inlineStr">
        <is>
          <t>EQ-ASS-002</t>
        </is>
      </c>
      <c r="E1444" s="9">
        <f>IF(D1444="","",IFERROR(INDEX('Équipements'!$B$5:$B$304,MATCH(D1444,'Équipements'!$A$5:$A$304,0)),"Code inconnu"))</f>
        <v/>
      </c>
      <c r="F1444" s="9">
        <f>IF(D1444="","",IFERROR(INDEX('Équipements'!$D$5:$D$304,MATCH(D1444,'Équipements'!$A$5:$A$304,0)),""))</f>
        <v/>
      </c>
      <c r="G1444" s="9">
        <f>IF(D1444="","",IFERROR(INDEX('Équipements'!$K$5:$K$304,MATCH(D1444,'Équipements'!$A$5:$A$304,0)),""))</f>
        <v/>
      </c>
      <c r="H1444" s="7" t="inlineStr">
        <is>
          <t>Préventif conditionnel</t>
        </is>
      </c>
      <c r="I1444" s="7" t="inlineStr">
        <is>
          <t>GP-079</t>
        </is>
      </c>
      <c r="J1444" s="7" t="inlineStr">
        <is>
          <t>Hydraulique</t>
        </is>
      </c>
      <c r="K1444" s="7" t="inlineStr">
        <is>
          <t>P3 - Normale</t>
        </is>
      </c>
      <c r="L1444" s="7" t="inlineStr">
        <is>
          <t>Vidange huile hydraulique et filtres</t>
        </is>
      </c>
      <c r="M1444" s="7" t="n"/>
      <c r="N1444" s="7" t="n"/>
      <c r="O1444" s="7" t="inlineStr">
        <is>
          <t>Antoine Mercier</t>
        </is>
      </c>
      <c r="P1444" s="65" t="n">
        <v>46309</v>
      </c>
      <c r="Q1444" s="75" t="n"/>
      <c r="R1444" s="75" t="n"/>
      <c r="S1444" s="76" t="n">
        <v>0</v>
      </c>
      <c r="T1444" s="76" t="n">
        <v>4</v>
      </c>
      <c r="U1444" s="70">
        <f>IF($A1444="","",IFERROR(INDEX('Techniciens'!$F$5:$F$44,MATCH(O1444,'Techniciens'!$B$5:$B$44,0)),'Paramètres'!$AA$10))</f>
        <v/>
      </c>
      <c r="V1444" s="70">
        <f>IF($A1444="","",IF(OR(AC1444="Demandé",AC1444="Planifié",AC1444="Annulé"),0,N(T1444)*N(U1444)))</f>
        <v/>
      </c>
      <c r="W1444" s="70">
        <f>IF($A1444="","",SUMIFS('Mouvements stock'!$H$5:$H$3004,'Mouvements stock'!$I$5:$I$3004,$A1444,'Mouvements stock'!$C$5:$C$3004,"Sortie")-SUMIFS('Mouvements stock'!$H$5:$H$3004,'Mouvements stock'!$I$5:$I$3004,$A1444,'Mouvements stock'!$C$5:$C$3004,"Retour"))</f>
        <v/>
      </c>
      <c r="X1444" s="66" t="n">
        <v>0</v>
      </c>
      <c r="Y1444" s="66" t="n">
        <v>0</v>
      </c>
      <c r="Z1444" s="7" t="n"/>
      <c r="AA1444" s="70">
        <f>IF($A1444="","",N(V1444)+N(W1444)+N(X1444)+N(Y1444))</f>
        <v/>
      </c>
      <c r="AB1444" s="70">
        <f>IF($A1444="","",N(S1444)*'Paramètres'!$AA$9*IFERROR(INDEX('Paramètres'!$O$5:$O$7,MATCH(G1444,'Paramètres'!$N$5:$N$7,0)),0))</f>
        <v/>
      </c>
      <c r="AC1444" s="7" t="inlineStr">
        <is>
          <t>Planifié</t>
        </is>
      </c>
      <c r="AD1444" s="69">
        <f>IF(OR($A1444="",Q1444=""),"",(Q1444-B1444)*24)</f>
        <v/>
      </c>
      <c r="AE1444" s="69">
        <f>IF(OR(Q1444="",R1444=""),"",(R1444-Q1444)*24)</f>
        <v/>
      </c>
      <c r="AF1444" s="77">
        <f>IF(OR($A1444="",B1444=""),"",YEAR(B1444))</f>
        <v/>
      </c>
      <c r="AG1444" s="77">
        <f>IF(OR($A1444="",B1444=""),"",MONTH(B1444))</f>
        <v/>
      </c>
    </row>
    <row r="1445">
      <c r="A1445" s="7" t="inlineStr">
        <is>
          <t>OT-2026-0590</t>
        </is>
      </c>
      <c r="B1445" s="75" t="n">
        <v>46296.49305555555</v>
      </c>
      <c r="C1445" s="7" t="inlineStr">
        <is>
          <t>Plan préventif</t>
        </is>
      </c>
      <c r="D1445" s="7" t="inlineStr">
        <is>
          <t>EQ-ASS-005</t>
        </is>
      </c>
      <c r="E1445" s="9">
        <f>IF(D1445="","",IFERROR(INDEX('Équipements'!$B$5:$B$304,MATCH(D1445,'Équipements'!$A$5:$A$304,0)),"Code inconnu"))</f>
        <v/>
      </c>
      <c r="F1445" s="9">
        <f>IF(D1445="","",IFERROR(INDEX('Équipements'!$D$5:$D$304,MATCH(D1445,'Équipements'!$A$5:$A$304,0)),""))</f>
        <v/>
      </c>
      <c r="G1445" s="9">
        <f>IF(D1445="","",IFERROR(INDEX('Équipements'!$K$5:$K$304,MATCH(D1445,'Équipements'!$A$5:$A$304,0)),""))</f>
        <v/>
      </c>
      <c r="H1445" s="7" t="inlineStr">
        <is>
          <t>Préventif systématique</t>
        </is>
      </c>
      <c r="I1445" s="7" t="inlineStr">
        <is>
          <t>GP-084</t>
        </is>
      </c>
      <c r="J1445" s="7" t="inlineStr">
        <is>
          <t>Automatisme</t>
        </is>
      </c>
      <c r="K1445" s="7" t="inlineStr">
        <is>
          <t>P3 - Normale</t>
        </is>
      </c>
      <c r="L1445" s="7" t="inlineStr">
        <is>
          <t>Contrôle, nettoyage et sauvegarde programmes</t>
        </is>
      </c>
      <c r="M1445" s="7" t="n"/>
      <c r="N1445" s="7" t="n"/>
      <c r="O1445" s="7" t="inlineStr">
        <is>
          <t>Sophie Garnier</t>
        </is>
      </c>
      <c r="P1445" s="65" t="n">
        <v>46307.53472222222</v>
      </c>
      <c r="Q1445" s="75" t="n"/>
      <c r="R1445" s="75" t="n"/>
      <c r="S1445" s="76" t="n">
        <v>0</v>
      </c>
      <c r="T1445" s="76" t="n">
        <v>1</v>
      </c>
      <c r="U1445" s="70">
        <f>IF($A1445="","",IFERROR(INDEX('Techniciens'!$F$5:$F$44,MATCH(O1445,'Techniciens'!$B$5:$B$44,0)),'Paramètres'!$AA$10))</f>
        <v/>
      </c>
      <c r="V1445" s="70">
        <f>IF($A1445="","",IF(OR(AC1445="Demandé",AC1445="Planifié",AC1445="Annulé"),0,N(T1445)*N(U1445)))</f>
        <v/>
      </c>
      <c r="W1445" s="70">
        <f>IF($A1445="","",SUMIFS('Mouvements stock'!$H$5:$H$3004,'Mouvements stock'!$I$5:$I$3004,$A1445,'Mouvements stock'!$C$5:$C$3004,"Sortie")-SUMIFS('Mouvements stock'!$H$5:$H$3004,'Mouvements stock'!$I$5:$I$3004,$A1445,'Mouvements stock'!$C$5:$C$3004,"Retour"))</f>
        <v/>
      </c>
      <c r="X1445" s="66" t="n">
        <v>0</v>
      </c>
      <c r="Y1445" s="66" t="n">
        <v>0</v>
      </c>
      <c r="Z1445" s="7" t="n"/>
      <c r="AA1445" s="70">
        <f>IF($A1445="","",N(V1445)+N(W1445)+N(X1445)+N(Y1445))</f>
        <v/>
      </c>
      <c r="AB1445" s="70">
        <f>IF($A1445="","",N(S1445)*'Paramètres'!$AA$9*IFERROR(INDEX('Paramètres'!$O$5:$O$7,MATCH(G1445,'Paramètres'!$N$5:$N$7,0)),0))</f>
        <v/>
      </c>
      <c r="AC1445" s="7" t="inlineStr">
        <is>
          <t>Planifié</t>
        </is>
      </c>
      <c r="AD1445" s="69">
        <f>IF(OR($A1445="",Q1445=""),"",(Q1445-B1445)*24)</f>
        <v/>
      </c>
      <c r="AE1445" s="69">
        <f>IF(OR(Q1445="",R1445=""),"",(R1445-Q1445)*24)</f>
        <v/>
      </c>
      <c r="AF1445" s="77">
        <f>IF(OR($A1445="",B1445=""),"",YEAR(B1445))</f>
        <v/>
      </c>
      <c r="AG1445" s="77">
        <f>IF(OR($A1445="",B1445=""),"",MONTH(B1445))</f>
        <v/>
      </c>
    </row>
    <row r="1446">
      <c r="A1446" s="7" t="n"/>
      <c r="B1446" s="75" t="n"/>
      <c r="C1446" s="7" t="n"/>
      <c r="D1446" s="7" t="n"/>
      <c r="E1446" s="9">
        <f>IF(D1446="","",IFERROR(INDEX('Équipements'!$B$5:$B$304,MATCH(D1446,'Équipements'!$A$5:$A$304,0)),"Code inconnu"))</f>
        <v/>
      </c>
      <c r="F1446" s="9">
        <f>IF(D1446="","",IFERROR(INDEX('Équipements'!$D$5:$D$304,MATCH(D1446,'Équipements'!$A$5:$A$304,0)),""))</f>
        <v/>
      </c>
      <c r="G1446" s="9">
        <f>IF(D1446="","",IFERROR(INDEX('Équipements'!$K$5:$K$304,MATCH(D1446,'Équipements'!$A$5:$A$304,0)),""))</f>
        <v/>
      </c>
      <c r="H1446" s="7" t="n"/>
      <c r="I1446" s="7" t="n"/>
      <c r="J1446" s="7" t="n"/>
      <c r="K1446" s="7" t="n"/>
      <c r="L1446" s="7" t="n"/>
      <c r="M1446" s="7" t="n"/>
      <c r="N1446" s="7" t="n"/>
      <c r="O1446" s="7" t="n"/>
      <c r="P1446" s="65" t="n"/>
      <c r="Q1446" s="75" t="n"/>
      <c r="R1446" s="75" t="n"/>
      <c r="S1446" s="76" t="n"/>
      <c r="T1446" s="76" t="n"/>
      <c r="U1446" s="70">
        <f>IF($A1446="","",IFERROR(INDEX('Techniciens'!$F$5:$F$44,MATCH(O1446,'Techniciens'!$B$5:$B$44,0)),'Paramètres'!$AA$10))</f>
        <v/>
      </c>
      <c r="V1446" s="70">
        <f>IF($A1446="","",IF(OR(AC1446="Demandé",AC1446="Planifié",AC1446="Annulé"),0,N(T1446)*N(U1446)))</f>
        <v/>
      </c>
      <c r="W1446" s="70">
        <f>IF($A1446="","",SUMIFS('Mouvements stock'!$H$5:$H$3004,'Mouvements stock'!$I$5:$I$3004,$A1446,'Mouvements stock'!$C$5:$C$3004,"Sortie")-SUMIFS('Mouvements stock'!$H$5:$H$3004,'Mouvements stock'!$I$5:$I$3004,$A1446,'Mouvements stock'!$C$5:$C$3004,"Retour"))</f>
        <v/>
      </c>
      <c r="X1446" s="66" t="n"/>
      <c r="Y1446" s="66" t="n"/>
      <c r="Z1446" s="7" t="n"/>
      <c r="AA1446" s="70">
        <f>IF($A1446="","",N(V1446)+N(W1446)+N(X1446)+N(Y1446))</f>
        <v/>
      </c>
      <c r="AB1446" s="70">
        <f>IF($A1446="","",N(S1446)*'Paramètres'!$AA$9*IFERROR(INDEX('Paramètres'!$O$5:$O$7,MATCH(G1446,'Paramètres'!$N$5:$N$7,0)),0))</f>
        <v/>
      </c>
      <c r="AC1446" s="7" t="n"/>
      <c r="AD1446" s="69">
        <f>IF(OR($A1446="",Q1446=""),"",(Q1446-B1446)*24)</f>
        <v/>
      </c>
      <c r="AE1446" s="69">
        <f>IF(OR(Q1446="",R1446=""),"",(R1446-Q1446)*24)</f>
        <v/>
      </c>
      <c r="AF1446" s="77">
        <f>IF(OR($A1446="",B1446=""),"",YEAR(B1446))</f>
        <v/>
      </c>
      <c r="AG1446" s="77">
        <f>IF(OR($A1446="",B1446=""),"",MONTH(B1446))</f>
        <v/>
      </c>
    </row>
    <row r="1447">
      <c r="A1447" s="7" t="n"/>
      <c r="B1447" s="75" t="n"/>
      <c r="C1447" s="7" t="n"/>
      <c r="D1447" s="7" t="n"/>
      <c r="E1447" s="9">
        <f>IF(D1447="","",IFERROR(INDEX('Équipements'!$B$5:$B$304,MATCH(D1447,'Équipements'!$A$5:$A$304,0)),"Code inconnu"))</f>
        <v/>
      </c>
      <c r="F1447" s="9">
        <f>IF(D1447="","",IFERROR(INDEX('Équipements'!$D$5:$D$304,MATCH(D1447,'Équipements'!$A$5:$A$304,0)),""))</f>
        <v/>
      </c>
      <c r="G1447" s="9">
        <f>IF(D1447="","",IFERROR(INDEX('Équipements'!$K$5:$K$304,MATCH(D1447,'Équipements'!$A$5:$A$304,0)),""))</f>
        <v/>
      </c>
      <c r="H1447" s="7" t="n"/>
      <c r="I1447" s="7" t="n"/>
      <c r="J1447" s="7" t="n"/>
      <c r="K1447" s="7" t="n"/>
      <c r="L1447" s="7" t="n"/>
      <c r="M1447" s="7" t="n"/>
      <c r="N1447" s="7" t="n"/>
      <c r="O1447" s="7" t="n"/>
      <c r="P1447" s="65" t="n"/>
      <c r="Q1447" s="75" t="n"/>
      <c r="R1447" s="75" t="n"/>
      <c r="S1447" s="76" t="n"/>
      <c r="T1447" s="76" t="n"/>
      <c r="U1447" s="70">
        <f>IF($A1447="","",IFERROR(INDEX('Techniciens'!$F$5:$F$44,MATCH(O1447,'Techniciens'!$B$5:$B$44,0)),'Paramètres'!$AA$10))</f>
        <v/>
      </c>
      <c r="V1447" s="70">
        <f>IF($A1447="","",IF(OR(AC1447="Demandé",AC1447="Planifié",AC1447="Annulé"),0,N(T1447)*N(U1447)))</f>
        <v/>
      </c>
      <c r="W1447" s="70">
        <f>IF($A1447="","",SUMIFS('Mouvements stock'!$H$5:$H$3004,'Mouvements stock'!$I$5:$I$3004,$A1447,'Mouvements stock'!$C$5:$C$3004,"Sortie")-SUMIFS('Mouvements stock'!$H$5:$H$3004,'Mouvements stock'!$I$5:$I$3004,$A1447,'Mouvements stock'!$C$5:$C$3004,"Retour"))</f>
        <v/>
      </c>
      <c r="X1447" s="66" t="n"/>
      <c r="Y1447" s="66" t="n"/>
      <c r="Z1447" s="7" t="n"/>
      <c r="AA1447" s="70">
        <f>IF($A1447="","",N(V1447)+N(W1447)+N(X1447)+N(Y1447))</f>
        <v/>
      </c>
      <c r="AB1447" s="70">
        <f>IF($A1447="","",N(S1447)*'Paramètres'!$AA$9*IFERROR(INDEX('Paramètres'!$O$5:$O$7,MATCH(G1447,'Paramètres'!$N$5:$N$7,0)),0))</f>
        <v/>
      </c>
      <c r="AC1447" s="7" t="n"/>
      <c r="AD1447" s="69">
        <f>IF(OR($A1447="",Q1447=""),"",(Q1447-B1447)*24)</f>
        <v/>
      </c>
      <c r="AE1447" s="69">
        <f>IF(OR(Q1447="",R1447=""),"",(R1447-Q1447)*24)</f>
        <v/>
      </c>
      <c r="AF1447" s="77">
        <f>IF(OR($A1447="",B1447=""),"",YEAR(B1447))</f>
        <v/>
      </c>
      <c r="AG1447" s="77">
        <f>IF(OR($A1447="",B1447=""),"",MONTH(B1447))</f>
        <v/>
      </c>
    </row>
    <row r="1448">
      <c r="A1448" s="7" t="n"/>
      <c r="B1448" s="75" t="n"/>
      <c r="C1448" s="7" t="n"/>
      <c r="D1448" s="7" t="n"/>
      <c r="E1448" s="9">
        <f>IF(D1448="","",IFERROR(INDEX('Équipements'!$B$5:$B$304,MATCH(D1448,'Équipements'!$A$5:$A$304,0)),"Code inconnu"))</f>
        <v/>
      </c>
      <c r="F1448" s="9">
        <f>IF(D1448="","",IFERROR(INDEX('Équipements'!$D$5:$D$304,MATCH(D1448,'Équipements'!$A$5:$A$304,0)),""))</f>
        <v/>
      </c>
      <c r="G1448" s="9">
        <f>IF(D1448="","",IFERROR(INDEX('Équipements'!$K$5:$K$304,MATCH(D1448,'Équipements'!$A$5:$A$304,0)),""))</f>
        <v/>
      </c>
      <c r="H1448" s="7" t="n"/>
      <c r="I1448" s="7" t="n"/>
      <c r="J1448" s="7" t="n"/>
      <c r="K1448" s="7" t="n"/>
      <c r="L1448" s="7" t="n"/>
      <c r="M1448" s="7" t="n"/>
      <c r="N1448" s="7" t="n"/>
      <c r="O1448" s="7" t="n"/>
      <c r="P1448" s="65" t="n"/>
      <c r="Q1448" s="75" t="n"/>
      <c r="R1448" s="75" t="n"/>
      <c r="S1448" s="76" t="n"/>
      <c r="T1448" s="76" t="n"/>
      <c r="U1448" s="70">
        <f>IF($A1448="","",IFERROR(INDEX('Techniciens'!$F$5:$F$44,MATCH(O1448,'Techniciens'!$B$5:$B$44,0)),'Paramètres'!$AA$10))</f>
        <v/>
      </c>
      <c r="V1448" s="70">
        <f>IF($A1448="","",IF(OR(AC1448="Demandé",AC1448="Planifié",AC1448="Annulé"),0,N(T1448)*N(U1448)))</f>
        <v/>
      </c>
      <c r="W1448" s="70">
        <f>IF($A1448="","",SUMIFS('Mouvements stock'!$H$5:$H$3004,'Mouvements stock'!$I$5:$I$3004,$A1448,'Mouvements stock'!$C$5:$C$3004,"Sortie")-SUMIFS('Mouvements stock'!$H$5:$H$3004,'Mouvements stock'!$I$5:$I$3004,$A1448,'Mouvements stock'!$C$5:$C$3004,"Retour"))</f>
        <v/>
      </c>
      <c r="X1448" s="66" t="n"/>
      <c r="Y1448" s="66" t="n"/>
      <c r="Z1448" s="7" t="n"/>
      <c r="AA1448" s="70">
        <f>IF($A1448="","",N(V1448)+N(W1448)+N(X1448)+N(Y1448))</f>
        <v/>
      </c>
      <c r="AB1448" s="70">
        <f>IF($A1448="","",N(S1448)*'Paramètres'!$AA$9*IFERROR(INDEX('Paramètres'!$O$5:$O$7,MATCH(G1448,'Paramètres'!$N$5:$N$7,0)),0))</f>
        <v/>
      </c>
      <c r="AC1448" s="7" t="n"/>
      <c r="AD1448" s="69">
        <f>IF(OR($A1448="",Q1448=""),"",(Q1448-B1448)*24)</f>
        <v/>
      </c>
      <c r="AE1448" s="69">
        <f>IF(OR(Q1448="",R1448=""),"",(R1448-Q1448)*24)</f>
        <v/>
      </c>
      <c r="AF1448" s="77">
        <f>IF(OR($A1448="",B1448=""),"",YEAR(B1448))</f>
        <v/>
      </c>
      <c r="AG1448" s="77">
        <f>IF(OR($A1448="",B1448=""),"",MONTH(B1448))</f>
        <v/>
      </c>
    </row>
    <row r="1449">
      <c r="A1449" s="7" t="n"/>
      <c r="B1449" s="75" t="n"/>
      <c r="C1449" s="7" t="n"/>
      <c r="D1449" s="7" t="n"/>
      <c r="E1449" s="9">
        <f>IF(D1449="","",IFERROR(INDEX('Équipements'!$B$5:$B$304,MATCH(D1449,'Équipements'!$A$5:$A$304,0)),"Code inconnu"))</f>
        <v/>
      </c>
      <c r="F1449" s="9">
        <f>IF(D1449="","",IFERROR(INDEX('Équipements'!$D$5:$D$304,MATCH(D1449,'Équipements'!$A$5:$A$304,0)),""))</f>
        <v/>
      </c>
      <c r="G1449" s="9">
        <f>IF(D1449="","",IFERROR(INDEX('Équipements'!$K$5:$K$304,MATCH(D1449,'Équipements'!$A$5:$A$304,0)),""))</f>
        <v/>
      </c>
      <c r="H1449" s="7" t="n"/>
      <c r="I1449" s="7" t="n"/>
      <c r="J1449" s="7" t="n"/>
      <c r="K1449" s="7" t="n"/>
      <c r="L1449" s="7" t="n"/>
      <c r="M1449" s="7" t="n"/>
      <c r="N1449" s="7" t="n"/>
      <c r="O1449" s="7" t="n"/>
      <c r="P1449" s="65" t="n"/>
      <c r="Q1449" s="75" t="n"/>
      <c r="R1449" s="75" t="n"/>
      <c r="S1449" s="76" t="n"/>
      <c r="T1449" s="76" t="n"/>
      <c r="U1449" s="70">
        <f>IF($A1449="","",IFERROR(INDEX('Techniciens'!$F$5:$F$44,MATCH(O1449,'Techniciens'!$B$5:$B$44,0)),'Paramètres'!$AA$10))</f>
        <v/>
      </c>
      <c r="V1449" s="70">
        <f>IF($A1449="","",IF(OR(AC1449="Demandé",AC1449="Planifié",AC1449="Annulé"),0,N(T1449)*N(U1449)))</f>
        <v/>
      </c>
      <c r="W1449" s="70">
        <f>IF($A1449="","",SUMIFS('Mouvements stock'!$H$5:$H$3004,'Mouvements stock'!$I$5:$I$3004,$A1449,'Mouvements stock'!$C$5:$C$3004,"Sortie")-SUMIFS('Mouvements stock'!$H$5:$H$3004,'Mouvements stock'!$I$5:$I$3004,$A1449,'Mouvements stock'!$C$5:$C$3004,"Retour"))</f>
        <v/>
      </c>
      <c r="X1449" s="66" t="n"/>
      <c r="Y1449" s="66" t="n"/>
      <c r="Z1449" s="7" t="n"/>
      <c r="AA1449" s="70">
        <f>IF($A1449="","",N(V1449)+N(W1449)+N(X1449)+N(Y1449))</f>
        <v/>
      </c>
      <c r="AB1449" s="70">
        <f>IF($A1449="","",N(S1449)*'Paramètres'!$AA$9*IFERROR(INDEX('Paramètres'!$O$5:$O$7,MATCH(G1449,'Paramètres'!$N$5:$N$7,0)),0))</f>
        <v/>
      </c>
      <c r="AC1449" s="7" t="n"/>
      <c r="AD1449" s="69">
        <f>IF(OR($A1449="",Q1449=""),"",(Q1449-B1449)*24)</f>
        <v/>
      </c>
      <c r="AE1449" s="69">
        <f>IF(OR(Q1449="",R1449=""),"",(R1449-Q1449)*24)</f>
        <v/>
      </c>
      <c r="AF1449" s="77">
        <f>IF(OR($A1449="",B1449=""),"",YEAR(B1449))</f>
        <v/>
      </c>
      <c r="AG1449" s="77">
        <f>IF(OR($A1449="",B1449=""),"",MONTH(B1449))</f>
        <v/>
      </c>
    </row>
    <row r="1450">
      <c r="A1450" s="7" t="n"/>
      <c r="B1450" s="75" t="n"/>
      <c r="C1450" s="7" t="n"/>
      <c r="D1450" s="7" t="n"/>
      <c r="E1450" s="9">
        <f>IF(D1450="","",IFERROR(INDEX('Équipements'!$B$5:$B$304,MATCH(D1450,'Équipements'!$A$5:$A$304,0)),"Code inconnu"))</f>
        <v/>
      </c>
      <c r="F1450" s="9">
        <f>IF(D1450="","",IFERROR(INDEX('Équipements'!$D$5:$D$304,MATCH(D1450,'Équipements'!$A$5:$A$304,0)),""))</f>
        <v/>
      </c>
      <c r="G1450" s="9">
        <f>IF(D1450="","",IFERROR(INDEX('Équipements'!$K$5:$K$304,MATCH(D1450,'Équipements'!$A$5:$A$304,0)),""))</f>
        <v/>
      </c>
      <c r="H1450" s="7" t="n"/>
      <c r="I1450" s="7" t="n"/>
      <c r="J1450" s="7" t="n"/>
      <c r="K1450" s="7" t="n"/>
      <c r="L1450" s="7" t="n"/>
      <c r="M1450" s="7" t="n"/>
      <c r="N1450" s="7" t="n"/>
      <c r="O1450" s="7" t="n"/>
      <c r="P1450" s="65" t="n"/>
      <c r="Q1450" s="75" t="n"/>
      <c r="R1450" s="75" t="n"/>
      <c r="S1450" s="76" t="n"/>
      <c r="T1450" s="76" t="n"/>
      <c r="U1450" s="70">
        <f>IF($A1450="","",IFERROR(INDEX('Techniciens'!$F$5:$F$44,MATCH(O1450,'Techniciens'!$B$5:$B$44,0)),'Paramètres'!$AA$10))</f>
        <v/>
      </c>
      <c r="V1450" s="70">
        <f>IF($A1450="","",IF(OR(AC1450="Demandé",AC1450="Planifié",AC1450="Annulé"),0,N(T1450)*N(U1450)))</f>
        <v/>
      </c>
      <c r="W1450" s="70">
        <f>IF($A1450="","",SUMIFS('Mouvements stock'!$H$5:$H$3004,'Mouvements stock'!$I$5:$I$3004,$A1450,'Mouvements stock'!$C$5:$C$3004,"Sortie")-SUMIFS('Mouvements stock'!$H$5:$H$3004,'Mouvements stock'!$I$5:$I$3004,$A1450,'Mouvements stock'!$C$5:$C$3004,"Retour"))</f>
        <v/>
      </c>
      <c r="X1450" s="66" t="n"/>
      <c r="Y1450" s="66" t="n"/>
      <c r="Z1450" s="7" t="n"/>
      <c r="AA1450" s="70">
        <f>IF($A1450="","",N(V1450)+N(W1450)+N(X1450)+N(Y1450))</f>
        <v/>
      </c>
      <c r="AB1450" s="70">
        <f>IF($A1450="","",N(S1450)*'Paramètres'!$AA$9*IFERROR(INDEX('Paramètres'!$O$5:$O$7,MATCH(G1450,'Paramètres'!$N$5:$N$7,0)),0))</f>
        <v/>
      </c>
      <c r="AC1450" s="7" t="n"/>
      <c r="AD1450" s="69">
        <f>IF(OR($A1450="",Q1450=""),"",(Q1450-B1450)*24)</f>
        <v/>
      </c>
      <c r="AE1450" s="69">
        <f>IF(OR(Q1450="",R1450=""),"",(R1450-Q1450)*24)</f>
        <v/>
      </c>
      <c r="AF1450" s="77">
        <f>IF(OR($A1450="",B1450=""),"",YEAR(B1450))</f>
        <v/>
      </c>
      <c r="AG1450" s="77">
        <f>IF(OR($A1450="",B1450=""),"",MONTH(B1450))</f>
        <v/>
      </c>
    </row>
    <row r="1451">
      <c r="A1451" s="7" t="n"/>
      <c r="B1451" s="75" t="n"/>
      <c r="C1451" s="7" t="n"/>
      <c r="D1451" s="7" t="n"/>
      <c r="E1451" s="9">
        <f>IF(D1451="","",IFERROR(INDEX('Équipements'!$B$5:$B$304,MATCH(D1451,'Équipements'!$A$5:$A$304,0)),"Code inconnu"))</f>
        <v/>
      </c>
      <c r="F1451" s="9">
        <f>IF(D1451="","",IFERROR(INDEX('Équipements'!$D$5:$D$304,MATCH(D1451,'Équipements'!$A$5:$A$304,0)),""))</f>
        <v/>
      </c>
      <c r="G1451" s="9">
        <f>IF(D1451="","",IFERROR(INDEX('Équipements'!$K$5:$K$304,MATCH(D1451,'Équipements'!$A$5:$A$304,0)),""))</f>
        <v/>
      </c>
      <c r="H1451" s="7" t="n"/>
      <c r="I1451" s="7" t="n"/>
      <c r="J1451" s="7" t="n"/>
      <c r="K1451" s="7" t="n"/>
      <c r="L1451" s="7" t="n"/>
      <c r="M1451" s="7" t="n"/>
      <c r="N1451" s="7" t="n"/>
      <c r="O1451" s="7" t="n"/>
      <c r="P1451" s="65" t="n"/>
      <c r="Q1451" s="75" t="n"/>
      <c r="R1451" s="75" t="n"/>
      <c r="S1451" s="76" t="n"/>
      <c r="T1451" s="76" t="n"/>
      <c r="U1451" s="70">
        <f>IF($A1451="","",IFERROR(INDEX('Techniciens'!$F$5:$F$44,MATCH(O1451,'Techniciens'!$B$5:$B$44,0)),'Paramètres'!$AA$10))</f>
        <v/>
      </c>
      <c r="V1451" s="70">
        <f>IF($A1451="","",IF(OR(AC1451="Demandé",AC1451="Planifié",AC1451="Annulé"),0,N(T1451)*N(U1451)))</f>
        <v/>
      </c>
      <c r="W1451" s="70">
        <f>IF($A1451="","",SUMIFS('Mouvements stock'!$H$5:$H$3004,'Mouvements stock'!$I$5:$I$3004,$A1451,'Mouvements stock'!$C$5:$C$3004,"Sortie")-SUMIFS('Mouvements stock'!$H$5:$H$3004,'Mouvements stock'!$I$5:$I$3004,$A1451,'Mouvements stock'!$C$5:$C$3004,"Retour"))</f>
        <v/>
      </c>
      <c r="X1451" s="66" t="n"/>
      <c r="Y1451" s="66" t="n"/>
      <c r="Z1451" s="7" t="n"/>
      <c r="AA1451" s="70">
        <f>IF($A1451="","",N(V1451)+N(W1451)+N(X1451)+N(Y1451))</f>
        <v/>
      </c>
      <c r="AB1451" s="70">
        <f>IF($A1451="","",N(S1451)*'Paramètres'!$AA$9*IFERROR(INDEX('Paramètres'!$O$5:$O$7,MATCH(G1451,'Paramètres'!$N$5:$N$7,0)),0))</f>
        <v/>
      </c>
      <c r="AC1451" s="7" t="n"/>
      <c r="AD1451" s="69">
        <f>IF(OR($A1451="",Q1451=""),"",(Q1451-B1451)*24)</f>
        <v/>
      </c>
      <c r="AE1451" s="69">
        <f>IF(OR(Q1451="",R1451=""),"",(R1451-Q1451)*24)</f>
        <v/>
      </c>
      <c r="AF1451" s="77">
        <f>IF(OR($A1451="",B1451=""),"",YEAR(B1451))</f>
        <v/>
      </c>
      <c r="AG1451" s="77">
        <f>IF(OR($A1451="",B1451=""),"",MONTH(B1451))</f>
        <v/>
      </c>
    </row>
    <row r="1452">
      <c r="A1452" s="7" t="n"/>
      <c r="B1452" s="75" t="n"/>
      <c r="C1452" s="7" t="n"/>
      <c r="D1452" s="7" t="n"/>
      <c r="E1452" s="9">
        <f>IF(D1452="","",IFERROR(INDEX('Équipements'!$B$5:$B$304,MATCH(D1452,'Équipements'!$A$5:$A$304,0)),"Code inconnu"))</f>
        <v/>
      </c>
      <c r="F1452" s="9">
        <f>IF(D1452="","",IFERROR(INDEX('Équipements'!$D$5:$D$304,MATCH(D1452,'Équipements'!$A$5:$A$304,0)),""))</f>
        <v/>
      </c>
      <c r="G1452" s="9">
        <f>IF(D1452="","",IFERROR(INDEX('Équipements'!$K$5:$K$304,MATCH(D1452,'Équipements'!$A$5:$A$304,0)),""))</f>
        <v/>
      </c>
      <c r="H1452" s="7" t="n"/>
      <c r="I1452" s="7" t="n"/>
      <c r="J1452" s="7" t="n"/>
      <c r="K1452" s="7" t="n"/>
      <c r="L1452" s="7" t="n"/>
      <c r="M1452" s="7" t="n"/>
      <c r="N1452" s="7" t="n"/>
      <c r="O1452" s="7" t="n"/>
      <c r="P1452" s="65" t="n"/>
      <c r="Q1452" s="75" t="n"/>
      <c r="R1452" s="75" t="n"/>
      <c r="S1452" s="76" t="n"/>
      <c r="T1452" s="76" t="n"/>
      <c r="U1452" s="70">
        <f>IF($A1452="","",IFERROR(INDEX('Techniciens'!$F$5:$F$44,MATCH(O1452,'Techniciens'!$B$5:$B$44,0)),'Paramètres'!$AA$10))</f>
        <v/>
      </c>
      <c r="V1452" s="70">
        <f>IF($A1452="","",IF(OR(AC1452="Demandé",AC1452="Planifié",AC1452="Annulé"),0,N(T1452)*N(U1452)))</f>
        <v/>
      </c>
      <c r="W1452" s="70">
        <f>IF($A1452="","",SUMIFS('Mouvements stock'!$H$5:$H$3004,'Mouvements stock'!$I$5:$I$3004,$A1452,'Mouvements stock'!$C$5:$C$3004,"Sortie")-SUMIFS('Mouvements stock'!$H$5:$H$3004,'Mouvements stock'!$I$5:$I$3004,$A1452,'Mouvements stock'!$C$5:$C$3004,"Retour"))</f>
        <v/>
      </c>
      <c r="X1452" s="66" t="n"/>
      <c r="Y1452" s="66" t="n"/>
      <c r="Z1452" s="7" t="n"/>
      <c r="AA1452" s="70">
        <f>IF($A1452="","",N(V1452)+N(W1452)+N(X1452)+N(Y1452))</f>
        <v/>
      </c>
      <c r="AB1452" s="70">
        <f>IF($A1452="","",N(S1452)*'Paramètres'!$AA$9*IFERROR(INDEX('Paramètres'!$O$5:$O$7,MATCH(G1452,'Paramètres'!$N$5:$N$7,0)),0))</f>
        <v/>
      </c>
      <c r="AC1452" s="7" t="n"/>
      <c r="AD1452" s="69">
        <f>IF(OR($A1452="",Q1452=""),"",(Q1452-B1452)*24)</f>
        <v/>
      </c>
      <c r="AE1452" s="69">
        <f>IF(OR(Q1452="",R1452=""),"",(R1452-Q1452)*24)</f>
        <v/>
      </c>
      <c r="AF1452" s="77">
        <f>IF(OR($A1452="",B1452=""),"",YEAR(B1452))</f>
        <v/>
      </c>
      <c r="AG1452" s="77">
        <f>IF(OR($A1452="",B1452=""),"",MONTH(B1452))</f>
        <v/>
      </c>
    </row>
    <row r="1453">
      <c r="A1453" s="7" t="n"/>
      <c r="B1453" s="75" t="n"/>
      <c r="C1453" s="7" t="n"/>
      <c r="D1453" s="7" t="n"/>
      <c r="E1453" s="9">
        <f>IF(D1453="","",IFERROR(INDEX('Équipements'!$B$5:$B$304,MATCH(D1453,'Équipements'!$A$5:$A$304,0)),"Code inconnu"))</f>
        <v/>
      </c>
      <c r="F1453" s="9">
        <f>IF(D1453="","",IFERROR(INDEX('Équipements'!$D$5:$D$304,MATCH(D1453,'Équipements'!$A$5:$A$304,0)),""))</f>
        <v/>
      </c>
      <c r="G1453" s="9">
        <f>IF(D1453="","",IFERROR(INDEX('Équipements'!$K$5:$K$304,MATCH(D1453,'Équipements'!$A$5:$A$304,0)),""))</f>
        <v/>
      </c>
      <c r="H1453" s="7" t="n"/>
      <c r="I1453" s="7" t="n"/>
      <c r="J1453" s="7" t="n"/>
      <c r="K1453" s="7" t="n"/>
      <c r="L1453" s="7" t="n"/>
      <c r="M1453" s="7" t="n"/>
      <c r="N1453" s="7" t="n"/>
      <c r="O1453" s="7" t="n"/>
      <c r="P1453" s="65" t="n"/>
      <c r="Q1453" s="75" t="n"/>
      <c r="R1453" s="75" t="n"/>
      <c r="S1453" s="76" t="n"/>
      <c r="T1453" s="76" t="n"/>
      <c r="U1453" s="70">
        <f>IF($A1453="","",IFERROR(INDEX('Techniciens'!$F$5:$F$44,MATCH(O1453,'Techniciens'!$B$5:$B$44,0)),'Paramètres'!$AA$10))</f>
        <v/>
      </c>
      <c r="V1453" s="70">
        <f>IF($A1453="","",IF(OR(AC1453="Demandé",AC1453="Planifié",AC1453="Annulé"),0,N(T1453)*N(U1453)))</f>
        <v/>
      </c>
      <c r="W1453" s="70">
        <f>IF($A1453="","",SUMIFS('Mouvements stock'!$H$5:$H$3004,'Mouvements stock'!$I$5:$I$3004,$A1453,'Mouvements stock'!$C$5:$C$3004,"Sortie")-SUMIFS('Mouvements stock'!$H$5:$H$3004,'Mouvements stock'!$I$5:$I$3004,$A1453,'Mouvements stock'!$C$5:$C$3004,"Retour"))</f>
        <v/>
      </c>
      <c r="X1453" s="66" t="n"/>
      <c r="Y1453" s="66" t="n"/>
      <c r="Z1453" s="7" t="n"/>
      <c r="AA1453" s="70">
        <f>IF($A1453="","",N(V1453)+N(W1453)+N(X1453)+N(Y1453))</f>
        <v/>
      </c>
      <c r="AB1453" s="70">
        <f>IF($A1453="","",N(S1453)*'Paramètres'!$AA$9*IFERROR(INDEX('Paramètres'!$O$5:$O$7,MATCH(G1453,'Paramètres'!$N$5:$N$7,0)),0))</f>
        <v/>
      </c>
      <c r="AC1453" s="7" t="n"/>
      <c r="AD1453" s="69">
        <f>IF(OR($A1453="",Q1453=""),"",(Q1453-B1453)*24)</f>
        <v/>
      </c>
      <c r="AE1453" s="69">
        <f>IF(OR(Q1453="",R1453=""),"",(R1453-Q1453)*24)</f>
        <v/>
      </c>
      <c r="AF1453" s="77">
        <f>IF(OR($A1453="",B1453=""),"",YEAR(B1453))</f>
        <v/>
      </c>
      <c r="AG1453" s="77">
        <f>IF(OR($A1453="",B1453=""),"",MONTH(B1453))</f>
        <v/>
      </c>
    </row>
    <row r="1454">
      <c r="A1454" s="7" t="n"/>
      <c r="B1454" s="75" t="n"/>
      <c r="C1454" s="7" t="n"/>
      <c r="D1454" s="7" t="n"/>
      <c r="E1454" s="9">
        <f>IF(D1454="","",IFERROR(INDEX('Équipements'!$B$5:$B$304,MATCH(D1454,'Équipements'!$A$5:$A$304,0)),"Code inconnu"))</f>
        <v/>
      </c>
      <c r="F1454" s="9">
        <f>IF(D1454="","",IFERROR(INDEX('Équipements'!$D$5:$D$304,MATCH(D1454,'Équipements'!$A$5:$A$304,0)),""))</f>
        <v/>
      </c>
      <c r="G1454" s="9">
        <f>IF(D1454="","",IFERROR(INDEX('Équipements'!$K$5:$K$304,MATCH(D1454,'Équipements'!$A$5:$A$304,0)),""))</f>
        <v/>
      </c>
      <c r="H1454" s="7" t="n"/>
      <c r="I1454" s="7" t="n"/>
      <c r="J1454" s="7" t="n"/>
      <c r="K1454" s="7" t="n"/>
      <c r="L1454" s="7" t="n"/>
      <c r="M1454" s="7" t="n"/>
      <c r="N1454" s="7" t="n"/>
      <c r="O1454" s="7" t="n"/>
      <c r="P1454" s="65" t="n"/>
      <c r="Q1454" s="75" t="n"/>
      <c r="R1454" s="75" t="n"/>
      <c r="S1454" s="76" t="n"/>
      <c r="T1454" s="76" t="n"/>
      <c r="U1454" s="70">
        <f>IF($A1454="","",IFERROR(INDEX('Techniciens'!$F$5:$F$44,MATCH(O1454,'Techniciens'!$B$5:$B$44,0)),'Paramètres'!$AA$10))</f>
        <v/>
      </c>
      <c r="V1454" s="70">
        <f>IF($A1454="","",IF(OR(AC1454="Demandé",AC1454="Planifié",AC1454="Annulé"),0,N(T1454)*N(U1454)))</f>
        <v/>
      </c>
      <c r="W1454" s="70">
        <f>IF($A1454="","",SUMIFS('Mouvements stock'!$H$5:$H$3004,'Mouvements stock'!$I$5:$I$3004,$A1454,'Mouvements stock'!$C$5:$C$3004,"Sortie")-SUMIFS('Mouvements stock'!$H$5:$H$3004,'Mouvements stock'!$I$5:$I$3004,$A1454,'Mouvements stock'!$C$5:$C$3004,"Retour"))</f>
        <v/>
      </c>
      <c r="X1454" s="66" t="n"/>
      <c r="Y1454" s="66" t="n"/>
      <c r="Z1454" s="7" t="n"/>
      <c r="AA1454" s="70">
        <f>IF($A1454="","",N(V1454)+N(W1454)+N(X1454)+N(Y1454))</f>
        <v/>
      </c>
      <c r="AB1454" s="70">
        <f>IF($A1454="","",N(S1454)*'Paramètres'!$AA$9*IFERROR(INDEX('Paramètres'!$O$5:$O$7,MATCH(G1454,'Paramètres'!$N$5:$N$7,0)),0))</f>
        <v/>
      </c>
      <c r="AC1454" s="7" t="n"/>
      <c r="AD1454" s="69">
        <f>IF(OR($A1454="",Q1454=""),"",(Q1454-B1454)*24)</f>
        <v/>
      </c>
      <c r="AE1454" s="69">
        <f>IF(OR(Q1454="",R1454=""),"",(R1454-Q1454)*24)</f>
        <v/>
      </c>
      <c r="AF1454" s="77">
        <f>IF(OR($A1454="",B1454=""),"",YEAR(B1454))</f>
        <v/>
      </c>
      <c r="AG1454" s="77">
        <f>IF(OR($A1454="",B1454=""),"",MONTH(B1454))</f>
        <v/>
      </c>
    </row>
    <row r="1455">
      <c r="A1455" s="7" t="n"/>
      <c r="B1455" s="75" t="n"/>
      <c r="C1455" s="7" t="n"/>
      <c r="D1455" s="7" t="n"/>
      <c r="E1455" s="9">
        <f>IF(D1455="","",IFERROR(INDEX('Équipements'!$B$5:$B$304,MATCH(D1455,'Équipements'!$A$5:$A$304,0)),"Code inconnu"))</f>
        <v/>
      </c>
      <c r="F1455" s="9">
        <f>IF(D1455="","",IFERROR(INDEX('Équipements'!$D$5:$D$304,MATCH(D1455,'Équipements'!$A$5:$A$304,0)),""))</f>
        <v/>
      </c>
      <c r="G1455" s="9">
        <f>IF(D1455="","",IFERROR(INDEX('Équipements'!$K$5:$K$304,MATCH(D1455,'Équipements'!$A$5:$A$304,0)),""))</f>
        <v/>
      </c>
      <c r="H1455" s="7" t="n"/>
      <c r="I1455" s="7" t="n"/>
      <c r="J1455" s="7" t="n"/>
      <c r="K1455" s="7" t="n"/>
      <c r="L1455" s="7" t="n"/>
      <c r="M1455" s="7" t="n"/>
      <c r="N1455" s="7" t="n"/>
      <c r="O1455" s="7" t="n"/>
      <c r="P1455" s="65" t="n"/>
      <c r="Q1455" s="75" t="n"/>
      <c r="R1455" s="75" t="n"/>
      <c r="S1455" s="76" t="n"/>
      <c r="T1455" s="76" t="n"/>
      <c r="U1455" s="70">
        <f>IF($A1455="","",IFERROR(INDEX('Techniciens'!$F$5:$F$44,MATCH(O1455,'Techniciens'!$B$5:$B$44,0)),'Paramètres'!$AA$10))</f>
        <v/>
      </c>
      <c r="V1455" s="70">
        <f>IF($A1455="","",IF(OR(AC1455="Demandé",AC1455="Planifié",AC1455="Annulé"),0,N(T1455)*N(U1455)))</f>
        <v/>
      </c>
      <c r="W1455" s="70">
        <f>IF($A1455="","",SUMIFS('Mouvements stock'!$H$5:$H$3004,'Mouvements stock'!$I$5:$I$3004,$A1455,'Mouvements stock'!$C$5:$C$3004,"Sortie")-SUMIFS('Mouvements stock'!$H$5:$H$3004,'Mouvements stock'!$I$5:$I$3004,$A1455,'Mouvements stock'!$C$5:$C$3004,"Retour"))</f>
        <v/>
      </c>
      <c r="X1455" s="66" t="n"/>
      <c r="Y1455" s="66" t="n"/>
      <c r="Z1455" s="7" t="n"/>
      <c r="AA1455" s="70">
        <f>IF($A1455="","",N(V1455)+N(W1455)+N(X1455)+N(Y1455))</f>
        <v/>
      </c>
      <c r="AB1455" s="70">
        <f>IF($A1455="","",N(S1455)*'Paramètres'!$AA$9*IFERROR(INDEX('Paramètres'!$O$5:$O$7,MATCH(G1455,'Paramètres'!$N$5:$N$7,0)),0))</f>
        <v/>
      </c>
      <c r="AC1455" s="7" t="n"/>
      <c r="AD1455" s="69">
        <f>IF(OR($A1455="",Q1455=""),"",(Q1455-B1455)*24)</f>
        <v/>
      </c>
      <c r="AE1455" s="69">
        <f>IF(OR(Q1455="",R1455=""),"",(R1455-Q1455)*24)</f>
        <v/>
      </c>
      <c r="AF1455" s="77">
        <f>IF(OR($A1455="",B1455=""),"",YEAR(B1455))</f>
        <v/>
      </c>
      <c r="AG1455" s="77">
        <f>IF(OR($A1455="",B1455=""),"",MONTH(B1455))</f>
        <v/>
      </c>
    </row>
    <row r="1456">
      <c r="A1456" s="7" t="n"/>
      <c r="B1456" s="75" t="n"/>
      <c r="C1456" s="7" t="n"/>
      <c r="D1456" s="7" t="n"/>
      <c r="E1456" s="9">
        <f>IF(D1456="","",IFERROR(INDEX('Équipements'!$B$5:$B$304,MATCH(D1456,'Équipements'!$A$5:$A$304,0)),"Code inconnu"))</f>
        <v/>
      </c>
      <c r="F1456" s="9">
        <f>IF(D1456="","",IFERROR(INDEX('Équipements'!$D$5:$D$304,MATCH(D1456,'Équipements'!$A$5:$A$304,0)),""))</f>
        <v/>
      </c>
      <c r="G1456" s="9">
        <f>IF(D1456="","",IFERROR(INDEX('Équipements'!$K$5:$K$304,MATCH(D1456,'Équipements'!$A$5:$A$304,0)),""))</f>
        <v/>
      </c>
      <c r="H1456" s="7" t="n"/>
      <c r="I1456" s="7" t="n"/>
      <c r="J1456" s="7" t="n"/>
      <c r="K1456" s="7" t="n"/>
      <c r="L1456" s="7" t="n"/>
      <c r="M1456" s="7" t="n"/>
      <c r="N1456" s="7" t="n"/>
      <c r="O1456" s="7" t="n"/>
      <c r="P1456" s="65" t="n"/>
      <c r="Q1456" s="75" t="n"/>
      <c r="R1456" s="75" t="n"/>
      <c r="S1456" s="76" t="n"/>
      <c r="T1456" s="76" t="n"/>
      <c r="U1456" s="70">
        <f>IF($A1456="","",IFERROR(INDEX('Techniciens'!$F$5:$F$44,MATCH(O1456,'Techniciens'!$B$5:$B$44,0)),'Paramètres'!$AA$10))</f>
        <v/>
      </c>
      <c r="V1456" s="70">
        <f>IF($A1456="","",IF(OR(AC1456="Demandé",AC1456="Planifié",AC1456="Annulé"),0,N(T1456)*N(U1456)))</f>
        <v/>
      </c>
      <c r="W1456" s="70">
        <f>IF($A1456="","",SUMIFS('Mouvements stock'!$H$5:$H$3004,'Mouvements stock'!$I$5:$I$3004,$A1456,'Mouvements stock'!$C$5:$C$3004,"Sortie")-SUMIFS('Mouvements stock'!$H$5:$H$3004,'Mouvements stock'!$I$5:$I$3004,$A1456,'Mouvements stock'!$C$5:$C$3004,"Retour"))</f>
        <v/>
      </c>
      <c r="X1456" s="66" t="n"/>
      <c r="Y1456" s="66" t="n"/>
      <c r="Z1456" s="7" t="n"/>
      <c r="AA1456" s="70">
        <f>IF($A1456="","",N(V1456)+N(W1456)+N(X1456)+N(Y1456))</f>
        <v/>
      </c>
      <c r="AB1456" s="70">
        <f>IF($A1456="","",N(S1456)*'Paramètres'!$AA$9*IFERROR(INDEX('Paramètres'!$O$5:$O$7,MATCH(G1456,'Paramètres'!$N$5:$N$7,0)),0))</f>
        <v/>
      </c>
      <c r="AC1456" s="7" t="n"/>
      <c r="AD1456" s="69">
        <f>IF(OR($A1456="",Q1456=""),"",(Q1456-B1456)*24)</f>
        <v/>
      </c>
      <c r="AE1456" s="69">
        <f>IF(OR(Q1456="",R1456=""),"",(R1456-Q1456)*24)</f>
        <v/>
      </c>
      <c r="AF1456" s="77">
        <f>IF(OR($A1456="",B1456=""),"",YEAR(B1456))</f>
        <v/>
      </c>
      <c r="AG1456" s="77">
        <f>IF(OR($A1456="",B1456=""),"",MONTH(B1456))</f>
        <v/>
      </c>
    </row>
    <row r="1457">
      <c r="A1457" s="7" t="n"/>
      <c r="B1457" s="75" t="n"/>
      <c r="C1457" s="7" t="n"/>
      <c r="D1457" s="7" t="n"/>
      <c r="E1457" s="9">
        <f>IF(D1457="","",IFERROR(INDEX('Équipements'!$B$5:$B$304,MATCH(D1457,'Équipements'!$A$5:$A$304,0)),"Code inconnu"))</f>
        <v/>
      </c>
      <c r="F1457" s="9">
        <f>IF(D1457="","",IFERROR(INDEX('Équipements'!$D$5:$D$304,MATCH(D1457,'Équipements'!$A$5:$A$304,0)),""))</f>
        <v/>
      </c>
      <c r="G1457" s="9">
        <f>IF(D1457="","",IFERROR(INDEX('Équipements'!$K$5:$K$304,MATCH(D1457,'Équipements'!$A$5:$A$304,0)),""))</f>
        <v/>
      </c>
      <c r="H1457" s="7" t="n"/>
      <c r="I1457" s="7" t="n"/>
      <c r="J1457" s="7" t="n"/>
      <c r="K1457" s="7" t="n"/>
      <c r="L1457" s="7" t="n"/>
      <c r="M1457" s="7" t="n"/>
      <c r="N1457" s="7" t="n"/>
      <c r="O1457" s="7" t="n"/>
      <c r="P1457" s="65" t="n"/>
      <c r="Q1457" s="75" t="n"/>
      <c r="R1457" s="75" t="n"/>
      <c r="S1457" s="76" t="n"/>
      <c r="T1457" s="76" t="n"/>
      <c r="U1457" s="70">
        <f>IF($A1457="","",IFERROR(INDEX('Techniciens'!$F$5:$F$44,MATCH(O1457,'Techniciens'!$B$5:$B$44,0)),'Paramètres'!$AA$10))</f>
        <v/>
      </c>
      <c r="V1457" s="70">
        <f>IF($A1457="","",IF(OR(AC1457="Demandé",AC1457="Planifié",AC1457="Annulé"),0,N(T1457)*N(U1457)))</f>
        <v/>
      </c>
      <c r="W1457" s="70">
        <f>IF($A1457="","",SUMIFS('Mouvements stock'!$H$5:$H$3004,'Mouvements stock'!$I$5:$I$3004,$A1457,'Mouvements stock'!$C$5:$C$3004,"Sortie")-SUMIFS('Mouvements stock'!$H$5:$H$3004,'Mouvements stock'!$I$5:$I$3004,$A1457,'Mouvements stock'!$C$5:$C$3004,"Retour"))</f>
        <v/>
      </c>
      <c r="X1457" s="66" t="n"/>
      <c r="Y1457" s="66" t="n"/>
      <c r="Z1457" s="7" t="n"/>
      <c r="AA1457" s="70">
        <f>IF($A1457="","",N(V1457)+N(W1457)+N(X1457)+N(Y1457))</f>
        <v/>
      </c>
      <c r="AB1457" s="70">
        <f>IF($A1457="","",N(S1457)*'Paramètres'!$AA$9*IFERROR(INDEX('Paramètres'!$O$5:$O$7,MATCH(G1457,'Paramètres'!$N$5:$N$7,0)),0))</f>
        <v/>
      </c>
      <c r="AC1457" s="7" t="n"/>
      <c r="AD1457" s="69">
        <f>IF(OR($A1457="",Q1457=""),"",(Q1457-B1457)*24)</f>
        <v/>
      </c>
      <c r="AE1457" s="69">
        <f>IF(OR(Q1457="",R1457=""),"",(R1457-Q1457)*24)</f>
        <v/>
      </c>
      <c r="AF1457" s="77">
        <f>IF(OR($A1457="",B1457=""),"",YEAR(B1457))</f>
        <v/>
      </c>
      <c r="AG1457" s="77">
        <f>IF(OR($A1457="",B1457=""),"",MONTH(B1457))</f>
        <v/>
      </c>
    </row>
    <row r="1458">
      <c r="A1458" s="7" t="n"/>
      <c r="B1458" s="75" t="n"/>
      <c r="C1458" s="7" t="n"/>
      <c r="D1458" s="7" t="n"/>
      <c r="E1458" s="9">
        <f>IF(D1458="","",IFERROR(INDEX('Équipements'!$B$5:$B$304,MATCH(D1458,'Équipements'!$A$5:$A$304,0)),"Code inconnu"))</f>
        <v/>
      </c>
      <c r="F1458" s="9">
        <f>IF(D1458="","",IFERROR(INDEX('Équipements'!$D$5:$D$304,MATCH(D1458,'Équipements'!$A$5:$A$304,0)),""))</f>
        <v/>
      </c>
      <c r="G1458" s="9">
        <f>IF(D1458="","",IFERROR(INDEX('Équipements'!$K$5:$K$304,MATCH(D1458,'Équipements'!$A$5:$A$304,0)),""))</f>
        <v/>
      </c>
      <c r="H1458" s="7" t="n"/>
      <c r="I1458" s="7" t="n"/>
      <c r="J1458" s="7" t="n"/>
      <c r="K1458" s="7" t="n"/>
      <c r="L1458" s="7" t="n"/>
      <c r="M1458" s="7" t="n"/>
      <c r="N1458" s="7" t="n"/>
      <c r="O1458" s="7" t="n"/>
      <c r="P1458" s="65" t="n"/>
      <c r="Q1458" s="75" t="n"/>
      <c r="R1458" s="75" t="n"/>
      <c r="S1458" s="76" t="n"/>
      <c r="T1458" s="76" t="n"/>
      <c r="U1458" s="70">
        <f>IF($A1458="","",IFERROR(INDEX('Techniciens'!$F$5:$F$44,MATCH(O1458,'Techniciens'!$B$5:$B$44,0)),'Paramètres'!$AA$10))</f>
        <v/>
      </c>
      <c r="V1458" s="70">
        <f>IF($A1458="","",IF(OR(AC1458="Demandé",AC1458="Planifié",AC1458="Annulé"),0,N(T1458)*N(U1458)))</f>
        <v/>
      </c>
      <c r="W1458" s="70">
        <f>IF($A1458="","",SUMIFS('Mouvements stock'!$H$5:$H$3004,'Mouvements stock'!$I$5:$I$3004,$A1458,'Mouvements stock'!$C$5:$C$3004,"Sortie")-SUMIFS('Mouvements stock'!$H$5:$H$3004,'Mouvements stock'!$I$5:$I$3004,$A1458,'Mouvements stock'!$C$5:$C$3004,"Retour"))</f>
        <v/>
      </c>
      <c r="X1458" s="66" t="n"/>
      <c r="Y1458" s="66" t="n"/>
      <c r="Z1458" s="7" t="n"/>
      <c r="AA1458" s="70">
        <f>IF($A1458="","",N(V1458)+N(W1458)+N(X1458)+N(Y1458))</f>
        <v/>
      </c>
      <c r="AB1458" s="70">
        <f>IF($A1458="","",N(S1458)*'Paramètres'!$AA$9*IFERROR(INDEX('Paramètres'!$O$5:$O$7,MATCH(G1458,'Paramètres'!$N$5:$N$7,0)),0))</f>
        <v/>
      </c>
      <c r="AC1458" s="7" t="n"/>
      <c r="AD1458" s="69">
        <f>IF(OR($A1458="",Q1458=""),"",(Q1458-B1458)*24)</f>
        <v/>
      </c>
      <c r="AE1458" s="69">
        <f>IF(OR(Q1458="",R1458=""),"",(R1458-Q1458)*24)</f>
        <v/>
      </c>
      <c r="AF1458" s="77">
        <f>IF(OR($A1458="",B1458=""),"",YEAR(B1458))</f>
        <v/>
      </c>
      <c r="AG1458" s="77">
        <f>IF(OR($A1458="",B1458=""),"",MONTH(B1458))</f>
        <v/>
      </c>
    </row>
    <row r="1459">
      <c r="A1459" s="7" t="n"/>
      <c r="B1459" s="75" t="n"/>
      <c r="C1459" s="7" t="n"/>
      <c r="D1459" s="7" t="n"/>
      <c r="E1459" s="9">
        <f>IF(D1459="","",IFERROR(INDEX('Équipements'!$B$5:$B$304,MATCH(D1459,'Équipements'!$A$5:$A$304,0)),"Code inconnu"))</f>
        <v/>
      </c>
      <c r="F1459" s="9">
        <f>IF(D1459="","",IFERROR(INDEX('Équipements'!$D$5:$D$304,MATCH(D1459,'Équipements'!$A$5:$A$304,0)),""))</f>
        <v/>
      </c>
      <c r="G1459" s="9">
        <f>IF(D1459="","",IFERROR(INDEX('Équipements'!$K$5:$K$304,MATCH(D1459,'Équipements'!$A$5:$A$304,0)),""))</f>
        <v/>
      </c>
      <c r="H1459" s="7" t="n"/>
      <c r="I1459" s="7" t="n"/>
      <c r="J1459" s="7" t="n"/>
      <c r="K1459" s="7" t="n"/>
      <c r="L1459" s="7" t="n"/>
      <c r="M1459" s="7" t="n"/>
      <c r="N1459" s="7" t="n"/>
      <c r="O1459" s="7" t="n"/>
      <c r="P1459" s="65" t="n"/>
      <c r="Q1459" s="75" t="n"/>
      <c r="R1459" s="75" t="n"/>
      <c r="S1459" s="76" t="n"/>
      <c r="T1459" s="76" t="n"/>
      <c r="U1459" s="70">
        <f>IF($A1459="","",IFERROR(INDEX('Techniciens'!$F$5:$F$44,MATCH(O1459,'Techniciens'!$B$5:$B$44,0)),'Paramètres'!$AA$10))</f>
        <v/>
      </c>
      <c r="V1459" s="70">
        <f>IF($A1459="","",IF(OR(AC1459="Demandé",AC1459="Planifié",AC1459="Annulé"),0,N(T1459)*N(U1459)))</f>
        <v/>
      </c>
      <c r="W1459" s="70">
        <f>IF($A1459="","",SUMIFS('Mouvements stock'!$H$5:$H$3004,'Mouvements stock'!$I$5:$I$3004,$A1459,'Mouvements stock'!$C$5:$C$3004,"Sortie")-SUMIFS('Mouvements stock'!$H$5:$H$3004,'Mouvements stock'!$I$5:$I$3004,$A1459,'Mouvements stock'!$C$5:$C$3004,"Retour"))</f>
        <v/>
      </c>
      <c r="X1459" s="66" t="n"/>
      <c r="Y1459" s="66" t="n"/>
      <c r="Z1459" s="7" t="n"/>
      <c r="AA1459" s="70">
        <f>IF($A1459="","",N(V1459)+N(W1459)+N(X1459)+N(Y1459))</f>
        <v/>
      </c>
      <c r="AB1459" s="70">
        <f>IF($A1459="","",N(S1459)*'Paramètres'!$AA$9*IFERROR(INDEX('Paramètres'!$O$5:$O$7,MATCH(G1459,'Paramètres'!$N$5:$N$7,0)),0))</f>
        <v/>
      </c>
      <c r="AC1459" s="7" t="n"/>
      <c r="AD1459" s="69">
        <f>IF(OR($A1459="",Q1459=""),"",(Q1459-B1459)*24)</f>
        <v/>
      </c>
      <c r="AE1459" s="69">
        <f>IF(OR(Q1459="",R1459=""),"",(R1459-Q1459)*24)</f>
        <v/>
      </c>
      <c r="AF1459" s="77">
        <f>IF(OR($A1459="",B1459=""),"",YEAR(B1459))</f>
        <v/>
      </c>
      <c r="AG1459" s="77">
        <f>IF(OR($A1459="",B1459=""),"",MONTH(B1459))</f>
        <v/>
      </c>
    </row>
    <row r="1460">
      <c r="A1460" s="7" t="n"/>
      <c r="B1460" s="75" t="n"/>
      <c r="C1460" s="7" t="n"/>
      <c r="D1460" s="7" t="n"/>
      <c r="E1460" s="9">
        <f>IF(D1460="","",IFERROR(INDEX('Équipements'!$B$5:$B$304,MATCH(D1460,'Équipements'!$A$5:$A$304,0)),"Code inconnu"))</f>
        <v/>
      </c>
      <c r="F1460" s="9">
        <f>IF(D1460="","",IFERROR(INDEX('Équipements'!$D$5:$D$304,MATCH(D1460,'Équipements'!$A$5:$A$304,0)),""))</f>
        <v/>
      </c>
      <c r="G1460" s="9">
        <f>IF(D1460="","",IFERROR(INDEX('Équipements'!$K$5:$K$304,MATCH(D1460,'Équipements'!$A$5:$A$304,0)),""))</f>
        <v/>
      </c>
      <c r="H1460" s="7" t="n"/>
      <c r="I1460" s="7" t="n"/>
      <c r="J1460" s="7" t="n"/>
      <c r="K1460" s="7" t="n"/>
      <c r="L1460" s="7" t="n"/>
      <c r="M1460" s="7" t="n"/>
      <c r="N1460" s="7" t="n"/>
      <c r="O1460" s="7" t="n"/>
      <c r="P1460" s="65" t="n"/>
      <c r="Q1460" s="75" t="n"/>
      <c r="R1460" s="75" t="n"/>
      <c r="S1460" s="76" t="n"/>
      <c r="T1460" s="76" t="n"/>
      <c r="U1460" s="70">
        <f>IF($A1460="","",IFERROR(INDEX('Techniciens'!$F$5:$F$44,MATCH(O1460,'Techniciens'!$B$5:$B$44,0)),'Paramètres'!$AA$10))</f>
        <v/>
      </c>
      <c r="V1460" s="70">
        <f>IF($A1460="","",IF(OR(AC1460="Demandé",AC1460="Planifié",AC1460="Annulé"),0,N(T1460)*N(U1460)))</f>
        <v/>
      </c>
      <c r="W1460" s="70">
        <f>IF($A1460="","",SUMIFS('Mouvements stock'!$H$5:$H$3004,'Mouvements stock'!$I$5:$I$3004,$A1460,'Mouvements stock'!$C$5:$C$3004,"Sortie")-SUMIFS('Mouvements stock'!$H$5:$H$3004,'Mouvements stock'!$I$5:$I$3004,$A1460,'Mouvements stock'!$C$5:$C$3004,"Retour"))</f>
        <v/>
      </c>
      <c r="X1460" s="66" t="n"/>
      <c r="Y1460" s="66" t="n"/>
      <c r="Z1460" s="7" t="n"/>
      <c r="AA1460" s="70">
        <f>IF($A1460="","",N(V1460)+N(W1460)+N(X1460)+N(Y1460))</f>
        <v/>
      </c>
      <c r="AB1460" s="70">
        <f>IF($A1460="","",N(S1460)*'Paramètres'!$AA$9*IFERROR(INDEX('Paramètres'!$O$5:$O$7,MATCH(G1460,'Paramètres'!$N$5:$N$7,0)),0))</f>
        <v/>
      </c>
      <c r="AC1460" s="7" t="n"/>
      <c r="AD1460" s="69">
        <f>IF(OR($A1460="",Q1460=""),"",(Q1460-B1460)*24)</f>
        <v/>
      </c>
      <c r="AE1460" s="69">
        <f>IF(OR(Q1460="",R1460=""),"",(R1460-Q1460)*24)</f>
        <v/>
      </c>
      <c r="AF1460" s="77">
        <f>IF(OR($A1460="",B1460=""),"",YEAR(B1460))</f>
        <v/>
      </c>
      <c r="AG1460" s="77">
        <f>IF(OR($A1460="",B1460=""),"",MONTH(B1460))</f>
        <v/>
      </c>
    </row>
    <row r="1461">
      <c r="A1461" s="7" t="n"/>
      <c r="B1461" s="75" t="n"/>
      <c r="C1461" s="7" t="n"/>
      <c r="D1461" s="7" t="n"/>
      <c r="E1461" s="9">
        <f>IF(D1461="","",IFERROR(INDEX('Équipements'!$B$5:$B$304,MATCH(D1461,'Équipements'!$A$5:$A$304,0)),"Code inconnu"))</f>
        <v/>
      </c>
      <c r="F1461" s="9">
        <f>IF(D1461="","",IFERROR(INDEX('Équipements'!$D$5:$D$304,MATCH(D1461,'Équipements'!$A$5:$A$304,0)),""))</f>
        <v/>
      </c>
      <c r="G1461" s="9">
        <f>IF(D1461="","",IFERROR(INDEX('Équipements'!$K$5:$K$304,MATCH(D1461,'Équipements'!$A$5:$A$304,0)),""))</f>
        <v/>
      </c>
      <c r="H1461" s="7" t="n"/>
      <c r="I1461" s="7" t="n"/>
      <c r="J1461" s="7" t="n"/>
      <c r="K1461" s="7" t="n"/>
      <c r="L1461" s="7" t="n"/>
      <c r="M1461" s="7" t="n"/>
      <c r="N1461" s="7" t="n"/>
      <c r="O1461" s="7" t="n"/>
      <c r="P1461" s="65" t="n"/>
      <c r="Q1461" s="75" t="n"/>
      <c r="R1461" s="75" t="n"/>
      <c r="S1461" s="76" t="n"/>
      <c r="T1461" s="76" t="n"/>
      <c r="U1461" s="70">
        <f>IF($A1461="","",IFERROR(INDEX('Techniciens'!$F$5:$F$44,MATCH(O1461,'Techniciens'!$B$5:$B$44,0)),'Paramètres'!$AA$10))</f>
        <v/>
      </c>
      <c r="V1461" s="70">
        <f>IF($A1461="","",IF(OR(AC1461="Demandé",AC1461="Planifié",AC1461="Annulé"),0,N(T1461)*N(U1461)))</f>
        <v/>
      </c>
      <c r="W1461" s="70">
        <f>IF($A1461="","",SUMIFS('Mouvements stock'!$H$5:$H$3004,'Mouvements stock'!$I$5:$I$3004,$A1461,'Mouvements stock'!$C$5:$C$3004,"Sortie")-SUMIFS('Mouvements stock'!$H$5:$H$3004,'Mouvements stock'!$I$5:$I$3004,$A1461,'Mouvements stock'!$C$5:$C$3004,"Retour"))</f>
        <v/>
      </c>
      <c r="X1461" s="66" t="n"/>
      <c r="Y1461" s="66" t="n"/>
      <c r="Z1461" s="7" t="n"/>
      <c r="AA1461" s="70">
        <f>IF($A1461="","",N(V1461)+N(W1461)+N(X1461)+N(Y1461))</f>
        <v/>
      </c>
      <c r="AB1461" s="70">
        <f>IF($A1461="","",N(S1461)*'Paramètres'!$AA$9*IFERROR(INDEX('Paramètres'!$O$5:$O$7,MATCH(G1461,'Paramètres'!$N$5:$N$7,0)),0))</f>
        <v/>
      </c>
      <c r="AC1461" s="7" t="n"/>
      <c r="AD1461" s="69">
        <f>IF(OR($A1461="",Q1461=""),"",(Q1461-B1461)*24)</f>
        <v/>
      </c>
      <c r="AE1461" s="69">
        <f>IF(OR(Q1461="",R1461=""),"",(R1461-Q1461)*24)</f>
        <v/>
      </c>
      <c r="AF1461" s="77">
        <f>IF(OR($A1461="",B1461=""),"",YEAR(B1461))</f>
        <v/>
      </c>
      <c r="AG1461" s="77">
        <f>IF(OR($A1461="",B1461=""),"",MONTH(B1461))</f>
        <v/>
      </c>
    </row>
    <row r="1462">
      <c r="A1462" s="7" t="n"/>
      <c r="B1462" s="75" t="n"/>
      <c r="C1462" s="7" t="n"/>
      <c r="D1462" s="7" t="n"/>
      <c r="E1462" s="9">
        <f>IF(D1462="","",IFERROR(INDEX('Équipements'!$B$5:$B$304,MATCH(D1462,'Équipements'!$A$5:$A$304,0)),"Code inconnu"))</f>
        <v/>
      </c>
      <c r="F1462" s="9">
        <f>IF(D1462="","",IFERROR(INDEX('Équipements'!$D$5:$D$304,MATCH(D1462,'Équipements'!$A$5:$A$304,0)),""))</f>
        <v/>
      </c>
      <c r="G1462" s="9">
        <f>IF(D1462="","",IFERROR(INDEX('Équipements'!$K$5:$K$304,MATCH(D1462,'Équipements'!$A$5:$A$304,0)),""))</f>
        <v/>
      </c>
      <c r="H1462" s="7" t="n"/>
      <c r="I1462" s="7" t="n"/>
      <c r="J1462" s="7" t="n"/>
      <c r="K1462" s="7" t="n"/>
      <c r="L1462" s="7" t="n"/>
      <c r="M1462" s="7" t="n"/>
      <c r="N1462" s="7" t="n"/>
      <c r="O1462" s="7" t="n"/>
      <c r="P1462" s="65" t="n"/>
      <c r="Q1462" s="75" t="n"/>
      <c r="R1462" s="75" t="n"/>
      <c r="S1462" s="76" t="n"/>
      <c r="T1462" s="76" t="n"/>
      <c r="U1462" s="70">
        <f>IF($A1462="","",IFERROR(INDEX('Techniciens'!$F$5:$F$44,MATCH(O1462,'Techniciens'!$B$5:$B$44,0)),'Paramètres'!$AA$10))</f>
        <v/>
      </c>
      <c r="V1462" s="70">
        <f>IF($A1462="","",IF(OR(AC1462="Demandé",AC1462="Planifié",AC1462="Annulé"),0,N(T1462)*N(U1462)))</f>
        <v/>
      </c>
      <c r="W1462" s="70">
        <f>IF($A1462="","",SUMIFS('Mouvements stock'!$H$5:$H$3004,'Mouvements stock'!$I$5:$I$3004,$A1462,'Mouvements stock'!$C$5:$C$3004,"Sortie")-SUMIFS('Mouvements stock'!$H$5:$H$3004,'Mouvements stock'!$I$5:$I$3004,$A1462,'Mouvements stock'!$C$5:$C$3004,"Retour"))</f>
        <v/>
      </c>
      <c r="X1462" s="66" t="n"/>
      <c r="Y1462" s="66" t="n"/>
      <c r="Z1462" s="7" t="n"/>
      <c r="AA1462" s="70">
        <f>IF($A1462="","",N(V1462)+N(W1462)+N(X1462)+N(Y1462))</f>
        <v/>
      </c>
      <c r="AB1462" s="70">
        <f>IF($A1462="","",N(S1462)*'Paramètres'!$AA$9*IFERROR(INDEX('Paramètres'!$O$5:$O$7,MATCH(G1462,'Paramètres'!$N$5:$N$7,0)),0))</f>
        <v/>
      </c>
      <c r="AC1462" s="7" t="n"/>
      <c r="AD1462" s="69">
        <f>IF(OR($A1462="",Q1462=""),"",(Q1462-B1462)*24)</f>
        <v/>
      </c>
      <c r="AE1462" s="69">
        <f>IF(OR(Q1462="",R1462=""),"",(R1462-Q1462)*24)</f>
        <v/>
      </c>
      <c r="AF1462" s="77">
        <f>IF(OR($A1462="",B1462=""),"",YEAR(B1462))</f>
        <v/>
      </c>
      <c r="AG1462" s="77">
        <f>IF(OR($A1462="",B1462=""),"",MONTH(B1462))</f>
        <v/>
      </c>
    </row>
    <row r="1463">
      <c r="A1463" s="7" t="n"/>
      <c r="B1463" s="75" t="n"/>
      <c r="C1463" s="7" t="n"/>
      <c r="D1463" s="7" t="n"/>
      <c r="E1463" s="9">
        <f>IF(D1463="","",IFERROR(INDEX('Équipements'!$B$5:$B$304,MATCH(D1463,'Équipements'!$A$5:$A$304,0)),"Code inconnu"))</f>
        <v/>
      </c>
      <c r="F1463" s="9">
        <f>IF(D1463="","",IFERROR(INDEX('Équipements'!$D$5:$D$304,MATCH(D1463,'Équipements'!$A$5:$A$304,0)),""))</f>
        <v/>
      </c>
      <c r="G1463" s="9">
        <f>IF(D1463="","",IFERROR(INDEX('Équipements'!$K$5:$K$304,MATCH(D1463,'Équipements'!$A$5:$A$304,0)),""))</f>
        <v/>
      </c>
      <c r="H1463" s="7" t="n"/>
      <c r="I1463" s="7" t="n"/>
      <c r="J1463" s="7" t="n"/>
      <c r="K1463" s="7" t="n"/>
      <c r="L1463" s="7" t="n"/>
      <c r="M1463" s="7" t="n"/>
      <c r="N1463" s="7" t="n"/>
      <c r="O1463" s="7" t="n"/>
      <c r="P1463" s="65" t="n"/>
      <c r="Q1463" s="75" t="n"/>
      <c r="R1463" s="75" t="n"/>
      <c r="S1463" s="76" t="n"/>
      <c r="T1463" s="76" t="n"/>
      <c r="U1463" s="70">
        <f>IF($A1463="","",IFERROR(INDEX('Techniciens'!$F$5:$F$44,MATCH(O1463,'Techniciens'!$B$5:$B$44,0)),'Paramètres'!$AA$10))</f>
        <v/>
      </c>
      <c r="V1463" s="70">
        <f>IF($A1463="","",IF(OR(AC1463="Demandé",AC1463="Planifié",AC1463="Annulé"),0,N(T1463)*N(U1463)))</f>
        <v/>
      </c>
      <c r="W1463" s="70">
        <f>IF($A1463="","",SUMIFS('Mouvements stock'!$H$5:$H$3004,'Mouvements stock'!$I$5:$I$3004,$A1463,'Mouvements stock'!$C$5:$C$3004,"Sortie")-SUMIFS('Mouvements stock'!$H$5:$H$3004,'Mouvements stock'!$I$5:$I$3004,$A1463,'Mouvements stock'!$C$5:$C$3004,"Retour"))</f>
        <v/>
      </c>
      <c r="X1463" s="66" t="n"/>
      <c r="Y1463" s="66" t="n"/>
      <c r="Z1463" s="7" t="n"/>
      <c r="AA1463" s="70">
        <f>IF($A1463="","",N(V1463)+N(W1463)+N(X1463)+N(Y1463))</f>
        <v/>
      </c>
      <c r="AB1463" s="70">
        <f>IF($A1463="","",N(S1463)*'Paramètres'!$AA$9*IFERROR(INDEX('Paramètres'!$O$5:$O$7,MATCH(G1463,'Paramètres'!$N$5:$N$7,0)),0))</f>
        <v/>
      </c>
      <c r="AC1463" s="7" t="n"/>
      <c r="AD1463" s="69">
        <f>IF(OR($A1463="",Q1463=""),"",(Q1463-B1463)*24)</f>
        <v/>
      </c>
      <c r="AE1463" s="69">
        <f>IF(OR(Q1463="",R1463=""),"",(R1463-Q1463)*24)</f>
        <v/>
      </c>
      <c r="AF1463" s="77">
        <f>IF(OR($A1463="",B1463=""),"",YEAR(B1463))</f>
        <v/>
      </c>
      <c r="AG1463" s="77">
        <f>IF(OR($A1463="",B1463=""),"",MONTH(B1463))</f>
        <v/>
      </c>
    </row>
    <row r="1464">
      <c r="A1464" s="7" t="n"/>
      <c r="B1464" s="75" t="n"/>
      <c r="C1464" s="7" t="n"/>
      <c r="D1464" s="7" t="n"/>
      <c r="E1464" s="9">
        <f>IF(D1464="","",IFERROR(INDEX('Équipements'!$B$5:$B$304,MATCH(D1464,'Équipements'!$A$5:$A$304,0)),"Code inconnu"))</f>
        <v/>
      </c>
      <c r="F1464" s="9">
        <f>IF(D1464="","",IFERROR(INDEX('Équipements'!$D$5:$D$304,MATCH(D1464,'Équipements'!$A$5:$A$304,0)),""))</f>
        <v/>
      </c>
      <c r="G1464" s="9">
        <f>IF(D1464="","",IFERROR(INDEX('Équipements'!$K$5:$K$304,MATCH(D1464,'Équipements'!$A$5:$A$304,0)),""))</f>
        <v/>
      </c>
      <c r="H1464" s="7" t="n"/>
      <c r="I1464" s="7" t="n"/>
      <c r="J1464" s="7" t="n"/>
      <c r="K1464" s="7" t="n"/>
      <c r="L1464" s="7" t="n"/>
      <c r="M1464" s="7" t="n"/>
      <c r="N1464" s="7" t="n"/>
      <c r="O1464" s="7" t="n"/>
      <c r="P1464" s="65" t="n"/>
      <c r="Q1464" s="75" t="n"/>
      <c r="R1464" s="75" t="n"/>
      <c r="S1464" s="76" t="n"/>
      <c r="T1464" s="76" t="n"/>
      <c r="U1464" s="70">
        <f>IF($A1464="","",IFERROR(INDEX('Techniciens'!$F$5:$F$44,MATCH(O1464,'Techniciens'!$B$5:$B$44,0)),'Paramètres'!$AA$10))</f>
        <v/>
      </c>
      <c r="V1464" s="70">
        <f>IF($A1464="","",IF(OR(AC1464="Demandé",AC1464="Planifié",AC1464="Annulé"),0,N(T1464)*N(U1464)))</f>
        <v/>
      </c>
      <c r="W1464" s="70">
        <f>IF($A1464="","",SUMIFS('Mouvements stock'!$H$5:$H$3004,'Mouvements stock'!$I$5:$I$3004,$A1464,'Mouvements stock'!$C$5:$C$3004,"Sortie")-SUMIFS('Mouvements stock'!$H$5:$H$3004,'Mouvements stock'!$I$5:$I$3004,$A1464,'Mouvements stock'!$C$5:$C$3004,"Retour"))</f>
        <v/>
      </c>
      <c r="X1464" s="66" t="n"/>
      <c r="Y1464" s="66" t="n"/>
      <c r="Z1464" s="7" t="n"/>
      <c r="AA1464" s="70">
        <f>IF($A1464="","",N(V1464)+N(W1464)+N(X1464)+N(Y1464))</f>
        <v/>
      </c>
      <c r="AB1464" s="70">
        <f>IF($A1464="","",N(S1464)*'Paramètres'!$AA$9*IFERROR(INDEX('Paramètres'!$O$5:$O$7,MATCH(G1464,'Paramètres'!$N$5:$N$7,0)),0))</f>
        <v/>
      </c>
      <c r="AC1464" s="7" t="n"/>
      <c r="AD1464" s="69">
        <f>IF(OR($A1464="",Q1464=""),"",(Q1464-B1464)*24)</f>
        <v/>
      </c>
      <c r="AE1464" s="69">
        <f>IF(OR(Q1464="",R1464=""),"",(R1464-Q1464)*24)</f>
        <v/>
      </c>
      <c r="AF1464" s="77">
        <f>IF(OR($A1464="",B1464=""),"",YEAR(B1464))</f>
        <v/>
      </c>
      <c r="AG1464" s="77">
        <f>IF(OR($A1464="",B1464=""),"",MONTH(B1464))</f>
        <v/>
      </c>
    </row>
    <row r="1465">
      <c r="A1465" s="7" t="n"/>
      <c r="B1465" s="75" t="n"/>
      <c r="C1465" s="7" t="n"/>
      <c r="D1465" s="7" t="n"/>
      <c r="E1465" s="9">
        <f>IF(D1465="","",IFERROR(INDEX('Équipements'!$B$5:$B$304,MATCH(D1465,'Équipements'!$A$5:$A$304,0)),"Code inconnu"))</f>
        <v/>
      </c>
      <c r="F1465" s="9">
        <f>IF(D1465="","",IFERROR(INDEX('Équipements'!$D$5:$D$304,MATCH(D1465,'Équipements'!$A$5:$A$304,0)),""))</f>
        <v/>
      </c>
      <c r="G1465" s="9">
        <f>IF(D1465="","",IFERROR(INDEX('Équipements'!$K$5:$K$304,MATCH(D1465,'Équipements'!$A$5:$A$304,0)),""))</f>
        <v/>
      </c>
      <c r="H1465" s="7" t="n"/>
      <c r="I1465" s="7" t="n"/>
      <c r="J1465" s="7" t="n"/>
      <c r="K1465" s="7" t="n"/>
      <c r="L1465" s="7" t="n"/>
      <c r="M1465" s="7" t="n"/>
      <c r="N1465" s="7" t="n"/>
      <c r="O1465" s="7" t="n"/>
      <c r="P1465" s="65" t="n"/>
      <c r="Q1465" s="75" t="n"/>
      <c r="R1465" s="75" t="n"/>
      <c r="S1465" s="76" t="n"/>
      <c r="T1465" s="76" t="n"/>
      <c r="U1465" s="70">
        <f>IF($A1465="","",IFERROR(INDEX('Techniciens'!$F$5:$F$44,MATCH(O1465,'Techniciens'!$B$5:$B$44,0)),'Paramètres'!$AA$10))</f>
        <v/>
      </c>
      <c r="V1465" s="70">
        <f>IF($A1465="","",IF(OR(AC1465="Demandé",AC1465="Planifié",AC1465="Annulé"),0,N(T1465)*N(U1465)))</f>
        <v/>
      </c>
      <c r="W1465" s="70">
        <f>IF($A1465="","",SUMIFS('Mouvements stock'!$H$5:$H$3004,'Mouvements stock'!$I$5:$I$3004,$A1465,'Mouvements stock'!$C$5:$C$3004,"Sortie")-SUMIFS('Mouvements stock'!$H$5:$H$3004,'Mouvements stock'!$I$5:$I$3004,$A1465,'Mouvements stock'!$C$5:$C$3004,"Retour"))</f>
        <v/>
      </c>
      <c r="X1465" s="66" t="n"/>
      <c r="Y1465" s="66" t="n"/>
      <c r="Z1465" s="7" t="n"/>
      <c r="AA1465" s="70">
        <f>IF($A1465="","",N(V1465)+N(W1465)+N(X1465)+N(Y1465))</f>
        <v/>
      </c>
      <c r="AB1465" s="70">
        <f>IF($A1465="","",N(S1465)*'Paramètres'!$AA$9*IFERROR(INDEX('Paramètres'!$O$5:$O$7,MATCH(G1465,'Paramètres'!$N$5:$N$7,0)),0))</f>
        <v/>
      </c>
      <c r="AC1465" s="7" t="n"/>
      <c r="AD1465" s="69">
        <f>IF(OR($A1465="",Q1465=""),"",(Q1465-B1465)*24)</f>
        <v/>
      </c>
      <c r="AE1465" s="69">
        <f>IF(OR(Q1465="",R1465=""),"",(R1465-Q1465)*24)</f>
        <v/>
      </c>
      <c r="AF1465" s="77">
        <f>IF(OR($A1465="",B1465=""),"",YEAR(B1465))</f>
        <v/>
      </c>
      <c r="AG1465" s="77">
        <f>IF(OR($A1465="",B1465=""),"",MONTH(B1465))</f>
        <v/>
      </c>
    </row>
    <row r="1466">
      <c r="A1466" s="7" t="n"/>
      <c r="B1466" s="75" t="n"/>
      <c r="C1466" s="7" t="n"/>
      <c r="D1466" s="7" t="n"/>
      <c r="E1466" s="9">
        <f>IF(D1466="","",IFERROR(INDEX('Équipements'!$B$5:$B$304,MATCH(D1466,'Équipements'!$A$5:$A$304,0)),"Code inconnu"))</f>
        <v/>
      </c>
      <c r="F1466" s="9">
        <f>IF(D1466="","",IFERROR(INDEX('Équipements'!$D$5:$D$304,MATCH(D1466,'Équipements'!$A$5:$A$304,0)),""))</f>
        <v/>
      </c>
      <c r="G1466" s="9">
        <f>IF(D1466="","",IFERROR(INDEX('Équipements'!$K$5:$K$304,MATCH(D1466,'Équipements'!$A$5:$A$304,0)),""))</f>
        <v/>
      </c>
      <c r="H1466" s="7" t="n"/>
      <c r="I1466" s="7" t="n"/>
      <c r="J1466" s="7" t="n"/>
      <c r="K1466" s="7" t="n"/>
      <c r="L1466" s="7" t="n"/>
      <c r="M1466" s="7" t="n"/>
      <c r="N1466" s="7" t="n"/>
      <c r="O1466" s="7" t="n"/>
      <c r="P1466" s="65" t="n"/>
      <c r="Q1466" s="75" t="n"/>
      <c r="R1466" s="75" t="n"/>
      <c r="S1466" s="76" t="n"/>
      <c r="T1466" s="76" t="n"/>
      <c r="U1466" s="70">
        <f>IF($A1466="","",IFERROR(INDEX('Techniciens'!$F$5:$F$44,MATCH(O1466,'Techniciens'!$B$5:$B$44,0)),'Paramètres'!$AA$10))</f>
        <v/>
      </c>
      <c r="V1466" s="70">
        <f>IF($A1466="","",IF(OR(AC1466="Demandé",AC1466="Planifié",AC1466="Annulé"),0,N(T1466)*N(U1466)))</f>
        <v/>
      </c>
      <c r="W1466" s="70">
        <f>IF($A1466="","",SUMIFS('Mouvements stock'!$H$5:$H$3004,'Mouvements stock'!$I$5:$I$3004,$A1466,'Mouvements stock'!$C$5:$C$3004,"Sortie")-SUMIFS('Mouvements stock'!$H$5:$H$3004,'Mouvements stock'!$I$5:$I$3004,$A1466,'Mouvements stock'!$C$5:$C$3004,"Retour"))</f>
        <v/>
      </c>
      <c r="X1466" s="66" t="n"/>
      <c r="Y1466" s="66" t="n"/>
      <c r="Z1466" s="7" t="n"/>
      <c r="AA1466" s="70">
        <f>IF($A1466="","",N(V1466)+N(W1466)+N(X1466)+N(Y1466))</f>
        <v/>
      </c>
      <c r="AB1466" s="70">
        <f>IF($A1466="","",N(S1466)*'Paramètres'!$AA$9*IFERROR(INDEX('Paramètres'!$O$5:$O$7,MATCH(G1466,'Paramètres'!$N$5:$N$7,0)),0))</f>
        <v/>
      </c>
      <c r="AC1466" s="7" t="n"/>
      <c r="AD1466" s="69">
        <f>IF(OR($A1466="",Q1466=""),"",(Q1466-B1466)*24)</f>
        <v/>
      </c>
      <c r="AE1466" s="69">
        <f>IF(OR(Q1466="",R1466=""),"",(R1466-Q1466)*24)</f>
        <v/>
      </c>
      <c r="AF1466" s="77">
        <f>IF(OR($A1466="",B1466=""),"",YEAR(B1466))</f>
        <v/>
      </c>
      <c r="AG1466" s="77">
        <f>IF(OR($A1466="",B1466=""),"",MONTH(B1466))</f>
        <v/>
      </c>
    </row>
    <row r="1467">
      <c r="A1467" s="7" t="n"/>
      <c r="B1467" s="75" t="n"/>
      <c r="C1467" s="7" t="n"/>
      <c r="D1467" s="7" t="n"/>
      <c r="E1467" s="9">
        <f>IF(D1467="","",IFERROR(INDEX('Équipements'!$B$5:$B$304,MATCH(D1467,'Équipements'!$A$5:$A$304,0)),"Code inconnu"))</f>
        <v/>
      </c>
      <c r="F1467" s="9">
        <f>IF(D1467="","",IFERROR(INDEX('Équipements'!$D$5:$D$304,MATCH(D1467,'Équipements'!$A$5:$A$304,0)),""))</f>
        <v/>
      </c>
      <c r="G1467" s="9">
        <f>IF(D1467="","",IFERROR(INDEX('Équipements'!$K$5:$K$304,MATCH(D1467,'Équipements'!$A$5:$A$304,0)),""))</f>
        <v/>
      </c>
      <c r="H1467" s="7" t="n"/>
      <c r="I1467" s="7" t="n"/>
      <c r="J1467" s="7" t="n"/>
      <c r="K1467" s="7" t="n"/>
      <c r="L1467" s="7" t="n"/>
      <c r="M1467" s="7" t="n"/>
      <c r="N1467" s="7" t="n"/>
      <c r="O1467" s="7" t="n"/>
      <c r="P1467" s="65" t="n"/>
      <c r="Q1467" s="75" t="n"/>
      <c r="R1467" s="75" t="n"/>
      <c r="S1467" s="76" t="n"/>
      <c r="T1467" s="76" t="n"/>
      <c r="U1467" s="70">
        <f>IF($A1467="","",IFERROR(INDEX('Techniciens'!$F$5:$F$44,MATCH(O1467,'Techniciens'!$B$5:$B$44,0)),'Paramètres'!$AA$10))</f>
        <v/>
      </c>
      <c r="V1467" s="70">
        <f>IF($A1467="","",IF(OR(AC1467="Demandé",AC1467="Planifié",AC1467="Annulé"),0,N(T1467)*N(U1467)))</f>
        <v/>
      </c>
      <c r="W1467" s="70">
        <f>IF($A1467="","",SUMIFS('Mouvements stock'!$H$5:$H$3004,'Mouvements stock'!$I$5:$I$3004,$A1467,'Mouvements stock'!$C$5:$C$3004,"Sortie")-SUMIFS('Mouvements stock'!$H$5:$H$3004,'Mouvements stock'!$I$5:$I$3004,$A1467,'Mouvements stock'!$C$5:$C$3004,"Retour"))</f>
        <v/>
      </c>
      <c r="X1467" s="66" t="n"/>
      <c r="Y1467" s="66" t="n"/>
      <c r="Z1467" s="7" t="n"/>
      <c r="AA1467" s="70">
        <f>IF($A1467="","",N(V1467)+N(W1467)+N(X1467)+N(Y1467))</f>
        <v/>
      </c>
      <c r="AB1467" s="70">
        <f>IF($A1467="","",N(S1467)*'Paramètres'!$AA$9*IFERROR(INDEX('Paramètres'!$O$5:$O$7,MATCH(G1467,'Paramètres'!$N$5:$N$7,0)),0))</f>
        <v/>
      </c>
      <c r="AC1467" s="7" t="n"/>
      <c r="AD1467" s="69">
        <f>IF(OR($A1467="",Q1467=""),"",(Q1467-B1467)*24)</f>
        <v/>
      </c>
      <c r="AE1467" s="69">
        <f>IF(OR(Q1467="",R1467=""),"",(R1467-Q1467)*24)</f>
        <v/>
      </c>
      <c r="AF1467" s="77">
        <f>IF(OR($A1467="",B1467=""),"",YEAR(B1467))</f>
        <v/>
      </c>
      <c r="AG1467" s="77">
        <f>IF(OR($A1467="",B1467=""),"",MONTH(B1467))</f>
        <v/>
      </c>
    </row>
    <row r="1468">
      <c r="A1468" s="7" t="n"/>
      <c r="B1468" s="75" t="n"/>
      <c r="C1468" s="7" t="n"/>
      <c r="D1468" s="7" t="n"/>
      <c r="E1468" s="9">
        <f>IF(D1468="","",IFERROR(INDEX('Équipements'!$B$5:$B$304,MATCH(D1468,'Équipements'!$A$5:$A$304,0)),"Code inconnu"))</f>
        <v/>
      </c>
      <c r="F1468" s="9">
        <f>IF(D1468="","",IFERROR(INDEX('Équipements'!$D$5:$D$304,MATCH(D1468,'Équipements'!$A$5:$A$304,0)),""))</f>
        <v/>
      </c>
      <c r="G1468" s="9">
        <f>IF(D1468="","",IFERROR(INDEX('Équipements'!$K$5:$K$304,MATCH(D1468,'Équipements'!$A$5:$A$304,0)),""))</f>
        <v/>
      </c>
      <c r="H1468" s="7" t="n"/>
      <c r="I1468" s="7" t="n"/>
      <c r="J1468" s="7" t="n"/>
      <c r="K1468" s="7" t="n"/>
      <c r="L1468" s="7" t="n"/>
      <c r="M1468" s="7" t="n"/>
      <c r="N1468" s="7" t="n"/>
      <c r="O1468" s="7" t="n"/>
      <c r="P1468" s="65" t="n"/>
      <c r="Q1468" s="75" t="n"/>
      <c r="R1468" s="75" t="n"/>
      <c r="S1468" s="76" t="n"/>
      <c r="T1468" s="76" t="n"/>
      <c r="U1468" s="70">
        <f>IF($A1468="","",IFERROR(INDEX('Techniciens'!$F$5:$F$44,MATCH(O1468,'Techniciens'!$B$5:$B$44,0)),'Paramètres'!$AA$10))</f>
        <v/>
      </c>
      <c r="V1468" s="70">
        <f>IF($A1468="","",IF(OR(AC1468="Demandé",AC1468="Planifié",AC1468="Annulé"),0,N(T1468)*N(U1468)))</f>
        <v/>
      </c>
      <c r="W1468" s="70">
        <f>IF($A1468="","",SUMIFS('Mouvements stock'!$H$5:$H$3004,'Mouvements stock'!$I$5:$I$3004,$A1468,'Mouvements stock'!$C$5:$C$3004,"Sortie")-SUMIFS('Mouvements stock'!$H$5:$H$3004,'Mouvements stock'!$I$5:$I$3004,$A1468,'Mouvements stock'!$C$5:$C$3004,"Retour"))</f>
        <v/>
      </c>
      <c r="X1468" s="66" t="n"/>
      <c r="Y1468" s="66" t="n"/>
      <c r="Z1468" s="7" t="n"/>
      <c r="AA1468" s="70">
        <f>IF($A1468="","",N(V1468)+N(W1468)+N(X1468)+N(Y1468))</f>
        <v/>
      </c>
      <c r="AB1468" s="70">
        <f>IF($A1468="","",N(S1468)*'Paramètres'!$AA$9*IFERROR(INDEX('Paramètres'!$O$5:$O$7,MATCH(G1468,'Paramètres'!$N$5:$N$7,0)),0))</f>
        <v/>
      </c>
      <c r="AC1468" s="7" t="n"/>
      <c r="AD1468" s="69">
        <f>IF(OR($A1468="",Q1468=""),"",(Q1468-B1468)*24)</f>
        <v/>
      </c>
      <c r="AE1468" s="69">
        <f>IF(OR(Q1468="",R1468=""),"",(R1468-Q1468)*24)</f>
        <v/>
      </c>
      <c r="AF1468" s="77">
        <f>IF(OR($A1468="",B1468=""),"",YEAR(B1468))</f>
        <v/>
      </c>
      <c r="AG1468" s="77">
        <f>IF(OR($A1468="",B1468=""),"",MONTH(B1468))</f>
        <v/>
      </c>
    </row>
    <row r="1469">
      <c r="A1469" s="7" t="n"/>
      <c r="B1469" s="75" t="n"/>
      <c r="C1469" s="7" t="n"/>
      <c r="D1469" s="7" t="n"/>
      <c r="E1469" s="9">
        <f>IF(D1469="","",IFERROR(INDEX('Équipements'!$B$5:$B$304,MATCH(D1469,'Équipements'!$A$5:$A$304,0)),"Code inconnu"))</f>
        <v/>
      </c>
      <c r="F1469" s="9">
        <f>IF(D1469="","",IFERROR(INDEX('Équipements'!$D$5:$D$304,MATCH(D1469,'Équipements'!$A$5:$A$304,0)),""))</f>
        <v/>
      </c>
      <c r="G1469" s="9">
        <f>IF(D1469="","",IFERROR(INDEX('Équipements'!$K$5:$K$304,MATCH(D1469,'Équipements'!$A$5:$A$304,0)),""))</f>
        <v/>
      </c>
      <c r="H1469" s="7" t="n"/>
      <c r="I1469" s="7" t="n"/>
      <c r="J1469" s="7" t="n"/>
      <c r="K1469" s="7" t="n"/>
      <c r="L1469" s="7" t="n"/>
      <c r="M1469" s="7" t="n"/>
      <c r="N1469" s="7" t="n"/>
      <c r="O1469" s="7" t="n"/>
      <c r="P1469" s="65" t="n"/>
      <c r="Q1469" s="75" t="n"/>
      <c r="R1469" s="75" t="n"/>
      <c r="S1469" s="76" t="n"/>
      <c r="T1469" s="76" t="n"/>
      <c r="U1469" s="70">
        <f>IF($A1469="","",IFERROR(INDEX('Techniciens'!$F$5:$F$44,MATCH(O1469,'Techniciens'!$B$5:$B$44,0)),'Paramètres'!$AA$10))</f>
        <v/>
      </c>
      <c r="V1469" s="70">
        <f>IF($A1469="","",IF(OR(AC1469="Demandé",AC1469="Planifié",AC1469="Annulé"),0,N(T1469)*N(U1469)))</f>
        <v/>
      </c>
      <c r="W1469" s="70">
        <f>IF($A1469="","",SUMIFS('Mouvements stock'!$H$5:$H$3004,'Mouvements stock'!$I$5:$I$3004,$A1469,'Mouvements stock'!$C$5:$C$3004,"Sortie")-SUMIFS('Mouvements stock'!$H$5:$H$3004,'Mouvements stock'!$I$5:$I$3004,$A1469,'Mouvements stock'!$C$5:$C$3004,"Retour"))</f>
        <v/>
      </c>
      <c r="X1469" s="66" t="n"/>
      <c r="Y1469" s="66" t="n"/>
      <c r="Z1469" s="7" t="n"/>
      <c r="AA1469" s="70">
        <f>IF($A1469="","",N(V1469)+N(W1469)+N(X1469)+N(Y1469))</f>
        <v/>
      </c>
      <c r="AB1469" s="70">
        <f>IF($A1469="","",N(S1469)*'Paramètres'!$AA$9*IFERROR(INDEX('Paramètres'!$O$5:$O$7,MATCH(G1469,'Paramètres'!$N$5:$N$7,0)),0))</f>
        <v/>
      </c>
      <c r="AC1469" s="7" t="n"/>
      <c r="AD1469" s="69">
        <f>IF(OR($A1469="",Q1469=""),"",(Q1469-B1469)*24)</f>
        <v/>
      </c>
      <c r="AE1469" s="69">
        <f>IF(OR(Q1469="",R1469=""),"",(R1469-Q1469)*24)</f>
        <v/>
      </c>
      <c r="AF1469" s="77">
        <f>IF(OR($A1469="",B1469=""),"",YEAR(B1469))</f>
        <v/>
      </c>
      <c r="AG1469" s="77">
        <f>IF(OR($A1469="",B1469=""),"",MONTH(B1469))</f>
        <v/>
      </c>
    </row>
    <row r="1470">
      <c r="A1470" s="7" t="n"/>
      <c r="B1470" s="75" t="n"/>
      <c r="C1470" s="7" t="n"/>
      <c r="D1470" s="7" t="n"/>
      <c r="E1470" s="9">
        <f>IF(D1470="","",IFERROR(INDEX('Équipements'!$B$5:$B$304,MATCH(D1470,'Équipements'!$A$5:$A$304,0)),"Code inconnu"))</f>
        <v/>
      </c>
      <c r="F1470" s="9">
        <f>IF(D1470="","",IFERROR(INDEX('Équipements'!$D$5:$D$304,MATCH(D1470,'Équipements'!$A$5:$A$304,0)),""))</f>
        <v/>
      </c>
      <c r="G1470" s="9">
        <f>IF(D1470="","",IFERROR(INDEX('Équipements'!$K$5:$K$304,MATCH(D1470,'Équipements'!$A$5:$A$304,0)),""))</f>
        <v/>
      </c>
      <c r="H1470" s="7" t="n"/>
      <c r="I1470" s="7" t="n"/>
      <c r="J1470" s="7" t="n"/>
      <c r="K1470" s="7" t="n"/>
      <c r="L1470" s="7" t="n"/>
      <c r="M1470" s="7" t="n"/>
      <c r="N1470" s="7" t="n"/>
      <c r="O1470" s="7" t="n"/>
      <c r="P1470" s="65" t="n"/>
      <c r="Q1470" s="75" t="n"/>
      <c r="R1470" s="75" t="n"/>
      <c r="S1470" s="76" t="n"/>
      <c r="T1470" s="76" t="n"/>
      <c r="U1470" s="70">
        <f>IF($A1470="","",IFERROR(INDEX('Techniciens'!$F$5:$F$44,MATCH(O1470,'Techniciens'!$B$5:$B$44,0)),'Paramètres'!$AA$10))</f>
        <v/>
      </c>
      <c r="V1470" s="70">
        <f>IF($A1470="","",IF(OR(AC1470="Demandé",AC1470="Planifié",AC1470="Annulé"),0,N(T1470)*N(U1470)))</f>
        <v/>
      </c>
      <c r="W1470" s="70">
        <f>IF($A1470="","",SUMIFS('Mouvements stock'!$H$5:$H$3004,'Mouvements stock'!$I$5:$I$3004,$A1470,'Mouvements stock'!$C$5:$C$3004,"Sortie")-SUMIFS('Mouvements stock'!$H$5:$H$3004,'Mouvements stock'!$I$5:$I$3004,$A1470,'Mouvements stock'!$C$5:$C$3004,"Retour"))</f>
        <v/>
      </c>
      <c r="X1470" s="66" t="n"/>
      <c r="Y1470" s="66" t="n"/>
      <c r="Z1470" s="7" t="n"/>
      <c r="AA1470" s="70">
        <f>IF($A1470="","",N(V1470)+N(W1470)+N(X1470)+N(Y1470))</f>
        <v/>
      </c>
      <c r="AB1470" s="70">
        <f>IF($A1470="","",N(S1470)*'Paramètres'!$AA$9*IFERROR(INDEX('Paramètres'!$O$5:$O$7,MATCH(G1470,'Paramètres'!$N$5:$N$7,0)),0))</f>
        <v/>
      </c>
      <c r="AC1470" s="7" t="n"/>
      <c r="AD1470" s="69">
        <f>IF(OR($A1470="",Q1470=""),"",(Q1470-B1470)*24)</f>
        <v/>
      </c>
      <c r="AE1470" s="69">
        <f>IF(OR(Q1470="",R1470=""),"",(R1470-Q1470)*24)</f>
        <v/>
      </c>
      <c r="AF1470" s="77">
        <f>IF(OR($A1470="",B1470=""),"",YEAR(B1470))</f>
        <v/>
      </c>
      <c r="AG1470" s="77">
        <f>IF(OR($A1470="",B1470=""),"",MONTH(B1470))</f>
        <v/>
      </c>
    </row>
    <row r="1471">
      <c r="A1471" s="7" t="n"/>
      <c r="B1471" s="75" t="n"/>
      <c r="C1471" s="7" t="n"/>
      <c r="D1471" s="7" t="n"/>
      <c r="E1471" s="9">
        <f>IF(D1471="","",IFERROR(INDEX('Équipements'!$B$5:$B$304,MATCH(D1471,'Équipements'!$A$5:$A$304,0)),"Code inconnu"))</f>
        <v/>
      </c>
      <c r="F1471" s="9">
        <f>IF(D1471="","",IFERROR(INDEX('Équipements'!$D$5:$D$304,MATCH(D1471,'Équipements'!$A$5:$A$304,0)),""))</f>
        <v/>
      </c>
      <c r="G1471" s="9">
        <f>IF(D1471="","",IFERROR(INDEX('Équipements'!$K$5:$K$304,MATCH(D1471,'Équipements'!$A$5:$A$304,0)),""))</f>
        <v/>
      </c>
      <c r="H1471" s="7" t="n"/>
      <c r="I1471" s="7" t="n"/>
      <c r="J1471" s="7" t="n"/>
      <c r="K1471" s="7" t="n"/>
      <c r="L1471" s="7" t="n"/>
      <c r="M1471" s="7" t="n"/>
      <c r="N1471" s="7" t="n"/>
      <c r="O1471" s="7" t="n"/>
      <c r="P1471" s="65" t="n"/>
      <c r="Q1471" s="75" t="n"/>
      <c r="R1471" s="75" t="n"/>
      <c r="S1471" s="76" t="n"/>
      <c r="T1471" s="76" t="n"/>
      <c r="U1471" s="70">
        <f>IF($A1471="","",IFERROR(INDEX('Techniciens'!$F$5:$F$44,MATCH(O1471,'Techniciens'!$B$5:$B$44,0)),'Paramètres'!$AA$10))</f>
        <v/>
      </c>
      <c r="V1471" s="70">
        <f>IF($A1471="","",IF(OR(AC1471="Demandé",AC1471="Planifié",AC1471="Annulé"),0,N(T1471)*N(U1471)))</f>
        <v/>
      </c>
      <c r="W1471" s="70">
        <f>IF($A1471="","",SUMIFS('Mouvements stock'!$H$5:$H$3004,'Mouvements stock'!$I$5:$I$3004,$A1471,'Mouvements stock'!$C$5:$C$3004,"Sortie")-SUMIFS('Mouvements stock'!$H$5:$H$3004,'Mouvements stock'!$I$5:$I$3004,$A1471,'Mouvements stock'!$C$5:$C$3004,"Retour"))</f>
        <v/>
      </c>
      <c r="X1471" s="66" t="n"/>
      <c r="Y1471" s="66" t="n"/>
      <c r="Z1471" s="7" t="n"/>
      <c r="AA1471" s="70">
        <f>IF($A1471="","",N(V1471)+N(W1471)+N(X1471)+N(Y1471))</f>
        <v/>
      </c>
      <c r="AB1471" s="70">
        <f>IF($A1471="","",N(S1471)*'Paramètres'!$AA$9*IFERROR(INDEX('Paramètres'!$O$5:$O$7,MATCH(G1471,'Paramètres'!$N$5:$N$7,0)),0))</f>
        <v/>
      </c>
      <c r="AC1471" s="7" t="n"/>
      <c r="AD1471" s="69">
        <f>IF(OR($A1471="",Q1471=""),"",(Q1471-B1471)*24)</f>
        <v/>
      </c>
      <c r="AE1471" s="69">
        <f>IF(OR(Q1471="",R1471=""),"",(R1471-Q1471)*24)</f>
        <v/>
      </c>
      <c r="AF1471" s="77">
        <f>IF(OR($A1471="",B1471=""),"",YEAR(B1471))</f>
        <v/>
      </c>
      <c r="AG1471" s="77">
        <f>IF(OR($A1471="",B1471=""),"",MONTH(B1471))</f>
        <v/>
      </c>
    </row>
    <row r="1472">
      <c r="A1472" s="7" t="n"/>
      <c r="B1472" s="75" t="n"/>
      <c r="C1472" s="7" t="n"/>
      <c r="D1472" s="7" t="n"/>
      <c r="E1472" s="9">
        <f>IF(D1472="","",IFERROR(INDEX('Équipements'!$B$5:$B$304,MATCH(D1472,'Équipements'!$A$5:$A$304,0)),"Code inconnu"))</f>
        <v/>
      </c>
      <c r="F1472" s="9">
        <f>IF(D1472="","",IFERROR(INDEX('Équipements'!$D$5:$D$304,MATCH(D1472,'Équipements'!$A$5:$A$304,0)),""))</f>
        <v/>
      </c>
      <c r="G1472" s="9">
        <f>IF(D1472="","",IFERROR(INDEX('Équipements'!$K$5:$K$304,MATCH(D1472,'Équipements'!$A$5:$A$304,0)),""))</f>
        <v/>
      </c>
      <c r="H1472" s="7" t="n"/>
      <c r="I1472" s="7" t="n"/>
      <c r="J1472" s="7" t="n"/>
      <c r="K1472" s="7" t="n"/>
      <c r="L1472" s="7" t="n"/>
      <c r="M1472" s="7" t="n"/>
      <c r="N1472" s="7" t="n"/>
      <c r="O1472" s="7" t="n"/>
      <c r="P1472" s="65" t="n"/>
      <c r="Q1472" s="75" t="n"/>
      <c r="R1472" s="75" t="n"/>
      <c r="S1472" s="76" t="n"/>
      <c r="T1472" s="76" t="n"/>
      <c r="U1472" s="70">
        <f>IF($A1472="","",IFERROR(INDEX('Techniciens'!$F$5:$F$44,MATCH(O1472,'Techniciens'!$B$5:$B$44,0)),'Paramètres'!$AA$10))</f>
        <v/>
      </c>
      <c r="V1472" s="70">
        <f>IF($A1472="","",IF(OR(AC1472="Demandé",AC1472="Planifié",AC1472="Annulé"),0,N(T1472)*N(U1472)))</f>
        <v/>
      </c>
      <c r="W1472" s="70">
        <f>IF($A1472="","",SUMIFS('Mouvements stock'!$H$5:$H$3004,'Mouvements stock'!$I$5:$I$3004,$A1472,'Mouvements stock'!$C$5:$C$3004,"Sortie")-SUMIFS('Mouvements stock'!$H$5:$H$3004,'Mouvements stock'!$I$5:$I$3004,$A1472,'Mouvements stock'!$C$5:$C$3004,"Retour"))</f>
        <v/>
      </c>
      <c r="X1472" s="66" t="n"/>
      <c r="Y1472" s="66" t="n"/>
      <c r="Z1472" s="7" t="n"/>
      <c r="AA1472" s="70">
        <f>IF($A1472="","",N(V1472)+N(W1472)+N(X1472)+N(Y1472))</f>
        <v/>
      </c>
      <c r="AB1472" s="70">
        <f>IF($A1472="","",N(S1472)*'Paramètres'!$AA$9*IFERROR(INDEX('Paramètres'!$O$5:$O$7,MATCH(G1472,'Paramètres'!$N$5:$N$7,0)),0))</f>
        <v/>
      </c>
      <c r="AC1472" s="7" t="n"/>
      <c r="AD1472" s="69">
        <f>IF(OR($A1472="",Q1472=""),"",(Q1472-B1472)*24)</f>
        <v/>
      </c>
      <c r="AE1472" s="69">
        <f>IF(OR(Q1472="",R1472=""),"",(R1472-Q1472)*24)</f>
        <v/>
      </c>
      <c r="AF1472" s="77">
        <f>IF(OR($A1472="",B1472=""),"",YEAR(B1472))</f>
        <v/>
      </c>
      <c r="AG1472" s="77">
        <f>IF(OR($A1472="",B1472=""),"",MONTH(B1472))</f>
        <v/>
      </c>
    </row>
    <row r="1473">
      <c r="A1473" s="7" t="n"/>
      <c r="B1473" s="75" t="n"/>
      <c r="C1473" s="7" t="n"/>
      <c r="D1473" s="7" t="n"/>
      <c r="E1473" s="9">
        <f>IF(D1473="","",IFERROR(INDEX('Équipements'!$B$5:$B$304,MATCH(D1473,'Équipements'!$A$5:$A$304,0)),"Code inconnu"))</f>
        <v/>
      </c>
      <c r="F1473" s="9">
        <f>IF(D1473="","",IFERROR(INDEX('Équipements'!$D$5:$D$304,MATCH(D1473,'Équipements'!$A$5:$A$304,0)),""))</f>
        <v/>
      </c>
      <c r="G1473" s="9">
        <f>IF(D1473="","",IFERROR(INDEX('Équipements'!$K$5:$K$304,MATCH(D1473,'Équipements'!$A$5:$A$304,0)),""))</f>
        <v/>
      </c>
      <c r="H1473" s="7" t="n"/>
      <c r="I1473" s="7" t="n"/>
      <c r="J1473" s="7" t="n"/>
      <c r="K1473" s="7" t="n"/>
      <c r="L1473" s="7" t="n"/>
      <c r="M1473" s="7" t="n"/>
      <c r="N1473" s="7" t="n"/>
      <c r="O1473" s="7" t="n"/>
      <c r="P1473" s="65" t="n"/>
      <c r="Q1473" s="75" t="n"/>
      <c r="R1473" s="75" t="n"/>
      <c r="S1473" s="76" t="n"/>
      <c r="T1473" s="76" t="n"/>
      <c r="U1473" s="70">
        <f>IF($A1473="","",IFERROR(INDEX('Techniciens'!$F$5:$F$44,MATCH(O1473,'Techniciens'!$B$5:$B$44,0)),'Paramètres'!$AA$10))</f>
        <v/>
      </c>
      <c r="V1473" s="70">
        <f>IF($A1473="","",IF(OR(AC1473="Demandé",AC1473="Planifié",AC1473="Annulé"),0,N(T1473)*N(U1473)))</f>
        <v/>
      </c>
      <c r="W1473" s="70">
        <f>IF($A1473="","",SUMIFS('Mouvements stock'!$H$5:$H$3004,'Mouvements stock'!$I$5:$I$3004,$A1473,'Mouvements stock'!$C$5:$C$3004,"Sortie")-SUMIFS('Mouvements stock'!$H$5:$H$3004,'Mouvements stock'!$I$5:$I$3004,$A1473,'Mouvements stock'!$C$5:$C$3004,"Retour"))</f>
        <v/>
      </c>
      <c r="X1473" s="66" t="n"/>
      <c r="Y1473" s="66" t="n"/>
      <c r="Z1473" s="7" t="n"/>
      <c r="AA1473" s="70">
        <f>IF($A1473="","",N(V1473)+N(W1473)+N(X1473)+N(Y1473))</f>
        <v/>
      </c>
      <c r="AB1473" s="70">
        <f>IF($A1473="","",N(S1473)*'Paramètres'!$AA$9*IFERROR(INDEX('Paramètres'!$O$5:$O$7,MATCH(G1473,'Paramètres'!$N$5:$N$7,0)),0))</f>
        <v/>
      </c>
      <c r="AC1473" s="7" t="n"/>
      <c r="AD1473" s="69">
        <f>IF(OR($A1473="",Q1473=""),"",(Q1473-B1473)*24)</f>
        <v/>
      </c>
      <c r="AE1473" s="69">
        <f>IF(OR(Q1473="",R1473=""),"",(R1473-Q1473)*24)</f>
        <v/>
      </c>
      <c r="AF1473" s="77">
        <f>IF(OR($A1473="",B1473=""),"",YEAR(B1473))</f>
        <v/>
      </c>
      <c r="AG1473" s="77">
        <f>IF(OR($A1473="",B1473=""),"",MONTH(B1473))</f>
        <v/>
      </c>
    </row>
    <row r="1474">
      <c r="A1474" s="7" t="n"/>
      <c r="B1474" s="75" t="n"/>
      <c r="C1474" s="7" t="n"/>
      <c r="D1474" s="7" t="n"/>
      <c r="E1474" s="9">
        <f>IF(D1474="","",IFERROR(INDEX('Équipements'!$B$5:$B$304,MATCH(D1474,'Équipements'!$A$5:$A$304,0)),"Code inconnu"))</f>
        <v/>
      </c>
      <c r="F1474" s="9">
        <f>IF(D1474="","",IFERROR(INDEX('Équipements'!$D$5:$D$304,MATCH(D1474,'Équipements'!$A$5:$A$304,0)),""))</f>
        <v/>
      </c>
      <c r="G1474" s="9">
        <f>IF(D1474="","",IFERROR(INDEX('Équipements'!$K$5:$K$304,MATCH(D1474,'Équipements'!$A$5:$A$304,0)),""))</f>
        <v/>
      </c>
      <c r="H1474" s="7" t="n"/>
      <c r="I1474" s="7" t="n"/>
      <c r="J1474" s="7" t="n"/>
      <c r="K1474" s="7" t="n"/>
      <c r="L1474" s="7" t="n"/>
      <c r="M1474" s="7" t="n"/>
      <c r="N1474" s="7" t="n"/>
      <c r="O1474" s="7" t="n"/>
      <c r="P1474" s="65" t="n"/>
      <c r="Q1474" s="75" t="n"/>
      <c r="R1474" s="75" t="n"/>
      <c r="S1474" s="76" t="n"/>
      <c r="T1474" s="76" t="n"/>
      <c r="U1474" s="70">
        <f>IF($A1474="","",IFERROR(INDEX('Techniciens'!$F$5:$F$44,MATCH(O1474,'Techniciens'!$B$5:$B$44,0)),'Paramètres'!$AA$10))</f>
        <v/>
      </c>
      <c r="V1474" s="70">
        <f>IF($A1474="","",IF(OR(AC1474="Demandé",AC1474="Planifié",AC1474="Annulé"),0,N(T1474)*N(U1474)))</f>
        <v/>
      </c>
      <c r="W1474" s="70">
        <f>IF($A1474="","",SUMIFS('Mouvements stock'!$H$5:$H$3004,'Mouvements stock'!$I$5:$I$3004,$A1474,'Mouvements stock'!$C$5:$C$3004,"Sortie")-SUMIFS('Mouvements stock'!$H$5:$H$3004,'Mouvements stock'!$I$5:$I$3004,$A1474,'Mouvements stock'!$C$5:$C$3004,"Retour"))</f>
        <v/>
      </c>
      <c r="X1474" s="66" t="n"/>
      <c r="Y1474" s="66" t="n"/>
      <c r="Z1474" s="7" t="n"/>
      <c r="AA1474" s="70">
        <f>IF($A1474="","",N(V1474)+N(W1474)+N(X1474)+N(Y1474))</f>
        <v/>
      </c>
      <c r="AB1474" s="70">
        <f>IF($A1474="","",N(S1474)*'Paramètres'!$AA$9*IFERROR(INDEX('Paramètres'!$O$5:$O$7,MATCH(G1474,'Paramètres'!$N$5:$N$7,0)),0))</f>
        <v/>
      </c>
      <c r="AC1474" s="7" t="n"/>
      <c r="AD1474" s="69">
        <f>IF(OR($A1474="",Q1474=""),"",(Q1474-B1474)*24)</f>
        <v/>
      </c>
      <c r="AE1474" s="69">
        <f>IF(OR(Q1474="",R1474=""),"",(R1474-Q1474)*24)</f>
        <v/>
      </c>
      <c r="AF1474" s="77">
        <f>IF(OR($A1474="",B1474=""),"",YEAR(B1474))</f>
        <v/>
      </c>
      <c r="AG1474" s="77">
        <f>IF(OR($A1474="",B1474=""),"",MONTH(B1474))</f>
        <v/>
      </c>
    </row>
    <row r="1475">
      <c r="A1475" s="7" t="n"/>
      <c r="B1475" s="75" t="n"/>
      <c r="C1475" s="7" t="n"/>
      <c r="D1475" s="7" t="n"/>
      <c r="E1475" s="9">
        <f>IF(D1475="","",IFERROR(INDEX('Équipements'!$B$5:$B$304,MATCH(D1475,'Équipements'!$A$5:$A$304,0)),"Code inconnu"))</f>
        <v/>
      </c>
      <c r="F1475" s="9">
        <f>IF(D1475="","",IFERROR(INDEX('Équipements'!$D$5:$D$304,MATCH(D1475,'Équipements'!$A$5:$A$304,0)),""))</f>
        <v/>
      </c>
      <c r="G1475" s="9">
        <f>IF(D1475="","",IFERROR(INDEX('Équipements'!$K$5:$K$304,MATCH(D1475,'Équipements'!$A$5:$A$304,0)),""))</f>
        <v/>
      </c>
      <c r="H1475" s="7" t="n"/>
      <c r="I1475" s="7" t="n"/>
      <c r="J1475" s="7" t="n"/>
      <c r="K1475" s="7" t="n"/>
      <c r="L1475" s="7" t="n"/>
      <c r="M1475" s="7" t="n"/>
      <c r="N1475" s="7" t="n"/>
      <c r="O1475" s="7" t="n"/>
      <c r="P1475" s="65" t="n"/>
      <c r="Q1475" s="75" t="n"/>
      <c r="R1475" s="75" t="n"/>
      <c r="S1475" s="76" t="n"/>
      <c r="T1475" s="76" t="n"/>
      <c r="U1475" s="70">
        <f>IF($A1475="","",IFERROR(INDEX('Techniciens'!$F$5:$F$44,MATCH(O1475,'Techniciens'!$B$5:$B$44,0)),'Paramètres'!$AA$10))</f>
        <v/>
      </c>
      <c r="V1475" s="70">
        <f>IF($A1475="","",IF(OR(AC1475="Demandé",AC1475="Planifié",AC1475="Annulé"),0,N(T1475)*N(U1475)))</f>
        <v/>
      </c>
      <c r="W1475" s="70">
        <f>IF($A1475="","",SUMIFS('Mouvements stock'!$H$5:$H$3004,'Mouvements stock'!$I$5:$I$3004,$A1475,'Mouvements stock'!$C$5:$C$3004,"Sortie")-SUMIFS('Mouvements stock'!$H$5:$H$3004,'Mouvements stock'!$I$5:$I$3004,$A1475,'Mouvements stock'!$C$5:$C$3004,"Retour"))</f>
        <v/>
      </c>
      <c r="X1475" s="66" t="n"/>
      <c r="Y1475" s="66" t="n"/>
      <c r="Z1475" s="7" t="n"/>
      <c r="AA1475" s="70">
        <f>IF($A1475="","",N(V1475)+N(W1475)+N(X1475)+N(Y1475))</f>
        <v/>
      </c>
      <c r="AB1475" s="70">
        <f>IF($A1475="","",N(S1475)*'Paramètres'!$AA$9*IFERROR(INDEX('Paramètres'!$O$5:$O$7,MATCH(G1475,'Paramètres'!$N$5:$N$7,0)),0))</f>
        <v/>
      </c>
      <c r="AC1475" s="7" t="n"/>
      <c r="AD1475" s="69">
        <f>IF(OR($A1475="",Q1475=""),"",(Q1475-B1475)*24)</f>
        <v/>
      </c>
      <c r="AE1475" s="69">
        <f>IF(OR(Q1475="",R1475=""),"",(R1475-Q1475)*24)</f>
        <v/>
      </c>
      <c r="AF1475" s="77">
        <f>IF(OR($A1475="",B1475=""),"",YEAR(B1475))</f>
        <v/>
      </c>
      <c r="AG1475" s="77">
        <f>IF(OR($A1475="",B1475=""),"",MONTH(B1475))</f>
        <v/>
      </c>
    </row>
    <row r="1476">
      <c r="A1476" s="7" t="n"/>
      <c r="B1476" s="75" t="n"/>
      <c r="C1476" s="7" t="n"/>
      <c r="D1476" s="7" t="n"/>
      <c r="E1476" s="9">
        <f>IF(D1476="","",IFERROR(INDEX('Équipements'!$B$5:$B$304,MATCH(D1476,'Équipements'!$A$5:$A$304,0)),"Code inconnu"))</f>
        <v/>
      </c>
      <c r="F1476" s="9">
        <f>IF(D1476="","",IFERROR(INDEX('Équipements'!$D$5:$D$304,MATCH(D1476,'Équipements'!$A$5:$A$304,0)),""))</f>
        <v/>
      </c>
      <c r="G1476" s="9">
        <f>IF(D1476="","",IFERROR(INDEX('Équipements'!$K$5:$K$304,MATCH(D1476,'Équipements'!$A$5:$A$304,0)),""))</f>
        <v/>
      </c>
      <c r="H1476" s="7" t="n"/>
      <c r="I1476" s="7" t="n"/>
      <c r="J1476" s="7" t="n"/>
      <c r="K1476" s="7" t="n"/>
      <c r="L1476" s="7" t="n"/>
      <c r="M1476" s="7" t="n"/>
      <c r="N1476" s="7" t="n"/>
      <c r="O1476" s="7" t="n"/>
      <c r="P1476" s="65" t="n"/>
      <c r="Q1476" s="75" t="n"/>
      <c r="R1476" s="75" t="n"/>
      <c r="S1476" s="76" t="n"/>
      <c r="T1476" s="76" t="n"/>
      <c r="U1476" s="70">
        <f>IF($A1476="","",IFERROR(INDEX('Techniciens'!$F$5:$F$44,MATCH(O1476,'Techniciens'!$B$5:$B$44,0)),'Paramètres'!$AA$10))</f>
        <v/>
      </c>
      <c r="V1476" s="70">
        <f>IF($A1476="","",IF(OR(AC1476="Demandé",AC1476="Planifié",AC1476="Annulé"),0,N(T1476)*N(U1476)))</f>
        <v/>
      </c>
      <c r="W1476" s="70">
        <f>IF($A1476="","",SUMIFS('Mouvements stock'!$H$5:$H$3004,'Mouvements stock'!$I$5:$I$3004,$A1476,'Mouvements stock'!$C$5:$C$3004,"Sortie")-SUMIFS('Mouvements stock'!$H$5:$H$3004,'Mouvements stock'!$I$5:$I$3004,$A1476,'Mouvements stock'!$C$5:$C$3004,"Retour"))</f>
        <v/>
      </c>
      <c r="X1476" s="66" t="n"/>
      <c r="Y1476" s="66" t="n"/>
      <c r="Z1476" s="7" t="n"/>
      <c r="AA1476" s="70">
        <f>IF($A1476="","",N(V1476)+N(W1476)+N(X1476)+N(Y1476))</f>
        <v/>
      </c>
      <c r="AB1476" s="70">
        <f>IF($A1476="","",N(S1476)*'Paramètres'!$AA$9*IFERROR(INDEX('Paramètres'!$O$5:$O$7,MATCH(G1476,'Paramètres'!$N$5:$N$7,0)),0))</f>
        <v/>
      </c>
      <c r="AC1476" s="7" t="n"/>
      <c r="AD1476" s="69">
        <f>IF(OR($A1476="",Q1476=""),"",(Q1476-B1476)*24)</f>
        <v/>
      </c>
      <c r="AE1476" s="69">
        <f>IF(OR(Q1476="",R1476=""),"",(R1476-Q1476)*24)</f>
        <v/>
      </c>
      <c r="AF1476" s="77">
        <f>IF(OR($A1476="",B1476=""),"",YEAR(B1476))</f>
        <v/>
      </c>
      <c r="AG1476" s="77">
        <f>IF(OR($A1476="",B1476=""),"",MONTH(B1476))</f>
        <v/>
      </c>
    </row>
    <row r="1477">
      <c r="A1477" s="7" t="n"/>
      <c r="B1477" s="75" t="n"/>
      <c r="C1477" s="7" t="n"/>
      <c r="D1477" s="7" t="n"/>
      <c r="E1477" s="9">
        <f>IF(D1477="","",IFERROR(INDEX('Équipements'!$B$5:$B$304,MATCH(D1477,'Équipements'!$A$5:$A$304,0)),"Code inconnu"))</f>
        <v/>
      </c>
      <c r="F1477" s="9">
        <f>IF(D1477="","",IFERROR(INDEX('Équipements'!$D$5:$D$304,MATCH(D1477,'Équipements'!$A$5:$A$304,0)),""))</f>
        <v/>
      </c>
      <c r="G1477" s="9">
        <f>IF(D1477="","",IFERROR(INDEX('Équipements'!$K$5:$K$304,MATCH(D1477,'Équipements'!$A$5:$A$304,0)),""))</f>
        <v/>
      </c>
      <c r="H1477" s="7" t="n"/>
      <c r="I1477" s="7" t="n"/>
      <c r="J1477" s="7" t="n"/>
      <c r="K1477" s="7" t="n"/>
      <c r="L1477" s="7" t="n"/>
      <c r="M1477" s="7" t="n"/>
      <c r="N1477" s="7" t="n"/>
      <c r="O1477" s="7" t="n"/>
      <c r="P1477" s="65" t="n"/>
      <c r="Q1477" s="75" t="n"/>
      <c r="R1477" s="75" t="n"/>
      <c r="S1477" s="76" t="n"/>
      <c r="T1477" s="76" t="n"/>
      <c r="U1477" s="70">
        <f>IF($A1477="","",IFERROR(INDEX('Techniciens'!$F$5:$F$44,MATCH(O1477,'Techniciens'!$B$5:$B$44,0)),'Paramètres'!$AA$10))</f>
        <v/>
      </c>
      <c r="V1477" s="70">
        <f>IF($A1477="","",IF(OR(AC1477="Demandé",AC1477="Planifié",AC1477="Annulé"),0,N(T1477)*N(U1477)))</f>
        <v/>
      </c>
      <c r="W1477" s="70">
        <f>IF($A1477="","",SUMIFS('Mouvements stock'!$H$5:$H$3004,'Mouvements stock'!$I$5:$I$3004,$A1477,'Mouvements stock'!$C$5:$C$3004,"Sortie")-SUMIFS('Mouvements stock'!$H$5:$H$3004,'Mouvements stock'!$I$5:$I$3004,$A1477,'Mouvements stock'!$C$5:$C$3004,"Retour"))</f>
        <v/>
      </c>
      <c r="X1477" s="66" t="n"/>
      <c r="Y1477" s="66" t="n"/>
      <c r="Z1477" s="7" t="n"/>
      <c r="AA1477" s="70">
        <f>IF($A1477="","",N(V1477)+N(W1477)+N(X1477)+N(Y1477))</f>
        <v/>
      </c>
      <c r="AB1477" s="70">
        <f>IF($A1477="","",N(S1477)*'Paramètres'!$AA$9*IFERROR(INDEX('Paramètres'!$O$5:$O$7,MATCH(G1477,'Paramètres'!$N$5:$N$7,0)),0))</f>
        <v/>
      </c>
      <c r="AC1477" s="7" t="n"/>
      <c r="AD1477" s="69">
        <f>IF(OR($A1477="",Q1477=""),"",(Q1477-B1477)*24)</f>
        <v/>
      </c>
      <c r="AE1477" s="69">
        <f>IF(OR(Q1477="",R1477=""),"",(R1477-Q1477)*24)</f>
        <v/>
      </c>
      <c r="AF1477" s="77">
        <f>IF(OR($A1477="",B1477=""),"",YEAR(B1477))</f>
        <v/>
      </c>
      <c r="AG1477" s="77">
        <f>IF(OR($A1477="",B1477=""),"",MONTH(B1477))</f>
        <v/>
      </c>
    </row>
    <row r="1478">
      <c r="A1478" s="7" t="n"/>
      <c r="B1478" s="75" t="n"/>
      <c r="C1478" s="7" t="n"/>
      <c r="D1478" s="7" t="n"/>
      <c r="E1478" s="9">
        <f>IF(D1478="","",IFERROR(INDEX('Équipements'!$B$5:$B$304,MATCH(D1478,'Équipements'!$A$5:$A$304,0)),"Code inconnu"))</f>
        <v/>
      </c>
      <c r="F1478" s="9">
        <f>IF(D1478="","",IFERROR(INDEX('Équipements'!$D$5:$D$304,MATCH(D1478,'Équipements'!$A$5:$A$304,0)),""))</f>
        <v/>
      </c>
      <c r="G1478" s="9">
        <f>IF(D1478="","",IFERROR(INDEX('Équipements'!$K$5:$K$304,MATCH(D1478,'Équipements'!$A$5:$A$304,0)),""))</f>
        <v/>
      </c>
      <c r="H1478" s="7" t="n"/>
      <c r="I1478" s="7" t="n"/>
      <c r="J1478" s="7" t="n"/>
      <c r="K1478" s="7" t="n"/>
      <c r="L1478" s="7" t="n"/>
      <c r="M1478" s="7" t="n"/>
      <c r="N1478" s="7" t="n"/>
      <c r="O1478" s="7" t="n"/>
      <c r="P1478" s="65" t="n"/>
      <c r="Q1478" s="75" t="n"/>
      <c r="R1478" s="75" t="n"/>
      <c r="S1478" s="76" t="n"/>
      <c r="T1478" s="76" t="n"/>
      <c r="U1478" s="70">
        <f>IF($A1478="","",IFERROR(INDEX('Techniciens'!$F$5:$F$44,MATCH(O1478,'Techniciens'!$B$5:$B$44,0)),'Paramètres'!$AA$10))</f>
        <v/>
      </c>
      <c r="V1478" s="70">
        <f>IF($A1478="","",IF(OR(AC1478="Demandé",AC1478="Planifié",AC1478="Annulé"),0,N(T1478)*N(U1478)))</f>
        <v/>
      </c>
      <c r="W1478" s="70">
        <f>IF($A1478="","",SUMIFS('Mouvements stock'!$H$5:$H$3004,'Mouvements stock'!$I$5:$I$3004,$A1478,'Mouvements stock'!$C$5:$C$3004,"Sortie")-SUMIFS('Mouvements stock'!$H$5:$H$3004,'Mouvements stock'!$I$5:$I$3004,$A1478,'Mouvements stock'!$C$5:$C$3004,"Retour"))</f>
        <v/>
      </c>
      <c r="X1478" s="66" t="n"/>
      <c r="Y1478" s="66" t="n"/>
      <c r="Z1478" s="7" t="n"/>
      <c r="AA1478" s="70">
        <f>IF($A1478="","",N(V1478)+N(W1478)+N(X1478)+N(Y1478))</f>
        <v/>
      </c>
      <c r="AB1478" s="70">
        <f>IF($A1478="","",N(S1478)*'Paramètres'!$AA$9*IFERROR(INDEX('Paramètres'!$O$5:$O$7,MATCH(G1478,'Paramètres'!$N$5:$N$7,0)),0))</f>
        <v/>
      </c>
      <c r="AC1478" s="7" t="n"/>
      <c r="AD1478" s="69">
        <f>IF(OR($A1478="",Q1478=""),"",(Q1478-B1478)*24)</f>
        <v/>
      </c>
      <c r="AE1478" s="69">
        <f>IF(OR(Q1478="",R1478=""),"",(R1478-Q1478)*24)</f>
        <v/>
      </c>
      <c r="AF1478" s="77">
        <f>IF(OR($A1478="",B1478=""),"",YEAR(B1478))</f>
        <v/>
      </c>
      <c r="AG1478" s="77">
        <f>IF(OR($A1478="",B1478=""),"",MONTH(B1478))</f>
        <v/>
      </c>
    </row>
    <row r="1479">
      <c r="A1479" s="7" t="n"/>
      <c r="B1479" s="75" t="n"/>
      <c r="C1479" s="7" t="n"/>
      <c r="D1479" s="7" t="n"/>
      <c r="E1479" s="9">
        <f>IF(D1479="","",IFERROR(INDEX('Équipements'!$B$5:$B$304,MATCH(D1479,'Équipements'!$A$5:$A$304,0)),"Code inconnu"))</f>
        <v/>
      </c>
      <c r="F1479" s="9">
        <f>IF(D1479="","",IFERROR(INDEX('Équipements'!$D$5:$D$304,MATCH(D1479,'Équipements'!$A$5:$A$304,0)),""))</f>
        <v/>
      </c>
      <c r="G1479" s="9">
        <f>IF(D1479="","",IFERROR(INDEX('Équipements'!$K$5:$K$304,MATCH(D1479,'Équipements'!$A$5:$A$304,0)),""))</f>
        <v/>
      </c>
      <c r="H1479" s="7" t="n"/>
      <c r="I1479" s="7" t="n"/>
      <c r="J1479" s="7" t="n"/>
      <c r="K1479" s="7" t="n"/>
      <c r="L1479" s="7" t="n"/>
      <c r="M1479" s="7" t="n"/>
      <c r="N1479" s="7" t="n"/>
      <c r="O1479" s="7" t="n"/>
      <c r="P1479" s="65" t="n"/>
      <c r="Q1479" s="75" t="n"/>
      <c r="R1479" s="75" t="n"/>
      <c r="S1479" s="76" t="n"/>
      <c r="T1479" s="76" t="n"/>
      <c r="U1479" s="70">
        <f>IF($A1479="","",IFERROR(INDEX('Techniciens'!$F$5:$F$44,MATCH(O1479,'Techniciens'!$B$5:$B$44,0)),'Paramètres'!$AA$10))</f>
        <v/>
      </c>
      <c r="V1479" s="70">
        <f>IF($A1479="","",IF(OR(AC1479="Demandé",AC1479="Planifié",AC1479="Annulé"),0,N(T1479)*N(U1479)))</f>
        <v/>
      </c>
      <c r="W1479" s="70">
        <f>IF($A1479="","",SUMIFS('Mouvements stock'!$H$5:$H$3004,'Mouvements stock'!$I$5:$I$3004,$A1479,'Mouvements stock'!$C$5:$C$3004,"Sortie")-SUMIFS('Mouvements stock'!$H$5:$H$3004,'Mouvements stock'!$I$5:$I$3004,$A1479,'Mouvements stock'!$C$5:$C$3004,"Retour"))</f>
        <v/>
      </c>
      <c r="X1479" s="66" t="n"/>
      <c r="Y1479" s="66" t="n"/>
      <c r="Z1479" s="7" t="n"/>
      <c r="AA1479" s="70">
        <f>IF($A1479="","",N(V1479)+N(W1479)+N(X1479)+N(Y1479))</f>
        <v/>
      </c>
      <c r="AB1479" s="70">
        <f>IF($A1479="","",N(S1479)*'Paramètres'!$AA$9*IFERROR(INDEX('Paramètres'!$O$5:$O$7,MATCH(G1479,'Paramètres'!$N$5:$N$7,0)),0))</f>
        <v/>
      </c>
      <c r="AC1479" s="7" t="n"/>
      <c r="AD1479" s="69">
        <f>IF(OR($A1479="",Q1479=""),"",(Q1479-B1479)*24)</f>
        <v/>
      </c>
      <c r="AE1479" s="69">
        <f>IF(OR(Q1479="",R1479=""),"",(R1479-Q1479)*24)</f>
        <v/>
      </c>
      <c r="AF1479" s="77">
        <f>IF(OR($A1479="",B1479=""),"",YEAR(B1479))</f>
        <v/>
      </c>
      <c r="AG1479" s="77">
        <f>IF(OR($A1479="",B1479=""),"",MONTH(B1479))</f>
        <v/>
      </c>
    </row>
    <row r="1480">
      <c r="A1480" s="7" t="n"/>
      <c r="B1480" s="75" t="n"/>
      <c r="C1480" s="7" t="n"/>
      <c r="D1480" s="7" t="n"/>
      <c r="E1480" s="9">
        <f>IF(D1480="","",IFERROR(INDEX('Équipements'!$B$5:$B$304,MATCH(D1480,'Équipements'!$A$5:$A$304,0)),"Code inconnu"))</f>
        <v/>
      </c>
      <c r="F1480" s="9">
        <f>IF(D1480="","",IFERROR(INDEX('Équipements'!$D$5:$D$304,MATCH(D1480,'Équipements'!$A$5:$A$304,0)),""))</f>
        <v/>
      </c>
      <c r="G1480" s="9">
        <f>IF(D1480="","",IFERROR(INDEX('Équipements'!$K$5:$K$304,MATCH(D1480,'Équipements'!$A$5:$A$304,0)),""))</f>
        <v/>
      </c>
      <c r="H1480" s="7" t="n"/>
      <c r="I1480" s="7" t="n"/>
      <c r="J1480" s="7" t="n"/>
      <c r="K1480" s="7" t="n"/>
      <c r="L1480" s="7" t="n"/>
      <c r="M1480" s="7" t="n"/>
      <c r="N1480" s="7" t="n"/>
      <c r="O1480" s="7" t="n"/>
      <c r="P1480" s="65" t="n"/>
      <c r="Q1480" s="75" t="n"/>
      <c r="R1480" s="75" t="n"/>
      <c r="S1480" s="76" t="n"/>
      <c r="T1480" s="76" t="n"/>
      <c r="U1480" s="70">
        <f>IF($A1480="","",IFERROR(INDEX('Techniciens'!$F$5:$F$44,MATCH(O1480,'Techniciens'!$B$5:$B$44,0)),'Paramètres'!$AA$10))</f>
        <v/>
      </c>
      <c r="V1480" s="70">
        <f>IF($A1480="","",IF(OR(AC1480="Demandé",AC1480="Planifié",AC1480="Annulé"),0,N(T1480)*N(U1480)))</f>
        <v/>
      </c>
      <c r="W1480" s="70">
        <f>IF($A1480="","",SUMIFS('Mouvements stock'!$H$5:$H$3004,'Mouvements stock'!$I$5:$I$3004,$A1480,'Mouvements stock'!$C$5:$C$3004,"Sortie")-SUMIFS('Mouvements stock'!$H$5:$H$3004,'Mouvements stock'!$I$5:$I$3004,$A1480,'Mouvements stock'!$C$5:$C$3004,"Retour"))</f>
        <v/>
      </c>
      <c r="X1480" s="66" t="n"/>
      <c r="Y1480" s="66" t="n"/>
      <c r="Z1480" s="7" t="n"/>
      <c r="AA1480" s="70">
        <f>IF($A1480="","",N(V1480)+N(W1480)+N(X1480)+N(Y1480))</f>
        <v/>
      </c>
      <c r="AB1480" s="70">
        <f>IF($A1480="","",N(S1480)*'Paramètres'!$AA$9*IFERROR(INDEX('Paramètres'!$O$5:$O$7,MATCH(G1480,'Paramètres'!$N$5:$N$7,0)),0))</f>
        <v/>
      </c>
      <c r="AC1480" s="7" t="n"/>
      <c r="AD1480" s="69">
        <f>IF(OR($A1480="",Q1480=""),"",(Q1480-B1480)*24)</f>
        <v/>
      </c>
      <c r="AE1480" s="69">
        <f>IF(OR(Q1480="",R1480=""),"",(R1480-Q1480)*24)</f>
        <v/>
      </c>
      <c r="AF1480" s="77">
        <f>IF(OR($A1480="",B1480=""),"",YEAR(B1480))</f>
        <v/>
      </c>
      <c r="AG1480" s="77">
        <f>IF(OR($A1480="",B1480=""),"",MONTH(B1480))</f>
        <v/>
      </c>
    </row>
    <row r="1481">
      <c r="A1481" s="7" t="n"/>
      <c r="B1481" s="75" t="n"/>
      <c r="C1481" s="7" t="n"/>
      <c r="D1481" s="7" t="n"/>
      <c r="E1481" s="9">
        <f>IF(D1481="","",IFERROR(INDEX('Équipements'!$B$5:$B$304,MATCH(D1481,'Équipements'!$A$5:$A$304,0)),"Code inconnu"))</f>
        <v/>
      </c>
      <c r="F1481" s="9">
        <f>IF(D1481="","",IFERROR(INDEX('Équipements'!$D$5:$D$304,MATCH(D1481,'Équipements'!$A$5:$A$304,0)),""))</f>
        <v/>
      </c>
      <c r="G1481" s="9">
        <f>IF(D1481="","",IFERROR(INDEX('Équipements'!$K$5:$K$304,MATCH(D1481,'Équipements'!$A$5:$A$304,0)),""))</f>
        <v/>
      </c>
      <c r="H1481" s="7" t="n"/>
      <c r="I1481" s="7" t="n"/>
      <c r="J1481" s="7" t="n"/>
      <c r="K1481" s="7" t="n"/>
      <c r="L1481" s="7" t="n"/>
      <c r="M1481" s="7" t="n"/>
      <c r="N1481" s="7" t="n"/>
      <c r="O1481" s="7" t="n"/>
      <c r="P1481" s="65" t="n"/>
      <c r="Q1481" s="75" t="n"/>
      <c r="R1481" s="75" t="n"/>
      <c r="S1481" s="76" t="n"/>
      <c r="T1481" s="76" t="n"/>
      <c r="U1481" s="70">
        <f>IF($A1481="","",IFERROR(INDEX('Techniciens'!$F$5:$F$44,MATCH(O1481,'Techniciens'!$B$5:$B$44,0)),'Paramètres'!$AA$10))</f>
        <v/>
      </c>
      <c r="V1481" s="70">
        <f>IF($A1481="","",IF(OR(AC1481="Demandé",AC1481="Planifié",AC1481="Annulé"),0,N(T1481)*N(U1481)))</f>
        <v/>
      </c>
      <c r="W1481" s="70">
        <f>IF($A1481="","",SUMIFS('Mouvements stock'!$H$5:$H$3004,'Mouvements stock'!$I$5:$I$3004,$A1481,'Mouvements stock'!$C$5:$C$3004,"Sortie")-SUMIFS('Mouvements stock'!$H$5:$H$3004,'Mouvements stock'!$I$5:$I$3004,$A1481,'Mouvements stock'!$C$5:$C$3004,"Retour"))</f>
        <v/>
      </c>
      <c r="X1481" s="66" t="n"/>
      <c r="Y1481" s="66" t="n"/>
      <c r="Z1481" s="7" t="n"/>
      <c r="AA1481" s="70">
        <f>IF($A1481="","",N(V1481)+N(W1481)+N(X1481)+N(Y1481))</f>
        <v/>
      </c>
      <c r="AB1481" s="70">
        <f>IF($A1481="","",N(S1481)*'Paramètres'!$AA$9*IFERROR(INDEX('Paramètres'!$O$5:$O$7,MATCH(G1481,'Paramètres'!$N$5:$N$7,0)),0))</f>
        <v/>
      </c>
      <c r="AC1481" s="7" t="n"/>
      <c r="AD1481" s="69">
        <f>IF(OR($A1481="",Q1481=""),"",(Q1481-B1481)*24)</f>
        <v/>
      </c>
      <c r="AE1481" s="69">
        <f>IF(OR(Q1481="",R1481=""),"",(R1481-Q1481)*24)</f>
        <v/>
      </c>
      <c r="AF1481" s="77">
        <f>IF(OR($A1481="",B1481=""),"",YEAR(B1481))</f>
        <v/>
      </c>
      <c r="AG1481" s="77">
        <f>IF(OR($A1481="",B1481=""),"",MONTH(B1481))</f>
        <v/>
      </c>
    </row>
    <row r="1482">
      <c r="A1482" s="7" t="n"/>
      <c r="B1482" s="75" t="n"/>
      <c r="C1482" s="7" t="n"/>
      <c r="D1482" s="7" t="n"/>
      <c r="E1482" s="9">
        <f>IF(D1482="","",IFERROR(INDEX('Équipements'!$B$5:$B$304,MATCH(D1482,'Équipements'!$A$5:$A$304,0)),"Code inconnu"))</f>
        <v/>
      </c>
      <c r="F1482" s="9">
        <f>IF(D1482="","",IFERROR(INDEX('Équipements'!$D$5:$D$304,MATCH(D1482,'Équipements'!$A$5:$A$304,0)),""))</f>
        <v/>
      </c>
      <c r="G1482" s="9">
        <f>IF(D1482="","",IFERROR(INDEX('Équipements'!$K$5:$K$304,MATCH(D1482,'Équipements'!$A$5:$A$304,0)),""))</f>
        <v/>
      </c>
      <c r="H1482" s="7" t="n"/>
      <c r="I1482" s="7" t="n"/>
      <c r="J1482" s="7" t="n"/>
      <c r="K1482" s="7" t="n"/>
      <c r="L1482" s="7" t="n"/>
      <c r="M1482" s="7" t="n"/>
      <c r="N1482" s="7" t="n"/>
      <c r="O1482" s="7" t="n"/>
      <c r="P1482" s="65" t="n"/>
      <c r="Q1482" s="75" t="n"/>
      <c r="R1482" s="75" t="n"/>
      <c r="S1482" s="76" t="n"/>
      <c r="T1482" s="76" t="n"/>
      <c r="U1482" s="70">
        <f>IF($A1482="","",IFERROR(INDEX('Techniciens'!$F$5:$F$44,MATCH(O1482,'Techniciens'!$B$5:$B$44,0)),'Paramètres'!$AA$10))</f>
        <v/>
      </c>
      <c r="V1482" s="70">
        <f>IF($A1482="","",IF(OR(AC1482="Demandé",AC1482="Planifié",AC1482="Annulé"),0,N(T1482)*N(U1482)))</f>
        <v/>
      </c>
      <c r="W1482" s="70">
        <f>IF($A1482="","",SUMIFS('Mouvements stock'!$H$5:$H$3004,'Mouvements stock'!$I$5:$I$3004,$A1482,'Mouvements stock'!$C$5:$C$3004,"Sortie")-SUMIFS('Mouvements stock'!$H$5:$H$3004,'Mouvements stock'!$I$5:$I$3004,$A1482,'Mouvements stock'!$C$5:$C$3004,"Retour"))</f>
        <v/>
      </c>
      <c r="X1482" s="66" t="n"/>
      <c r="Y1482" s="66" t="n"/>
      <c r="Z1482" s="7" t="n"/>
      <c r="AA1482" s="70">
        <f>IF($A1482="","",N(V1482)+N(W1482)+N(X1482)+N(Y1482))</f>
        <v/>
      </c>
      <c r="AB1482" s="70">
        <f>IF($A1482="","",N(S1482)*'Paramètres'!$AA$9*IFERROR(INDEX('Paramètres'!$O$5:$O$7,MATCH(G1482,'Paramètres'!$N$5:$N$7,0)),0))</f>
        <v/>
      </c>
      <c r="AC1482" s="7" t="n"/>
      <c r="AD1482" s="69">
        <f>IF(OR($A1482="",Q1482=""),"",(Q1482-B1482)*24)</f>
        <v/>
      </c>
      <c r="AE1482" s="69">
        <f>IF(OR(Q1482="",R1482=""),"",(R1482-Q1482)*24)</f>
        <v/>
      </c>
      <c r="AF1482" s="77">
        <f>IF(OR($A1482="",B1482=""),"",YEAR(B1482))</f>
        <v/>
      </c>
      <c r="AG1482" s="77">
        <f>IF(OR($A1482="",B1482=""),"",MONTH(B1482))</f>
        <v/>
      </c>
    </row>
    <row r="1483">
      <c r="A1483" s="7" t="n"/>
      <c r="B1483" s="75" t="n"/>
      <c r="C1483" s="7" t="n"/>
      <c r="D1483" s="7" t="n"/>
      <c r="E1483" s="9">
        <f>IF(D1483="","",IFERROR(INDEX('Équipements'!$B$5:$B$304,MATCH(D1483,'Équipements'!$A$5:$A$304,0)),"Code inconnu"))</f>
        <v/>
      </c>
      <c r="F1483" s="9">
        <f>IF(D1483="","",IFERROR(INDEX('Équipements'!$D$5:$D$304,MATCH(D1483,'Équipements'!$A$5:$A$304,0)),""))</f>
        <v/>
      </c>
      <c r="G1483" s="9">
        <f>IF(D1483="","",IFERROR(INDEX('Équipements'!$K$5:$K$304,MATCH(D1483,'Équipements'!$A$5:$A$304,0)),""))</f>
        <v/>
      </c>
      <c r="H1483" s="7" t="n"/>
      <c r="I1483" s="7" t="n"/>
      <c r="J1483" s="7" t="n"/>
      <c r="K1483" s="7" t="n"/>
      <c r="L1483" s="7" t="n"/>
      <c r="M1483" s="7" t="n"/>
      <c r="N1483" s="7" t="n"/>
      <c r="O1483" s="7" t="n"/>
      <c r="P1483" s="65" t="n"/>
      <c r="Q1483" s="75" t="n"/>
      <c r="R1483" s="75" t="n"/>
      <c r="S1483" s="76" t="n"/>
      <c r="T1483" s="76" t="n"/>
      <c r="U1483" s="70">
        <f>IF($A1483="","",IFERROR(INDEX('Techniciens'!$F$5:$F$44,MATCH(O1483,'Techniciens'!$B$5:$B$44,0)),'Paramètres'!$AA$10))</f>
        <v/>
      </c>
      <c r="V1483" s="70">
        <f>IF($A1483="","",IF(OR(AC1483="Demandé",AC1483="Planifié",AC1483="Annulé"),0,N(T1483)*N(U1483)))</f>
        <v/>
      </c>
      <c r="W1483" s="70">
        <f>IF($A1483="","",SUMIFS('Mouvements stock'!$H$5:$H$3004,'Mouvements stock'!$I$5:$I$3004,$A1483,'Mouvements stock'!$C$5:$C$3004,"Sortie")-SUMIFS('Mouvements stock'!$H$5:$H$3004,'Mouvements stock'!$I$5:$I$3004,$A1483,'Mouvements stock'!$C$5:$C$3004,"Retour"))</f>
        <v/>
      </c>
      <c r="X1483" s="66" t="n"/>
      <c r="Y1483" s="66" t="n"/>
      <c r="Z1483" s="7" t="n"/>
      <c r="AA1483" s="70">
        <f>IF($A1483="","",N(V1483)+N(W1483)+N(X1483)+N(Y1483))</f>
        <v/>
      </c>
      <c r="AB1483" s="70">
        <f>IF($A1483="","",N(S1483)*'Paramètres'!$AA$9*IFERROR(INDEX('Paramètres'!$O$5:$O$7,MATCH(G1483,'Paramètres'!$N$5:$N$7,0)),0))</f>
        <v/>
      </c>
      <c r="AC1483" s="7" t="n"/>
      <c r="AD1483" s="69">
        <f>IF(OR($A1483="",Q1483=""),"",(Q1483-B1483)*24)</f>
        <v/>
      </c>
      <c r="AE1483" s="69">
        <f>IF(OR(Q1483="",R1483=""),"",(R1483-Q1483)*24)</f>
        <v/>
      </c>
      <c r="AF1483" s="77">
        <f>IF(OR($A1483="",B1483=""),"",YEAR(B1483))</f>
        <v/>
      </c>
      <c r="AG1483" s="77">
        <f>IF(OR($A1483="",B1483=""),"",MONTH(B1483))</f>
        <v/>
      </c>
    </row>
    <row r="1484">
      <c r="A1484" s="7" t="n"/>
      <c r="B1484" s="75" t="n"/>
      <c r="C1484" s="7" t="n"/>
      <c r="D1484" s="7" t="n"/>
      <c r="E1484" s="9">
        <f>IF(D1484="","",IFERROR(INDEX('Équipements'!$B$5:$B$304,MATCH(D1484,'Équipements'!$A$5:$A$304,0)),"Code inconnu"))</f>
        <v/>
      </c>
      <c r="F1484" s="9">
        <f>IF(D1484="","",IFERROR(INDEX('Équipements'!$D$5:$D$304,MATCH(D1484,'Équipements'!$A$5:$A$304,0)),""))</f>
        <v/>
      </c>
      <c r="G1484" s="9">
        <f>IF(D1484="","",IFERROR(INDEX('Équipements'!$K$5:$K$304,MATCH(D1484,'Équipements'!$A$5:$A$304,0)),""))</f>
        <v/>
      </c>
      <c r="H1484" s="7" t="n"/>
      <c r="I1484" s="7" t="n"/>
      <c r="J1484" s="7" t="n"/>
      <c r="K1484" s="7" t="n"/>
      <c r="L1484" s="7" t="n"/>
      <c r="M1484" s="7" t="n"/>
      <c r="N1484" s="7" t="n"/>
      <c r="O1484" s="7" t="n"/>
      <c r="P1484" s="65" t="n"/>
      <c r="Q1484" s="75" t="n"/>
      <c r="R1484" s="75" t="n"/>
      <c r="S1484" s="76" t="n"/>
      <c r="T1484" s="76" t="n"/>
      <c r="U1484" s="70">
        <f>IF($A1484="","",IFERROR(INDEX('Techniciens'!$F$5:$F$44,MATCH(O1484,'Techniciens'!$B$5:$B$44,0)),'Paramètres'!$AA$10))</f>
        <v/>
      </c>
      <c r="V1484" s="70">
        <f>IF($A1484="","",IF(OR(AC1484="Demandé",AC1484="Planifié",AC1484="Annulé"),0,N(T1484)*N(U1484)))</f>
        <v/>
      </c>
      <c r="W1484" s="70">
        <f>IF($A1484="","",SUMIFS('Mouvements stock'!$H$5:$H$3004,'Mouvements stock'!$I$5:$I$3004,$A1484,'Mouvements stock'!$C$5:$C$3004,"Sortie")-SUMIFS('Mouvements stock'!$H$5:$H$3004,'Mouvements stock'!$I$5:$I$3004,$A1484,'Mouvements stock'!$C$5:$C$3004,"Retour"))</f>
        <v/>
      </c>
      <c r="X1484" s="66" t="n"/>
      <c r="Y1484" s="66" t="n"/>
      <c r="Z1484" s="7" t="n"/>
      <c r="AA1484" s="70">
        <f>IF($A1484="","",N(V1484)+N(W1484)+N(X1484)+N(Y1484))</f>
        <v/>
      </c>
      <c r="AB1484" s="70">
        <f>IF($A1484="","",N(S1484)*'Paramètres'!$AA$9*IFERROR(INDEX('Paramètres'!$O$5:$O$7,MATCH(G1484,'Paramètres'!$N$5:$N$7,0)),0))</f>
        <v/>
      </c>
      <c r="AC1484" s="7" t="n"/>
      <c r="AD1484" s="69">
        <f>IF(OR($A1484="",Q1484=""),"",(Q1484-B1484)*24)</f>
        <v/>
      </c>
      <c r="AE1484" s="69">
        <f>IF(OR(Q1484="",R1484=""),"",(R1484-Q1484)*24)</f>
        <v/>
      </c>
      <c r="AF1484" s="77">
        <f>IF(OR($A1484="",B1484=""),"",YEAR(B1484))</f>
        <v/>
      </c>
      <c r="AG1484" s="77">
        <f>IF(OR($A1484="",B1484=""),"",MONTH(B1484))</f>
        <v/>
      </c>
    </row>
    <row r="1485">
      <c r="A1485" s="7" t="n"/>
      <c r="B1485" s="75" t="n"/>
      <c r="C1485" s="7" t="n"/>
      <c r="D1485" s="7" t="n"/>
      <c r="E1485" s="9">
        <f>IF(D1485="","",IFERROR(INDEX('Équipements'!$B$5:$B$304,MATCH(D1485,'Équipements'!$A$5:$A$304,0)),"Code inconnu"))</f>
        <v/>
      </c>
      <c r="F1485" s="9">
        <f>IF(D1485="","",IFERROR(INDEX('Équipements'!$D$5:$D$304,MATCH(D1485,'Équipements'!$A$5:$A$304,0)),""))</f>
        <v/>
      </c>
      <c r="G1485" s="9">
        <f>IF(D1485="","",IFERROR(INDEX('Équipements'!$K$5:$K$304,MATCH(D1485,'Équipements'!$A$5:$A$304,0)),""))</f>
        <v/>
      </c>
      <c r="H1485" s="7" t="n"/>
      <c r="I1485" s="7" t="n"/>
      <c r="J1485" s="7" t="n"/>
      <c r="K1485" s="7" t="n"/>
      <c r="L1485" s="7" t="n"/>
      <c r="M1485" s="7" t="n"/>
      <c r="N1485" s="7" t="n"/>
      <c r="O1485" s="7" t="n"/>
      <c r="P1485" s="65" t="n"/>
      <c r="Q1485" s="75" t="n"/>
      <c r="R1485" s="75" t="n"/>
      <c r="S1485" s="76" t="n"/>
      <c r="T1485" s="76" t="n"/>
      <c r="U1485" s="70">
        <f>IF($A1485="","",IFERROR(INDEX('Techniciens'!$F$5:$F$44,MATCH(O1485,'Techniciens'!$B$5:$B$44,0)),'Paramètres'!$AA$10))</f>
        <v/>
      </c>
      <c r="V1485" s="70">
        <f>IF($A1485="","",IF(OR(AC1485="Demandé",AC1485="Planifié",AC1485="Annulé"),0,N(T1485)*N(U1485)))</f>
        <v/>
      </c>
      <c r="W1485" s="70">
        <f>IF($A1485="","",SUMIFS('Mouvements stock'!$H$5:$H$3004,'Mouvements stock'!$I$5:$I$3004,$A1485,'Mouvements stock'!$C$5:$C$3004,"Sortie")-SUMIFS('Mouvements stock'!$H$5:$H$3004,'Mouvements stock'!$I$5:$I$3004,$A1485,'Mouvements stock'!$C$5:$C$3004,"Retour"))</f>
        <v/>
      </c>
      <c r="X1485" s="66" t="n"/>
      <c r="Y1485" s="66" t="n"/>
      <c r="Z1485" s="7" t="n"/>
      <c r="AA1485" s="70">
        <f>IF($A1485="","",N(V1485)+N(W1485)+N(X1485)+N(Y1485))</f>
        <v/>
      </c>
      <c r="AB1485" s="70">
        <f>IF($A1485="","",N(S1485)*'Paramètres'!$AA$9*IFERROR(INDEX('Paramètres'!$O$5:$O$7,MATCH(G1485,'Paramètres'!$N$5:$N$7,0)),0))</f>
        <v/>
      </c>
      <c r="AC1485" s="7" t="n"/>
      <c r="AD1485" s="69">
        <f>IF(OR($A1485="",Q1485=""),"",(Q1485-B1485)*24)</f>
        <v/>
      </c>
      <c r="AE1485" s="69">
        <f>IF(OR(Q1485="",R1485=""),"",(R1485-Q1485)*24)</f>
        <v/>
      </c>
      <c r="AF1485" s="77">
        <f>IF(OR($A1485="",B1485=""),"",YEAR(B1485))</f>
        <v/>
      </c>
      <c r="AG1485" s="77">
        <f>IF(OR($A1485="",B1485=""),"",MONTH(B1485))</f>
        <v/>
      </c>
    </row>
    <row r="1486">
      <c r="A1486" s="7" t="n"/>
      <c r="B1486" s="75" t="n"/>
      <c r="C1486" s="7" t="n"/>
      <c r="D1486" s="7" t="n"/>
      <c r="E1486" s="9">
        <f>IF(D1486="","",IFERROR(INDEX('Équipements'!$B$5:$B$304,MATCH(D1486,'Équipements'!$A$5:$A$304,0)),"Code inconnu"))</f>
        <v/>
      </c>
      <c r="F1486" s="9">
        <f>IF(D1486="","",IFERROR(INDEX('Équipements'!$D$5:$D$304,MATCH(D1486,'Équipements'!$A$5:$A$304,0)),""))</f>
        <v/>
      </c>
      <c r="G1486" s="9">
        <f>IF(D1486="","",IFERROR(INDEX('Équipements'!$K$5:$K$304,MATCH(D1486,'Équipements'!$A$5:$A$304,0)),""))</f>
        <v/>
      </c>
      <c r="H1486" s="7" t="n"/>
      <c r="I1486" s="7" t="n"/>
      <c r="J1486" s="7" t="n"/>
      <c r="K1486" s="7" t="n"/>
      <c r="L1486" s="7" t="n"/>
      <c r="M1486" s="7" t="n"/>
      <c r="N1486" s="7" t="n"/>
      <c r="O1486" s="7" t="n"/>
      <c r="P1486" s="65" t="n"/>
      <c r="Q1486" s="75" t="n"/>
      <c r="R1486" s="75" t="n"/>
      <c r="S1486" s="76" t="n"/>
      <c r="T1486" s="76" t="n"/>
      <c r="U1486" s="70">
        <f>IF($A1486="","",IFERROR(INDEX('Techniciens'!$F$5:$F$44,MATCH(O1486,'Techniciens'!$B$5:$B$44,0)),'Paramètres'!$AA$10))</f>
        <v/>
      </c>
      <c r="V1486" s="70">
        <f>IF($A1486="","",IF(OR(AC1486="Demandé",AC1486="Planifié",AC1486="Annulé"),0,N(T1486)*N(U1486)))</f>
        <v/>
      </c>
      <c r="W1486" s="70">
        <f>IF($A1486="","",SUMIFS('Mouvements stock'!$H$5:$H$3004,'Mouvements stock'!$I$5:$I$3004,$A1486,'Mouvements stock'!$C$5:$C$3004,"Sortie")-SUMIFS('Mouvements stock'!$H$5:$H$3004,'Mouvements stock'!$I$5:$I$3004,$A1486,'Mouvements stock'!$C$5:$C$3004,"Retour"))</f>
        <v/>
      </c>
      <c r="X1486" s="66" t="n"/>
      <c r="Y1486" s="66" t="n"/>
      <c r="Z1486" s="7" t="n"/>
      <c r="AA1486" s="70">
        <f>IF($A1486="","",N(V1486)+N(W1486)+N(X1486)+N(Y1486))</f>
        <v/>
      </c>
      <c r="AB1486" s="70">
        <f>IF($A1486="","",N(S1486)*'Paramètres'!$AA$9*IFERROR(INDEX('Paramètres'!$O$5:$O$7,MATCH(G1486,'Paramètres'!$N$5:$N$7,0)),0))</f>
        <v/>
      </c>
      <c r="AC1486" s="7" t="n"/>
      <c r="AD1486" s="69">
        <f>IF(OR($A1486="",Q1486=""),"",(Q1486-B1486)*24)</f>
        <v/>
      </c>
      <c r="AE1486" s="69">
        <f>IF(OR(Q1486="",R1486=""),"",(R1486-Q1486)*24)</f>
        <v/>
      </c>
      <c r="AF1486" s="77">
        <f>IF(OR($A1486="",B1486=""),"",YEAR(B1486))</f>
        <v/>
      </c>
      <c r="AG1486" s="77">
        <f>IF(OR($A1486="",B1486=""),"",MONTH(B1486))</f>
        <v/>
      </c>
    </row>
    <row r="1487">
      <c r="A1487" s="7" t="n"/>
      <c r="B1487" s="75" t="n"/>
      <c r="C1487" s="7" t="n"/>
      <c r="D1487" s="7" t="n"/>
      <c r="E1487" s="9">
        <f>IF(D1487="","",IFERROR(INDEX('Équipements'!$B$5:$B$304,MATCH(D1487,'Équipements'!$A$5:$A$304,0)),"Code inconnu"))</f>
        <v/>
      </c>
      <c r="F1487" s="9">
        <f>IF(D1487="","",IFERROR(INDEX('Équipements'!$D$5:$D$304,MATCH(D1487,'Équipements'!$A$5:$A$304,0)),""))</f>
        <v/>
      </c>
      <c r="G1487" s="9">
        <f>IF(D1487="","",IFERROR(INDEX('Équipements'!$K$5:$K$304,MATCH(D1487,'Équipements'!$A$5:$A$304,0)),""))</f>
        <v/>
      </c>
      <c r="H1487" s="7" t="n"/>
      <c r="I1487" s="7" t="n"/>
      <c r="J1487" s="7" t="n"/>
      <c r="K1487" s="7" t="n"/>
      <c r="L1487" s="7" t="n"/>
      <c r="M1487" s="7" t="n"/>
      <c r="N1487" s="7" t="n"/>
      <c r="O1487" s="7" t="n"/>
      <c r="P1487" s="65" t="n"/>
      <c r="Q1487" s="75" t="n"/>
      <c r="R1487" s="75" t="n"/>
      <c r="S1487" s="76" t="n"/>
      <c r="T1487" s="76" t="n"/>
      <c r="U1487" s="70">
        <f>IF($A1487="","",IFERROR(INDEX('Techniciens'!$F$5:$F$44,MATCH(O1487,'Techniciens'!$B$5:$B$44,0)),'Paramètres'!$AA$10))</f>
        <v/>
      </c>
      <c r="V1487" s="70">
        <f>IF($A1487="","",IF(OR(AC1487="Demandé",AC1487="Planifié",AC1487="Annulé"),0,N(T1487)*N(U1487)))</f>
        <v/>
      </c>
      <c r="W1487" s="70">
        <f>IF($A1487="","",SUMIFS('Mouvements stock'!$H$5:$H$3004,'Mouvements stock'!$I$5:$I$3004,$A1487,'Mouvements stock'!$C$5:$C$3004,"Sortie")-SUMIFS('Mouvements stock'!$H$5:$H$3004,'Mouvements stock'!$I$5:$I$3004,$A1487,'Mouvements stock'!$C$5:$C$3004,"Retour"))</f>
        <v/>
      </c>
      <c r="X1487" s="66" t="n"/>
      <c r="Y1487" s="66" t="n"/>
      <c r="Z1487" s="7" t="n"/>
      <c r="AA1487" s="70">
        <f>IF($A1487="","",N(V1487)+N(W1487)+N(X1487)+N(Y1487))</f>
        <v/>
      </c>
      <c r="AB1487" s="70">
        <f>IF($A1487="","",N(S1487)*'Paramètres'!$AA$9*IFERROR(INDEX('Paramètres'!$O$5:$O$7,MATCH(G1487,'Paramètres'!$N$5:$N$7,0)),0))</f>
        <v/>
      </c>
      <c r="AC1487" s="7" t="n"/>
      <c r="AD1487" s="69">
        <f>IF(OR($A1487="",Q1487=""),"",(Q1487-B1487)*24)</f>
        <v/>
      </c>
      <c r="AE1487" s="69">
        <f>IF(OR(Q1487="",R1487=""),"",(R1487-Q1487)*24)</f>
        <v/>
      </c>
      <c r="AF1487" s="77">
        <f>IF(OR($A1487="",B1487=""),"",YEAR(B1487))</f>
        <v/>
      </c>
      <c r="AG1487" s="77">
        <f>IF(OR($A1487="",B1487=""),"",MONTH(B1487))</f>
        <v/>
      </c>
    </row>
    <row r="1488">
      <c r="A1488" s="7" t="n"/>
      <c r="B1488" s="75" t="n"/>
      <c r="C1488" s="7" t="n"/>
      <c r="D1488" s="7" t="n"/>
      <c r="E1488" s="9">
        <f>IF(D1488="","",IFERROR(INDEX('Équipements'!$B$5:$B$304,MATCH(D1488,'Équipements'!$A$5:$A$304,0)),"Code inconnu"))</f>
        <v/>
      </c>
      <c r="F1488" s="9">
        <f>IF(D1488="","",IFERROR(INDEX('Équipements'!$D$5:$D$304,MATCH(D1488,'Équipements'!$A$5:$A$304,0)),""))</f>
        <v/>
      </c>
      <c r="G1488" s="9">
        <f>IF(D1488="","",IFERROR(INDEX('Équipements'!$K$5:$K$304,MATCH(D1488,'Équipements'!$A$5:$A$304,0)),""))</f>
        <v/>
      </c>
      <c r="H1488" s="7" t="n"/>
      <c r="I1488" s="7" t="n"/>
      <c r="J1488" s="7" t="n"/>
      <c r="K1488" s="7" t="n"/>
      <c r="L1488" s="7" t="n"/>
      <c r="M1488" s="7" t="n"/>
      <c r="N1488" s="7" t="n"/>
      <c r="O1488" s="7" t="n"/>
      <c r="P1488" s="65" t="n"/>
      <c r="Q1488" s="75" t="n"/>
      <c r="R1488" s="75" t="n"/>
      <c r="S1488" s="76" t="n"/>
      <c r="T1488" s="76" t="n"/>
      <c r="U1488" s="70">
        <f>IF($A1488="","",IFERROR(INDEX('Techniciens'!$F$5:$F$44,MATCH(O1488,'Techniciens'!$B$5:$B$44,0)),'Paramètres'!$AA$10))</f>
        <v/>
      </c>
      <c r="V1488" s="70">
        <f>IF($A1488="","",IF(OR(AC1488="Demandé",AC1488="Planifié",AC1488="Annulé"),0,N(T1488)*N(U1488)))</f>
        <v/>
      </c>
      <c r="W1488" s="70">
        <f>IF($A1488="","",SUMIFS('Mouvements stock'!$H$5:$H$3004,'Mouvements stock'!$I$5:$I$3004,$A1488,'Mouvements stock'!$C$5:$C$3004,"Sortie")-SUMIFS('Mouvements stock'!$H$5:$H$3004,'Mouvements stock'!$I$5:$I$3004,$A1488,'Mouvements stock'!$C$5:$C$3004,"Retour"))</f>
        <v/>
      </c>
      <c r="X1488" s="66" t="n"/>
      <c r="Y1488" s="66" t="n"/>
      <c r="Z1488" s="7" t="n"/>
      <c r="AA1488" s="70">
        <f>IF($A1488="","",N(V1488)+N(W1488)+N(X1488)+N(Y1488))</f>
        <v/>
      </c>
      <c r="AB1488" s="70">
        <f>IF($A1488="","",N(S1488)*'Paramètres'!$AA$9*IFERROR(INDEX('Paramètres'!$O$5:$O$7,MATCH(G1488,'Paramètres'!$N$5:$N$7,0)),0))</f>
        <v/>
      </c>
      <c r="AC1488" s="7" t="n"/>
      <c r="AD1488" s="69">
        <f>IF(OR($A1488="",Q1488=""),"",(Q1488-B1488)*24)</f>
        <v/>
      </c>
      <c r="AE1488" s="69">
        <f>IF(OR(Q1488="",R1488=""),"",(R1488-Q1488)*24)</f>
        <v/>
      </c>
      <c r="AF1488" s="77">
        <f>IF(OR($A1488="",B1488=""),"",YEAR(B1488))</f>
        <v/>
      </c>
      <c r="AG1488" s="77">
        <f>IF(OR($A1488="",B1488=""),"",MONTH(B1488))</f>
        <v/>
      </c>
    </row>
    <row r="1489">
      <c r="A1489" s="7" t="n"/>
      <c r="B1489" s="75" t="n"/>
      <c r="C1489" s="7" t="n"/>
      <c r="D1489" s="7" t="n"/>
      <c r="E1489" s="9">
        <f>IF(D1489="","",IFERROR(INDEX('Équipements'!$B$5:$B$304,MATCH(D1489,'Équipements'!$A$5:$A$304,0)),"Code inconnu"))</f>
        <v/>
      </c>
      <c r="F1489" s="9">
        <f>IF(D1489="","",IFERROR(INDEX('Équipements'!$D$5:$D$304,MATCH(D1489,'Équipements'!$A$5:$A$304,0)),""))</f>
        <v/>
      </c>
      <c r="G1489" s="9">
        <f>IF(D1489="","",IFERROR(INDEX('Équipements'!$K$5:$K$304,MATCH(D1489,'Équipements'!$A$5:$A$304,0)),""))</f>
        <v/>
      </c>
      <c r="H1489" s="7" t="n"/>
      <c r="I1489" s="7" t="n"/>
      <c r="J1489" s="7" t="n"/>
      <c r="K1489" s="7" t="n"/>
      <c r="L1489" s="7" t="n"/>
      <c r="M1489" s="7" t="n"/>
      <c r="N1489" s="7" t="n"/>
      <c r="O1489" s="7" t="n"/>
      <c r="P1489" s="65" t="n"/>
      <c r="Q1489" s="75" t="n"/>
      <c r="R1489" s="75" t="n"/>
      <c r="S1489" s="76" t="n"/>
      <c r="T1489" s="76" t="n"/>
      <c r="U1489" s="70">
        <f>IF($A1489="","",IFERROR(INDEX('Techniciens'!$F$5:$F$44,MATCH(O1489,'Techniciens'!$B$5:$B$44,0)),'Paramètres'!$AA$10))</f>
        <v/>
      </c>
      <c r="V1489" s="70">
        <f>IF($A1489="","",IF(OR(AC1489="Demandé",AC1489="Planifié",AC1489="Annulé"),0,N(T1489)*N(U1489)))</f>
        <v/>
      </c>
      <c r="W1489" s="70">
        <f>IF($A1489="","",SUMIFS('Mouvements stock'!$H$5:$H$3004,'Mouvements stock'!$I$5:$I$3004,$A1489,'Mouvements stock'!$C$5:$C$3004,"Sortie")-SUMIFS('Mouvements stock'!$H$5:$H$3004,'Mouvements stock'!$I$5:$I$3004,$A1489,'Mouvements stock'!$C$5:$C$3004,"Retour"))</f>
        <v/>
      </c>
      <c r="X1489" s="66" t="n"/>
      <c r="Y1489" s="66" t="n"/>
      <c r="Z1489" s="7" t="n"/>
      <c r="AA1489" s="70">
        <f>IF($A1489="","",N(V1489)+N(W1489)+N(X1489)+N(Y1489))</f>
        <v/>
      </c>
      <c r="AB1489" s="70">
        <f>IF($A1489="","",N(S1489)*'Paramètres'!$AA$9*IFERROR(INDEX('Paramètres'!$O$5:$O$7,MATCH(G1489,'Paramètres'!$N$5:$N$7,0)),0))</f>
        <v/>
      </c>
      <c r="AC1489" s="7" t="n"/>
      <c r="AD1489" s="69">
        <f>IF(OR($A1489="",Q1489=""),"",(Q1489-B1489)*24)</f>
        <v/>
      </c>
      <c r="AE1489" s="69">
        <f>IF(OR(Q1489="",R1489=""),"",(R1489-Q1489)*24)</f>
        <v/>
      </c>
      <c r="AF1489" s="77">
        <f>IF(OR($A1489="",B1489=""),"",YEAR(B1489))</f>
        <v/>
      </c>
      <c r="AG1489" s="77">
        <f>IF(OR($A1489="",B1489=""),"",MONTH(B1489))</f>
        <v/>
      </c>
    </row>
    <row r="1490">
      <c r="A1490" s="7" t="n"/>
      <c r="B1490" s="75" t="n"/>
      <c r="C1490" s="7" t="n"/>
      <c r="D1490" s="7" t="n"/>
      <c r="E1490" s="9">
        <f>IF(D1490="","",IFERROR(INDEX('Équipements'!$B$5:$B$304,MATCH(D1490,'Équipements'!$A$5:$A$304,0)),"Code inconnu"))</f>
        <v/>
      </c>
      <c r="F1490" s="9">
        <f>IF(D1490="","",IFERROR(INDEX('Équipements'!$D$5:$D$304,MATCH(D1490,'Équipements'!$A$5:$A$304,0)),""))</f>
        <v/>
      </c>
      <c r="G1490" s="9">
        <f>IF(D1490="","",IFERROR(INDEX('Équipements'!$K$5:$K$304,MATCH(D1490,'Équipements'!$A$5:$A$304,0)),""))</f>
        <v/>
      </c>
      <c r="H1490" s="7" t="n"/>
      <c r="I1490" s="7" t="n"/>
      <c r="J1490" s="7" t="n"/>
      <c r="K1490" s="7" t="n"/>
      <c r="L1490" s="7" t="n"/>
      <c r="M1490" s="7" t="n"/>
      <c r="N1490" s="7" t="n"/>
      <c r="O1490" s="7" t="n"/>
      <c r="P1490" s="65" t="n"/>
      <c r="Q1490" s="75" t="n"/>
      <c r="R1490" s="75" t="n"/>
      <c r="S1490" s="76" t="n"/>
      <c r="T1490" s="76" t="n"/>
      <c r="U1490" s="70">
        <f>IF($A1490="","",IFERROR(INDEX('Techniciens'!$F$5:$F$44,MATCH(O1490,'Techniciens'!$B$5:$B$44,0)),'Paramètres'!$AA$10))</f>
        <v/>
      </c>
      <c r="V1490" s="70">
        <f>IF($A1490="","",IF(OR(AC1490="Demandé",AC1490="Planifié",AC1490="Annulé"),0,N(T1490)*N(U1490)))</f>
        <v/>
      </c>
      <c r="W1490" s="70">
        <f>IF($A1490="","",SUMIFS('Mouvements stock'!$H$5:$H$3004,'Mouvements stock'!$I$5:$I$3004,$A1490,'Mouvements stock'!$C$5:$C$3004,"Sortie")-SUMIFS('Mouvements stock'!$H$5:$H$3004,'Mouvements stock'!$I$5:$I$3004,$A1490,'Mouvements stock'!$C$5:$C$3004,"Retour"))</f>
        <v/>
      </c>
      <c r="X1490" s="66" t="n"/>
      <c r="Y1490" s="66" t="n"/>
      <c r="Z1490" s="7" t="n"/>
      <c r="AA1490" s="70">
        <f>IF($A1490="","",N(V1490)+N(W1490)+N(X1490)+N(Y1490))</f>
        <v/>
      </c>
      <c r="AB1490" s="70">
        <f>IF($A1490="","",N(S1490)*'Paramètres'!$AA$9*IFERROR(INDEX('Paramètres'!$O$5:$O$7,MATCH(G1490,'Paramètres'!$N$5:$N$7,0)),0))</f>
        <v/>
      </c>
      <c r="AC1490" s="7" t="n"/>
      <c r="AD1490" s="69">
        <f>IF(OR($A1490="",Q1490=""),"",(Q1490-B1490)*24)</f>
        <v/>
      </c>
      <c r="AE1490" s="69">
        <f>IF(OR(Q1490="",R1490=""),"",(R1490-Q1490)*24)</f>
        <v/>
      </c>
      <c r="AF1490" s="77">
        <f>IF(OR($A1490="",B1490=""),"",YEAR(B1490))</f>
        <v/>
      </c>
      <c r="AG1490" s="77">
        <f>IF(OR($A1490="",B1490=""),"",MONTH(B1490))</f>
        <v/>
      </c>
    </row>
    <row r="1491">
      <c r="A1491" s="7" t="n"/>
      <c r="B1491" s="75" t="n"/>
      <c r="C1491" s="7" t="n"/>
      <c r="D1491" s="7" t="n"/>
      <c r="E1491" s="9">
        <f>IF(D1491="","",IFERROR(INDEX('Équipements'!$B$5:$B$304,MATCH(D1491,'Équipements'!$A$5:$A$304,0)),"Code inconnu"))</f>
        <v/>
      </c>
      <c r="F1491" s="9">
        <f>IF(D1491="","",IFERROR(INDEX('Équipements'!$D$5:$D$304,MATCH(D1491,'Équipements'!$A$5:$A$304,0)),""))</f>
        <v/>
      </c>
      <c r="G1491" s="9">
        <f>IF(D1491="","",IFERROR(INDEX('Équipements'!$K$5:$K$304,MATCH(D1491,'Équipements'!$A$5:$A$304,0)),""))</f>
        <v/>
      </c>
      <c r="H1491" s="7" t="n"/>
      <c r="I1491" s="7" t="n"/>
      <c r="J1491" s="7" t="n"/>
      <c r="K1491" s="7" t="n"/>
      <c r="L1491" s="7" t="n"/>
      <c r="M1491" s="7" t="n"/>
      <c r="N1491" s="7" t="n"/>
      <c r="O1491" s="7" t="n"/>
      <c r="P1491" s="65" t="n"/>
      <c r="Q1491" s="75" t="n"/>
      <c r="R1491" s="75" t="n"/>
      <c r="S1491" s="76" t="n"/>
      <c r="T1491" s="76" t="n"/>
      <c r="U1491" s="70">
        <f>IF($A1491="","",IFERROR(INDEX('Techniciens'!$F$5:$F$44,MATCH(O1491,'Techniciens'!$B$5:$B$44,0)),'Paramètres'!$AA$10))</f>
        <v/>
      </c>
      <c r="V1491" s="70">
        <f>IF($A1491="","",IF(OR(AC1491="Demandé",AC1491="Planifié",AC1491="Annulé"),0,N(T1491)*N(U1491)))</f>
        <v/>
      </c>
      <c r="W1491" s="70">
        <f>IF($A1491="","",SUMIFS('Mouvements stock'!$H$5:$H$3004,'Mouvements stock'!$I$5:$I$3004,$A1491,'Mouvements stock'!$C$5:$C$3004,"Sortie")-SUMIFS('Mouvements stock'!$H$5:$H$3004,'Mouvements stock'!$I$5:$I$3004,$A1491,'Mouvements stock'!$C$5:$C$3004,"Retour"))</f>
        <v/>
      </c>
      <c r="X1491" s="66" t="n"/>
      <c r="Y1491" s="66" t="n"/>
      <c r="Z1491" s="7" t="n"/>
      <c r="AA1491" s="70">
        <f>IF($A1491="","",N(V1491)+N(W1491)+N(X1491)+N(Y1491))</f>
        <v/>
      </c>
      <c r="AB1491" s="70">
        <f>IF($A1491="","",N(S1491)*'Paramètres'!$AA$9*IFERROR(INDEX('Paramètres'!$O$5:$O$7,MATCH(G1491,'Paramètres'!$N$5:$N$7,0)),0))</f>
        <v/>
      </c>
      <c r="AC1491" s="7" t="n"/>
      <c r="AD1491" s="69">
        <f>IF(OR($A1491="",Q1491=""),"",(Q1491-B1491)*24)</f>
        <v/>
      </c>
      <c r="AE1491" s="69">
        <f>IF(OR(Q1491="",R1491=""),"",(R1491-Q1491)*24)</f>
        <v/>
      </c>
      <c r="AF1491" s="77">
        <f>IF(OR($A1491="",B1491=""),"",YEAR(B1491))</f>
        <v/>
      </c>
      <c r="AG1491" s="77">
        <f>IF(OR($A1491="",B1491=""),"",MONTH(B1491))</f>
        <v/>
      </c>
    </row>
    <row r="1492">
      <c r="A1492" s="7" t="n"/>
      <c r="B1492" s="75" t="n"/>
      <c r="C1492" s="7" t="n"/>
      <c r="D1492" s="7" t="n"/>
      <c r="E1492" s="9">
        <f>IF(D1492="","",IFERROR(INDEX('Équipements'!$B$5:$B$304,MATCH(D1492,'Équipements'!$A$5:$A$304,0)),"Code inconnu"))</f>
        <v/>
      </c>
      <c r="F1492" s="9">
        <f>IF(D1492="","",IFERROR(INDEX('Équipements'!$D$5:$D$304,MATCH(D1492,'Équipements'!$A$5:$A$304,0)),""))</f>
        <v/>
      </c>
      <c r="G1492" s="9">
        <f>IF(D1492="","",IFERROR(INDEX('Équipements'!$K$5:$K$304,MATCH(D1492,'Équipements'!$A$5:$A$304,0)),""))</f>
        <v/>
      </c>
      <c r="H1492" s="7" t="n"/>
      <c r="I1492" s="7" t="n"/>
      <c r="J1492" s="7" t="n"/>
      <c r="K1492" s="7" t="n"/>
      <c r="L1492" s="7" t="n"/>
      <c r="M1492" s="7" t="n"/>
      <c r="N1492" s="7" t="n"/>
      <c r="O1492" s="7" t="n"/>
      <c r="P1492" s="65" t="n"/>
      <c r="Q1492" s="75" t="n"/>
      <c r="R1492" s="75" t="n"/>
      <c r="S1492" s="76" t="n"/>
      <c r="T1492" s="76" t="n"/>
      <c r="U1492" s="70">
        <f>IF($A1492="","",IFERROR(INDEX('Techniciens'!$F$5:$F$44,MATCH(O1492,'Techniciens'!$B$5:$B$44,0)),'Paramètres'!$AA$10))</f>
        <v/>
      </c>
      <c r="V1492" s="70">
        <f>IF($A1492="","",IF(OR(AC1492="Demandé",AC1492="Planifié",AC1492="Annulé"),0,N(T1492)*N(U1492)))</f>
        <v/>
      </c>
      <c r="W1492" s="70">
        <f>IF($A1492="","",SUMIFS('Mouvements stock'!$H$5:$H$3004,'Mouvements stock'!$I$5:$I$3004,$A1492,'Mouvements stock'!$C$5:$C$3004,"Sortie")-SUMIFS('Mouvements stock'!$H$5:$H$3004,'Mouvements stock'!$I$5:$I$3004,$A1492,'Mouvements stock'!$C$5:$C$3004,"Retour"))</f>
        <v/>
      </c>
      <c r="X1492" s="66" t="n"/>
      <c r="Y1492" s="66" t="n"/>
      <c r="Z1492" s="7" t="n"/>
      <c r="AA1492" s="70">
        <f>IF($A1492="","",N(V1492)+N(W1492)+N(X1492)+N(Y1492))</f>
        <v/>
      </c>
      <c r="AB1492" s="70">
        <f>IF($A1492="","",N(S1492)*'Paramètres'!$AA$9*IFERROR(INDEX('Paramètres'!$O$5:$O$7,MATCH(G1492,'Paramètres'!$N$5:$N$7,0)),0))</f>
        <v/>
      </c>
      <c r="AC1492" s="7" t="n"/>
      <c r="AD1492" s="69">
        <f>IF(OR($A1492="",Q1492=""),"",(Q1492-B1492)*24)</f>
        <v/>
      </c>
      <c r="AE1492" s="69">
        <f>IF(OR(Q1492="",R1492=""),"",(R1492-Q1492)*24)</f>
        <v/>
      </c>
      <c r="AF1492" s="77">
        <f>IF(OR($A1492="",B1492=""),"",YEAR(B1492))</f>
        <v/>
      </c>
      <c r="AG1492" s="77">
        <f>IF(OR($A1492="",B1492=""),"",MONTH(B1492))</f>
        <v/>
      </c>
    </row>
    <row r="1493">
      <c r="A1493" s="7" t="n"/>
      <c r="B1493" s="75" t="n"/>
      <c r="C1493" s="7" t="n"/>
      <c r="D1493" s="7" t="n"/>
      <c r="E1493" s="9">
        <f>IF(D1493="","",IFERROR(INDEX('Équipements'!$B$5:$B$304,MATCH(D1493,'Équipements'!$A$5:$A$304,0)),"Code inconnu"))</f>
        <v/>
      </c>
      <c r="F1493" s="9">
        <f>IF(D1493="","",IFERROR(INDEX('Équipements'!$D$5:$D$304,MATCH(D1493,'Équipements'!$A$5:$A$304,0)),""))</f>
        <v/>
      </c>
      <c r="G1493" s="9">
        <f>IF(D1493="","",IFERROR(INDEX('Équipements'!$K$5:$K$304,MATCH(D1493,'Équipements'!$A$5:$A$304,0)),""))</f>
        <v/>
      </c>
      <c r="H1493" s="7" t="n"/>
      <c r="I1493" s="7" t="n"/>
      <c r="J1493" s="7" t="n"/>
      <c r="K1493" s="7" t="n"/>
      <c r="L1493" s="7" t="n"/>
      <c r="M1493" s="7" t="n"/>
      <c r="N1493" s="7" t="n"/>
      <c r="O1493" s="7" t="n"/>
      <c r="P1493" s="65" t="n"/>
      <c r="Q1493" s="75" t="n"/>
      <c r="R1493" s="75" t="n"/>
      <c r="S1493" s="76" t="n"/>
      <c r="T1493" s="76" t="n"/>
      <c r="U1493" s="70">
        <f>IF($A1493="","",IFERROR(INDEX('Techniciens'!$F$5:$F$44,MATCH(O1493,'Techniciens'!$B$5:$B$44,0)),'Paramètres'!$AA$10))</f>
        <v/>
      </c>
      <c r="V1493" s="70">
        <f>IF($A1493="","",IF(OR(AC1493="Demandé",AC1493="Planifié",AC1493="Annulé"),0,N(T1493)*N(U1493)))</f>
        <v/>
      </c>
      <c r="W1493" s="70">
        <f>IF($A1493="","",SUMIFS('Mouvements stock'!$H$5:$H$3004,'Mouvements stock'!$I$5:$I$3004,$A1493,'Mouvements stock'!$C$5:$C$3004,"Sortie")-SUMIFS('Mouvements stock'!$H$5:$H$3004,'Mouvements stock'!$I$5:$I$3004,$A1493,'Mouvements stock'!$C$5:$C$3004,"Retour"))</f>
        <v/>
      </c>
      <c r="X1493" s="66" t="n"/>
      <c r="Y1493" s="66" t="n"/>
      <c r="Z1493" s="7" t="n"/>
      <c r="AA1493" s="70">
        <f>IF($A1493="","",N(V1493)+N(W1493)+N(X1493)+N(Y1493))</f>
        <v/>
      </c>
      <c r="AB1493" s="70">
        <f>IF($A1493="","",N(S1493)*'Paramètres'!$AA$9*IFERROR(INDEX('Paramètres'!$O$5:$O$7,MATCH(G1493,'Paramètres'!$N$5:$N$7,0)),0))</f>
        <v/>
      </c>
      <c r="AC1493" s="7" t="n"/>
      <c r="AD1493" s="69">
        <f>IF(OR($A1493="",Q1493=""),"",(Q1493-B1493)*24)</f>
        <v/>
      </c>
      <c r="AE1493" s="69">
        <f>IF(OR(Q1493="",R1493=""),"",(R1493-Q1493)*24)</f>
        <v/>
      </c>
      <c r="AF1493" s="77">
        <f>IF(OR($A1493="",B1493=""),"",YEAR(B1493))</f>
        <v/>
      </c>
      <c r="AG1493" s="77">
        <f>IF(OR($A1493="",B1493=""),"",MONTH(B1493))</f>
        <v/>
      </c>
    </row>
    <row r="1494">
      <c r="A1494" s="7" t="n"/>
      <c r="B1494" s="75" t="n"/>
      <c r="C1494" s="7" t="n"/>
      <c r="D1494" s="7" t="n"/>
      <c r="E1494" s="9">
        <f>IF(D1494="","",IFERROR(INDEX('Équipements'!$B$5:$B$304,MATCH(D1494,'Équipements'!$A$5:$A$304,0)),"Code inconnu"))</f>
        <v/>
      </c>
      <c r="F1494" s="9">
        <f>IF(D1494="","",IFERROR(INDEX('Équipements'!$D$5:$D$304,MATCH(D1494,'Équipements'!$A$5:$A$304,0)),""))</f>
        <v/>
      </c>
      <c r="G1494" s="9">
        <f>IF(D1494="","",IFERROR(INDEX('Équipements'!$K$5:$K$304,MATCH(D1494,'Équipements'!$A$5:$A$304,0)),""))</f>
        <v/>
      </c>
      <c r="H1494" s="7" t="n"/>
      <c r="I1494" s="7" t="n"/>
      <c r="J1494" s="7" t="n"/>
      <c r="K1494" s="7" t="n"/>
      <c r="L1494" s="7" t="n"/>
      <c r="M1494" s="7" t="n"/>
      <c r="N1494" s="7" t="n"/>
      <c r="O1494" s="7" t="n"/>
      <c r="P1494" s="65" t="n"/>
      <c r="Q1494" s="75" t="n"/>
      <c r="R1494" s="75" t="n"/>
      <c r="S1494" s="76" t="n"/>
      <c r="T1494" s="76" t="n"/>
      <c r="U1494" s="70">
        <f>IF($A1494="","",IFERROR(INDEX('Techniciens'!$F$5:$F$44,MATCH(O1494,'Techniciens'!$B$5:$B$44,0)),'Paramètres'!$AA$10))</f>
        <v/>
      </c>
      <c r="V1494" s="70">
        <f>IF($A1494="","",IF(OR(AC1494="Demandé",AC1494="Planifié",AC1494="Annulé"),0,N(T1494)*N(U1494)))</f>
        <v/>
      </c>
      <c r="W1494" s="70">
        <f>IF($A1494="","",SUMIFS('Mouvements stock'!$H$5:$H$3004,'Mouvements stock'!$I$5:$I$3004,$A1494,'Mouvements stock'!$C$5:$C$3004,"Sortie")-SUMIFS('Mouvements stock'!$H$5:$H$3004,'Mouvements stock'!$I$5:$I$3004,$A1494,'Mouvements stock'!$C$5:$C$3004,"Retour"))</f>
        <v/>
      </c>
      <c r="X1494" s="66" t="n"/>
      <c r="Y1494" s="66" t="n"/>
      <c r="Z1494" s="7" t="n"/>
      <c r="AA1494" s="70">
        <f>IF($A1494="","",N(V1494)+N(W1494)+N(X1494)+N(Y1494))</f>
        <v/>
      </c>
      <c r="AB1494" s="70">
        <f>IF($A1494="","",N(S1494)*'Paramètres'!$AA$9*IFERROR(INDEX('Paramètres'!$O$5:$O$7,MATCH(G1494,'Paramètres'!$N$5:$N$7,0)),0))</f>
        <v/>
      </c>
      <c r="AC1494" s="7" t="n"/>
      <c r="AD1494" s="69">
        <f>IF(OR($A1494="",Q1494=""),"",(Q1494-B1494)*24)</f>
        <v/>
      </c>
      <c r="AE1494" s="69">
        <f>IF(OR(Q1494="",R1494=""),"",(R1494-Q1494)*24)</f>
        <v/>
      </c>
      <c r="AF1494" s="77">
        <f>IF(OR($A1494="",B1494=""),"",YEAR(B1494))</f>
        <v/>
      </c>
      <c r="AG1494" s="77">
        <f>IF(OR($A1494="",B1494=""),"",MONTH(B1494))</f>
        <v/>
      </c>
    </row>
    <row r="1495">
      <c r="A1495" s="7" t="n"/>
      <c r="B1495" s="75" t="n"/>
      <c r="C1495" s="7" t="n"/>
      <c r="D1495" s="7" t="n"/>
      <c r="E1495" s="9">
        <f>IF(D1495="","",IFERROR(INDEX('Équipements'!$B$5:$B$304,MATCH(D1495,'Équipements'!$A$5:$A$304,0)),"Code inconnu"))</f>
        <v/>
      </c>
      <c r="F1495" s="9">
        <f>IF(D1495="","",IFERROR(INDEX('Équipements'!$D$5:$D$304,MATCH(D1495,'Équipements'!$A$5:$A$304,0)),""))</f>
        <v/>
      </c>
      <c r="G1495" s="9">
        <f>IF(D1495="","",IFERROR(INDEX('Équipements'!$K$5:$K$304,MATCH(D1495,'Équipements'!$A$5:$A$304,0)),""))</f>
        <v/>
      </c>
      <c r="H1495" s="7" t="n"/>
      <c r="I1495" s="7" t="n"/>
      <c r="J1495" s="7" t="n"/>
      <c r="K1495" s="7" t="n"/>
      <c r="L1495" s="7" t="n"/>
      <c r="M1495" s="7" t="n"/>
      <c r="N1495" s="7" t="n"/>
      <c r="O1495" s="7" t="n"/>
      <c r="P1495" s="65" t="n"/>
      <c r="Q1495" s="75" t="n"/>
      <c r="R1495" s="75" t="n"/>
      <c r="S1495" s="76" t="n"/>
      <c r="T1495" s="76" t="n"/>
      <c r="U1495" s="70">
        <f>IF($A1495="","",IFERROR(INDEX('Techniciens'!$F$5:$F$44,MATCH(O1495,'Techniciens'!$B$5:$B$44,0)),'Paramètres'!$AA$10))</f>
        <v/>
      </c>
      <c r="V1495" s="70">
        <f>IF($A1495="","",IF(OR(AC1495="Demandé",AC1495="Planifié",AC1495="Annulé"),0,N(T1495)*N(U1495)))</f>
        <v/>
      </c>
      <c r="W1495" s="70">
        <f>IF($A1495="","",SUMIFS('Mouvements stock'!$H$5:$H$3004,'Mouvements stock'!$I$5:$I$3004,$A1495,'Mouvements stock'!$C$5:$C$3004,"Sortie")-SUMIFS('Mouvements stock'!$H$5:$H$3004,'Mouvements stock'!$I$5:$I$3004,$A1495,'Mouvements stock'!$C$5:$C$3004,"Retour"))</f>
        <v/>
      </c>
      <c r="X1495" s="66" t="n"/>
      <c r="Y1495" s="66" t="n"/>
      <c r="Z1495" s="7" t="n"/>
      <c r="AA1495" s="70">
        <f>IF($A1495="","",N(V1495)+N(W1495)+N(X1495)+N(Y1495))</f>
        <v/>
      </c>
      <c r="AB1495" s="70">
        <f>IF($A1495="","",N(S1495)*'Paramètres'!$AA$9*IFERROR(INDEX('Paramètres'!$O$5:$O$7,MATCH(G1495,'Paramètres'!$N$5:$N$7,0)),0))</f>
        <v/>
      </c>
      <c r="AC1495" s="7" t="n"/>
      <c r="AD1495" s="69">
        <f>IF(OR($A1495="",Q1495=""),"",(Q1495-B1495)*24)</f>
        <v/>
      </c>
      <c r="AE1495" s="69">
        <f>IF(OR(Q1495="",R1495=""),"",(R1495-Q1495)*24)</f>
        <v/>
      </c>
      <c r="AF1495" s="77">
        <f>IF(OR($A1495="",B1495=""),"",YEAR(B1495))</f>
        <v/>
      </c>
      <c r="AG1495" s="77">
        <f>IF(OR($A1495="",B1495=""),"",MONTH(B1495))</f>
        <v/>
      </c>
    </row>
    <row r="1496">
      <c r="A1496" s="7" t="n"/>
      <c r="B1496" s="75" t="n"/>
      <c r="C1496" s="7" t="n"/>
      <c r="D1496" s="7" t="n"/>
      <c r="E1496" s="9">
        <f>IF(D1496="","",IFERROR(INDEX('Équipements'!$B$5:$B$304,MATCH(D1496,'Équipements'!$A$5:$A$304,0)),"Code inconnu"))</f>
        <v/>
      </c>
      <c r="F1496" s="9">
        <f>IF(D1496="","",IFERROR(INDEX('Équipements'!$D$5:$D$304,MATCH(D1496,'Équipements'!$A$5:$A$304,0)),""))</f>
        <v/>
      </c>
      <c r="G1496" s="9">
        <f>IF(D1496="","",IFERROR(INDEX('Équipements'!$K$5:$K$304,MATCH(D1496,'Équipements'!$A$5:$A$304,0)),""))</f>
        <v/>
      </c>
      <c r="H1496" s="7" t="n"/>
      <c r="I1496" s="7" t="n"/>
      <c r="J1496" s="7" t="n"/>
      <c r="K1496" s="7" t="n"/>
      <c r="L1496" s="7" t="n"/>
      <c r="M1496" s="7" t="n"/>
      <c r="N1496" s="7" t="n"/>
      <c r="O1496" s="7" t="n"/>
      <c r="P1496" s="65" t="n"/>
      <c r="Q1496" s="75" t="n"/>
      <c r="R1496" s="75" t="n"/>
      <c r="S1496" s="76" t="n"/>
      <c r="T1496" s="76" t="n"/>
      <c r="U1496" s="70">
        <f>IF($A1496="","",IFERROR(INDEX('Techniciens'!$F$5:$F$44,MATCH(O1496,'Techniciens'!$B$5:$B$44,0)),'Paramètres'!$AA$10))</f>
        <v/>
      </c>
      <c r="V1496" s="70">
        <f>IF($A1496="","",IF(OR(AC1496="Demandé",AC1496="Planifié",AC1496="Annulé"),0,N(T1496)*N(U1496)))</f>
        <v/>
      </c>
      <c r="W1496" s="70">
        <f>IF($A1496="","",SUMIFS('Mouvements stock'!$H$5:$H$3004,'Mouvements stock'!$I$5:$I$3004,$A1496,'Mouvements stock'!$C$5:$C$3004,"Sortie")-SUMIFS('Mouvements stock'!$H$5:$H$3004,'Mouvements stock'!$I$5:$I$3004,$A1496,'Mouvements stock'!$C$5:$C$3004,"Retour"))</f>
        <v/>
      </c>
      <c r="X1496" s="66" t="n"/>
      <c r="Y1496" s="66" t="n"/>
      <c r="Z1496" s="7" t="n"/>
      <c r="AA1496" s="70">
        <f>IF($A1496="","",N(V1496)+N(W1496)+N(X1496)+N(Y1496))</f>
        <v/>
      </c>
      <c r="AB1496" s="70">
        <f>IF($A1496="","",N(S1496)*'Paramètres'!$AA$9*IFERROR(INDEX('Paramètres'!$O$5:$O$7,MATCH(G1496,'Paramètres'!$N$5:$N$7,0)),0))</f>
        <v/>
      </c>
      <c r="AC1496" s="7" t="n"/>
      <c r="AD1496" s="69">
        <f>IF(OR($A1496="",Q1496=""),"",(Q1496-B1496)*24)</f>
        <v/>
      </c>
      <c r="AE1496" s="69">
        <f>IF(OR(Q1496="",R1496=""),"",(R1496-Q1496)*24)</f>
        <v/>
      </c>
      <c r="AF1496" s="77">
        <f>IF(OR($A1496="",B1496=""),"",YEAR(B1496))</f>
        <v/>
      </c>
      <c r="AG1496" s="77">
        <f>IF(OR($A1496="",B1496=""),"",MONTH(B1496))</f>
        <v/>
      </c>
    </row>
    <row r="1497">
      <c r="A1497" s="7" t="n"/>
      <c r="B1497" s="75" t="n"/>
      <c r="C1497" s="7" t="n"/>
      <c r="D1497" s="7" t="n"/>
      <c r="E1497" s="9">
        <f>IF(D1497="","",IFERROR(INDEX('Équipements'!$B$5:$B$304,MATCH(D1497,'Équipements'!$A$5:$A$304,0)),"Code inconnu"))</f>
        <v/>
      </c>
      <c r="F1497" s="9">
        <f>IF(D1497="","",IFERROR(INDEX('Équipements'!$D$5:$D$304,MATCH(D1497,'Équipements'!$A$5:$A$304,0)),""))</f>
        <v/>
      </c>
      <c r="G1497" s="9">
        <f>IF(D1497="","",IFERROR(INDEX('Équipements'!$K$5:$K$304,MATCH(D1497,'Équipements'!$A$5:$A$304,0)),""))</f>
        <v/>
      </c>
      <c r="H1497" s="7" t="n"/>
      <c r="I1497" s="7" t="n"/>
      <c r="J1497" s="7" t="n"/>
      <c r="K1497" s="7" t="n"/>
      <c r="L1497" s="7" t="n"/>
      <c r="M1497" s="7" t="n"/>
      <c r="N1497" s="7" t="n"/>
      <c r="O1497" s="7" t="n"/>
      <c r="P1497" s="65" t="n"/>
      <c r="Q1497" s="75" t="n"/>
      <c r="R1497" s="75" t="n"/>
      <c r="S1497" s="76" t="n"/>
      <c r="T1497" s="76" t="n"/>
      <c r="U1497" s="70">
        <f>IF($A1497="","",IFERROR(INDEX('Techniciens'!$F$5:$F$44,MATCH(O1497,'Techniciens'!$B$5:$B$44,0)),'Paramètres'!$AA$10))</f>
        <v/>
      </c>
      <c r="V1497" s="70">
        <f>IF($A1497="","",IF(OR(AC1497="Demandé",AC1497="Planifié",AC1497="Annulé"),0,N(T1497)*N(U1497)))</f>
        <v/>
      </c>
      <c r="W1497" s="70">
        <f>IF($A1497="","",SUMIFS('Mouvements stock'!$H$5:$H$3004,'Mouvements stock'!$I$5:$I$3004,$A1497,'Mouvements stock'!$C$5:$C$3004,"Sortie")-SUMIFS('Mouvements stock'!$H$5:$H$3004,'Mouvements stock'!$I$5:$I$3004,$A1497,'Mouvements stock'!$C$5:$C$3004,"Retour"))</f>
        <v/>
      </c>
      <c r="X1497" s="66" t="n"/>
      <c r="Y1497" s="66" t="n"/>
      <c r="Z1497" s="7" t="n"/>
      <c r="AA1497" s="70">
        <f>IF($A1497="","",N(V1497)+N(W1497)+N(X1497)+N(Y1497))</f>
        <v/>
      </c>
      <c r="AB1497" s="70">
        <f>IF($A1497="","",N(S1497)*'Paramètres'!$AA$9*IFERROR(INDEX('Paramètres'!$O$5:$O$7,MATCH(G1497,'Paramètres'!$N$5:$N$7,0)),0))</f>
        <v/>
      </c>
      <c r="AC1497" s="7" t="n"/>
      <c r="AD1497" s="69">
        <f>IF(OR($A1497="",Q1497=""),"",(Q1497-B1497)*24)</f>
        <v/>
      </c>
      <c r="AE1497" s="69">
        <f>IF(OR(Q1497="",R1497=""),"",(R1497-Q1497)*24)</f>
        <v/>
      </c>
      <c r="AF1497" s="77">
        <f>IF(OR($A1497="",B1497=""),"",YEAR(B1497))</f>
        <v/>
      </c>
      <c r="AG1497" s="77">
        <f>IF(OR($A1497="",B1497=""),"",MONTH(B1497))</f>
        <v/>
      </c>
    </row>
    <row r="1498">
      <c r="A1498" s="7" t="n"/>
      <c r="B1498" s="75" t="n"/>
      <c r="C1498" s="7" t="n"/>
      <c r="D1498" s="7" t="n"/>
      <c r="E1498" s="9">
        <f>IF(D1498="","",IFERROR(INDEX('Équipements'!$B$5:$B$304,MATCH(D1498,'Équipements'!$A$5:$A$304,0)),"Code inconnu"))</f>
        <v/>
      </c>
      <c r="F1498" s="9">
        <f>IF(D1498="","",IFERROR(INDEX('Équipements'!$D$5:$D$304,MATCH(D1498,'Équipements'!$A$5:$A$304,0)),""))</f>
        <v/>
      </c>
      <c r="G1498" s="9">
        <f>IF(D1498="","",IFERROR(INDEX('Équipements'!$K$5:$K$304,MATCH(D1498,'Équipements'!$A$5:$A$304,0)),""))</f>
        <v/>
      </c>
      <c r="H1498" s="7" t="n"/>
      <c r="I1498" s="7" t="n"/>
      <c r="J1498" s="7" t="n"/>
      <c r="K1498" s="7" t="n"/>
      <c r="L1498" s="7" t="n"/>
      <c r="M1498" s="7" t="n"/>
      <c r="N1498" s="7" t="n"/>
      <c r="O1498" s="7" t="n"/>
      <c r="P1498" s="65" t="n"/>
      <c r="Q1498" s="75" t="n"/>
      <c r="R1498" s="75" t="n"/>
      <c r="S1498" s="76" t="n"/>
      <c r="T1498" s="76" t="n"/>
      <c r="U1498" s="70">
        <f>IF($A1498="","",IFERROR(INDEX('Techniciens'!$F$5:$F$44,MATCH(O1498,'Techniciens'!$B$5:$B$44,0)),'Paramètres'!$AA$10))</f>
        <v/>
      </c>
      <c r="V1498" s="70">
        <f>IF($A1498="","",IF(OR(AC1498="Demandé",AC1498="Planifié",AC1498="Annulé"),0,N(T1498)*N(U1498)))</f>
        <v/>
      </c>
      <c r="W1498" s="70">
        <f>IF($A1498="","",SUMIFS('Mouvements stock'!$H$5:$H$3004,'Mouvements stock'!$I$5:$I$3004,$A1498,'Mouvements stock'!$C$5:$C$3004,"Sortie")-SUMIFS('Mouvements stock'!$H$5:$H$3004,'Mouvements stock'!$I$5:$I$3004,$A1498,'Mouvements stock'!$C$5:$C$3004,"Retour"))</f>
        <v/>
      </c>
      <c r="X1498" s="66" t="n"/>
      <c r="Y1498" s="66" t="n"/>
      <c r="Z1498" s="7" t="n"/>
      <c r="AA1498" s="70">
        <f>IF($A1498="","",N(V1498)+N(W1498)+N(X1498)+N(Y1498))</f>
        <v/>
      </c>
      <c r="AB1498" s="70">
        <f>IF($A1498="","",N(S1498)*'Paramètres'!$AA$9*IFERROR(INDEX('Paramètres'!$O$5:$O$7,MATCH(G1498,'Paramètres'!$N$5:$N$7,0)),0))</f>
        <v/>
      </c>
      <c r="AC1498" s="7" t="n"/>
      <c r="AD1498" s="69">
        <f>IF(OR($A1498="",Q1498=""),"",(Q1498-B1498)*24)</f>
        <v/>
      </c>
      <c r="AE1498" s="69">
        <f>IF(OR(Q1498="",R1498=""),"",(R1498-Q1498)*24)</f>
        <v/>
      </c>
      <c r="AF1498" s="77">
        <f>IF(OR($A1498="",B1498=""),"",YEAR(B1498))</f>
        <v/>
      </c>
      <c r="AG1498" s="77">
        <f>IF(OR($A1498="",B1498=""),"",MONTH(B1498))</f>
        <v/>
      </c>
    </row>
    <row r="1499">
      <c r="A1499" s="7" t="n"/>
      <c r="B1499" s="75" t="n"/>
      <c r="C1499" s="7" t="n"/>
      <c r="D1499" s="7" t="n"/>
      <c r="E1499" s="9">
        <f>IF(D1499="","",IFERROR(INDEX('Équipements'!$B$5:$B$304,MATCH(D1499,'Équipements'!$A$5:$A$304,0)),"Code inconnu"))</f>
        <v/>
      </c>
      <c r="F1499" s="9">
        <f>IF(D1499="","",IFERROR(INDEX('Équipements'!$D$5:$D$304,MATCH(D1499,'Équipements'!$A$5:$A$304,0)),""))</f>
        <v/>
      </c>
      <c r="G1499" s="9">
        <f>IF(D1499="","",IFERROR(INDEX('Équipements'!$K$5:$K$304,MATCH(D1499,'Équipements'!$A$5:$A$304,0)),""))</f>
        <v/>
      </c>
      <c r="H1499" s="7" t="n"/>
      <c r="I1499" s="7" t="n"/>
      <c r="J1499" s="7" t="n"/>
      <c r="K1499" s="7" t="n"/>
      <c r="L1499" s="7" t="n"/>
      <c r="M1499" s="7" t="n"/>
      <c r="N1499" s="7" t="n"/>
      <c r="O1499" s="7" t="n"/>
      <c r="P1499" s="65" t="n"/>
      <c r="Q1499" s="75" t="n"/>
      <c r="R1499" s="75" t="n"/>
      <c r="S1499" s="76" t="n"/>
      <c r="T1499" s="76" t="n"/>
      <c r="U1499" s="70">
        <f>IF($A1499="","",IFERROR(INDEX('Techniciens'!$F$5:$F$44,MATCH(O1499,'Techniciens'!$B$5:$B$44,0)),'Paramètres'!$AA$10))</f>
        <v/>
      </c>
      <c r="V1499" s="70">
        <f>IF($A1499="","",IF(OR(AC1499="Demandé",AC1499="Planifié",AC1499="Annulé"),0,N(T1499)*N(U1499)))</f>
        <v/>
      </c>
      <c r="W1499" s="70">
        <f>IF($A1499="","",SUMIFS('Mouvements stock'!$H$5:$H$3004,'Mouvements stock'!$I$5:$I$3004,$A1499,'Mouvements stock'!$C$5:$C$3004,"Sortie")-SUMIFS('Mouvements stock'!$H$5:$H$3004,'Mouvements stock'!$I$5:$I$3004,$A1499,'Mouvements stock'!$C$5:$C$3004,"Retour"))</f>
        <v/>
      </c>
      <c r="X1499" s="66" t="n"/>
      <c r="Y1499" s="66" t="n"/>
      <c r="Z1499" s="7" t="n"/>
      <c r="AA1499" s="70">
        <f>IF($A1499="","",N(V1499)+N(W1499)+N(X1499)+N(Y1499))</f>
        <v/>
      </c>
      <c r="AB1499" s="70">
        <f>IF($A1499="","",N(S1499)*'Paramètres'!$AA$9*IFERROR(INDEX('Paramètres'!$O$5:$O$7,MATCH(G1499,'Paramètres'!$N$5:$N$7,0)),0))</f>
        <v/>
      </c>
      <c r="AC1499" s="7" t="n"/>
      <c r="AD1499" s="69">
        <f>IF(OR($A1499="",Q1499=""),"",(Q1499-B1499)*24)</f>
        <v/>
      </c>
      <c r="AE1499" s="69">
        <f>IF(OR(Q1499="",R1499=""),"",(R1499-Q1499)*24)</f>
        <v/>
      </c>
      <c r="AF1499" s="77">
        <f>IF(OR($A1499="",B1499=""),"",YEAR(B1499))</f>
        <v/>
      </c>
      <c r="AG1499" s="77">
        <f>IF(OR($A1499="",B1499=""),"",MONTH(B1499))</f>
        <v/>
      </c>
    </row>
    <row r="1500">
      <c r="A1500" s="7" t="n"/>
      <c r="B1500" s="75" t="n"/>
      <c r="C1500" s="7" t="n"/>
      <c r="D1500" s="7" t="n"/>
      <c r="E1500" s="9">
        <f>IF(D1500="","",IFERROR(INDEX('Équipements'!$B$5:$B$304,MATCH(D1500,'Équipements'!$A$5:$A$304,0)),"Code inconnu"))</f>
        <v/>
      </c>
      <c r="F1500" s="9">
        <f>IF(D1500="","",IFERROR(INDEX('Équipements'!$D$5:$D$304,MATCH(D1500,'Équipements'!$A$5:$A$304,0)),""))</f>
        <v/>
      </c>
      <c r="G1500" s="9">
        <f>IF(D1500="","",IFERROR(INDEX('Équipements'!$K$5:$K$304,MATCH(D1500,'Équipements'!$A$5:$A$304,0)),""))</f>
        <v/>
      </c>
      <c r="H1500" s="7" t="n"/>
      <c r="I1500" s="7" t="n"/>
      <c r="J1500" s="7" t="n"/>
      <c r="K1500" s="7" t="n"/>
      <c r="L1500" s="7" t="n"/>
      <c r="M1500" s="7" t="n"/>
      <c r="N1500" s="7" t="n"/>
      <c r="O1500" s="7" t="n"/>
      <c r="P1500" s="65" t="n"/>
      <c r="Q1500" s="75" t="n"/>
      <c r="R1500" s="75" t="n"/>
      <c r="S1500" s="76" t="n"/>
      <c r="T1500" s="76" t="n"/>
      <c r="U1500" s="70">
        <f>IF($A1500="","",IFERROR(INDEX('Techniciens'!$F$5:$F$44,MATCH(O1500,'Techniciens'!$B$5:$B$44,0)),'Paramètres'!$AA$10))</f>
        <v/>
      </c>
      <c r="V1500" s="70">
        <f>IF($A1500="","",IF(OR(AC1500="Demandé",AC1500="Planifié",AC1500="Annulé"),0,N(T1500)*N(U1500)))</f>
        <v/>
      </c>
      <c r="W1500" s="70">
        <f>IF($A1500="","",SUMIFS('Mouvements stock'!$H$5:$H$3004,'Mouvements stock'!$I$5:$I$3004,$A1500,'Mouvements stock'!$C$5:$C$3004,"Sortie")-SUMIFS('Mouvements stock'!$H$5:$H$3004,'Mouvements stock'!$I$5:$I$3004,$A1500,'Mouvements stock'!$C$5:$C$3004,"Retour"))</f>
        <v/>
      </c>
      <c r="X1500" s="66" t="n"/>
      <c r="Y1500" s="66" t="n"/>
      <c r="Z1500" s="7" t="n"/>
      <c r="AA1500" s="70">
        <f>IF($A1500="","",N(V1500)+N(W1500)+N(X1500)+N(Y1500))</f>
        <v/>
      </c>
      <c r="AB1500" s="70">
        <f>IF($A1500="","",N(S1500)*'Paramètres'!$AA$9*IFERROR(INDEX('Paramètres'!$O$5:$O$7,MATCH(G1500,'Paramètres'!$N$5:$N$7,0)),0))</f>
        <v/>
      </c>
      <c r="AC1500" s="7" t="n"/>
      <c r="AD1500" s="69">
        <f>IF(OR($A1500="",Q1500=""),"",(Q1500-B1500)*24)</f>
        <v/>
      </c>
      <c r="AE1500" s="69">
        <f>IF(OR(Q1500="",R1500=""),"",(R1500-Q1500)*24)</f>
        <v/>
      </c>
      <c r="AF1500" s="77">
        <f>IF(OR($A1500="",B1500=""),"",YEAR(B1500))</f>
        <v/>
      </c>
      <c r="AG1500" s="77">
        <f>IF(OR($A1500="",B1500=""),"",MONTH(B1500))</f>
        <v/>
      </c>
    </row>
    <row r="1501">
      <c r="A1501" s="7" t="n"/>
      <c r="B1501" s="75" t="n"/>
      <c r="C1501" s="7" t="n"/>
      <c r="D1501" s="7" t="n"/>
      <c r="E1501" s="9">
        <f>IF(D1501="","",IFERROR(INDEX('Équipements'!$B$5:$B$304,MATCH(D1501,'Équipements'!$A$5:$A$304,0)),"Code inconnu"))</f>
        <v/>
      </c>
      <c r="F1501" s="9">
        <f>IF(D1501="","",IFERROR(INDEX('Équipements'!$D$5:$D$304,MATCH(D1501,'Équipements'!$A$5:$A$304,0)),""))</f>
        <v/>
      </c>
      <c r="G1501" s="9">
        <f>IF(D1501="","",IFERROR(INDEX('Équipements'!$K$5:$K$304,MATCH(D1501,'Équipements'!$A$5:$A$304,0)),""))</f>
        <v/>
      </c>
      <c r="H1501" s="7" t="n"/>
      <c r="I1501" s="7" t="n"/>
      <c r="J1501" s="7" t="n"/>
      <c r="K1501" s="7" t="n"/>
      <c r="L1501" s="7" t="n"/>
      <c r="M1501" s="7" t="n"/>
      <c r="N1501" s="7" t="n"/>
      <c r="O1501" s="7" t="n"/>
      <c r="P1501" s="65" t="n"/>
      <c r="Q1501" s="75" t="n"/>
      <c r="R1501" s="75" t="n"/>
      <c r="S1501" s="76" t="n"/>
      <c r="T1501" s="76" t="n"/>
      <c r="U1501" s="70">
        <f>IF($A1501="","",IFERROR(INDEX('Techniciens'!$F$5:$F$44,MATCH(O1501,'Techniciens'!$B$5:$B$44,0)),'Paramètres'!$AA$10))</f>
        <v/>
      </c>
      <c r="V1501" s="70">
        <f>IF($A1501="","",IF(OR(AC1501="Demandé",AC1501="Planifié",AC1501="Annulé"),0,N(T1501)*N(U1501)))</f>
        <v/>
      </c>
      <c r="W1501" s="70">
        <f>IF($A1501="","",SUMIFS('Mouvements stock'!$H$5:$H$3004,'Mouvements stock'!$I$5:$I$3004,$A1501,'Mouvements stock'!$C$5:$C$3004,"Sortie")-SUMIFS('Mouvements stock'!$H$5:$H$3004,'Mouvements stock'!$I$5:$I$3004,$A1501,'Mouvements stock'!$C$5:$C$3004,"Retour"))</f>
        <v/>
      </c>
      <c r="X1501" s="66" t="n"/>
      <c r="Y1501" s="66" t="n"/>
      <c r="Z1501" s="7" t="n"/>
      <c r="AA1501" s="70">
        <f>IF($A1501="","",N(V1501)+N(W1501)+N(X1501)+N(Y1501))</f>
        <v/>
      </c>
      <c r="AB1501" s="70">
        <f>IF($A1501="","",N(S1501)*'Paramètres'!$AA$9*IFERROR(INDEX('Paramètres'!$O$5:$O$7,MATCH(G1501,'Paramètres'!$N$5:$N$7,0)),0))</f>
        <v/>
      </c>
      <c r="AC1501" s="7" t="n"/>
      <c r="AD1501" s="69">
        <f>IF(OR($A1501="",Q1501=""),"",(Q1501-B1501)*24)</f>
        <v/>
      </c>
      <c r="AE1501" s="69">
        <f>IF(OR(Q1501="",R1501=""),"",(R1501-Q1501)*24)</f>
        <v/>
      </c>
      <c r="AF1501" s="77">
        <f>IF(OR($A1501="",B1501=""),"",YEAR(B1501))</f>
        <v/>
      </c>
      <c r="AG1501" s="77">
        <f>IF(OR($A1501="",B1501=""),"",MONTH(B1501))</f>
        <v/>
      </c>
    </row>
    <row r="1502">
      <c r="A1502" s="7" t="n"/>
      <c r="B1502" s="75" t="n"/>
      <c r="C1502" s="7" t="n"/>
      <c r="D1502" s="7" t="n"/>
      <c r="E1502" s="9">
        <f>IF(D1502="","",IFERROR(INDEX('Équipements'!$B$5:$B$304,MATCH(D1502,'Équipements'!$A$5:$A$304,0)),"Code inconnu"))</f>
        <v/>
      </c>
      <c r="F1502" s="9">
        <f>IF(D1502="","",IFERROR(INDEX('Équipements'!$D$5:$D$304,MATCH(D1502,'Équipements'!$A$5:$A$304,0)),""))</f>
        <v/>
      </c>
      <c r="G1502" s="9">
        <f>IF(D1502="","",IFERROR(INDEX('Équipements'!$K$5:$K$304,MATCH(D1502,'Équipements'!$A$5:$A$304,0)),""))</f>
        <v/>
      </c>
      <c r="H1502" s="7" t="n"/>
      <c r="I1502" s="7" t="n"/>
      <c r="J1502" s="7" t="n"/>
      <c r="K1502" s="7" t="n"/>
      <c r="L1502" s="7" t="n"/>
      <c r="M1502" s="7" t="n"/>
      <c r="N1502" s="7" t="n"/>
      <c r="O1502" s="7" t="n"/>
      <c r="P1502" s="65" t="n"/>
      <c r="Q1502" s="75" t="n"/>
      <c r="R1502" s="75" t="n"/>
      <c r="S1502" s="76" t="n"/>
      <c r="T1502" s="76" t="n"/>
      <c r="U1502" s="70">
        <f>IF($A1502="","",IFERROR(INDEX('Techniciens'!$F$5:$F$44,MATCH(O1502,'Techniciens'!$B$5:$B$44,0)),'Paramètres'!$AA$10))</f>
        <v/>
      </c>
      <c r="V1502" s="70">
        <f>IF($A1502="","",IF(OR(AC1502="Demandé",AC1502="Planifié",AC1502="Annulé"),0,N(T1502)*N(U1502)))</f>
        <v/>
      </c>
      <c r="W1502" s="70">
        <f>IF($A1502="","",SUMIFS('Mouvements stock'!$H$5:$H$3004,'Mouvements stock'!$I$5:$I$3004,$A1502,'Mouvements stock'!$C$5:$C$3004,"Sortie")-SUMIFS('Mouvements stock'!$H$5:$H$3004,'Mouvements stock'!$I$5:$I$3004,$A1502,'Mouvements stock'!$C$5:$C$3004,"Retour"))</f>
        <v/>
      </c>
      <c r="X1502" s="66" t="n"/>
      <c r="Y1502" s="66" t="n"/>
      <c r="Z1502" s="7" t="n"/>
      <c r="AA1502" s="70">
        <f>IF($A1502="","",N(V1502)+N(W1502)+N(X1502)+N(Y1502))</f>
        <v/>
      </c>
      <c r="AB1502" s="70">
        <f>IF($A1502="","",N(S1502)*'Paramètres'!$AA$9*IFERROR(INDEX('Paramètres'!$O$5:$O$7,MATCH(G1502,'Paramètres'!$N$5:$N$7,0)),0))</f>
        <v/>
      </c>
      <c r="AC1502" s="7" t="n"/>
      <c r="AD1502" s="69">
        <f>IF(OR($A1502="",Q1502=""),"",(Q1502-B1502)*24)</f>
        <v/>
      </c>
      <c r="AE1502" s="69">
        <f>IF(OR(Q1502="",R1502=""),"",(R1502-Q1502)*24)</f>
        <v/>
      </c>
      <c r="AF1502" s="77">
        <f>IF(OR($A1502="",B1502=""),"",YEAR(B1502))</f>
        <v/>
      </c>
      <c r="AG1502" s="77">
        <f>IF(OR($A1502="",B1502=""),"",MONTH(B1502))</f>
        <v/>
      </c>
    </row>
    <row r="1503">
      <c r="A1503" s="7" t="n"/>
      <c r="B1503" s="75" t="n"/>
      <c r="C1503" s="7" t="n"/>
      <c r="D1503" s="7" t="n"/>
      <c r="E1503" s="9">
        <f>IF(D1503="","",IFERROR(INDEX('Équipements'!$B$5:$B$304,MATCH(D1503,'Équipements'!$A$5:$A$304,0)),"Code inconnu"))</f>
        <v/>
      </c>
      <c r="F1503" s="9">
        <f>IF(D1503="","",IFERROR(INDEX('Équipements'!$D$5:$D$304,MATCH(D1503,'Équipements'!$A$5:$A$304,0)),""))</f>
        <v/>
      </c>
      <c r="G1503" s="9">
        <f>IF(D1503="","",IFERROR(INDEX('Équipements'!$K$5:$K$304,MATCH(D1503,'Équipements'!$A$5:$A$304,0)),""))</f>
        <v/>
      </c>
      <c r="H1503" s="7" t="n"/>
      <c r="I1503" s="7" t="n"/>
      <c r="J1503" s="7" t="n"/>
      <c r="K1503" s="7" t="n"/>
      <c r="L1503" s="7" t="n"/>
      <c r="M1503" s="7" t="n"/>
      <c r="N1503" s="7" t="n"/>
      <c r="O1503" s="7" t="n"/>
      <c r="P1503" s="65" t="n"/>
      <c r="Q1503" s="75" t="n"/>
      <c r="R1503" s="75" t="n"/>
      <c r="S1503" s="76" t="n"/>
      <c r="T1503" s="76" t="n"/>
      <c r="U1503" s="70">
        <f>IF($A1503="","",IFERROR(INDEX('Techniciens'!$F$5:$F$44,MATCH(O1503,'Techniciens'!$B$5:$B$44,0)),'Paramètres'!$AA$10))</f>
        <v/>
      </c>
      <c r="V1503" s="70">
        <f>IF($A1503="","",IF(OR(AC1503="Demandé",AC1503="Planifié",AC1503="Annulé"),0,N(T1503)*N(U1503)))</f>
        <v/>
      </c>
      <c r="W1503" s="70">
        <f>IF($A1503="","",SUMIFS('Mouvements stock'!$H$5:$H$3004,'Mouvements stock'!$I$5:$I$3004,$A1503,'Mouvements stock'!$C$5:$C$3004,"Sortie")-SUMIFS('Mouvements stock'!$H$5:$H$3004,'Mouvements stock'!$I$5:$I$3004,$A1503,'Mouvements stock'!$C$5:$C$3004,"Retour"))</f>
        <v/>
      </c>
      <c r="X1503" s="66" t="n"/>
      <c r="Y1503" s="66" t="n"/>
      <c r="Z1503" s="7" t="n"/>
      <c r="AA1503" s="70">
        <f>IF($A1503="","",N(V1503)+N(W1503)+N(X1503)+N(Y1503))</f>
        <v/>
      </c>
      <c r="AB1503" s="70">
        <f>IF($A1503="","",N(S1503)*'Paramètres'!$AA$9*IFERROR(INDEX('Paramètres'!$O$5:$O$7,MATCH(G1503,'Paramètres'!$N$5:$N$7,0)),0))</f>
        <v/>
      </c>
      <c r="AC1503" s="7" t="n"/>
      <c r="AD1503" s="69">
        <f>IF(OR($A1503="",Q1503=""),"",(Q1503-B1503)*24)</f>
        <v/>
      </c>
      <c r="AE1503" s="69">
        <f>IF(OR(Q1503="",R1503=""),"",(R1503-Q1503)*24)</f>
        <v/>
      </c>
      <c r="AF1503" s="77">
        <f>IF(OR($A1503="",B1503=""),"",YEAR(B1503))</f>
        <v/>
      </c>
      <c r="AG1503" s="77">
        <f>IF(OR($A1503="",B1503=""),"",MONTH(B1503))</f>
        <v/>
      </c>
    </row>
    <row r="1504">
      <c r="A1504" s="7" t="n"/>
      <c r="B1504" s="75" t="n"/>
      <c r="C1504" s="7" t="n"/>
      <c r="D1504" s="7" t="n"/>
      <c r="E1504" s="9">
        <f>IF(D1504="","",IFERROR(INDEX('Équipements'!$B$5:$B$304,MATCH(D1504,'Équipements'!$A$5:$A$304,0)),"Code inconnu"))</f>
        <v/>
      </c>
      <c r="F1504" s="9">
        <f>IF(D1504="","",IFERROR(INDEX('Équipements'!$D$5:$D$304,MATCH(D1504,'Équipements'!$A$5:$A$304,0)),""))</f>
        <v/>
      </c>
      <c r="G1504" s="9">
        <f>IF(D1504="","",IFERROR(INDEX('Équipements'!$K$5:$K$304,MATCH(D1504,'Équipements'!$A$5:$A$304,0)),""))</f>
        <v/>
      </c>
      <c r="H1504" s="7" t="n"/>
      <c r="I1504" s="7" t="n"/>
      <c r="J1504" s="7" t="n"/>
      <c r="K1504" s="7" t="n"/>
      <c r="L1504" s="7" t="n"/>
      <c r="M1504" s="7" t="n"/>
      <c r="N1504" s="7" t="n"/>
      <c r="O1504" s="7" t="n"/>
      <c r="P1504" s="65" t="n"/>
      <c r="Q1504" s="75" t="n"/>
      <c r="R1504" s="75" t="n"/>
      <c r="S1504" s="76" t="n"/>
      <c r="T1504" s="76" t="n"/>
      <c r="U1504" s="70">
        <f>IF($A1504="","",IFERROR(INDEX('Techniciens'!$F$5:$F$44,MATCH(O1504,'Techniciens'!$B$5:$B$44,0)),'Paramètres'!$AA$10))</f>
        <v/>
      </c>
      <c r="V1504" s="70">
        <f>IF($A1504="","",IF(OR(AC1504="Demandé",AC1504="Planifié",AC1504="Annulé"),0,N(T1504)*N(U1504)))</f>
        <v/>
      </c>
      <c r="W1504" s="70">
        <f>IF($A1504="","",SUMIFS('Mouvements stock'!$H$5:$H$3004,'Mouvements stock'!$I$5:$I$3004,$A1504,'Mouvements stock'!$C$5:$C$3004,"Sortie")-SUMIFS('Mouvements stock'!$H$5:$H$3004,'Mouvements stock'!$I$5:$I$3004,$A1504,'Mouvements stock'!$C$5:$C$3004,"Retour"))</f>
        <v/>
      </c>
      <c r="X1504" s="66" t="n"/>
      <c r="Y1504" s="66" t="n"/>
      <c r="Z1504" s="7" t="n"/>
      <c r="AA1504" s="70">
        <f>IF($A1504="","",N(V1504)+N(W1504)+N(X1504)+N(Y1504))</f>
        <v/>
      </c>
      <c r="AB1504" s="70">
        <f>IF($A1504="","",N(S1504)*'Paramètres'!$AA$9*IFERROR(INDEX('Paramètres'!$O$5:$O$7,MATCH(G1504,'Paramètres'!$N$5:$N$7,0)),0))</f>
        <v/>
      </c>
      <c r="AC1504" s="7" t="n"/>
      <c r="AD1504" s="69">
        <f>IF(OR($A1504="",Q1504=""),"",(Q1504-B1504)*24)</f>
        <v/>
      </c>
      <c r="AE1504" s="69">
        <f>IF(OR(Q1504="",R1504=""),"",(R1504-Q1504)*24)</f>
        <v/>
      </c>
      <c r="AF1504" s="77">
        <f>IF(OR($A1504="",B1504=""),"",YEAR(B1504))</f>
        <v/>
      </c>
      <c r="AG1504" s="77">
        <f>IF(OR($A1504="",B1504=""),"",MONTH(B1504))</f>
        <v/>
      </c>
    </row>
    <row r="1505">
      <c r="A1505" s="7" t="n"/>
      <c r="B1505" s="75" t="n"/>
      <c r="C1505" s="7" t="n"/>
      <c r="D1505" s="7" t="n"/>
      <c r="E1505" s="9">
        <f>IF(D1505="","",IFERROR(INDEX('Équipements'!$B$5:$B$304,MATCH(D1505,'Équipements'!$A$5:$A$304,0)),"Code inconnu"))</f>
        <v/>
      </c>
      <c r="F1505" s="9">
        <f>IF(D1505="","",IFERROR(INDEX('Équipements'!$D$5:$D$304,MATCH(D1505,'Équipements'!$A$5:$A$304,0)),""))</f>
        <v/>
      </c>
      <c r="G1505" s="9">
        <f>IF(D1505="","",IFERROR(INDEX('Équipements'!$K$5:$K$304,MATCH(D1505,'Équipements'!$A$5:$A$304,0)),""))</f>
        <v/>
      </c>
      <c r="H1505" s="7" t="n"/>
      <c r="I1505" s="7" t="n"/>
      <c r="J1505" s="7" t="n"/>
      <c r="K1505" s="7" t="n"/>
      <c r="L1505" s="7" t="n"/>
      <c r="M1505" s="7" t="n"/>
      <c r="N1505" s="7" t="n"/>
      <c r="O1505" s="7" t="n"/>
      <c r="P1505" s="65" t="n"/>
      <c r="Q1505" s="75" t="n"/>
      <c r="R1505" s="75" t="n"/>
      <c r="S1505" s="76" t="n"/>
      <c r="T1505" s="76" t="n"/>
      <c r="U1505" s="70">
        <f>IF($A1505="","",IFERROR(INDEX('Techniciens'!$F$5:$F$44,MATCH(O1505,'Techniciens'!$B$5:$B$44,0)),'Paramètres'!$AA$10))</f>
        <v/>
      </c>
      <c r="V1505" s="70">
        <f>IF($A1505="","",IF(OR(AC1505="Demandé",AC1505="Planifié",AC1505="Annulé"),0,N(T1505)*N(U1505)))</f>
        <v/>
      </c>
      <c r="W1505" s="70">
        <f>IF($A1505="","",SUMIFS('Mouvements stock'!$H$5:$H$3004,'Mouvements stock'!$I$5:$I$3004,$A1505,'Mouvements stock'!$C$5:$C$3004,"Sortie")-SUMIFS('Mouvements stock'!$H$5:$H$3004,'Mouvements stock'!$I$5:$I$3004,$A1505,'Mouvements stock'!$C$5:$C$3004,"Retour"))</f>
        <v/>
      </c>
      <c r="X1505" s="66" t="n"/>
      <c r="Y1505" s="66" t="n"/>
      <c r="Z1505" s="7" t="n"/>
      <c r="AA1505" s="70">
        <f>IF($A1505="","",N(V1505)+N(W1505)+N(X1505)+N(Y1505))</f>
        <v/>
      </c>
      <c r="AB1505" s="70">
        <f>IF($A1505="","",N(S1505)*'Paramètres'!$AA$9*IFERROR(INDEX('Paramètres'!$O$5:$O$7,MATCH(G1505,'Paramètres'!$N$5:$N$7,0)),0))</f>
        <v/>
      </c>
      <c r="AC1505" s="7" t="n"/>
      <c r="AD1505" s="69">
        <f>IF(OR($A1505="",Q1505=""),"",(Q1505-B1505)*24)</f>
        <v/>
      </c>
      <c r="AE1505" s="69">
        <f>IF(OR(Q1505="",R1505=""),"",(R1505-Q1505)*24)</f>
        <v/>
      </c>
      <c r="AF1505" s="77">
        <f>IF(OR($A1505="",B1505=""),"",YEAR(B1505))</f>
        <v/>
      </c>
      <c r="AG1505" s="77">
        <f>IF(OR($A1505="",B1505=""),"",MONTH(B1505))</f>
        <v/>
      </c>
    </row>
    <row r="1506">
      <c r="A1506" s="7" t="n"/>
      <c r="B1506" s="75" t="n"/>
      <c r="C1506" s="7" t="n"/>
      <c r="D1506" s="7" t="n"/>
      <c r="E1506" s="9">
        <f>IF(D1506="","",IFERROR(INDEX('Équipements'!$B$5:$B$304,MATCH(D1506,'Équipements'!$A$5:$A$304,0)),"Code inconnu"))</f>
        <v/>
      </c>
      <c r="F1506" s="9">
        <f>IF(D1506="","",IFERROR(INDEX('Équipements'!$D$5:$D$304,MATCH(D1506,'Équipements'!$A$5:$A$304,0)),""))</f>
        <v/>
      </c>
      <c r="G1506" s="9">
        <f>IF(D1506="","",IFERROR(INDEX('Équipements'!$K$5:$K$304,MATCH(D1506,'Équipements'!$A$5:$A$304,0)),""))</f>
        <v/>
      </c>
      <c r="H1506" s="7" t="n"/>
      <c r="I1506" s="7" t="n"/>
      <c r="J1506" s="7" t="n"/>
      <c r="K1506" s="7" t="n"/>
      <c r="L1506" s="7" t="n"/>
      <c r="M1506" s="7" t="n"/>
      <c r="N1506" s="7" t="n"/>
      <c r="O1506" s="7" t="n"/>
      <c r="P1506" s="65" t="n"/>
      <c r="Q1506" s="75" t="n"/>
      <c r="R1506" s="75" t="n"/>
      <c r="S1506" s="76" t="n"/>
      <c r="T1506" s="76" t="n"/>
      <c r="U1506" s="70">
        <f>IF($A1506="","",IFERROR(INDEX('Techniciens'!$F$5:$F$44,MATCH(O1506,'Techniciens'!$B$5:$B$44,0)),'Paramètres'!$AA$10))</f>
        <v/>
      </c>
      <c r="V1506" s="70">
        <f>IF($A1506="","",IF(OR(AC1506="Demandé",AC1506="Planifié",AC1506="Annulé"),0,N(T1506)*N(U1506)))</f>
        <v/>
      </c>
      <c r="W1506" s="70">
        <f>IF($A1506="","",SUMIFS('Mouvements stock'!$H$5:$H$3004,'Mouvements stock'!$I$5:$I$3004,$A1506,'Mouvements stock'!$C$5:$C$3004,"Sortie")-SUMIFS('Mouvements stock'!$H$5:$H$3004,'Mouvements stock'!$I$5:$I$3004,$A1506,'Mouvements stock'!$C$5:$C$3004,"Retour"))</f>
        <v/>
      </c>
      <c r="X1506" s="66" t="n"/>
      <c r="Y1506" s="66" t="n"/>
      <c r="Z1506" s="7" t="n"/>
      <c r="AA1506" s="70">
        <f>IF($A1506="","",N(V1506)+N(W1506)+N(X1506)+N(Y1506))</f>
        <v/>
      </c>
      <c r="AB1506" s="70">
        <f>IF($A1506="","",N(S1506)*'Paramètres'!$AA$9*IFERROR(INDEX('Paramètres'!$O$5:$O$7,MATCH(G1506,'Paramètres'!$N$5:$N$7,0)),0))</f>
        <v/>
      </c>
      <c r="AC1506" s="7" t="n"/>
      <c r="AD1506" s="69">
        <f>IF(OR($A1506="",Q1506=""),"",(Q1506-B1506)*24)</f>
        <v/>
      </c>
      <c r="AE1506" s="69">
        <f>IF(OR(Q1506="",R1506=""),"",(R1506-Q1506)*24)</f>
        <v/>
      </c>
      <c r="AF1506" s="77">
        <f>IF(OR($A1506="",B1506=""),"",YEAR(B1506))</f>
        <v/>
      </c>
      <c r="AG1506" s="77">
        <f>IF(OR($A1506="",B1506=""),"",MONTH(B1506))</f>
        <v/>
      </c>
    </row>
    <row r="1507">
      <c r="A1507" s="7" t="n"/>
      <c r="B1507" s="75" t="n"/>
      <c r="C1507" s="7" t="n"/>
      <c r="D1507" s="7" t="n"/>
      <c r="E1507" s="9">
        <f>IF(D1507="","",IFERROR(INDEX('Équipements'!$B$5:$B$304,MATCH(D1507,'Équipements'!$A$5:$A$304,0)),"Code inconnu"))</f>
        <v/>
      </c>
      <c r="F1507" s="9">
        <f>IF(D1507="","",IFERROR(INDEX('Équipements'!$D$5:$D$304,MATCH(D1507,'Équipements'!$A$5:$A$304,0)),""))</f>
        <v/>
      </c>
      <c r="G1507" s="9">
        <f>IF(D1507="","",IFERROR(INDEX('Équipements'!$K$5:$K$304,MATCH(D1507,'Équipements'!$A$5:$A$304,0)),""))</f>
        <v/>
      </c>
      <c r="H1507" s="7" t="n"/>
      <c r="I1507" s="7" t="n"/>
      <c r="J1507" s="7" t="n"/>
      <c r="K1507" s="7" t="n"/>
      <c r="L1507" s="7" t="n"/>
      <c r="M1507" s="7" t="n"/>
      <c r="N1507" s="7" t="n"/>
      <c r="O1507" s="7" t="n"/>
      <c r="P1507" s="65" t="n"/>
      <c r="Q1507" s="75" t="n"/>
      <c r="R1507" s="75" t="n"/>
      <c r="S1507" s="76" t="n"/>
      <c r="T1507" s="76" t="n"/>
      <c r="U1507" s="70">
        <f>IF($A1507="","",IFERROR(INDEX('Techniciens'!$F$5:$F$44,MATCH(O1507,'Techniciens'!$B$5:$B$44,0)),'Paramètres'!$AA$10))</f>
        <v/>
      </c>
      <c r="V1507" s="70">
        <f>IF($A1507="","",IF(OR(AC1507="Demandé",AC1507="Planifié",AC1507="Annulé"),0,N(T1507)*N(U1507)))</f>
        <v/>
      </c>
      <c r="W1507" s="70">
        <f>IF($A1507="","",SUMIFS('Mouvements stock'!$H$5:$H$3004,'Mouvements stock'!$I$5:$I$3004,$A1507,'Mouvements stock'!$C$5:$C$3004,"Sortie")-SUMIFS('Mouvements stock'!$H$5:$H$3004,'Mouvements stock'!$I$5:$I$3004,$A1507,'Mouvements stock'!$C$5:$C$3004,"Retour"))</f>
        <v/>
      </c>
      <c r="X1507" s="66" t="n"/>
      <c r="Y1507" s="66" t="n"/>
      <c r="Z1507" s="7" t="n"/>
      <c r="AA1507" s="70">
        <f>IF($A1507="","",N(V1507)+N(W1507)+N(X1507)+N(Y1507))</f>
        <v/>
      </c>
      <c r="AB1507" s="70">
        <f>IF($A1507="","",N(S1507)*'Paramètres'!$AA$9*IFERROR(INDEX('Paramètres'!$O$5:$O$7,MATCH(G1507,'Paramètres'!$N$5:$N$7,0)),0))</f>
        <v/>
      </c>
      <c r="AC1507" s="7" t="n"/>
      <c r="AD1507" s="69">
        <f>IF(OR($A1507="",Q1507=""),"",(Q1507-B1507)*24)</f>
        <v/>
      </c>
      <c r="AE1507" s="69">
        <f>IF(OR(Q1507="",R1507=""),"",(R1507-Q1507)*24)</f>
        <v/>
      </c>
      <c r="AF1507" s="77">
        <f>IF(OR($A1507="",B1507=""),"",YEAR(B1507))</f>
        <v/>
      </c>
      <c r="AG1507" s="77">
        <f>IF(OR($A1507="",B1507=""),"",MONTH(B1507))</f>
        <v/>
      </c>
    </row>
    <row r="1508">
      <c r="A1508" s="7" t="n"/>
      <c r="B1508" s="75" t="n"/>
      <c r="C1508" s="7" t="n"/>
      <c r="D1508" s="7" t="n"/>
      <c r="E1508" s="9">
        <f>IF(D1508="","",IFERROR(INDEX('Équipements'!$B$5:$B$304,MATCH(D1508,'Équipements'!$A$5:$A$304,0)),"Code inconnu"))</f>
        <v/>
      </c>
      <c r="F1508" s="9">
        <f>IF(D1508="","",IFERROR(INDEX('Équipements'!$D$5:$D$304,MATCH(D1508,'Équipements'!$A$5:$A$304,0)),""))</f>
        <v/>
      </c>
      <c r="G1508" s="9">
        <f>IF(D1508="","",IFERROR(INDEX('Équipements'!$K$5:$K$304,MATCH(D1508,'Équipements'!$A$5:$A$304,0)),""))</f>
        <v/>
      </c>
      <c r="H1508" s="7" t="n"/>
      <c r="I1508" s="7" t="n"/>
      <c r="J1508" s="7" t="n"/>
      <c r="K1508" s="7" t="n"/>
      <c r="L1508" s="7" t="n"/>
      <c r="M1508" s="7" t="n"/>
      <c r="N1508" s="7" t="n"/>
      <c r="O1508" s="7" t="n"/>
      <c r="P1508" s="65" t="n"/>
      <c r="Q1508" s="75" t="n"/>
      <c r="R1508" s="75" t="n"/>
      <c r="S1508" s="76" t="n"/>
      <c r="T1508" s="76" t="n"/>
      <c r="U1508" s="70">
        <f>IF($A1508="","",IFERROR(INDEX('Techniciens'!$F$5:$F$44,MATCH(O1508,'Techniciens'!$B$5:$B$44,0)),'Paramètres'!$AA$10))</f>
        <v/>
      </c>
      <c r="V1508" s="70">
        <f>IF($A1508="","",IF(OR(AC1508="Demandé",AC1508="Planifié",AC1508="Annulé"),0,N(T1508)*N(U1508)))</f>
        <v/>
      </c>
      <c r="W1508" s="70">
        <f>IF($A1508="","",SUMIFS('Mouvements stock'!$H$5:$H$3004,'Mouvements stock'!$I$5:$I$3004,$A1508,'Mouvements stock'!$C$5:$C$3004,"Sortie")-SUMIFS('Mouvements stock'!$H$5:$H$3004,'Mouvements stock'!$I$5:$I$3004,$A1508,'Mouvements stock'!$C$5:$C$3004,"Retour"))</f>
        <v/>
      </c>
      <c r="X1508" s="66" t="n"/>
      <c r="Y1508" s="66" t="n"/>
      <c r="Z1508" s="7" t="n"/>
      <c r="AA1508" s="70">
        <f>IF($A1508="","",N(V1508)+N(W1508)+N(X1508)+N(Y1508))</f>
        <v/>
      </c>
      <c r="AB1508" s="70">
        <f>IF($A1508="","",N(S1508)*'Paramètres'!$AA$9*IFERROR(INDEX('Paramètres'!$O$5:$O$7,MATCH(G1508,'Paramètres'!$N$5:$N$7,0)),0))</f>
        <v/>
      </c>
      <c r="AC1508" s="7" t="n"/>
      <c r="AD1508" s="69">
        <f>IF(OR($A1508="",Q1508=""),"",(Q1508-B1508)*24)</f>
        <v/>
      </c>
      <c r="AE1508" s="69">
        <f>IF(OR(Q1508="",R1508=""),"",(R1508-Q1508)*24)</f>
        <v/>
      </c>
      <c r="AF1508" s="77">
        <f>IF(OR($A1508="",B1508=""),"",YEAR(B1508))</f>
        <v/>
      </c>
      <c r="AG1508" s="77">
        <f>IF(OR($A1508="",B1508=""),"",MONTH(B1508))</f>
        <v/>
      </c>
    </row>
    <row r="1509">
      <c r="A1509" s="7" t="n"/>
      <c r="B1509" s="75" t="n"/>
      <c r="C1509" s="7" t="n"/>
      <c r="D1509" s="7" t="n"/>
      <c r="E1509" s="9">
        <f>IF(D1509="","",IFERROR(INDEX('Équipements'!$B$5:$B$304,MATCH(D1509,'Équipements'!$A$5:$A$304,0)),"Code inconnu"))</f>
        <v/>
      </c>
      <c r="F1509" s="9">
        <f>IF(D1509="","",IFERROR(INDEX('Équipements'!$D$5:$D$304,MATCH(D1509,'Équipements'!$A$5:$A$304,0)),""))</f>
        <v/>
      </c>
      <c r="G1509" s="9">
        <f>IF(D1509="","",IFERROR(INDEX('Équipements'!$K$5:$K$304,MATCH(D1509,'Équipements'!$A$5:$A$304,0)),""))</f>
        <v/>
      </c>
      <c r="H1509" s="7" t="n"/>
      <c r="I1509" s="7" t="n"/>
      <c r="J1509" s="7" t="n"/>
      <c r="K1509" s="7" t="n"/>
      <c r="L1509" s="7" t="n"/>
      <c r="M1509" s="7" t="n"/>
      <c r="N1509" s="7" t="n"/>
      <c r="O1509" s="7" t="n"/>
      <c r="P1509" s="65" t="n"/>
      <c r="Q1509" s="75" t="n"/>
      <c r="R1509" s="75" t="n"/>
      <c r="S1509" s="76" t="n"/>
      <c r="T1509" s="76" t="n"/>
      <c r="U1509" s="70">
        <f>IF($A1509="","",IFERROR(INDEX('Techniciens'!$F$5:$F$44,MATCH(O1509,'Techniciens'!$B$5:$B$44,0)),'Paramètres'!$AA$10))</f>
        <v/>
      </c>
      <c r="V1509" s="70">
        <f>IF($A1509="","",IF(OR(AC1509="Demandé",AC1509="Planifié",AC1509="Annulé"),0,N(T1509)*N(U1509)))</f>
        <v/>
      </c>
      <c r="W1509" s="70">
        <f>IF($A1509="","",SUMIFS('Mouvements stock'!$H$5:$H$3004,'Mouvements stock'!$I$5:$I$3004,$A1509,'Mouvements stock'!$C$5:$C$3004,"Sortie")-SUMIFS('Mouvements stock'!$H$5:$H$3004,'Mouvements stock'!$I$5:$I$3004,$A1509,'Mouvements stock'!$C$5:$C$3004,"Retour"))</f>
        <v/>
      </c>
      <c r="X1509" s="66" t="n"/>
      <c r="Y1509" s="66" t="n"/>
      <c r="Z1509" s="7" t="n"/>
      <c r="AA1509" s="70">
        <f>IF($A1509="","",N(V1509)+N(W1509)+N(X1509)+N(Y1509))</f>
        <v/>
      </c>
      <c r="AB1509" s="70">
        <f>IF($A1509="","",N(S1509)*'Paramètres'!$AA$9*IFERROR(INDEX('Paramètres'!$O$5:$O$7,MATCH(G1509,'Paramètres'!$N$5:$N$7,0)),0))</f>
        <v/>
      </c>
      <c r="AC1509" s="7" t="n"/>
      <c r="AD1509" s="69">
        <f>IF(OR($A1509="",Q1509=""),"",(Q1509-B1509)*24)</f>
        <v/>
      </c>
      <c r="AE1509" s="69">
        <f>IF(OR(Q1509="",R1509=""),"",(R1509-Q1509)*24)</f>
        <v/>
      </c>
      <c r="AF1509" s="77">
        <f>IF(OR($A1509="",B1509=""),"",YEAR(B1509))</f>
        <v/>
      </c>
      <c r="AG1509" s="77">
        <f>IF(OR($A1509="",B1509=""),"",MONTH(B1509))</f>
        <v/>
      </c>
    </row>
    <row r="1510">
      <c r="A1510" s="7" t="n"/>
      <c r="B1510" s="75" t="n"/>
      <c r="C1510" s="7" t="n"/>
      <c r="D1510" s="7" t="n"/>
      <c r="E1510" s="9">
        <f>IF(D1510="","",IFERROR(INDEX('Équipements'!$B$5:$B$304,MATCH(D1510,'Équipements'!$A$5:$A$304,0)),"Code inconnu"))</f>
        <v/>
      </c>
      <c r="F1510" s="9">
        <f>IF(D1510="","",IFERROR(INDEX('Équipements'!$D$5:$D$304,MATCH(D1510,'Équipements'!$A$5:$A$304,0)),""))</f>
        <v/>
      </c>
      <c r="G1510" s="9">
        <f>IF(D1510="","",IFERROR(INDEX('Équipements'!$K$5:$K$304,MATCH(D1510,'Équipements'!$A$5:$A$304,0)),""))</f>
        <v/>
      </c>
      <c r="H1510" s="7" t="n"/>
      <c r="I1510" s="7" t="n"/>
      <c r="J1510" s="7" t="n"/>
      <c r="K1510" s="7" t="n"/>
      <c r="L1510" s="7" t="n"/>
      <c r="M1510" s="7" t="n"/>
      <c r="N1510" s="7" t="n"/>
      <c r="O1510" s="7" t="n"/>
      <c r="P1510" s="65" t="n"/>
      <c r="Q1510" s="75" t="n"/>
      <c r="R1510" s="75" t="n"/>
      <c r="S1510" s="76" t="n"/>
      <c r="T1510" s="76" t="n"/>
      <c r="U1510" s="70">
        <f>IF($A1510="","",IFERROR(INDEX('Techniciens'!$F$5:$F$44,MATCH(O1510,'Techniciens'!$B$5:$B$44,0)),'Paramètres'!$AA$10))</f>
        <v/>
      </c>
      <c r="V1510" s="70">
        <f>IF($A1510="","",IF(OR(AC1510="Demandé",AC1510="Planifié",AC1510="Annulé"),0,N(T1510)*N(U1510)))</f>
        <v/>
      </c>
      <c r="W1510" s="70">
        <f>IF($A1510="","",SUMIFS('Mouvements stock'!$H$5:$H$3004,'Mouvements stock'!$I$5:$I$3004,$A1510,'Mouvements stock'!$C$5:$C$3004,"Sortie")-SUMIFS('Mouvements stock'!$H$5:$H$3004,'Mouvements stock'!$I$5:$I$3004,$A1510,'Mouvements stock'!$C$5:$C$3004,"Retour"))</f>
        <v/>
      </c>
      <c r="X1510" s="66" t="n"/>
      <c r="Y1510" s="66" t="n"/>
      <c r="Z1510" s="7" t="n"/>
      <c r="AA1510" s="70">
        <f>IF($A1510="","",N(V1510)+N(W1510)+N(X1510)+N(Y1510))</f>
        <v/>
      </c>
      <c r="AB1510" s="70">
        <f>IF($A1510="","",N(S1510)*'Paramètres'!$AA$9*IFERROR(INDEX('Paramètres'!$O$5:$O$7,MATCH(G1510,'Paramètres'!$N$5:$N$7,0)),0))</f>
        <v/>
      </c>
      <c r="AC1510" s="7" t="n"/>
      <c r="AD1510" s="69">
        <f>IF(OR($A1510="",Q1510=""),"",(Q1510-B1510)*24)</f>
        <v/>
      </c>
      <c r="AE1510" s="69">
        <f>IF(OR(Q1510="",R1510=""),"",(R1510-Q1510)*24)</f>
        <v/>
      </c>
      <c r="AF1510" s="77">
        <f>IF(OR($A1510="",B1510=""),"",YEAR(B1510))</f>
        <v/>
      </c>
      <c r="AG1510" s="77">
        <f>IF(OR($A1510="",B1510=""),"",MONTH(B1510))</f>
        <v/>
      </c>
    </row>
    <row r="1511">
      <c r="A1511" s="7" t="n"/>
      <c r="B1511" s="75" t="n"/>
      <c r="C1511" s="7" t="n"/>
      <c r="D1511" s="7" t="n"/>
      <c r="E1511" s="9">
        <f>IF(D1511="","",IFERROR(INDEX('Équipements'!$B$5:$B$304,MATCH(D1511,'Équipements'!$A$5:$A$304,0)),"Code inconnu"))</f>
        <v/>
      </c>
      <c r="F1511" s="9">
        <f>IF(D1511="","",IFERROR(INDEX('Équipements'!$D$5:$D$304,MATCH(D1511,'Équipements'!$A$5:$A$304,0)),""))</f>
        <v/>
      </c>
      <c r="G1511" s="9">
        <f>IF(D1511="","",IFERROR(INDEX('Équipements'!$K$5:$K$304,MATCH(D1511,'Équipements'!$A$5:$A$304,0)),""))</f>
        <v/>
      </c>
      <c r="H1511" s="7" t="n"/>
      <c r="I1511" s="7" t="n"/>
      <c r="J1511" s="7" t="n"/>
      <c r="K1511" s="7" t="n"/>
      <c r="L1511" s="7" t="n"/>
      <c r="M1511" s="7" t="n"/>
      <c r="N1511" s="7" t="n"/>
      <c r="O1511" s="7" t="n"/>
      <c r="P1511" s="65" t="n"/>
      <c r="Q1511" s="75" t="n"/>
      <c r="R1511" s="75" t="n"/>
      <c r="S1511" s="76" t="n"/>
      <c r="T1511" s="76" t="n"/>
      <c r="U1511" s="70">
        <f>IF($A1511="","",IFERROR(INDEX('Techniciens'!$F$5:$F$44,MATCH(O1511,'Techniciens'!$B$5:$B$44,0)),'Paramètres'!$AA$10))</f>
        <v/>
      </c>
      <c r="V1511" s="70">
        <f>IF($A1511="","",IF(OR(AC1511="Demandé",AC1511="Planifié",AC1511="Annulé"),0,N(T1511)*N(U1511)))</f>
        <v/>
      </c>
      <c r="W1511" s="70">
        <f>IF($A1511="","",SUMIFS('Mouvements stock'!$H$5:$H$3004,'Mouvements stock'!$I$5:$I$3004,$A1511,'Mouvements stock'!$C$5:$C$3004,"Sortie")-SUMIFS('Mouvements stock'!$H$5:$H$3004,'Mouvements stock'!$I$5:$I$3004,$A1511,'Mouvements stock'!$C$5:$C$3004,"Retour"))</f>
        <v/>
      </c>
      <c r="X1511" s="66" t="n"/>
      <c r="Y1511" s="66" t="n"/>
      <c r="Z1511" s="7" t="n"/>
      <c r="AA1511" s="70">
        <f>IF($A1511="","",N(V1511)+N(W1511)+N(X1511)+N(Y1511))</f>
        <v/>
      </c>
      <c r="AB1511" s="70">
        <f>IF($A1511="","",N(S1511)*'Paramètres'!$AA$9*IFERROR(INDEX('Paramètres'!$O$5:$O$7,MATCH(G1511,'Paramètres'!$N$5:$N$7,0)),0))</f>
        <v/>
      </c>
      <c r="AC1511" s="7" t="n"/>
      <c r="AD1511" s="69">
        <f>IF(OR($A1511="",Q1511=""),"",(Q1511-B1511)*24)</f>
        <v/>
      </c>
      <c r="AE1511" s="69">
        <f>IF(OR(Q1511="",R1511=""),"",(R1511-Q1511)*24)</f>
        <v/>
      </c>
      <c r="AF1511" s="77">
        <f>IF(OR($A1511="",B1511=""),"",YEAR(B1511))</f>
        <v/>
      </c>
      <c r="AG1511" s="77">
        <f>IF(OR($A1511="",B1511=""),"",MONTH(B1511))</f>
        <v/>
      </c>
    </row>
    <row r="1512">
      <c r="A1512" s="7" t="n"/>
      <c r="B1512" s="75" t="n"/>
      <c r="C1512" s="7" t="n"/>
      <c r="D1512" s="7" t="n"/>
      <c r="E1512" s="9">
        <f>IF(D1512="","",IFERROR(INDEX('Équipements'!$B$5:$B$304,MATCH(D1512,'Équipements'!$A$5:$A$304,0)),"Code inconnu"))</f>
        <v/>
      </c>
      <c r="F1512" s="9">
        <f>IF(D1512="","",IFERROR(INDEX('Équipements'!$D$5:$D$304,MATCH(D1512,'Équipements'!$A$5:$A$304,0)),""))</f>
        <v/>
      </c>
      <c r="G1512" s="9">
        <f>IF(D1512="","",IFERROR(INDEX('Équipements'!$K$5:$K$304,MATCH(D1512,'Équipements'!$A$5:$A$304,0)),""))</f>
        <v/>
      </c>
      <c r="H1512" s="7" t="n"/>
      <c r="I1512" s="7" t="n"/>
      <c r="J1512" s="7" t="n"/>
      <c r="K1512" s="7" t="n"/>
      <c r="L1512" s="7" t="n"/>
      <c r="M1512" s="7" t="n"/>
      <c r="N1512" s="7" t="n"/>
      <c r="O1512" s="7" t="n"/>
      <c r="P1512" s="65" t="n"/>
      <c r="Q1512" s="75" t="n"/>
      <c r="R1512" s="75" t="n"/>
      <c r="S1512" s="76" t="n"/>
      <c r="T1512" s="76" t="n"/>
      <c r="U1512" s="70">
        <f>IF($A1512="","",IFERROR(INDEX('Techniciens'!$F$5:$F$44,MATCH(O1512,'Techniciens'!$B$5:$B$44,0)),'Paramètres'!$AA$10))</f>
        <v/>
      </c>
      <c r="V1512" s="70">
        <f>IF($A1512="","",IF(OR(AC1512="Demandé",AC1512="Planifié",AC1512="Annulé"),0,N(T1512)*N(U1512)))</f>
        <v/>
      </c>
      <c r="W1512" s="70">
        <f>IF($A1512="","",SUMIFS('Mouvements stock'!$H$5:$H$3004,'Mouvements stock'!$I$5:$I$3004,$A1512,'Mouvements stock'!$C$5:$C$3004,"Sortie")-SUMIFS('Mouvements stock'!$H$5:$H$3004,'Mouvements stock'!$I$5:$I$3004,$A1512,'Mouvements stock'!$C$5:$C$3004,"Retour"))</f>
        <v/>
      </c>
      <c r="X1512" s="66" t="n"/>
      <c r="Y1512" s="66" t="n"/>
      <c r="Z1512" s="7" t="n"/>
      <c r="AA1512" s="70">
        <f>IF($A1512="","",N(V1512)+N(W1512)+N(X1512)+N(Y1512))</f>
        <v/>
      </c>
      <c r="AB1512" s="70">
        <f>IF($A1512="","",N(S1512)*'Paramètres'!$AA$9*IFERROR(INDEX('Paramètres'!$O$5:$O$7,MATCH(G1512,'Paramètres'!$N$5:$N$7,0)),0))</f>
        <v/>
      </c>
      <c r="AC1512" s="7" t="n"/>
      <c r="AD1512" s="69">
        <f>IF(OR($A1512="",Q1512=""),"",(Q1512-B1512)*24)</f>
        <v/>
      </c>
      <c r="AE1512" s="69">
        <f>IF(OR(Q1512="",R1512=""),"",(R1512-Q1512)*24)</f>
        <v/>
      </c>
      <c r="AF1512" s="77">
        <f>IF(OR($A1512="",B1512=""),"",YEAR(B1512))</f>
        <v/>
      </c>
      <c r="AG1512" s="77">
        <f>IF(OR($A1512="",B1512=""),"",MONTH(B1512))</f>
        <v/>
      </c>
    </row>
    <row r="1513">
      <c r="A1513" s="7" t="n"/>
      <c r="B1513" s="75" t="n"/>
      <c r="C1513" s="7" t="n"/>
      <c r="D1513" s="7" t="n"/>
      <c r="E1513" s="9">
        <f>IF(D1513="","",IFERROR(INDEX('Équipements'!$B$5:$B$304,MATCH(D1513,'Équipements'!$A$5:$A$304,0)),"Code inconnu"))</f>
        <v/>
      </c>
      <c r="F1513" s="9">
        <f>IF(D1513="","",IFERROR(INDEX('Équipements'!$D$5:$D$304,MATCH(D1513,'Équipements'!$A$5:$A$304,0)),""))</f>
        <v/>
      </c>
      <c r="G1513" s="9">
        <f>IF(D1513="","",IFERROR(INDEX('Équipements'!$K$5:$K$304,MATCH(D1513,'Équipements'!$A$5:$A$304,0)),""))</f>
        <v/>
      </c>
      <c r="H1513" s="7" t="n"/>
      <c r="I1513" s="7" t="n"/>
      <c r="J1513" s="7" t="n"/>
      <c r="K1513" s="7" t="n"/>
      <c r="L1513" s="7" t="n"/>
      <c r="M1513" s="7" t="n"/>
      <c r="N1513" s="7" t="n"/>
      <c r="O1513" s="7" t="n"/>
      <c r="P1513" s="65" t="n"/>
      <c r="Q1513" s="75" t="n"/>
      <c r="R1513" s="75" t="n"/>
      <c r="S1513" s="76" t="n"/>
      <c r="T1513" s="76" t="n"/>
      <c r="U1513" s="70">
        <f>IF($A1513="","",IFERROR(INDEX('Techniciens'!$F$5:$F$44,MATCH(O1513,'Techniciens'!$B$5:$B$44,0)),'Paramètres'!$AA$10))</f>
        <v/>
      </c>
      <c r="V1513" s="70">
        <f>IF($A1513="","",IF(OR(AC1513="Demandé",AC1513="Planifié",AC1513="Annulé"),0,N(T1513)*N(U1513)))</f>
        <v/>
      </c>
      <c r="W1513" s="70">
        <f>IF($A1513="","",SUMIFS('Mouvements stock'!$H$5:$H$3004,'Mouvements stock'!$I$5:$I$3004,$A1513,'Mouvements stock'!$C$5:$C$3004,"Sortie")-SUMIFS('Mouvements stock'!$H$5:$H$3004,'Mouvements stock'!$I$5:$I$3004,$A1513,'Mouvements stock'!$C$5:$C$3004,"Retour"))</f>
        <v/>
      </c>
      <c r="X1513" s="66" t="n"/>
      <c r="Y1513" s="66" t="n"/>
      <c r="Z1513" s="7" t="n"/>
      <c r="AA1513" s="70">
        <f>IF($A1513="","",N(V1513)+N(W1513)+N(X1513)+N(Y1513))</f>
        <v/>
      </c>
      <c r="AB1513" s="70">
        <f>IF($A1513="","",N(S1513)*'Paramètres'!$AA$9*IFERROR(INDEX('Paramètres'!$O$5:$O$7,MATCH(G1513,'Paramètres'!$N$5:$N$7,0)),0))</f>
        <v/>
      </c>
      <c r="AC1513" s="7" t="n"/>
      <c r="AD1513" s="69">
        <f>IF(OR($A1513="",Q1513=""),"",(Q1513-B1513)*24)</f>
        <v/>
      </c>
      <c r="AE1513" s="69">
        <f>IF(OR(Q1513="",R1513=""),"",(R1513-Q1513)*24)</f>
        <v/>
      </c>
      <c r="AF1513" s="77">
        <f>IF(OR($A1513="",B1513=""),"",YEAR(B1513))</f>
        <v/>
      </c>
      <c r="AG1513" s="77">
        <f>IF(OR($A1513="",B1513=""),"",MONTH(B1513))</f>
        <v/>
      </c>
    </row>
    <row r="1514">
      <c r="A1514" s="7" t="n"/>
      <c r="B1514" s="75" t="n"/>
      <c r="C1514" s="7" t="n"/>
      <c r="D1514" s="7" t="n"/>
      <c r="E1514" s="9">
        <f>IF(D1514="","",IFERROR(INDEX('Équipements'!$B$5:$B$304,MATCH(D1514,'Équipements'!$A$5:$A$304,0)),"Code inconnu"))</f>
        <v/>
      </c>
      <c r="F1514" s="9">
        <f>IF(D1514="","",IFERROR(INDEX('Équipements'!$D$5:$D$304,MATCH(D1514,'Équipements'!$A$5:$A$304,0)),""))</f>
        <v/>
      </c>
      <c r="G1514" s="9">
        <f>IF(D1514="","",IFERROR(INDEX('Équipements'!$K$5:$K$304,MATCH(D1514,'Équipements'!$A$5:$A$304,0)),""))</f>
        <v/>
      </c>
      <c r="H1514" s="7" t="n"/>
      <c r="I1514" s="7" t="n"/>
      <c r="J1514" s="7" t="n"/>
      <c r="K1514" s="7" t="n"/>
      <c r="L1514" s="7" t="n"/>
      <c r="M1514" s="7" t="n"/>
      <c r="N1514" s="7" t="n"/>
      <c r="O1514" s="7" t="n"/>
      <c r="P1514" s="65" t="n"/>
      <c r="Q1514" s="75" t="n"/>
      <c r="R1514" s="75" t="n"/>
      <c r="S1514" s="76" t="n"/>
      <c r="T1514" s="76" t="n"/>
      <c r="U1514" s="70">
        <f>IF($A1514="","",IFERROR(INDEX('Techniciens'!$F$5:$F$44,MATCH(O1514,'Techniciens'!$B$5:$B$44,0)),'Paramètres'!$AA$10))</f>
        <v/>
      </c>
      <c r="V1514" s="70">
        <f>IF($A1514="","",IF(OR(AC1514="Demandé",AC1514="Planifié",AC1514="Annulé"),0,N(T1514)*N(U1514)))</f>
        <v/>
      </c>
      <c r="W1514" s="70">
        <f>IF($A1514="","",SUMIFS('Mouvements stock'!$H$5:$H$3004,'Mouvements stock'!$I$5:$I$3004,$A1514,'Mouvements stock'!$C$5:$C$3004,"Sortie")-SUMIFS('Mouvements stock'!$H$5:$H$3004,'Mouvements stock'!$I$5:$I$3004,$A1514,'Mouvements stock'!$C$5:$C$3004,"Retour"))</f>
        <v/>
      </c>
      <c r="X1514" s="66" t="n"/>
      <c r="Y1514" s="66" t="n"/>
      <c r="Z1514" s="7" t="n"/>
      <c r="AA1514" s="70">
        <f>IF($A1514="","",N(V1514)+N(W1514)+N(X1514)+N(Y1514))</f>
        <v/>
      </c>
      <c r="AB1514" s="70">
        <f>IF($A1514="","",N(S1514)*'Paramètres'!$AA$9*IFERROR(INDEX('Paramètres'!$O$5:$O$7,MATCH(G1514,'Paramètres'!$N$5:$N$7,0)),0))</f>
        <v/>
      </c>
      <c r="AC1514" s="7" t="n"/>
      <c r="AD1514" s="69">
        <f>IF(OR($A1514="",Q1514=""),"",(Q1514-B1514)*24)</f>
        <v/>
      </c>
      <c r="AE1514" s="69">
        <f>IF(OR(Q1514="",R1514=""),"",(R1514-Q1514)*24)</f>
        <v/>
      </c>
      <c r="AF1514" s="77">
        <f>IF(OR($A1514="",B1514=""),"",YEAR(B1514))</f>
        <v/>
      </c>
      <c r="AG1514" s="77">
        <f>IF(OR($A1514="",B1514=""),"",MONTH(B1514))</f>
        <v/>
      </c>
    </row>
    <row r="1515">
      <c r="A1515" s="7" t="n"/>
      <c r="B1515" s="75" t="n"/>
      <c r="C1515" s="7" t="n"/>
      <c r="D1515" s="7" t="n"/>
      <c r="E1515" s="9">
        <f>IF(D1515="","",IFERROR(INDEX('Équipements'!$B$5:$B$304,MATCH(D1515,'Équipements'!$A$5:$A$304,0)),"Code inconnu"))</f>
        <v/>
      </c>
      <c r="F1515" s="9">
        <f>IF(D1515="","",IFERROR(INDEX('Équipements'!$D$5:$D$304,MATCH(D1515,'Équipements'!$A$5:$A$304,0)),""))</f>
        <v/>
      </c>
      <c r="G1515" s="9">
        <f>IF(D1515="","",IFERROR(INDEX('Équipements'!$K$5:$K$304,MATCH(D1515,'Équipements'!$A$5:$A$304,0)),""))</f>
        <v/>
      </c>
      <c r="H1515" s="7" t="n"/>
      <c r="I1515" s="7" t="n"/>
      <c r="J1515" s="7" t="n"/>
      <c r="K1515" s="7" t="n"/>
      <c r="L1515" s="7" t="n"/>
      <c r="M1515" s="7" t="n"/>
      <c r="N1515" s="7" t="n"/>
      <c r="O1515" s="7" t="n"/>
      <c r="P1515" s="65" t="n"/>
      <c r="Q1515" s="75" t="n"/>
      <c r="R1515" s="75" t="n"/>
      <c r="S1515" s="76" t="n"/>
      <c r="T1515" s="76" t="n"/>
      <c r="U1515" s="70">
        <f>IF($A1515="","",IFERROR(INDEX('Techniciens'!$F$5:$F$44,MATCH(O1515,'Techniciens'!$B$5:$B$44,0)),'Paramètres'!$AA$10))</f>
        <v/>
      </c>
      <c r="V1515" s="70">
        <f>IF($A1515="","",IF(OR(AC1515="Demandé",AC1515="Planifié",AC1515="Annulé"),0,N(T1515)*N(U1515)))</f>
        <v/>
      </c>
      <c r="W1515" s="70">
        <f>IF($A1515="","",SUMIFS('Mouvements stock'!$H$5:$H$3004,'Mouvements stock'!$I$5:$I$3004,$A1515,'Mouvements stock'!$C$5:$C$3004,"Sortie")-SUMIFS('Mouvements stock'!$H$5:$H$3004,'Mouvements stock'!$I$5:$I$3004,$A1515,'Mouvements stock'!$C$5:$C$3004,"Retour"))</f>
        <v/>
      </c>
      <c r="X1515" s="66" t="n"/>
      <c r="Y1515" s="66" t="n"/>
      <c r="Z1515" s="7" t="n"/>
      <c r="AA1515" s="70">
        <f>IF($A1515="","",N(V1515)+N(W1515)+N(X1515)+N(Y1515))</f>
        <v/>
      </c>
      <c r="AB1515" s="70">
        <f>IF($A1515="","",N(S1515)*'Paramètres'!$AA$9*IFERROR(INDEX('Paramètres'!$O$5:$O$7,MATCH(G1515,'Paramètres'!$N$5:$N$7,0)),0))</f>
        <v/>
      </c>
      <c r="AC1515" s="7" t="n"/>
      <c r="AD1515" s="69">
        <f>IF(OR($A1515="",Q1515=""),"",(Q1515-B1515)*24)</f>
        <v/>
      </c>
      <c r="AE1515" s="69">
        <f>IF(OR(Q1515="",R1515=""),"",(R1515-Q1515)*24)</f>
        <v/>
      </c>
      <c r="AF1515" s="77">
        <f>IF(OR($A1515="",B1515=""),"",YEAR(B1515))</f>
        <v/>
      </c>
      <c r="AG1515" s="77">
        <f>IF(OR($A1515="",B1515=""),"",MONTH(B1515))</f>
        <v/>
      </c>
    </row>
    <row r="1516">
      <c r="A1516" s="7" t="n"/>
      <c r="B1516" s="75" t="n"/>
      <c r="C1516" s="7" t="n"/>
      <c r="D1516" s="7" t="n"/>
      <c r="E1516" s="9">
        <f>IF(D1516="","",IFERROR(INDEX('Équipements'!$B$5:$B$304,MATCH(D1516,'Équipements'!$A$5:$A$304,0)),"Code inconnu"))</f>
        <v/>
      </c>
      <c r="F1516" s="9">
        <f>IF(D1516="","",IFERROR(INDEX('Équipements'!$D$5:$D$304,MATCH(D1516,'Équipements'!$A$5:$A$304,0)),""))</f>
        <v/>
      </c>
      <c r="G1516" s="9">
        <f>IF(D1516="","",IFERROR(INDEX('Équipements'!$K$5:$K$304,MATCH(D1516,'Équipements'!$A$5:$A$304,0)),""))</f>
        <v/>
      </c>
      <c r="H1516" s="7" t="n"/>
      <c r="I1516" s="7" t="n"/>
      <c r="J1516" s="7" t="n"/>
      <c r="K1516" s="7" t="n"/>
      <c r="L1516" s="7" t="n"/>
      <c r="M1516" s="7" t="n"/>
      <c r="N1516" s="7" t="n"/>
      <c r="O1516" s="7" t="n"/>
      <c r="P1516" s="65" t="n"/>
      <c r="Q1516" s="75" t="n"/>
      <c r="R1516" s="75" t="n"/>
      <c r="S1516" s="76" t="n"/>
      <c r="T1516" s="76" t="n"/>
      <c r="U1516" s="70">
        <f>IF($A1516="","",IFERROR(INDEX('Techniciens'!$F$5:$F$44,MATCH(O1516,'Techniciens'!$B$5:$B$44,0)),'Paramètres'!$AA$10))</f>
        <v/>
      </c>
      <c r="V1516" s="70">
        <f>IF($A1516="","",IF(OR(AC1516="Demandé",AC1516="Planifié",AC1516="Annulé"),0,N(T1516)*N(U1516)))</f>
        <v/>
      </c>
      <c r="W1516" s="70">
        <f>IF($A1516="","",SUMIFS('Mouvements stock'!$H$5:$H$3004,'Mouvements stock'!$I$5:$I$3004,$A1516,'Mouvements stock'!$C$5:$C$3004,"Sortie")-SUMIFS('Mouvements stock'!$H$5:$H$3004,'Mouvements stock'!$I$5:$I$3004,$A1516,'Mouvements stock'!$C$5:$C$3004,"Retour"))</f>
        <v/>
      </c>
      <c r="X1516" s="66" t="n"/>
      <c r="Y1516" s="66" t="n"/>
      <c r="Z1516" s="7" t="n"/>
      <c r="AA1516" s="70">
        <f>IF($A1516="","",N(V1516)+N(W1516)+N(X1516)+N(Y1516))</f>
        <v/>
      </c>
      <c r="AB1516" s="70">
        <f>IF($A1516="","",N(S1516)*'Paramètres'!$AA$9*IFERROR(INDEX('Paramètres'!$O$5:$O$7,MATCH(G1516,'Paramètres'!$N$5:$N$7,0)),0))</f>
        <v/>
      </c>
      <c r="AC1516" s="7" t="n"/>
      <c r="AD1516" s="69">
        <f>IF(OR($A1516="",Q1516=""),"",(Q1516-B1516)*24)</f>
        <v/>
      </c>
      <c r="AE1516" s="69">
        <f>IF(OR(Q1516="",R1516=""),"",(R1516-Q1516)*24)</f>
        <v/>
      </c>
      <c r="AF1516" s="77">
        <f>IF(OR($A1516="",B1516=""),"",YEAR(B1516))</f>
        <v/>
      </c>
      <c r="AG1516" s="77">
        <f>IF(OR($A1516="",B1516=""),"",MONTH(B1516))</f>
        <v/>
      </c>
    </row>
    <row r="1517">
      <c r="A1517" s="7" t="n"/>
      <c r="B1517" s="75" t="n"/>
      <c r="C1517" s="7" t="n"/>
      <c r="D1517" s="7" t="n"/>
      <c r="E1517" s="9">
        <f>IF(D1517="","",IFERROR(INDEX('Équipements'!$B$5:$B$304,MATCH(D1517,'Équipements'!$A$5:$A$304,0)),"Code inconnu"))</f>
        <v/>
      </c>
      <c r="F1517" s="9">
        <f>IF(D1517="","",IFERROR(INDEX('Équipements'!$D$5:$D$304,MATCH(D1517,'Équipements'!$A$5:$A$304,0)),""))</f>
        <v/>
      </c>
      <c r="G1517" s="9">
        <f>IF(D1517="","",IFERROR(INDEX('Équipements'!$K$5:$K$304,MATCH(D1517,'Équipements'!$A$5:$A$304,0)),""))</f>
        <v/>
      </c>
      <c r="H1517" s="7" t="n"/>
      <c r="I1517" s="7" t="n"/>
      <c r="J1517" s="7" t="n"/>
      <c r="K1517" s="7" t="n"/>
      <c r="L1517" s="7" t="n"/>
      <c r="M1517" s="7" t="n"/>
      <c r="N1517" s="7" t="n"/>
      <c r="O1517" s="7" t="n"/>
      <c r="P1517" s="65" t="n"/>
      <c r="Q1517" s="75" t="n"/>
      <c r="R1517" s="75" t="n"/>
      <c r="S1517" s="76" t="n"/>
      <c r="T1517" s="76" t="n"/>
      <c r="U1517" s="70">
        <f>IF($A1517="","",IFERROR(INDEX('Techniciens'!$F$5:$F$44,MATCH(O1517,'Techniciens'!$B$5:$B$44,0)),'Paramètres'!$AA$10))</f>
        <v/>
      </c>
      <c r="V1517" s="70">
        <f>IF($A1517="","",IF(OR(AC1517="Demandé",AC1517="Planifié",AC1517="Annulé"),0,N(T1517)*N(U1517)))</f>
        <v/>
      </c>
      <c r="W1517" s="70">
        <f>IF($A1517="","",SUMIFS('Mouvements stock'!$H$5:$H$3004,'Mouvements stock'!$I$5:$I$3004,$A1517,'Mouvements stock'!$C$5:$C$3004,"Sortie")-SUMIFS('Mouvements stock'!$H$5:$H$3004,'Mouvements stock'!$I$5:$I$3004,$A1517,'Mouvements stock'!$C$5:$C$3004,"Retour"))</f>
        <v/>
      </c>
      <c r="X1517" s="66" t="n"/>
      <c r="Y1517" s="66" t="n"/>
      <c r="Z1517" s="7" t="n"/>
      <c r="AA1517" s="70">
        <f>IF($A1517="","",N(V1517)+N(W1517)+N(X1517)+N(Y1517))</f>
        <v/>
      </c>
      <c r="AB1517" s="70">
        <f>IF($A1517="","",N(S1517)*'Paramètres'!$AA$9*IFERROR(INDEX('Paramètres'!$O$5:$O$7,MATCH(G1517,'Paramètres'!$N$5:$N$7,0)),0))</f>
        <v/>
      </c>
      <c r="AC1517" s="7" t="n"/>
      <c r="AD1517" s="69">
        <f>IF(OR($A1517="",Q1517=""),"",(Q1517-B1517)*24)</f>
        <v/>
      </c>
      <c r="AE1517" s="69">
        <f>IF(OR(Q1517="",R1517=""),"",(R1517-Q1517)*24)</f>
        <v/>
      </c>
      <c r="AF1517" s="77">
        <f>IF(OR($A1517="",B1517=""),"",YEAR(B1517))</f>
        <v/>
      </c>
      <c r="AG1517" s="77">
        <f>IF(OR($A1517="",B1517=""),"",MONTH(B1517))</f>
        <v/>
      </c>
    </row>
    <row r="1518">
      <c r="A1518" s="7" t="n"/>
      <c r="B1518" s="75" t="n"/>
      <c r="C1518" s="7" t="n"/>
      <c r="D1518" s="7" t="n"/>
      <c r="E1518" s="9">
        <f>IF(D1518="","",IFERROR(INDEX('Équipements'!$B$5:$B$304,MATCH(D1518,'Équipements'!$A$5:$A$304,0)),"Code inconnu"))</f>
        <v/>
      </c>
      <c r="F1518" s="9">
        <f>IF(D1518="","",IFERROR(INDEX('Équipements'!$D$5:$D$304,MATCH(D1518,'Équipements'!$A$5:$A$304,0)),""))</f>
        <v/>
      </c>
      <c r="G1518" s="9">
        <f>IF(D1518="","",IFERROR(INDEX('Équipements'!$K$5:$K$304,MATCH(D1518,'Équipements'!$A$5:$A$304,0)),""))</f>
        <v/>
      </c>
      <c r="H1518" s="7" t="n"/>
      <c r="I1518" s="7" t="n"/>
      <c r="J1518" s="7" t="n"/>
      <c r="K1518" s="7" t="n"/>
      <c r="L1518" s="7" t="n"/>
      <c r="M1518" s="7" t="n"/>
      <c r="N1518" s="7" t="n"/>
      <c r="O1518" s="7" t="n"/>
      <c r="P1518" s="65" t="n"/>
      <c r="Q1518" s="75" t="n"/>
      <c r="R1518" s="75" t="n"/>
      <c r="S1518" s="76" t="n"/>
      <c r="T1518" s="76" t="n"/>
      <c r="U1518" s="70">
        <f>IF($A1518="","",IFERROR(INDEX('Techniciens'!$F$5:$F$44,MATCH(O1518,'Techniciens'!$B$5:$B$44,0)),'Paramètres'!$AA$10))</f>
        <v/>
      </c>
      <c r="V1518" s="70">
        <f>IF($A1518="","",IF(OR(AC1518="Demandé",AC1518="Planifié",AC1518="Annulé"),0,N(T1518)*N(U1518)))</f>
        <v/>
      </c>
      <c r="W1518" s="70">
        <f>IF($A1518="","",SUMIFS('Mouvements stock'!$H$5:$H$3004,'Mouvements stock'!$I$5:$I$3004,$A1518,'Mouvements stock'!$C$5:$C$3004,"Sortie")-SUMIFS('Mouvements stock'!$H$5:$H$3004,'Mouvements stock'!$I$5:$I$3004,$A1518,'Mouvements stock'!$C$5:$C$3004,"Retour"))</f>
        <v/>
      </c>
      <c r="X1518" s="66" t="n"/>
      <c r="Y1518" s="66" t="n"/>
      <c r="Z1518" s="7" t="n"/>
      <c r="AA1518" s="70">
        <f>IF($A1518="","",N(V1518)+N(W1518)+N(X1518)+N(Y1518))</f>
        <v/>
      </c>
      <c r="AB1518" s="70">
        <f>IF($A1518="","",N(S1518)*'Paramètres'!$AA$9*IFERROR(INDEX('Paramètres'!$O$5:$O$7,MATCH(G1518,'Paramètres'!$N$5:$N$7,0)),0))</f>
        <v/>
      </c>
      <c r="AC1518" s="7" t="n"/>
      <c r="AD1518" s="69">
        <f>IF(OR($A1518="",Q1518=""),"",(Q1518-B1518)*24)</f>
        <v/>
      </c>
      <c r="AE1518" s="69">
        <f>IF(OR(Q1518="",R1518=""),"",(R1518-Q1518)*24)</f>
        <v/>
      </c>
      <c r="AF1518" s="77">
        <f>IF(OR($A1518="",B1518=""),"",YEAR(B1518))</f>
        <v/>
      </c>
      <c r="AG1518" s="77">
        <f>IF(OR($A1518="",B1518=""),"",MONTH(B1518))</f>
        <v/>
      </c>
    </row>
    <row r="1519">
      <c r="A1519" s="7" t="n"/>
      <c r="B1519" s="75" t="n"/>
      <c r="C1519" s="7" t="n"/>
      <c r="D1519" s="7" t="n"/>
      <c r="E1519" s="9">
        <f>IF(D1519="","",IFERROR(INDEX('Équipements'!$B$5:$B$304,MATCH(D1519,'Équipements'!$A$5:$A$304,0)),"Code inconnu"))</f>
        <v/>
      </c>
      <c r="F1519" s="9">
        <f>IF(D1519="","",IFERROR(INDEX('Équipements'!$D$5:$D$304,MATCH(D1519,'Équipements'!$A$5:$A$304,0)),""))</f>
        <v/>
      </c>
      <c r="G1519" s="9">
        <f>IF(D1519="","",IFERROR(INDEX('Équipements'!$K$5:$K$304,MATCH(D1519,'Équipements'!$A$5:$A$304,0)),""))</f>
        <v/>
      </c>
      <c r="H1519" s="7" t="n"/>
      <c r="I1519" s="7" t="n"/>
      <c r="J1519" s="7" t="n"/>
      <c r="K1519" s="7" t="n"/>
      <c r="L1519" s="7" t="n"/>
      <c r="M1519" s="7" t="n"/>
      <c r="N1519" s="7" t="n"/>
      <c r="O1519" s="7" t="n"/>
      <c r="P1519" s="65" t="n"/>
      <c r="Q1519" s="75" t="n"/>
      <c r="R1519" s="75" t="n"/>
      <c r="S1519" s="76" t="n"/>
      <c r="T1519" s="76" t="n"/>
      <c r="U1519" s="70">
        <f>IF($A1519="","",IFERROR(INDEX('Techniciens'!$F$5:$F$44,MATCH(O1519,'Techniciens'!$B$5:$B$44,0)),'Paramètres'!$AA$10))</f>
        <v/>
      </c>
      <c r="V1519" s="70">
        <f>IF($A1519="","",IF(OR(AC1519="Demandé",AC1519="Planifié",AC1519="Annulé"),0,N(T1519)*N(U1519)))</f>
        <v/>
      </c>
      <c r="W1519" s="70">
        <f>IF($A1519="","",SUMIFS('Mouvements stock'!$H$5:$H$3004,'Mouvements stock'!$I$5:$I$3004,$A1519,'Mouvements stock'!$C$5:$C$3004,"Sortie")-SUMIFS('Mouvements stock'!$H$5:$H$3004,'Mouvements stock'!$I$5:$I$3004,$A1519,'Mouvements stock'!$C$5:$C$3004,"Retour"))</f>
        <v/>
      </c>
      <c r="X1519" s="66" t="n"/>
      <c r="Y1519" s="66" t="n"/>
      <c r="Z1519" s="7" t="n"/>
      <c r="AA1519" s="70">
        <f>IF($A1519="","",N(V1519)+N(W1519)+N(X1519)+N(Y1519))</f>
        <v/>
      </c>
      <c r="AB1519" s="70">
        <f>IF($A1519="","",N(S1519)*'Paramètres'!$AA$9*IFERROR(INDEX('Paramètres'!$O$5:$O$7,MATCH(G1519,'Paramètres'!$N$5:$N$7,0)),0))</f>
        <v/>
      </c>
      <c r="AC1519" s="7" t="n"/>
      <c r="AD1519" s="69">
        <f>IF(OR($A1519="",Q1519=""),"",(Q1519-B1519)*24)</f>
        <v/>
      </c>
      <c r="AE1519" s="69">
        <f>IF(OR(Q1519="",R1519=""),"",(R1519-Q1519)*24)</f>
        <v/>
      </c>
      <c r="AF1519" s="77">
        <f>IF(OR($A1519="",B1519=""),"",YEAR(B1519))</f>
        <v/>
      </c>
      <c r="AG1519" s="77">
        <f>IF(OR($A1519="",B1519=""),"",MONTH(B1519))</f>
        <v/>
      </c>
    </row>
    <row r="1520">
      <c r="A1520" s="7" t="n"/>
      <c r="B1520" s="75" t="n"/>
      <c r="C1520" s="7" t="n"/>
      <c r="D1520" s="7" t="n"/>
      <c r="E1520" s="9">
        <f>IF(D1520="","",IFERROR(INDEX('Équipements'!$B$5:$B$304,MATCH(D1520,'Équipements'!$A$5:$A$304,0)),"Code inconnu"))</f>
        <v/>
      </c>
      <c r="F1520" s="9">
        <f>IF(D1520="","",IFERROR(INDEX('Équipements'!$D$5:$D$304,MATCH(D1520,'Équipements'!$A$5:$A$304,0)),""))</f>
        <v/>
      </c>
      <c r="G1520" s="9">
        <f>IF(D1520="","",IFERROR(INDEX('Équipements'!$K$5:$K$304,MATCH(D1520,'Équipements'!$A$5:$A$304,0)),""))</f>
        <v/>
      </c>
      <c r="H1520" s="7" t="n"/>
      <c r="I1520" s="7" t="n"/>
      <c r="J1520" s="7" t="n"/>
      <c r="K1520" s="7" t="n"/>
      <c r="L1520" s="7" t="n"/>
      <c r="M1520" s="7" t="n"/>
      <c r="N1520" s="7" t="n"/>
      <c r="O1520" s="7" t="n"/>
      <c r="P1520" s="65" t="n"/>
      <c r="Q1520" s="75" t="n"/>
      <c r="R1520" s="75" t="n"/>
      <c r="S1520" s="76" t="n"/>
      <c r="T1520" s="76" t="n"/>
      <c r="U1520" s="70">
        <f>IF($A1520="","",IFERROR(INDEX('Techniciens'!$F$5:$F$44,MATCH(O1520,'Techniciens'!$B$5:$B$44,0)),'Paramètres'!$AA$10))</f>
        <v/>
      </c>
      <c r="V1520" s="70">
        <f>IF($A1520="","",IF(OR(AC1520="Demandé",AC1520="Planifié",AC1520="Annulé"),0,N(T1520)*N(U1520)))</f>
        <v/>
      </c>
      <c r="W1520" s="70">
        <f>IF($A1520="","",SUMIFS('Mouvements stock'!$H$5:$H$3004,'Mouvements stock'!$I$5:$I$3004,$A1520,'Mouvements stock'!$C$5:$C$3004,"Sortie")-SUMIFS('Mouvements stock'!$H$5:$H$3004,'Mouvements stock'!$I$5:$I$3004,$A1520,'Mouvements stock'!$C$5:$C$3004,"Retour"))</f>
        <v/>
      </c>
      <c r="X1520" s="66" t="n"/>
      <c r="Y1520" s="66" t="n"/>
      <c r="Z1520" s="7" t="n"/>
      <c r="AA1520" s="70">
        <f>IF($A1520="","",N(V1520)+N(W1520)+N(X1520)+N(Y1520))</f>
        <v/>
      </c>
      <c r="AB1520" s="70">
        <f>IF($A1520="","",N(S1520)*'Paramètres'!$AA$9*IFERROR(INDEX('Paramètres'!$O$5:$O$7,MATCH(G1520,'Paramètres'!$N$5:$N$7,0)),0))</f>
        <v/>
      </c>
      <c r="AC1520" s="7" t="n"/>
      <c r="AD1520" s="69">
        <f>IF(OR($A1520="",Q1520=""),"",(Q1520-B1520)*24)</f>
        <v/>
      </c>
      <c r="AE1520" s="69">
        <f>IF(OR(Q1520="",R1520=""),"",(R1520-Q1520)*24)</f>
        <v/>
      </c>
      <c r="AF1520" s="77">
        <f>IF(OR($A1520="",B1520=""),"",YEAR(B1520))</f>
        <v/>
      </c>
      <c r="AG1520" s="77">
        <f>IF(OR($A1520="",B1520=""),"",MONTH(B1520))</f>
        <v/>
      </c>
    </row>
    <row r="1521">
      <c r="A1521" s="7" t="n"/>
      <c r="B1521" s="75" t="n"/>
      <c r="C1521" s="7" t="n"/>
      <c r="D1521" s="7" t="n"/>
      <c r="E1521" s="9">
        <f>IF(D1521="","",IFERROR(INDEX('Équipements'!$B$5:$B$304,MATCH(D1521,'Équipements'!$A$5:$A$304,0)),"Code inconnu"))</f>
        <v/>
      </c>
      <c r="F1521" s="9">
        <f>IF(D1521="","",IFERROR(INDEX('Équipements'!$D$5:$D$304,MATCH(D1521,'Équipements'!$A$5:$A$304,0)),""))</f>
        <v/>
      </c>
      <c r="G1521" s="9">
        <f>IF(D1521="","",IFERROR(INDEX('Équipements'!$K$5:$K$304,MATCH(D1521,'Équipements'!$A$5:$A$304,0)),""))</f>
        <v/>
      </c>
      <c r="H1521" s="7" t="n"/>
      <c r="I1521" s="7" t="n"/>
      <c r="J1521" s="7" t="n"/>
      <c r="K1521" s="7" t="n"/>
      <c r="L1521" s="7" t="n"/>
      <c r="M1521" s="7" t="n"/>
      <c r="N1521" s="7" t="n"/>
      <c r="O1521" s="7" t="n"/>
      <c r="P1521" s="65" t="n"/>
      <c r="Q1521" s="75" t="n"/>
      <c r="R1521" s="75" t="n"/>
      <c r="S1521" s="76" t="n"/>
      <c r="T1521" s="76" t="n"/>
      <c r="U1521" s="70">
        <f>IF($A1521="","",IFERROR(INDEX('Techniciens'!$F$5:$F$44,MATCH(O1521,'Techniciens'!$B$5:$B$44,0)),'Paramètres'!$AA$10))</f>
        <v/>
      </c>
      <c r="V1521" s="70">
        <f>IF($A1521="","",IF(OR(AC1521="Demandé",AC1521="Planifié",AC1521="Annulé"),0,N(T1521)*N(U1521)))</f>
        <v/>
      </c>
      <c r="W1521" s="70">
        <f>IF($A1521="","",SUMIFS('Mouvements stock'!$H$5:$H$3004,'Mouvements stock'!$I$5:$I$3004,$A1521,'Mouvements stock'!$C$5:$C$3004,"Sortie")-SUMIFS('Mouvements stock'!$H$5:$H$3004,'Mouvements stock'!$I$5:$I$3004,$A1521,'Mouvements stock'!$C$5:$C$3004,"Retour"))</f>
        <v/>
      </c>
      <c r="X1521" s="66" t="n"/>
      <c r="Y1521" s="66" t="n"/>
      <c r="Z1521" s="7" t="n"/>
      <c r="AA1521" s="70">
        <f>IF($A1521="","",N(V1521)+N(W1521)+N(X1521)+N(Y1521))</f>
        <v/>
      </c>
      <c r="AB1521" s="70">
        <f>IF($A1521="","",N(S1521)*'Paramètres'!$AA$9*IFERROR(INDEX('Paramètres'!$O$5:$O$7,MATCH(G1521,'Paramètres'!$N$5:$N$7,0)),0))</f>
        <v/>
      </c>
      <c r="AC1521" s="7" t="n"/>
      <c r="AD1521" s="69">
        <f>IF(OR($A1521="",Q1521=""),"",(Q1521-B1521)*24)</f>
        <v/>
      </c>
      <c r="AE1521" s="69">
        <f>IF(OR(Q1521="",R1521=""),"",(R1521-Q1521)*24)</f>
        <v/>
      </c>
      <c r="AF1521" s="77">
        <f>IF(OR($A1521="",B1521=""),"",YEAR(B1521))</f>
        <v/>
      </c>
      <c r="AG1521" s="77">
        <f>IF(OR($A1521="",B1521=""),"",MONTH(B1521))</f>
        <v/>
      </c>
    </row>
    <row r="1522">
      <c r="A1522" s="7" t="n"/>
      <c r="B1522" s="75" t="n"/>
      <c r="C1522" s="7" t="n"/>
      <c r="D1522" s="7" t="n"/>
      <c r="E1522" s="9">
        <f>IF(D1522="","",IFERROR(INDEX('Équipements'!$B$5:$B$304,MATCH(D1522,'Équipements'!$A$5:$A$304,0)),"Code inconnu"))</f>
        <v/>
      </c>
      <c r="F1522" s="9">
        <f>IF(D1522="","",IFERROR(INDEX('Équipements'!$D$5:$D$304,MATCH(D1522,'Équipements'!$A$5:$A$304,0)),""))</f>
        <v/>
      </c>
      <c r="G1522" s="9">
        <f>IF(D1522="","",IFERROR(INDEX('Équipements'!$K$5:$K$304,MATCH(D1522,'Équipements'!$A$5:$A$304,0)),""))</f>
        <v/>
      </c>
      <c r="H1522" s="7" t="n"/>
      <c r="I1522" s="7" t="n"/>
      <c r="J1522" s="7" t="n"/>
      <c r="K1522" s="7" t="n"/>
      <c r="L1522" s="7" t="n"/>
      <c r="M1522" s="7" t="n"/>
      <c r="N1522" s="7" t="n"/>
      <c r="O1522" s="7" t="n"/>
      <c r="P1522" s="65" t="n"/>
      <c r="Q1522" s="75" t="n"/>
      <c r="R1522" s="75" t="n"/>
      <c r="S1522" s="76" t="n"/>
      <c r="T1522" s="76" t="n"/>
      <c r="U1522" s="70">
        <f>IF($A1522="","",IFERROR(INDEX('Techniciens'!$F$5:$F$44,MATCH(O1522,'Techniciens'!$B$5:$B$44,0)),'Paramètres'!$AA$10))</f>
        <v/>
      </c>
      <c r="V1522" s="70">
        <f>IF($A1522="","",IF(OR(AC1522="Demandé",AC1522="Planifié",AC1522="Annulé"),0,N(T1522)*N(U1522)))</f>
        <v/>
      </c>
      <c r="W1522" s="70">
        <f>IF($A1522="","",SUMIFS('Mouvements stock'!$H$5:$H$3004,'Mouvements stock'!$I$5:$I$3004,$A1522,'Mouvements stock'!$C$5:$C$3004,"Sortie")-SUMIFS('Mouvements stock'!$H$5:$H$3004,'Mouvements stock'!$I$5:$I$3004,$A1522,'Mouvements stock'!$C$5:$C$3004,"Retour"))</f>
        <v/>
      </c>
      <c r="X1522" s="66" t="n"/>
      <c r="Y1522" s="66" t="n"/>
      <c r="Z1522" s="7" t="n"/>
      <c r="AA1522" s="70">
        <f>IF($A1522="","",N(V1522)+N(W1522)+N(X1522)+N(Y1522))</f>
        <v/>
      </c>
      <c r="AB1522" s="70">
        <f>IF($A1522="","",N(S1522)*'Paramètres'!$AA$9*IFERROR(INDEX('Paramètres'!$O$5:$O$7,MATCH(G1522,'Paramètres'!$N$5:$N$7,0)),0))</f>
        <v/>
      </c>
      <c r="AC1522" s="7" t="n"/>
      <c r="AD1522" s="69">
        <f>IF(OR($A1522="",Q1522=""),"",(Q1522-B1522)*24)</f>
        <v/>
      </c>
      <c r="AE1522" s="69">
        <f>IF(OR(Q1522="",R1522=""),"",(R1522-Q1522)*24)</f>
        <v/>
      </c>
      <c r="AF1522" s="77">
        <f>IF(OR($A1522="",B1522=""),"",YEAR(B1522))</f>
        <v/>
      </c>
      <c r="AG1522" s="77">
        <f>IF(OR($A1522="",B1522=""),"",MONTH(B1522))</f>
        <v/>
      </c>
    </row>
    <row r="1523">
      <c r="A1523" s="7" t="n"/>
      <c r="B1523" s="75" t="n"/>
      <c r="C1523" s="7" t="n"/>
      <c r="D1523" s="7" t="n"/>
      <c r="E1523" s="9">
        <f>IF(D1523="","",IFERROR(INDEX('Équipements'!$B$5:$B$304,MATCH(D1523,'Équipements'!$A$5:$A$304,0)),"Code inconnu"))</f>
        <v/>
      </c>
      <c r="F1523" s="9">
        <f>IF(D1523="","",IFERROR(INDEX('Équipements'!$D$5:$D$304,MATCH(D1523,'Équipements'!$A$5:$A$304,0)),""))</f>
        <v/>
      </c>
      <c r="G1523" s="9">
        <f>IF(D1523="","",IFERROR(INDEX('Équipements'!$K$5:$K$304,MATCH(D1523,'Équipements'!$A$5:$A$304,0)),""))</f>
        <v/>
      </c>
      <c r="H1523" s="7" t="n"/>
      <c r="I1523" s="7" t="n"/>
      <c r="J1523" s="7" t="n"/>
      <c r="K1523" s="7" t="n"/>
      <c r="L1523" s="7" t="n"/>
      <c r="M1523" s="7" t="n"/>
      <c r="N1523" s="7" t="n"/>
      <c r="O1523" s="7" t="n"/>
      <c r="P1523" s="65" t="n"/>
      <c r="Q1523" s="75" t="n"/>
      <c r="R1523" s="75" t="n"/>
      <c r="S1523" s="76" t="n"/>
      <c r="T1523" s="76" t="n"/>
      <c r="U1523" s="70">
        <f>IF($A1523="","",IFERROR(INDEX('Techniciens'!$F$5:$F$44,MATCH(O1523,'Techniciens'!$B$5:$B$44,0)),'Paramètres'!$AA$10))</f>
        <v/>
      </c>
      <c r="V1523" s="70">
        <f>IF($A1523="","",IF(OR(AC1523="Demandé",AC1523="Planifié",AC1523="Annulé"),0,N(T1523)*N(U1523)))</f>
        <v/>
      </c>
      <c r="W1523" s="70">
        <f>IF($A1523="","",SUMIFS('Mouvements stock'!$H$5:$H$3004,'Mouvements stock'!$I$5:$I$3004,$A1523,'Mouvements stock'!$C$5:$C$3004,"Sortie")-SUMIFS('Mouvements stock'!$H$5:$H$3004,'Mouvements stock'!$I$5:$I$3004,$A1523,'Mouvements stock'!$C$5:$C$3004,"Retour"))</f>
        <v/>
      </c>
      <c r="X1523" s="66" t="n"/>
      <c r="Y1523" s="66" t="n"/>
      <c r="Z1523" s="7" t="n"/>
      <c r="AA1523" s="70">
        <f>IF($A1523="","",N(V1523)+N(W1523)+N(X1523)+N(Y1523))</f>
        <v/>
      </c>
      <c r="AB1523" s="70">
        <f>IF($A1523="","",N(S1523)*'Paramètres'!$AA$9*IFERROR(INDEX('Paramètres'!$O$5:$O$7,MATCH(G1523,'Paramètres'!$N$5:$N$7,0)),0))</f>
        <v/>
      </c>
      <c r="AC1523" s="7" t="n"/>
      <c r="AD1523" s="69">
        <f>IF(OR($A1523="",Q1523=""),"",(Q1523-B1523)*24)</f>
        <v/>
      </c>
      <c r="AE1523" s="69">
        <f>IF(OR(Q1523="",R1523=""),"",(R1523-Q1523)*24)</f>
        <v/>
      </c>
      <c r="AF1523" s="77">
        <f>IF(OR($A1523="",B1523=""),"",YEAR(B1523))</f>
        <v/>
      </c>
      <c r="AG1523" s="77">
        <f>IF(OR($A1523="",B1523=""),"",MONTH(B1523))</f>
        <v/>
      </c>
    </row>
    <row r="1524">
      <c r="A1524" s="7" t="n"/>
      <c r="B1524" s="75" t="n"/>
      <c r="C1524" s="7" t="n"/>
      <c r="D1524" s="7" t="n"/>
      <c r="E1524" s="9">
        <f>IF(D1524="","",IFERROR(INDEX('Équipements'!$B$5:$B$304,MATCH(D1524,'Équipements'!$A$5:$A$304,0)),"Code inconnu"))</f>
        <v/>
      </c>
      <c r="F1524" s="9">
        <f>IF(D1524="","",IFERROR(INDEX('Équipements'!$D$5:$D$304,MATCH(D1524,'Équipements'!$A$5:$A$304,0)),""))</f>
        <v/>
      </c>
      <c r="G1524" s="9">
        <f>IF(D1524="","",IFERROR(INDEX('Équipements'!$K$5:$K$304,MATCH(D1524,'Équipements'!$A$5:$A$304,0)),""))</f>
        <v/>
      </c>
      <c r="H1524" s="7" t="n"/>
      <c r="I1524" s="7" t="n"/>
      <c r="J1524" s="7" t="n"/>
      <c r="K1524" s="7" t="n"/>
      <c r="L1524" s="7" t="n"/>
      <c r="M1524" s="7" t="n"/>
      <c r="N1524" s="7" t="n"/>
      <c r="O1524" s="7" t="n"/>
      <c r="P1524" s="65" t="n"/>
      <c r="Q1524" s="75" t="n"/>
      <c r="R1524" s="75" t="n"/>
      <c r="S1524" s="76" t="n"/>
      <c r="T1524" s="76" t="n"/>
      <c r="U1524" s="70">
        <f>IF($A1524="","",IFERROR(INDEX('Techniciens'!$F$5:$F$44,MATCH(O1524,'Techniciens'!$B$5:$B$44,0)),'Paramètres'!$AA$10))</f>
        <v/>
      </c>
      <c r="V1524" s="70">
        <f>IF($A1524="","",IF(OR(AC1524="Demandé",AC1524="Planifié",AC1524="Annulé"),0,N(T1524)*N(U1524)))</f>
        <v/>
      </c>
      <c r="W1524" s="70">
        <f>IF($A1524="","",SUMIFS('Mouvements stock'!$H$5:$H$3004,'Mouvements stock'!$I$5:$I$3004,$A1524,'Mouvements stock'!$C$5:$C$3004,"Sortie")-SUMIFS('Mouvements stock'!$H$5:$H$3004,'Mouvements stock'!$I$5:$I$3004,$A1524,'Mouvements stock'!$C$5:$C$3004,"Retour"))</f>
        <v/>
      </c>
      <c r="X1524" s="66" t="n"/>
      <c r="Y1524" s="66" t="n"/>
      <c r="Z1524" s="7" t="n"/>
      <c r="AA1524" s="70">
        <f>IF($A1524="","",N(V1524)+N(W1524)+N(X1524)+N(Y1524))</f>
        <v/>
      </c>
      <c r="AB1524" s="70">
        <f>IF($A1524="","",N(S1524)*'Paramètres'!$AA$9*IFERROR(INDEX('Paramètres'!$O$5:$O$7,MATCH(G1524,'Paramètres'!$N$5:$N$7,0)),0))</f>
        <v/>
      </c>
      <c r="AC1524" s="7" t="n"/>
      <c r="AD1524" s="69">
        <f>IF(OR($A1524="",Q1524=""),"",(Q1524-B1524)*24)</f>
        <v/>
      </c>
      <c r="AE1524" s="69">
        <f>IF(OR(Q1524="",R1524=""),"",(R1524-Q1524)*24)</f>
        <v/>
      </c>
      <c r="AF1524" s="77">
        <f>IF(OR($A1524="",B1524=""),"",YEAR(B1524))</f>
        <v/>
      </c>
      <c r="AG1524" s="77">
        <f>IF(OR($A1524="",B1524=""),"",MONTH(B1524))</f>
        <v/>
      </c>
    </row>
    <row r="1525">
      <c r="A1525" s="7" t="n"/>
      <c r="B1525" s="75" t="n"/>
      <c r="C1525" s="7" t="n"/>
      <c r="D1525" s="7" t="n"/>
      <c r="E1525" s="9">
        <f>IF(D1525="","",IFERROR(INDEX('Équipements'!$B$5:$B$304,MATCH(D1525,'Équipements'!$A$5:$A$304,0)),"Code inconnu"))</f>
        <v/>
      </c>
      <c r="F1525" s="9">
        <f>IF(D1525="","",IFERROR(INDEX('Équipements'!$D$5:$D$304,MATCH(D1525,'Équipements'!$A$5:$A$304,0)),""))</f>
        <v/>
      </c>
      <c r="G1525" s="9">
        <f>IF(D1525="","",IFERROR(INDEX('Équipements'!$K$5:$K$304,MATCH(D1525,'Équipements'!$A$5:$A$304,0)),""))</f>
        <v/>
      </c>
      <c r="H1525" s="7" t="n"/>
      <c r="I1525" s="7" t="n"/>
      <c r="J1525" s="7" t="n"/>
      <c r="K1525" s="7" t="n"/>
      <c r="L1525" s="7" t="n"/>
      <c r="M1525" s="7" t="n"/>
      <c r="N1525" s="7" t="n"/>
      <c r="O1525" s="7" t="n"/>
      <c r="P1525" s="65" t="n"/>
      <c r="Q1525" s="75" t="n"/>
      <c r="R1525" s="75" t="n"/>
      <c r="S1525" s="76" t="n"/>
      <c r="T1525" s="76" t="n"/>
      <c r="U1525" s="70">
        <f>IF($A1525="","",IFERROR(INDEX('Techniciens'!$F$5:$F$44,MATCH(O1525,'Techniciens'!$B$5:$B$44,0)),'Paramètres'!$AA$10))</f>
        <v/>
      </c>
      <c r="V1525" s="70">
        <f>IF($A1525="","",IF(OR(AC1525="Demandé",AC1525="Planifié",AC1525="Annulé"),0,N(T1525)*N(U1525)))</f>
        <v/>
      </c>
      <c r="W1525" s="70">
        <f>IF($A1525="","",SUMIFS('Mouvements stock'!$H$5:$H$3004,'Mouvements stock'!$I$5:$I$3004,$A1525,'Mouvements stock'!$C$5:$C$3004,"Sortie")-SUMIFS('Mouvements stock'!$H$5:$H$3004,'Mouvements stock'!$I$5:$I$3004,$A1525,'Mouvements stock'!$C$5:$C$3004,"Retour"))</f>
        <v/>
      </c>
      <c r="X1525" s="66" t="n"/>
      <c r="Y1525" s="66" t="n"/>
      <c r="Z1525" s="7" t="n"/>
      <c r="AA1525" s="70">
        <f>IF($A1525="","",N(V1525)+N(W1525)+N(X1525)+N(Y1525))</f>
        <v/>
      </c>
      <c r="AB1525" s="70">
        <f>IF($A1525="","",N(S1525)*'Paramètres'!$AA$9*IFERROR(INDEX('Paramètres'!$O$5:$O$7,MATCH(G1525,'Paramètres'!$N$5:$N$7,0)),0))</f>
        <v/>
      </c>
      <c r="AC1525" s="7" t="n"/>
      <c r="AD1525" s="69">
        <f>IF(OR($A1525="",Q1525=""),"",(Q1525-B1525)*24)</f>
        <v/>
      </c>
      <c r="AE1525" s="69">
        <f>IF(OR(Q1525="",R1525=""),"",(R1525-Q1525)*24)</f>
        <v/>
      </c>
      <c r="AF1525" s="77">
        <f>IF(OR($A1525="",B1525=""),"",YEAR(B1525))</f>
        <v/>
      </c>
      <c r="AG1525" s="77">
        <f>IF(OR($A1525="",B1525=""),"",MONTH(B1525))</f>
        <v/>
      </c>
    </row>
    <row r="1526">
      <c r="A1526" s="7" t="n"/>
      <c r="B1526" s="75" t="n"/>
      <c r="C1526" s="7" t="n"/>
      <c r="D1526" s="7" t="n"/>
      <c r="E1526" s="9">
        <f>IF(D1526="","",IFERROR(INDEX('Équipements'!$B$5:$B$304,MATCH(D1526,'Équipements'!$A$5:$A$304,0)),"Code inconnu"))</f>
        <v/>
      </c>
      <c r="F1526" s="9">
        <f>IF(D1526="","",IFERROR(INDEX('Équipements'!$D$5:$D$304,MATCH(D1526,'Équipements'!$A$5:$A$304,0)),""))</f>
        <v/>
      </c>
      <c r="G1526" s="9">
        <f>IF(D1526="","",IFERROR(INDEX('Équipements'!$K$5:$K$304,MATCH(D1526,'Équipements'!$A$5:$A$304,0)),""))</f>
        <v/>
      </c>
      <c r="H1526" s="7" t="n"/>
      <c r="I1526" s="7" t="n"/>
      <c r="J1526" s="7" t="n"/>
      <c r="K1526" s="7" t="n"/>
      <c r="L1526" s="7" t="n"/>
      <c r="M1526" s="7" t="n"/>
      <c r="N1526" s="7" t="n"/>
      <c r="O1526" s="7" t="n"/>
      <c r="P1526" s="65" t="n"/>
      <c r="Q1526" s="75" t="n"/>
      <c r="R1526" s="75" t="n"/>
      <c r="S1526" s="76" t="n"/>
      <c r="T1526" s="76" t="n"/>
      <c r="U1526" s="70">
        <f>IF($A1526="","",IFERROR(INDEX('Techniciens'!$F$5:$F$44,MATCH(O1526,'Techniciens'!$B$5:$B$44,0)),'Paramètres'!$AA$10))</f>
        <v/>
      </c>
      <c r="V1526" s="70">
        <f>IF($A1526="","",IF(OR(AC1526="Demandé",AC1526="Planifié",AC1526="Annulé"),0,N(T1526)*N(U1526)))</f>
        <v/>
      </c>
      <c r="W1526" s="70">
        <f>IF($A1526="","",SUMIFS('Mouvements stock'!$H$5:$H$3004,'Mouvements stock'!$I$5:$I$3004,$A1526,'Mouvements stock'!$C$5:$C$3004,"Sortie")-SUMIFS('Mouvements stock'!$H$5:$H$3004,'Mouvements stock'!$I$5:$I$3004,$A1526,'Mouvements stock'!$C$5:$C$3004,"Retour"))</f>
        <v/>
      </c>
      <c r="X1526" s="66" t="n"/>
      <c r="Y1526" s="66" t="n"/>
      <c r="Z1526" s="7" t="n"/>
      <c r="AA1526" s="70">
        <f>IF($A1526="","",N(V1526)+N(W1526)+N(X1526)+N(Y1526))</f>
        <v/>
      </c>
      <c r="AB1526" s="70">
        <f>IF($A1526="","",N(S1526)*'Paramètres'!$AA$9*IFERROR(INDEX('Paramètres'!$O$5:$O$7,MATCH(G1526,'Paramètres'!$N$5:$N$7,0)),0))</f>
        <v/>
      </c>
      <c r="AC1526" s="7" t="n"/>
      <c r="AD1526" s="69">
        <f>IF(OR($A1526="",Q1526=""),"",(Q1526-B1526)*24)</f>
        <v/>
      </c>
      <c r="AE1526" s="69">
        <f>IF(OR(Q1526="",R1526=""),"",(R1526-Q1526)*24)</f>
        <v/>
      </c>
      <c r="AF1526" s="77">
        <f>IF(OR($A1526="",B1526=""),"",YEAR(B1526))</f>
        <v/>
      </c>
      <c r="AG1526" s="77">
        <f>IF(OR($A1526="",B1526=""),"",MONTH(B1526))</f>
        <v/>
      </c>
    </row>
    <row r="1527">
      <c r="A1527" s="7" t="n"/>
      <c r="B1527" s="75" t="n"/>
      <c r="C1527" s="7" t="n"/>
      <c r="D1527" s="7" t="n"/>
      <c r="E1527" s="9">
        <f>IF(D1527="","",IFERROR(INDEX('Équipements'!$B$5:$B$304,MATCH(D1527,'Équipements'!$A$5:$A$304,0)),"Code inconnu"))</f>
        <v/>
      </c>
      <c r="F1527" s="9">
        <f>IF(D1527="","",IFERROR(INDEX('Équipements'!$D$5:$D$304,MATCH(D1527,'Équipements'!$A$5:$A$304,0)),""))</f>
        <v/>
      </c>
      <c r="G1527" s="9">
        <f>IF(D1527="","",IFERROR(INDEX('Équipements'!$K$5:$K$304,MATCH(D1527,'Équipements'!$A$5:$A$304,0)),""))</f>
        <v/>
      </c>
      <c r="H1527" s="7" t="n"/>
      <c r="I1527" s="7" t="n"/>
      <c r="J1527" s="7" t="n"/>
      <c r="K1527" s="7" t="n"/>
      <c r="L1527" s="7" t="n"/>
      <c r="M1527" s="7" t="n"/>
      <c r="N1527" s="7" t="n"/>
      <c r="O1527" s="7" t="n"/>
      <c r="P1527" s="65" t="n"/>
      <c r="Q1527" s="75" t="n"/>
      <c r="R1527" s="75" t="n"/>
      <c r="S1527" s="76" t="n"/>
      <c r="T1527" s="76" t="n"/>
      <c r="U1527" s="70">
        <f>IF($A1527="","",IFERROR(INDEX('Techniciens'!$F$5:$F$44,MATCH(O1527,'Techniciens'!$B$5:$B$44,0)),'Paramètres'!$AA$10))</f>
        <v/>
      </c>
      <c r="V1527" s="70">
        <f>IF($A1527="","",IF(OR(AC1527="Demandé",AC1527="Planifié",AC1527="Annulé"),0,N(T1527)*N(U1527)))</f>
        <v/>
      </c>
      <c r="W1527" s="70">
        <f>IF($A1527="","",SUMIFS('Mouvements stock'!$H$5:$H$3004,'Mouvements stock'!$I$5:$I$3004,$A1527,'Mouvements stock'!$C$5:$C$3004,"Sortie")-SUMIFS('Mouvements stock'!$H$5:$H$3004,'Mouvements stock'!$I$5:$I$3004,$A1527,'Mouvements stock'!$C$5:$C$3004,"Retour"))</f>
        <v/>
      </c>
      <c r="X1527" s="66" t="n"/>
      <c r="Y1527" s="66" t="n"/>
      <c r="Z1527" s="7" t="n"/>
      <c r="AA1527" s="70">
        <f>IF($A1527="","",N(V1527)+N(W1527)+N(X1527)+N(Y1527))</f>
        <v/>
      </c>
      <c r="AB1527" s="70">
        <f>IF($A1527="","",N(S1527)*'Paramètres'!$AA$9*IFERROR(INDEX('Paramètres'!$O$5:$O$7,MATCH(G1527,'Paramètres'!$N$5:$N$7,0)),0))</f>
        <v/>
      </c>
      <c r="AC1527" s="7" t="n"/>
      <c r="AD1527" s="69">
        <f>IF(OR($A1527="",Q1527=""),"",(Q1527-B1527)*24)</f>
        <v/>
      </c>
      <c r="AE1527" s="69">
        <f>IF(OR(Q1527="",R1527=""),"",(R1527-Q1527)*24)</f>
        <v/>
      </c>
      <c r="AF1527" s="77">
        <f>IF(OR($A1527="",B1527=""),"",YEAR(B1527))</f>
        <v/>
      </c>
      <c r="AG1527" s="77">
        <f>IF(OR($A1527="",B1527=""),"",MONTH(B1527))</f>
        <v/>
      </c>
    </row>
    <row r="1528">
      <c r="A1528" s="7" t="n"/>
      <c r="B1528" s="75" t="n"/>
      <c r="C1528" s="7" t="n"/>
      <c r="D1528" s="7" t="n"/>
      <c r="E1528" s="9">
        <f>IF(D1528="","",IFERROR(INDEX('Équipements'!$B$5:$B$304,MATCH(D1528,'Équipements'!$A$5:$A$304,0)),"Code inconnu"))</f>
        <v/>
      </c>
      <c r="F1528" s="9">
        <f>IF(D1528="","",IFERROR(INDEX('Équipements'!$D$5:$D$304,MATCH(D1528,'Équipements'!$A$5:$A$304,0)),""))</f>
        <v/>
      </c>
      <c r="G1528" s="9">
        <f>IF(D1528="","",IFERROR(INDEX('Équipements'!$K$5:$K$304,MATCH(D1528,'Équipements'!$A$5:$A$304,0)),""))</f>
        <v/>
      </c>
      <c r="H1528" s="7" t="n"/>
      <c r="I1528" s="7" t="n"/>
      <c r="J1528" s="7" t="n"/>
      <c r="K1528" s="7" t="n"/>
      <c r="L1528" s="7" t="n"/>
      <c r="M1528" s="7" t="n"/>
      <c r="N1528" s="7" t="n"/>
      <c r="O1528" s="7" t="n"/>
      <c r="P1528" s="65" t="n"/>
      <c r="Q1528" s="75" t="n"/>
      <c r="R1528" s="75" t="n"/>
      <c r="S1528" s="76" t="n"/>
      <c r="T1528" s="76" t="n"/>
      <c r="U1528" s="70">
        <f>IF($A1528="","",IFERROR(INDEX('Techniciens'!$F$5:$F$44,MATCH(O1528,'Techniciens'!$B$5:$B$44,0)),'Paramètres'!$AA$10))</f>
        <v/>
      </c>
      <c r="V1528" s="70">
        <f>IF($A1528="","",IF(OR(AC1528="Demandé",AC1528="Planifié",AC1528="Annulé"),0,N(T1528)*N(U1528)))</f>
        <v/>
      </c>
      <c r="W1528" s="70">
        <f>IF($A1528="","",SUMIFS('Mouvements stock'!$H$5:$H$3004,'Mouvements stock'!$I$5:$I$3004,$A1528,'Mouvements stock'!$C$5:$C$3004,"Sortie")-SUMIFS('Mouvements stock'!$H$5:$H$3004,'Mouvements stock'!$I$5:$I$3004,$A1528,'Mouvements stock'!$C$5:$C$3004,"Retour"))</f>
        <v/>
      </c>
      <c r="X1528" s="66" t="n"/>
      <c r="Y1528" s="66" t="n"/>
      <c r="Z1528" s="7" t="n"/>
      <c r="AA1528" s="70">
        <f>IF($A1528="","",N(V1528)+N(W1528)+N(X1528)+N(Y1528))</f>
        <v/>
      </c>
      <c r="AB1528" s="70">
        <f>IF($A1528="","",N(S1528)*'Paramètres'!$AA$9*IFERROR(INDEX('Paramètres'!$O$5:$O$7,MATCH(G1528,'Paramètres'!$N$5:$N$7,0)),0))</f>
        <v/>
      </c>
      <c r="AC1528" s="7" t="n"/>
      <c r="AD1528" s="69">
        <f>IF(OR($A1528="",Q1528=""),"",(Q1528-B1528)*24)</f>
        <v/>
      </c>
      <c r="AE1528" s="69">
        <f>IF(OR(Q1528="",R1528=""),"",(R1528-Q1528)*24)</f>
        <v/>
      </c>
      <c r="AF1528" s="77">
        <f>IF(OR($A1528="",B1528=""),"",YEAR(B1528))</f>
        <v/>
      </c>
      <c r="AG1528" s="77">
        <f>IF(OR($A1528="",B1528=""),"",MONTH(B1528))</f>
        <v/>
      </c>
    </row>
    <row r="1529">
      <c r="A1529" s="7" t="n"/>
      <c r="B1529" s="75" t="n"/>
      <c r="C1529" s="7" t="n"/>
      <c r="D1529" s="7" t="n"/>
      <c r="E1529" s="9">
        <f>IF(D1529="","",IFERROR(INDEX('Équipements'!$B$5:$B$304,MATCH(D1529,'Équipements'!$A$5:$A$304,0)),"Code inconnu"))</f>
        <v/>
      </c>
      <c r="F1529" s="9">
        <f>IF(D1529="","",IFERROR(INDEX('Équipements'!$D$5:$D$304,MATCH(D1529,'Équipements'!$A$5:$A$304,0)),""))</f>
        <v/>
      </c>
      <c r="G1529" s="9">
        <f>IF(D1529="","",IFERROR(INDEX('Équipements'!$K$5:$K$304,MATCH(D1529,'Équipements'!$A$5:$A$304,0)),""))</f>
        <v/>
      </c>
      <c r="H1529" s="7" t="n"/>
      <c r="I1529" s="7" t="n"/>
      <c r="J1529" s="7" t="n"/>
      <c r="K1529" s="7" t="n"/>
      <c r="L1529" s="7" t="n"/>
      <c r="M1529" s="7" t="n"/>
      <c r="N1529" s="7" t="n"/>
      <c r="O1529" s="7" t="n"/>
      <c r="P1529" s="65" t="n"/>
      <c r="Q1529" s="75" t="n"/>
      <c r="R1529" s="75" t="n"/>
      <c r="S1529" s="76" t="n"/>
      <c r="T1529" s="76" t="n"/>
      <c r="U1529" s="70">
        <f>IF($A1529="","",IFERROR(INDEX('Techniciens'!$F$5:$F$44,MATCH(O1529,'Techniciens'!$B$5:$B$44,0)),'Paramètres'!$AA$10))</f>
        <v/>
      </c>
      <c r="V1529" s="70">
        <f>IF($A1529="","",IF(OR(AC1529="Demandé",AC1529="Planifié",AC1529="Annulé"),0,N(T1529)*N(U1529)))</f>
        <v/>
      </c>
      <c r="W1529" s="70">
        <f>IF($A1529="","",SUMIFS('Mouvements stock'!$H$5:$H$3004,'Mouvements stock'!$I$5:$I$3004,$A1529,'Mouvements stock'!$C$5:$C$3004,"Sortie")-SUMIFS('Mouvements stock'!$H$5:$H$3004,'Mouvements stock'!$I$5:$I$3004,$A1529,'Mouvements stock'!$C$5:$C$3004,"Retour"))</f>
        <v/>
      </c>
      <c r="X1529" s="66" t="n"/>
      <c r="Y1529" s="66" t="n"/>
      <c r="Z1529" s="7" t="n"/>
      <c r="AA1529" s="70">
        <f>IF($A1529="","",N(V1529)+N(W1529)+N(X1529)+N(Y1529))</f>
        <v/>
      </c>
      <c r="AB1529" s="70">
        <f>IF($A1529="","",N(S1529)*'Paramètres'!$AA$9*IFERROR(INDEX('Paramètres'!$O$5:$O$7,MATCH(G1529,'Paramètres'!$N$5:$N$7,0)),0))</f>
        <v/>
      </c>
      <c r="AC1529" s="7" t="n"/>
      <c r="AD1529" s="69">
        <f>IF(OR($A1529="",Q1529=""),"",(Q1529-B1529)*24)</f>
        <v/>
      </c>
      <c r="AE1529" s="69">
        <f>IF(OR(Q1529="",R1529=""),"",(R1529-Q1529)*24)</f>
        <v/>
      </c>
      <c r="AF1529" s="77">
        <f>IF(OR($A1529="",B1529=""),"",YEAR(B1529))</f>
        <v/>
      </c>
      <c r="AG1529" s="77">
        <f>IF(OR($A1529="",B1529=""),"",MONTH(B1529))</f>
        <v/>
      </c>
    </row>
    <row r="1530">
      <c r="A1530" s="7" t="n"/>
      <c r="B1530" s="75" t="n"/>
      <c r="C1530" s="7" t="n"/>
      <c r="D1530" s="7" t="n"/>
      <c r="E1530" s="9">
        <f>IF(D1530="","",IFERROR(INDEX('Équipements'!$B$5:$B$304,MATCH(D1530,'Équipements'!$A$5:$A$304,0)),"Code inconnu"))</f>
        <v/>
      </c>
      <c r="F1530" s="9">
        <f>IF(D1530="","",IFERROR(INDEX('Équipements'!$D$5:$D$304,MATCH(D1530,'Équipements'!$A$5:$A$304,0)),""))</f>
        <v/>
      </c>
      <c r="G1530" s="9">
        <f>IF(D1530="","",IFERROR(INDEX('Équipements'!$K$5:$K$304,MATCH(D1530,'Équipements'!$A$5:$A$304,0)),""))</f>
        <v/>
      </c>
      <c r="H1530" s="7" t="n"/>
      <c r="I1530" s="7" t="n"/>
      <c r="J1530" s="7" t="n"/>
      <c r="K1530" s="7" t="n"/>
      <c r="L1530" s="7" t="n"/>
      <c r="M1530" s="7" t="n"/>
      <c r="N1530" s="7" t="n"/>
      <c r="O1530" s="7" t="n"/>
      <c r="P1530" s="65" t="n"/>
      <c r="Q1530" s="75" t="n"/>
      <c r="R1530" s="75" t="n"/>
      <c r="S1530" s="76" t="n"/>
      <c r="T1530" s="76" t="n"/>
      <c r="U1530" s="70">
        <f>IF($A1530="","",IFERROR(INDEX('Techniciens'!$F$5:$F$44,MATCH(O1530,'Techniciens'!$B$5:$B$44,0)),'Paramètres'!$AA$10))</f>
        <v/>
      </c>
      <c r="V1530" s="70">
        <f>IF($A1530="","",IF(OR(AC1530="Demandé",AC1530="Planifié",AC1530="Annulé"),0,N(T1530)*N(U1530)))</f>
        <v/>
      </c>
      <c r="W1530" s="70">
        <f>IF($A1530="","",SUMIFS('Mouvements stock'!$H$5:$H$3004,'Mouvements stock'!$I$5:$I$3004,$A1530,'Mouvements stock'!$C$5:$C$3004,"Sortie")-SUMIFS('Mouvements stock'!$H$5:$H$3004,'Mouvements stock'!$I$5:$I$3004,$A1530,'Mouvements stock'!$C$5:$C$3004,"Retour"))</f>
        <v/>
      </c>
      <c r="X1530" s="66" t="n"/>
      <c r="Y1530" s="66" t="n"/>
      <c r="Z1530" s="7" t="n"/>
      <c r="AA1530" s="70">
        <f>IF($A1530="","",N(V1530)+N(W1530)+N(X1530)+N(Y1530))</f>
        <v/>
      </c>
      <c r="AB1530" s="70">
        <f>IF($A1530="","",N(S1530)*'Paramètres'!$AA$9*IFERROR(INDEX('Paramètres'!$O$5:$O$7,MATCH(G1530,'Paramètres'!$N$5:$N$7,0)),0))</f>
        <v/>
      </c>
      <c r="AC1530" s="7" t="n"/>
      <c r="AD1530" s="69">
        <f>IF(OR($A1530="",Q1530=""),"",(Q1530-B1530)*24)</f>
        <v/>
      </c>
      <c r="AE1530" s="69">
        <f>IF(OR(Q1530="",R1530=""),"",(R1530-Q1530)*24)</f>
        <v/>
      </c>
      <c r="AF1530" s="77">
        <f>IF(OR($A1530="",B1530=""),"",YEAR(B1530))</f>
        <v/>
      </c>
      <c r="AG1530" s="77">
        <f>IF(OR($A1530="",B1530=""),"",MONTH(B1530))</f>
        <v/>
      </c>
    </row>
    <row r="1531">
      <c r="A1531" s="7" t="n"/>
      <c r="B1531" s="75" t="n"/>
      <c r="C1531" s="7" t="n"/>
      <c r="D1531" s="7" t="n"/>
      <c r="E1531" s="9">
        <f>IF(D1531="","",IFERROR(INDEX('Équipements'!$B$5:$B$304,MATCH(D1531,'Équipements'!$A$5:$A$304,0)),"Code inconnu"))</f>
        <v/>
      </c>
      <c r="F1531" s="9">
        <f>IF(D1531="","",IFERROR(INDEX('Équipements'!$D$5:$D$304,MATCH(D1531,'Équipements'!$A$5:$A$304,0)),""))</f>
        <v/>
      </c>
      <c r="G1531" s="9">
        <f>IF(D1531="","",IFERROR(INDEX('Équipements'!$K$5:$K$304,MATCH(D1531,'Équipements'!$A$5:$A$304,0)),""))</f>
        <v/>
      </c>
      <c r="H1531" s="7" t="n"/>
      <c r="I1531" s="7" t="n"/>
      <c r="J1531" s="7" t="n"/>
      <c r="K1531" s="7" t="n"/>
      <c r="L1531" s="7" t="n"/>
      <c r="M1531" s="7" t="n"/>
      <c r="N1531" s="7" t="n"/>
      <c r="O1531" s="7" t="n"/>
      <c r="P1531" s="65" t="n"/>
      <c r="Q1531" s="75" t="n"/>
      <c r="R1531" s="75" t="n"/>
      <c r="S1531" s="76" t="n"/>
      <c r="T1531" s="76" t="n"/>
      <c r="U1531" s="70">
        <f>IF($A1531="","",IFERROR(INDEX('Techniciens'!$F$5:$F$44,MATCH(O1531,'Techniciens'!$B$5:$B$44,0)),'Paramètres'!$AA$10))</f>
        <v/>
      </c>
      <c r="V1531" s="70">
        <f>IF($A1531="","",IF(OR(AC1531="Demandé",AC1531="Planifié",AC1531="Annulé"),0,N(T1531)*N(U1531)))</f>
        <v/>
      </c>
      <c r="W1531" s="70">
        <f>IF($A1531="","",SUMIFS('Mouvements stock'!$H$5:$H$3004,'Mouvements stock'!$I$5:$I$3004,$A1531,'Mouvements stock'!$C$5:$C$3004,"Sortie")-SUMIFS('Mouvements stock'!$H$5:$H$3004,'Mouvements stock'!$I$5:$I$3004,$A1531,'Mouvements stock'!$C$5:$C$3004,"Retour"))</f>
        <v/>
      </c>
      <c r="X1531" s="66" t="n"/>
      <c r="Y1531" s="66" t="n"/>
      <c r="Z1531" s="7" t="n"/>
      <c r="AA1531" s="70">
        <f>IF($A1531="","",N(V1531)+N(W1531)+N(X1531)+N(Y1531))</f>
        <v/>
      </c>
      <c r="AB1531" s="70">
        <f>IF($A1531="","",N(S1531)*'Paramètres'!$AA$9*IFERROR(INDEX('Paramètres'!$O$5:$O$7,MATCH(G1531,'Paramètres'!$N$5:$N$7,0)),0))</f>
        <v/>
      </c>
      <c r="AC1531" s="7" t="n"/>
      <c r="AD1531" s="69">
        <f>IF(OR($A1531="",Q1531=""),"",(Q1531-B1531)*24)</f>
        <v/>
      </c>
      <c r="AE1531" s="69">
        <f>IF(OR(Q1531="",R1531=""),"",(R1531-Q1531)*24)</f>
        <v/>
      </c>
      <c r="AF1531" s="77">
        <f>IF(OR($A1531="",B1531=""),"",YEAR(B1531))</f>
        <v/>
      </c>
      <c r="AG1531" s="77">
        <f>IF(OR($A1531="",B1531=""),"",MONTH(B1531))</f>
        <v/>
      </c>
    </row>
    <row r="1532">
      <c r="A1532" s="7" t="n"/>
      <c r="B1532" s="75" t="n"/>
      <c r="C1532" s="7" t="n"/>
      <c r="D1532" s="7" t="n"/>
      <c r="E1532" s="9">
        <f>IF(D1532="","",IFERROR(INDEX('Équipements'!$B$5:$B$304,MATCH(D1532,'Équipements'!$A$5:$A$304,0)),"Code inconnu"))</f>
        <v/>
      </c>
      <c r="F1532" s="9">
        <f>IF(D1532="","",IFERROR(INDEX('Équipements'!$D$5:$D$304,MATCH(D1532,'Équipements'!$A$5:$A$304,0)),""))</f>
        <v/>
      </c>
      <c r="G1532" s="9">
        <f>IF(D1532="","",IFERROR(INDEX('Équipements'!$K$5:$K$304,MATCH(D1532,'Équipements'!$A$5:$A$304,0)),""))</f>
        <v/>
      </c>
      <c r="H1532" s="7" t="n"/>
      <c r="I1532" s="7" t="n"/>
      <c r="J1532" s="7" t="n"/>
      <c r="K1532" s="7" t="n"/>
      <c r="L1532" s="7" t="n"/>
      <c r="M1532" s="7" t="n"/>
      <c r="N1532" s="7" t="n"/>
      <c r="O1532" s="7" t="n"/>
      <c r="P1532" s="65" t="n"/>
      <c r="Q1532" s="75" t="n"/>
      <c r="R1532" s="75" t="n"/>
      <c r="S1532" s="76" t="n"/>
      <c r="T1532" s="76" t="n"/>
      <c r="U1532" s="70">
        <f>IF($A1532="","",IFERROR(INDEX('Techniciens'!$F$5:$F$44,MATCH(O1532,'Techniciens'!$B$5:$B$44,0)),'Paramètres'!$AA$10))</f>
        <v/>
      </c>
      <c r="V1532" s="70">
        <f>IF($A1532="","",IF(OR(AC1532="Demandé",AC1532="Planifié",AC1532="Annulé"),0,N(T1532)*N(U1532)))</f>
        <v/>
      </c>
      <c r="W1532" s="70">
        <f>IF($A1532="","",SUMIFS('Mouvements stock'!$H$5:$H$3004,'Mouvements stock'!$I$5:$I$3004,$A1532,'Mouvements stock'!$C$5:$C$3004,"Sortie")-SUMIFS('Mouvements stock'!$H$5:$H$3004,'Mouvements stock'!$I$5:$I$3004,$A1532,'Mouvements stock'!$C$5:$C$3004,"Retour"))</f>
        <v/>
      </c>
      <c r="X1532" s="66" t="n"/>
      <c r="Y1532" s="66" t="n"/>
      <c r="Z1532" s="7" t="n"/>
      <c r="AA1532" s="70">
        <f>IF($A1532="","",N(V1532)+N(W1532)+N(X1532)+N(Y1532))</f>
        <v/>
      </c>
      <c r="AB1532" s="70">
        <f>IF($A1532="","",N(S1532)*'Paramètres'!$AA$9*IFERROR(INDEX('Paramètres'!$O$5:$O$7,MATCH(G1532,'Paramètres'!$N$5:$N$7,0)),0))</f>
        <v/>
      </c>
      <c r="AC1532" s="7" t="n"/>
      <c r="AD1532" s="69">
        <f>IF(OR($A1532="",Q1532=""),"",(Q1532-B1532)*24)</f>
        <v/>
      </c>
      <c r="AE1532" s="69">
        <f>IF(OR(Q1532="",R1532=""),"",(R1532-Q1532)*24)</f>
        <v/>
      </c>
      <c r="AF1532" s="77">
        <f>IF(OR($A1532="",B1532=""),"",YEAR(B1532))</f>
        <v/>
      </c>
      <c r="AG1532" s="77">
        <f>IF(OR($A1532="",B1532=""),"",MONTH(B1532))</f>
        <v/>
      </c>
    </row>
    <row r="1533">
      <c r="A1533" s="7" t="n"/>
      <c r="B1533" s="75" t="n"/>
      <c r="C1533" s="7" t="n"/>
      <c r="D1533" s="7" t="n"/>
      <c r="E1533" s="9">
        <f>IF(D1533="","",IFERROR(INDEX('Équipements'!$B$5:$B$304,MATCH(D1533,'Équipements'!$A$5:$A$304,0)),"Code inconnu"))</f>
        <v/>
      </c>
      <c r="F1533" s="9">
        <f>IF(D1533="","",IFERROR(INDEX('Équipements'!$D$5:$D$304,MATCH(D1533,'Équipements'!$A$5:$A$304,0)),""))</f>
        <v/>
      </c>
      <c r="G1533" s="9">
        <f>IF(D1533="","",IFERROR(INDEX('Équipements'!$K$5:$K$304,MATCH(D1533,'Équipements'!$A$5:$A$304,0)),""))</f>
        <v/>
      </c>
      <c r="H1533" s="7" t="n"/>
      <c r="I1533" s="7" t="n"/>
      <c r="J1533" s="7" t="n"/>
      <c r="K1533" s="7" t="n"/>
      <c r="L1533" s="7" t="n"/>
      <c r="M1533" s="7" t="n"/>
      <c r="N1533" s="7" t="n"/>
      <c r="O1533" s="7" t="n"/>
      <c r="P1533" s="65" t="n"/>
      <c r="Q1533" s="75" t="n"/>
      <c r="R1533" s="75" t="n"/>
      <c r="S1533" s="76" t="n"/>
      <c r="T1533" s="76" t="n"/>
      <c r="U1533" s="70">
        <f>IF($A1533="","",IFERROR(INDEX('Techniciens'!$F$5:$F$44,MATCH(O1533,'Techniciens'!$B$5:$B$44,0)),'Paramètres'!$AA$10))</f>
        <v/>
      </c>
      <c r="V1533" s="70">
        <f>IF($A1533="","",IF(OR(AC1533="Demandé",AC1533="Planifié",AC1533="Annulé"),0,N(T1533)*N(U1533)))</f>
        <v/>
      </c>
      <c r="W1533" s="70">
        <f>IF($A1533="","",SUMIFS('Mouvements stock'!$H$5:$H$3004,'Mouvements stock'!$I$5:$I$3004,$A1533,'Mouvements stock'!$C$5:$C$3004,"Sortie")-SUMIFS('Mouvements stock'!$H$5:$H$3004,'Mouvements stock'!$I$5:$I$3004,$A1533,'Mouvements stock'!$C$5:$C$3004,"Retour"))</f>
        <v/>
      </c>
      <c r="X1533" s="66" t="n"/>
      <c r="Y1533" s="66" t="n"/>
      <c r="Z1533" s="7" t="n"/>
      <c r="AA1533" s="70">
        <f>IF($A1533="","",N(V1533)+N(W1533)+N(X1533)+N(Y1533))</f>
        <v/>
      </c>
      <c r="AB1533" s="70">
        <f>IF($A1533="","",N(S1533)*'Paramètres'!$AA$9*IFERROR(INDEX('Paramètres'!$O$5:$O$7,MATCH(G1533,'Paramètres'!$N$5:$N$7,0)),0))</f>
        <v/>
      </c>
      <c r="AC1533" s="7" t="n"/>
      <c r="AD1533" s="69">
        <f>IF(OR($A1533="",Q1533=""),"",(Q1533-B1533)*24)</f>
        <v/>
      </c>
      <c r="AE1533" s="69">
        <f>IF(OR(Q1533="",R1533=""),"",(R1533-Q1533)*24)</f>
        <v/>
      </c>
      <c r="AF1533" s="77">
        <f>IF(OR($A1533="",B1533=""),"",YEAR(B1533))</f>
        <v/>
      </c>
      <c r="AG1533" s="77">
        <f>IF(OR($A1533="",B1533=""),"",MONTH(B1533))</f>
        <v/>
      </c>
    </row>
    <row r="1534">
      <c r="A1534" s="7" t="n"/>
      <c r="B1534" s="75" t="n"/>
      <c r="C1534" s="7" t="n"/>
      <c r="D1534" s="7" t="n"/>
      <c r="E1534" s="9">
        <f>IF(D1534="","",IFERROR(INDEX('Équipements'!$B$5:$B$304,MATCH(D1534,'Équipements'!$A$5:$A$304,0)),"Code inconnu"))</f>
        <v/>
      </c>
      <c r="F1534" s="9">
        <f>IF(D1534="","",IFERROR(INDEX('Équipements'!$D$5:$D$304,MATCH(D1534,'Équipements'!$A$5:$A$304,0)),""))</f>
        <v/>
      </c>
      <c r="G1534" s="9">
        <f>IF(D1534="","",IFERROR(INDEX('Équipements'!$K$5:$K$304,MATCH(D1534,'Équipements'!$A$5:$A$304,0)),""))</f>
        <v/>
      </c>
      <c r="H1534" s="7" t="n"/>
      <c r="I1534" s="7" t="n"/>
      <c r="J1534" s="7" t="n"/>
      <c r="K1534" s="7" t="n"/>
      <c r="L1534" s="7" t="n"/>
      <c r="M1534" s="7" t="n"/>
      <c r="N1534" s="7" t="n"/>
      <c r="O1534" s="7" t="n"/>
      <c r="P1534" s="65" t="n"/>
      <c r="Q1534" s="75" t="n"/>
      <c r="R1534" s="75" t="n"/>
      <c r="S1534" s="76" t="n"/>
      <c r="T1534" s="76" t="n"/>
      <c r="U1534" s="70">
        <f>IF($A1534="","",IFERROR(INDEX('Techniciens'!$F$5:$F$44,MATCH(O1534,'Techniciens'!$B$5:$B$44,0)),'Paramètres'!$AA$10))</f>
        <v/>
      </c>
      <c r="V1534" s="70">
        <f>IF($A1534="","",IF(OR(AC1534="Demandé",AC1534="Planifié",AC1534="Annulé"),0,N(T1534)*N(U1534)))</f>
        <v/>
      </c>
      <c r="W1534" s="70">
        <f>IF($A1534="","",SUMIFS('Mouvements stock'!$H$5:$H$3004,'Mouvements stock'!$I$5:$I$3004,$A1534,'Mouvements stock'!$C$5:$C$3004,"Sortie")-SUMIFS('Mouvements stock'!$H$5:$H$3004,'Mouvements stock'!$I$5:$I$3004,$A1534,'Mouvements stock'!$C$5:$C$3004,"Retour"))</f>
        <v/>
      </c>
      <c r="X1534" s="66" t="n"/>
      <c r="Y1534" s="66" t="n"/>
      <c r="Z1534" s="7" t="n"/>
      <c r="AA1534" s="70">
        <f>IF($A1534="","",N(V1534)+N(W1534)+N(X1534)+N(Y1534))</f>
        <v/>
      </c>
      <c r="AB1534" s="70">
        <f>IF($A1534="","",N(S1534)*'Paramètres'!$AA$9*IFERROR(INDEX('Paramètres'!$O$5:$O$7,MATCH(G1534,'Paramètres'!$N$5:$N$7,0)),0))</f>
        <v/>
      </c>
      <c r="AC1534" s="7" t="n"/>
      <c r="AD1534" s="69">
        <f>IF(OR($A1534="",Q1534=""),"",(Q1534-B1534)*24)</f>
        <v/>
      </c>
      <c r="AE1534" s="69">
        <f>IF(OR(Q1534="",R1534=""),"",(R1534-Q1534)*24)</f>
        <v/>
      </c>
      <c r="AF1534" s="77">
        <f>IF(OR($A1534="",B1534=""),"",YEAR(B1534))</f>
        <v/>
      </c>
      <c r="AG1534" s="77">
        <f>IF(OR($A1534="",B1534=""),"",MONTH(B1534))</f>
        <v/>
      </c>
    </row>
    <row r="1535">
      <c r="A1535" s="7" t="n"/>
      <c r="B1535" s="75" t="n"/>
      <c r="C1535" s="7" t="n"/>
      <c r="D1535" s="7" t="n"/>
      <c r="E1535" s="9">
        <f>IF(D1535="","",IFERROR(INDEX('Équipements'!$B$5:$B$304,MATCH(D1535,'Équipements'!$A$5:$A$304,0)),"Code inconnu"))</f>
        <v/>
      </c>
      <c r="F1535" s="9">
        <f>IF(D1535="","",IFERROR(INDEX('Équipements'!$D$5:$D$304,MATCH(D1535,'Équipements'!$A$5:$A$304,0)),""))</f>
        <v/>
      </c>
      <c r="G1535" s="9">
        <f>IF(D1535="","",IFERROR(INDEX('Équipements'!$K$5:$K$304,MATCH(D1535,'Équipements'!$A$5:$A$304,0)),""))</f>
        <v/>
      </c>
      <c r="H1535" s="7" t="n"/>
      <c r="I1535" s="7" t="n"/>
      <c r="J1535" s="7" t="n"/>
      <c r="K1535" s="7" t="n"/>
      <c r="L1535" s="7" t="n"/>
      <c r="M1535" s="7" t="n"/>
      <c r="N1535" s="7" t="n"/>
      <c r="O1535" s="7" t="n"/>
      <c r="P1535" s="65" t="n"/>
      <c r="Q1535" s="75" t="n"/>
      <c r="R1535" s="75" t="n"/>
      <c r="S1535" s="76" t="n"/>
      <c r="T1535" s="76" t="n"/>
      <c r="U1535" s="70">
        <f>IF($A1535="","",IFERROR(INDEX('Techniciens'!$F$5:$F$44,MATCH(O1535,'Techniciens'!$B$5:$B$44,0)),'Paramètres'!$AA$10))</f>
        <v/>
      </c>
      <c r="V1535" s="70">
        <f>IF($A1535="","",IF(OR(AC1535="Demandé",AC1535="Planifié",AC1535="Annulé"),0,N(T1535)*N(U1535)))</f>
        <v/>
      </c>
      <c r="W1535" s="70">
        <f>IF($A1535="","",SUMIFS('Mouvements stock'!$H$5:$H$3004,'Mouvements stock'!$I$5:$I$3004,$A1535,'Mouvements stock'!$C$5:$C$3004,"Sortie")-SUMIFS('Mouvements stock'!$H$5:$H$3004,'Mouvements stock'!$I$5:$I$3004,$A1535,'Mouvements stock'!$C$5:$C$3004,"Retour"))</f>
        <v/>
      </c>
      <c r="X1535" s="66" t="n"/>
      <c r="Y1535" s="66" t="n"/>
      <c r="Z1535" s="7" t="n"/>
      <c r="AA1535" s="70">
        <f>IF($A1535="","",N(V1535)+N(W1535)+N(X1535)+N(Y1535))</f>
        <v/>
      </c>
      <c r="AB1535" s="70">
        <f>IF($A1535="","",N(S1535)*'Paramètres'!$AA$9*IFERROR(INDEX('Paramètres'!$O$5:$O$7,MATCH(G1535,'Paramètres'!$N$5:$N$7,0)),0))</f>
        <v/>
      </c>
      <c r="AC1535" s="7" t="n"/>
      <c r="AD1535" s="69">
        <f>IF(OR($A1535="",Q1535=""),"",(Q1535-B1535)*24)</f>
        <v/>
      </c>
      <c r="AE1535" s="69">
        <f>IF(OR(Q1535="",R1535=""),"",(R1535-Q1535)*24)</f>
        <v/>
      </c>
      <c r="AF1535" s="77">
        <f>IF(OR($A1535="",B1535=""),"",YEAR(B1535))</f>
        <v/>
      </c>
      <c r="AG1535" s="77">
        <f>IF(OR($A1535="",B1535=""),"",MONTH(B1535))</f>
        <v/>
      </c>
    </row>
    <row r="1536">
      <c r="A1536" s="7" t="n"/>
      <c r="B1536" s="75" t="n"/>
      <c r="C1536" s="7" t="n"/>
      <c r="D1536" s="7" t="n"/>
      <c r="E1536" s="9">
        <f>IF(D1536="","",IFERROR(INDEX('Équipements'!$B$5:$B$304,MATCH(D1536,'Équipements'!$A$5:$A$304,0)),"Code inconnu"))</f>
        <v/>
      </c>
      <c r="F1536" s="9">
        <f>IF(D1536="","",IFERROR(INDEX('Équipements'!$D$5:$D$304,MATCH(D1536,'Équipements'!$A$5:$A$304,0)),""))</f>
        <v/>
      </c>
      <c r="G1536" s="9">
        <f>IF(D1536="","",IFERROR(INDEX('Équipements'!$K$5:$K$304,MATCH(D1536,'Équipements'!$A$5:$A$304,0)),""))</f>
        <v/>
      </c>
      <c r="H1536" s="7" t="n"/>
      <c r="I1536" s="7" t="n"/>
      <c r="J1536" s="7" t="n"/>
      <c r="K1536" s="7" t="n"/>
      <c r="L1536" s="7" t="n"/>
      <c r="M1536" s="7" t="n"/>
      <c r="N1536" s="7" t="n"/>
      <c r="O1536" s="7" t="n"/>
      <c r="P1536" s="65" t="n"/>
      <c r="Q1536" s="75" t="n"/>
      <c r="R1536" s="75" t="n"/>
      <c r="S1536" s="76" t="n"/>
      <c r="T1536" s="76" t="n"/>
      <c r="U1536" s="70">
        <f>IF($A1536="","",IFERROR(INDEX('Techniciens'!$F$5:$F$44,MATCH(O1536,'Techniciens'!$B$5:$B$44,0)),'Paramètres'!$AA$10))</f>
        <v/>
      </c>
      <c r="V1536" s="70">
        <f>IF($A1536="","",IF(OR(AC1536="Demandé",AC1536="Planifié",AC1536="Annulé"),0,N(T1536)*N(U1536)))</f>
        <v/>
      </c>
      <c r="W1536" s="70">
        <f>IF($A1536="","",SUMIFS('Mouvements stock'!$H$5:$H$3004,'Mouvements stock'!$I$5:$I$3004,$A1536,'Mouvements stock'!$C$5:$C$3004,"Sortie")-SUMIFS('Mouvements stock'!$H$5:$H$3004,'Mouvements stock'!$I$5:$I$3004,$A1536,'Mouvements stock'!$C$5:$C$3004,"Retour"))</f>
        <v/>
      </c>
      <c r="X1536" s="66" t="n"/>
      <c r="Y1536" s="66" t="n"/>
      <c r="Z1536" s="7" t="n"/>
      <c r="AA1536" s="70">
        <f>IF($A1536="","",N(V1536)+N(W1536)+N(X1536)+N(Y1536))</f>
        <v/>
      </c>
      <c r="AB1536" s="70">
        <f>IF($A1536="","",N(S1536)*'Paramètres'!$AA$9*IFERROR(INDEX('Paramètres'!$O$5:$O$7,MATCH(G1536,'Paramètres'!$N$5:$N$7,0)),0))</f>
        <v/>
      </c>
      <c r="AC1536" s="7" t="n"/>
      <c r="AD1536" s="69">
        <f>IF(OR($A1536="",Q1536=""),"",(Q1536-B1536)*24)</f>
        <v/>
      </c>
      <c r="AE1536" s="69">
        <f>IF(OR(Q1536="",R1536=""),"",(R1536-Q1536)*24)</f>
        <v/>
      </c>
      <c r="AF1536" s="77">
        <f>IF(OR($A1536="",B1536=""),"",YEAR(B1536))</f>
        <v/>
      </c>
      <c r="AG1536" s="77">
        <f>IF(OR($A1536="",B1536=""),"",MONTH(B1536))</f>
        <v/>
      </c>
    </row>
    <row r="1537">
      <c r="A1537" s="7" t="n"/>
      <c r="B1537" s="75" t="n"/>
      <c r="C1537" s="7" t="n"/>
      <c r="D1537" s="7" t="n"/>
      <c r="E1537" s="9">
        <f>IF(D1537="","",IFERROR(INDEX('Équipements'!$B$5:$B$304,MATCH(D1537,'Équipements'!$A$5:$A$304,0)),"Code inconnu"))</f>
        <v/>
      </c>
      <c r="F1537" s="9">
        <f>IF(D1537="","",IFERROR(INDEX('Équipements'!$D$5:$D$304,MATCH(D1537,'Équipements'!$A$5:$A$304,0)),""))</f>
        <v/>
      </c>
      <c r="G1537" s="9">
        <f>IF(D1537="","",IFERROR(INDEX('Équipements'!$K$5:$K$304,MATCH(D1537,'Équipements'!$A$5:$A$304,0)),""))</f>
        <v/>
      </c>
      <c r="H1537" s="7" t="n"/>
      <c r="I1537" s="7" t="n"/>
      <c r="J1537" s="7" t="n"/>
      <c r="K1537" s="7" t="n"/>
      <c r="L1537" s="7" t="n"/>
      <c r="M1537" s="7" t="n"/>
      <c r="N1537" s="7" t="n"/>
      <c r="O1537" s="7" t="n"/>
      <c r="P1537" s="65" t="n"/>
      <c r="Q1537" s="75" t="n"/>
      <c r="R1537" s="75" t="n"/>
      <c r="S1537" s="76" t="n"/>
      <c r="T1537" s="76" t="n"/>
      <c r="U1537" s="70">
        <f>IF($A1537="","",IFERROR(INDEX('Techniciens'!$F$5:$F$44,MATCH(O1537,'Techniciens'!$B$5:$B$44,0)),'Paramètres'!$AA$10))</f>
        <v/>
      </c>
      <c r="V1537" s="70">
        <f>IF($A1537="","",IF(OR(AC1537="Demandé",AC1537="Planifié",AC1537="Annulé"),0,N(T1537)*N(U1537)))</f>
        <v/>
      </c>
      <c r="W1537" s="70">
        <f>IF($A1537="","",SUMIFS('Mouvements stock'!$H$5:$H$3004,'Mouvements stock'!$I$5:$I$3004,$A1537,'Mouvements stock'!$C$5:$C$3004,"Sortie")-SUMIFS('Mouvements stock'!$H$5:$H$3004,'Mouvements stock'!$I$5:$I$3004,$A1537,'Mouvements stock'!$C$5:$C$3004,"Retour"))</f>
        <v/>
      </c>
      <c r="X1537" s="66" t="n"/>
      <c r="Y1537" s="66" t="n"/>
      <c r="Z1537" s="7" t="n"/>
      <c r="AA1537" s="70">
        <f>IF($A1537="","",N(V1537)+N(W1537)+N(X1537)+N(Y1537))</f>
        <v/>
      </c>
      <c r="AB1537" s="70">
        <f>IF($A1537="","",N(S1537)*'Paramètres'!$AA$9*IFERROR(INDEX('Paramètres'!$O$5:$O$7,MATCH(G1537,'Paramètres'!$N$5:$N$7,0)),0))</f>
        <v/>
      </c>
      <c r="AC1537" s="7" t="n"/>
      <c r="AD1537" s="69">
        <f>IF(OR($A1537="",Q1537=""),"",(Q1537-B1537)*24)</f>
        <v/>
      </c>
      <c r="AE1537" s="69">
        <f>IF(OR(Q1537="",R1537=""),"",(R1537-Q1537)*24)</f>
        <v/>
      </c>
      <c r="AF1537" s="77">
        <f>IF(OR($A1537="",B1537=""),"",YEAR(B1537))</f>
        <v/>
      </c>
      <c r="AG1537" s="77">
        <f>IF(OR($A1537="",B1537=""),"",MONTH(B1537))</f>
        <v/>
      </c>
    </row>
    <row r="1538">
      <c r="A1538" s="7" t="n"/>
      <c r="B1538" s="75" t="n"/>
      <c r="C1538" s="7" t="n"/>
      <c r="D1538" s="7" t="n"/>
      <c r="E1538" s="9">
        <f>IF(D1538="","",IFERROR(INDEX('Équipements'!$B$5:$B$304,MATCH(D1538,'Équipements'!$A$5:$A$304,0)),"Code inconnu"))</f>
        <v/>
      </c>
      <c r="F1538" s="9">
        <f>IF(D1538="","",IFERROR(INDEX('Équipements'!$D$5:$D$304,MATCH(D1538,'Équipements'!$A$5:$A$304,0)),""))</f>
        <v/>
      </c>
      <c r="G1538" s="9">
        <f>IF(D1538="","",IFERROR(INDEX('Équipements'!$K$5:$K$304,MATCH(D1538,'Équipements'!$A$5:$A$304,0)),""))</f>
        <v/>
      </c>
      <c r="H1538" s="7" t="n"/>
      <c r="I1538" s="7" t="n"/>
      <c r="J1538" s="7" t="n"/>
      <c r="K1538" s="7" t="n"/>
      <c r="L1538" s="7" t="n"/>
      <c r="M1538" s="7" t="n"/>
      <c r="N1538" s="7" t="n"/>
      <c r="O1538" s="7" t="n"/>
      <c r="P1538" s="65" t="n"/>
      <c r="Q1538" s="75" t="n"/>
      <c r="R1538" s="75" t="n"/>
      <c r="S1538" s="76" t="n"/>
      <c r="T1538" s="76" t="n"/>
      <c r="U1538" s="70">
        <f>IF($A1538="","",IFERROR(INDEX('Techniciens'!$F$5:$F$44,MATCH(O1538,'Techniciens'!$B$5:$B$44,0)),'Paramètres'!$AA$10))</f>
        <v/>
      </c>
      <c r="V1538" s="70">
        <f>IF($A1538="","",IF(OR(AC1538="Demandé",AC1538="Planifié",AC1538="Annulé"),0,N(T1538)*N(U1538)))</f>
        <v/>
      </c>
      <c r="W1538" s="70">
        <f>IF($A1538="","",SUMIFS('Mouvements stock'!$H$5:$H$3004,'Mouvements stock'!$I$5:$I$3004,$A1538,'Mouvements stock'!$C$5:$C$3004,"Sortie")-SUMIFS('Mouvements stock'!$H$5:$H$3004,'Mouvements stock'!$I$5:$I$3004,$A1538,'Mouvements stock'!$C$5:$C$3004,"Retour"))</f>
        <v/>
      </c>
      <c r="X1538" s="66" t="n"/>
      <c r="Y1538" s="66" t="n"/>
      <c r="Z1538" s="7" t="n"/>
      <c r="AA1538" s="70">
        <f>IF($A1538="","",N(V1538)+N(W1538)+N(X1538)+N(Y1538))</f>
        <v/>
      </c>
      <c r="AB1538" s="70">
        <f>IF($A1538="","",N(S1538)*'Paramètres'!$AA$9*IFERROR(INDEX('Paramètres'!$O$5:$O$7,MATCH(G1538,'Paramètres'!$N$5:$N$7,0)),0))</f>
        <v/>
      </c>
      <c r="AC1538" s="7" t="n"/>
      <c r="AD1538" s="69">
        <f>IF(OR($A1538="",Q1538=""),"",(Q1538-B1538)*24)</f>
        <v/>
      </c>
      <c r="AE1538" s="69">
        <f>IF(OR(Q1538="",R1538=""),"",(R1538-Q1538)*24)</f>
        <v/>
      </c>
      <c r="AF1538" s="77">
        <f>IF(OR($A1538="",B1538=""),"",YEAR(B1538))</f>
        <v/>
      </c>
      <c r="AG1538" s="77">
        <f>IF(OR($A1538="",B1538=""),"",MONTH(B1538))</f>
        <v/>
      </c>
    </row>
    <row r="1539">
      <c r="A1539" s="7" t="n"/>
      <c r="B1539" s="75" t="n"/>
      <c r="C1539" s="7" t="n"/>
      <c r="D1539" s="7" t="n"/>
      <c r="E1539" s="9">
        <f>IF(D1539="","",IFERROR(INDEX('Équipements'!$B$5:$B$304,MATCH(D1539,'Équipements'!$A$5:$A$304,0)),"Code inconnu"))</f>
        <v/>
      </c>
      <c r="F1539" s="9">
        <f>IF(D1539="","",IFERROR(INDEX('Équipements'!$D$5:$D$304,MATCH(D1539,'Équipements'!$A$5:$A$304,0)),""))</f>
        <v/>
      </c>
      <c r="G1539" s="9">
        <f>IF(D1539="","",IFERROR(INDEX('Équipements'!$K$5:$K$304,MATCH(D1539,'Équipements'!$A$5:$A$304,0)),""))</f>
        <v/>
      </c>
      <c r="H1539" s="7" t="n"/>
      <c r="I1539" s="7" t="n"/>
      <c r="J1539" s="7" t="n"/>
      <c r="K1539" s="7" t="n"/>
      <c r="L1539" s="7" t="n"/>
      <c r="M1539" s="7" t="n"/>
      <c r="N1539" s="7" t="n"/>
      <c r="O1539" s="7" t="n"/>
      <c r="P1539" s="65" t="n"/>
      <c r="Q1539" s="75" t="n"/>
      <c r="R1539" s="75" t="n"/>
      <c r="S1539" s="76" t="n"/>
      <c r="T1539" s="76" t="n"/>
      <c r="U1539" s="70">
        <f>IF($A1539="","",IFERROR(INDEX('Techniciens'!$F$5:$F$44,MATCH(O1539,'Techniciens'!$B$5:$B$44,0)),'Paramètres'!$AA$10))</f>
        <v/>
      </c>
      <c r="V1539" s="70">
        <f>IF($A1539="","",IF(OR(AC1539="Demandé",AC1539="Planifié",AC1539="Annulé"),0,N(T1539)*N(U1539)))</f>
        <v/>
      </c>
      <c r="W1539" s="70">
        <f>IF($A1539="","",SUMIFS('Mouvements stock'!$H$5:$H$3004,'Mouvements stock'!$I$5:$I$3004,$A1539,'Mouvements stock'!$C$5:$C$3004,"Sortie")-SUMIFS('Mouvements stock'!$H$5:$H$3004,'Mouvements stock'!$I$5:$I$3004,$A1539,'Mouvements stock'!$C$5:$C$3004,"Retour"))</f>
        <v/>
      </c>
      <c r="X1539" s="66" t="n"/>
      <c r="Y1539" s="66" t="n"/>
      <c r="Z1539" s="7" t="n"/>
      <c r="AA1539" s="70">
        <f>IF($A1539="","",N(V1539)+N(W1539)+N(X1539)+N(Y1539))</f>
        <v/>
      </c>
      <c r="AB1539" s="70">
        <f>IF($A1539="","",N(S1539)*'Paramètres'!$AA$9*IFERROR(INDEX('Paramètres'!$O$5:$O$7,MATCH(G1539,'Paramètres'!$N$5:$N$7,0)),0))</f>
        <v/>
      </c>
      <c r="AC1539" s="7" t="n"/>
      <c r="AD1539" s="69">
        <f>IF(OR($A1539="",Q1539=""),"",(Q1539-B1539)*24)</f>
        <v/>
      </c>
      <c r="AE1539" s="69">
        <f>IF(OR(Q1539="",R1539=""),"",(R1539-Q1539)*24)</f>
        <v/>
      </c>
      <c r="AF1539" s="77">
        <f>IF(OR($A1539="",B1539=""),"",YEAR(B1539))</f>
        <v/>
      </c>
      <c r="AG1539" s="77">
        <f>IF(OR($A1539="",B1539=""),"",MONTH(B1539))</f>
        <v/>
      </c>
    </row>
    <row r="1540">
      <c r="A1540" s="7" t="n"/>
      <c r="B1540" s="75" t="n"/>
      <c r="C1540" s="7" t="n"/>
      <c r="D1540" s="7" t="n"/>
      <c r="E1540" s="9">
        <f>IF(D1540="","",IFERROR(INDEX('Équipements'!$B$5:$B$304,MATCH(D1540,'Équipements'!$A$5:$A$304,0)),"Code inconnu"))</f>
        <v/>
      </c>
      <c r="F1540" s="9">
        <f>IF(D1540="","",IFERROR(INDEX('Équipements'!$D$5:$D$304,MATCH(D1540,'Équipements'!$A$5:$A$304,0)),""))</f>
        <v/>
      </c>
      <c r="G1540" s="9">
        <f>IF(D1540="","",IFERROR(INDEX('Équipements'!$K$5:$K$304,MATCH(D1540,'Équipements'!$A$5:$A$304,0)),""))</f>
        <v/>
      </c>
      <c r="H1540" s="7" t="n"/>
      <c r="I1540" s="7" t="n"/>
      <c r="J1540" s="7" t="n"/>
      <c r="K1540" s="7" t="n"/>
      <c r="L1540" s="7" t="n"/>
      <c r="M1540" s="7" t="n"/>
      <c r="N1540" s="7" t="n"/>
      <c r="O1540" s="7" t="n"/>
      <c r="P1540" s="65" t="n"/>
      <c r="Q1540" s="75" t="n"/>
      <c r="R1540" s="75" t="n"/>
      <c r="S1540" s="76" t="n"/>
      <c r="T1540" s="76" t="n"/>
      <c r="U1540" s="70">
        <f>IF($A1540="","",IFERROR(INDEX('Techniciens'!$F$5:$F$44,MATCH(O1540,'Techniciens'!$B$5:$B$44,0)),'Paramètres'!$AA$10))</f>
        <v/>
      </c>
      <c r="V1540" s="70">
        <f>IF($A1540="","",IF(OR(AC1540="Demandé",AC1540="Planifié",AC1540="Annulé"),0,N(T1540)*N(U1540)))</f>
        <v/>
      </c>
      <c r="W1540" s="70">
        <f>IF($A1540="","",SUMIFS('Mouvements stock'!$H$5:$H$3004,'Mouvements stock'!$I$5:$I$3004,$A1540,'Mouvements stock'!$C$5:$C$3004,"Sortie")-SUMIFS('Mouvements stock'!$H$5:$H$3004,'Mouvements stock'!$I$5:$I$3004,$A1540,'Mouvements stock'!$C$5:$C$3004,"Retour"))</f>
        <v/>
      </c>
      <c r="X1540" s="66" t="n"/>
      <c r="Y1540" s="66" t="n"/>
      <c r="Z1540" s="7" t="n"/>
      <c r="AA1540" s="70">
        <f>IF($A1540="","",N(V1540)+N(W1540)+N(X1540)+N(Y1540))</f>
        <v/>
      </c>
      <c r="AB1540" s="70">
        <f>IF($A1540="","",N(S1540)*'Paramètres'!$AA$9*IFERROR(INDEX('Paramètres'!$O$5:$O$7,MATCH(G1540,'Paramètres'!$N$5:$N$7,0)),0))</f>
        <v/>
      </c>
      <c r="AC1540" s="7" t="n"/>
      <c r="AD1540" s="69">
        <f>IF(OR($A1540="",Q1540=""),"",(Q1540-B1540)*24)</f>
        <v/>
      </c>
      <c r="AE1540" s="69">
        <f>IF(OR(Q1540="",R1540=""),"",(R1540-Q1540)*24)</f>
        <v/>
      </c>
      <c r="AF1540" s="77">
        <f>IF(OR($A1540="",B1540=""),"",YEAR(B1540))</f>
        <v/>
      </c>
      <c r="AG1540" s="77">
        <f>IF(OR($A1540="",B1540=""),"",MONTH(B1540))</f>
        <v/>
      </c>
    </row>
    <row r="1541">
      <c r="A1541" s="7" t="n"/>
      <c r="B1541" s="75" t="n"/>
      <c r="C1541" s="7" t="n"/>
      <c r="D1541" s="7" t="n"/>
      <c r="E1541" s="9">
        <f>IF(D1541="","",IFERROR(INDEX('Équipements'!$B$5:$B$304,MATCH(D1541,'Équipements'!$A$5:$A$304,0)),"Code inconnu"))</f>
        <v/>
      </c>
      <c r="F1541" s="9">
        <f>IF(D1541="","",IFERROR(INDEX('Équipements'!$D$5:$D$304,MATCH(D1541,'Équipements'!$A$5:$A$304,0)),""))</f>
        <v/>
      </c>
      <c r="G1541" s="9">
        <f>IF(D1541="","",IFERROR(INDEX('Équipements'!$K$5:$K$304,MATCH(D1541,'Équipements'!$A$5:$A$304,0)),""))</f>
        <v/>
      </c>
      <c r="H1541" s="7" t="n"/>
      <c r="I1541" s="7" t="n"/>
      <c r="J1541" s="7" t="n"/>
      <c r="K1541" s="7" t="n"/>
      <c r="L1541" s="7" t="n"/>
      <c r="M1541" s="7" t="n"/>
      <c r="N1541" s="7" t="n"/>
      <c r="O1541" s="7" t="n"/>
      <c r="P1541" s="65" t="n"/>
      <c r="Q1541" s="75" t="n"/>
      <c r="R1541" s="75" t="n"/>
      <c r="S1541" s="76" t="n"/>
      <c r="T1541" s="76" t="n"/>
      <c r="U1541" s="70">
        <f>IF($A1541="","",IFERROR(INDEX('Techniciens'!$F$5:$F$44,MATCH(O1541,'Techniciens'!$B$5:$B$44,0)),'Paramètres'!$AA$10))</f>
        <v/>
      </c>
      <c r="V1541" s="70">
        <f>IF($A1541="","",IF(OR(AC1541="Demandé",AC1541="Planifié",AC1541="Annulé"),0,N(T1541)*N(U1541)))</f>
        <v/>
      </c>
      <c r="W1541" s="70">
        <f>IF($A1541="","",SUMIFS('Mouvements stock'!$H$5:$H$3004,'Mouvements stock'!$I$5:$I$3004,$A1541,'Mouvements stock'!$C$5:$C$3004,"Sortie")-SUMIFS('Mouvements stock'!$H$5:$H$3004,'Mouvements stock'!$I$5:$I$3004,$A1541,'Mouvements stock'!$C$5:$C$3004,"Retour"))</f>
        <v/>
      </c>
      <c r="X1541" s="66" t="n"/>
      <c r="Y1541" s="66" t="n"/>
      <c r="Z1541" s="7" t="n"/>
      <c r="AA1541" s="70">
        <f>IF($A1541="","",N(V1541)+N(W1541)+N(X1541)+N(Y1541))</f>
        <v/>
      </c>
      <c r="AB1541" s="70">
        <f>IF($A1541="","",N(S1541)*'Paramètres'!$AA$9*IFERROR(INDEX('Paramètres'!$O$5:$O$7,MATCH(G1541,'Paramètres'!$N$5:$N$7,0)),0))</f>
        <v/>
      </c>
      <c r="AC1541" s="7" t="n"/>
      <c r="AD1541" s="69">
        <f>IF(OR($A1541="",Q1541=""),"",(Q1541-B1541)*24)</f>
        <v/>
      </c>
      <c r="AE1541" s="69">
        <f>IF(OR(Q1541="",R1541=""),"",(R1541-Q1541)*24)</f>
        <v/>
      </c>
      <c r="AF1541" s="77">
        <f>IF(OR($A1541="",B1541=""),"",YEAR(B1541))</f>
        <v/>
      </c>
      <c r="AG1541" s="77">
        <f>IF(OR($A1541="",B1541=""),"",MONTH(B1541))</f>
        <v/>
      </c>
    </row>
    <row r="1542">
      <c r="A1542" s="7" t="n"/>
      <c r="B1542" s="75" t="n"/>
      <c r="C1542" s="7" t="n"/>
      <c r="D1542" s="7" t="n"/>
      <c r="E1542" s="9">
        <f>IF(D1542="","",IFERROR(INDEX('Équipements'!$B$5:$B$304,MATCH(D1542,'Équipements'!$A$5:$A$304,0)),"Code inconnu"))</f>
        <v/>
      </c>
      <c r="F1542" s="9">
        <f>IF(D1542="","",IFERROR(INDEX('Équipements'!$D$5:$D$304,MATCH(D1542,'Équipements'!$A$5:$A$304,0)),""))</f>
        <v/>
      </c>
      <c r="G1542" s="9">
        <f>IF(D1542="","",IFERROR(INDEX('Équipements'!$K$5:$K$304,MATCH(D1542,'Équipements'!$A$5:$A$304,0)),""))</f>
        <v/>
      </c>
      <c r="H1542" s="7" t="n"/>
      <c r="I1542" s="7" t="n"/>
      <c r="J1542" s="7" t="n"/>
      <c r="K1542" s="7" t="n"/>
      <c r="L1542" s="7" t="n"/>
      <c r="M1542" s="7" t="n"/>
      <c r="N1542" s="7" t="n"/>
      <c r="O1542" s="7" t="n"/>
      <c r="P1542" s="65" t="n"/>
      <c r="Q1542" s="75" t="n"/>
      <c r="R1542" s="75" t="n"/>
      <c r="S1542" s="76" t="n"/>
      <c r="T1542" s="76" t="n"/>
      <c r="U1542" s="70">
        <f>IF($A1542="","",IFERROR(INDEX('Techniciens'!$F$5:$F$44,MATCH(O1542,'Techniciens'!$B$5:$B$44,0)),'Paramètres'!$AA$10))</f>
        <v/>
      </c>
      <c r="V1542" s="70">
        <f>IF($A1542="","",IF(OR(AC1542="Demandé",AC1542="Planifié",AC1542="Annulé"),0,N(T1542)*N(U1542)))</f>
        <v/>
      </c>
      <c r="W1542" s="70">
        <f>IF($A1542="","",SUMIFS('Mouvements stock'!$H$5:$H$3004,'Mouvements stock'!$I$5:$I$3004,$A1542,'Mouvements stock'!$C$5:$C$3004,"Sortie")-SUMIFS('Mouvements stock'!$H$5:$H$3004,'Mouvements stock'!$I$5:$I$3004,$A1542,'Mouvements stock'!$C$5:$C$3004,"Retour"))</f>
        <v/>
      </c>
      <c r="X1542" s="66" t="n"/>
      <c r="Y1542" s="66" t="n"/>
      <c r="Z1542" s="7" t="n"/>
      <c r="AA1542" s="70">
        <f>IF($A1542="","",N(V1542)+N(W1542)+N(X1542)+N(Y1542))</f>
        <v/>
      </c>
      <c r="AB1542" s="70">
        <f>IF($A1542="","",N(S1542)*'Paramètres'!$AA$9*IFERROR(INDEX('Paramètres'!$O$5:$O$7,MATCH(G1542,'Paramètres'!$N$5:$N$7,0)),0))</f>
        <v/>
      </c>
      <c r="AC1542" s="7" t="n"/>
      <c r="AD1542" s="69">
        <f>IF(OR($A1542="",Q1542=""),"",(Q1542-B1542)*24)</f>
        <v/>
      </c>
      <c r="AE1542" s="69">
        <f>IF(OR(Q1542="",R1542=""),"",(R1542-Q1542)*24)</f>
        <v/>
      </c>
      <c r="AF1542" s="77">
        <f>IF(OR($A1542="",B1542=""),"",YEAR(B1542))</f>
        <v/>
      </c>
      <c r="AG1542" s="77">
        <f>IF(OR($A1542="",B1542=""),"",MONTH(B1542))</f>
        <v/>
      </c>
    </row>
    <row r="1543">
      <c r="A1543" s="7" t="n"/>
      <c r="B1543" s="75" t="n"/>
      <c r="C1543" s="7" t="n"/>
      <c r="D1543" s="7" t="n"/>
      <c r="E1543" s="9">
        <f>IF(D1543="","",IFERROR(INDEX('Équipements'!$B$5:$B$304,MATCH(D1543,'Équipements'!$A$5:$A$304,0)),"Code inconnu"))</f>
        <v/>
      </c>
      <c r="F1543" s="9">
        <f>IF(D1543="","",IFERROR(INDEX('Équipements'!$D$5:$D$304,MATCH(D1543,'Équipements'!$A$5:$A$304,0)),""))</f>
        <v/>
      </c>
      <c r="G1543" s="9">
        <f>IF(D1543="","",IFERROR(INDEX('Équipements'!$K$5:$K$304,MATCH(D1543,'Équipements'!$A$5:$A$304,0)),""))</f>
        <v/>
      </c>
      <c r="H1543" s="7" t="n"/>
      <c r="I1543" s="7" t="n"/>
      <c r="J1543" s="7" t="n"/>
      <c r="K1543" s="7" t="n"/>
      <c r="L1543" s="7" t="n"/>
      <c r="M1543" s="7" t="n"/>
      <c r="N1543" s="7" t="n"/>
      <c r="O1543" s="7" t="n"/>
      <c r="P1543" s="65" t="n"/>
      <c r="Q1543" s="75" t="n"/>
      <c r="R1543" s="75" t="n"/>
      <c r="S1543" s="76" t="n"/>
      <c r="T1543" s="76" t="n"/>
      <c r="U1543" s="70">
        <f>IF($A1543="","",IFERROR(INDEX('Techniciens'!$F$5:$F$44,MATCH(O1543,'Techniciens'!$B$5:$B$44,0)),'Paramètres'!$AA$10))</f>
        <v/>
      </c>
      <c r="V1543" s="70">
        <f>IF($A1543="","",IF(OR(AC1543="Demandé",AC1543="Planifié",AC1543="Annulé"),0,N(T1543)*N(U1543)))</f>
        <v/>
      </c>
      <c r="W1543" s="70">
        <f>IF($A1543="","",SUMIFS('Mouvements stock'!$H$5:$H$3004,'Mouvements stock'!$I$5:$I$3004,$A1543,'Mouvements stock'!$C$5:$C$3004,"Sortie")-SUMIFS('Mouvements stock'!$H$5:$H$3004,'Mouvements stock'!$I$5:$I$3004,$A1543,'Mouvements stock'!$C$5:$C$3004,"Retour"))</f>
        <v/>
      </c>
      <c r="X1543" s="66" t="n"/>
      <c r="Y1543" s="66" t="n"/>
      <c r="Z1543" s="7" t="n"/>
      <c r="AA1543" s="70">
        <f>IF($A1543="","",N(V1543)+N(W1543)+N(X1543)+N(Y1543))</f>
        <v/>
      </c>
      <c r="AB1543" s="70">
        <f>IF($A1543="","",N(S1543)*'Paramètres'!$AA$9*IFERROR(INDEX('Paramètres'!$O$5:$O$7,MATCH(G1543,'Paramètres'!$N$5:$N$7,0)),0))</f>
        <v/>
      </c>
      <c r="AC1543" s="7" t="n"/>
      <c r="AD1543" s="69">
        <f>IF(OR($A1543="",Q1543=""),"",(Q1543-B1543)*24)</f>
        <v/>
      </c>
      <c r="AE1543" s="69">
        <f>IF(OR(Q1543="",R1543=""),"",(R1543-Q1543)*24)</f>
        <v/>
      </c>
      <c r="AF1543" s="77">
        <f>IF(OR($A1543="",B1543=""),"",YEAR(B1543))</f>
        <v/>
      </c>
      <c r="AG1543" s="77">
        <f>IF(OR($A1543="",B1543=""),"",MONTH(B1543))</f>
        <v/>
      </c>
    </row>
    <row r="1544">
      <c r="A1544" s="7" t="n"/>
      <c r="B1544" s="75" t="n"/>
      <c r="C1544" s="7" t="n"/>
      <c r="D1544" s="7" t="n"/>
      <c r="E1544" s="9">
        <f>IF(D1544="","",IFERROR(INDEX('Équipements'!$B$5:$B$304,MATCH(D1544,'Équipements'!$A$5:$A$304,0)),"Code inconnu"))</f>
        <v/>
      </c>
      <c r="F1544" s="9">
        <f>IF(D1544="","",IFERROR(INDEX('Équipements'!$D$5:$D$304,MATCH(D1544,'Équipements'!$A$5:$A$304,0)),""))</f>
        <v/>
      </c>
      <c r="G1544" s="9">
        <f>IF(D1544="","",IFERROR(INDEX('Équipements'!$K$5:$K$304,MATCH(D1544,'Équipements'!$A$5:$A$304,0)),""))</f>
        <v/>
      </c>
      <c r="H1544" s="7" t="n"/>
      <c r="I1544" s="7" t="n"/>
      <c r="J1544" s="7" t="n"/>
      <c r="K1544" s="7" t="n"/>
      <c r="L1544" s="7" t="n"/>
      <c r="M1544" s="7" t="n"/>
      <c r="N1544" s="7" t="n"/>
      <c r="O1544" s="7" t="n"/>
      <c r="P1544" s="65" t="n"/>
      <c r="Q1544" s="75" t="n"/>
      <c r="R1544" s="75" t="n"/>
      <c r="S1544" s="76" t="n"/>
      <c r="T1544" s="76" t="n"/>
      <c r="U1544" s="70">
        <f>IF($A1544="","",IFERROR(INDEX('Techniciens'!$F$5:$F$44,MATCH(O1544,'Techniciens'!$B$5:$B$44,0)),'Paramètres'!$AA$10))</f>
        <v/>
      </c>
      <c r="V1544" s="70">
        <f>IF($A1544="","",IF(OR(AC1544="Demandé",AC1544="Planifié",AC1544="Annulé"),0,N(T1544)*N(U1544)))</f>
        <v/>
      </c>
      <c r="W1544" s="70">
        <f>IF($A1544="","",SUMIFS('Mouvements stock'!$H$5:$H$3004,'Mouvements stock'!$I$5:$I$3004,$A1544,'Mouvements stock'!$C$5:$C$3004,"Sortie")-SUMIFS('Mouvements stock'!$H$5:$H$3004,'Mouvements stock'!$I$5:$I$3004,$A1544,'Mouvements stock'!$C$5:$C$3004,"Retour"))</f>
        <v/>
      </c>
      <c r="X1544" s="66" t="n"/>
      <c r="Y1544" s="66" t="n"/>
      <c r="Z1544" s="7" t="n"/>
      <c r="AA1544" s="70">
        <f>IF($A1544="","",N(V1544)+N(W1544)+N(X1544)+N(Y1544))</f>
        <v/>
      </c>
      <c r="AB1544" s="70">
        <f>IF($A1544="","",N(S1544)*'Paramètres'!$AA$9*IFERROR(INDEX('Paramètres'!$O$5:$O$7,MATCH(G1544,'Paramètres'!$N$5:$N$7,0)),0))</f>
        <v/>
      </c>
      <c r="AC1544" s="7" t="n"/>
      <c r="AD1544" s="69">
        <f>IF(OR($A1544="",Q1544=""),"",(Q1544-B1544)*24)</f>
        <v/>
      </c>
      <c r="AE1544" s="69">
        <f>IF(OR(Q1544="",R1544=""),"",(R1544-Q1544)*24)</f>
        <v/>
      </c>
      <c r="AF1544" s="77">
        <f>IF(OR($A1544="",B1544=""),"",YEAR(B1544))</f>
        <v/>
      </c>
      <c r="AG1544" s="77">
        <f>IF(OR($A1544="",B1544=""),"",MONTH(B1544))</f>
        <v/>
      </c>
    </row>
    <row r="1545">
      <c r="A1545" s="7" t="n"/>
      <c r="B1545" s="75" t="n"/>
      <c r="C1545" s="7" t="n"/>
      <c r="D1545" s="7" t="n"/>
      <c r="E1545" s="9">
        <f>IF(D1545="","",IFERROR(INDEX('Équipements'!$B$5:$B$304,MATCH(D1545,'Équipements'!$A$5:$A$304,0)),"Code inconnu"))</f>
        <v/>
      </c>
      <c r="F1545" s="9">
        <f>IF(D1545="","",IFERROR(INDEX('Équipements'!$D$5:$D$304,MATCH(D1545,'Équipements'!$A$5:$A$304,0)),""))</f>
        <v/>
      </c>
      <c r="G1545" s="9">
        <f>IF(D1545="","",IFERROR(INDEX('Équipements'!$K$5:$K$304,MATCH(D1545,'Équipements'!$A$5:$A$304,0)),""))</f>
        <v/>
      </c>
      <c r="H1545" s="7" t="n"/>
      <c r="I1545" s="7" t="n"/>
      <c r="J1545" s="7" t="n"/>
      <c r="K1545" s="7" t="n"/>
      <c r="L1545" s="7" t="n"/>
      <c r="M1545" s="7" t="n"/>
      <c r="N1545" s="7" t="n"/>
      <c r="O1545" s="7" t="n"/>
      <c r="P1545" s="65" t="n"/>
      <c r="Q1545" s="75" t="n"/>
      <c r="R1545" s="75" t="n"/>
      <c r="S1545" s="76" t="n"/>
      <c r="T1545" s="76" t="n"/>
      <c r="U1545" s="70">
        <f>IF($A1545="","",IFERROR(INDEX('Techniciens'!$F$5:$F$44,MATCH(O1545,'Techniciens'!$B$5:$B$44,0)),'Paramètres'!$AA$10))</f>
        <v/>
      </c>
      <c r="V1545" s="70">
        <f>IF($A1545="","",IF(OR(AC1545="Demandé",AC1545="Planifié",AC1545="Annulé"),0,N(T1545)*N(U1545)))</f>
        <v/>
      </c>
      <c r="W1545" s="70">
        <f>IF($A1545="","",SUMIFS('Mouvements stock'!$H$5:$H$3004,'Mouvements stock'!$I$5:$I$3004,$A1545,'Mouvements stock'!$C$5:$C$3004,"Sortie")-SUMIFS('Mouvements stock'!$H$5:$H$3004,'Mouvements stock'!$I$5:$I$3004,$A1545,'Mouvements stock'!$C$5:$C$3004,"Retour"))</f>
        <v/>
      </c>
      <c r="X1545" s="66" t="n"/>
      <c r="Y1545" s="66" t="n"/>
      <c r="Z1545" s="7" t="n"/>
      <c r="AA1545" s="70">
        <f>IF($A1545="","",N(V1545)+N(W1545)+N(X1545)+N(Y1545))</f>
        <v/>
      </c>
      <c r="AB1545" s="70">
        <f>IF($A1545="","",N(S1545)*'Paramètres'!$AA$9*IFERROR(INDEX('Paramètres'!$O$5:$O$7,MATCH(G1545,'Paramètres'!$N$5:$N$7,0)),0))</f>
        <v/>
      </c>
      <c r="AC1545" s="7" t="n"/>
      <c r="AD1545" s="69">
        <f>IF(OR($A1545="",Q1545=""),"",(Q1545-B1545)*24)</f>
        <v/>
      </c>
      <c r="AE1545" s="69">
        <f>IF(OR(Q1545="",R1545=""),"",(R1545-Q1545)*24)</f>
        <v/>
      </c>
      <c r="AF1545" s="77">
        <f>IF(OR($A1545="",B1545=""),"",YEAR(B1545))</f>
        <v/>
      </c>
      <c r="AG1545" s="77">
        <f>IF(OR($A1545="",B1545=""),"",MONTH(B1545))</f>
        <v/>
      </c>
    </row>
    <row r="1546">
      <c r="A1546" s="7" t="n"/>
      <c r="B1546" s="75" t="n"/>
      <c r="C1546" s="7" t="n"/>
      <c r="D1546" s="7" t="n"/>
      <c r="E1546" s="9">
        <f>IF(D1546="","",IFERROR(INDEX('Équipements'!$B$5:$B$304,MATCH(D1546,'Équipements'!$A$5:$A$304,0)),"Code inconnu"))</f>
        <v/>
      </c>
      <c r="F1546" s="9">
        <f>IF(D1546="","",IFERROR(INDEX('Équipements'!$D$5:$D$304,MATCH(D1546,'Équipements'!$A$5:$A$304,0)),""))</f>
        <v/>
      </c>
      <c r="G1546" s="9">
        <f>IF(D1546="","",IFERROR(INDEX('Équipements'!$K$5:$K$304,MATCH(D1546,'Équipements'!$A$5:$A$304,0)),""))</f>
        <v/>
      </c>
      <c r="H1546" s="7" t="n"/>
      <c r="I1546" s="7" t="n"/>
      <c r="J1546" s="7" t="n"/>
      <c r="K1546" s="7" t="n"/>
      <c r="L1546" s="7" t="n"/>
      <c r="M1546" s="7" t="n"/>
      <c r="N1546" s="7" t="n"/>
      <c r="O1546" s="7" t="n"/>
      <c r="P1546" s="65" t="n"/>
      <c r="Q1546" s="75" t="n"/>
      <c r="R1546" s="75" t="n"/>
      <c r="S1546" s="76" t="n"/>
      <c r="T1546" s="76" t="n"/>
      <c r="U1546" s="70">
        <f>IF($A1546="","",IFERROR(INDEX('Techniciens'!$F$5:$F$44,MATCH(O1546,'Techniciens'!$B$5:$B$44,0)),'Paramètres'!$AA$10))</f>
        <v/>
      </c>
      <c r="V1546" s="70">
        <f>IF($A1546="","",IF(OR(AC1546="Demandé",AC1546="Planifié",AC1546="Annulé"),0,N(T1546)*N(U1546)))</f>
        <v/>
      </c>
      <c r="W1546" s="70">
        <f>IF($A1546="","",SUMIFS('Mouvements stock'!$H$5:$H$3004,'Mouvements stock'!$I$5:$I$3004,$A1546,'Mouvements stock'!$C$5:$C$3004,"Sortie")-SUMIFS('Mouvements stock'!$H$5:$H$3004,'Mouvements stock'!$I$5:$I$3004,$A1546,'Mouvements stock'!$C$5:$C$3004,"Retour"))</f>
        <v/>
      </c>
      <c r="X1546" s="66" t="n"/>
      <c r="Y1546" s="66" t="n"/>
      <c r="Z1546" s="7" t="n"/>
      <c r="AA1546" s="70">
        <f>IF($A1546="","",N(V1546)+N(W1546)+N(X1546)+N(Y1546))</f>
        <v/>
      </c>
      <c r="AB1546" s="70">
        <f>IF($A1546="","",N(S1546)*'Paramètres'!$AA$9*IFERROR(INDEX('Paramètres'!$O$5:$O$7,MATCH(G1546,'Paramètres'!$N$5:$N$7,0)),0))</f>
        <v/>
      </c>
      <c r="AC1546" s="7" t="n"/>
      <c r="AD1546" s="69">
        <f>IF(OR($A1546="",Q1546=""),"",(Q1546-B1546)*24)</f>
        <v/>
      </c>
      <c r="AE1546" s="69">
        <f>IF(OR(Q1546="",R1546=""),"",(R1546-Q1546)*24)</f>
        <v/>
      </c>
      <c r="AF1546" s="77">
        <f>IF(OR($A1546="",B1546=""),"",YEAR(B1546))</f>
        <v/>
      </c>
      <c r="AG1546" s="77">
        <f>IF(OR($A1546="",B1546=""),"",MONTH(B1546))</f>
        <v/>
      </c>
    </row>
    <row r="1547">
      <c r="A1547" s="7" t="n"/>
      <c r="B1547" s="75" t="n"/>
      <c r="C1547" s="7" t="n"/>
      <c r="D1547" s="7" t="n"/>
      <c r="E1547" s="9">
        <f>IF(D1547="","",IFERROR(INDEX('Équipements'!$B$5:$B$304,MATCH(D1547,'Équipements'!$A$5:$A$304,0)),"Code inconnu"))</f>
        <v/>
      </c>
      <c r="F1547" s="9">
        <f>IF(D1547="","",IFERROR(INDEX('Équipements'!$D$5:$D$304,MATCH(D1547,'Équipements'!$A$5:$A$304,0)),""))</f>
        <v/>
      </c>
      <c r="G1547" s="9">
        <f>IF(D1547="","",IFERROR(INDEX('Équipements'!$K$5:$K$304,MATCH(D1547,'Équipements'!$A$5:$A$304,0)),""))</f>
        <v/>
      </c>
      <c r="H1547" s="7" t="n"/>
      <c r="I1547" s="7" t="n"/>
      <c r="J1547" s="7" t="n"/>
      <c r="K1547" s="7" t="n"/>
      <c r="L1547" s="7" t="n"/>
      <c r="M1547" s="7" t="n"/>
      <c r="N1547" s="7" t="n"/>
      <c r="O1547" s="7" t="n"/>
      <c r="P1547" s="65" t="n"/>
      <c r="Q1547" s="75" t="n"/>
      <c r="R1547" s="75" t="n"/>
      <c r="S1547" s="76" t="n"/>
      <c r="T1547" s="76" t="n"/>
      <c r="U1547" s="70">
        <f>IF($A1547="","",IFERROR(INDEX('Techniciens'!$F$5:$F$44,MATCH(O1547,'Techniciens'!$B$5:$B$44,0)),'Paramètres'!$AA$10))</f>
        <v/>
      </c>
      <c r="V1547" s="70">
        <f>IF($A1547="","",IF(OR(AC1547="Demandé",AC1547="Planifié",AC1547="Annulé"),0,N(T1547)*N(U1547)))</f>
        <v/>
      </c>
      <c r="W1547" s="70">
        <f>IF($A1547="","",SUMIFS('Mouvements stock'!$H$5:$H$3004,'Mouvements stock'!$I$5:$I$3004,$A1547,'Mouvements stock'!$C$5:$C$3004,"Sortie")-SUMIFS('Mouvements stock'!$H$5:$H$3004,'Mouvements stock'!$I$5:$I$3004,$A1547,'Mouvements stock'!$C$5:$C$3004,"Retour"))</f>
        <v/>
      </c>
      <c r="X1547" s="66" t="n"/>
      <c r="Y1547" s="66" t="n"/>
      <c r="Z1547" s="7" t="n"/>
      <c r="AA1547" s="70">
        <f>IF($A1547="","",N(V1547)+N(W1547)+N(X1547)+N(Y1547))</f>
        <v/>
      </c>
      <c r="AB1547" s="70">
        <f>IF($A1547="","",N(S1547)*'Paramètres'!$AA$9*IFERROR(INDEX('Paramètres'!$O$5:$O$7,MATCH(G1547,'Paramètres'!$N$5:$N$7,0)),0))</f>
        <v/>
      </c>
      <c r="AC1547" s="7" t="n"/>
      <c r="AD1547" s="69">
        <f>IF(OR($A1547="",Q1547=""),"",(Q1547-B1547)*24)</f>
        <v/>
      </c>
      <c r="AE1547" s="69">
        <f>IF(OR(Q1547="",R1547=""),"",(R1547-Q1547)*24)</f>
        <v/>
      </c>
      <c r="AF1547" s="77">
        <f>IF(OR($A1547="",B1547=""),"",YEAR(B1547))</f>
        <v/>
      </c>
      <c r="AG1547" s="77">
        <f>IF(OR($A1547="",B1547=""),"",MONTH(B1547))</f>
        <v/>
      </c>
    </row>
    <row r="1548">
      <c r="A1548" s="7" t="n"/>
      <c r="B1548" s="75" t="n"/>
      <c r="C1548" s="7" t="n"/>
      <c r="D1548" s="7" t="n"/>
      <c r="E1548" s="9">
        <f>IF(D1548="","",IFERROR(INDEX('Équipements'!$B$5:$B$304,MATCH(D1548,'Équipements'!$A$5:$A$304,0)),"Code inconnu"))</f>
        <v/>
      </c>
      <c r="F1548" s="9">
        <f>IF(D1548="","",IFERROR(INDEX('Équipements'!$D$5:$D$304,MATCH(D1548,'Équipements'!$A$5:$A$304,0)),""))</f>
        <v/>
      </c>
      <c r="G1548" s="9">
        <f>IF(D1548="","",IFERROR(INDEX('Équipements'!$K$5:$K$304,MATCH(D1548,'Équipements'!$A$5:$A$304,0)),""))</f>
        <v/>
      </c>
      <c r="H1548" s="7" t="n"/>
      <c r="I1548" s="7" t="n"/>
      <c r="J1548" s="7" t="n"/>
      <c r="K1548" s="7" t="n"/>
      <c r="L1548" s="7" t="n"/>
      <c r="M1548" s="7" t="n"/>
      <c r="N1548" s="7" t="n"/>
      <c r="O1548" s="7" t="n"/>
      <c r="P1548" s="65" t="n"/>
      <c r="Q1548" s="75" t="n"/>
      <c r="R1548" s="75" t="n"/>
      <c r="S1548" s="76" t="n"/>
      <c r="T1548" s="76" t="n"/>
      <c r="U1548" s="70">
        <f>IF($A1548="","",IFERROR(INDEX('Techniciens'!$F$5:$F$44,MATCH(O1548,'Techniciens'!$B$5:$B$44,0)),'Paramètres'!$AA$10))</f>
        <v/>
      </c>
      <c r="V1548" s="70">
        <f>IF($A1548="","",IF(OR(AC1548="Demandé",AC1548="Planifié",AC1548="Annulé"),0,N(T1548)*N(U1548)))</f>
        <v/>
      </c>
      <c r="W1548" s="70">
        <f>IF($A1548="","",SUMIFS('Mouvements stock'!$H$5:$H$3004,'Mouvements stock'!$I$5:$I$3004,$A1548,'Mouvements stock'!$C$5:$C$3004,"Sortie")-SUMIFS('Mouvements stock'!$H$5:$H$3004,'Mouvements stock'!$I$5:$I$3004,$A1548,'Mouvements stock'!$C$5:$C$3004,"Retour"))</f>
        <v/>
      </c>
      <c r="X1548" s="66" t="n"/>
      <c r="Y1548" s="66" t="n"/>
      <c r="Z1548" s="7" t="n"/>
      <c r="AA1548" s="70">
        <f>IF($A1548="","",N(V1548)+N(W1548)+N(X1548)+N(Y1548))</f>
        <v/>
      </c>
      <c r="AB1548" s="70">
        <f>IF($A1548="","",N(S1548)*'Paramètres'!$AA$9*IFERROR(INDEX('Paramètres'!$O$5:$O$7,MATCH(G1548,'Paramètres'!$N$5:$N$7,0)),0))</f>
        <v/>
      </c>
      <c r="AC1548" s="7" t="n"/>
      <c r="AD1548" s="69">
        <f>IF(OR($A1548="",Q1548=""),"",(Q1548-B1548)*24)</f>
        <v/>
      </c>
      <c r="AE1548" s="69">
        <f>IF(OR(Q1548="",R1548=""),"",(R1548-Q1548)*24)</f>
        <v/>
      </c>
      <c r="AF1548" s="77">
        <f>IF(OR($A1548="",B1548=""),"",YEAR(B1548))</f>
        <v/>
      </c>
      <c r="AG1548" s="77">
        <f>IF(OR($A1548="",B1548=""),"",MONTH(B1548))</f>
        <v/>
      </c>
    </row>
    <row r="1549">
      <c r="A1549" s="7" t="n"/>
      <c r="B1549" s="75" t="n"/>
      <c r="C1549" s="7" t="n"/>
      <c r="D1549" s="7" t="n"/>
      <c r="E1549" s="9">
        <f>IF(D1549="","",IFERROR(INDEX('Équipements'!$B$5:$B$304,MATCH(D1549,'Équipements'!$A$5:$A$304,0)),"Code inconnu"))</f>
        <v/>
      </c>
      <c r="F1549" s="9">
        <f>IF(D1549="","",IFERROR(INDEX('Équipements'!$D$5:$D$304,MATCH(D1549,'Équipements'!$A$5:$A$304,0)),""))</f>
        <v/>
      </c>
      <c r="G1549" s="9">
        <f>IF(D1549="","",IFERROR(INDEX('Équipements'!$K$5:$K$304,MATCH(D1549,'Équipements'!$A$5:$A$304,0)),""))</f>
        <v/>
      </c>
      <c r="H1549" s="7" t="n"/>
      <c r="I1549" s="7" t="n"/>
      <c r="J1549" s="7" t="n"/>
      <c r="K1549" s="7" t="n"/>
      <c r="L1549" s="7" t="n"/>
      <c r="M1549" s="7" t="n"/>
      <c r="N1549" s="7" t="n"/>
      <c r="O1549" s="7" t="n"/>
      <c r="P1549" s="65" t="n"/>
      <c r="Q1549" s="75" t="n"/>
      <c r="R1549" s="75" t="n"/>
      <c r="S1549" s="76" t="n"/>
      <c r="T1549" s="76" t="n"/>
      <c r="U1549" s="70">
        <f>IF($A1549="","",IFERROR(INDEX('Techniciens'!$F$5:$F$44,MATCH(O1549,'Techniciens'!$B$5:$B$44,0)),'Paramètres'!$AA$10))</f>
        <v/>
      </c>
      <c r="V1549" s="70">
        <f>IF($A1549="","",IF(OR(AC1549="Demandé",AC1549="Planifié",AC1549="Annulé"),0,N(T1549)*N(U1549)))</f>
        <v/>
      </c>
      <c r="W1549" s="70">
        <f>IF($A1549="","",SUMIFS('Mouvements stock'!$H$5:$H$3004,'Mouvements stock'!$I$5:$I$3004,$A1549,'Mouvements stock'!$C$5:$C$3004,"Sortie")-SUMIFS('Mouvements stock'!$H$5:$H$3004,'Mouvements stock'!$I$5:$I$3004,$A1549,'Mouvements stock'!$C$5:$C$3004,"Retour"))</f>
        <v/>
      </c>
      <c r="X1549" s="66" t="n"/>
      <c r="Y1549" s="66" t="n"/>
      <c r="Z1549" s="7" t="n"/>
      <c r="AA1549" s="70">
        <f>IF($A1549="","",N(V1549)+N(W1549)+N(X1549)+N(Y1549))</f>
        <v/>
      </c>
      <c r="AB1549" s="70">
        <f>IF($A1549="","",N(S1549)*'Paramètres'!$AA$9*IFERROR(INDEX('Paramètres'!$O$5:$O$7,MATCH(G1549,'Paramètres'!$N$5:$N$7,0)),0))</f>
        <v/>
      </c>
      <c r="AC1549" s="7" t="n"/>
      <c r="AD1549" s="69">
        <f>IF(OR($A1549="",Q1549=""),"",(Q1549-B1549)*24)</f>
        <v/>
      </c>
      <c r="AE1549" s="69">
        <f>IF(OR(Q1549="",R1549=""),"",(R1549-Q1549)*24)</f>
        <v/>
      </c>
      <c r="AF1549" s="77">
        <f>IF(OR($A1549="",B1549=""),"",YEAR(B1549))</f>
        <v/>
      </c>
      <c r="AG1549" s="77">
        <f>IF(OR($A1549="",B1549=""),"",MONTH(B1549))</f>
        <v/>
      </c>
    </row>
    <row r="1550">
      <c r="A1550" s="7" t="n"/>
      <c r="B1550" s="75" t="n"/>
      <c r="C1550" s="7" t="n"/>
      <c r="D1550" s="7" t="n"/>
      <c r="E1550" s="9">
        <f>IF(D1550="","",IFERROR(INDEX('Équipements'!$B$5:$B$304,MATCH(D1550,'Équipements'!$A$5:$A$304,0)),"Code inconnu"))</f>
        <v/>
      </c>
      <c r="F1550" s="9">
        <f>IF(D1550="","",IFERROR(INDEX('Équipements'!$D$5:$D$304,MATCH(D1550,'Équipements'!$A$5:$A$304,0)),""))</f>
        <v/>
      </c>
      <c r="G1550" s="9">
        <f>IF(D1550="","",IFERROR(INDEX('Équipements'!$K$5:$K$304,MATCH(D1550,'Équipements'!$A$5:$A$304,0)),""))</f>
        <v/>
      </c>
      <c r="H1550" s="7" t="n"/>
      <c r="I1550" s="7" t="n"/>
      <c r="J1550" s="7" t="n"/>
      <c r="K1550" s="7" t="n"/>
      <c r="L1550" s="7" t="n"/>
      <c r="M1550" s="7" t="n"/>
      <c r="N1550" s="7" t="n"/>
      <c r="O1550" s="7" t="n"/>
      <c r="P1550" s="65" t="n"/>
      <c r="Q1550" s="75" t="n"/>
      <c r="R1550" s="75" t="n"/>
      <c r="S1550" s="76" t="n"/>
      <c r="T1550" s="76" t="n"/>
      <c r="U1550" s="70">
        <f>IF($A1550="","",IFERROR(INDEX('Techniciens'!$F$5:$F$44,MATCH(O1550,'Techniciens'!$B$5:$B$44,0)),'Paramètres'!$AA$10))</f>
        <v/>
      </c>
      <c r="V1550" s="70">
        <f>IF($A1550="","",IF(OR(AC1550="Demandé",AC1550="Planifié",AC1550="Annulé"),0,N(T1550)*N(U1550)))</f>
        <v/>
      </c>
      <c r="W1550" s="70">
        <f>IF($A1550="","",SUMIFS('Mouvements stock'!$H$5:$H$3004,'Mouvements stock'!$I$5:$I$3004,$A1550,'Mouvements stock'!$C$5:$C$3004,"Sortie")-SUMIFS('Mouvements stock'!$H$5:$H$3004,'Mouvements stock'!$I$5:$I$3004,$A1550,'Mouvements stock'!$C$5:$C$3004,"Retour"))</f>
        <v/>
      </c>
      <c r="X1550" s="66" t="n"/>
      <c r="Y1550" s="66" t="n"/>
      <c r="Z1550" s="7" t="n"/>
      <c r="AA1550" s="70">
        <f>IF($A1550="","",N(V1550)+N(W1550)+N(X1550)+N(Y1550))</f>
        <v/>
      </c>
      <c r="AB1550" s="70">
        <f>IF($A1550="","",N(S1550)*'Paramètres'!$AA$9*IFERROR(INDEX('Paramètres'!$O$5:$O$7,MATCH(G1550,'Paramètres'!$N$5:$N$7,0)),0))</f>
        <v/>
      </c>
      <c r="AC1550" s="7" t="n"/>
      <c r="AD1550" s="69">
        <f>IF(OR($A1550="",Q1550=""),"",(Q1550-B1550)*24)</f>
        <v/>
      </c>
      <c r="AE1550" s="69">
        <f>IF(OR(Q1550="",R1550=""),"",(R1550-Q1550)*24)</f>
        <v/>
      </c>
      <c r="AF1550" s="77">
        <f>IF(OR($A1550="",B1550=""),"",YEAR(B1550))</f>
        <v/>
      </c>
      <c r="AG1550" s="77">
        <f>IF(OR($A1550="",B1550=""),"",MONTH(B1550))</f>
        <v/>
      </c>
    </row>
    <row r="1551">
      <c r="A1551" s="7" t="n"/>
      <c r="B1551" s="75" t="n"/>
      <c r="C1551" s="7" t="n"/>
      <c r="D1551" s="7" t="n"/>
      <c r="E1551" s="9">
        <f>IF(D1551="","",IFERROR(INDEX('Équipements'!$B$5:$B$304,MATCH(D1551,'Équipements'!$A$5:$A$304,0)),"Code inconnu"))</f>
        <v/>
      </c>
      <c r="F1551" s="9">
        <f>IF(D1551="","",IFERROR(INDEX('Équipements'!$D$5:$D$304,MATCH(D1551,'Équipements'!$A$5:$A$304,0)),""))</f>
        <v/>
      </c>
      <c r="G1551" s="9">
        <f>IF(D1551="","",IFERROR(INDEX('Équipements'!$K$5:$K$304,MATCH(D1551,'Équipements'!$A$5:$A$304,0)),""))</f>
        <v/>
      </c>
      <c r="H1551" s="7" t="n"/>
      <c r="I1551" s="7" t="n"/>
      <c r="J1551" s="7" t="n"/>
      <c r="K1551" s="7" t="n"/>
      <c r="L1551" s="7" t="n"/>
      <c r="M1551" s="7" t="n"/>
      <c r="N1551" s="7" t="n"/>
      <c r="O1551" s="7" t="n"/>
      <c r="P1551" s="65" t="n"/>
      <c r="Q1551" s="75" t="n"/>
      <c r="R1551" s="75" t="n"/>
      <c r="S1551" s="76" t="n"/>
      <c r="T1551" s="76" t="n"/>
      <c r="U1551" s="70">
        <f>IF($A1551="","",IFERROR(INDEX('Techniciens'!$F$5:$F$44,MATCH(O1551,'Techniciens'!$B$5:$B$44,0)),'Paramètres'!$AA$10))</f>
        <v/>
      </c>
      <c r="V1551" s="70">
        <f>IF($A1551="","",IF(OR(AC1551="Demandé",AC1551="Planifié",AC1551="Annulé"),0,N(T1551)*N(U1551)))</f>
        <v/>
      </c>
      <c r="W1551" s="70">
        <f>IF($A1551="","",SUMIFS('Mouvements stock'!$H$5:$H$3004,'Mouvements stock'!$I$5:$I$3004,$A1551,'Mouvements stock'!$C$5:$C$3004,"Sortie")-SUMIFS('Mouvements stock'!$H$5:$H$3004,'Mouvements stock'!$I$5:$I$3004,$A1551,'Mouvements stock'!$C$5:$C$3004,"Retour"))</f>
        <v/>
      </c>
      <c r="X1551" s="66" t="n"/>
      <c r="Y1551" s="66" t="n"/>
      <c r="Z1551" s="7" t="n"/>
      <c r="AA1551" s="70">
        <f>IF($A1551="","",N(V1551)+N(W1551)+N(X1551)+N(Y1551))</f>
        <v/>
      </c>
      <c r="AB1551" s="70">
        <f>IF($A1551="","",N(S1551)*'Paramètres'!$AA$9*IFERROR(INDEX('Paramètres'!$O$5:$O$7,MATCH(G1551,'Paramètres'!$N$5:$N$7,0)),0))</f>
        <v/>
      </c>
      <c r="AC1551" s="7" t="n"/>
      <c r="AD1551" s="69">
        <f>IF(OR($A1551="",Q1551=""),"",(Q1551-B1551)*24)</f>
        <v/>
      </c>
      <c r="AE1551" s="69">
        <f>IF(OR(Q1551="",R1551=""),"",(R1551-Q1551)*24)</f>
        <v/>
      </c>
      <c r="AF1551" s="77">
        <f>IF(OR($A1551="",B1551=""),"",YEAR(B1551))</f>
        <v/>
      </c>
      <c r="AG1551" s="77">
        <f>IF(OR($A1551="",B1551=""),"",MONTH(B1551))</f>
        <v/>
      </c>
    </row>
    <row r="1552">
      <c r="A1552" s="7" t="n"/>
      <c r="B1552" s="75" t="n"/>
      <c r="C1552" s="7" t="n"/>
      <c r="D1552" s="7" t="n"/>
      <c r="E1552" s="9">
        <f>IF(D1552="","",IFERROR(INDEX('Équipements'!$B$5:$B$304,MATCH(D1552,'Équipements'!$A$5:$A$304,0)),"Code inconnu"))</f>
        <v/>
      </c>
      <c r="F1552" s="9">
        <f>IF(D1552="","",IFERROR(INDEX('Équipements'!$D$5:$D$304,MATCH(D1552,'Équipements'!$A$5:$A$304,0)),""))</f>
        <v/>
      </c>
      <c r="G1552" s="9">
        <f>IF(D1552="","",IFERROR(INDEX('Équipements'!$K$5:$K$304,MATCH(D1552,'Équipements'!$A$5:$A$304,0)),""))</f>
        <v/>
      </c>
      <c r="H1552" s="7" t="n"/>
      <c r="I1552" s="7" t="n"/>
      <c r="J1552" s="7" t="n"/>
      <c r="K1552" s="7" t="n"/>
      <c r="L1552" s="7" t="n"/>
      <c r="M1552" s="7" t="n"/>
      <c r="N1552" s="7" t="n"/>
      <c r="O1552" s="7" t="n"/>
      <c r="P1552" s="65" t="n"/>
      <c r="Q1552" s="75" t="n"/>
      <c r="R1552" s="75" t="n"/>
      <c r="S1552" s="76" t="n"/>
      <c r="T1552" s="76" t="n"/>
      <c r="U1552" s="70">
        <f>IF($A1552="","",IFERROR(INDEX('Techniciens'!$F$5:$F$44,MATCH(O1552,'Techniciens'!$B$5:$B$44,0)),'Paramètres'!$AA$10))</f>
        <v/>
      </c>
      <c r="V1552" s="70">
        <f>IF($A1552="","",IF(OR(AC1552="Demandé",AC1552="Planifié",AC1552="Annulé"),0,N(T1552)*N(U1552)))</f>
        <v/>
      </c>
      <c r="W1552" s="70">
        <f>IF($A1552="","",SUMIFS('Mouvements stock'!$H$5:$H$3004,'Mouvements stock'!$I$5:$I$3004,$A1552,'Mouvements stock'!$C$5:$C$3004,"Sortie")-SUMIFS('Mouvements stock'!$H$5:$H$3004,'Mouvements stock'!$I$5:$I$3004,$A1552,'Mouvements stock'!$C$5:$C$3004,"Retour"))</f>
        <v/>
      </c>
      <c r="X1552" s="66" t="n"/>
      <c r="Y1552" s="66" t="n"/>
      <c r="Z1552" s="7" t="n"/>
      <c r="AA1552" s="70">
        <f>IF($A1552="","",N(V1552)+N(W1552)+N(X1552)+N(Y1552))</f>
        <v/>
      </c>
      <c r="AB1552" s="70">
        <f>IF($A1552="","",N(S1552)*'Paramètres'!$AA$9*IFERROR(INDEX('Paramètres'!$O$5:$O$7,MATCH(G1552,'Paramètres'!$N$5:$N$7,0)),0))</f>
        <v/>
      </c>
      <c r="AC1552" s="7" t="n"/>
      <c r="AD1552" s="69">
        <f>IF(OR($A1552="",Q1552=""),"",(Q1552-B1552)*24)</f>
        <v/>
      </c>
      <c r="AE1552" s="69">
        <f>IF(OR(Q1552="",R1552=""),"",(R1552-Q1552)*24)</f>
        <v/>
      </c>
      <c r="AF1552" s="77">
        <f>IF(OR($A1552="",B1552=""),"",YEAR(B1552))</f>
        <v/>
      </c>
      <c r="AG1552" s="77">
        <f>IF(OR($A1552="",B1552=""),"",MONTH(B1552))</f>
        <v/>
      </c>
    </row>
    <row r="1553">
      <c r="A1553" s="7" t="n"/>
      <c r="B1553" s="75" t="n"/>
      <c r="C1553" s="7" t="n"/>
      <c r="D1553" s="7" t="n"/>
      <c r="E1553" s="9">
        <f>IF(D1553="","",IFERROR(INDEX('Équipements'!$B$5:$B$304,MATCH(D1553,'Équipements'!$A$5:$A$304,0)),"Code inconnu"))</f>
        <v/>
      </c>
      <c r="F1553" s="9">
        <f>IF(D1553="","",IFERROR(INDEX('Équipements'!$D$5:$D$304,MATCH(D1553,'Équipements'!$A$5:$A$304,0)),""))</f>
        <v/>
      </c>
      <c r="G1553" s="9">
        <f>IF(D1553="","",IFERROR(INDEX('Équipements'!$K$5:$K$304,MATCH(D1553,'Équipements'!$A$5:$A$304,0)),""))</f>
        <v/>
      </c>
      <c r="H1553" s="7" t="n"/>
      <c r="I1553" s="7" t="n"/>
      <c r="J1553" s="7" t="n"/>
      <c r="K1553" s="7" t="n"/>
      <c r="L1553" s="7" t="n"/>
      <c r="M1553" s="7" t="n"/>
      <c r="N1553" s="7" t="n"/>
      <c r="O1553" s="7" t="n"/>
      <c r="P1553" s="65" t="n"/>
      <c r="Q1553" s="75" t="n"/>
      <c r="R1553" s="75" t="n"/>
      <c r="S1553" s="76" t="n"/>
      <c r="T1553" s="76" t="n"/>
      <c r="U1553" s="70">
        <f>IF($A1553="","",IFERROR(INDEX('Techniciens'!$F$5:$F$44,MATCH(O1553,'Techniciens'!$B$5:$B$44,0)),'Paramètres'!$AA$10))</f>
        <v/>
      </c>
      <c r="V1553" s="70">
        <f>IF($A1553="","",IF(OR(AC1553="Demandé",AC1553="Planifié",AC1553="Annulé"),0,N(T1553)*N(U1553)))</f>
        <v/>
      </c>
      <c r="W1553" s="70">
        <f>IF($A1553="","",SUMIFS('Mouvements stock'!$H$5:$H$3004,'Mouvements stock'!$I$5:$I$3004,$A1553,'Mouvements stock'!$C$5:$C$3004,"Sortie")-SUMIFS('Mouvements stock'!$H$5:$H$3004,'Mouvements stock'!$I$5:$I$3004,$A1553,'Mouvements stock'!$C$5:$C$3004,"Retour"))</f>
        <v/>
      </c>
      <c r="X1553" s="66" t="n"/>
      <c r="Y1553" s="66" t="n"/>
      <c r="Z1553" s="7" t="n"/>
      <c r="AA1553" s="70">
        <f>IF($A1553="","",N(V1553)+N(W1553)+N(X1553)+N(Y1553))</f>
        <v/>
      </c>
      <c r="AB1553" s="70">
        <f>IF($A1553="","",N(S1553)*'Paramètres'!$AA$9*IFERROR(INDEX('Paramètres'!$O$5:$O$7,MATCH(G1553,'Paramètres'!$N$5:$N$7,0)),0))</f>
        <v/>
      </c>
      <c r="AC1553" s="7" t="n"/>
      <c r="AD1553" s="69">
        <f>IF(OR($A1553="",Q1553=""),"",(Q1553-B1553)*24)</f>
        <v/>
      </c>
      <c r="AE1553" s="69">
        <f>IF(OR(Q1553="",R1553=""),"",(R1553-Q1553)*24)</f>
        <v/>
      </c>
      <c r="AF1553" s="77">
        <f>IF(OR($A1553="",B1553=""),"",YEAR(B1553))</f>
        <v/>
      </c>
      <c r="AG1553" s="77">
        <f>IF(OR($A1553="",B1553=""),"",MONTH(B1553))</f>
        <v/>
      </c>
    </row>
    <row r="1554">
      <c r="A1554" s="7" t="n"/>
      <c r="B1554" s="75" t="n"/>
      <c r="C1554" s="7" t="n"/>
      <c r="D1554" s="7" t="n"/>
      <c r="E1554" s="9">
        <f>IF(D1554="","",IFERROR(INDEX('Équipements'!$B$5:$B$304,MATCH(D1554,'Équipements'!$A$5:$A$304,0)),"Code inconnu"))</f>
        <v/>
      </c>
      <c r="F1554" s="9">
        <f>IF(D1554="","",IFERROR(INDEX('Équipements'!$D$5:$D$304,MATCH(D1554,'Équipements'!$A$5:$A$304,0)),""))</f>
        <v/>
      </c>
      <c r="G1554" s="9">
        <f>IF(D1554="","",IFERROR(INDEX('Équipements'!$K$5:$K$304,MATCH(D1554,'Équipements'!$A$5:$A$304,0)),""))</f>
        <v/>
      </c>
      <c r="H1554" s="7" t="n"/>
      <c r="I1554" s="7" t="n"/>
      <c r="J1554" s="7" t="n"/>
      <c r="K1554" s="7" t="n"/>
      <c r="L1554" s="7" t="n"/>
      <c r="M1554" s="7" t="n"/>
      <c r="N1554" s="7" t="n"/>
      <c r="O1554" s="7" t="n"/>
      <c r="P1554" s="65" t="n"/>
      <c r="Q1554" s="75" t="n"/>
      <c r="R1554" s="75" t="n"/>
      <c r="S1554" s="76" t="n"/>
      <c r="T1554" s="76" t="n"/>
      <c r="U1554" s="70">
        <f>IF($A1554="","",IFERROR(INDEX('Techniciens'!$F$5:$F$44,MATCH(O1554,'Techniciens'!$B$5:$B$44,0)),'Paramètres'!$AA$10))</f>
        <v/>
      </c>
      <c r="V1554" s="70">
        <f>IF($A1554="","",IF(OR(AC1554="Demandé",AC1554="Planifié",AC1554="Annulé"),0,N(T1554)*N(U1554)))</f>
        <v/>
      </c>
      <c r="W1554" s="70">
        <f>IF($A1554="","",SUMIFS('Mouvements stock'!$H$5:$H$3004,'Mouvements stock'!$I$5:$I$3004,$A1554,'Mouvements stock'!$C$5:$C$3004,"Sortie")-SUMIFS('Mouvements stock'!$H$5:$H$3004,'Mouvements stock'!$I$5:$I$3004,$A1554,'Mouvements stock'!$C$5:$C$3004,"Retour"))</f>
        <v/>
      </c>
      <c r="X1554" s="66" t="n"/>
      <c r="Y1554" s="66" t="n"/>
      <c r="Z1554" s="7" t="n"/>
      <c r="AA1554" s="70">
        <f>IF($A1554="","",N(V1554)+N(W1554)+N(X1554)+N(Y1554))</f>
        <v/>
      </c>
      <c r="AB1554" s="70">
        <f>IF($A1554="","",N(S1554)*'Paramètres'!$AA$9*IFERROR(INDEX('Paramètres'!$O$5:$O$7,MATCH(G1554,'Paramètres'!$N$5:$N$7,0)),0))</f>
        <v/>
      </c>
      <c r="AC1554" s="7" t="n"/>
      <c r="AD1554" s="69">
        <f>IF(OR($A1554="",Q1554=""),"",(Q1554-B1554)*24)</f>
        <v/>
      </c>
      <c r="AE1554" s="69">
        <f>IF(OR(Q1554="",R1554=""),"",(R1554-Q1554)*24)</f>
        <v/>
      </c>
      <c r="AF1554" s="77">
        <f>IF(OR($A1554="",B1554=""),"",YEAR(B1554))</f>
        <v/>
      </c>
      <c r="AG1554" s="77">
        <f>IF(OR($A1554="",B1554=""),"",MONTH(B1554))</f>
        <v/>
      </c>
    </row>
    <row r="1555">
      <c r="A1555" s="7" t="n"/>
      <c r="B1555" s="75" t="n"/>
      <c r="C1555" s="7" t="n"/>
      <c r="D1555" s="7" t="n"/>
      <c r="E1555" s="9">
        <f>IF(D1555="","",IFERROR(INDEX('Équipements'!$B$5:$B$304,MATCH(D1555,'Équipements'!$A$5:$A$304,0)),"Code inconnu"))</f>
        <v/>
      </c>
      <c r="F1555" s="9">
        <f>IF(D1555="","",IFERROR(INDEX('Équipements'!$D$5:$D$304,MATCH(D1555,'Équipements'!$A$5:$A$304,0)),""))</f>
        <v/>
      </c>
      <c r="G1555" s="9">
        <f>IF(D1555="","",IFERROR(INDEX('Équipements'!$K$5:$K$304,MATCH(D1555,'Équipements'!$A$5:$A$304,0)),""))</f>
        <v/>
      </c>
      <c r="H1555" s="7" t="n"/>
      <c r="I1555" s="7" t="n"/>
      <c r="J1555" s="7" t="n"/>
      <c r="K1555" s="7" t="n"/>
      <c r="L1555" s="7" t="n"/>
      <c r="M1555" s="7" t="n"/>
      <c r="N1555" s="7" t="n"/>
      <c r="O1555" s="7" t="n"/>
      <c r="P1555" s="65" t="n"/>
      <c r="Q1555" s="75" t="n"/>
      <c r="R1555" s="75" t="n"/>
      <c r="S1555" s="76" t="n"/>
      <c r="T1555" s="76" t="n"/>
      <c r="U1555" s="70">
        <f>IF($A1555="","",IFERROR(INDEX('Techniciens'!$F$5:$F$44,MATCH(O1555,'Techniciens'!$B$5:$B$44,0)),'Paramètres'!$AA$10))</f>
        <v/>
      </c>
      <c r="V1555" s="70">
        <f>IF($A1555="","",IF(OR(AC1555="Demandé",AC1555="Planifié",AC1555="Annulé"),0,N(T1555)*N(U1555)))</f>
        <v/>
      </c>
      <c r="W1555" s="70">
        <f>IF($A1555="","",SUMIFS('Mouvements stock'!$H$5:$H$3004,'Mouvements stock'!$I$5:$I$3004,$A1555,'Mouvements stock'!$C$5:$C$3004,"Sortie")-SUMIFS('Mouvements stock'!$H$5:$H$3004,'Mouvements stock'!$I$5:$I$3004,$A1555,'Mouvements stock'!$C$5:$C$3004,"Retour"))</f>
        <v/>
      </c>
      <c r="X1555" s="66" t="n"/>
      <c r="Y1555" s="66" t="n"/>
      <c r="Z1555" s="7" t="n"/>
      <c r="AA1555" s="70">
        <f>IF($A1555="","",N(V1555)+N(W1555)+N(X1555)+N(Y1555))</f>
        <v/>
      </c>
      <c r="AB1555" s="70">
        <f>IF($A1555="","",N(S1555)*'Paramètres'!$AA$9*IFERROR(INDEX('Paramètres'!$O$5:$O$7,MATCH(G1555,'Paramètres'!$N$5:$N$7,0)),0))</f>
        <v/>
      </c>
      <c r="AC1555" s="7" t="n"/>
      <c r="AD1555" s="69">
        <f>IF(OR($A1555="",Q1555=""),"",(Q1555-B1555)*24)</f>
        <v/>
      </c>
      <c r="AE1555" s="69">
        <f>IF(OR(Q1555="",R1555=""),"",(R1555-Q1555)*24)</f>
        <v/>
      </c>
      <c r="AF1555" s="77">
        <f>IF(OR($A1555="",B1555=""),"",YEAR(B1555))</f>
        <v/>
      </c>
      <c r="AG1555" s="77">
        <f>IF(OR($A1555="",B1555=""),"",MONTH(B1555))</f>
        <v/>
      </c>
    </row>
    <row r="1556">
      <c r="A1556" s="7" t="n"/>
      <c r="B1556" s="75" t="n"/>
      <c r="C1556" s="7" t="n"/>
      <c r="D1556" s="7" t="n"/>
      <c r="E1556" s="9">
        <f>IF(D1556="","",IFERROR(INDEX('Équipements'!$B$5:$B$304,MATCH(D1556,'Équipements'!$A$5:$A$304,0)),"Code inconnu"))</f>
        <v/>
      </c>
      <c r="F1556" s="9">
        <f>IF(D1556="","",IFERROR(INDEX('Équipements'!$D$5:$D$304,MATCH(D1556,'Équipements'!$A$5:$A$304,0)),""))</f>
        <v/>
      </c>
      <c r="G1556" s="9">
        <f>IF(D1556="","",IFERROR(INDEX('Équipements'!$K$5:$K$304,MATCH(D1556,'Équipements'!$A$5:$A$304,0)),""))</f>
        <v/>
      </c>
      <c r="H1556" s="7" t="n"/>
      <c r="I1556" s="7" t="n"/>
      <c r="J1556" s="7" t="n"/>
      <c r="K1556" s="7" t="n"/>
      <c r="L1556" s="7" t="n"/>
      <c r="M1556" s="7" t="n"/>
      <c r="N1556" s="7" t="n"/>
      <c r="O1556" s="7" t="n"/>
      <c r="P1556" s="65" t="n"/>
      <c r="Q1556" s="75" t="n"/>
      <c r="R1556" s="75" t="n"/>
      <c r="S1556" s="76" t="n"/>
      <c r="T1556" s="76" t="n"/>
      <c r="U1556" s="70">
        <f>IF($A1556="","",IFERROR(INDEX('Techniciens'!$F$5:$F$44,MATCH(O1556,'Techniciens'!$B$5:$B$44,0)),'Paramètres'!$AA$10))</f>
        <v/>
      </c>
      <c r="V1556" s="70">
        <f>IF($A1556="","",IF(OR(AC1556="Demandé",AC1556="Planifié",AC1556="Annulé"),0,N(T1556)*N(U1556)))</f>
        <v/>
      </c>
      <c r="W1556" s="70">
        <f>IF($A1556="","",SUMIFS('Mouvements stock'!$H$5:$H$3004,'Mouvements stock'!$I$5:$I$3004,$A1556,'Mouvements stock'!$C$5:$C$3004,"Sortie")-SUMIFS('Mouvements stock'!$H$5:$H$3004,'Mouvements stock'!$I$5:$I$3004,$A1556,'Mouvements stock'!$C$5:$C$3004,"Retour"))</f>
        <v/>
      </c>
      <c r="X1556" s="66" t="n"/>
      <c r="Y1556" s="66" t="n"/>
      <c r="Z1556" s="7" t="n"/>
      <c r="AA1556" s="70">
        <f>IF($A1556="","",N(V1556)+N(W1556)+N(X1556)+N(Y1556))</f>
        <v/>
      </c>
      <c r="AB1556" s="70">
        <f>IF($A1556="","",N(S1556)*'Paramètres'!$AA$9*IFERROR(INDEX('Paramètres'!$O$5:$O$7,MATCH(G1556,'Paramètres'!$N$5:$N$7,0)),0))</f>
        <v/>
      </c>
      <c r="AC1556" s="7" t="n"/>
      <c r="AD1556" s="69">
        <f>IF(OR($A1556="",Q1556=""),"",(Q1556-B1556)*24)</f>
        <v/>
      </c>
      <c r="AE1556" s="69">
        <f>IF(OR(Q1556="",R1556=""),"",(R1556-Q1556)*24)</f>
        <v/>
      </c>
      <c r="AF1556" s="77">
        <f>IF(OR($A1556="",B1556=""),"",YEAR(B1556))</f>
        <v/>
      </c>
      <c r="AG1556" s="77">
        <f>IF(OR($A1556="",B1556=""),"",MONTH(B1556))</f>
        <v/>
      </c>
    </row>
    <row r="1557">
      <c r="A1557" s="7" t="n"/>
      <c r="B1557" s="75" t="n"/>
      <c r="C1557" s="7" t="n"/>
      <c r="D1557" s="7" t="n"/>
      <c r="E1557" s="9">
        <f>IF(D1557="","",IFERROR(INDEX('Équipements'!$B$5:$B$304,MATCH(D1557,'Équipements'!$A$5:$A$304,0)),"Code inconnu"))</f>
        <v/>
      </c>
      <c r="F1557" s="9">
        <f>IF(D1557="","",IFERROR(INDEX('Équipements'!$D$5:$D$304,MATCH(D1557,'Équipements'!$A$5:$A$304,0)),""))</f>
        <v/>
      </c>
      <c r="G1557" s="9">
        <f>IF(D1557="","",IFERROR(INDEX('Équipements'!$K$5:$K$304,MATCH(D1557,'Équipements'!$A$5:$A$304,0)),""))</f>
        <v/>
      </c>
      <c r="H1557" s="7" t="n"/>
      <c r="I1557" s="7" t="n"/>
      <c r="J1557" s="7" t="n"/>
      <c r="K1557" s="7" t="n"/>
      <c r="L1557" s="7" t="n"/>
      <c r="M1557" s="7" t="n"/>
      <c r="N1557" s="7" t="n"/>
      <c r="O1557" s="7" t="n"/>
      <c r="P1557" s="65" t="n"/>
      <c r="Q1557" s="75" t="n"/>
      <c r="R1557" s="75" t="n"/>
      <c r="S1557" s="76" t="n"/>
      <c r="T1557" s="76" t="n"/>
      <c r="U1557" s="70">
        <f>IF($A1557="","",IFERROR(INDEX('Techniciens'!$F$5:$F$44,MATCH(O1557,'Techniciens'!$B$5:$B$44,0)),'Paramètres'!$AA$10))</f>
        <v/>
      </c>
      <c r="V1557" s="70">
        <f>IF($A1557="","",IF(OR(AC1557="Demandé",AC1557="Planifié",AC1557="Annulé"),0,N(T1557)*N(U1557)))</f>
        <v/>
      </c>
      <c r="W1557" s="70">
        <f>IF($A1557="","",SUMIFS('Mouvements stock'!$H$5:$H$3004,'Mouvements stock'!$I$5:$I$3004,$A1557,'Mouvements stock'!$C$5:$C$3004,"Sortie")-SUMIFS('Mouvements stock'!$H$5:$H$3004,'Mouvements stock'!$I$5:$I$3004,$A1557,'Mouvements stock'!$C$5:$C$3004,"Retour"))</f>
        <v/>
      </c>
      <c r="X1557" s="66" t="n"/>
      <c r="Y1557" s="66" t="n"/>
      <c r="Z1557" s="7" t="n"/>
      <c r="AA1557" s="70">
        <f>IF($A1557="","",N(V1557)+N(W1557)+N(X1557)+N(Y1557))</f>
        <v/>
      </c>
      <c r="AB1557" s="70">
        <f>IF($A1557="","",N(S1557)*'Paramètres'!$AA$9*IFERROR(INDEX('Paramètres'!$O$5:$O$7,MATCH(G1557,'Paramètres'!$N$5:$N$7,0)),0))</f>
        <v/>
      </c>
      <c r="AC1557" s="7" t="n"/>
      <c r="AD1557" s="69">
        <f>IF(OR($A1557="",Q1557=""),"",(Q1557-B1557)*24)</f>
        <v/>
      </c>
      <c r="AE1557" s="69">
        <f>IF(OR(Q1557="",R1557=""),"",(R1557-Q1557)*24)</f>
        <v/>
      </c>
      <c r="AF1557" s="77">
        <f>IF(OR($A1557="",B1557=""),"",YEAR(B1557))</f>
        <v/>
      </c>
      <c r="AG1557" s="77">
        <f>IF(OR($A1557="",B1557=""),"",MONTH(B1557))</f>
        <v/>
      </c>
    </row>
    <row r="1558">
      <c r="A1558" s="7" t="n"/>
      <c r="B1558" s="75" t="n"/>
      <c r="C1558" s="7" t="n"/>
      <c r="D1558" s="7" t="n"/>
      <c r="E1558" s="9">
        <f>IF(D1558="","",IFERROR(INDEX('Équipements'!$B$5:$B$304,MATCH(D1558,'Équipements'!$A$5:$A$304,0)),"Code inconnu"))</f>
        <v/>
      </c>
      <c r="F1558" s="9">
        <f>IF(D1558="","",IFERROR(INDEX('Équipements'!$D$5:$D$304,MATCH(D1558,'Équipements'!$A$5:$A$304,0)),""))</f>
        <v/>
      </c>
      <c r="G1558" s="9">
        <f>IF(D1558="","",IFERROR(INDEX('Équipements'!$K$5:$K$304,MATCH(D1558,'Équipements'!$A$5:$A$304,0)),""))</f>
        <v/>
      </c>
      <c r="H1558" s="7" t="n"/>
      <c r="I1558" s="7" t="n"/>
      <c r="J1558" s="7" t="n"/>
      <c r="K1558" s="7" t="n"/>
      <c r="L1558" s="7" t="n"/>
      <c r="M1558" s="7" t="n"/>
      <c r="N1558" s="7" t="n"/>
      <c r="O1558" s="7" t="n"/>
      <c r="P1558" s="65" t="n"/>
      <c r="Q1558" s="75" t="n"/>
      <c r="R1558" s="75" t="n"/>
      <c r="S1558" s="76" t="n"/>
      <c r="T1558" s="76" t="n"/>
      <c r="U1558" s="70">
        <f>IF($A1558="","",IFERROR(INDEX('Techniciens'!$F$5:$F$44,MATCH(O1558,'Techniciens'!$B$5:$B$44,0)),'Paramètres'!$AA$10))</f>
        <v/>
      </c>
      <c r="V1558" s="70">
        <f>IF($A1558="","",IF(OR(AC1558="Demandé",AC1558="Planifié",AC1558="Annulé"),0,N(T1558)*N(U1558)))</f>
        <v/>
      </c>
      <c r="W1558" s="70">
        <f>IF($A1558="","",SUMIFS('Mouvements stock'!$H$5:$H$3004,'Mouvements stock'!$I$5:$I$3004,$A1558,'Mouvements stock'!$C$5:$C$3004,"Sortie")-SUMIFS('Mouvements stock'!$H$5:$H$3004,'Mouvements stock'!$I$5:$I$3004,$A1558,'Mouvements stock'!$C$5:$C$3004,"Retour"))</f>
        <v/>
      </c>
      <c r="X1558" s="66" t="n"/>
      <c r="Y1558" s="66" t="n"/>
      <c r="Z1558" s="7" t="n"/>
      <c r="AA1558" s="70">
        <f>IF($A1558="","",N(V1558)+N(W1558)+N(X1558)+N(Y1558))</f>
        <v/>
      </c>
      <c r="AB1558" s="70">
        <f>IF($A1558="","",N(S1558)*'Paramètres'!$AA$9*IFERROR(INDEX('Paramètres'!$O$5:$O$7,MATCH(G1558,'Paramètres'!$N$5:$N$7,0)),0))</f>
        <v/>
      </c>
      <c r="AC1558" s="7" t="n"/>
      <c r="AD1558" s="69">
        <f>IF(OR($A1558="",Q1558=""),"",(Q1558-B1558)*24)</f>
        <v/>
      </c>
      <c r="AE1558" s="69">
        <f>IF(OR(Q1558="",R1558=""),"",(R1558-Q1558)*24)</f>
        <v/>
      </c>
      <c r="AF1558" s="77">
        <f>IF(OR($A1558="",B1558=""),"",YEAR(B1558))</f>
        <v/>
      </c>
      <c r="AG1558" s="77">
        <f>IF(OR($A1558="",B1558=""),"",MONTH(B1558))</f>
        <v/>
      </c>
    </row>
    <row r="1559">
      <c r="A1559" s="7" t="n"/>
      <c r="B1559" s="75" t="n"/>
      <c r="C1559" s="7" t="n"/>
      <c r="D1559" s="7" t="n"/>
      <c r="E1559" s="9">
        <f>IF(D1559="","",IFERROR(INDEX('Équipements'!$B$5:$B$304,MATCH(D1559,'Équipements'!$A$5:$A$304,0)),"Code inconnu"))</f>
        <v/>
      </c>
      <c r="F1559" s="9">
        <f>IF(D1559="","",IFERROR(INDEX('Équipements'!$D$5:$D$304,MATCH(D1559,'Équipements'!$A$5:$A$304,0)),""))</f>
        <v/>
      </c>
      <c r="G1559" s="9">
        <f>IF(D1559="","",IFERROR(INDEX('Équipements'!$K$5:$K$304,MATCH(D1559,'Équipements'!$A$5:$A$304,0)),""))</f>
        <v/>
      </c>
      <c r="H1559" s="7" t="n"/>
      <c r="I1559" s="7" t="n"/>
      <c r="J1559" s="7" t="n"/>
      <c r="K1559" s="7" t="n"/>
      <c r="L1559" s="7" t="n"/>
      <c r="M1559" s="7" t="n"/>
      <c r="N1559" s="7" t="n"/>
      <c r="O1559" s="7" t="n"/>
      <c r="P1559" s="65" t="n"/>
      <c r="Q1559" s="75" t="n"/>
      <c r="R1559" s="75" t="n"/>
      <c r="S1559" s="76" t="n"/>
      <c r="T1559" s="76" t="n"/>
      <c r="U1559" s="70">
        <f>IF($A1559="","",IFERROR(INDEX('Techniciens'!$F$5:$F$44,MATCH(O1559,'Techniciens'!$B$5:$B$44,0)),'Paramètres'!$AA$10))</f>
        <v/>
      </c>
      <c r="V1559" s="70">
        <f>IF($A1559="","",IF(OR(AC1559="Demandé",AC1559="Planifié",AC1559="Annulé"),0,N(T1559)*N(U1559)))</f>
        <v/>
      </c>
      <c r="W1559" s="70">
        <f>IF($A1559="","",SUMIFS('Mouvements stock'!$H$5:$H$3004,'Mouvements stock'!$I$5:$I$3004,$A1559,'Mouvements stock'!$C$5:$C$3004,"Sortie")-SUMIFS('Mouvements stock'!$H$5:$H$3004,'Mouvements stock'!$I$5:$I$3004,$A1559,'Mouvements stock'!$C$5:$C$3004,"Retour"))</f>
        <v/>
      </c>
      <c r="X1559" s="66" t="n"/>
      <c r="Y1559" s="66" t="n"/>
      <c r="Z1559" s="7" t="n"/>
      <c r="AA1559" s="70">
        <f>IF($A1559="","",N(V1559)+N(W1559)+N(X1559)+N(Y1559))</f>
        <v/>
      </c>
      <c r="AB1559" s="70">
        <f>IF($A1559="","",N(S1559)*'Paramètres'!$AA$9*IFERROR(INDEX('Paramètres'!$O$5:$O$7,MATCH(G1559,'Paramètres'!$N$5:$N$7,0)),0))</f>
        <v/>
      </c>
      <c r="AC1559" s="7" t="n"/>
      <c r="AD1559" s="69">
        <f>IF(OR($A1559="",Q1559=""),"",(Q1559-B1559)*24)</f>
        <v/>
      </c>
      <c r="AE1559" s="69">
        <f>IF(OR(Q1559="",R1559=""),"",(R1559-Q1559)*24)</f>
        <v/>
      </c>
      <c r="AF1559" s="77">
        <f>IF(OR($A1559="",B1559=""),"",YEAR(B1559))</f>
        <v/>
      </c>
      <c r="AG1559" s="77">
        <f>IF(OR($A1559="",B1559=""),"",MONTH(B1559))</f>
        <v/>
      </c>
    </row>
    <row r="1560">
      <c r="A1560" s="7" t="n"/>
      <c r="B1560" s="75" t="n"/>
      <c r="C1560" s="7" t="n"/>
      <c r="D1560" s="7" t="n"/>
      <c r="E1560" s="9">
        <f>IF(D1560="","",IFERROR(INDEX('Équipements'!$B$5:$B$304,MATCH(D1560,'Équipements'!$A$5:$A$304,0)),"Code inconnu"))</f>
        <v/>
      </c>
      <c r="F1560" s="9">
        <f>IF(D1560="","",IFERROR(INDEX('Équipements'!$D$5:$D$304,MATCH(D1560,'Équipements'!$A$5:$A$304,0)),""))</f>
        <v/>
      </c>
      <c r="G1560" s="9">
        <f>IF(D1560="","",IFERROR(INDEX('Équipements'!$K$5:$K$304,MATCH(D1560,'Équipements'!$A$5:$A$304,0)),""))</f>
        <v/>
      </c>
      <c r="H1560" s="7" t="n"/>
      <c r="I1560" s="7" t="n"/>
      <c r="J1560" s="7" t="n"/>
      <c r="K1560" s="7" t="n"/>
      <c r="L1560" s="7" t="n"/>
      <c r="M1560" s="7" t="n"/>
      <c r="N1560" s="7" t="n"/>
      <c r="O1560" s="7" t="n"/>
      <c r="P1560" s="65" t="n"/>
      <c r="Q1560" s="75" t="n"/>
      <c r="R1560" s="75" t="n"/>
      <c r="S1560" s="76" t="n"/>
      <c r="T1560" s="76" t="n"/>
      <c r="U1560" s="70">
        <f>IF($A1560="","",IFERROR(INDEX('Techniciens'!$F$5:$F$44,MATCH(O1560,'Techniciens'!$B$5:$B$44,0)),'Paramètres'!$AA$10))</f>
        <v/>
      </c>
      <c r="V1560" s="70">
        <f>IF($A1560="","",IF(OR(AC1560="Demandé",AC1560="Planifié",AC1560="Annulé"),0,N(T1560)*N(U1560)))</f>
        <v/>
      </c>
      <c r="W1560" s="70">
        <f>IF($A1560="","",SUMIFS('Mouvements stock'!$H$5:$H$3004,'Mouvements stock'!$I$5:$I$3004,$A1560,'Mouvements stock'!$C$5:$C$3004,"Sortie")-SUMIFS('Mouvements stock'!$H$5:$H$3004,'Mouvements stock'!$I$5:$I$3004,$A1560,'Mouvements stock'!$C$5:$C$3004,"Retour"))</f>
        <v/>
      </c>
      <c r="X1560" s="66" t="n"/>
      <c r="Y1560" s="66" t="n"/>
      <c r="Z1560" s="7" t="n"/>
      <c r="AA1560" s="70">
        <f>IF($A1560="","",N(V1560)+N(W1560)+N(X1560)+N(Y1560))</f>
        <v/>
      </c>
      <c r="AB1560" s="70">
        <f>IF($A1560="","",N(S1560)*'Paramètres'!$AA$9*IFERROR(INDEX('Paramètres'!$O$5:$O$7,MATCH(G1560,'Paramètres'!$N$5:$N$7,0)),0))</f>
        <v/>
      </c>
      <c r="AC1560" s="7" t="n"/>
      <c r="AD1560" s="69">
        <f>IF(OR($A1560="",Q1560=""),"",(Q1560-B1560)*24)</f>
        <v/>
      </c>
      <c r="AE1560" s="69">
        <f>IF(OR(Q1560="",R1560=""),"",(R1560-Q1560)*24)</f>
        <v/>
      </c>
      <c r="AF1560" s="77">
        <f>IF(OR($A1560="",B1560=""),"",YEAR(B1560))</f>
        <v/>
      </c>
      <c r="AG1560" s="77">
        <f>IF(OR($A1560="",B1560=""),"",MONTH(B1560))</f>
        <v/>
      </c>
    </row>
    <row r="1561">
      <c r="A1561" s="7" t="n"/>
      <c r="B1561" s="75" t="n"/>
      <c r="C1561" s="7" t="n"/>
      <c r="D1561" s="7" t="n"/>
      <c r="E1561" s="9">
        <f>IF(D1561="","",IFERROR(INDEX('Équipements'!$B$5:$B$304,MATCH(D1561,'Équipements'!$A$5:$A$304,0)),"Code inconnu"))</f>
        <v/>
      </c>
      <c r="F1561" s="9">
        <f>IF(D1561="","",IFERROR(INDEX('Équipements'!$D$5:$D$304,MATCH(D1561,'Équipements'!$A$5:$A$304,0)),""))</f>
        <v/>
      </c>
      <c r="G1561" s="9">
        <f>IF(D1561="","",IFERROR(INDEX('Équipements'!$K$5:$K$304,MATCH(D1561,'Équipements'!$A$5:$A$304,0)),""))</f>
        <v/>
      </c>
      <c r="H1561" s="7" t="n"/>
      <c r="I1561" s="7" t="n"/>
      <c r="J1561" s="7" t="n"/>
      <c r="K1561" s="7" t="n"/>
      <c r="L1561" s="7" t="n"/>
      <c r="M1561" s="7" t="n"/>
      <c r="N1561" s="7" t="n"/>
      <c r="O1561" s="7" t="n"/>
      <c r="P1561" s="65" t="n"/>
      <c r="Q1561" s="75" t="n"/>
      <c r="R1561" s="75" t="n"/>
      <c r="S1561" s="76" t="n"/>
      <c r="T1561" s="76" t="n"/>
      <c r="U1561" s="70">
        <f>IF($A1561="","",IFERROR(INDEX('Techniciens'!$F$5:$F$44,MATCH(O1561,'Techniciens'!$B$5:$B$44,0)),'Paramètres'!$AA$10))</f>
        <v/>
      </c>
      <c r="V1561" s="70">
        <f>IF($A1561="","",IF(OR(AC1561="Demandé",AC1561="Planifié",AC1561="Annulé"),0,N(T1561)*N(U1561)))</f>
        <v/>
      </c>
      <c r="W1561" s="70">
        <f>IF($A1561="","",SUMIFS('Mouvements stock'!$H$5:$H$3004,'Mouvements stock'!$I$5:$I$3004,$A1561,'Mouvements stock'!$C$5:$C$3004,"Sortie")-SUMIFS('Mouvements stock'!$H$5:$H$3004,'Mouvements stock'!$I$5:$I$3004,$A1561,'Mouvements stock'!$C$5:$C$3004,"Retour"))</f>
        <v/>
      </c>
      <c r="X1561" s="66" t="n"/>
      <c r="Y1561" s="66" t="n"/>
      <c r="Z1561" s="7" t="n"/>
      <c r="AA1561" s="70">
        <f>IF($A1561="","",N(V1561)+N(W1561)+N(X1561)+N(Y1561))</f>
        <v/>
      </c>
      <c r="AB1561" s="70">
        <f>IF($A1561="","",N(S1561)*'Paramètres'!$AA$9*IFERROR(INDEX('Paramètres'!$O$5:$O$7,MATCH(G1561,'Paramètres'!$N$5:$N$7,0)),0))</f>
        <v/>
      </c>
      <c r="AC1561" s="7" t="n"/>
      <c r="AD1561" s="69">
        <f>IF(OR($A1561="",Q1561=""),"",(Q1561-B1561)*24)</f>
        <v/>
      </c>
      <c r="AE1561" s="69">
        <f>IF(OR(Q1561="",R1561=""),"",(R1561-Q1561)*24)</f>
        <v/>
      </c>
      <c r="AF1561" s="77">
        <f>IF(OR($A1561="",B1561=""),"",YEAR(B1561))</f>
        <v/>
      </c>
      <c r="AG1561" s="77">
        <f>IF(OR($A1561="",B1561=""),"",MONTH(B1561))</f>
        <v/>
      </c>
    </row>
    <row r="1562">
      <c r="A1562" s="7" t="n"/>
      <c r="B1562" s="75" t="n"/>
      <c r="C1562" s="7" t="n"/>
      <c r="D1562" s="7" t="n"/>
      <c r="E1562" s="9">
        <f>IF(D1562="","",IFERROR(INDEX('Équipements'!$B$5:$B$304,MATCH(D1562,'Équipements'!$A$5:$A$304,0)),"Code inconnu"))</f>
        <v/>
      </c>
      <c r="F1562" s="9">
        <f>IF(D1562="","",IFERROR(INDEX('Équipements'!$D$5:$D$304,MATCH(D1562,'Équipements'!$A$5:$A$304,0)),""))</f>
        <v/>
      </c>
      <c r="G1562" s="9">
        <f>IF(D1562="","",IFERROR(INDEX('Équipements'!$K$5:$K$304,MATCH(D1562,'Équipements'!$A$5:$A$304,0)),""))</f>
        <v/>
      </c>
      <c r="H1562" s="7" t="n"/>
      <c r="I1562" s="7" t="n"/>
      <c r="J1562" s="7" t="n"/>
      <c r="K1562" s="7" t="n"/>
      <c r="L1562" s="7" t="n"/>
      <c r="M1562" s="7" t="n"/>
      <c r="N1562" s="7" t="n"/>
      <c r="O1562" s="7" t="n"/>
      <c r="P1562" s="65" t="n"/>
      <c r="Q1562" s="75" t="n"/>
      <c r="R1562" s="75" t="n"/>
      <c r="S1562" s="76" t="n"/>
      <c r="T1562" s="76" t="n"/>
      <c r="U1562" s="70">
        <f>IF($A1562="","",IFERROR(INDEX('Techniciens'!$F$5:$F$44,MATCH(O1562,'Techniciens'!$B$5:$B$44,0)),'Paramètres'!$AA$10))</f>
        <v/>
      </c>
      <c r="V1562" s="70">
        <f>IF($A1562="","",IF(OR(AC1562="Demandé",AC1562="Planifié",AC1562="Annulé"),0,N(T1562)*N(U1562)))</f>
        <v/>
      </c>
      <c r="W1562" s="70">
        <f>IF($A1562="","",SUMIFS('Mouvements stock'!$H$5:$H$3004,'Mouvements stock'!$I$5:$I$3004,$A1562,'Mouvements stock'!$C$5:$C$3004,"Sortie")-SUMIFS('Mouvements stock'!$H$5:$H$3004,'Mouvements stock'!$I$5:$I$3004,$A1562,'Mouvements stock'!$C$5:$C$3004,"Retour"))</f>
        <v/>
      </c>
      <c r="X1562" s="66" t="n"/>
      <c r="Y1562" s="66" t="n"/>
      <c r="Z1562" s="7" t="n"/>
      <c r="AA1562" s="70">
        <f>IF($A1562="","",N(V1562)+N(W1562)+N(X1562)+N(Y1562))</f>
        <v/>
      </c>
      <c r="AB1562" s="70">
        <f>IF($A1562="","",N(S1562)*'Paramètres'!$AA$9*IFERROR(INDEX('Paramètres'!$O$5:$O$7,MATCH(G1562,'Paramètres'!$N$5:$N$7,0)),0))</f>
        <v/>
      </c>
      <c r="AC1562" s="7" t="n"/>
      <c r="AD1562" s="69">
        <f>IF(OR($A1562="",Q1562=""),"",(Q1562-B1562)*24)</f>
        <v/>
      </c>
      <c r="AE1562" s="69">
        <f>IF(OR(Q1562="",R1562=""),"",(R1562-Q1562)*24)</f>
        <v/>
      </c>
      <c r="AF1562" s="77">
        <f>IF(OR($A1562="",B1562=""),"",YEAR(B1562))</f>
        <v/>
      </c>
      <c r="AG1562" s="77">
        <f>IF(OR($A1562="",B1562=""),"",MONTH(B1562))</f>
        <v/>
      </c>
    </row>
    <row r="1563">
      <c r="A1563" s="7" t="n"/>
      <c r="B1563" s="75" t="n"/>
      <c r="C1563" s="7" t="n"/>
      <c r="D1563" s="7" t="n"/>
      <c r="E1563" s="9">
        <f>IF(D1563="","",IFERROR(INDEX('Équipements'!$B$5:$B$304,MATCH(D1563,'Équipements'!$A$5:$A$304,0)),"Code inconnu"))</f>
        <v/>
      </c>
      <c r="F1563" s="9">
        <f>IF(D1563="","",IFERROR(INDEX('Équipements'!$D$5:$D$304,MATCH(D1563,'Équipements'!$A$5:$A$304,0)),""))</f>
        <v/>
      </c>
      <c r="G1563" s="9">
        <f>IF(D1563="","",IFERROR(INDEX('Équipements'!$K$5:$K$304,MATCH(D1563,'Équipements'!$A$5:$A$304,0)),""))</f>
        <v/>
      </c>
      <c r="H1563" s="7" t="n"/>
      <c r="I1563" s="7" t="n"/>
      <c r="J1563" s="7" t="n"/>
      <c r="K1563" s="7" t="n"/>
      <c r="L1563" s="7" t="n"/>
      <c r="M1563" s="7" t="n"/>
      <c r="N1563" s="7" t="n"/>
      <c r="O1563" s="7" t="n"/>
      <c r="P1563" s="65" t="n"/>
      <c r="Q1563" s="75" t="n"/>
      <c r="R1563" s="75" t="n"/>
      <c r="S1563" s="76" t="n"/>
      <c r="T1563" s="76" t="n"/>
      <c r="U1563" s="70">
        <f>IF($A1563="","",IFERROR(INDEX('Techniciens'!$F$5:$F$44,MATCH(O1563,'Techniciens'!$B$5:$B$44,0)),'Paramètres'!$AA$10))</f>
        <v/>
      </c>
      <c r="V1563" s="70">
        <f>IF($A1563="","",IF(OR(AC1563="Demandé",AC1563="Planifié",AC1563="Annulé"),0,N(T1563)*N(U1563)))</f>
        <v/>
      </c>
      <c r="W1563" s="70">
        <f>IF($A1563="","",SUMIFS('Mouvements stock'!$H$5:$H$3004,'Mouvements stock'!$I$5:$I$3004,$A1563,'Mouvements stock'!$C$5:$C$3004,"Sortie")-SUMIFS('Mouvements stock'!$H$5:$H$3004,'Mouvements stock'!$I$5:$I$3004,$A1563,'Mouvements stock'!$C$5:$C$3004,"Retour"))</f>
        <v/>
      </c>
      <c r="X1563" s="66" t="n"/>
      <c r="Y1563" s="66" t="n"/>
      <c r="Z1563" s="7" t="n"/>
      <c r="AA1563" s="70">
        <f>IF($A1563="","",N(V1563)+N(W1563)+N(X1563)+N(Y1563))</f>
        <v/>
      </c>
      <c r="AB1563" s="70">
        <f>IF($A1563="","",N(S1563)*'Paramètres'!$AA$9*IFERROR(INDEX('Paramètres'!$O$5:$O$7,MATCH(G1563,'Paramètres'!$N$5:$N$7,0)),0))</f>
        <v/>
      </c>
      <c r="AC1563" s="7" t="n"/>
      <c r="AD1563" s="69">
        <f>IF(OR($A1563="",Q1563=""),"",(Q1563-B1563)*24)</f>
        <v/>
      </c>
      <c r="AE1563" s="69">
        <f>IF(OR(Q1563="",R1563=""),"",(R1563-Q1563)*24)</f>
        <v/>
      </c>
      <c r="AF1563" s="77">
        <f>IF(OR($A1563="",B1563=""),"",YEAR(B1563))</f>
        <v/>
      </c>
      <c r="AG1563" s="77">
        <f>IF(OR($A1563="",B1563=""),"",MONTH(B1563))</f>
        <v/>
      </c>
    </row>
    <row r="1564">
      <c r="A1564" s="7" t="n"/>
      <c r="B1564" s="75" t="n"/>
      <c r="C1564" s="7" t="n"/>
      <c r="D1564" s="7" t="n"/>
      <c r="E1564" s="9">
        <f>IF(D1564="","",IFERROR(INDEX('Équipements'!$B$5:$B$304,MATCH(D1564,'Équipements'!$A$5:$A$304,0)),"Code inconnu"))</f>
        <v/>
      </c>
      <c r="F1564" s="9">
        <f>IF(D1564="","",IFERROR(INDEX('Équipements'!$D$5:$D$304,MATCH(D1564,'Équipements'!$A$5:$A$304,0)),""))</f>
        <v/>
      </c>
      <c r="G1564" s="9">
        <f>IF(D1564="","",IFERROR(INDEX('Équipements'!$K$5:$K$304,MATCH(D1564,'Équipements'!$A$5:$A$304,0)),""))</f>
        <v/>
      </c>
      <c r="H1564" s="7" t="n"/>
      <c r="I1564" s="7" t="n"/>
      <c r="J1564" s="7" t="n"/>
      <c r="K1564" s="7" t="n"/>
      <c r="L1564" s="7" t="n"/>
      <c r="M1564" s="7" t="n"/>
      <c r="N1564" s="7" t="n"/>
      <c r="O1564" s="7" t="n"/>
      <c r="P1564" s="65" t="n"/>
      <c r="Q1564" s="75" t="n"/>
      <c r="R1564" s="75" t="n"/>
      <c r="S1564" s="76" t="n"/>
      <c r="T1564" s="76" t="n"/>
      <c r="U1564" s="70">
        <f>IF($A1564="","",IFERROR(INDEX('Techniciens'!$F$5:$F$44,MATCH(O1564,'Techniciens'!$B$5:$B$44,0)),'Paramètres'!$AA$10))</f>
        <v/>
      </c>
      <c r="V1564" s="70">
        <f>IF($A1564="","",IF(OR(AC1564="Demandé",AC1564="Planifié",AC1564="Annulé"),0,N(T1564)*N(U1564)))</f>
        <v/>
      </c>
      <c r="W1564" s="70">
        <f>IF($A1564="","",SUMIFS('Mouvements stock'!$H$5:$H$3004,'Mouvements stock'!$I$5:$I$3004,$A1564,'Mouvements stock'!$C$5:$C$3004,"Sortie")-SUMIFS('Mouvements stock'!$H$5:$H$3004,'Mouvements stock'!$I$5:$I$3004,$A1564,'Mouvements stock'!$C$5:$C$3004,"Retour"))</f>
        <v/>
      </c>
      <c r="X1564" s="66" t="n"/>
      <c r="Y1564" s="66" t="n"/>
      <c r="Z1564" s="7" t="n"/>
      <c r="AA1564" s="70">
        <f>IF($A1564="","",N(V1564)+N(W1564)+N(X1564)+N(Y1564))</f>
        <v/>
      </c>
      <c r="AB1564" s="70">
        <f>IF($A1564="","",N(S1564)*'Paramètres'!$AA$9*IFERROR(INDEX('Paramètres'!$O$5:$O$7,MATCH(G1564,'Paramètres'!$N$5:$N$7,0)),0))</f>
        <v/>
      </c>
      <c r="AC1564" s="7" t="n"/>
      <c r="AD1564" s="69">
        <f>IF(OR($A1564="",Q1564=""),"",(Q1564-B1564)*24)</f>
        <v/>
      </c>
      <c r="AE1564" s="69">
        <f>IF(OR(Q1564="",R1564=""),"",(R1564-Q1564)*24)</f>
        <v/>
      </c>
      <c r="AF1564" s="77">
        <f>IF(OR($A1564="",B1564=""),"",YEAR(B1564))</f>
        <v/>
      </c>
      <c r="AG1564" s="77">
        <f>IF(OR($A1564="",B1564=""),"",MONTH(B1564))</f>
        <v/>
      </c>
    </row>
    <row r="1565">
      <c r="A1565" s="7" t="n"/>
      <c r="B1565" s="75" t="n"/>
      <c r="C1565" s="7" t="n"/>
      <c r="D1565" s="7" t="n"/>
      <c r="E1565" s="9">
        <f>IF(D1565="","",IFERROR(INDEX('Équipements'!$B$5:$B$304,MATCH(D1565,'Équipements'!$A$5:$A$304,0)),"Code inconnu"))</f>
        <v/>
      </c>
      <c r="F1565" s="9">
        <f>IF(D1565="","",IFERROR(INDEX('Équipements'!$D$5:$D$304,MATCH(D1565,'Équipements'!$A$5:$A$304,0)),""))</f>
        <v/>
      </c>
      <c r="G1565" s="9">
        <f>IF(D1565="","",IFERROR(INDEX('Équipements'!$K$5:$K$304,MATCH(D1565,'Équipements'!$A$5:$A$304,0)),""))</f>
        <v/>
      </c>
      <c r="H1565" s="7" t="n"/>
      <c r="I1565" s="7" t="n"/>
      <c r="J1565" s="7" t="n"/>
      <c r="K1565" s="7" t="n"/>
      <c r="L1565" s="7" t="n"/>
      <c r="M1565" s="7" t="n"/>
      <c r="N1565" s="7" t="n"/>
      <c r="O1565" s="7" t="n"/>
      <c r="P1565" s="65" t="n"/>
      <c r="Q1565" s="75" t="n"/>
      <c r="R1565" s="75" t="n"/>
      <c r="S1565" s="76" t="n"/>
      <c r="T1565" s="76" t="n"/>
      <c r="U1565" s="70">
        <f>IF($A1565="","",IFERROR(INDEX('Techniciens'!$F$5:$F$44,MATCH(O1565,'Techniciens'!$B$5:$B$44,0)),'Paramètres'!$AA$10))</f>
        <v/>
      </c>
      <c r="V1565" s="70">
        <f>IF($A1565="","",IF(OR(AC1565="Demandé",AC1565="Planifié",AC1565="Annulé"),0,N(T1565)*N(U1565)))</f>
        <v/>
      </c>
      <c r="W1565" s="70">
        <f>IF($A1565="","",SUMIFS('Mouvements stock'!$H$5:$H$3004,'Mouvements stock'!$I$5:$I$3004,$A1565,'Mouvements stock'!$C$5:$C$3004,"Sortie")-SUMIFS('Mouvements stock'!$H$5:$H$3004,'Mouvements stock'!$I$5:$I$3004,$A1565,'Mouvements stock'!$C$5:$C$3004,"Retour"))</f>
        <v/>
      </c>
      <c r="X1565" s="66" t="n"/>
      <c r="Y1565" s="66" t="n"/>
      <c r="Z1565" s="7" t="n"/>
      <c r="AA1565" s="70">
        <f>IF($A1565="","",N(V1565)+N(W1565)+N(X1565)+N(Y1565))</f>
        <v/>
      </c>
      <c r="AB1565" s="70">
        <f>IF($A1565="","",N(S1565)*'Paramètres'!$AA$9*IFERROR(INDEX('Paramètres'!$O$5:$O$7,MATCH(G1565,'Paramètres'!$N$5:$N$7,0)),0))</f>
        <v/>
      </c>
      <c r="AC1565" s="7" t="n"/>
      <c r="AD1565" s="69">
        <f>IF(OR($A1565="",Q1565=""),"",(Q1565-B1565)*24)</f>
        <v/>
      </c>
      <c r="AE1565" s="69">
        <f>IF(OR(Q1565="",R1565=""),"",(R1565-Q1565)*24)</f>
        <v/>
      </c>
      <c r="AF1565" s="77">
        <f>IF(OR($A1565="",B1565=""),"",YEAR(B1565))</f>
        <v/>
      </c>
      <c r="AG1565" s="77">
        <f>IF(OR($A1565="",B1565=""),"",MONTH(B1565))</f>
        <v/>
      </c>
    </row>
    <row r="1566">
      <c r="A1566" s="7" t="n"/>
      <c r="B1566" s="75" t="n"/>
      <c r="C1566" s="7" t="n"/>
      <c r="D1566" s="7" t="n"/>
      <c r="E1566" s="9">
        <f>IF(D1566="","",IFERROR(INDEX('Équipements'!$B$5:$B$304,MATCH(D1566,'Équipements'!$A$5:$A$304,0)),"Code inconnu"))</f>
        <v/>
      </c>
      <c r="F1566" s="9">
        <f>IF(D1566="","",IFERROR(INDEX('Équipements'!$D$5:$D$304,MATCH(D1566,'Équipements'!$A$5:$A$304,0)),""))</f>
        <v/>
      </c>
      <c r="G1566" s="9">
        <f>IF(D1566="","",IFERROR(INDEX('Équipements'!$K$5:$K$304,MATCH(D1566,'Équipements'!$A$5:$A$304,0)),""))</f>
        <v/>
      </c>
      <c r="H1566" s="7" t="n"/>
      <c r="I1566" s="7" t="n"/>
      <c r="J1566" s="7" t="n"/>
      <c r="K1566" s="7" t="n"/>
      <c r="L1566" s="7" t="n"/>
      <c r="M1566" s="7" t="n"/>
      <c r="N1566" s="7" t="n"/>
      <c r="O1566" s="7" t="n"/>
      <c r="P1566" s="65" t="n"/>
      <c r="Q1566" s="75" t="n"/>
      <c r="R1566" s="75" t="n"/>
      <c r="S1566" s="76" t="n"/>
      <c r="T1566" s="76" t="n"/>
      <c r="U1566" s="70">
        <f>IF($A1566="","",IFERROR(INDEX('Techniciens'!$F$5:$F$44,MATCH(O1566,'Techniciens'!$B$5:$B$44,0)),'Paramètres'!$AA$10))</f>
        <v/>
      </c>
      <c r="V1566" s="70">
        <f>IF($A1566="","",IF(OR(AC1566="Demandé",AC1566="Planifié",AC1566="Annulé"),0,N(T1566)*N(U1566)))</f>
        <v/>
      </c>
      <c r="W1566" s="70">
        <f>IF($A1566="","",SUMIFS('Mouvements stock'!$H$5:$H$3004,'Mouvements stock'!$I$5:$I$3004,$A1566,'Mouvements stock'!$C$5:$C$3004,"Sortie")-SUMIFS('Mouvements stock'!$H$5:$H$3004,'Mouvements stock'!$I$5:$I$3004,$A1566,'Mouvements stock'!$C$5:$C$3004,"Retour"))</f>
        <v/>
      </c>
      <c r="X1566" s="66" t="n"/>
      <c r="Y1566" s="66" t="n"/>
      <c r="Z1566" s="7" t="n"/>
      <c r="AA1566" s="70">
        <f>IF($A1566="","",N(V1566)+N(W1566)+N(X1566)+N(Y1566))</f>
        <v/>
      </c>
      <c r="AB1566" s="70">
        <f>IF($A1566="","",N(S1566)*'Paramètres'!$AA$9*IFERROR(INDEX('Paramètres'!$O$5:$O$7,MATCH(G1566,'Paramètres'!$N$5:$N$7,0)),0))</f>
        <v/>
      </c>
      <c r="AC1566" s="7" t="n"/>
      <c r="AD1566" s="69">
        <f>IF(OR($A1566="",Q1566=""),"",(Q1566-B1566)*24)</f>
        <v/>
      </c>
      <c r="AE1566" s="69">
        <f>IF(OR(Q1566="",R1566=""),"",(R1566-Q1566)*24)</f>
        <v/>
      </c>
      <c r="AF1566" s="77">
        <f>IF(OR($A1566="",B1566=""),"",YEAR(B1566))</f>
        <v/>
      </c>
      <c r="AG1566" s="77">
        <f>IF(OR($A1566="",B1566=""),"",MONTH(B1566))</f>
        <v/>
      </c>
    </row>
    <row r="1567">
      <c r="A1567" s="7" t="n"/>
      <c r="B1567" s="75" t="n"/>
      <c r="C1567" s="7" t="n"/>
      <c r="D1567" s="7" t="n"/>
      <c r="E1567" s="9">
        <f>IF(D1567="","",IFERROR(INDEX('Équipements'!$B$5:$B$304,MATCH(D1567,'Équipements'!$A$5:$A$304,0)),"Code inconnu"))</f>
        <v/>
      </c>
      <c r="F1567" s="9">
        <f>IF(D1567="","",IFERROR(INDEX('Équipements'!$D$5:$D$304,MATCH(D1567,'Équipements'!$A$5:$A$304,0)),""))</f>
        <v/>
      </c>
      <c r="G1567" s="9">
        <f>IF(D1567="","",IFERROR(INDEX('Équipements'!$K$5:$K$304,MATCH(D1567,'Équipements'!$A$5:$A$304,0)),""))</f>
        <v/>
      </c>
      <c r="H1567" s="7" t="n"/>
      <c r="I1567" s="7" t="n"/>
      <c r="J1567" s="7" t="n"/>
      <c r="K1567" s="7" t="n"/>
      <c r="L1567" s="7" t="n"/>
      <c r="M1567" s="7" t="n"/>
      <c r="N1567" s="7" t="n"/>
      <c r="O1567" s="7" t="n"/>
      <c r="P1567" s="65" t="n"/>
      <c r="Q1567" s="75" t="n"/>
      <c r="R1567" s="75" t="n"/>
      <c r="S1567" s="76" t="n"/>
      <c r="T1567" s="76" t="n"/>
      <c r="U1567" s="70">
        <f>IF($A1567="","",IFERROR(INDEX('Techniciens'!$F$5:$F$44,MATCH(O1567,'Techniciens'!$B$5:$B$44,0)),'Paramètres'!$AA$10))</f>
        <v/>
      </c>
      <c r="V1567" s="70">
        <f>IF($A1567="","",IF(OR(AC1567="Demandé",AC1567="Planifié",AC1567="Annulé"),0,N(T1567)*N(U1567)))</f>
        <v/>
      </c>
      <c r="W1567" s="70">
        <f>IF($A1567="","",SUMIFS('Mouvements stock'!$H$5:$H$3004,'Mouvements stock'!$I$5:$I$3004,$A1567,'Mouvements stock'!$C$5:$C$3004,"Sortie")-SUMIFS('Mouvements stock'!$H$5:$H$3004,'Mouvements stock'!$I$5:$I$3004,$A1567,'Mouvements stock'!$C$5:$C$3004,"Retour"))</f>
        <v/>
      </c>
      <c r="X1567" s="66" t="n"/>
      <c r="Y1567" s="66" t="n"/>
      <c r="Z1567" s="7" t="n"/>
      <c r="AA1567" s="70">
        <f>IF($A1567="","",N(V1567)+N(W1567)+N(X1567)+N(Y1567))</f>
        <v/>
      </c>
      <c r="AB1567" s="70">
        <f>IF($A1567="","",N(S1567)*'Paramètres'!$AA$9*IFERROR(INDEX('Paramètres'!$O$5:$O$7,MATCH(G1567,'Paramètres'!$N$5:$N$7,0)),0))</f>
        <v/>
      </c>
      <c r="AC1567" s="7" t="n"/>
      <c r="AD1567" s="69">
        <f>IF(OR($A1567="",Q1567=""),"",(Q1567-B1567)*24)</f>
        <v/>
      </c>
      <c r="AE1567" s="69">
        <f>IF(OR(Q1567="",R1567=""),"",(R1567-Q1567)*24)</f>
        <v/>
      </c>
      <c r="AF1567" s="77">
        <f>IF(OR($A1567="",B1567=""),"",YEAR(B1567))</f>
        <v/>
      </c>
      <c r="AG1567" s="77">
        <f>IF(OR($A1567="",B1567=""),"",MONTH(B1567))</f>
        <v/>
      </c>
    </row>
    <row r="1568">
      <c r="A1568" s="7" t="n"/>
      <c r="B1568" s="75" t="n"/>
      <c r="C1568" s="7" t="n"/>
      <c r="D1568" s="7" t="n"/>
      <c r="E1568" s="9">
        <f>IF(D1568="","",IFERROR(INDEX('Équipements'!$B$5:$B$304,MATCH(D1568,'Équipements'!$A$5:$A$304,0)),"Code inconnu"))</f>
        <v/>
      </c>
      <c r="F1568" s="9">
        <f>IF(D1568="","",IFERROR(INDEX('Équipements'!$D$5:$D$304,MATCH(D1568,'Équipements'!$A$5:$A$304,0)),""))</f>
        <v/>
      </c>
      <c r="G1568" s="9">
        <f>IF(D1568="","",IFERROR(INDEX('Équipements'!$K$5:$K$304,MATCH(D1568,'Équipements'!$A$5:$A$304,0)),""))</f>
        <v/>
      </c>
      <c r="H1568" s="7" t="n"/>
      <c r="I1568" s="7" t="n"/>
      <c r="J1568" s="7" t="n"/>
      <c r="K1568" s="7" t="n"/>
      <c r="L1568" s="7" t="n"/>
      <c r="M1568" s="7" t="n"/>
      <c r="N1568" s="7" t="n"/>
      <c r="O1568" s="7" t="n"/>
      <c r="P1568" s="65" t="n"/>
      <c r="Q1568" s="75" t="n"/>
      <c r="R1568" s="75" t="n"/>
      <c r="S1568" s="76" t="n"/>
      <c r="T1568" s="76" t="n"/>
      <c r="U1568" s="70">
        <f>IF($A1568="","",IFERROR(INDEX('Techniciens'!$F$5:$F$44,MATCH(O1568,'Techniciens'!$B$5:$B$44,0)),'Paramètres'!$AA$10))</f>
        <v/>
      </c>
      <c r="V1568" s="70">
        <f>IF($A1568="","",IF(OR(AC1568="Demandé",AC1568="Planifié",AC1568="Annulé"),0,N(T1568)*N(U1568)))</f>
        <v/>
      </c>
      <c r="W1568" s="70">
        <f>IF($A1568="","",SUMIFS('Mouvements stock'!$H$5:$H$3004,'Mouvements stock'!$I$5:$I$3004,$A1568,'Mouvements stock'!$C$5:$C$3004,"Sortie")-SUMIFS('Mouvements stock'!$H$5:$H$3004,'Mouvements stock'!$I$5:$I$3004,$A1568,'Mouvements stock'!$C$5:$C$3004,"Retour"))</f>
        <v/>
      </c>
      <c r="X1568" s="66" t="n"/>
      <c r="Y1568" s="66" t="n"/>
      <c r="Z1568" s="7" t="n"/>
      <c r="AA1568" s="70">
        <f>IF($A1568="","",N(V1568)+N(W1568)+N(X1568)+N(Y1568))</f>
        <v/>
      </c>
      <c r="AB1568" s="70">
        <f>IF($A1568="","",N(S1568)*'Paramètres'!$AA$9*IFERROR(INDEX('Paramètres'!$O$5:$O$7,MATCH(G1568,'Paramètres'!$N$5:$N$7,0)),0))</f>
        <v/>
      </c>
      <c r="AC1568" s="7" t="n"/>
      <c r="AD1568" s="69">
        <f>IF(OR($A1568="",Q1568=""),"",(Q1568-B1568)*24)</f>
        <v/>
      </c>
      <c r="AE1568" s="69">
        <f>IF(OR(Q1568="",R1568=""),"",(R1568-Q1568)*24)</f>
        <v/>
      </c>
      <c r="AF1568" s="77">
        <f>IF(OR($A1568="",B1568=""),"",YEAR(B1568))</f>
        <v/>
      </c>
      <c r="AG1568" s="77">
        <f>IF(OR($A1568="",B1568=""),"",MONTH(B1568))</f>
        <v/>
      </c>
    </row>
    <row r="1569">
      <c r="A1569" s="7" t="n"/>
      <c r="B1569" s="75" t="n"/>
      <c r="C1569" s="7" t="n"/>
      <c r="D1569" s="7" t="n"/>
      <c r="E1569" s="9">
        <f>IF(D1569="","",IFERROR(INDEX('Équipements'!$B$5:$B$304,MATCH(D1569,'Équipements'!$A$5:$A$304,0)),"Code inconnu"))</f>
        <v/>
      </c>
      <c r="F1569" s="9">
        <f>IF(D1569="","",IFERROR(INDEX('Équipements'!$D$5:$D$304,MATCH(D1569,'Équipements'!$A$5:$A$304,0)),""))</f>
        <v/>
      </c>
      <c r="G1569" s="9">
        <f>IF(D1569="","",IFERROR(INDEX('Équipements'!$K$5:$K$304,MATCH(D1569,'Équipements'!$A$5:$A$304,0)),""))</f>
        <v/>
      </c>
      <c r="H1569" s="7" t="n"/>
      <c r="I1569" s="7" t="n"/>
      <c r="J1569" s="7" t="n"/>
      <c r="K1569" s="7" t="n"/>
      <c r="L1569" s="7" t="n"/>
      <c r="M1569" s="7" t="n"/>
      <c r="N1569" s="7" t="n"/>
      <c r="O1569" s="7" t="n"/>
      <c r="P1569" s="65" t="n"/>
      <c r="Q1569" s="75" t="n"/>
      <c r="R1569" s="75" t="n"/>
      <c r="S1569" s="76" t="n"/>
      <c r="T1569" s="76" t="n"/>
      <c r="U1569" s="70">
        <f>IF($A1569="","",IFERROR(INDEX('Techniciens'!$F$5:$F$44,MATCH(O1569,'Techniciens'!$B$5:$B$44,0)),'Paramètres'!$AA$10))</f>
        <v/>
      </c>
      <c r="V1569" s="70">
        <f>IF($A1569="","",IF(OR(AC1569="Demandé",AC1569="Planifié",AC1569="Annulé"),0,N(T1569)*N(U1569)))</f>
        <v/>
      </c>
      <c r="W1569" s="70">
        <f>IF($A1569="","",SUMIFS('Mouvements stock'!$H$5:$H$3004,'Mouvements stock'!$I$5:$I$3004,$A1569,'Mouvements stock'!$C$5:$C$3004,"Sortie")-SUMIFS('Mouvements stock'!$H$5:$H$3004,'Mouvements stock'!$I$5:$I$3004,$A1569,'Mouvements stock'!$C$5:$C$3004,"Retour"))</f>
        <v/>
      </c>
      <c r="X1569" s="66" t="n"/>
      <c r="Y1569" s="66" t="n"/>
      <c r="Z1569" s="7" t="n"/>
      <c r="AA1569" s="70">
        <f>IF($A1569="","",N(V1569)+N(W1569)+N(X1569)+N(Y1569))</f>
        <v/>
      </c>
      <c r="AB1569" s="70">
        <f>IF($A1569="","",N(S1569)*'Paramètres'!$AA$9*IFERROR(INDEX('Paramètres'!$O$5:$O$7,MATCH(G1569,'Paramètres'!$N$5:$N$7,0)),0))</f>
        <v/>
      </c>
      <c r="AC1569" s="7" t="n"/>
      <c r="AD1569" s="69">
        <f>IF(OR($A1569="",Q1569=""),"",(Q1569-B1569)*24)</f>
        <v/>
      </c>
      <c r="AE1569" s="69">
        <f>IF(OR(Q1569="",R1569=""),"",(R1569-Q1569)*24)</f>
        <v/>
      </c>
      <c r="AF1569" s="77">
        <f>IF(OR($A1569="",B1569=""),"",YEAR(B1569))</f>
        <v/>
      </c>
      <c r="AG1569" s="77">
        <f>IF(OR($A1569="",B1569=""),"",MONTH(B1569))</f>
        <v/>
      </c>
    </row>
    <row r="1570">
      <c r="A1570" s="7" t="n"/>
      <c r="B1570" s="75" t="n"/>
      <c r="C1570" s="7" t="n"/>
      <c r="D1570" s="7" t="n"/>
      <c r="E1570" s="9">
        <f>IF(D1570="","",IFERROR(INDEX('Équipements'!$B$5:$B$304,MATCH(D1570,'Équipements'!$A$5:$A$304,0)),"Code inconnu"))</f>
        <v/>
      </c>
      <c r="F1570" s="9">
        <f>IF(D1570="","",IFERROR(INDEX('Équipements'!$D$5:$D$304,MATCH(D1570,'Équipements'!$A$5:$A$304,0)),""))</f>
        <v/>
      </c>
      <c r="G1570" s="9">
        <f>IF(D1570="","",IFERROR(INDEX('Équipements'!$K$5:$K$304,MATCH(D1570,'Équipements'!$A$5:$A$304,0)),""))</f>
        <v/>
      </c>
      <c r="H1570" s="7" t="n"/>
      <c r="I1570" s="7" t="n"/>
      <c r="J1570" s="7" t="n"/>
      <c r="K1570" s="7" t="n"/>
      <c r="L1570" s="7" t="n"/>
      <c r="M1570" s="7" t="n"/>
      <c r="N1570" s="7" t="n"/>
      <c r="O1570" s="7" t="n"/>
      <c r="P1570" s="65" t="n"/>
      <c r="Q1570" s="75" t="n"/>
      <c r="R1570" s="75" t="n"/>
      <c r="S1570" s="76" t="n"/>
      <c r="T1570" s="76" t="n"/>
      <c r="U1570" s="70">
        <f>IF($A1570="","",IFERROR(INDEX('Techniciens'!$F$5:$F$44,MATCH(O1570,'Techniciens'!$B$5:$B$44,0)),'Paramètres'!$AA$10))</f>
        <v/>
      </c>
      <c r="V1570" s="70">
        <f>IF($A1570="","",IF(OR(AC1570="Demandé",AC1570="Planifié",AC1570="Annulé"),0,N(T1570)*N(U1570)))</f>
        <v/>
      </c>
      <c r="W1570" s="70">
        <f>IF($A1570="","",SUMIFS('Mouvements stock'!$H$5:$H$3004,'Mouvements stock'!$I$5:$I$3004,$A1570,'Mouvements stock'!$C$5:$C$3004,"Sortie")-SUMIFS('Mouvements stock'!$H$5:$H$3004,'Mouvements stock'!$I$5:$I$3004,$A1570,'Mouvements stock'!$C$5:$C$3004,"Retour"))</f>
        <v/>
      </c>
      <c r="X1570" s="66" t="n"/>
      <c r="Y1570" s="66" t="n"/>
      <c r="Z1570" s="7" t="n"/>
      <c r="AA1570" s="70">
        <f>IF($A1570="","",N(V1570)+N(W1570)+N(X1570)+N(Y1570))</f>
        <v/>
      </c>
      <c r="AB1570" s="70">
        <f>IF($A1570="","",N(S1570)*'Paramètres'!$AA$9*IFERROR(INDEX('Paramètres'!$O$5:$O$7,MATCH(G1570,'Paramètres'!$N$5:$N$7,0)),0))</f>
        <v/>
      </c>
      <c r="AC1570" s="7" t="n"/>
      <c r="AD1570" s="69">
        <f>IF(OR($A1570="",Q1570=""),"",(Q1570-B1570)*24)</f>
        <v/>
      </c>
      <c r="AE1570" s="69">
        <f>IF(OR(Q1570="",R1570=""),"",(R1570-Q1570)*24)</f>
        <v/>
      </c>
      <c r="AF1570" s="77">
        <f>IF(OR($A1570="",B1570=""),"",YEAR(B1570))</f>
        <v/>
      </c>
      <c r="AG1570" s="77">
        <f>IF(OR($A1570="",B1570=""),"",MONTH(B1570))</f>
        <v/>
      </c>
    </row>
    <row r="1571">
      <c r="A1571" s="7" t="n"/>
      <c r="B1571" s="75" t="n"/>
      <c r="C1571" s="7" t="n"/>
      <c r="D1571" s="7" t="n"/>
      <c r="E1571" s="9">
        <f>IF(D1571="","",IFERROR(INDEX('Équipements'!$B$5:$B$304,MATCH(D1571,'Équipements'!$A$5:$A$304,0)),"Code inconnu"))</f>
        <v/>
      </c>
      <c r="F1571" s="9">
        <f>IF(D1571="","",IFERROR(INDEX('Équipements'!$D$5:$D$304,MATCH(D1571,'Équipements'!$A$5:$A$304,0)),""))</f>
        <v/>
      </c>
      <c r="G1571" s="9">
        <f>IF(D1571="","",IFERROR(INDEX('Équipements'!$K$5:$K$304,MATCH(D1571,'Équipements'!$A$5:$A$304,0)),""))</f>
        <v/>
      </c>
      <c r="H1571" s="7" t="n"/>
      <c r="I1571" s="7" t="n"/>
      <c r="J1571" s="7" t="n"/>
      <c r="K1571" s="7" t="n"/>
      <c r="L1571" s="7" t="n"/>
      <c r="M1571" s="7" t="n"/>
      <c r="N1571" s="7" t="n"/>
      <c r="O1571" s="7" t="n"/>
      <c r="P1571" s="65" t="n"/>
      <c r="Q1571" s="75" t="n"/>
      <c r="R1571" s="75" t="n"/>
      <c r="S1571" s="76" t="n"/>
      <c r="T1571" s="76" t="n"/>
      <c r="U1571" s="70">
        <f>IF($A1571="","",IFERROR(INDEX('Techniciens'!$F$5:$F$44,MATCH(O1571,'Techniciens'!$B$5:$B$44,0)),'Paramètres'!$AA$10))</f>
        <v/>
      </c>
      <c r="V1571" s="70">
        <f>IF($A1571="","",IF(OR(AC1571="Demandé",AC1571="Planifié",AC1571="Annulé"),0,N(T1571)*N(U1571)))</f>
        <v/>
      </c>
      <c r="W1571" s="70">
        <f>IF($A1571="","",SUMIFS('Mouvements stock'!$H$5:$H$3004,'Mouvements stock'!$I$5:$I$3004,$A1571,'Mouvements stock'!$C$5:$C$3004,"Sortie")-SUMIFS('Mouvements stock'!$H$5:$H$3004,'Mouvements stock'!$I$5:$I$3004,$A1571,'Mouvements stock'!$C$5:$C$3004,"Retour"))</f>
        <v/>
      </c>
      <c r="X1571" s="66" t="n"/>
      <c r="Y1571" s="66" t="n"/>
      <c r="Z1571" s="7" t="n"/>
      <c r="AA1571" s="70">
        <f>IF($A1571="","",N(V1571)+N(W1571)+N(X1571)+N(Y1571))</f>
        <v/>
      </c>
      <c r="AB1571" s="70">
        <f>IF($A1571="","",N(S1571)*'Paramètres'!$AA$9*IFERROR(INDEX('Paramètres'!$O$5:$O$7,MATCH(G1571,'Paramètres'!$N$5:$N$7,0)),0))</f>
        <v/>
      </c>
      <c r="AC1571" s="7" t="n"/>
      <c r="AD1571" s="69">
        <f>IF(OR($A1571="",Q1571=""),"",(Q1571-B1571)*24)</f>
        <v/>
      </c>
      <c r="AE1571" s="69">
        <f>IF(OR(Q1571="",R1571=""),"",(R1571-Q1571)*24)</f>
        <v/>
      </c>
      <c r="AF1571" s="77">
        <f>IF(OR($A1571="",B1571=""),"",YEAR(B1571))</f>
        <v/>
      </c>
      <c r="AG1571" s="77">
        <f>IF(OR($A1571="",B1571=""),"",MONTH(B1571))</f>
        <v/>
      </c>
    </row>
    <row r="1572">
      <c r="A1572" s="7" t="n"/>
      <c r="B1572" s="75" t="n"/>
      <c r="C1572" s="7" t="n"/>
      <c r="D1572" s="7" t="n"/>
      <c r="E1572" s="9">
        <f>IF(D1572="","",IFERROR(INDEX('Équipements'!$B$5:$B$304,MATCH(D1572,'Équipements'!$A$5:$A$304,0)),"Code inconnu"))</f>
        <v/>
      </c>
      <c r="F1572" s="9">
        <f>IF(D1572="","",IFERROR(INDEX('Équipements'!$D$5:$D$304,MATCH(D1572,'Équipements'!$A$5:$A$304,0)),""))</f>
        <v/>
      </c>
      <c r="G1572" s="9">
        <f>IF(D1572="","",IFERROR(INDEX('Équipements'!$K$5:$K$304,MATCH(D1572,'Équipements'!$A$5:$A$304,0)),""))</f>
        <v/>
      </c>
      <c r="H1572" s="7" t="n"/>
      <c r="I1572" s="7" t="n"/>
      <c r="J1572" s="7" t="n"/>
      <c r="K1572" s="7" t="n"/>
      <c r="L1572" s="7" t="n"/>
      <c r="M1572" s="7" t="n"/>
      <c r="N1572" s="7" t="n"/>
      <c r="O1572" s="7" t="n"/>
      <c r="P1572" s="65" t="n"/>
      <c r="Q1572" s="75" t="n"/>
      <c r="R1572" s="75" t="n"/>
      <c r="S1572" s="76" t="n"/>
      <c r="T1572" s="76" t="n"/>
      <c r="U1572" s="70">
        <f>IF($A1572="","",IFERROR(INDEX('Techniciens'!$F$5:$F$44,MATCH(O1572,'Techniciens'!$B$5:$B$44,0)),'Paramètres'!$AA$10))</f>
        <v/>
      </c>
      <c r="V1572" s="70">
        <f>IF($A1572="","",IF(OR(AC1572="Demandé",AC1572="Planifié",AC1572="Annulé"),0,N(T1572)*N(U1572)))</f>
        <v/>
      </c>
      <c r="W1572" s="70">
        <f>IF($A1572="","",SUMIFS('Mouvements stock'!$H$5:$H$3004,'Mouvements stock'!$I$5:$I$3004,$A1572,'Mouvements stock'!$C$5:$C$3004,"Sortie")-SUMIFS('Mouvements stock'!$H$5:$H$3004,'Mouvements stock'!$I$5:$I$3004,$A1572,'Mouvements stock'!$C$5:$C$3004,"Retour"))</f>
        <v/>
      </c>
      <c r="X1572" s="66" t="n"/>
      <c r="Y1572" s="66" t="n"/>
      <c r="Z1572" s="7" t="n"/>
      <c r="AA1572" s="70">
        <f>IF($A1572="","",N(V1572)+N(W1572)+N(X1572)+N(Y1572))</f>
        <v/>
      </c>
      <c r="AB1572" s="70">
        <f>IF($A1572="","",N(S1572)*'Paramètres'!$AA$9*IFERROR(INDEX('Paramètres'!$O$5:$O$7,MATCH(G1572,'Paramètres'!$N$5:$N$7,0)),0))</f>
        <v/>
      </c>
      <c r="AC1572" s="7" t="n"/>
      <c r="AD1572" s="69">
        <f>IF(OR($A1572="",Q1572=""),"",(Q1572-B1572)*24)</f>
        <v/>
      </c>
      <c r="AE1572" s="69">
        <f>IF(OR(Q1572="",R1572=""),"",(R1572-Q1572)*24)</f>
        <v/>
      </c>
      <c r="AF1572" s="77">
        <f>IF(OR($A1572="",B1572=""),"",YEAR(B1572))</f>
        <v/>
      </c>
      <c r="AG1572" s="77">
        <f>IF(OR($A1572="",B1572=""),"",MONTH(B1572))</f>
        <v/>
      </c>
    </row>
    <row r="1573">
      <c r="A1573" s="7" t="n"/>
      <c r="B1573" s="75" t="n"/>
      <c r="C1573" s="7" t="n"/>
      <c r="D1573" s="7" t="n"/>
      <c r="E1573" s="9">
        <f>IF(D1573="","",IFERROR(INDEX('Équipements'!$B$5:$B$304,MATCH(D1573,'Équipements'!$A$5:$A$304,0)),"Code inconnu"))</f>
        <v/>
      </c>
      <c r="F1573" s="9">
        <f>IF(D1573="","",IFERROR(INDEX('Équipements'!$D$5:$D$304,MATCH(D1573,'Équipements'!$A$5:$A$304,0)),""))</f>
        <v/>
      </c>
      <c r="G1573" s="9">
        <f>IF(D1573="","",IFERROR(INDEX('Équipements'!$K$5:$K$304,MATCH(D1573,'Équipements'!$A$5:$A$304,0)),""))</f>
        <v/>
      </c>
      <c r="H1573" s="7" t="n"/>
      <c r="I1573" s="7" t="n"/>
      <c r="J1573" s="7" t="n"/>
      <c r="K1573" s="7" t="n"/>
      <c r="L1573" s="7" t="n"/>
      <c r="M1573" s="7" t="n"/>
      <c r="N1573" s="7" t="n"/>
      <c r="O1573" s="7" t="n"/>
      <c r="P1573" s="65" t="n"/>
      <c r="Q1573" s="75" t="n"/>
      <c r="R1573" s="75" t="n"/>
      <c r="S1573" s="76" t="n"/>
      <c r="T1573" s="76" t="n"/>
      <c r="U1573" s="70">
        <f>IF($A1573="","",IFERROR(INDEX('Techniciens'!$F$5:$F$44,MATCH(O1573,'Techniciens'!$B$5:$B$44,0)),'Paramètres'!$AA$10))</f>
        <v/>
      </c>
      <c r="V1573" s="70">
        <f>IF($A1573="","",IF(OR(AC1573="Demandé",AC1573="Planifié",AC1573="Annulé"),0,N(T1573)*N(U1573)))</f>
        <v/>
      </c>
      <c r="W1573" s="70">
        <f>IF($A1573="","",SUMIFS('Mouvements stock'!$H$5:$H$3004,'Mouvements stock'!$I$5:$I$3004,$A1573,'Mouvements stock'!$C$5:$C$3004,"Sortie")-SUMIFS('Mouvements stock'!$H$5:$H$3004,'Mouvements stock'!$I$5:$I$3004,$A1573,'Mouvements stock'!$C$5:$C$3004,"Retour"))</f>
        <v/>
      </c>
      <c r="X1573" s="66" t="n"/>
      <c r="Y1573" s="66" t="n"/>
      <c r="Z1573" s="7" t="n"/>
      <c r="AA1573" s="70">
        <f>IF($A1573="","",N(V1573)+N(W1573)+N(X1573)+N(Y1573))</f>
        <v/>
      </c>
      <c r="AB1573" s="70">
        <f>IF($A1573="","",N(S1573)*'Paramètres'!$AA$9*IFERROR(INDEX('Paramètres'!$O$5:$O$7,MATCH(G1573,'Paramètres'!$N$5:$N$7,0)),0))</f>
        <v/>
      </c>
      <c r="AC1573" s="7" t="n"/>
      <c r="AD1573" s="69">
        <f>IF(OR($A1573="",Q1573=""),"",(Q1573-B1573)*24)</f>
        <v/>
      </c>
      <c r="AE1573" s="69">
        <f>IF(OR(Q1573="",R1573=""),"",(R1573-Q1573)*24)</f>
        <v/>
      </c>
      <c r="AF1573" s="77">
        <f>IF(OR($A1573="",B1573=""),"",YEAR(B1573))</f>
        <v/>
      </c>
      <c r="AG1573" s="77">
        <f>IF(OR($A1573="",B1573=""),"",MONTH(B1573))</f>
        <v/>
      </c>
    </row>
    <row r="1574">
      <c r="A1574" s="7" t="n"/>
      <c r="B1574" s="75" t="n"/>
      <c r="C1574" s="7" t="n"/>
      <c r="D1574" s="7" t="n"/>
      <c r="E1574" s="9">
        <f>IF(D1574="","",IFERROR(INDEX('Équipements'!$B$5:$B$304,MATCH(D1574,'Équipements'!$A$5:$A$304,0)),"Code inconnu"))</f>
        <v/>
      </c>
      <c r="F1574" s="9">
        <f>IF(D1574="","",IFERROR(INDEX('Équipements'!$D$5:$D$304,MATCH(D1574,'Équipements'!$A$5:$A$304,0)),""))</f>
        <v/>
      </c>
      <c r="G1574" s="9">
        <f>IF(D1574="","",IFERROR(INDEX('Équipements'!$K$5:$K$304,MATCH(D1574,'Équipements'!$A$5:$A$304,0)),""))</f>
        <v/>
      </c>
      <c r="H1574" s="7" t="n"/>
      <c r="I1574" s="7" t="n"/>
      <c r="J1574" s="7" t="n"/>
      <c r="K1574" s="7" t="n"/>
      <c r="L1574" s="7" t="n"/>
      <c r="M1574" s="7" t="n"/>
      <c r="N1574" s="7" t="n"/>
      <c r="O1574" s="7" t="n"/>
      <c r="P1574" s="65" t="n"/>
      <c r="Q1574" s="75" t="n"/>
      <c r="R1574" s="75" t="n"/>
      <c r="S1574" s="76" t="n"/>
      <c r="T1574" s="76" t="n"/>
      <c r="U1574" s="70">
        <f>IF($A1574="","",IFERROR(INDEX('Techniciens'!$F$5:$F$44,MATCH(O1574,'Techniciens'!$B$5:$B$44,0)),'Paramètres'!$AA$10))</f>
        <v/>
      </c>
      <c r="V1574" s="70">
        <f>IF($A1574="","",IF(OR(AC1574="Demandé",AC1574="Planifié",AC1574="Annulé"),0,N(T1574)*N(U1574)))</f>
        <v/>
      </c>
      <c r="W1574" s="70">
        <f>IF($A1574="","",SUMIFS('Mouvements stock'!$H$5:$H$3004,'Mouvements stock'!$I$5:$I$3004,$A1574,'Mouvements stock'!$C$5:$C$3004,"Sortie")-SUMIFS('Mouvements stock'!$H$5:$H$3004,'Mouvements stock'!$I$5:$I$3004,$A1574,'Mouvements stock'!$C$5:$C$3004,"Retour"))</f>
        <v/>
      </c>
      <c r="X1574" s="66" t="n"/>
      <c r="Y1574" s="66" t="n"/>
      <c r="Z1574" s="7" t="n"/>
      <c r="AA1574" s="70">
        <f>IF($A1574="","",N(V1574)+N(W1574)+N(X1574)+N(Y1574))</f>
        <v/>
      </c>
      <c r="AB1574" s="70">
        <f>IF($A1574="","",N(S1574)*'Paramètres'!$AA$9*IFERROR(INDEX('Paramètres'!$O$5:$O$7,MATCH(G1574,'Paramètres'!$N$5:$N$7,0)),0))</f>
        <v/>
      </c>
      <c r="AC1574" s="7" t="n"/>
      <c r="AD1574" s="69">
        <f>IF(OR($A1574="",Q1574=""),"",(Q1574-B1574)*24)</f>
        <v/>
      </c>
      <c r="AE1574" s="69">
        <f>IF(OR(Q1574="",R1574=""),"",(R1574-Q1574)*24)</f>
        <v/>
      </c>
      <c r="AF1574" s="77">
        <f>IF(OR($A1574="",B1574=""),"",YEAR(B1574))</f>
        <v/>
      </c>
      <c r="AG1574" s="77">
        <f>IF(OR($A1574="",B1574=""),"",MONTH(B1574))</f>
        <v/>
      </c>
    </row>
    <row r="1575">
      <c r="A1575" s="7" t="n"/>
      <c r="B1575" s="75" t="n"/>
      <c r="C1575" s="7" t="n"/>
      <c r="D1575" s="7" t="n"/>
      <c r="E1575" s="9">
        <f>IF(D1575="","",IFERROR(INDEX('Équipements'!$B$5:$B$304,MATCH(D1575,'Équipements'!$A$5:$A$304,0)),"Code inconnu"))</f>
        <v/>
      </c>
      <c r="F1575" s="9">
        <f>IF(D1575="","",IFERROR(INDEX('Équipements'!$D$5:$D$304,MATCH(D1575,'Équipements'!$A$5:$A$304,0)),""))</f>
        <v/>
      </c>
      <c r="G1575" s="9">
        <f>IF(D1575="","",IFERROR(INDEX('Équipements'!$K$5:$K$304,MATCH(D1575,'Équipements'!$A$5:$A$304,0)),""))</f>
        <v/>
      </c>
      <c r="H1575" s="7" t="n"/>
      <c r="I1575" s="7" t="n"/>
      <c r="J1575" s="7" t="n"/>
      <c r="K1575" s="7" t="n"/>
      <c r="L1575" s="7" t="n"/>
      <c r="M1575" s="7" t="n"/>
      <c r="N1575" s="7" t="n"/>
      <c r="O1575" s="7" t="n"/>
      <c r="P1575" s="65" t="n"/>
      <c r="Q1575" s="75" t="n"/>
      <c r="R1575" s="75" t="n"/>
      <c r="S1575" s="76" t="n"/>
      <c r="T1575" s="76" t="n"/>
      <c r="U1575" s="70">
        <f>IF($A1575="","",IFERROR(INDEX('Techniciens'!$F$5:$F$44,MATCH(O1575,'Techniciens'!$B$5:$B$44,0)),'Paramètres'!$AA$10))</f>
        <v/>
      </c>
      <c r="V1575" s="70">
        <f>IF($A1575="","",IF(OR(AC1575="Demandé",AC1575="Planifié",AC1575="Annulé"),0,N(T1575)*N(U1575)))</f>
        <v/>
      </c>
      <c r="W1575" s="70">
        <f>IF($A1575="","",SUMIFS('Mouvements stock'!$H$5:$H$3004,'Mouvements stock'!$I$5:$I$3004,$A1575,'Mouvements stock'!$C$5:$C$3004,"Sortie")-SUMIFS('Mouvements stock'!$H$5:$H$3004,'Mouvements stock'!$I$5:$I$3004,$A1575,'Mouvements stock'!$C$5:$C$3004,"Retour"))</f>
        <v/>
      </c>
      <c r="X1575" s="66" t="n"/>
      <c r="Y1575" s="66" t="n"/>
      <c r="Z1575" s="7" t="n"/>
      <c r="AA1575" s="70">
        <f>IF($A1575="","",N(V1575)+N(W1575)+N(X1575)+N(Y1575))</f>
        <v/>
      </c>
      <c r="AB1575" s="70">
        <f>IF($A1575="","",N(S1575)*'Paramètres'!$AA$9*IFERROR(INDEX('Paramètres'!$O$5:$O$7,MATCH(G1575,'Paramètres'!$N$5:$N$7,0)),0))</f>
        <v/>
      </c>
      <c r="AC1575" s="7" t="n"/>
      <c r="AD1575" s="69">
        <f>IF(OR($A1575="",Q1575=""),"",(Q1575-B1575)*24)</f>
        <v/>
      </c>
      <c r="AE1575" s="69">
        <f>IF(OR(Q1575="",R1575=""),"",(R1575-Q1575)*24)</f>
        <v/>
      </c>
      <c r="AF1575" s="77">
        <f>IF(OR($A1575="",B1575=""),"",YEAR(B1575))</f>
        <v/>
      </c>
      <c r="AG1575" s="77">
        <f>IF(OR($A1575="",B1575=""),"",MONTH(B1575))</f>
        <v/>
      </c>
    </row>
    <row r="1576">
      <c r="A1576" s="7" t="n"/>
      <c r="B1576" s="75" t="n"/>
      <c r="C1576" s="7" t="n"/>
      <c r="D1576" s="7" t="n"/>
      <c r="E1576" s="9">
        <f>IF(D1576="","",IFERROR(INDEX('Équipements'!$B$5:$B$304,MATCH(D1576,'Équipements'!$A$5:$A$304,0)),"Code inconnu"))</f>
        <v/>
      </c>
      <c r="F1576" s="9">
        <f>IF(D1576="","",IFERROR(INDEX('Équipements'!$D$5:$D$304,MATCH(D1576,'Équipements'!$A$5:$A$304,0)),""))</f>
        <v/>
      </c>
      <c r="G1576" s="9">
        <f>IF(D1576="","",IFERROR(INDEX('Équipements'!$K$5:$K$304,MATCH(D1576,'Équipements'!$A$5:$A$304,0)),""))</f>
        <v/>
      </c>
      <c r="H1576" s="7" t="n"/>
      <c r="I1576" s="7" t="n"/>
      <c r="J1576" s="7" t="n"/>
      <c r="K1576" s="7" t="n"/>
      <c r="L1576" s="7" t="n"/>
      <c r="M1576" s="7" t="n"/>
      <c r="N1576" s="7" t="n"/>
      <c r="O1576" s="7" t="n"/>
      <c r="P1576" s="65" t="n"/>
      <c r="Q1576" s="75" t="n"/>
      <c r="R1576" s="75" t="n"/>
      <c r="S1576" s="76" t="n"/>
      <c r="T1576" s="76" t="n"/>
      <c r="U1576" s="70">
        <f>IF($A1576="","",IFERROR(INDEX('Techniciens'!$F$5:$F$44,MATCH(O1576,'Techniciens'!$B$5:$B$44,0)),'Paramètres'!$AA$10))</f>
        <v/>
      </c>
      <c r="V1576" s="70">
        <f>IF($A1576="","",IF(OR(AC1576="Demandé",AC1576="Planifié",AC1576="Annulé"),0,N(T1576)*N(U1576)))</f>
        <v/>
      </c>
      <c r="W1576" s="70">
        <f>IF($A1576="","",SUMIFS('Mouvements stock'!$H$5:$H$3004,'Mouvements stock'!$I$5:$I$3004,$A1576,'Mouvements stock'!$C$5:$C$3004,"Sortie")-SUMIFS('Mouvements stock'!$H$5:$H$3004,'Mouvements stock'!$I$5:$I$3004,$A1576,'Mouvements stock'!$C$5:$C$3004,"Retour"))</f>
        <v/>
      </c>
      <c r="X1576" s="66" t="n"/>
      <c r="Y1576" s="66" t="n"/>
      <c r="Z1576" s="7" t="n"/>
      <c r="AA1576" s="70">
        <f>IF($A1576="","",N(V1576)+N(W1576)+N(X1576)+N(Y1576))</f>
        <v/>
      </c>
      <c r="AB1576" s="70">
        <f>IF($A1576="","",N(S1576)*'Paramètres'!$AA$9*IFERROR(INDEX('Paramètres'!$O$5:$O$7,MATCH(G1576,'Paramètres'!$N$5:$N$7,0)),0))</f>
        <v/>
      </c>
      <c r="AC1576" s="7" t="n"/>
      <c r="AD1576" s="69">
        <f>IF(OR($A1576="",Q1576=""),"",(Q1576-B1576)*24)</f>
        <v/>
      </c>
      <c r="AE1576" s="69">
        <f>IF(OR(Q1576="",R1576=""),"",(R1576-Q1576)*24)</f>
        <v/>
      </c>
      <c r="AF1576" s="77">
        <f>IF(OR($A1576="",B1576=""),"",YEAR(B1576))</f>
        <v/>
      </c>
      <c r="AG1576" s="77">
        <f>IF(OR($A1576="",B1576=""),"",MONTH(B1576))</f>
        <v/>
      </c>
    </row>
    <row r="1577">
      <c r="A1577" s="7" t="n"/>
      <c r="B1577" s="75" t="n"/>
      <c r="C1577" s="7" t="n"/>
      <c r="D1577" s="7" t="n"/>
      <c r="E1577" s="9">
        <f>IF(D1577="","",IFERROR(INDEX('Équipements'!$B$5:$B$304,MATCH(D1577,'Équipements'!$A$5:$A$304,0)),"Code inconnu"))</f>
        <v/>
      </c>
      <c r="F1577" s="9">
        <f>IF(D1577="","",IFERROR(INDEX('Équipements'!$D$5:$D$304,MATCH(D1577,'Équipements'!$A$5:$A$304,0)),""))</f>
        <v/>
      </c>
      <c r="G1577" s="9">
        <f>IF(D1577="","",IFERROR(INDEX('Équipements'!$K$5:$K$304,MATCH(D1577,'Équipements'!$A$5:$A$304,0)),""))</f>
        <v/>
      </c>
      <c r="H1577" s="7" t="n"/>
      <c r="I1577" s="7" t="n"/>
      <c r="J1577" s="7" t="n"/>
      <c r="K1577" s="7" t="n"/>
      <c r="L1577" s="7" t="n"/>
      <c r="M1577" s="7" t="n"/>
      <c r="N1577" s="7" t="n"/>
      <c r="O1577" s="7" t="n"/>
      <c r="P1577" s="65" t="n"/>
      <c r="Q1577" s="75" t="n"/>
      <c r="R1577" s="75" t="n"/>
      <c r="S1577" s="76" t="n"/>
      <c r="T1577" s="76" t="n"/>
      <c r="U1577" s="70">
        <f>IF($A1577="","",IFERROR(INDEX('Techniciens'!$F$5:$F$44,MATCH(O1577,'Techniciens'!$B$5:$B$44,0)),'Paramètres'!$AA$10))</f>
        <v/>
      </c>
      <c r="V1577" s="70">
        <f>IF($A1577="","",IF(OR(AC1577="Demandé",AC1577="Planifié",AC1577="Annulé"),0,N(T1577)*N(U1577)))</f>
        <v/>
      </c>
      <c r="W1577" s="70">
        <f>IF($A1577="","",SUMIFS('Mouvements stock'!$H$5:$H$3004,'Mouvements stock'!$I$5:$I$3004,$A1577,'Mouvements stock'!$C$5:$C$3004,"Sortie")-SUMIFS('Mouvements stock'!$H$5:$H$3004,'Mouvements stock'!$I$5:$I$3004,$A1577,'Mouvements stock'!$C$5:$C$3004,"Retour"))</f>
        <v/>
      </c>
      <c r="X1577" s="66" t="n"/>
      <c r="Y1577" s="66" t="n"/>
      <c r="Z1577" s="7" t="n"/>
      <c r="AA1577" s="70">
        <f>IF($A1577="","",N(V1577)+N(W1577)+N(X1577)+N(Y1577))</f>
        <v/>
      </c>
      <c r="AB1577" s="70">
        <f>IF($A1577="","",N(S1577)*'Paramètres'!$AA$9*IFERROR(INDEX('Paramètres'!$O$5:$O$7,MATCH(G1577,'Paramètres'!$N$5:$N$7,0)),0))</f>
        <v/>
      </c>
      <c r="AC1577" s="7" t="n"/>
      <c r="AD1577" s="69">
        <f>IF(OR($A1577="",Q1577=""),"",(Q1577-B1577)*24)</f>
        <v/>
      </c>
      <c r="AE1577" s="69">
        <f>IF(OR(Q1577="",R1577=""),"",(R1577-Q1577)*24)</f>
        <v/>
      </c>
      <c r="AF1577" s="77">
        <f>IF(OR($A1577="",B1577=""),"",YEAR(B1577))</f>
        <v/>
      </c>
      <c r="AG1577" s="77">
        <f>IF(OR($A1577="",B1577=""),"",MONTH(B1577))</f>
        <v/>
      </c>
    </row>
    <row r="1578">
      <c r="A1578" s="7" t="n"/>
      <c r="B1578" s="75" t="n"/>
      <c r="C1578" s="7" t="n"/>
      <c r="D1578" s="7" t="n"/>
      <c r="E1578" s="9">
        <f>IF(D1578="","",IFERROR(INDEX('Équipements'!$B$5:$B$304,MATCH(D1578,'Équipements'!$A$5:$A$304,0)),"Code inconnu"))</f>
        <v/>
      </c>
      <c r="F1578" s="9">
        <f>IF(D1578="","",IFERROR(INDEX('Équipements'!$D$5:$D$304,MATCH(D1578,'Équipements'!$A$5:$A$304,0)),""))</f>
        <v/>
      </c>
      <c r="G1578" s="9">
        <f>IF(D1578="","",IFERROR(INDEX('Équipements'!$K$5:$K$304,MATCH(D1578,'Équipements'!$A$5:$A$304,0)),""))</f>
        <v/>
      </c>
      <c r="H1578" s="7" t="n"/>
      <c r="I1578" s="7" t="n"/>
      <c r="J1578" s="7" t="n"/>
      <c r="K1578" s="7" t="n"/>
      <c r="L1578" s="7" t="n"/>
      <c r="M1578" s="7" t="n"/>
      <c r="N1578" s="7" t="n"/>
      <c r="O1578" s="7" t="n"/>
      <c r="P1578" s="65" t="n"/>
      <c r="Q1578" s="75" t="n"/>
      <c r="R1578" s="75" t="n"/>
      <c r="S1578" s="76" t="n"/>
      <c r="T1578" s="76" t="n"/>
      <c r="U1578" s="70">
        <f>IF($A1578="","",IFERROR(INDEX('Techniciens'!$F$5:$F$44,MATCH(O1578,'Techniciens'!$B$5:$B$44,0)),'Paramètres'!$AA$10))</f>
        <v/>
      </c>
      <c r="V1578" s="70">
        <f>IF($A1578="","",IF(OR(AC1578="Demandé",AC1578="Planifié",AC1578="Annulé"),0,N(T1578)*N(U1578)))</f>
        <v/>
      </c>
      <c r="W1578" s="70">
        <f>IF($A1578="","",SUMIFS('Mouvements stock'!$H$5:$H$3004,'Mouvements stock'!$I$5:$I$3004,$A1578,'Mouvements stock'!$C$5:$C$3004,"Sortie")-SUMIFS('Mouvements stock'!$H$5:$H$3004,'Mouvements stock'!$I$5:$I$3004,$A1578,'Mouvements stock'!$C$5:$C$3004,"Retour"))</f>
        <v/>
      </c>
      <c r="X1578" s="66" t="n"/>
      <c r="Y1578" s="66" t="n"/>
      <c r="Z1578" s="7" t="n"/>
      <c r="AA1578" s="70">
        <f>IF($A1578="","",N(V1578)+N(W1578)+N(X1578)+N(Y1578))</f>
        <v/>
      </c>
      <c r="AB1578" s="70">
        <f>IF($A1578="","",N(S1578)*'Paramètres'!$AA$9*IFERROR(INDEX('Paramètres'!$O$5:$O$7,MATCH(G1578,'Paramètres'!$N$5:$N$7,0)),0))</f>
        <v/>
      </c>
      <c r="AC1578" s="7" t="n"/>
      <c r="AD1578" s="69">
        <f>IF(OR($A1578="",Q1578=""),"",(Q1578-B1578)*24)</f>
        <v/>
      </c>
      <c r="AE1578" s="69">
        <f>IF(OR(Q1578="",R1578=""),"",(R1578-Q1578)*24)</f>
        <v/>
      </c>
      <c r="AF1578" s="77">
        <f>IF(OR($A1578="",B1578=""),"",YEAR(B1578))</f>
        <v/>
      </c>
      <c r="AG1578" s="77">
        <f>IF(OR($A1578="",B1578=""),"",MONTH(B1578))</f>
        <v/>
      </c>
    </row>
    <row r="1579">
      <c r="A1579" s="7" t="n"/>
      <c r="B1579" s="75" t="n"/>
      <c r="C1579" s="7" t="n"/>
      <c r="D1579" s="7" t="n"/>
      <c r="E1579" s="9">
        <f>IF(D1579="","",IFERROR(INDEX('Équipements'!$B$5:$B$304,MATCH(D1579,'Équipements'!$A$5:$A$304,0)),"Code inconnu"))</f>
        <v/>
      </c>
      <c r="F1579" s="9">
        <f>IF(D1579="","",IFERROR(INDEX('Équipements'!$D$5:$D$304,MATCH(D1579,'Équipements'!$A$5:$A$304,0)),""))</f>
        <v/>
      </c>
      <c r="G1579" s="9">
        <f>IF(D1579="","",IFERROR(INDEX('Équipements'!$K$5:$K$304,MATCH(D1579,'Équipements'!$A$5:$A$304,0)),""))</f>
        <v/>
      </c>
      <c r="H1579" s="7" t="n"/>
      <c r="I1579" s="7" t="n"/>
      <c r="J1579" s="7" t="n"/>
      <c r="K1579" s="7" t="n"/>
      <c r="L1579" s="7" t="n"/>
      <c r="M1579" s="7" t="n"/>
      <c r="N1579" s="7" t="n"/>
      <c r="O1579" s="7" t="n"/>
      <c r="P1579" s="65" t="n"/>
      <c r="Q1579" s="75" t="n"/>
      <c r="R1579" s="75" t="n"/>
      <c r="S1579" s="76" t="n"/>
      <c r="T1579" s="76" t="n"/>
      <c r="U1579" s="70">
        <f>IF($A1579="","",IFERROR(INDEX('Techniciens'!$F$5:$F$44,MATCH(O1579,'Techniciens'!$B$5:$B$44,0)),'Paramètres'!$AA$10))</f>
        <v/>
      </c>
      <c r="V1579" s="70">
        <f>IF($A1579="","",IF(OR(AC1579="Demandé",AC1579="Planifié",AC1579="Annulé"),0,N(T1579)*N(U1579)))</f>
        <v/>
      </c>
      <c r="W1579" s="70">
        <f>IF($A1579="","",SUMIFS('Mouvements stock'!$H$5:$H$3004,'Mouvements stock'!$I$5:$I$3004,$A1579,'Mouvements stock'!$C$5:$C$3004,"Sortie")-SUMIFS('Mouvements stock'!$H$5:$H$3004,'Mouvements stock'!$I$5:$I$3004,$A1579,'Mouvements stock'!$C$5:$C$3004,"Retour"))</f>
        <v/>
      </c>
      <c r="X1579" s="66" t="n"/>
      <c r="Y1579" s="66" t="n"/>
      <c r="Z1579" s="7" t="n"/>
      <c r="AA1579" s="70">
        <f>IF($A1579="","",N(V1579)+N(W1579)+N(X1579)+N(Y1579))</f>
        <v/>
      </c>
      <c r="AB1579" s="70">
        <f>IF($A1579="","",N(S1579)*'Paramètres'!$AA$9*IFERROR(INDEX('Paramètres'!$O$5:$O$7,MATCH(G1579,'Paramètres'!$N$5:$N$7,0)),0))</f>
        <v/>
      </c>
      <c r="AC1579" s="7" t="n"/>
      <c r="AD1579" s="69">
        <f>IF(OR($A1579="",Q1579=""),"",(Q1579-B1579)*24)</f>
        <v/>
      </c>
      <c r="AE1579" s="69">
        <f>IF(OR(Q1579="",R1579=""),"",(R1579-Q1579)*24)</f>
        <v/>
      </c>
      <c r="AF1579" s="77">
        <f>IF(OR($A1579="",B1579=""),"",YEAR(B1579))</f>
        <v/>
      </c>
      <c r="AG1579" s="77">
        <f>IF(OR($A1579="",B1579=""),"",MONTH(B1579))</f>
        <v/>
      </c>
    </row>
    <row r="1580">
      <c r="A1580" s="7" t="n"/>
      <c r="B1580" s="75" t="n"/>
      <c r="C1580" s="7" t="n"/>
      <c r="D1580" s="7" t="n"/>
      <c r="E1580" s="9">
        <f>IF(D1580="","",IFERROR(INDEX('Équipements'!$B$5:$B$304,MATCH(D1580,'Équipements'!$A$5:$A$304,0)),"Code inconnu"))</f>
        <v/>
      </c>
      <c r="F1580" s="9">
        <f>IF(D1580="","",IFERROR(INDEX('Équipements'!$D$5:$D$304,MATCH(D1580,'Équipements'!$A$5:$A$304,0)),""))</f>
        <v/>
      </c>
      <c r="G1580" s="9">
        <f>IF(D1580="","",IFERROR(INDEX('Équipements'!$K$5:$K$304,MATCH(D1580,'Équipements'!$A$5:$A$304,0)),""))</f>
        <v/>
      </c>
      <c r="H1580" s="7" t="n"/>
      <c r="I1580" s="7" t="n"/>
      <c r="J1580" s="7" t="n"/>
      <c r="K1580" s="7" t="n"/>
      <c r="L1580" s="7" t="n"/>
      <c r="M1580" s="7" t="n"/>
      <c r="N1580" s="7" t="n"/>
      <c r="O1580" s="7" t="n"/>
      <c r="P1580" s="65" t="n"/>
      <c r="Q1580" s="75" t="n"/>
      <c r="R1580" s="75" t="n"/>
      <c r="S1580" s="76" t="n"/>
      <c r="T1580" s="76" t="n"/>
      <c r="U1580" s="70">
        <f>IF($A1580="","",IFERROR(INDEX('Techniciens'!$F$5:$F$44,MATCH(O1580,'Techniciens'!$B$5:$B$44,0)),'Paramètres'!$AA$10))</f>
        <v/>
      </c>
      <c r="V1580" s="70">
        <f>IF($A1580="","",IF(OR(AC1580="Demandé",AC1580="Planifié",AC1580="Annulé"),0,N(T1580)*N(U1580)))</f>
        <v/>
      </c>
      <c r="W1580" s="70">
        <f>IF($A1580="","",SUMIFS('Mouvements stock'!$H$5:$H$3004,'Mouvements stock'!$I$5:$I$3004,$A1580,'Mouvements stock'!$C$5:$C$3004,"Sortie")-SUMIFS('Mouvements stock'!$H$5:$H$3004,'Mouvements stock'!$I$5:$I$3004,$A1580,'Mouvements stock'!$C$5:$C$3004,"Retour"))</f>
        <v/>
      </c>
      <c r="X1580" s="66" t="n"/>
      <c r="Y1580" s="66" t="n"/>
      <c r="Z1580" s="7" t="n"/>
      <c r="AA1580" s="70">
        <f>IF($A1580="","",N(V1580)+N(W1580)+N(X1580)+N(Y1580))</f>
        <v/>
      </c>
      <c r="AB1580" s="70">
        <f>IF($A1580="","",N(S1580)*'Paramètres'!$AA$9*IFERROR(INDEX('Paramètres'!$O$5:$O$7,MATCH(G1580,'Paramètres'!$N$5:$N$7,0)),0))</f>
        <v/>
      </c>
      <c r="AC1580" s="7" t="n"/>
      <c r="AD1580" s="69">
        <f>IF(OR($A1580="",Q1580=""),"",(Q1580-B1580)*24)</f>
        <v/>
      </c>
      <c r="AE1580" s="69">
        <f>IF(OR(Q1580="",R1580=""),"",(R1580-Q1580)*24)</f>
        <v/>
      </c>
      <c r="AF1580" s="77">
        <f>IF(OR($A1580="",B1580=""),"",YEAR(B1580))</f>
        <v/>
      </c>
      <c r="AG1580" s="77">
        <f>IF(OR($A1580="",B1580=""),"",MONTH(B1580))</f>
        <v/>
      </c>
    </row>
    <row r="1581">
      <c r="A1581" s="7" t="n"/>
      <c r="B1581" s="75" t="n"/>
      <c r="C1581" s="7" t="n"/>
      <c r="D1581" s="7" t="n"/>
      <c r="E1581" s="9">
        <f>IF(D1581="","",IFERROR(INDEX('Équipements'!$B$5:$B$304,MATCH(D1581,'Équipements'!$A$5:$A$304,0)),"Code inconnu"))</f>
        <v/>
      </c>
      <c r="F1581" s="9">
        <f>IF(D1581="","",IFERROR(INDEX('Équipements'!$D$5:$D$304,MATCH(D1581,'Équipements'!$A$5:$A$304,0)),""))</f>
        <v/>
      </c>
      <c r="G1581" s="9">
        <f>IF(D1581="","",IFERROR(INDEX('Équipements'!$K$5:$K$304,MATCH(D1581,'Équipements'!$A$5:$A$304,0)),""))</f>
        <v/>
      </c>
      <c r="H1581" s="7" t="n"/>
      <c r="I1581" s="7" t="n"/>
      <c r="J1581" s="7" t="n"/>
      <c r="K1581" s="7" t="n"/>
      <c r="L1581" s="7" t="n"/>
      <c r="M1581" s="7" t="n"/>
      <c r="N1581" s="7" t="n"/>
      <c r="O1581" s="7" t="n"/>
      <c r="P1581" s="65" t="n"/>
      <c r="Q1581" s="75" t="n"/>
      <c r="R1581" s="75" t="n"/>
      <c r="S1581" s="76" t="n"/>
      <c r="T1581" s="76" t="n"/>
      <c r="U1581" s="70">
        <f>IF($A1581="","",IFERROR(INDEX('Techniciens'!$F$5:$F$44,MATCH(O1581,'Techniciens'!$B$5:$B$44,0)),'Paramètres'!$AA$10))</f>
        <v/>
      </c>
      <c r="V1581" s="70">
        <f>IF($A1581="","",IF(OR(AC1581="Demandé",AC1581="Planifié",AC1581="Annulé"),0,N(T1581)*N(U1581)))</f>
        <v/>
      </c>
      <c r="W1581" s="70">
        <f>IF($A1581="","",SUMIFS('Mouvements stock'!$H$5:$H$3004,'Mouvements stock'!$I$5:$I$3004,$A1581,'Mouvements stock'!$C$5:$C$3004,"Sortie")-SUMIFS('Mouvements stock'!$H$5:$H$3004,'Mouvements stock'!$I$5:$I$3004,$A1581,'Mouvements stock'!$C$5:$C$3004,"Retour"))</f>
        <v/>
      </c>
      <c r="X1581" s="66" t="n"/>
      <c r="Y1581" s="66" t="n"/>
      <c r="Z1581" s="7" t="n"/>
      <c r="AA1581" s="70">
        <f>IF($A1581="","",N(V1581)+N(W1581)+N(X1581)+N(Y1581))</f>
        <v/>
      </c>
      <c r="AB1581" s="70">
        <f>IF($A1581="","",N(S1581)*'Paramètres'!$AA$9*IFERROR(INDEX('Paramètres'!$O$5:$O$7,MATCH(G1581,'Paramètres'!$N$5:$N$7,0)),0))</f>
        <v/>
      </c>
      <c r="AC1581" s="7" t="n"/>
      <c r="AD1581" s="69">
        <f>IF(OR($A1581="",Q1581=""),"",(Q1581-B1581)*24)</f>
        <v/>
      </c>
      <c r="AE1581" s="69">
        <f>IF(OR(Q1581="",R1581=""),"",(R1581-Q1581)*24)</f>
        <v/>
      </c>
      <c r="AF1581" s="77">
        <f>IF(OR($A1581="",B1581=""),"",YEAR(B1581))</f>
        <v/>
      </c>
      <c r="AG1581" s="77">
        <f>IF(OR($A1581="",B1581=""),"",MONTH(B1581))</f>
        <v/>
      </c>
    </row>
    <row r="1582">
      <c r="A1582" s="7" t="n"/>
      <c r="B1582" s="75" t="n"/>
      <c r="C1582" s="7" t="n"/>
      <c r="D1582" s="7" t="n"/>
      <c r="E1582" s="9">
        <f>IF(D1582="","",IFERROR(INDEX('Équipements'!$B$5:$B$304,MATCH(D1582,'Équipements'!$A$5:$A$304,0)),"Code inconnu"))</f>
        <v/>
      </c>
      <c r="F1582" s="9">
        <f>IF(D1582="","",IFERROR(INDEX('Équipements'!$D$5:$D$304,MATCH(D1582,'Équipements'!$A$5:$A$304,0)),""))</f>
        <v/>
      </c>
      <c r="G1582" s="9">
        <f>IF(D1582="","",IFERROR(INDEX('Équipements'!$K$5:$K$304,MATCH(D1582,'Équipements'!$A$5:$A$304,0)),""))</f>
        <v/>
      </c>
      <c r="H1582" s="7" t="n"/>
      <c r="I1582" s="7" t="n"/>
      <c r="J1582" s="7" t="n"/>
      <c r="K1582" s="7" t="n"/>
      <c r="L1582" s="7" t="n"/>
      <c r="M1582" s="7" t="n"/>
      <c r="N1582" s="7" t="n"/>
      <c r="O1582" s="7" t="n"/>
      <c r="P1582" s="65" t="n"/>
      <c r="Q1582" s="75" t="n"/>
      <c r="R1582" s="75" t="n"/>
      <c r="S1582" s="76" t="n"/>
      <c r="T1582" s="76" t="n"/>
      <c r="U1582" s="70">
        <f>IF($A1582="","",IFERROR(INDEX('Techniciens'!$F$5:$F$44,MATCH(O1582,'Techniciens'!$B$5:$B$44,0)),'Paramètres'!$AA$10))</f>
        <v/>
      </c>
      <c r="V1582" s="70">
        <f>IF($A1582="","",IF(OR(AC1582="Demandé",AC1582="Planifié",AC1582="Annulé"),0,N(T1582)*N(U1582)))</f>
        <v/>
      </c>
      <c r="W1582" s="70">
        <f>IF($A1582="","",SUMIFS('Mouvements stock'!$H$5:$H$3004,'Mouvements stock'!$I$5:$I$3004,$A1582,'Mouvements stock'!$C$5:$C$3004,"Sortie")-SUMIFS('Mouvements stock'!$H$5:$H$3004,'Mouvements stock'!$I$5:$I$3004,$A1582,'Mouvements stock'!$C$5:$C$3004,"Retour"))</f>
        <v/>
      </c>
      <c r="X1582" s="66" t="n"/>
      <c r="Y1582" s="66" t="n"/>
      <c r="Z1582" s="7" t="n"/>
      <c r="AA1582" s="70">
        <f>IF($A1582="","",N(V1582)+N(W1582)+N(X1582)+N(Y1582))</f>
        <v/>
      </c>
      <c r="AB1582" s="70">
        <f>IF($A1582="","",N(S1582)*'Paramètres'!$AA$9*IFERROR(INDEX('Paramètres'!$O$5:$O$7,MATCH(G1582,'Paramètres'!$N$5:$N$7,0)),0))</f>
        <v/>
      </c>
      <c r="AC1582" s="7" t="n"/>
      <c r="AD1582" s="69">
        <f>IF(OR($A1582="",Q1582=""),"",(Q1582-B1582)*24)</f>
        <v/>
      </c>
      <c r="AE1582" s="69">
        <f>IF(OR(Q1582="",R1582=""),"",(R1582-Q1582)*24)</f>
        <v/>
      </c>
      <c r="AF1582" s="77">
        <f>IF(OR($A1582="",B1582=""),"",YEAR(B1582))</f>
        <v/>
      </c>
      <c r="AG1582" s="77">
        <f>IF(OR($A1582="",B1582=""),"",MONTH(B1582))</f>
        <v/>
      </c>
    </row>
    <row r="1583">
      <c r="A1583" s="7" t="n"/>
      <c r="B1583" s="75" t="n"/>
      <c r="C1583" s="7" t="n"/>
      <c r="D1583" s="7" t="n"/>
      <c r="E1583" s="9">
        <f>IF(D1583="","",IFERROR(INDEX('Équipements'!$B$5:$B$304,MATCH(D1583,'Équipements'!$A$5:$A$304,0)),"Code inconnu"))</f>
        <v/>
      </c>
      <c r="F1583" s="9">
        <f>IF(D1583="","",IFERROR(INDEX('Équipements'!$D$5:$D$304,MATCH(D1583,'Équipements'!$A$5:$A$304,0)),""))</f>
        <v/>
      </c>
      <c r="G1583" s="9">
        <f>IF(D1583="","",IFERROR(INDEX('Équipements'!$K$5:$K$304,MATCH(D1583,'Équipements'!$A$5:$A$304,0)),""))</f>
        <v/>
      </c>
      <c r="H1583" s="7" t="n"/>
      <c r="I1583" s="7" t="n"/>
      <c r="J1583" s="7" t="n"/>
      <c r="K1583" s="7" t="n"/>
      <c r="L1583" s="7" t="n"/>
      <c r="M1583" s="7" t="n"/>
      <c r="N1583" s="7" t="n"/>
      <c r="O1583" s="7" t="n"/>
      <c r="P1583" s="65" t="n"/>
      <c r="Q1583" s="75" t="n"/>
      <c r="R1583" s="75" t="n"/>
      <c r="S1583" s="76" t="n"/>
      <c r="T1583" s="76" t="n"/>
      <c r="U1583" s="70">
        <f>IF($A1583="","",IFERROR(INDEX('Techniciens'!$F$5:$F$44,MATCH(O1583,'Techniciens'!$B$5:$B$44,0)),'Paramètres'!$AA$10))</f>
        <v/>
      </c>
      <c r="V1583" s="70">
        <f>IF($A1583="","",IF(OR(AC1583="Demandé",AC1583="Planifié",AC1583="Annulé"),0,N(T1583)*N(U1583)))</f>
        <v/>
      </c>
      <c r="W1583" s="70">
        <f>IF($A1583="","",SUMIFS('Mouvements stock'!$H$5:$H$3004,'Mouvements stock'!$I$5:$I$3004,$A1583,'Mouvements stock'!$C$5:$C$3004,"Sortie")-SUMIFS('Mouvements stock'!$H$5:$H$3004,'Mouvements stock'!$I$5:$I$3004,$A1583,'Mouvements stock'!$C$5:$C$3004,"Retour"))</f>
        <v/>
      </c>
      <c r="X1583" s="66" t="n"/>
      <c r="Y1583" s="66" t="n"/>
      <c r="Z1583" s="7" t="n"/>
      <c r="AA1583" s="70">
        <f>IF($A1583="","",N(V1583)+N(W1583)+N(X1583)+N(Y1583))</f>
        <v/>
      </c>
      <c r="AB1583" s="70">
        <f>IF($A1583="","",N(S1583)*'Paramètres'!$AA$9*IFERROR(INDEX('Paramètres'!$O$5:$O$7,MATCH(G1583,'Paramètres'!$N$5:$N$7,0)),0))</f>
        <v/>
      </c>
      <c r="AC1583" s="7" t="n"/>
      <c r="AD1583" s="69">
        <f>IF(OR($A1583="",Q1583=""),"",(Q1583-B1583)*24)</f>
        <v/>
      </c>
      <c r="AE1583" s="69">
        <f>IF(OR(Q1583="",R1583=""),"",(R1583-Q1583)*24)</f>
        <v/>
      </c>
      <c r="AF1583" s="77">
        <f>IF(OR($A1583="",B1583=""),"",YEAR(B1583))</f>
        <v/>
      </c>
      <c r="AG1583" s="77">
        <f>IF(OR($A1583="",B1583=""),"",MONTH(B1583))</f>
        <v/>
      </c>
    </row>
    <row r="1584">
      <c r="A1584" s="7" t="n"/>
      <c r="B1584" s="75" t="n"/>
      <c r="C1584" s="7" t="n"/>
      <c r="D1584" s="7" t="n"/>
      <c r="E1584" s="9">
        <f>IF(D1584="","",IFERROR(INDEX('Équipements'!$B$5:$B$304,MATCH(D1584,'Équipements'!$A$5:$A$304,0)),"Code inconnu"))</f>
        <v/>
      </c>
      <c r="F1584" s="9">
        <f>IF(D1584="","",IFERROR(INDEX('Équipements'!$D$5:$D$304,MATCH(D1584,'Équipements'!$A$5:$A$304,0)),""))</f>
        <v/>
      </c>
      <c r="G1584" s="9">
        <f>IF(D1584="","",IFERROR(INDEX('Équipements'!$K$5:$K$304,MATCH(D1584,'Équipements'!$A$5:$A$304,0)),""))</f>
        <v/>
      </c>
      <c r="H1584" s="7" t="n"/>
      <c r="I1584" s="7" t="n"/>
      <c r="J1584" s="7" t="n"/>
      <c r="K1584" s="7" t="n"/>
      <c r="L1584" s="7" t="n"/>
      <c r="M1584" s="7" t="n"/>
      <c r="N1584" s="7" t="n"/>
      <c r="O1584" s="7" t="n"/>
      <c r="P1584" s="65" t="n"/>
      <c r="Q1584" s="75" t="n"/>
      <c r="R1584" s="75" t="n"/>
      <c r="S1584" s="76" t="n"/>
      <c r="T1584" s="76" t="n"/>
      <c r="U1584" s="70">
        <f>IF($A1584="","",IFERROR(INDEX('Techniciens'!$F$5:$F$44,MATCH(O1584,'Techniciens'!$B$5:$B$44,0)),'Paramètres'!$AA$10))</f>
        <v/>
      </c>
      <c r="V1584" s="70">
        <f>IF($A1584="","",IF(OR(AC1584="Demandé",AC1584="Planifié",AC1584="Annulé"),0,N(T1584)*N(U1584)))</f>
        <v/>
      </c>
      <c r="W1584" s="70">
        <f>IF($A1584="","",SUMIFS('Mouvements stock'!$H$5:$H$3004,'Mouvements stock'!$I$5:$I$3004,$A1584,'Mouvements stock'!$C$5:$C$3004,"Sortie")-SUMIFS('Mouvements stock'!$H$5:$H$3004,'Mouvements stock'!$I$5:$I$3004,$A1584,'Mouvements stock'!$C$5:$C$3004,"Retour"))</f>
        <v/>
      </c>
      <c r="X1584" s="66" t="n"/>
      <c r="Y1584" s="66" t="n"/>
      <c r="Z1584" s="7" t="n"/>
      <c r="AA1584" s="70">
        <f>IF($A1584="","",N(V1584)+N(W1584)+N(X1584)+N(Y1584))</f>
        <v/>
      </c>
      <c r="AB1584" s="70">
        <f>IF($A1584="","",N(S1584)*'Paramètres'!$AA$9*IFERROR(INDEX('Paramètres'!$O$5:$O$7,MATCH(G1584,'Paramètres'!$N$5:$N$7,0)),0))</f>
        <v/>
      </c>
      <c r="AC1584" s="7" t="n"/>
      <c r="AD1584" s="69">
        <f>IF(OR($A1584="",Q1584=""),"",(Q1584-B1584)*24)</f>
        <v/>
      </c>
      <c r="AE1584" s="69">
        <f>IF(OR(Q1584="",R1584=""),"",(R1584-Q1584)*24)</f>
        <v/>
      </c>
      <c r="AF1584" s="77">
        <f>IF(OR($A1584="",B1584=""),"",YEAR(B1584))</f>
        <v/>
      </c>
      <c r="AG1584" s="77">
        <f>IF(OR($A1584="",B1584=""),"",MONTH(B1584))</f>
        <v/>
      </c>
    </row>
    <row r="1585">
      <c r="A1585" s="7" t="n"/>
      <c r="B1585" s="75" t="n"/>
      <c r="C1585" s="7" t="n"/>
      <c r="D1585" s="7" t="n"/>
      <c r="E1585" s="9">
        <f>IF(D1585="","",IFERROR(INDEX('Équipements'!$B$5:$B$304,MATCH(D1585,'Équipements'!$A$5:$A$304,0)),"Code inconnu"))</f>
        <v/>
      </c>
      <c r="F1585" s="9">
        <f>IF(D1585="","",IFERROR(INDEX('Équipements'!$D$5:$D$304,MATCH(D1585,'Équipements'!$A$5:$A$304,0)),""))</f>
        <v/>
      </c>
      <c r="G1585" s="9">
        <f>IF(D1585="","",IFERROR(INDEX('Équipements'!$K$5:$K$304,MATCH(D1585,'Équipements'!$A$5:$A$304,0)),""))</f>
        <v/>
      </c>
      <c r="H1585" s="7" t="n"/>
      <c r="I1585" s="7" t="n"/>
      <c r="J1585" s="7" t="n"/>
      <c r="K1585" s="7" t="n"/>
      <c r="L1585" s="7" t="n"/>
      <c r="M1585" s="7" t="n"/>
      <c r="N1585" s="7" t="n"/>
      <c r="O1585" s="7" t="n"/>
      <c r="P1585" s="65" t="n"/>
      <c r="Q1585" s="75" t="n"/>
      <c r="R1585" s="75" t="n"/>
      <c r="S1585" s="76" t="n"/>
      <c r="T1585" s="76" t="n"/>
      <c r="U1585" s="70">
        <f>IF($A1585="","",IFERROR(INDEX('Techniciens'!$F$5:$F$44,MATCH(O1585,'Techniciens'!$B$5:$B$44,0)),'Paramètres'!$AA$10))</f>
        <v/>
      </c>
      <c r="V1585" s="70">
        <f>IF($A1585="","",IF(OR(AC1585="Demandé",AC1585="Planifié",AC1585="Annulé"),0,N(T1585)*N(U1585)))</f>
        <v/>
      </c>
      <c r="W1585" s="70">
        <f>IF($A1585="","",SUMIFS('Mouvements stock'!$H$5:$H$3004,'Mouvements stock'!$I$5:$I$3004,$A1585,'Mouvements stock'!$C$5:$C$3004,"Sortie")-SUMIFS('Mouvements stock'!$H$5:$H$3004,'Mouvements stock'!$I$5:$I$3004,$A1585,'Mouvements stock'!$C$5:$C$3004,"Retour"))</f>
        <v/>
      </c>
      <c r="X1585" s="66" t="n"/>
      <c r="Y1585" s="66" t="n"/>
      <c r="Z1585" s="7" t="n"/>
      <c r="AA1585" s="70">
        <f>IF($A1585="","",N(V1585)+N(W1585)+N(X1585)+N(Y1585))</f>
        <v/>
      </c>
      <c r="AB1585" s="70">
        <f>IF($A1585="","",N(S1585)*'Paramètres'!$AA$9*IFERROR(INDEX('Paramètres'!$O$5:$O$7,MATCH(G1585,'Paramètres'!$N$5:$N$7,0)),0))</f>
        <v/>
      </c>
      <c r="AC1585" s="7" t="n"/>
      <c r="AD1585" s="69">
        <f>IF(OR($A1585="",Q1585=""),"",(Q1585-B1585)*24)</f>
        <v/>
      </c>
      <c r="AE1585" s="69">
        <f>IF(OR(Q1585="",R1585=""),"",(R1585-Q1585)*24)</f>
        <v/>
      </c>
      <c r="AF1585" s="77">
        <f>IF(OR($A1585="",B1585=""),"",YEAR(B1585))</f>
        <v/>
      </c>
      <c r="AG1585" s="77">
        <f>IF(OR($A1585="",B1585=""),"",MONTH(B1585))</f>
        <v/>
      </c>
    </row>
    <row r="1586">
      <c r="A1586" s="7" t="n"/>
      <c r="B1586" s="75" t="n"/>
      <c r="C1586" s="7" t="n"/>
      <c r="D1586" s="7" t="n"/>
      <c r="E1586" s="9">
        <f>IF(D1586="","",IFERROR(INDEX('Équipements'!$B$5:$B$304,MATCH(D1586,'Équipements'!$A$5:$A$304,0)),"Code inconnu"))</f>
        <v/>
      </c>
      <c r="F1586" s="9">
        <f>IF(D1586="","",IFERROR(INDEX('Équipements'!$D$5:$D$304,MATCH(D1586,'Équipements'!$A$5:$A$304,0)),""))</f>
        <v/>
      </c>
      <c r="G1586" s="9">
        <f>IF(D1586="","",IFERROR(INDEX('Équipements'!$K$5:$K$304,MATCH(D1586,'Équipements'!$A$5:$A$304,0)),""))</f>
        <v/>
      </c>
      <c r="H1586" s="7" t="n"/>
      <c r="I1586" s="7" t="n"/>
      <c r="J1586" s="7" t="n"/>
      <c r="K1586" s="7" t="n"/>
      <c r="L1586" s="7" t="n"/>
      <c r="M1586" s="7" t="n"/>
      <c r="N1586" s="7" t="n"/>
      <c r="O1586" s="7" t="n"/>
      <c r="P1586" s="65" t="n"/>
      <c r="Q1586" s="75" t="n"/>
      <c r="R1586" s="75" t="n"/>
      <c r="S1586" s="76" t="n"/>
      <c r="T1586" s="76" t="n"/>
      <c r="U1586" s="70">
        <f>IF($A1586="","",IFERROR(INDEX('Techniciens'!$F$5:$F$44,MATCH(O1586,'Techniciens'!$B$5:$B$44,0)),'Paramètres'!$AA$10))</f>
        <v/>
      </c>
      <c r="V1586" s="70">
        <f>IF($A1586="","",IF(OR(AC1586="Demandé",AC1586="Planifié",AC1586="Annulé"),0,N(T1586)*N(U1586)))</f>
        <v/>
      </c>
      <c r="W1586" s="70">
        <f>IF($A1586="","",SUMIFS('Mouvements stock'!$H$5:$H$3004,'Mouvements stock'!$I$5:$I$3004,$A1586,'Mouvements stock'!$C$5:$C$3004,"Sortie")-SUMIFS('Mouvements stock'!$H$5:$H$3004,'Mouvements stock'!$I$5:$I$3004,$A1586,'Mouvements stock'!$C$5:$C$3004,"Retour"))</f>
        <v/>
      </c>
      <c r="X1586" s="66" t="n"/>
      <c r="Y1586" s="66" t="n"/>
      <c r="Z1586" s="7" t="n"/>
      <c r="AA1586" s="70">
        <f>IF($A1586="","",N(V1586)+N(W1586)+N(X1586)+N(Y1586))</f>
        <v/>
      </c>
      <c r="AB1586" s="70">
        <f>IF($A1586="","",N(S1586)*'Paramètres'!$AA$9*IFERROR(INDEX('Paramètres'!$O$5:$O$7,MATCH(G1586,'Paramètres'!$N$5:$N$7,0)),0))</f>
        <v/>
      </c>
      <c r="AC1586" s="7" t="n"/>
      <c r="AD1586" s="69">
        <f>IF(OR($A1586="",Q1586=""),"",(Q1586-B1586)*24)</f>
        <v/>
      </c>
      <c r="AE1586" s="69">
        <f>IF(OR(Q1586="",R1586=""),"",(R1586-Q1586)*24)</f>
        <v/>
      </c>
      <c r="AF1586" s="77">
        <f>IF(OR($A1586="",B1586=""),"",YEAR(B1586))</f>
        <v/>
      </c>
      <c r="AG1586" s="77">
        <f>IF(OR($A1586="",B1586=""),"",MONTH(B1586))</f>
        <v/>
      </c>
    </row>
    <row r="1587">
      <c r="A1587" s="7" t="n"/>
      <c r="B1587" s="75" t="n"/>
      <c r="C1587" s="7" t="n"/>
      <c r="D1587" s="7" t="n"/>
      <c r="E1587" s="9">
        <f>IF(D1587="","",IFERROR(INDEX('Équipements'!$B$5:$B$304,MATCH(D1587,'Équipements'!$A$5:$A$304,0)),"Code inconnu"))</f>
        <v/>
      </c>
      <c r="F1587" s="9">
        <f>IF(D1587="","",IFERROR(INDEX('Équipements'!$D$5:$D$304,MATCH(D1587,'Équipements'!$A$5:$A$304,0)),""))</f>
        <v/>
      </c>
      <c r="G1587" s="9">
        <f>IF(D1587="","",IFERROR(INDEX('Équipements'!$K$5:$K$304,MATCH(D1587,'Équipements'!$A$5:$A$304,0)),""))</f>
        <v/>
      </c>
      <c r="H1587" s="7" t="n"/>
      <c r="I1587" s="7" t="n"/>
      <c r="J1587" s="7" t="n"/>
      <c r="K1587" s="7" t="n"/>
      <c r="L1587" s="7" t="n"/>
      <c r="M1587" s="7" t="n"/>
      <c r="N1587" s="7" t="n"/>
      <c r="O1587" s="7" t="n"/>
      <c r="P1587" s="65" t="n"/>
      <c r="Q1587" s="75" t="n"/>
      <c r="R1587" s="75" t="n"/>
      <c r="S1587" s="76" t="n"/>
      <c r="T1587" s="76" t="n"/>
      <c r="U1587" s="70">
        <f>IF($A1587="","",IFERROR(INDEX('Techniciens'!$F$5:$F$44,MATCH(O1587,'Techniciens'!$B$5:$B$44,0)),'Paramètres'!$AA$10))</f>
        <v/>
      </c>
      <c r="V1587" s="70">
        <f>IF($A1587="","",IF(OR(AC1587="Demandé",AC1587="Planifié",AC1587="Annulé"),0,N(T1587)*N(U1587)))</f>
        <v/>
      </c>
      <c r="W1587" s="70">
        <f>IF($A1587="","",SUMIFS('Mouvements stock'!$H$5:$H$3004,'Mouvements stock'!$I$5:$I$3004,$A1587,'Mouvements stock'!$C$5:$C$3004,"Sortie")-SUMIFS('Mouvements stock'!$H$5:$H$3004,'Mouvements stock'!$I$5:$I$3004,$A1587,'Mouvements stock'!$C$5:$C$3004,"Retour"))</f>
        <v/>
      </c>
      <c r="X1587" s="66" t="n"/>
      <c r="Y1587" s="66" t="n"/>
      <c r="Z1587" s="7" t="n"/>
      <c r="AA1587" s="70">
        <f>IF($A1587="","",N(V1587)+N(W1587)+N(X1587)+N(Y1587))</f>
        <v/>
      </c>
      <c r="AB1587" s="70">
        <f>IF($A1587="","",N(S1587)*'Paramètres'!$AA$9*IFERROR(INDEX('Paramètres'!$O$5:$O$7,MATCH(G1587,'Paramètres'!$N$5:$N$7,0)),0))</f>
        <v/>
      </c>
      <c r="AC1587" s="7" t="n"/>
      <c r="AD1587" s="69">
        <f>IF(OR($A1587="",Q1587=""),"",(Q1587-B1587)*24)</f>
        <v/>
      </c>
      <c r="AE1587" s="69">
        <f>IF(OR(Q1587="",R1587=""),"",(R1587-Q1587)*24)</f>
        <v/>
      </c>
      <c r="AF1587" s="77">
        <f>IF(OR($A1587="",B1587=""),"",YEAR(B1587))</f>
        <v/>
      </c>
      <c r="AG1587" s="77">
        <f>IF(OR($A1587="",B1587=""),"",MONTH(B1587))</f>
        <v/>
      </c>
    </row>
    <row r="1588">
      <c r="A1588" s="7" t="n"/>
      <c r="B1588" s="75" t="n"/>
      <c r="C1588" s="7" t="n"/>
      <c r="D1588" s="7" t="n"/>
      <c r="E1588" s="9">
        <f>IF(D1588="","",IFERROR(INDEX('Équipements'!$B$5:$B$304,MATCH(D1588,'Équipements'!$A$5:$A$304,0)),"Code inconnu"))</f>
        <v/>
      </c>
      <c r="F1588" s="9">
        <f>IF(D1588="","",IFERROR(INDEX('Équipements'!$D$5:$D$304,MATCH(D1588,'Équipements'!$A$5:$A$304,0)),""))</f>
        <v/>
      </c>
      <c r="G1588" s="9">
        <f>IF(D1588="","",IFERROR(INDEX('Équipements'!$K$5:$K$304,MATCH(D1588,'Équipements'!$A$5:$A$304,0)),""))</f>
        <v/>
      </c>
      <c r="H1588" s="7" t="n"/>
      <c r="I1588" s="7" t="n"/>
      <c r="J1588" s="7" t="n"/>
      <c r="K1588" s="7" t="n"/>
      <c r="L1588" s="7" t="n"/>
      <c r="M1588" s="7" t="n"/>
      <c r="N1588" s="7" t="n"/>
      <c r="O1588" s="7" t="n"/>
      <c r="P1588" s="65" t="n"/>
      <c r="Q1588" s="75" t="n"/>
      <c r="R1588" s="75" t="n"/>
      <c r="S1588" s="76" t="n"/>
      <c r="T1588" s="76" t="n"/>
      <c r="U1588" s="70">
        <f>IF($A1588="","",IFERROR(INDEX('Techniciens'!$F$5:$F$44,MATCH(O1588,'Techniciens'!$B$5:$B$44,0)),'Paramètres'!$AA$10))</f>
        <v/>
      </c>
      <c r="V1588" s="70">
        <f>IF($A1588="","",IF(OR(AC1588="Demandé",AC1588="Planifié",AC1588="Annulé"),0,N(T1588)*N(U1588)))</f>
        <v/>
      </c>
      <c r="W1588" s="70">
        <f>IF($A1588="","",SUMIFS('Mouvements stock'!$H$5:$H$3004,'Mouvements stock'!$I$5:$I$3004,$A1588,'Mouvements stock'!$C$5:$C$3004,"Sortie")-SUMIFS('Mouvements stock'!$H$5:$H$3004,'Mouvements stock'!$I$5:$I$3004,$A1588,'Mouvements stock'!$C$5:$C$3004,"Retour"))</f>
        <v/>
      </c>
      <c r="X1588" s="66" t="n"/>
      <c r="Y1588" s="66" t="n"/>
      <c r="Z1588" s="7" t="n"/>
      <c r="AA1588" s="70">
        <f>IF($A1588="","",N(V1588)+N(W1588)+N(X1588)+N(Y1588))</f>
        <v/>
      </c>
      <c r="AB1588" s="70">
        <f>IF($A1588="","",N(S1588)*'Paramètres'!$AA$9*IFERROR(INDEX('Paramètres'!$O$5:$O$7,MATCH(G1588,'Paramètres'!$N$5:$N$7,0)),0))</f>
        <v/>
      </c>
      <c r="AC1588" s="7" t="n"/>
      <c r="AD1588" s="69">
        <f>IF(OR($A1588="",Q1588=""),"",(Q1588-B1588)*24)</f>
        <v/>
      </c>
      <c r="AE1588" s="69">
        <f>IF(OR(Q1588="",R1588=""),"",(R1588-Q1588)*24)</f>
        <v/>
      </c>
      <c r="AF1588" s="77">
        <f>IF(OR($A1588="",B1588=""),"",YEAR(B1588))</f>
        <v/>
      </c>
      <c r="AG1588" s="77">
        <f>IF(OR($A1588="",B1588=""),"",MONTH(B1588))</f>
        <v/>
      </c>
    </row>
    <row r="1589">
      <c r="A1589" s="7" t="n"/>
      <c r="B1589" s="75" t="n"/>
      <c r="C1589" s="7" t="n"/>
      <c r="D1589" s="7" t="n"/>
      <c r="E1589" s="9">
        <f>IF(D1589="","",IFERROR(INDEX('Équipements'!$B$5:$B$304,MATCH(D1589,'Équipements'!$A$5:$A$304,0)),"Code inconnu"))</f>
        <v/>
      </c>
      <c r="F1589" s="9">
        <f>IF(D1589="","",IFERROR(INDEX('Équipements'!$D$5:$D$304,MATCH(D1589,'Équipements'!$A$5:$A$304,0)),""))</f>
        <v/>
      </c>
      <c r="G1589" s="9">
        <f>IF(D1589="","",IFERROR(INDEX('Équipements'!$K$5:$K$304,MATCH(D1589,'Équipements'!$A$5:$A$304,0)),""))</f>
        <v/>
      </c>
      <c r="H1589" s="7" t="n"/>
      <c r="I1589" s="7" t="n"/>
      <c r="J1589" s="7" t="n"/>
      <c r="K1589" s="7" t="n"/>
      <c r="L1589" s="7" t="n"/>
      <c r="M1589" s="7" t="n"/>
      <c r="N1589" s="7" t="n"/>
      <c r="O1589" s="7" t="n"/>
      <c r="P1589" s="65" t="n"/>
      <c r="Q1589" s="75" t="n"/>
      <c r="R1589" s="75" t="n"/>
      <c r="S1589" s="76" t="n"/>
      <c r="T1589" s="76" t="n"/>
      <c r="U1589" s="70">
        <f>IF($A1589="","",IFERROR(INDEX('Techniciens'!$F$5:$F$44,MATCH(O1589,'Techniciens'!$B$5:$B$44,0)),'Paramètres'!$AA$10))</f>
        <v/>
      </c>
      <c r="V1589" s="70">
        <f>IF($A1589="","",IF(OR(AC1589="Demandé",AC1589="Planifié",AC1589="Annulé"),0,N(T1589)*N(U1589)))</f>
        <v/>
      </c>
      <c r="W1589" s="70">
        <f>IF($A1589="","",SUMIFS('Mouvements stock'!$H$5:$H$3004,'Mouvements stock'!$I$5:$I$3004,$A1589,'Mouvements stock'!$C$5:$C$3004,"Sortie")-SUMIFS('Mouvements stock'!$H$5:$H$3004,'Mouvements stock'!$I$5:$I$3004,$A1589,'Mouvements stock'!$C$5:$C$3004,"Retour"))</f>
        <v/>
      </c>
      <c r="X1589" s="66" t="n"/>
      <c r="Y1589" s="66" t="n"/>
      <c r="Z1589" s="7" t="n"/>
      <c r="AA1589" s="70">
        <f>IF($A1589="","",N(V1589)+N(W1589)+N(X1589)+N(Y1589))</f>
        <v/>
      </c>
      <c r="AB1589" s="70">
        <f>IF($A1589="","",N(S1589)*'Paramètres'!$AA$9*IFERROR(INDEX('Paramètres'!$O$5:$O$7,MATCH(G1589,'Paramètres'!$N$5:$N$7,0)),0))</f>
        <v/>
      </c>
      <c r="AC1589" s="7" t="n"/>
      <c r="AD1589" s="69">
        <f>IF(OR($A1589="",Q1589=""),"",(Q1589-B1589)*24)</f>
        <v/>
      </c>
      <c r="AE1589" s="69">
        <f>IF(OR(Q1589="",R1589=""),"",(R1589-Q1589)*24)</f>
        <v/>
      </c>
      <c r="AF1589" s="77">
        <f>IF(OR($A1589="",B1589=""),"",YEAR(B1589))</f>
        <v/>
      </c>
      <c r="AG1589" s="77">
        <f>IF(OR($A1589="",B1589=""),"",MONTH(B1589))</f>
        <v/>
      </c>
    </row>
    <row r="1590">
      <c r="A1590" s="7" t="n"/>
      <c r="B1590" s="75" t="n"/>
      <c r="C1590" s="7" t="n"/>
      <c r="D1590" s="7" t="n"/>
      <c r="E1590" s="9">
        <f>IF(D1590="","",IFERROR(INDEX('Équipements'!$B$5:$B$304,MATCH(D1590,'Équipements'!$A$5:$A$304,0)),"Code inconnu"))</f>
        <v/>
      </c>
      <c r="F1590" s="9">
        <f>IF(D1590="","",IFERROR(INDEX('Équipements'!$D$5:$D$304,MATCH(D1590,'Équipements'!$A$5:$A$304,0)),""))</f>
        <v/>
      </c>
      <c r="G1590" s="9">
        <f>IF(D1590="","",IFERROR(INDEX('Équipements'!$K$5:$K$304,MATCH(D1590,'Équipements'!$A$5:$A$304,0)),""))</f>
        <v/>
      </c>
      <c r="H1590" s="7" t="n"/>
      <c r="I1590" s="7" t="n"/>
      <c r="J1590" s="7" t="n"/>
      <c r="K1590" s="7" t="n"/>
      <c r="L1590" s="7" t="n"/>
      <c r="M1590" s="7" t="n"/>
      <c r="N1590" s="7" t="n"/>
      <c r="O1590" s="7" t="n"/>
      <c r="P1590" s="65" t="n"/>
      <c r="Q1590" s="75" t="n"/>
      <c r="R1590" s="75" t="n"/>
      <c r="S1590" s="76" t="n"/>
      <c r="T1590" s="76" t="n"/>
      <c r="U1590" s="70">
        <f>IF($A1590="","",IFERROR(INDEX('Techniciens'!$F$5:$F$44,MATCH(O1590,'Techniciens'!$B$5:$B$44,0)),'Paramètres'!$AA$10))</f>
        <v/>
      </c>
      <c r="V1590" s="70">
        <f>IF($A1590="","",IF(OR(AC1590="Demandé",AC1590="Planifié",AC1590="Annulé"),0,N(T1590)*N(U1590)))</f>
        <v/>
      </c>
      <c r="W1590" s="70">
        <f>IF($A1590="","",SUMIFS('Mouvements stock'!$H$5:$H$3004,'Mouvements stock'!$I$5:$I$3004,$A1590,'Mouvements stock'!$C$5:$C$3004,"Sortie")-SUMIFS('Mouvements stock'!$H$5:$H$3004,'Mouvements stock'!$I$5:$I$3004,$A1590,'Mouvements stock'!$C$5:$C$3004,"Retour"))</f>
        <v/>
      </c>
      <c r="X1590" s="66" t="n"/>
      <c r="Y1590" s="66" t="n"/>
      <c r="Z1590" s="7" t="n"/>
      <c r="AA1590" s="70">
        <f>IF($A1590="","",N(V1590)+N(W1590)+N(X1590)+N(Y1590))</f>
        <v/>
      </c>
      <c r="AB1590" s="70">
        <f>IF($A1590="","",N(S1590)*'Paramètres'!$AA$9*IFERROR(INDEX('Paramètres'!$O$5:$O$7,MATCH(G1590,'Paramètres'!$N$5:$N$7,0)),0))</f>
        <v/>
      </c>
      <c r="AC1590" s="7" t="n"/>
      <c r="AD1590" s="69">
        <f>IF(OR($A1590="",Q1590=""),"",(Q1590-B1590)*24)</f>
        <v/>
      </c>
      <c r="AE1590" s="69">
        <f>IF(OR(Q1590="",R1590=""),"",(R1590-Q1590)*24)</f>
        <v/>
      </c>
      <c r="AF1590" s="77">
        <f>IF(OR($A1590="",B1590=""),"",YEAR(B1590))</f>
        <v/>
      </c>
      <c r="AG1590" s="77">
        <f>IF(OR($A1590="",B1590=""),"",MONTH(B1590))</f>
        <v/>
      </c>
    </row>
    <row r="1591">
      <c r="A1591" s="7" t="n"/>
      <c r="B1591" s="75" t="n"/>
      <c r="C1591" s="7" t="n"/>
      <c r="D1591" s="7" t="n"/>
      <c r="E1591" s="9">
        <f>IF(D1591="","",IFERROR(INDEX('Équipements'!$B$5:$B$304,MATCH(D1591,'Équipements'!$A$5:$A$304,0)),"Code inconnu"))</f>
        <v/>
      </c>
      <c r="F1591" s="9">
        <f>IF(D1591="","",IFERROR(INDEX('Équipements'!$D$5:$D$304,MATCH(D1591,'Équipements'!$A$5:$A$304,0)),""))</f>
        <v/>
      </c>
      <c r="G1591" s="9">
        <f>IF(D1591="","",IFERROR(INDEX('Équipements'!$K$5:$K$304,MATCH(D1591,'Équipements'!$A$5:$A$304,0)),""))</f>
        <v/>
      </c>
      <c r="H1591" s="7" t="n"/>
      <c r="I1591" s="7" t="n"/>
      <c r="J1591" s="7" t="n"/>
      <c r="K1591" s="7" t="n"/>
      <c r="L1591" s="7" t="n"/>
      <c r="M1591" s="7" t="n"/>
      <c r="N1591" s="7" t="n"/>
      <c r="O1591" s="7" t="n"/>
      <c r="P1591" s="65" t="n"/>
      <c r="Q1591" s="75" t="n"/>
      <c r="R1591" s="75" t="n"/>
      <c r="S1591" s="76" t="n"/>
      <c r="T1591" s="76" t="n"/>
      <c r="U1591" s="70">
        <f>IF($A1591="","",IFERROR(INDEX('Techniciens'!$F$5:$F$44,MATCH(O1591,'Techniciens'!$B$5:$B$44,0)),'Paramètres'!$AA$10))</f>
        <v/>
      </c>
      <c r="V1591" s="70">
        <f>IF($A1591="","",IF(OR(AC1591="Demandé",AC1591="Planifié",AC1591="Annulé"),0,N(T1591)*N(U1591)))</f>
        <v/>
      </c>
      <c r="W1591" s="70">
        <f>IF($A1591="","",SUMIFS('Mouvements stock'!$H$5:$H$3004,'Mouvements stock'!$I$5:$I$3004,$A1591,'Mouvements stock'!$C$5:$C$3004,"Sortie")-SUMIFS('Mouvements stock'!$H$5:$H$3004,'Mouvements stock'!$I$5:$I$3004,$A1591,'Mouvements stock'!$C$5:$C$3004,"Retour"))</f>
        <v/>
      </c>
      <c r="X1591" s="66" t="n"/>
      <c r="Y1591" s="66" t="n"/>
      <c r="Z1591" s="7" t="n"/>
      <c r="AA1591" s="70">
        <f>IF($A1591="","",N(V1591)+N(W1591)+N(X1591)+N(Y1591))</f>
        <v/>
      </c>
      <c r="AB1591" s="70">
        <f>IF($A1591="","",N(S1591)*'Paramètres'!$AA$9*IFERROR(INDEX('Paramètres'!$O$5:$O$7,MATCH(G1591,'Paramètres'!$N$5:$N$7,0)),0))</f>
        <v/>
      </c>
      <c r="AC1591" s="7" t="n"/>
      <c r="AD1591" s="69">
        <f>IF(OR($A1591="",Q1591=""),"",(Q1591-B1591)*24)</f>
        <v/>
      </c>
      <c r="AE1591" s="69">
        <f>IF(OR(Q1591="",R1591=""),"",(R1591-Q1591)*24)</f>
        <v/>
      </c>
      <c r="AF1591" s="77">
        <f>IF(OR($A1591="",B1591=""),"",YEAR(B1591))</f>
        <v/>
      </c>
      <c r="AG1591" s="77">
        <f>IF(OR($A1591="",B1591=""),"",MONTH(B1591))</f>
        <v/>
      </c>
    </row>
    <row r="1592">
      <c r="A1592" s="7" t="n"/>
      <c r="B1592" s="75" t="n"/>
      <c r="C1592" s="7" t="n"/>
      <c r="D1592" s="7" t="n"/>
      <c r="E1592" s="9">
        <f>IF(D1592="","",IFERROR(INDEX('Équipements'!$B$5:$B$304,MATCH(D1592,'Équipements'!$A$5:$A$304,0)),"Code inconnu"))</f>
        <v/>
      </c>
      <c r="F1592" s="9">
        <f>IF(D1592="","",IFERROR(INDEX('Équipements'!$D$5:$D$304,MATCH(D1592,'Équipements'!$A$5:$A$304,0)),""))</f>
        <v/>
      </c>
      <c r="G1592" s="9">
        <f>IF(D1592="","",IFERROR(INDEX('Équipements'!$K$5:$K$304,MATCH(D1592,'Équipements'!$A$5:$A$304,0)),""))</f>
        <v/>
      </c>
      <c r="H1592" s="7" t="n"/>
      <c r="I1592" s="7" t="n"/>
      <c r="J1592" s="7" t="n"/>
      <c r="K1592" s="7" t="n"/>
      <c r="L1592" s="7" t="n"/>
      <c r="M1592" s="7" t="n"/>
      <c r="N1592" s="7" t="n"/>
      <c r="O1592" s="7" t="n"/>
      <c r="P1592" s="65" t="n"/>
      <c r="Q1592" s="75" t="n"/>
      <c r="R1592" s="75" t="n"/>
      <c r="S1592" s="76" t="n"/>
      <c r="T1592" s="76" t="n"/>
      <c r="U1592" s="70">
        <f>IF($A1592="","",IFERROR(INDEX('Techniciens'!$F$5:$F$44,MATCH(O1592,'Techniciens'!$B$5:$B$44,0)),'Paramètres'!$AA$10))</f>
        <v/>
      </c>
      <c r="V1592" s="70">
        <f>IF($A1592="","",IF(OR(AC1592="Demandé",AC1592="Planifié",AC1592="Annulé"),0,N(T1592)*N(U1592)))</f>
        <v/>
      </c>
      <c r="W1592" s="70">
        <f>IF($A1592="","",SUMIFS('Mouvements stock'!$H$5:$H$3004,'Mouvements stock'!$I$5:$I$3004,$A1592,'Mouvements stock'!$C$5:$C$3004,"Sortie")-SUMIFS('Mouvements stock'!$H$5:$H$3004,'Mouvements stock'!$I$5:$I$3004,$A1592,'Mouvements stock'!$C$5:$C$3004,"Retour"))</f>
        <v/>
      </c>
      <c r="X1592" s="66" t="n"/>
      <c r="Y1592" s="66" t="n"/>
      <c r="Z1592" s="7" t="n"/>
      <c r="AA1592" s="70">
        <f>IF($A1592="","",N(V1592)+N(W1592)+N(X1592)+N(Y1592))</f>
        <v/>
      </c>
      <c r="AB1592" s="70">
        <f>IF($A1592="","",N(S1592)*'Paramètres'!$AA$9*IFERROR(INDEX('Paramètres'!$O$5:$O$7,MATCH(G1592,'Paramètres'!$N$5:$N$7,0)),0))</f>
        <v/>
      </c>
      <c r="AC1592" s="7" t="n"/>
      <c r="AD1592" s="69">
        <f>IF(OR($A1592="",Q1592=""),"",(Q1592-B1592)*24)</f>
        <v/>
      </c>
      <c r="AE1592" s="69">
        <f>IF(OR(Q1592="",R1592=""),"",(R1592-Q1592)*24)</f>
        <v/>
      </c>
      <c r="AF1592" s="77">
        <f>IF(OR($A1592="",B1592=""),"",YEAR(B1592))</f>
        <v/>
      </c>
      <c r="AG1592" s="77">
        <f>IF(OR($A1592="",B1592=""),"",MONTH(B1592))</f>
        <v/>
      </c>
    </row>
    <row r="1593">
      <c r="A1593" s="7" t="n"/>
      <c r="B1593" s="75" t="n"/>
      <c r="C1593" s="7" t="n"/>
      <c r="D1593" s="7" t="n"/>
      <c r="E1593" s="9">
        <f>IF(D1593="","",IFERROR(INDEX('Équipements'!$B$5:$B$304,MATCH(D1593,'Équipements'!$A$5:$A$304,0)),"Code inconnu"))</f>
        <v/>
      </c>
      <c r="F1593" s="9">
        <f>IF(D1593="","",IFERROR(INDEX('Équipements'!$D$5:$D$304,MATCH(D1593,'Équipements'!$A$5:$A$304,0)),""))</f>
        <v/>
      </c>
      <c r="G1593" s="9">
        <f>IF(D1593="","",IFERROR(INDEX('Équipements'!$K$5:$K$304,MATCH(D1593,'Équipements'!$A$5:$A$304,0)),""))</f>
        <v/>
      </c>
      <c r="H1593" s="7" t="n"/>
      <c r="I1593" s="7" t="n"/>
      <c r="J1593" s="7" t="n"/>
      <c r="K1593" s="7" t="n"/>
      <c r="L1593" s="7" t="n"/>
      <c r="M1593" s="7" t="n"/>
      <c r="N1593" s="7" t="n"/>
      <c r="O1593" s="7" t="n"/>
      <c r="P1593" s="65" t="n"/>
      <c r="Q1593" s="75" t="n"/>
      <c r="R1593" s="75" t="n"/>
      <c r="S1593" s="76" t="n"/>
      <c r="T1593" s="76" t="n"/>
      <c r="U1593" s="70">
        <f>IF($A1593="","",IFERROR(INDEX('Techniciens'!$F$5:$F$44,MATCH(O1593,'Techniciens'!$B$5:$B$44,0)),'Paramètres'!$AA$10))</f>
        <v/>
      </c>
      <c r="V1593" s="70">
        <f>IF($A1593="","",IF(OR(AC1593="Demandé",AC1593="Planifié",AC1593="Annulé"),0,N(T1593)*N(U1593)))</f>
        <v/>
      </c>
      <c r="W1593" s="70">
        <f>IF($A1593="","",SUMIFS('Mouvements stock'!$H$5:$H$3004,'Mouvements stock'!$I$5:$I$3004,$A1593,'Mouvements stock'!$C$5:$C$3004,"Sortie")-SUMIFS('Mouvements stock'!$H$5:$H$3004,'Mouvements stock'!$I$5:$I$3004,$A1593,'Mouvements stock'!$C$5:$C$3004,"Retour"))</f>
        <v/>
      </c>
      <c r="X1593" s="66" t="n"/>
      <c r="Y1593" s="66" t="n"/>
      <c r="Z1593" s="7" t="n"/>
      <c r="AA1593" s="70">
        <f>IF($A1593="","",N(V1593)+N(W1593)+N(X1593)+N(Y1593))</f>
        <v/>
      </c>
      <c r="AB1593" s="70">
        <f>IF($A1593="","",N(S1593)*'Paramètres'!$AA$9*IFERROR(INDEX('Paramètres'!$O$5:$O$7,MATCH(G1593,'Paramètres'!$N$5:$N$7,0)),0))</f>
        <v/>
      </c>
      <c r="AC1593" s="7" t="n"/>
      <c r="AD1593" s="69">
        <f>IF(OR($A1593="",Q1593=""),"",(Q1593-B1593)*24)</f>
        <v/>
      </c>
      <c r="AE1593" s="69">
        <f>IF(OR(Q1593="",R1593=""),"",(R1593-Q1593)*24)</f>
        <v/>
      </c>
      <c r="AF1593" s="77">
        <f>IF(OR($A1593="",B1593=""),"",YEAR(B1593))</f>
        <v/>
      </c>
      <c r="AG1593" s="77">
        <f>IF(OR($A1593="",B1593=""),"",MONTH(B1593))</f>
        <v/>
      </c>
    </row>
    <row r="1594">
      <c r="A1594" s="7" t="n"/>
      <c r="B1594" s="75" t="n"/>
      <c r="C1594" s="7" t="n"/>
      <c r="D1594" s="7" t="n"/>
      <c r="E1594" s="9">
        <f>IF(D1594="","",IFERROR(INDEX('Équipements'!$B$5:$B$304,MATCH(D1594,'Équipements'!$A$5:$A$304,0)),"Code inconnu"))</f>
        <v/>
      </c>
      <c r="F1594" s="9">
        <f>IF(D1594="","",IFERROR(INDEX('Équipements'!$D$5:$D$304,MATCH(D1594,'Équipements'!$A$5:$A$304,0)),""))</f>
        <v/>
      </c>
      <c r="G1594" s="9">
        <f>IF(D1594="","",IFERROR(INDEX('Équipements'!$K$5:$K$304,MATCH(D1594,'Équipements'!$A$5:$A$304,0)),""))</f>
        <v/>
      </c>
      <c r="H1594" s="7" t="n"/>
      <c r="I1594" s="7" t="n"/>
      <c r="J1594" s="7" t="n"/>
      <c r="K1594" s="7" t="n"/>
      <c r="L1594" s="7" t="n"/>
      <c r="M1594" s="7" t="n"/>
      <c r="N1594" s="7" t="n"/>
      <c r="O1594" s="7" t="n"/>
      <c r="P1594" s="65" t="n"/>
      <c r="Q1594" s="75" t="n"/>
      <c r="R1594" s="75" t="n"/>
      <c r="S1594" s="76" t="n"/>
      <c r="T1594" s="76" t="n"/>
      <c r="U1594" s="70">
        <f>IF($A1594="","",IFERROR(INDEX('Techniciens'!$F$5:$F$44,MATCH(O1594,'Techniciens'!$B$5:$B$44,0)),'Paramètres'!$AA$10))</f>
        <v/>
      </c>
      <c r="V1594" s="70">
        <f>IF($A1594="","",IF(OR(AC1594="Demandé",AC1594="Planifié",AC1594="Annulé"),0,N(T1594)*N(U1594)))</f>
        <v/>
      </c>
      <c r="W1594" s="70">
        <f>IF($A1594="","",SUMIFS('Mouvements stock'!$H$5:$H$3004,'Mouvements stock'!$I$5:$I$3004,$A1594,'Mouvements stock'!$C$5:$C$3004,"Sortie")-SUMIFS('Mouvements stock'!$H$5:$H$3004,'Mouvements stock'!$I$5:$I$3004,$A1594,'Mouvements stock'!$C$5:$C$3004,"Retour"))</f>
        <v/>
      </c>
      <c r="X1594" s="66" t="n"/>
      <c r="Y1594" s="66" t="n"/>
      <c r="Z1594" s="7" t="n"/>
      <c r="AA1594" s="70">
        <f>IF($A1594="","",N(V1594)+N(W1594)+N(X1594)+N(Y1594))</f>
        <v/>
      </c>
      <c r="AB1594" s="70">
        <f>IF($A1594="","",N(S1594)*'Paramètres'!$AA$9*IFERROR(INDEX('Paramètres'!$O$5:$O$7,MATCH(G1594,'Paramètres'!$N$5:$N$7,0)),0))</f>
        <v/>
      </c>
      <c r="AC1594" s="7" t="n"/>
      <c r="AD1594" s="69">
        <f>IF(OR($A1594="",Q1594=""),"",(Q1594-B1594)*24)</f>
        <v/>
      </c>
      <c r="AE1594" s="69">
        <f>IF(OR(Q1594="",R1594=""),"",(R1594-Q1594)*24)</f>
        <v/>
      </c>
      <c r="AF1594" s="77">
        <f>IF(OR($A1594="",B1594=""),"",YEAR(B1594))</f>
        <v/>
      </c>
      <c r="AG1594" s="77">
        <f>IF(OR($A1594="",B1594=""),"",MONTH(B1594))</f>
        <v/>
      </c>
    </row>
    <row r="1595">
      <c r="A1595" s="7" t="n"/>
      <c r="B1595" s="75" t="n"/>
      <c r="C1595" s="7" t="n"/>
      <c r="D1595" s="7" t="n"/>
      <c r="E1595" s="9">
        <f>IF(D1595="","",IFERROR(INDEX('Équipements'!$B$5:$B$304,MATCH(D1595,'Équipements'!$A$5:$A$304,0)),"Code inconnu"))</f>
        <v/>
      </c>
      <c r="F1595" s="9">
        <f>IF(D1595="","",IFERROR(INDEX('Équipements'!$D$5:$D$304,MATCH(D1595,'Équipements'!$A$5:$A$304,0)),""))</f>
        <v/>
      </c>
      <c r="G1595" s="9">
        <f>IF(D1595="","",IFERROR(INDEX('Équipements'!$K$5:$K$304,MATCH(D1595,'Équipements'!$A$5:$A$304,0)),""))</f>
        <v/>
      </c>
      <c r="H1595" s="7" t="n"/>
      <c r="I1595" s="7" t="n"/>
      <c r="J1595" s="7" t="n"/>
      <c r="K1595" s="7" t="n"/>
      <c r="L1595" s="7" t="n"/>
      <c r="M1595" s="7" t="n"/>
      <c r="N1595" s="7" t="n"/>
      <c r="O1595" s="7" t="n"/>
      <c r="P1595" s="65" t="n"/>
      <c r="Q1595" s="75" t="n"/>
      <c r="R1595" s="75" t="n"/>
      <c r="S1595" s="76" t="n"/>
      <c r="T1595" s="76" t="n"/>
      <c r="U1595" s="70">
        <f>IF($A1595="","",IFERROR(INDEX('Techniciens'!$F$5:$F$44,MATCH(O1595,'Techniciens'!$B$5:$B$44,0)),'Paramètres'!$AA$10))</f>
        <v/>
      </c>
      <c r="V1595" s="70">
        <f>IF($A1595="","",IF(OR(AC1595="Demandé",AC1595="Planifié",AC1595="Annulé"),0,N(T1595)*N(U1595)))</f>
        <v/>
      </c>
      <c r="W1595" s="70">
        <f>IF($A1595="","",SUMIFS('Mouvements stock'!$H$5:$H$3004,'Mouvements stock'!$I$5:$I$3004,$A1595,'Mouvements stock'!$C$5:$C$3004,"Sortie")-SUMIFS('Mouvements stock'!$H$5:$H$3004,'Mouvements stock'!$I$5:$I$3004,$A1595,'Mouvements stock'!$C$5:$C$3004,"Retour"))</f>
        <v/>
      </c>
      <c r="X1595" s="66" t="n"/>
      <c r="Y1595" s="66" t="n"/>
      <c r="Z1595" s="7" t="n"/>
      <c r="AA1595" s="70">
        <f>IF($A1595="","",N(V1595)+N(W1595)+N(X1595)+N(Y1595))</f>
        <v/>
      </c>
      <c r="AB1595" s="70">
        <f>IF($A1595="","",N(S1595)*'Paramètres'!$AA$9*IFERROR(INDEX('Paramètres'!$O$5:$O$7,MATCH(G1595,'Paramètres'!$N$5:$N$7,0)),0))</f>
        <v/>
      </c>
      <c r="AC1595" s="7" t="n"/>
      <c r="AD1595" s="69">
        <f>IF(OR($A1595="",Q1595=""),"",(Q1595-B1595)*24)</f>
        <v/>
      </c>
      <c r="AE1595" s="69">
        <f>IF(OR(Q1595="",R1595=""),"",(R1595-Q1595)*24)</f>
        <v/>
      </c>
      <c r="AF1595" s="77">
        <f>IF(OR($A1595="",B1595=""),"",YEAR(B1595))</f>
        <v/>
      </c>
      <c r="AG1595" s="77">
        <f>IF(OR($A1595="",B1595=""),"",MONTH(B1595))</f>
        <v/>
      </c>
    </row>
    <row r="1596">
      <c r="A1596" s="7" t="n"/>
      <c r="B1596" s="75" t="n"/>
      <c r="C1596" s="7" t="n"/>
      <c r="D1596" s="7" t="n"/>
      <c r="E1596" s="9">
        <f>IF(D1596="","",IFERROR(INDEX('Équipements'!$B$5:$B$304,MATCH(D1596,'Équipements'!$A$5:$A$304,0)),"Code inconnu"))</f>
        <v/>
      </c>
      <c r="F1596" s="9">
        <f>IF(D1596="","",IFERROR(INDEX('Équipements'!$D$5:$D$304,MATCH(D1596,'Équipements'!$A$5:$A$304,0)),""))</f>
        <v/>
      </c>
      <c r="G1596" s="9">
        <f>IF(D1596="","",IFERROR(INDEX('Équipements'!$K$5:$K$304,MATCH(D1596,'Équipements'!$A$5:$A$304,0)),""))</f>
        <v/>
      </c>
      <c r="H1596" s="7" t="n"/>
      <c r="I1596" s="7" t="n"/>
      <c r="J1596" s="7" t="n"/>
      <c r="K1596" s="7" t="n"/>
      <c r="L1596" s="7" t="n"/>
      <c r="M1596" s="7" t="n"/>
      <c r="N1596" s="7" t="n"/>
      <c r="O1596" s="7" t="n"/>
      <c r="P1596" s="65" t="n"/>
      <c r="Q1596" s="75" t="n"/>
      <c r="R1596" s="75" t="n"/>
      <c r="S1596" s="76" t="n"/>
      <c r="T1596" s="76" t="n"/>
      <c r="U1596" s="70">
        <f>IF($A1596="","",IFERROR(INDEX('Techniciens'!$F$5:$F$44,MATCH(O1596,'Techniciens'!$B$5:$B$44,0)),'Paramètres'!$AA$10))</f>
        <v/>
      </c>
      <c r="V1596" s="70">
        <f>IF($A1596="","",IF(OR(AC1596="Demandé",AC1596="Planifié",AC1596="Annulé"),0,N(T1596)*N(U1596)))</f>
        <v/>
      </c>
      <c r="W1596" s="70">
        <f>IF($A1596="","",SUMIFS('Mouvements stock'!$H$5:$H$3004,'Mouvements stock'!$I$5:$I$3004,$A1596,'Mouvements stock'!$C$5:$C$3004,"Sortie")-SUMIFS('Mouvements stock'!$H$5:$H$3004,'Mouvements stock'!$I$5:$I$3004,$A1596,'Mouvements stock'!$C$5:$C$3004,"Retour"))</f>
        <v/>
      </c>
      <c r="X1596" s="66" t="n"/>
      <c r="Y1596" s="66" t="n"/>
      <c r="Z1596" s="7" t="n"/>
      <c r="AA1596" s="70">
        <f>IF($A1596="","",N(V1596)+N(W1596)+N(X1596)+N(Y1596))</f>
        <v/>
      </c>
      <c r="AB1596" s="70">
        <f>IF($A1596="","",N(S1596)*'Paramètres'!$AA$9*IFERROR(INDEX('Paramètres'!$O$5:$O$7,MATCH(G1596,'Paramètres'!$N$5:$N$7,0)),0))</f>
        <v/>
      </c>
      <c r="AC1596" s="7" t="n"/>
      <c r="AD1596" s="69">
        <f>IF(OR($A1596="",Q1596=""),"",(Q1596-B1596)*24)</f>
        <v/>
      </c>
      <c r="AE1596" s="69">
        <f>IF(OR(Q1596="",R1596=""),"",(R1596-Q1596)*24)</f>
        <v/>
      </c>
      <c r="AF1596" s="77">
        <f>IF(OR($A1596="",B1596=""),"",YEAR(B1596))</f>
        <v/>
      </c>
      <c r="AG1596" s="77">
        <f>IF(OR($A1596="",B1596=""),"",MONTH(B1596))</f>
        <v/>
      </c>
    </row>
    <row r="1597">
      <c r="A1597" s="7" t="n"/>
      <c r="B1597" s="75" t="n"/>
      <c r="C1597" s="7" t="n"/>
      <c r="D1597" s="7" t="n"/>
      <c r="E1597" s="9">
        <f>IF(D1597="","",IFERROR(INDEX('Équipements'!$B$5:$B$304,MATCH(D1597,'Équipements'!$A$5:$A$304,0)),"Code inconnu"))</f>
        <v/>
      </c>
      <c r="F1597" s="9">
        <f>IF(D1597="","",IFERROR(INDEX('Équipements'!$D$5:$D$304,MATCH(D1597,'Équipements'!$A$5:$A$304,0)),""))</f>
        <v/>
      </c>
      <c r="G1597" s="9">
        <f>IF(D1597="","",IFERROR(INDEX('Équipements'!$K$5:$K$304,MATCH(D1597,'Équipements'!$A$5:$A$304,0)),""))</f>
        <v/>
      </c>
      <c r="H1597" s="7" t="n"/>
      <c r="I1597" s="7" t="n"/>
      <c r="J1597" s="7" t="n"/>
      <c r="K1597" s="7" t="n"/>
      <c r="L1597" s="7" t="n"/>
      <c r="M1597" s="7" t="n"/>
      <c r="N1597" s="7" t="n"/>
      <c r="O1597" s="7" t="n"/>
      <c r="P1597" s="65" t="n"/>
      <c r="Q1597" s="75" t="n"/>
      <c r="R1597" s="75" t="n"/>
      <c r="S1597" s="76" t="n"/>
      <c r="T1597" s="76" t="n"/>
      <c r="U1597" s="70">
        <f>IF($A1597="","",IFERROR(INDEX('Techniciens'!$F$5:$F$44,MATCH(O1597,'Techniciens'!$B$5:$B$44,0)),'Paramètres'!$AA$10))</f>
        <v/>
      </c>
      <c r="V1597" s="70">
        <f>IF($A1597="","",IF(OR(AC1597="Demandé",AC1597="Planifié",AC1597="Annulé"),0,N(T1597)*N(U1597)))</f>
        <v/>
      </c>
      <c r="W1597" s="70">
        <f>IF($A1597="","",SUMIFS('Mouvements stock'!$H$5:$H$3004,'Mouvements stock'!$I$5:$I$3004,$A1597,'Mouvements stock'!$C$5:$C$3004,"Sortie")-SUMIFS('Mouvements stock'!$H$5:$H$3004,'Mouvements stock'!$I$5:$I$3004,$A1597,'Mouvements stock'!$C$5:$C$3004,"Retour"))</f>
        <v/>
      </c>
      <c r="X1597" s="66" t="n"/>
      <c r="Y1597" s="66" t="n"/>
      <c r="Z1597" s="7" t="n"/>
      <c r="AA1597" s="70">
        <f>IF($A1597="","",N(V1597)+N(W1597)+N(X1597)+N(Y1597))</f>
        <v/>
      </c>
      <c r="AB1597" s="70">
        <f>IF($A1597="","",N(S1597)*'Paramètres'!$AA$9*IFERROR(INDEX('Paramètres'!$O$5:$O$7,MATCH(G1597,'Paramètres'!$N$5:$N$7,0)),0))</f>
        <v/>
      </c>
      <c r="AC1597" s="7" t="n"/>
      <c r="AD1597" s="69">
        <f>IF(OR($A1597="",Q1597=""),"",(Q1597-B1597)*24)</f>
        <v/>
      </c>
      <c r="AE1597" s="69">
        <f>IF(OR(Q1597="",R1597=""),"",(R1597-Q1597)*24)</f>
        <v/>
      </c>
      <c r="AF1597" s="77">
        <f>IF(OR($A1597="",B1597=""),"",YEAR(B1597))</f>
        <v/>
      </c>
      <c r="AG1597" s="77">
        <f>IF(OR($A1597="",B1597=""),"",MONTH(B1597))</f>
        <v/>
      </c>
    </row>
    <row r="1598">
      <c r="A1598" s="7" t="n"/>
      <c r="B1598" s="75" t="n"/>
      <c r="C1598" s="7" t="n"/>
      <c r="D1598" s="7" t="n"/>
      <c r="E1598" s="9">
        <f>IF(D1598="","",IFERROR(INDEX('Équipements'!$B$5:$B$304,MATCH(D1598,'Équipements'!$A$5:$A$304,0)),"Code inconnu"))</f>
        <v/>
      </c>
      <c r="F1598" s="9">
        <f>IF(D1598="","",IFERROR(INDEX('Équipements'!$D$5:$D$304,MATCH(D1598,'Équipements'!$A$5:$A$304,0)),""))</f>
        <v/>
      </c>
      <c r="G1598" s="9">
        <f>IF(D1598="","",IFERROR(INDEX('Équipements'!$K$5:$K$304,MATCH(D1598,'Équipements'!$A$5:$A$304,0)),""))</f>
        <v/>
      </c>
      <c r="H1598" s="7" t="n"/>
      <c r="I1598" s="7" t="n"/>
      <c r="J1598" s="7" t="n"/>
      <c r="K1598" s="7" t="n"/>
      <c r="L1598" s="7" t="n"/>
      <c r="M1598" s="7" t="n"/>
      <c r="N1598" s="7" t="n"/>
      <c r="O1598" s="7" t="n"/>
      <c r="P1598" s="65" t="n"/>
      <c r="Q1598" s="75" t="n"/>
      <c r="R1598" s="75" t="n"/>
      <c r="S1598" s="76" t="n"/>
      <c r="T1598" s="76" t="n"/>
      <c r="U1598" s="70">
        <f>IF($A1598="","",IFERROR(INDEX('Techniciens'!$F$5:$F$44,MATCH(O1598,'Techniciens'!$B$5:$B$44,0)),'Paramètres'!$AA$10))</f>
        <v/>
      </c>
      <c r="V1598" s="70">
        <f>IF($A1598="","",IF(OR(AC1598="Demandé",AC1598="Planifié",AC1598="Annulé"),0,N(T1598)*N(U1598)))</f>
        <v/>
      </c>
      <c r="W1598" s="70">
        <f>IF($A1598="","",SUMIFS('Mouvements stock'!$H$5:$H$3004,'Mouvements stock'!$I$5:$I$3004,$A1598,'Mouvements stock'!$C$5:$C$3004,"Sortie")-SUMIFS('Mouvements stock'!$H$5:$H$3004,'Mouvements stock'!$I$5:$I$3004,$A1598,'Mouvements stock'!$C$5:$C$3004,"Retour"))</f>
        <v/>
      </c>
      <c r="X1598" s="66" t="n"/>
      <c r="Y1598" s="66" t="n"/>
      <c r="Z1598" s="7" t="n"/>
      <c r="AA1598" s="70">
        <f>IF($A1598="","",N(V1598)+N(W1598)+N(X1598)+N(Y1598))</f>
        <v/>
      </c>
      <c r="AB1598" s="70">
        <f>IF($A1598="","",N(S1598)*'Paramètres'!$AA$9*IFERROR(INDEX('Paramètres'!$O$5:$O$7,MATCH(G1598,'Paramètres'!$N$5:$N$7,0)),0))</f>
        <v/>
      </c>
      <c r="AC1598" s="7" t="n"/>
      <c r="AD1598" s="69">
        <f>IF(OR($A1598="",Q1598=""),"",(Q1598-B1598)*24)</f>
        <v/>
      </c>
      <c r="AE1598" s="69">
        <f>IF(OR(Q1598="",R1598=""),"",(R1598-Q1598)*24)</f>
        <v/>
      </c>
      <c r="AF1598" s="77">
        <f>IF(OR($A1598="",B1598=""),"",YEAR(B1598))</f>
        <v/>
      </c>
      <c r="AG1598" s="77">
        <f>IF(OR($A1598="",B1598=""),"",MONTH(B1598))</f>
        <v/>
      </c>
    </row>
    <row r="1599">
      <c r="A1599" s="7" t="n"/>
      <c r="B1599" s="75" t="n"/>
      <c r="C1599" s="7" t="n"/>
      <c r="D1599" s="7" t="n"/>
      <c r="E1599" s="9">
        <f>IF(D1599="","",IFERROR(INDEX('Équipements'!$B$5:$B$304,MATCH(D1599,'Équipements'!$A$5:$A$304,0)),"Code inconnu"))</f>
        <v/>
      </c>
      <c r="F1599" s="9">
        <f>IF(D1599="","",IFERROR(INDEX('Équipements'!$D$5:$D$304,MATCH(D1599,'Équipements'!$A$5:$A$304,0)),""))</f>
        <v/>
      </c>
      <c r="G1599" s="9">
        <f>IF(D1599="","",IFERROR(INDEX('Équipements'!$K$5:$K$304,MATCH(D1599,'Équipements'!$A$5:$A$304,0)),""))</f>
        <v/>
      </c>
      <c r="H1599" s="7" t="n"/>
      <c r="I1599" s="7" t="n"/>
      <c r="J1599" s="7" t="n"/>
      <c r="K1599" s="7" t="n"/>
      <c r="L1599" s="7" t="n"/>
      <c r="M1599" s="7" t="n"/>
      <c r="N1599" s="7" t="n"/>
      <c r="O1599" s="7" t="n"/>
      <c r="P1599" s="65" t="n"/>
      <c r="Q1599" s="75" t="n"/>
      <c r="R1599" s="75" t="n"/>
      <c r="S1599" s="76" t="n"/>
      <c r="T1599" s="76" t="n"/>
      <c r="U1599" s="70">
        <f>IF($A1599="","",IFERROR(INDEX('Techniciens'!$F$5:$F$44,MATCH(O1599,'Techniciens'!$B$5:$B$44,0)),'Paramètres'!$AA$10))</f>
        <v/>
      </c>
      <c r="V1599" s="70">
        <f>IF($A1599="","",IF(OR(AC1599="Demandé",AC1599="Planifié",AC1599="Annulé"),0,N(T1599)*N(U1599)))</f>
        <v/>
      </c>
      <c r="W1599" s="70">
        <f>IF($A1599="","",SUMIFS('Mouvements stock'!$H$5:$H$3004,'Mouvements stock'!$I$5:$I$3004,$A1599,'Mouvements stock'!$C$5:$C$3004,"Sortie")-SUMIFS('Mouvements stock'!$H$5:$H$3004,'Mouvements stock'!$I$5:$I$3004,$A1599,'Mouvements stock'!$C$5:$C$3004,"Retour"))</f>
        <v/>
      </c>
      <c r="X1599" s="66" t="n"/>
      <c r="Y1599" s="66" t="n"/>
      <c r="Z1599" s="7" t="n"/>
      <c r="AA1599" s="70">
        <f>IF($A1599="","",N(V1599)+N(W1599)+N(X1599)+N(Y1599))</f>
        <v/>
      </c>
      <c r="AB1599" s="70">
        <f>IF($A1599="","",N(S1599)*'Paramètres'!$AA$9*IFERROR(INDEX('Paramètres'!$O$5:$O$7,MATCH(G1599,'Paramètres'!$N$5:$N$7,0)),0))</f>
        <v/>
      </c>
      <c r="AC1599" s="7" t="n"/>
      <c r="AD1599" s="69">
        <f>IF(OR($A1599="",Q1599=""),"",(Q1599-B1599)*24)</f>
        <v/>
      </c>
      <c r="AE1599" s="69">
        <f>IF(OR(Q1599="",R1599=""),"",(R1599-Q1599)*24)</f>
        <v/>
      </c>
      <c r="AF1599" s="77">
        <f>IF(OR($A1599="",B1599=""),"",YEAR(B1599))</f>
        <v/>
      </c>
      <c r="AG1599" s="77">
        <f>IF(OR($A1599="",B1599=""),"",MONTH(B1599))</f>
        <v/>
      </c>
    </row>
    <row r="1600">
      <c r="A1600" s="7" t="n"/>
      <c r="B1600" s="75" t="n"/>
      <c r="C1600" s="7" t="n"/>
      <c r="D1600" s="7" t="n"/>
      <c r="E1600" s="9">
        <f>IF(D1600="","",IFERROR(INDEX('Équipements'!$B$5:$B$304,MATCH(D1600,'Équipements'!$A$5:$A$304,0)),"Code inconnu"))</f>
        <v/>
      </c>
      <c r="F1600" s="9">
        <f>IF(D1600="","",IFERROR(INDEX('Équipements'!$D$5:$D$304,MATCH(D1600,'Équipements'!$A$5:$A$304,0)),""))</f>
        <v/>
      </c>
      <c r="G1600" s="9">
        <f>IF(D1600="","",IFERROR(INDEX('Équipements'!$K$5:$K$304,MATCH(D1600,'Équipements'!$A$5:$A$304,0)),""))</f>
        <v/>
      </c>
      <c r="H1600" s="7" t="n"/>
      <c r="I1600" s="7" t="n"/>
      <c r="J1600" s="7" t="n"/>
      <c r="K1600" s="7" t="n"/>
      <c r="L1600" s="7" t="n"/>
      <c r="M1600" s="7" t="n"/>
      <c r="N1600" s="7" t="n"/>
      <c r="O1600" s="7" t="n"/>
      <c r="P1600" s="65" t="n"/>
      <c r="Q1600" s="75" t="n"/>
      <c r="R1600" s="75" t="n"/>
      <c r="S1600" s="76" t="n"/>
      <c r="T1600" s="76" t="n"/>
      <c r="U1600" s="70">
        <f>IF($A1600="","",IFERROR(INDEX('Techniciens'!$F$5:$F$44,MATCH(O1600,'Techniciens'!$B$5:$B$44,0)),'Paramètres'!$AA$10))</f>
        <v/>
      </c>
      <c r="V1600" s="70">
        <f>IF($A1600="","",IF(OR(AC1600="Demandé",AC1600="Planifié",AC1600="Annulé"),0,N(T1600)*N(U1600)))</f>
        <v/>
      </c>
      <c r="W1600" s="70">
        <f>IF($A1600="","",SUMIFS('Mouvements stock'!$H$5:$H$3004,'Mouvements stock'!$I$5:$I$3004,$A1600,'Mouvements stock'!$C$5:$C$3004,"Sortie")-SUMIFS('Mouvements stock'!$H$5:$H$3004,'Mouvements stock'!$I$5:$I$3004,$A1600,'Mouvements stock'!$C$5:$C$3004,"Retour"))</f>
        <v/>
      </c>
      <c r="X1600" s="66" t="n"/>
      <c r="Y1600" s="66" t="n"/>
      <c r="Z1600" s="7" t="n"/>
      <c r="AA1600" s="70">
        <f>IF($A1600="","",N(V1600)+N(W1600)+N(X1600)+N(Y1600))</f>
        <v/>
      </c>
      <c r="AB1600" s="70">
        <f>IF($A1600="","",N(S1600)*'Paramètres'!$AA$9*IFERROR(INDEX('Paramètres'!$O$5:$O$7,MATCH(G1600,'Paramètres'!$N$5:$N$7,0)),0))</f>
        <v/>
      </c>
      <c r="AC1600" s="7" t="n"/>
      <c r="AD1600" s="69">
        <f>IF(OR($A1600="",Q1600=""),"",(Q1600-B1600)*24)</f>
        <v/>
      </c>
      <c r="AE1600" s="69">
        <f>IF(OR(Q1600="",R1600=""),"",(R1600-Q1600)*24)</f>
        <v/>
      </c>
      <c r="AF1600" s="77">
        <f>IF(OR($A1600="",B1600=""),"",YEAR(B1600))</f>
        <v/>
      </c>
      <c r="AG1600" s="77">
        <f>IF(OR($A1600="",B1600=""),"",MONTH(B1600))</f>
        <v/>
      </c>
    </row>
    <row r="1601">
      <c r="A1601" s="7" t="n"/>
      <c r="B1601" s="75" t="n"/>
      <c r="C1601" s="7" t="n"/>
      <c r="D1601" s="7" t="n"/>
      <c r="E1601" s="9">
        <f>IF(D1601="","",IFERROR(INDEX('Équipements'!$B$5:$B$304,MATCH(D1601,'Équipements'!$A$5:$A$304,0)),"Code inconnu"))</f>
        <v/>
      </c>
      <c r="F1601" s="9">
        <f>IF(D1601="","",IFERROR(INDEX('Équipements'!$D$5:$D$304,MATCH(D1601,'Équipements'!$A$5:$A$304,0)),""))</f>
        <v/>
      </c>
      <c r="G1601" s="9">
        <f>IF(D1601="","",IFERROR(INDEX('Équipements'!$K$5:$K$304,MATCH(D1601,'Équipements'!$A$5:$A$304,0)),""))</f>
        <v/>
      </c>
      <c r="H1601" s="7" t="n"/>
      <c r="I1601" s="7" t="n"/>
      <c r="J1601" s="7" t="n"/>
      <c r="K1601" s="7" t="n"/>
      <c r="L1601" s="7" t="n"/>
      <c r="M1601" s="7" t="n"/>
      <c r="N1601" s="7" t="n"/>
      <c r="O1601" s="7" t="n"/>
      <c r="P1601" s="65" t="n"/>
      <c r="Q1601" s="75" t="n"/>
      <c r="R1601" s="75" t="n"/>
      <c r="S1601" s="76" t="n"/>
      <c r="T1601" s="76" t="n"/>
      <c r="U1601" s="70">
        <f>IF($A1601="","",IFERROR(INDEX('Techniciens'!$F$5:$F$44,MATCH(O1601,'Techniciens'!$B$5:$B$44,0)),'Paramètres'!$AA$10))</f>
        <v/>
      </c>
      <c r="V1601" s="70">
        <f>IF($A1601="","",IF(OR(AC1601="Demandé",AC1601="Planifié",AC1601="Annulé"),0,N(T1601)*N(U1601)))</f>
        <v/>
      </c>
      <c r="W1601" s="70">
        <f>IF($A1601="","",SUMIFS('Mouvements stock'!$H$5:$H$3004,'Mouvements stock'!$I$5:$I$3004,$A1601,'Mouvements stock'!$C$5:$C$3004,"Sortie")-SUMIFS('Mouvements stock'!$H$5:$H$3004,'Mouvements stock'!$I$5:$I$3004,$A1601,'Mouvements stock'!$C$5:$C$3004,"Retour"))</f>
        <v/>
      </c>
      <c r="X1601" s="66" t="n"/>
      <c r="Y1601" s="66" t="n"/>
      <c r="Z1601" s="7" t="n"/>
      <c r="AA1601" s="70">
        <f>IF($A1601="","",N(V1601)+N(W1601)+N(X1601)+N(Y1601))</f>
        <v/>
      </c>
      <c r="AB1601" s="70">
        <f>IF($A1601="","",N(S1601)*'Paramètres'!$AA$9*IFERROR(INDEX('Paramètres'!$O$5:$O$7,MATCH(G1601,'Paramètres'!$N$5:$N$7,0)),0))</f>
        <v/>
      </c>
      <c r="AC1601" s="7" t="n"/>
      <c r="AD1601" s="69">
        <f>IF(OR($A1601="",Q1601=""),"",(Q1601-B1601)*24)</f>
        <v/>
      </c>
      <c r="AE1601" s="69">
        <f>IF(OR(Q1601="",R1601=""),"",(R1601-Q1601)*24)</f>
        <v/>
      </c>
      <c r="AF1601" s="77">
        <f>IF(OR($A1601="",B1601=""),"",YEAR(B1601))</f>
        <v/>
      </c>
      <c r="AG1601" s="77">
        <f>IF(OR($A1601="",B1601=""),"",MONTH(B1601))</f>
        <v/>
      </c>
    </row>
    <row r="1602">
      <c r="A1602" s="7" t="n"/>
      <c r="B1602" s="75" t="n"/>
      <c r="C1602" s="7" t="n"/>
      <c r="D1602" s="7" t="n"/>
      <c r="E1602" s="9">
        <f>IF(D1602="","",IFERROR(INDEX('Équipements'!$B$5:$B$304,MATCH(D1602,'Équipements'!$A$5:$A$304,0)),"Code inconnu"))</f>
        <v/>
      </c>
      <c r="F1602" s="9">
        <f>IF(D1602="","",IFERROR(INDEX('Équipements'!$D$5:$D$304,MATCH(D1602,'Équipements'!$A$5:$A$304,0)),""))</f>
        <v/>
      </c>
      <c r="G1602" s="9">
        <f>IF(D1602="","",IFERROR(INDEX('Équipements'!$K$5:$K$304,MATCH(D1602,'Équipements'!$A$5:$A$304,0)),""))</f>
        <v/>
      </c>
      <c r="H1602" s="7" t="n"/>
      <c r="I1602" s="7" t="n"/>
      <c r="J1602" s="7" t="n"/>
      <c r="K1602" s="7" t="n"/>
      <c r="L1602" s="7" t="n"/>
      <c r="M1602" s="7" t="n"/>
      <c r="N1602" s="7" t="n"/>
      <c r="O1602" s="7" t="n"/>
      <c r="P1602" s="65" t="n"/>
      <c r="Q1602" s="75" t="n"/>
      <c r="R1602" s="75" t="n"/>
      <c r="S1602" s="76" t="n"/>
      <c r="T1602" s="76" t="n"/>
      <c r="U1602" s="70">
        <f>IF($A1602="","",IFERROR(INDEX('Techniciens'!$F$5:$F$44,MATCH(O1602,'Techniciens'!$B$5:$B$44,0)),'Paramètres'!$AA$10))</f>
        <v/>
      </c>
      <c r="V1602" s="70">
        <f>IF($A1602="","",IF(OR(AC1602="Demandé",AC1602="Planifié",AC1602="Annulé"),0,N(T1602)*N(U1602)))</f>
        <v/>
      </c>
      <c r="W1602" s="70">
        <f>IF($A1602="","",SUMIFS('Mouvements stock'!$H$5:$H$3004,'Mouvements stock'!$I$5:$I$3004,$A1602,'Mouvements stock'!$C$5:$C$3004,"Sortie")-SUMIFS('Mouvements stock'!$H$5:$H$3004,'Mouvements stock'!$I$5:$I$3004,$A1602,'Mouvements stock'!$C$5:$C$3004,"Retour"))</f>
        <v/>
      </c>
      <c r="X1602" s="66" t="n"/>
      <c r="Y1602" s="66" t="n"/>
      <c r="Z1602" s="7" t="n"/>
      <c r="AA1602" s="70">
        <f>IF($A1602="","",N(V1602)+N(W1602)+N(X1602)+N(Y1602))</f>
        <v/>
      </c>
      <c r="AB1602" s="70">
        <f>IF($A1602="","",N(S1602)*'Paramètres'!$AA$9*IFERROR(INDEX('Paramètres'!$O$5:$O$7,MATCH(G1602,'Paramètres'!$N$5:$N$7,0)),0))</f>
        <v/>
      </c>
      <c r="AC1602" s="7" t="n"/>
      <c r="AD1602" s="69">
        <f>IF(OR($A1602="",Q1602=""),"",(Q1602-B1602)*24)</f>
        <v/>
      </c>
      <c r="AE1602" s="69">
        <f>IF(OR(Q1602="",R1602=""),"",(R1602-Q1602)*24)</f>
        <v/>
      </c>
      <c r="AF1602" s="77">
        <f>IF(OR($A1602="",B1602=""),"",YEAR(B1602))</f>
        <v/>
      </c>
      <c r="AG1602" s="77">
        <f>IF(OR($A1602="",B1602=""),"",MONTH(B1602))</f>
        <v/>
      </c>
    </row>
    <row r="1603">
      <c r="A1603" s="7" t="n"/>
      <c r="B1603" s="75" t="n"/>
      <c r="C1603" s="7" t="n"/>
      <c r="D1603" s="7" t="n"/>
      <c r="E1603" s="9">
        <f>IF(D1603="","",IFERROR(INDEX('Équipements'!$B$5:$B$304,MATCH(D1603,'Équipements'!$A$5:$A$304,0)),"Code inconnu"))</f>
        <v/>
      </c>
      <c r="F1603" s="9">
        <f>IF(D1603="","",IFERROR(INDEX('Équipements'!$D$5:$D$304,MATCH(D1603,'Équipements'!$A$5:$A$304,0)),""))</f>
        <v/>
      </c>
      <c r="G1603" s="9">
        <f>IF(D1603="","",IFERROR(INDEX('Équipements'!$K$5:$K$304,MATCH(D1603,'Équipements'!$A$5:$A$304,0)),""))</f>
        <v/>
      </c>
      <c r="H1603" s="7" t="n"/>
      <c r="I1603" s="7" t="n"/>
      <c r="J1603" s="7" t="n"/>
      <c r="K1603" s="7" t="n"/>
      <c r="L1603" s="7" t="n"/>
      <c r="M1603" s="7" t="n"/>
      <c r="N1603" s="7" t="n"/>
      <c r="O1603" s="7" t="n"/>
      <c r="P1603" s="65" t="n"/>
      <c r="Q1603" s="75" t="n"/>
      <c r="R1603" s="75" t="n"/>
      <c r="S1603" s="76" t="n"/>
      <c r="T1603" s="76" t="n"/>
      <c r="U1603" s="70">
        <f>IF($A1603="","",IFERROR(INDEX('Techniciens'!$F$5:$F$44,MATCH(O1603,'Techniciens'!$B$5:$B$44,0)),'Paramètres'!$AA$10))</f>
        <v/>
      </c>
      <c r="V1603" s="70">
        <f>IF($A1603="","",IF(OR(AC1603="Demandé",AC1603="Planifié",AC1603="Annulé"),0,N(T1603)*N(U1603)))</f>
        <v/>
      </c>
      <c r="W1603" s="70">
        <f>IF($A1603="","",SUMIFS('Mouvements stock'!$H$5:$H$3004,'Mouvements stock'!$I$5:$I$3004,$A1603,'Mouvements stock'!$C$5:$C$3004,"Sortie")-SUMIFS('Mouvements stock'!$H$5:$H$3004,'Mouvements stock'!$I$5:$I$3004,$A1603,'Mouvements stock'!$C$5:$C$3004,"Retour"))</f>
        <v/>
      </c>
      <c r="X1603" s="66" t="n"/>
      <c r="Y1603" s="66" t="n"/>
      <c r="Z1603" s="7" t="n"/>
      <c r="AA1603" s="70">
        <f>IF($A1603="","",N(V1603)+N(W1603)+N(X1603)+N(Y1603))</f>
        <v/>
      </c>
      <c r="AB1603" s="70">
        <f>IF($A1603="","",N(S1603)*'Paramètres'!$AA$9*IFERROR(INDEX('Paramètres'!$O$5:$O$7,MATCH(G1603,'Paramètres'!$N$5:$N$7,0)),0))</f>
        <v/>
      </c>
      <c r="AC1603" s="7" t="n"/>
      <c r="AD1603" s="69">
        <f>IF(OR($A1603="",Q1603=""),"",(Q1603-B1603)*24)</f>
        <v/>
      </c>
      <c r="AE1603" s="69">
        <f>IF(OR(Q1603="",R1603=""),"",(R1603-Q1603)*24)</f>
        <v/>
      </c>
      <c r="AF1603" s="77">
        <f>IF(OR($A1603="",B1603=""),"",YEAR(B1603))</f>
        <v/>
      </c>
      <c r="AG1603" s="77">
        <f>IF(OR($A1603="",B1603=""),"",MONTH(B1603))</f>
        <v/>
      </c>
    </row>
    <row r="1604">
      <c r="A1604" s="7" t="n"/>
      <c r="B1604" s="75" t="n"/>
      <c r="C1604" s="7" t="n"/>
      <c r="D1604" s="7" t="n"/>
      <c r="E1604" s="9">
        <f>IF(D1604="","",IFERROR(INDEX('Équipements'!$B$5:$B$304,MATCH(D1604,'Équipements'!$A$5:$A$304,0)),"Code inconnu"))</f>
        <v/>
      </c>
      <c r="F1604" s="9">
        <f>IF(D1604="","",IFERROR(INDEX('Équipements'!$D$5:$D$304,MATCH(D1604,'Équipements'!$A$5:$A$304,0)),""))</f>
        <v/>
      </c>
      <c r="G1604" s="9">
        <f>IF(D1604="","",IFERROR(INDEX('Équipements'!$K$5:$K$304,MATCH(D1604,'Équipements'!$A$5:$A$304,0)),""))</f>
        <v/>
      </c>
      <c r="H1604" s="7" t="n"/>
      <c r="I1604" s="7" t="n"/>
      <c r="J1604" s="7" t="n"/>
      <c r="K1604" s="7" t="n"/>
      <c r="L1604" s="7" t="n"/>
      <c r="M1604" s="7" t="n"/>
      <c r="N1604" s="7" t="n"/>
      <c r="O1604" s="7" t="n"/>
      <c r="P1604" s="65" t="n"/>
      <c r="Q1604" s="75" t="n"/>
      <c r="R1604" s="75" t="n"/>
      <c r="S1604" s="76" t="n"/>
      <c r="T1604" s="76" t="n"/>
      <c r="U1604" s="70">
        <f>IF($A1604="","",IFERROR(INDEX('Techniciens'!$F$5:$F$44,MATCH(O1604,'Techniciens'!$B$5:$B$44,0)),'Paramètres'!$AA$10))</f>
        <v/>
      </c>
      <c r="V1604" s="70">
        <f>IF($A1604="","",IF(OR(AC1604="Demandé",AC1604="Planifié",AC1604="Annulé"),0,N(T1604)*N(U1604)))</f>
        <v/>
      </c>
      <c r="W1604" s="70">
        <f>IF($A1604="","",SUMIFS('Mouvements stock'!$H$5:$H$3004,'Mouvements stock'!$I$5:$I$3004,$A1604,'Mouvements stock'!$C$5:$C$3004,"Sortie")-SUMIFS('Mouvements stock'!$H$5:$H$3004,'Mouvements stock'!$I$5:$I$3004,$A1604,'Mouvements stock'!$C$5:$C$3004,"Retour"))</f>
        <v/>
      </c>
      <c r="X1604" s="66" t="n"/>
      <c r="Y1604" s="66" t="n"/>
      <c r="Z1604" s="7" t="n"/>
      <c r="AA1604" s="70">
        <f>IF($A1604="","",N(V1604)+N(W1604)+N(X1604)+N(Y1604))</f>
        <v/>
      </c>
      <c r="AB1604" s="70">
        <f>IF($A1604="","",N(S1604)*'Paramètres'!$AA$9*IFERROR(INDEX('Paramètres'!$O$5:$O$7,MATCH(G1604,'Paramètres'!$N$5:$N$7,0)),0))</f>
        <v/>
      </c>
      <c r="AC1604" s="7" t="n"/>
      <c r="AD1604" s="69">
        <f>IF(OR($A1604="",Q1604=""),"",(Q1604-B1604)*24)</f>
        <v/>
      </c>
      <c r="AE1604" s="69">
        <f>IF(OR(Q1604="",R1604=""),"",(R1604-Q1604)*24)</f>
        <v/>
      </c>
      <c r="AF1604" s="77">
        <f>IF(OR($A1604="",B1604=""),"",YEAR(B1604))</f>
        <v/>
      </c>
      <c r="AG1604" s="77">
        <f>IF(OR($A1604="",B1604=""),"",MONTH(B1604))</f>
        <v/>
      </c>
    </row>
    <row r="1605">
      <c r="A1605" s="7" t="n"/>
      <c r="B1605" s="75" t="n"/>
      <c r="C1605" s="7" t="n"/>
      <c r="D1605" s="7" t="n"/>
      <c r="E1605" s="9">
        <f>IF(D1605="","",IFERROR(INDEX('Équipements'!$B$5:$B$304,MATCH(D1605,'Équipements'!$A$5:$A$304,0)),"Code inconnu"))</f>
        <v/>
      </c>
      <c r="F1605" s="9">
        <f>IF(D1605="","",IFERROR(INDEX('Équipements'!$D$5:$D$304,MATCH(D1605,'Équipements'!$A$5:$A$304,0)),""))</f>
        <v/>
      </c>
      <c r="G1605" s="9">
        <f>IF(D1605="","",IFERROR(INDEX('Équipements'!$K$5:$K$304,MATCH(D1605,'Équipements'!$A$5:$A$304,0)),""))</f>
        <v/>
      </c>
      <c r="H1605" s="7" t="n"/>
      <c r="I1605" s="7" t="n"/>
      <c r="J1605" s="7" t="n"/>
      <c r="K1605" s="7" t="n"/>
      <c r="L1605" s="7" t="n"/>
      <c r="M1605" s="7" t="n"/>
      <c r="N1605" s="7" t="n"/>
      <c r="O1605" s="7" t="n"/>
      <c r="P1605" s="65" t="n"/>
      <c r="Q1605" s="75" t="n"/>
      <c r="R1605" s="75" t="n"/>
      <c r="S1605" s="76" t="n"/>
      <c r="T1605" s="76" t="n"/>
      <c r="U1605" s="70">
        <f>IF($A1605="","",IFERROR(INDEX('Techniciens'!$F$5:$F$44,MATCH(O1605,'Techniciens'!$B$5:$B$44,0)),'Paramètres'!$AA$10))</f>
        <v/>
      </c>
      <c r="V1605" s="70">
        <f>IF($A1605="","",IF(OR(AC1605="Demandé",AC1605="Planifié",AC1605="Annulé"),0,N(T1605)*N(U1605)))</f>
        <v/>
      </c>
      <c r="W1605" s="70">
        <f>IF($A1605="","",SUMIFS('Mouvements stock'!$H$5:$H$3004,'Mouvements stock'!$I$5:$I$3004,$A1605,'Mouvements stock'!$C$5:$C$3004,"Sortie")-SUMIFS('Mouvements stock'!$H$5:$H$3004,'Mouvements stock'!$I$5:$I$3004,$A1605,'Mouvements stock'!$C$5:$C$3004,"Retour"))</f>
        <v/>
      </c>
      <c r="X1605" s="66" t="n"/>
      <c r="Y1605" s="66" t="n"/>
      <c r="Z1605" s="7" t="n"/>
      <c r="AA1605" s="70">
        <f>IF($A1605="","",N(V1605)+N(W1605)+N(X1605)+N(Y1605))</f>
        <v/>
      </c>
      <c r="AB1605" s="70">
        <f>IF($A1605="","",N(S1605)*'Paramètres'!$AA$9*IFERROR(INDEX('Paramètres'!$O$5:$O$7,MATCH(G1605,'Paramètres'!$N$5:$N$7,0)),0))</f>
        <v/>
      </c>
      <c r="AC1605" s="7" t="n"/>
      <c r="AD1605" s="69">
        <f>IF(OR($A1605="",Q1605=""),"",(Q1605-B1605)*24)</f>
        <v/>
      </c>
      <c r="AE1605" s="69">
        <f>IF(OR(Q1605="",R1605=""),"",(R1605-Q1605)*24)</f>
        <v/>
      </c>
      <c r="AF1605" s="77">
        <f>IF(OR($A1605="",B1605=""),"",YEAR(B1605))</f>
        <v/>
      </c>
      <c r="AG1605" s="77">
        <f>IF(OR($A1605="",B1605=""),"",MONTH(B1605))</f>
        <v/>
      </c>
    </row>
    <row r="1606">
      <c r="A1606" s="7" t="n"/>
      <c r="B1606" s="75" t="n"/>
      <c r="C1606" s="7" t="n"/>
      <c r="D1606" s="7" t="n"/>
      <c r="E1606" s="9">
        <f>IF(D1606="","",IFERROR(INDEX('Équipements'!$B$5:$B$304,MATCH(D1606,'Équipements'!$A$5:$A$304,0)),"Code inconnu"))</f>
        <v/>
      </c>
      <c r="F1606" s="9">
        <f>IF(D1606="","",IFERROR(INDEX('Équipements'!$D$5:$D$304,MATCH(D1606,'Équipements'!$A$5:$A$304,0)),""))</f>
        <v/>
      </c>
      <c r="G1606" s="9">
        <f>IF(D1606="","",IFERROR(INDEX('Équipements'!$K$5:$K$304,MATCH(D1606,'Équipements'!$A$5:$A$304,0)),""))</f>
        <v/>
      </c>
      <c r="H1606" s="7" t="n"/>
      <c r="I1606" s="7" t="n"/>
      <c r="J1606" s="7" t="n"/>
      <c r="K1606" s="7" t="n"/>
      <c r="L1606" s="7" t="n"/>
      <c r="M1606" s="7" t="n"/>
      <c r="N1606" s="7" t="n"/>
      <c r="O1606" s="7" t="n"/>
      <c r="P1606" s="65" t="n"/>
      <c r="Q1606" s="75" t="n"/>
      <c r="R1606" s="75" t="n"/>
      <c r="S1606" s="76" t="n"/>
      <c r="T1606" s="76" t="n"/>
      <c r="U1606" s="70">
        <f>IF($A1606="","",IFERROR(INDEX('Techniciens'!$F$5:$F$44,MATCH(O1606,'Techniciens'!$B$5:$B$44,0)),'Paramètres'!$AA$10))</f>
        <v/>
      </c>
      <c r="V1606" s="70">
        <f>IF($A1606="","",IF(OR(AC1606="Demandé",AC1606="Planifié",AC1606="Annulé"),0,N(T1606)*N(U1606)))</f>
        <v/>
      </c>
      <c r="W1606" s="70">
        <f>IF($A1606="","",SUMIFS('Mouvements stock'!$H$5:$H$3004,'Mouvements stock'!$I$5:$I$3004,$A1606,'Mouvements stock'!$C$5:$C$3004,"Sortie")-SUMIFS('Mouvements stock'!$H$5:$H$3004,'Mouvements stock'!$I$5:$I$3004,$A1606,'Mouvements stock'!$C$5:$C$3004,"Retour"))</f>
        <v/>
      </c>
      <c r="X1606" s="66" t="n"/>
      <c r="Y1606" s="66" t="n"/>
      <c r="Z1606" s="7" t="n"/>
      <c r="AA1606" s="70">
        <f>IF($A1606="","",N(V1606)+N(W1606)+N(X1606)+N(Y1606))</f>
        <v/>
      </c>
      <c r="AB1606" s="70">
        <f>IF($A1606="","",N(S1606)*'Paramètres'!$AA$9*IFERROR(INDEX('Paramètres'!$O$5:$O$7,MATCH(G1606,'Paramètres'!$N$5:$N$7,0)),0))</f>
        <v/>
      </c>
      <c r="AC1606" s="7" t="n"/>
      <c r="AD1606" s="69">
        <f>IF(OR($A1606="",Q1606=""),"",(Q1606-B1606)*24)</f>
        <v/>
      </c>
      <c r="AE1606" s="69">
        <f>IF(OR(Q1606="",R1606=""),"",(R1606-Q1606)*24)</f>
        <v/>
      </c>
      <c r="AF1606" s="77">
        <f>IF(OR($A1606="",B1606=""),"",YEAR(B1606))</f>
        <v/>
      </c>
      <c r="AG1606" s="77">
        <f>IF(OR($A1606="",B1606=""),"",MONTH(B1606))</f>
        <v/>
      </c>
    </row>
    <row r="1607">
      <c r="A1607" s="7" t="n"/>
      <c r="B1607" s="75" t="n"/>
      <c r="C1607" s="7" t="n"/>
      <c r="D1607" s="7" t="n"/>
      <c r="E1607" s="9">
        <f>IF(D1607="","",IFERROR(INDEX('Équipements'!$B$5:$B$304,MATCH(D1607,'Équipements'!$A$5:$A$304,0)),"Code inconnu"))</f>
        <v/>
      </c>
      <c r="F1607" s="9">
        <f>IF(D1607="","",IFERROR(INDEX('Équipements'!$D$5:$D$304,MATCH(D1607,'Équipements'!$A$5:$A$304,0)),""))</f>
        <v/>
      </c>
      <c r="G1607" s="9">
        <f>IF(D1607="","",IFERROR(INDEX('Équipements'!$K$5:$K$304,MATCH(D1607,'Équipements'!$A$5:$A$304,0)),""))</f>
        <v/>
      </c>
      <c r="H1607" s="7" t="n"/>
      <c r="I1607" s="7" t="n"/>
      <c r="J1607" s="7" t="n"/>
      <c r="K1607" s="7" t="n"/>
      <c r="L1607" s="7" t="n"/>
      <c r="M1607" s="7" t="n"/>
      <c r="N1607" s="7" t="n"/>
      <c r="O1607" s="7" t="n"/>
      <c r="P1607" s="65" t="n"/>
      <c r="Q1607" s="75" t="n"/>
      <c r="R1607" s="75" t="n"/>
      <c r="S1607" s="76" t="n"/>
      <c r="T1607" s="76" t="n"/>
      <c r="U1607" s="70">
        <f>IF($A1607="","",IFERROR(INDEX('Techniciens'!$F$5:$F$44,MATCH(O1607,'Techniciens'!$B$5:$B$44,0)),'Paramètres'!$AA$10))</f>
        <v/>
      </c>
      <c r="V1607" s="70">
        <f>IF($A1607="","",IF(OR(AC1607="Demandé",AC1607="Planifié",AC1607="Annulé"),0,N(T1607)*N(U1607)))</f>
        <v/>
      </c>
      <c r="W1607" s="70">
        <f>IF($A1607="","",SUMIFS('Mouvements stock'!$H$5:$H$3004,'Mouvements stock'!$I$5:$I$3004,$A1607,'Mouvements stock'!$C$5:$C$3004,"Sortie")-SUMIFS('Mouvements stock'!$H$5:$H$3004,'Mouvements stock'!$I$5:$I$3004,$A1607,'Mouvements stock'!$C$5:$C$3004,"Retour"))</f>
        <v/>
      </c>
      <c r="X1607" s="66" t="n"/>
      <c r="Y1607" s="66" t="n"/>
      <c r="Z1607" s="7" t="n"/>
      <c r="AA1607" s="70">
        <f>IF($A1607="","",N(V1607)+N(W1607)+N(X1607)+N(Y1607))</f>
        <v/>
      </c>
      <c r="AB1607" s="70">
        <f>IF($A1607="","",N(S1607)*'Paramètres'!$AA$9*IFERROR(INDEX('Paramètres'!$O$5:$O$7,MATCH(G1607,'Paramètres'!$N$5:$N$7,0)),0))</f>
        <v/>
      </c>
      <c r="AC1607" s="7" t="n"/>
      <c r="AD1607" s="69">
        <f>IF(OR($A1607="",Q1607=""),"",(Q1607-B1607)*24)</f>
        <v/>
      </c>
      <c r="AE1607" s="69">
        <f>IF(OR(Q1607="",R1607=""),"",(R1607-Q1607)*24)</f>
        <v/>
      </c>
      <c r="AF1607" s="77">
        <f>IF(OR($A1607="",B1607=""),"",YEAR(B1607))</f>
        <v/>
      </c>
      <c r="AG1607" s="77">
        <f>IF(OR($A1607="",B1607=""),"",MONTH(B1607))</f>
        <v/>
      </c>
    </row>
    <row r="1608">
      <c r="A1608" s="7" t="n"/>
      <c r="B1608" s="75" t="n"/>
      <c r="C1608" s="7" t="n"/>
      <c r="D1608" s="7" t="n"/>
      <c r="E1608" s="9">
        <f>IF(D1608="","",IFERROR(INDEX('Équipements'!$B$5:$B$304,MATCH(D1608,'Équipements'!$A$5:$A$304,0)),"Code inconnu"))</f>
        <v/>
      </c>
      <c r="F1608" s="9">
        <f>IF(D1608="","",IFERROR(INDEX('Équipements'!$D$5:$D$304,MATCH(D1608,'Équipements'!$A$5:$A$304,0)),""))</f>
        <v/>
      </c>
      <c r="G1608" s="9">
        <f>IF(D1608="","",IFERROR(INDEX('Équipements'!$K$5:$K$304,MATCH(D1608,'Équipements'!$A$5:$A$304,0)),""))</f>
        <v/>
      </c>
      <c r="H1608" s="7" t="n"/>
      <c r="I1608" s="7" t="n"/>
      <c r="J1608" s="7" t="n"/>
      <c r="K1608" s="7" t="n"/>
      <c r="L1608" s="7" t="n"/>
      <c r="M1608" s="7" t="n"/>
      <c r="N1608" s="7" t="n"/>
      <c r="O1608" s="7" t="n"/>
      <c r="P1608" s="65" t="n"/>
      <c r="Q1608" s="75" t="n"/>
      <c r="R1608" s="75" t="n"/>
      <c r="S1608" s="76" t="n"/>
      <c r="T1608" s="76" t="n"/>
      <c r="U1608" s="70">
        <f>IF($A1608="","",IFERROR(INDEX('Techniciens'!$F$5:$F$44,MATCH(O1608,'Techniciens'!$B$5:$B$44,0)),'Paramètres'!$AA$10))</f>
        <v/>
      </c>
      <c r="V1608" s="70">
        <f>IF($A1608="","",IF(OR(AC1608="Demandé",AC1608="Planifié",AC1608="Annulé"),0,N(T1608)*N(U1608)))</f>
        <v/>
      </c>
      <c r="W1608" s="70">
        <f>IF($A1608="","",SUMIFS('Mouvements stock'!$H$5:$H$3004,'Mouvements stock'!$I$5:$I$3004,$A1608,'Mouvements stock'!$C$5:$C$3004,"Sortie")-SUMIFS('Mouvements stock'!$H$5:$H$3004,'Mouvements stock'!$I$5:$I$3004,$A1608,'Mouvements stock'!$C$5:$C$3004,"Retour"))</f>
        <v/>
      </c>
      <c r="X1608" s="66" t="n"/>
      <c r="Y1608" s="66" t="n"/>
      <c r="Z1608" s="7" t="n"/>
      <c r="AA1608" s="70">
        <f>IF($A1608="","",N(V1608)+N(W1608)+N(X1608)+N(Y1608))</f>
        <v/>
      </c>
      <c r="AB1608" s="70">
        <f>IF($A1608="","",N(S1608)*'Paramètres'!$AA$9*IFERROR(INDEX('Paramètres'!$O$5:$O$7,MATCH(G1608,'Paramètres'!$N$5:$N$7,0)),0))</f>
        <v/>
      </c>
      <c r="AC1608" s="7" t="n"/>
      <c r="AD1608" s="69">
        <f>IF(OR($A1608="",Q1608=""),"",(Q1608-B1608)*24)</f>
        <v/>
      </c>
      <c r="AE1608" s="69">
        <f>IF(OR(Q1608="",R1608=""),"",(R1608-Q1608)*24)</f>
        <v/>
      </c>
      <c r="AF1608" s="77">
        <f>IF(OR($A1608="",B1608=""),"",YEAR(B1608))</f>
        <v/>
      </c>
      <c r="AG1608" s="77">
        <f>IF(OR($A1608="",B1608=""),"",MONTH(B1608))</f>
        <v/>
      </c>
    </row>
    <row r="1609">
      <c r="A1609" s="7" t="n"/>
      <c r="B1609" s="75" t="n"/>
      <c r="C1609" s="7" t="n"/>
      <c r="D1609" s="7" t="n"/>
      <c r="E1609" s="9">
        <f>IF(D1609="","",IFERROR(INDEX('Équipements'!$B$5:$B$304,MATCH(D1609,'Équipements'!$A$5:$A$304,0)),"Code inconnu"))</f>
        <v/>
      </c>
      <c r="F1609" s="9">
        <f>IF(D1609="","",IFERROR(INDEX('Équipements'!$D$5:$D$304,MATCH(D1609,'Équipements'!$A$5:$A$304,0)),""))</f>
        <v/>
      </c>
      <c r="G1609" s="9">
        <f>IF(D1609="","",IFERROR(INDEX('Équipements'!$K$5:$K$304,MATCH(D1609,'Équipements'!$A$5:$A$304,0)),""))</f>
        <v/>
      </c>
      <c r="H1609" s="7" t="n"/>
      <c r="I1609" s="7" t="n"/>
      <c r="J1609" s="7" t="n"/>
      <c r="K1609" s="7" t="n"/>
      <c r="L1609" s="7" t="n"/>
      <c r="M1609" s="7" t="n"/>
      <c r="N1609" s="7" t="n"/>
      <c r="O1609" s="7" t="n"/>
      <c r="P1609" s="65" t="n"/>
      <c r="Q1609" s="75" t="n"/>
      <c r="R1609" s="75" t="n"/>
      <c r="S1609" s="76" t="n"/>
      <c r="T1609" s="76" t="n"/>
      <c r="U1609" s="70">
        <f>IF($A1609="","",IFERROR(INDEX('Techniciens'!$F$5:$F$44,MATCH(O1609,'Techniciens'!$B$5:$B$44,0)),'Paramètres'!$AA$10))</f>
        <v/>
      </c>
      <c r="V1609" s="70">
        <f>IF($A1609="","",IF(OR(AC1609="Demandé",AC1609="Planifié",AC1609="Annulé"),0,N(T1609)*N(U1609)))</f>
        <v/>
      </c>
      <c r="W1609" s="70">
        <f>IF($A1609="","",SUMIFS('Mouvements stock'!$H$5:$H$3004,'Mouvements stock'!$I$5:$I$3004,$A1609,'Mouvements stock'!$C$5:$C$3004,"Sortie")-SUMIFS('Mouvements stock'!$H$5:$H$3004,'Mouvements stock'!$I$5:$I$3004,$A1609,'Mouvements stock'!$C$5:$C$3004,"Retour"))</f>
        <v/>
      </c>
      <c r="X1609" s="66" t="n"/>
      <c r="Y1609" s="66" t="n"/>
      <c r="Z1609" s="7" t="n"/>
      <c r="AA1609" s="70">
        <f>IF($A1609="","",N(V1609)+N(W1609)+N(X1609)+N(Y1609))</f>
        <v/>
      </c>
      <c r="AB1609" s="70">
        <f>IF($A1609="","",N(S1609)*'Paramètres'!$AA$9*IFERROR(INDEX('Paramètres'!$O$5:$O$7,MATCH(G1609,'Paramètres'!$N$5:$N$7,0)),0))</f>
        <v/>
      </c>
      <c r="AC1609" s="7" t="n"/>
      <c r="AD1609" s="69">
        <f>IF(OR($A1609="",Q1609=""),"",(Q1609-B1609)*24)</f>
        <v/>
      </c>
      <c r="AE1609" s="69">
        <f>IF(OR(Q1609="",R1609=""),"",(R1609-Q1609)*24)</f>
        <v/>
      </c>
      <c r="AF1609" s="77">
        <f>IF(OR($A1609="",B1609=""),"",YEAR(B1609))</f>
        <v/>
      </c>
      <c r="AG1609" s="77">
        <f>IF(OR($A1609="",B1609=""),"",MONTH(B1609))</f>
        <v/>
      </c>
    </row>
    <row r="1610">
      <c r="A1610" s="7" t="n"/>
      <c r="B1610" s="75" t="n"/>
      <c r="C1610" s="7" t="n"/>
      <c r="D1610" s="7" t="n"/>
      <c r="E1610" s="9">
        <f>IF(D1610="","",IFERROR(INDEX('Équipements'!$B$5:$B$304,MATCH(D1610,'Équipements'!$A$5:$A$304,0)),"Code inconnu"))</f>
        <v/>
      </c>
      <c r="F1610" s="9">
        <f>IF(D1610="","",IFERROR(INDEX('Équipements'!$D$5:$D$304,MATCH(D1610,'Équipements'!$A$5:$A$304,0)),""))</f>
        <v/>
      </c>
      <c r="G1610" s="9">
        <f>IF(D1610="","",IFERROR(INDEX('Équipements'!$K$5:$K$304,MATCH(D1610,'Équipements'!$A$5:$A$304,0)),""))</f>
        <v/>
      </c>
      <c r="H1610" s="7" t="n"/>
      <c r="I1610" s="7" t="n"/>
      <c r="J1610" s="7" t="n"/>
      <c r="K1610" s="7" t="n"/>
      <c r="L1610" s="7" t="n"/>
      <c r="M1610" s="7" t="n"/>
      <c r="N1610" s="7" t="n"/>
      <c r="O1610" s="7" t="n"/>
      <c r="P1610" s="65" t="n"/>
      <c r="Q1610" s="75" t="n"/>
      <c r="R1610" s="75" t="n"/>
      <c r="S1610" s="76" t="n"/>
      <c r="T1610" s="76" t="n"/>
      <c r="U1610" s="70">
        <f>IF($A1610="","",IFERROR(INDEX('Techniciens'!$F$5:$F$44,MATCH(O1610,'Techniciens'!$B$5:$B$44,0)),'Paramètres'!$AA$10))</f>
        <v/>
      </c>
      <c r="V1610" s="70">
        <f>IF($A1610="","",IF(OR(AC1610="Demandé",AC1610="Planifié",AC1610="Annulé"),0,N(T1610)*N(U1610)))</f>
        <v/>
      </c>
      <c r="W1610" s="70">
        <f>IF($A1610="","",SUMIFS('Mouvements stock'!$H$5:$H$3004,'Mouvements stock'!$I$5:$I$3004,$A1610,'Mouvements stock'!$C$5:$C$3004,"Sortie")-SUMIFS('Mouvements stock'!$H$5:$H$3004,'Mouvements stock'!$I$5:$I$3004,$A1610,'Mouvements stock'!$C$5:$C$3004,"Retour"))</f>
        <v/>
      </c>
      <c r="X1610" s="66" t="n"/>
      <c r="Y1610" s="66" t="n"/>
      <c r="Z1610" s="7" t="n"/>
      <c r="AA1610" s="70">
        <f>IF($A1610="","",N(V1610)+N(W1610)+N(X1610)+N(Y1610))</f>
        <v/>
      </c>
      <c r="AB1610" s="70">
        <f>IF($A1610="","",N(S1610)*'Paramètres'!$AA$9*IFERROR(INDEX('Paramètres'!$O$5:$O$7,MATCH(G1610,'Paramètres'!$N$5:$N$7,0)),0))</f>
        <v/>
      </c>
      <c r="AC1610" s="7" t="n"/>
      <c r="AD1610" s="69">
        <f>IF(OR($A1610="",Q1610=""),"",(Q1610-B1610)*24)</f>
        <v/>
      </c>
      <c r="AE1610" s="69">
        <f>IF(OR(Q1610="",R1610=""),"",(R1610-Q1610)*24)</f>
        <v/>
      </c>
      <c r="AF1610" s="77">
        <f>IF(OR($A1610="",B1610=""),"",YEAR(B1610))</f>
        <v/>
      </c>
      <c r="AG1610" s="77">
        <f>IF(OR($A1610="",B1610=""),"",MONTH(B1610))</f>
        <v/>
      </c>
    </row>
    <row r="1611">
      <c r="A1611" s="7" t="n"/>
      <c r="B1611" s="75" t="n"/>
      <c r="C1611" s="7" t="n"/>
      <c r="D1611" s="7" t="n"/>
      <c r="E1611" s="9">
        <f>IF(D1611="","",IFERROR(INDEX('Équipements'!$B$5:$B$304,MATCH(D1611,'Équipements'!$A$5:$A$304,0)),"Code inconnu"))</f>
        <v/>
      </c>
      <c r="F1611" s="9">
        <f>IF(D1611="","",IFERROR(INDEX('Équipements'!$D$5:$D$304,MATCH(D1611,'Équipements'!$A$5:$A$304,0)),""))</f>
        <v/>
      </c>
      <c r="G1611" s="9">
        <f>IF(D1611="","",IFERROR(INDEX('Équipements'!$K$5:$K$304,MATCH(D1611,'Équipements'!$A$5:$A$304,0)),""))</f>
        <v/>
      </c>
      <c r="H1611" s="7" t="n"/>
      <c r="I1611" s="7" t="n"/>
      <c r="J1611" s="7" t="n"/>
      <c r="K1611" s="7" t="n"/>
      <c r="L1611" s="7" t="n"/>
      <c r="M1611" s="7" t="n"/>
      <c r="N1611" s="7" t="n"/>
      <c r="O1611" s="7" t="n"/>
      <c r="P1611" s="65" t="n"/>
      <c r="Q1611" s="75" t="n"/>
      <c r="R1611" s="75" t="n"/>
      <c r="S1611" s="76" t="n"/>
      <c r="T1611" s="76" t="n"/>
      <c r="U1611" s="70">
        <f>IF($A1611="","",IFERROR(INDEX('Techniciens'!$F$5:$F$44,MATCH(O1611,'Techniciens'!$B$5:$B$44,0)),'Paramètres'!$AA$10))</f>
        <v/>
      </c>
      <c r="V1611" s="70">
        <f>IF($A1611="","",IF(OR(AC1611="Demandé",AC1611="Planifié",AC1611="Annulé"),0,N(T1611)*N(U1611)))</f>
        <v/>
      </c>
      <c r="W1611" s="70">
        <f>IF($A1611="","",SUMIFS('Mouvements stock'!$H$5:$H$3004,'Mouvements stock'!$I$5:$I$3004,$A1611,'Mouvements stock'!$C$5:$C$3004,"Sortie")-SUMIFS('Mouvements stock'!$H$5:$H$3004,'Mouvements stock'!$I$5:$I$3004,$A1611,'Mouvements stock'!$C$5:$C$3004,"Retour"))</f>
        <v/>
      </c>
      <c r="X1611" s="66" t="n"/>
      <c r="Y1611" s="66" t="n"/>
      <c r="Z1611" s="7" t="n"/>
      <c r="AA1611" s="70">
        <f>IF($A1611="","",N(V1611)+N(W1611)+N(X1611)+N(Y1611))</f>
        <v/>
      </c>
      <c r="AB1611" s="70">
        <f>IF($A1611="","",N(S1611)*'Paramètres'!$AA$9*IFERROR(INDEX('Paramètres'!$O$5:$O$7,MATCH(G1611,'Paramètres'!$N$5:$N$7,0)),0))</f>
        <v/>
      </c>
      <c r="AC1611" s="7" t="n"/>
      <c r="AD1611" s="69">
        <f>IF(OR($A1611="",Q1611=""),"",(Q1611-B1611)*24)</f>
        <v/>
      </c>
      <c r="AE1611" s="69">
        <f>IF(OR(Q1611="",R1611=""),"",(R1611-Q1611)*24)</f>
        <v/>
      </c>
      <c r="AF1611" s="77">
        <f>IF(OR($A1611="",B1611=""),"",YEAR(B1611))</f>
        <v/>
      </c>
      <c r="AG1611" s="77">
        <f>IF(OR($A1611="",B1611=""),"",MONTH(B1611))</f>
        <v/>
      </c>
    </row>
    <row r="1612">
      <c r="A1612" s="7" t="n"/>
      <c r="B1612" s="75" t="n"/>
      <c r="C1612" s="7" t="n"/>
      <c r="D1612" s="7" t="n"/>
      <c r="E1612" s="9">
        <f>IF(D1612="","",IFERROR(INDEX('Équipements'!$B$5:$B$304,MATCH(D1612,'Équipements'!$A$5:$A$304,0)),"Code inconnu"))</f>
        <v/>
      </c>
      <c r="F1612" s="9">
        <f>IF(D1612="","",IFERROR(INDEX('Équipements'!$D$5:$D$304,MATCH(D1612,'Équipements'!$A$5:$A$304,0)),""))</f>
        <v/>
      </c>
      <c r="G1612" s="9">
        <f>IF(D1612="","",IFERROR(INDEX('Équipements'!$K$5:$K$304,MATCH(D1612,'Équipements'!$A$5:$A$304,0)),""))</f>
        <v/>
      </c>
      <c r="H1612" s="7" t="n"/>
      <c r="I1612" s="7" t="n"/>
      <c r="J1612" s="7" t="n"/>
      <c r="K1612" s="7" t="n"/>
      <c r="L1612" s="7" t="n"/>
      <c r="M1612" s="7" t="n"/>
      <c r="N1612" s="7" t="n"/>
      <c r="O1612" s="7" t="n"/>
      <c r="P1612" s="65" t="n"/>
      <c r="Q1612" s="75" t="n"/>
      <c r="R1612" s="75" t="n"/>
      <c r="S1612" s="76" t="n"/>
      <c r="T1612" s="76" t="n"/>
      <c r="U1612" s="70">
        <f>IF($A1612="","",IFERROR(INDEX('Techniciens'!$F$5:$F$44,MATCH(O1612,'Techniciens'!$B$5:$B$44,0)),'Paramètres'!$AA$10))</f>
        <v/>
      </c>
      <c r="V1612" s="70">
        <f>IF($A1612="","",IF(OR(AC1612="Demandé",AC1612="Planifié",AC1612="Annulé"),0,N(T1612)*N(U1612)))</f>
        <v/>
      </c>
      <c r="W1612" s="70">
        <f>IF($A1612="","",SUMIFS('Mouvements stock'!$H$5:$H$3004,'Mouvements stock'!$I$5:$I$3004,$A1612,'Mouvements stock'!$C$5:$C$3004,"Sortie")-SUMIFS('Mouvements stock'!$H$5:$H$3004,'Mouvements stock'!$I$5:$I$3004,$A1612,'Mouvements stock'!$C$5:$C$3004,"Retour"))</f>
        <v/>
      </c>
      <c r="X1612" s="66" t="n"/>
      <c r="Y1612" s="66" t="n"/>
      <c r="Z1612" s="7" t="n"/>
      <c r="AA1612" s="70">
        <f>IF($A1612="","",N(V1612)+N(W1612)+N(X1612)+N(Y1612))</f>
        <v/>
      </c>
      <c r="AB1612" s="70">
        <f>IF($A1612="","",N(S1612)*'Paramètres'!$AA$9*IFERROR(INDEX('Paramètres'!$O$5:$O$7,MATCH(G1612,'Paramètres'!$N$5:$N$7,0)),0))</f>
        <v/>
      </c>
      <c r="AC1612" s="7" t="n"/>
      <c r="AD1612" s="69">
        <f>IF(OR($A1612="",Q1612=""),"",(Q1612-B1612)*24)</f>
        <v/>
      </c>
      <c r="AE1612" s="69">
        <f>IF(OR(Q1612="",R1612=""),"",(R1612-Q1612)*24)</f>
        <v/>
      </c>
      <c r="AF1612" s="77">
        <f>IF(OR($A1612="",B1612=""),"",YEAR(B1612))</f>
        <v/>
      </c>
      <c r="AG1612" s="77">
        <f>IF(OR($A1612="",B1612=""),"",MONTH(B1612))</f>
        <v/>
      </c>
    </row>
    <row r="1613">
      <c r="A1613" s="7" t="n"/>
      <c r="B1613" s="75" t="n"/>
      <c r="C1613" s="7" t="n"/>
      <c r="D1613" s="7" t="n"/>
      <c r="E1613" s="9">
        <f>IF(D1613="","",IFERROR(INDEX('Équipements'!$B$5:$B$304,MATCH(D1613,'Équipements'!$A$5:$A$304,0)),"Code inconnu"))</f>
        <v/>
      </c>
      <c r="F1613" s="9">
        <f>IF(D1613="","",IFERROR(INDEX('Équipements'!$D$5:$D$304,MATCH(D1613,'Équipements'!$A$5:$A$304,0)),""))</f>
        <v/>
      </c>
      <c r="G1613" s="9">
        <f>IF(D1613="","",IFERROR(INDEX('Équipements'!$K$5:$K$304,MATCH(D1613,'Équipements'!$A$5:$A$304,0)),""))</f>
        <v/>
      </c>
      <c r="H1613" s="7" t="n"/>
      <c r="I1613" s="7" t="n"/>
      <c r="J1613" s="7" t="n"/>
      <c r="K1613" s="7" t="n"/>
      <c r="L1613" s="7" t="n"/>
      <c r="M1613" s="7" t="n"/>
      <c r="N1613" s="7" t="n"/>
      <c r="O1613" s="7" t="n"/>
      <c r="P1613" s="65" t="n"/>
      <c r="Q1613" s="75" t="n"/>
      <c r="R1613" s="75" t="n"/>
      <c r="S1613" s="76" t="n"/>
      <c r="T1613" s="76" t="n"/>
      <c r="U1613" s="70">
        <f>IF($A1613="","",IFERROR(INDEX('Techniciens'!$F$5:$F$44,MATCH(O1613,'Techniciens'!$B$5:$B$44,0)),'Paramètres'!$AA$10))</f>
        <v/>
      </c>
      <c r="V1613" s="70">
        <f>IF($A1613="","",IF(OR(AC1613="Demandé",AC1613="Planifié",AC1613="Annulé"),0,N(T1613)*N(U1613)))</f>
        <v/>
      </c>
      <c r="W1613" s="70">
        <f>IF($A1613="","",SUMIFS('Mouvements stock'!$H$5:$H$3004,'Mouvements stock'!$I$5:$I$3004,$A1613,'Mouvements stock'!$C$5:$C$3004,"Sortie")-SUMIFS('Mouvements stock'!$H$5:$H$3004,'Mouvements stock'!$I$5:$I$3004,$A1613,'Mouvements stock'!$C$5:$C$3004,"Retour"))</f>
        <v/>
      </c>
      <c r="X1613" s="66" t="n"/>
      <c r="Y1613" s="66" t="n"/>
      <c r="Z1613" s="7" t="n"/>
      <c r="AA1613" s="70">
        <f>IF($A1613="","",N(V1613)+N(W1613)+N(X1613)+N(Y1613))</f>
        <v/>
      </c>
      <c r="AB1613" s="70">
        <f>IF($A1613="","",N(S1613)*'Paramètres'!$AA$9*IFERROR(INDEX('Paramètres'!$O$5:$O$7,MATCH(G1613,'Paramètres'!$N$5:$N$7,0)),0))</f>
        <v/>
      </c>
      <c r="AC1613" s="7" t="n"/>
      <c r="AD1613" s="69">
        <f>IF(OR($A1613="",Q1613=""),"",(Q1613-B1613)*24)</f>
        <v/>
      </c>
      <c r="AE1613" s="69">
        <f>IF(OR(Q1613="",R1613=""),"",(R1613-Q1613)*24)</f>
        <v/>
      </c>
      <c r="AF1613" s="77">
        <f>IF(OR($A1613="",B1613=""),"",YEAR(B1613))</f>
        <v/>
      </c>
      <c r="AG1613" s="77">
        <f>IF(OR($A1613="",B1613=""),"",MONTH(B1613))</f>
        <v/>
      </c>
    </row>
    <row r="1614">
      <c r="A1614" s="7" t="n"/>
      <c r="B1614" s="75" t="n"/>
      <c r="C1614" s="7" t="n"/>
      <c r="D1614" s="7" t="n"/>
      <c r="E1614" s="9">
        <f>IF(D1614="","",IFERROR(INDEX('Équipements'!$B$5:$B$304,MATCH(D1614,'Équipements'!$A$5:$A$304,0)),"Code inconnu"))</f>
        <v/>
      </c>
      <c r="F1614" s="9">
        <f>IF(D1614="","",IFERROR(INDEX('Équipements'!$D$5:$D$304,MATCH(D1614,'Équipements'!$A$5:$A$304,0)),""))</f>
        <v/>
      </c>
      <c r="G1614" s="9">
        <f>IF(D1614="","",IFERROR(INDEX('Équipements'!$K$5:$K$304,MATCH(D1614,'Équipements'!$A$5:$A$304,0)),""))</f>
        <v/>
      </c>
      <c r="H1614" s="7" t="n"/>
      <c r="I1614" s="7" t="n"/>
      <c r="J1614" s="7" t="n"/>
      <c r="K1614" s="7" t="n"/>
      <c r="L1614" s="7" t="n"/>
      <c r="M1614" s="7" t="n"/>
      <c r="N1614" s="7" t="n"/>
      <c r="O1614" s="7" t="n"/>
      <c r="P1614" s="65" t="n"/>
      <c r="Q1614" s="75" t="n"/>
      <c r="R1614" s="75" t="n"/>
      <c r="S1614" s="76" t="n"/>
      <c r="T1614" s="76" t="n"/>
      <c r="U1614" s="70">
        <f>IF($A1614="","",IFERROR(INDEX('Techniciens'!$F$5:$F$44,MATCH(O1614,'Techniciens'!$B$5:$B$44,0)),'Paramètres'!$AA$10))</f>
        <v/>
      </c>
      <c r="V1614" s="70">
        <f>IF($A1614="","",IF(OR(AC1614="Demandé",AC1614="Planifié",AC1614="Annulé"),0,N(T1614)*N(U1614)))</f>
        <v/>
      </c>
      <c r="W1614" s="70">
        <f>IF($A1614="","",SUMIFS('Mouvements stock'!$H$5:$H$3004,'Mouvements stock'!$I$5:$I$3004,$A1614,'Mouvements stock'!$C$5:$C$3004,"Sortie")-SUMIFS('Mouvements stock'!$H$5:$H$3004,'Mouvements stock'!$I$5:$I$3004,$A1614,'Mouvements stock'!$C$5:$C$3004,"Retour"))</f>
        <v/>
      </c>
      <c r="X1614" s="66" t="n"/>
      <c r="Y1614" s="66" t="n"/>
      <c r="Z1614" s="7" t="n"/>
      <c r="AA1614" s="70">
        <f>IF($A1614="","",N(V1614)+N(W1614)+N(X1614)+N(Y1614))</f>
        <v/>
      </c>
      <c r="AB1614" s="70">
        <f>IF($A1614="","",N(S1614)*'Paramètres'!$AA$9*IFERROR(INDEX('Paramètres'!$O$5:$O$7,MATCH(G1614,'Paramètres'!$N$5:$N$7,0)),0))</f>
        <v/>
      </c>
      <c r="AC1614" s="7" t="n"/>
      <c r="AD1614" s="69">
        <f>IF(OR($A1614="",Q1614=""),"",(Q1614-B1614)*24)</f>
        <v/>
      </c>
      <c r="AE1614" s="69">
        <f>IF(OR(Q1614="",R1614=""),"",(R1614-Q1614)*24)</f>
        <v/>
      </c>
      <c r="AF1614" s="77">
        <f>IF(OR($A1614="",B1614=""),"",YEAR(B1614))</f>
        <v/>
      </c>
      <c r="AG1614" s="77">
        <f>IF(OR($A1614="",B1614=""),"",MONTH(B1614))</f>
        <v/>
      </c>
    </row>
    <row r="1615">
      <c r="A1615" s="7" t="n"/>
      <c r="B1615" s="75" t="n"/>
      <c r="C1615" s="7" t="n"/>
      <c r="D1615" s="7" t="n"/>
      <c r="E1615" s="9">
        <f>IF(D1615="","",IFERROR(INDEX('Équipements'!$B$5:$B$304,MATCH(D1615,'Équipements'!$A$5:$A$304,0)),"Code inconnu"))</f>
        <v/>
      </c>
      <c r="F1615" s="9">
        <f>IF(D1615="","",IFERROR(INDEX('Équipements'!$D$5:$D$304,MATCH(D1615,'Équipements'!$A$5:$A$304,0)),""))</f>
        <v/>
      </c>
      <c r="G1615" s="9">
        <f>IF(D1615="","",IFERROR(INDEX('Équipements'!$K$5:$K$304,MATCH(D1615,'Équipements'!$A$5:$A$304,0)),""))</f>
        <v/>
      </c>
      <c r="H1615" s="7" t="n"/>
      <c r="I1615" s="7" t="n"/>
      <c r="J1615" s="7" t="n"/>
      <c r="K1615" s="7" t="n"/>
      <c r="L1615" s="7" t="n"/>
      <c r="M1615" s="7" t="n"/>
      <c r="N1615" s="7" t="n"/>
      <c r="O1615" s="7" t="n"/>
      <c r="P1615" s="65" t="n"/>
      <c r="Q1615" s="75" t="n"/>
      <c r="R1615" s="75" t="n"/>
      <c r="S1615" s="76" t="n"/>
      <c r="T1615" s="76" t="n"/>
      <c r="U1615" s="70">
        <f>IF($A1615="","",IFERROR(INDEX('Techniciens'!$F$5:$F$44,MATCH(O1615,'Techniciens'!$B$5:$B$44,0)),'Paramètres'!$AA$10))</f>
        <v/>
      </c>
      <c r="V1615" s="70">
        <f>IF($A1615="","",IF(OR(AC1615="Demandé",AC1615="Planifié",AC1615="Annulé"),0,N(T1615)*N(U1615)))</f>
        <v/>
      </c>
      <c r="W1615" s="70">
        <f>IF($A1615="","",SUMIFS('Mouvements stock'!$H$5:$H$3004,'Mouvements stock'!$I$5:$I$3004,$A1615,'Mouvements stock'!$C$5:$C$3004,"Sortie")-SUMIFS('Mouvements stock'!$H$5:$H$3004,'Mouvements stock'!$I$5:$I$3004,$A1615,'Mouvements stock'!$C$5:$C$3004,"Retour"))</f>
        <v/>
      </c>
      <c r="X1615" s="66" t="n"/>
      <c r="Y1615" s="66" t="n"/>
      <c r="Z1615" s="7" t="n"/>
      <c r="AA1615" s="70">
        <f>IF($A1615="","",N(V1615)+N(W1615)+N(X1615)+N(Y1615))</f>
        <v/>
      </c>
      <c r="AB1615" s="70">
        <f>IF($A1615="","",N(S1615)*'Paramètres'!$AA$9*IFERROR(INDEX('Paramètres'!$O$5:$O$7,MATCH(G1615,'Paramètres'!$N$5:$N$7,0)),0))</f>
        <v/>
      </c>
      <c r="AC1615" s="7" t="n"/>
      <c r="AD1615" s="69">
        <f>IF(OR($A1615="",Q1615=""),"",(Q1615-B1615)*24)</f>
        <v/>
      </c>
      <c r="AE1615" s="69">
        <f>IF(OR(Q1615="",R1615=""),"",(R1615-Q1615)*24)</f>
        <v/>
      </c>
      <c r="AF1615" s="77">
        <f>IF(OR($A1615="",B1615=""),"",YEAR(B1615))</f>
        <v/>
      </c>
      <c r="AG1615" s="77">
        <f>IF(OR($A1615="",B1615=""),"",MONTH(B1615))</f>
        <v/>
      </c>
    </row>
    <row r="1616">
      <c r="A1616" s="7" t="n"/>
      <c r="B1616" s="75" t="n"/>
      <c r="C1616" s="7" t="n"/>
      <c r="D1616" s="7" t="n"/>
      <c r="E1616" s="9">
        <f>IF(D1616="","",IFERROR(INDEX('Équipements'!$B$5:$B$304,MATCH(D1616,'Équipements'!$A$5:$A$304,0)),"Code inconnu"))</f>
        <v/>
      </c>
      <c r="F1616" s="9">
        <f>IF(D1616="","",IFERROR(INDEX('Équipements'!$D$5:$D$304,MATCH(D1616,'Équipements'!$A$5:$A$304,0)),""))</f>
        <v/>
      </c>
      <c r="G1616" s="9">
        <f>IF(D1616="","",IFERROR(INDEX('Équipements'!$K$5:$K$304,MATCH(D1616,'Équipements'!$A$5:$A$304,0)),""))</f>
        <v/>
      </c>
      <c r="H1616" s="7" t="n"/>
      <c r="I1616" s="7" t="n"/>
      <c r="J1616" s="7" t="n"/>
      <c r="K1616" s="7" t="n"/>
      <c r="L1616" s="7" t="n"/>
      <c r="M1616" s="7" t="n"/>
      <c r="N1616" s="7" t="n"/>
      <c r="O1616" s="7" t="n"/>
      <c r="P1616" s="65" t="n"/>
      <c r="Q1616" s="75" t="n"/>
      <c r="R1616" s="75" t="n"/>
      <c r="S1616" s="76" t="n"/>
      <c r="T1616" s="76" t="n"/>
      <c r="U1616" s="70">
        <f>IF($A1616="","",IFERROR(INDEX('Techniciens'!$F$5:$F$44,MATCH(O1616,'Techniciens'!$B$5:$B$44,0)),'Paramètres'!$AA$10))</f>
        <v/>
      </c>
      <c r="V1616" s="70">
        <f>IF($A1616="","",IF(OR(AC1616="Demandé",AC1616="Planifié",AC1616="Annulé"),0,N(T1616)*N(U1616)))</f>
        <v/>
      </c>
      <c r="W1616" s="70">
        <f>IF($A1616="","",SUMIFS('Mouvements stock'!$H$5:$H$3004,'Mouvements stock'!$I$5:$I$3004,$A1616,'Mouvements stock'!$C$5:$C$3004,"Sortie")-SUMIFS('Mouvements stock'!$H$5:$H$3004,'Mouvements stock'!$I$5:$I$3004,$A1616,'Mouvements stock'!$C$5:$C$3004,"Retour"))</f>
        <v/>
      </c>
      <c r="X1616" s="66" t="n"/>
      <c r="Y1616" s="66" t="n"/>
      <c r="Z1616" s="7" t="n"/>
      <c r="AA1616" s="70">
        <f>IF($A1616="","",N(V1616)+N(W1616)+N(X1616)+N(Y1616))</f>
        <v/>
      </c>
      <c r="AB1616" s="70">
        <f>IF($A1616="","",N(S1616)*'Paramètres'!$AA$9*IFERROR(INDEX('Paramètres'!$O$5:$O$7,MATCH(G1616,'Paramètres'!$N$5:$N$7,0)),0))</f>
        <v/>
      </c>
      <c r="AC1616" s="7" t="n"/>
      <c r="AD1616" s="69">
        <f>IF(OR($A1616="",Q1616=""),"",(Q1616-B1616)*24)</f>
        <v/>
      </c>
      <c r="AE1616" s="69">
        <f>IF(OR(Q1616="",R1616=""),"",(R1616-Q1616)*24)</f>
        <v/>
      </c>
      <c r="AF1616" s="77">
        <f>IF(OR($A1616="",B1616=""),"",YEAR(B1616))</f>
        <v/>
      </c>
      <c r="AG1616" s="77">
        <f>IF(OR($A1616="",B1616=""),"",MONTH(B1616))</f>
        <v/>
      </c>
    </row>
    <row r="1617">
      <c r="A1617" s="7" t="n"/>
      <c r="B1617" s="75" t="n"/>
      <c r="C1617" s="7" t="n"/>
      <c r="D1617" s="7" t="n"/>
      <c r="E1617" s="9">
        <f>IF(D1617="","",IFERROR(INDEX('Équipements'!$B$5:$B$304,MATCH(D1617,'Équipements'!$A$5:$A$304,0)),"Code inconnu"))</f>
        <v/>
      </c>
      <c r="F1617" s="9">
        <f>IF(D1617="","",IFERROR(INDEX('Équipements'!$D$5:$D$304,MATCH(D1617,'Équipements'!$A$5:$A$304,0)),""))</f>
        <v/>
      </c>
      <c r="G1617" s="9">
        <f>IF(D1617="","",IFERROR(INDEX('Équipements'!$K$5:$K$304,MATCH(D1617,'Équipements'!$A$5:$A$304,0)),""))</f>
        <v/>
      </c>
      <c r="H1617" s="7" t="n"/>
      <c r="I1617" s="7" t="n"/>
      <c r="J1617" s="7" t="n"/>
      <c r="K1617" s="7" t="n"/>
      <c r="L1617" s="7" t="n"/>
      <c r="M1617" s="7" t="n"/>
      <c r="N1617" s="7" t="n"/>
      <c r="O1617" s="7" t="n"/>
      <c r="P1617" s="65" t="n"/>
      <c r="Q1617" s="75" t="n"/>
      <c r="R1617" s="75" t="n"/>
      <c r="S1617" s="76" t="n"/>
      <c r="T1617" s="76" t="n"/>
      <c r="U1617" s="70">
        <f>IF($A1617="","",IFERROR(INDEX('Techniciens'!$F$5:$F$44,MATCH(O1617,'Techniciens'!$B$5:$B$44,0)),'Paramètres'!$AA$10))</f>
        <v/>
      </c>
      <c r="V1617" s="70">
        <f>IF($A1617="","",IF(OR(AC1617="Demandé",AC1617="Planifié",AC1617="Annulé"),0,N(T1617)*N(U1617)))</f>
        <v/>
      </c>
      <c r="W1617" s="70">
        <f>IF($A1617="","",SUMIFS('Mouvements stock'!$H$5:$H$3004,'Mouvements stock'!$I$5:$I$3004,$A1617,'Mouvements stock'!$C$5:$C$3004,"Sortie")-SUMIFS('Mouvements stock'!$H$5:$H$3004,'Mouvements stock'!$I$5:$I$3004,$A1617,'Mouvements stock'!$C$5:$C$3004,"Retour"))</f>
        <v/>
      </c>
      <c r="X1617" s="66" t="n"/>
      <c r="Y1617" s="66" t="n"/>
      <c r="Z1617" s="7" t="n"/>
      <c r="AA1617" s="70">
        <f>IF($A1617="","",N(V1617)+N(W1617)+N(X1617)+N(Y1617))</f>
        <v/>
      </c>
      <c r="AB1617" s="70">
        <f>IF($A1617="","",N(S1617)*'Paramètres'!$AA$9*IFERROR(INDEX('Paramètres'!$O$5:$O$7,MATCH(G1617,'Paramètres'!$N$5:$N$7,0)),0))</f>
        <v/>
      </c>
      <c r="AC1617" s="7" t="n"/>
      <c r="AD1617" s="69">
        <f>IF(OR($A1617="",Q1617=""),"",(Q1617-B1617)*24)</f>
        <v/>
      </c>
      <c r="AE1617" s="69">
        <f>IF(OR(Q1617="",R1617=""),"",(R1617-Q1617)*24)</f>
        <v/>
      </c>
      <c r="AF1617" s="77">
        <f>IF(OR($A1617="",B1617=""),"",YEAR(B1617))</f>
        <v/>
      </c>
      <c r="AG1617" s="77">
        <f>IF(OR($A1617="",B1617=""),"",MONTH(B1617))</f>
        <v/>
      </c>
    </row>
    <row r="1618">
      <c r="A1618" s="7" t="n"/>
      <c r="B1618" s="75" t="n"/>
      <c r="C1618" s="7" t="n"/>
      <c r="D1618" s="7" t="n"/>
      <c r="E1618" s="9">
        <f>IF(D1618="","",IFERROR(INDEX('Équipements'!$B$5:$B$304,MATCH(D1618,'Équipements'!$A$5:$A$304,0)),"Code inconnu"))</f>
        <v/>
      </c>
      <c r="F1618" s="9">
        <f>IF(D1618="","",IFERROR(INDEX('Équipements'!$D$5:$D$304,MATCH(D1618,'Équipements'!$A$5:$A$304,0)),""))</f>
        <v/>
      </c>
      <c r="G1618" s="9">
        <f>IF(D1618="","",IFERROR(INDEX('Équipements'!$K$5:$K$304,MATCH(D1618,'Équipements'!$A$5:$A$304,0)),""))</f>
        <v/>
      </c>
      <c r="H1618" s="7" t="n"/>
      <c r="I1618" s="7" t="n"/>
      <c r="J1618" s="7" t="n"/>
      <c r="K1618" s="7" t="n"/>
      <c r="L1618" s="7" t="n"/>
      <c r="M1618" s="7" t="n"/>
      <c r="N1618" s="7" t="n"/>
      <c r="O1618" s="7" t="n"/>
      <c r="P1618" s="65" t="n"/>
      <c r="Q1618" s="75" t="n"/>
      <c r="R1618" s="75" t="n"/>
      <c r="S1618" s="76" t="n"/>
      <c r="T1618" s="76" t="n"/>
      <c r="U1618" s="70">
        <f>IF($A1618="","",IFERROR(INDEX('Techniciens'!$F$5:$F$44,MATCH(O1618,'Techniciens'!$B$5:$B$44,0)),'Paramètres'!$AA$10))</f>
        <v/>
      </c>
      <c r="V1618" s="70">
        <f>IF($A1618="","",IF(OR(AC1618="Demandé",AC1618="Planifié",AC1618="Annulé"),0,N(T1618)*N(U1618)))</f>
        <v/>
      </c>
      <c r="W1618" s="70">
        <f>IF($A1618="","",SUMIFS('Mouvements stock'!$H$5:$H$3004,'Mouvements stock'!$I$5:$I$3004,$A1618,'Mouvements stock'!$C$5:$C$3004,"Sortie")-SUMIFS('Mouvements stock'!$H$5:$H$3004,'Mouvements stock'!$I$5:$I$3004,$A1618,'Mouvements stock'!$C$5:$C$3004,"Retour"))</f>
        <v/>
      </c>
      <c r="X1618" s="66" t="n"/>
      <c r="Y1618" s="66" t="n"/>
      <c r="Z1618" s="7" t="n"/>
      <c r="AA1618" s="70">
        <f>IF($A1618="","",N(V1618)+N(W1618)+N(X1618)+N(Y1618))</f>
        <v/>
      </c>
      <c r="AB1618" s="70">
        <f>IF($A1618="","",N(S1618)*'Paramètres'!$AA$9*IFERROR(INDEX('Paramètres'!$O$5:$O$7,MATCH(G1618,'Paramètres'!$N$5:$N$7,0)),0))</f>
        <v/>
      </c>
      <c r="AC1618" s="7" t="n"/>
      <c r="AD1618" s="69">
        <f>IF(OR($A1618="",Q1618=""),"",(Q1618-B1618)*24)</f>
        <v/>
      </c>
      <c r="AE1618" s="69">
        <f>IF(OR(Q1618="",R1618=""),"",(R1618-Q1618)*24)</f>
        <v/>
      </c>
      <c r="AF1618" s="77">
        <f>IF(OR($A1618="",B1618=""),"",YEAR(B1618))</f>
        <v/>
      </c>
      <c r="AG1618" s="77">
        <f>IF(OR($A1618="",B1618=""),"",MONTH(B1618))</f>
        <v/>
      </c>
    </row>
    <row r="1619">
      <c r="A1619" s="7" t="n"/>
      <c r="B1619" s="75" t="n"/>
      <c r="C1619" s="7" t="n"/>
      <c r="D1619" s="7" t="n"/>
      <c r="E1619" s="9">
        <f>IF(D1619="","",IFERROR(INDEX('Équipements'!$B$5:$B$304,MATCH(D1619,'Équipements'!$A$5:$A$304,0)),"Code inconnu"))</f>
        <v/>
      </c>
      <c r="F1619" s="9">
        <f>IF(D1619="","",IFERROR(INDEX('Équipements'!$D$5:$D$304,MATCH(D1619,'Équipements'!$A$5:$A$304,0)),""))</f>
        <v/>
      </c>
      <c r="G1619" s="9">
        <f>IF(D1619="","",IFERROR(INDEX('Équipements'!$K$5:$K$304,MATCH(D1619,'Équipements'!$A$5:$A$304,0)),""))</f>
        <v/>
      </c>
      <c r="H1619" s="7" t="n"/>
      <c r="I1619" s="7" t="n"/>
      <c r="J1619" s="7" t="n"/>
      <c r="K1619" s="7" t="n"/>
      <c r="L1619" s="7" t="n"/>
      <c r="M1619" s="7" t="n"/>
      <c r="N1619" s="7" t="n"/>
      <c r="O1619" s="7" t="n"/>
      <c r="P1619" s="65" t="n"/>
      <c r="Q1619" s="75" t="n"/>
      <c r="R1619" s="75" t="n"/>
      <c r="S1619" s="76" t="n"/>
      <c r="T1619" s="76" t="n"/>
      <c r="U1619" s="70">
        <f>IF($A1619="","",IFERROR(INDEX('Techniciens'!$F$5:$F$44,MATCH(O1619,'Techniciens'!$B$5:$B$44,0)),'Paramètres'!$AA$10))</f>
        <v/>
      </c>
      <c r="V1619" s="70">
        <f>IF($A1619="","",IF(OR(AC1619="Demandé",AC1619="Planifié",AC1619="Annulé"),0,N(T1619)*N(U1619)))</f>
        <v/>
      </c>
      <c r="W1619" s="70">
        <f>IF($A1619="","",SUMIFS('Mouvements stock'!$H$5:$H$3004,'Mouvements stock'!$I$5:$I$3004,$A1619,'Mouvements stock'!$C$5:$C$3004,"Sortie")-SUMIFS('Mouvements stock'!$H$5:$H$3004,'Mouvements stock'!$I$5:$I$3004,$A1619,'Mouvements stock'!$C$5:$C$3004,"Retour"))</f>
        <v/>
      </c>
      <c r="X1619" s="66" t="n"/>
      <c r="Y1619" s="66" t="n"/>
      <c r="Z1619" s="7" t="n"/>
      <c r="AA1619" s="70">
        <f>IF($A1619="","",N(V1619)+N(W1619)+N(X1619)+N(Y1619))</f>
        <v/>
      </c>
      <c r="AB1619" s="70">
        <f>IF($A1619="","",N(S1619)*'Paramètres'!$AA$9*IFERROR(INDEX('Paramètres'!$O$5:$O$7,MATCH(G1619,'Paramètres'!$N$5:$N$7,0)),0))</f>
        <v/>
      </c>
      <c r="AC1619" s="7" t="n"/>
      <c r="AD1619" s="69">
        <f>IF(OR($A1619="",Q1619=""),"",(Q1619-B1619)*24)</f>
        <v/>
      </c>
      <c r="AE1619" s="69">
        <f>IF(OR(Q1619="",R1619=""),"",(R1619-Q1619)*24)</f>
        <v/>
      </c>
      <c r="AF1619" s="77">
        <f>IF(OR($A1619="",B1619=""),"",YEAR(B1619))</f>
        <v/>
      </c>
      <c r="AG1619" s="77">
        <f>IF(OR($A1619="",B1619=""),"",MONTH(B1619))</f>
        <v/>
      </c>
    </row>
    <row r="1620">
      <c r="A1620" s="7" t="n"/>
      <c r="B1620" s="75" t="n"/>
      <c r="C1620" s="7" t="n"/>
      <c r="D1620" s="7" t="n"/>
      <c r="E1620" s="9">
        <f>IF(D1620="","",IFERROR(INDEX('Équipements'!$B$5:$B$304,MATCH(D1620,'Équipements'!$A$5:$A$304,0)),"Code inconnu"))</f>
        <v/>
      </c>
      <c r="F1620" s="9">
        <f>IF(D1620="","",IFERROR(INDEX('Équipements'!$D$5:$D$304,MATCH(D1620,'Équipements'!$A$5:$A$304,0)),""))</f>
        <v/>
      </c>
      <c r="G1620" s="9">
        <f>IF(D1620="","",IFERROR(INDEX('Équipements'!$K$5:$K$304,MATCH(D1620,'Équipements'!$A$5:$A$304,0)),""))</f>
        <v/>
      </c>
      <c r="H1620" s="7" t="n"/>
      <c r="I1620" s="7" t="n"/>
      <c r="J1620" s="7" t="n"/>
      <c r="K1620" s="7" t="n"/>
      <c r="L1620" s="7" t="n"/>
      <c r="M1620" s="7" t="n"/>
      <c r="N1620" s="7" t="n"/>
      <c r="O1620" s="7" t="n"/>
      <c r="P1620" s="65" t="n"/>
      <c r="Q1620" s="75" t="n"/>
      <c r="R1620" s="75" t="n"/>
      <c r="S1620" s="76" t="n"/>
      <c r="T1620" s="76" t="n"/>
      <c r="U1620" s="70">
        <f>IF($A1620="","",IFERROR(INDEX('Techniciens'!$F$5:$F$44,MATCH(O1620,'Techniciens'!$B$5:$B$44,0)),'Paramètres'!$AA$10))</f>
        <v/>
      </c>
      <c r="V1620" s="70">
        <f>IF($A1620="","",IF(OR(AC1620="Demandé",AC1620="Planifié",AC1620="Annulé"),0,N(T1620)*N(U1620)))</f>
        <v/>
      </c>
      <c r="W1620" s="70">
        <f>IF($A1620="","",SUMIFS('Mouvements stock'!$H$5:$H$3004,'Mouvements stock'!$I$5:$I$3004,$A1620,'Mouvements stock'!$C$5:$C$3004,"Sortie")-SUMIFS('Mouvements stock'!$H$5:$H$3004,'Mouvements stock'!$I$5:$I$3004,$A1620,'Mouvements stock'!$C$5:$C$3004,"Retour"))</f>
        <v/>
      </c>
      <c r="X1620" s="66" t="n"/>
      <c r="Y1620" s="66" t="n"/>
      <c r="Z1620" s="7" t="n"/>
      <c r="AA1620" s="70">
        <f>IF($A1620="","",N(V1620)+N(W1620)+N(X1620)+N(Y1620))</f>
        <v/>
      </c>
      <c r="AB1620" s="70">
        <f>IF($A1620="","",N(S1620)*'Paramètres'!$AA$9*IFERROR(INDEX('Paramètres'!$O$5:$O$7,MATCH(G1620,'Paramètres'!$N$5:$N$7,0)),0))</f>
        <v/>
      </c>
      <c r="AC1620" s="7" t="n"/>
      <c r="AD1620" s="69">
        <f>IF(OR($A1620="",Q1620=""),"",(Q1620-B1620)*24)</f>
        <v/>
      </c>
      <c r="AE1620" s="69">
        <f>IF(OR(Q1620="",R1620=""),"",(R1620-Q1620)*24)</f>
        <v/>
      </c>
      <c r="AF1620" s="77">
        <f>IF(OR($A1620="",B1620=""),"",YEAR(B1620))</f>
        <v/>
      </c>
      <c r="AG1620" s="77">
        <f>IF(OR($A1620="",B1620=""),"",MONTH(B1620))</f>
        <v/>
      </c>
    </row>
    <row r="1621">
      <c r="A1621" s="7" t="n"/>
      <c r="B1621" s="75" t="n"/>
      <c r="C1621" s="7" t="n"/>
      <c r="D1621" s="7" t="n"/>
      <c r="E1621" s="9">
        <f>IF(D1621="","",IFERROR(INDEX('Équipements'!$B$5:$B$304,MATCH(D1621,'Équipements'!$A$5:$A$304,0)),"Code inconnu"))</f>
        <v/>
      </c>
      <c r="F1621" s="9">
        <f>IF(D1621="","",IFERROR(INDEX('Équipements'!$D$5:$D$304,MATCH(D1621,'Équipements'!$A$5:$A$304,0)),""))</f>
        <v/>
      </c>
      <c r="G1621" s="9">
        <f>IF(D1621="","",IFERROR(INDEX('Équipements'!$K$5:$K$304,MATCH(D1621,'Équipements'!$A$5:$A$304,0)),""))</f>
        <v/>
      </c>
      <c r="H1621" s="7" t="n"/>
      <c r="I1621" s="7" t="n"/>
      <c r="J1621" s="7" t="n"/>
      <c r="K1621" s="7" t="n"/>
      <c r="L1621" s="7" t="n"/>
      <c r="M1621" s="7" t="n"/>
      <c r="N1621" s="7" t="n"/>
      <c r="O1621" s="7" t="n"/>
      <c r="P1621" s="65" t="n"/>
      <c r="Q1621" s="75" t="n"/>
      <c r="R1621" s="75" t="n"/>
      <c r="S1621" s="76" t="n"/>
      <c r="T1621" s="76" t="n"/>
      <c r="U1621" s="70">
        <f>IF($A1621="","",IFERROR(INDEX('Techniciens'!$F$5:$F$44,MATCH(O1621,'Techniciens'!$B$5:$B$44,0)),'Paramètres'!$AA$10))</f>
        <v/>
      </c>
      <c r="V1621" s="70">
        <f>IF($A1621="","",IF(OR(AC1621="Demandé",AC1621="Planifié",AC1621="Annulé"),0,N(T1621)*N(U1621)))</f>
        <v/>
      </c>
      <c r="W1621" s="70">
        <f>IF($A1621="","",SUMIFS('Mouvements stock'!$H$5:$H$3004,'Mouvements stock'!$I$5:$I$3004,$A1621,'Mouvements stock'!$C$5:$C$3004,"Sortie")-SUMIFS('Mouvements stock'!$H$5:$H$3004,'Mouvements stock'!$I$5:$I$3004,$A1621,'Mouvements stock'!$C$5:$C$3004,"Retour"))</f>
        <v/>
      </c>
      <c r="X1621" s="66" t="n"/>
      <c r="Y1621" s="66" t="n"/>
      <c r="Z1621" s="7" t="n"/>
      <c r="AA1621" s="70">
        <f>IF($A1621="","",N(V1621)+N(W1621)+N(X1621)+N(Y1621))</f>
        <v/>
      </c>
      <c r="AB1621" s="70">
        <f>IF($A1621="","",N(S1621)*'Paramètres'!$AA$9*IFERROR(INDEX('Paramètres'!$O$5:$O$7,MATCH(G1621,'Paramètres'!$N$5:$N$7,0)),0))</f>
        <v/>
      </c>
      <c r="AC1621" s="7" t="n"/>
      <c r="AD1621" s="69">
        <f>IF(OR($A1621="",Q1621=""),"",(Q1621-B1621)*24)</f>
        <v/>
      </c>
      <c r="AE1621" s="69">
        <f>IF(OR(Q1621="",R1621=""),"",(R1621-Q1621)*24)</f>
        <v/>
      </c>
      <c r="AF1621" s="77">
        <f>IF(OR($A1621="",B1621=""),"",YEAR(B1621))</f>
        <v/>
      </c>
      <c r="AG1621" s="77">
        <f>IF(OR($A1621="",B1621=""),"",MONTH(B1621))</f>
        <v/>
      </c>
    </row>
    <row r="1622">
      <c r="A1622" s="7" t="n"/>
      <c r="B1622" s="75" t="n"/>
      <c r="C1622" s="7" t="n"/>
      <c r="D1622" s="7" t="n"/>
      <c r="E1622" s="9">
        <f>IF(D1622="","",IFERROR(INDEX('Équipements'!$B$5:$B$304,MATCH(D1622,'Équipements'!$A$5:$A$304,0)),"Code inconnu"))</f>
        <v/>
      </c>
      <c r="F1622" s="9">
        <f>IF(D1622="","",IFERROR(INDEX('Équipements'!$D$5:$D$304,MATCH(D1622,'Équipements'!$A$5:$A$304,0)),""))</f>
        <v/>
      </c>
      <c r="G1622" s="9">
        <f>IF(D1622="","",IFERROR(INDEX('Équipements'!$K$5:$K$304,MATCH(D1622,'Équipements'!$A$5:$A$304,0)),""))</f>
        <v/>
      </c>
      <c r="H1622" s="7" t="n"/>
      <c r="I1622" s="7" t="n"/>
      <c r="J1622" s="7" t="n"/>
      <c r="K1622" s="7" t="n"/>
      <c r="L1622" s="7" t="n"/>
      <c r="M1622" s="7" t="n"/>
      <c r="N1622" s="7" t="n"/>
      <c r="O1622" s="7" t="n"/>
      <c r="P1622" s="65" t="n"/>
      <c r="Q1622" s="75" t="n"/>
      <c r="R1622" s="75" t="n"/>
      <c r="S1622" s="76" t="n"/>
      <c r="T1622" s="76" t="n"/>
      <c r="U1622" s="70">
        <f>IF($A1622="","",IFERROR(INDEX('Techniciens'!$F$5:$F$44,MATCH(O1622,'Techniciens'!$B$5:$B$44,0)),'Paramètres'!$AA$10))</f>
        <v/>
      </c>
      <c r="V1622" s="70">
        <f>IF($A1622="","",IF(OR(AC1622="Demandé",AC1622="Planifié",AC1622="Annulé"),0,N(T1622)*N(U1622)))</f>
        <v/>
      </c>
      <c r="W1622" s="70">
        <f>IF($A1622="","",SUMIFS('Mouvements stock'!$H$5:$H$3004,'Mouvements stock'!$I$5:$I$3004,$A1622,'Mouvements stock'!$C$5:$C$3004,"Sortie")-SUMIFS('Mouvements stock'!$H$5:$H$3004,'Mouvements stock'!$I$5:$I$3004,$A1622,'Mouvements stock'!$C$5:$C$3004,"Retour"))</f>
        <v/>
      </c>
      <c r="X1622" s="66" t="n"/>
      <c r="Y1622" s="66" t="n"/>
      <c r="Z1622" s="7" t="n"/>
      <c r="AA1622" s="70">
        <f>IF($A1622="","",N(V1622)+N(W1622)+N(X1622)+N(Y1622))</f>
        <v/>
      </c>
      <c r="AB1622" s="70">
        <f>IF($A1622="","",N(S1622)*'Paramètres'!$AA$9*IFERROR(INDEX('Paramètres'!$O$5:$O$7,MATCH(G1622,'Paramètres'!$N$5:$N$7,0)),0))</f>
        <v/>
      </c>
      <c r="AC1622" s="7" t="n"/>
      <c r="AD1622" s="69">
        <f>IF(OR($A1622="",Q1622=""),"",(Q1622-B1622)*24)</f>
        <v/>
      </c>
      <c r="AE1622" s="69">
        <f>IF(OR(Q1622="",R1622=""),"",(R1622-Q1622)*24)</f>
        <v/>
      </c>
      <c r="AF1622" s="77">
        <f>IF(OR($A1622="",B1622=""),"",YEAR(B1622))</f>
        <v/>
      </c>
      <c r="AG1622" s="77">
        <f>IF(OR($A1622="",B1622=""),"",MONTH(B1622))</f>
        <v/>
      </c>
    </row>
    <row r="1623">
      <c r="A1623" s="7" t="n"/>
      <c r="B1623" s="75" t="n"/>
      <c r="C1623" s="7" t="n"/>
      <c r="D1623" s="7" t="n"/>
      <c r="E1623" s="9">
        <f>IF(D1623="","",IFERROR(INDEX('Équipements'!$B$5:$B$304,MATCH(D1623,'Équipements'!$A$5:$A$304,0)),"Code inconnu"))</f>
        <v/>
      </c>
      <c r="F1623" s="9">
        <f>IF(D1623="","",IFERROR(INDEX('Équipements'!$D$5:$D$304,MATCH(D1623,'Équipements'!$A$5:$A$304,0)),""))</f>
        <v/>
      </c>
      <c r="G1623" s="9">
        <f>IF(D1623="","",IFERROR(INDEX('Équipements'!$K$5:$K$304,MATCH(D1623,'Équipements'!$A$5:$A$304,0)),""))</f>
        <v/>
      </c>
      <c r="H1623" s="7" t="n"/>
      <c r="I1623" s="7" t="n"/>
      <c r="J1623" s="7" t="n"/>
      <c r="K1623" s="7" t="n"/>
      <c r="L1623" s="7" t="n"/>
      <c r="M1623" s="7" t="n"/>
      <c r="N1623" s="7" t="n"/>
      <c r="O1623" s="7" t="n"/>
      <c r="P1623" s="65" t="n"/>
      <c r="Q1623" s="75" t="n"/>
      <c r="R1623" s="75" t="n"/>
      <c r="S1623" s="76" t="n"/>
      <c r="T1623" s="76" t="n"/>
      <c r="U1623" s="70">
        <f>IF($A1623="","",IFERROR(INDEX('Techniciens'!$F$5:$F$44,MATCH(O1623,'Techniciens'!$B$5:$B$44,0)),'Paramètres'!$AA$10))</f>
        <v/>
      </c>
      <c r="V1623" s="70">
        <f>IF($A1623="","",IF(OR(AC1623="Demandé",AC1623="Planifié",AC1623="Annulé"),0,N(T1623)*N(U1623)))</f>
        <v/>
      </c>
      <c r="W1623" s="70">
        <f>IF($A1623="","",SUMIFS('Mouvements stock'!$H$5:$H$3004,'Mouvements stock'!$I$5:$I$3004,$A1623,'Mouvements stock'!$C$5:$C$3004,"Sortie")-SUMIFS('Mouvements stock'!$H$5:$H$3004,'Mouvements stock'!$I$5:$I$3004,$A1623,'Mouvements stock'!$C$5:$C$3004,"Retour"))</f>
        <v/>
      </c>
      <c r="X1623" s="66" t="n"/>
      <c r="Y1623" s="66" t="n"/>
      <c r="Z1623" s="7" t="n"/>
      <c r="AA1623" s="70">
        <f>IF($A1623="","",N(V1623)+N(W1623)+N(X1623)+N(Y1623))</f>
        <v/>
      </c>
      <c r="AB1623" s="70">
        <f>IF($A1623="","",N(S1623)*'Paramètres'!$AA$9*IFERROR(INDEX('Paramètres'!$O$5:$O$7,MATCH(G1623,'Paramètres'!$N$5:$N$7,0)),0))</f>
        <v/>
      </c>
      <c r="AC1623" s="7" t="n"/>
      <c r="AD1623" s="69">
        <f>IF(OR($A1623="",Q1623=""),"",(Q1623-B1623)*24)</f>
        <v/>
      </c>
      <c r="AE1623" s="69">
        <f>IF(OR(Q1623="",R1623=""),"",(R1623-Q1623)*24)</f>
        <v/>
      </c>
      <c r="AF1623" s="77">
        <f>IF(OR($A1623="",B1623=""),"",YEAR(B1623))</f>
        <v/>
      </c>
      <c r="AG1623" s="77">
        <f>IF(OR($A1623="",B1623=""),"",MONTH(B1623))</f>
        <v/>
      </c>
    </row>
    <row r="1624">
      <c r="A1624" s="7" t="n"/>
      <c r="B1624" s="75" t="n"/>
      <c r="C1624" s="7" t="n"/>
      <c r="D1624" s="7" t="n"/>
      <c r="E1624" s="9">
        <f>IF(D1624="","",IFERROR(INDEX('Équipements'!$B$5:$B$304,MATCH(D1624,'Équipements'!$A$5:$A$304,0)),"Code inconnu"))</f>
        <v/>
      </c>
      <c r="F1624" s="9">
        <f>IF(D1624="","",IFERROR(INDEX('Équipements'!$D$5:$D$304,MATCH(D1624,'Équipements'!$A$5:$A$304,0)),""))</f>
        <v/>
      </c>
      <c r="G1624" s="9">
        <f>IF(D1624="","",IFERROR(INDEX('Équipements'!$K$5:$K$304,MATCH(D1624,'Équipements'!$A$5:$A$304,0)),""))</f>
        <v/>
      </c>
      <c r="H1624" s="7" t="n"/>
      <c r="I1624" s="7" t="n"/>
      <c r="J1624" s="7" t="n"/>
      <c r="K1624" s="7" t="n"/>
      <c r="L1624" s="7" t="n"/>
      <c r="M1624" s="7" t="n"/>
      <c r="N1624" s="7" t="n"/>
      <c r="O1624" s="7" t="n"/>
      <c r="P1624" s="65" t="n"/>
      <c r="Q1624" s="75" t="n"/>
      <c r="R1624" s="75" t="n"/>
      <c r="S1624" s="76" t="n"/>
      <c r="T1624" s="76" t="n"/>
      <c r="U1624" s="70">
        <f>IF($A1624="","",IFERROR(INDEX('Techniciens'!$F$5:$F$44,MATCH(O1624,'Techniciens'!$B$5:$B$44,0)),'Paramètres'!$AA$10))</f>
        <v/>
      </c>
      <c r="V1624" s="70">
        <f>IF($A1624="","",IF(OR(AC1624="Demandé",AC1624="Planifié",AC1624="Annulé"),0,N(T1624)*N(U1624)))</f>
        <v/>
      </c>
      <c r="W1624" s="70">
        <f>IF($A1624="","",SUMIFS('Mouvements stock'!$H$5:$H$3004,'Mouvements stock'!$I$5:$I$3004,$A1624,'Mouvements stock'!$C$5:$C$3004,"Sortie")-SUMIFS('Mouvements stock'!$H$5:$H$3004,'Mouvements stock'!$I$5:$I$3004,$A1624,'Mouvements stock'!$C$5:$C$3004,"Retour"))</f>
        <v/>
      </c>
      <c r="X1624" s="66" t="n"/>
      <c r="Y1624" s="66" t="n"/>
      <c r="Z1624" s="7" t="n"/>
      <c r="AA1624" s="70">
        <f>IF($A1624="","",N(V1624)+N(W1624)+N(X1624)+N(Y1624))</f>
        <v/>
      </c>
      <c r="AB1624" s="70">
        <f>IF($A1624="","",N(S1624)*'Paramètres'!$AA$9*IFERROR(INDEX('Paramètres'!$O$5:$O$7,MATCH(G1624,'Paramètres'!$N$5:$N$7,0)),0))</f>
        <v/>
      </c>
      <c r="AC1624" s="7" t="n"/>
      <c r="AD1624" s="69">
        <f>IF(OR($A1624="",Q1624=""),"",(Q1624-B1624)*24)</f>
        <v/>
      </c>
      <c r="AE1624" s="69">
        <f>IF(OR(Q1624="",R1624=""),"",(R1624-Q1624)*24)</f>
        <v/>
      </c>
      <c r="AF1624" s="77">
        <f>IF(OR($A1624="",B1624=""),"",YEAR(B1624))</f>
        <v/>
      </c>
      <c r="AG1624" s="77">
        <f>IF(OR($A1624="",B1624=""),"",MONTH(B1624))</f>
        <v/>
      </c>
    </row>
    <row r="1625">
      <c r="A1625" s="7" t="n"/>
      <c r="B1625" s="75" t="n"/>
      <c r="C1625" s="7" t="n"/>
      <c r="D1625" s="7" t="n"/>
      <c r="E1625" s="9">
        <f>IF(D1625="","",IFERROR(INDEX('Équipements'!$B$5:$B$304,MATCH(D1625,'Équipements'!$A$5:$A$304,0)),"Code inconnu"))</f>
        <v/>
      </c>
      <c r="F1625" s="9">
        <f>IF(D1625="","",IFERROR(INDEX('Équipements'!$D$5:$D$304,MATCH(D1625,'Équipements'!$A$5:$A$304,0)),""))</f>
        <v/>
      </c>
      <c r="G1625" s="9">
        <f>IF(D1625="","",IFERROR(INDEX('Équipements'!$K$5:$K$304,MATCH(D1625,'Équipements'!$A$5:$A$304,0)),""))</f>
        <v/>
      </c>
      <c r="H1625" s="7" t="n"/>
      <c r="I1625" s="7" t="n"/>
      <c r="J1625" s="7" t="n"/>
      <c r="K1625" s="7" t="n"/>
      <c r="L1625" s="7" t="n"/>
      <c r="M1625" s="7" t="n"/>
      <c r="N1625" s="7" t="n"/>
      <c r="O1625" s="7" t="n"/>
      <c r="P1625" s="65" t="n"/>
      <c r="Q1625" s="75" t="n"/>
      <c r="R1625" s="75" t="n"/>
      <c r="S1625" s="76" t="n"/>
      <c r="T1625" s="76" t="n"/>
      <c r="U1625" s="70">
        <f>IF($A1625="","",IFERROR(INDEX('Techniciens'!$F$5:$F$44,MATCH(O1625,'Techniciens'!$B$5:$B$44,0)),'Paramètres'!$AA$10))</f>
        <v/>
      </c>
      <c r="V1625" s="70">
        <f>IF($A1625="","",IF(OR(AC1625="Demandé",AC1625="Planifié",AC1625="Annulé"),0,N(T1625)*N(U1625)))</f>
        <v/>
      </c>
      <c r="W1625" s="70">
        <f>IF($A1625="","",SUMIFS('Mouvements stock'!$H$5:$H$3004,'Mouvements stock'!$I$5:$I$3004,$A1625,'Mouvements stock'!$C$5:$C$3004,"Sortie")-SUMIFS('Mouvements stock'!$H$5:$H$3004,'Mouvements stock'!$I$5:$I$3004,$A1625,'Mouvements stock'!$C$5:$C$3004,"Retour"))</f>
        <v/>
      </c>
      <c r="X1625" s="66" t="n"/>
      <c r="Y1625" s="66" t="n"/>
      <c r="Z1625" s="7" t="n"/>
      <c r="AA1625" s="70">
        <f>IF($A1625="","",N(V1625)+N(W1625)+N(X1625)+N(Y1625))</f>
        <v/>
      </c>
      <c r="AB1625" s="70">
        <f>IF($A1625="","",N(S1625)*'Paramètres'!$AA$9*IFERROR(INDEX('Paramètres'!$O$5:$O$7,MATCH(G1625,'Paramètres'!$N$5:$N$7,0)),0))</f>
        <v/>
      </c>
      <c r="AC1625" s="7" t="n"/>
      <c r="AD1625" s="69">
        <f>IF(OR($A1625="",Q1625=""),"",(Q1625-B1625)*24)</f>
        <v/>
      </c>
      <c r="AE1625" s="69">
        <f>IF(OR(Q1625="",R1625=""),"",(R1625-Q1625)*24)</f>
        <v/>
      </c>
      <c r="AF1625" s="77">
        <f>IF(OR($A1625="",B1625=""),"",YEAR(B1625))</f>
        <v/>
      </c>
      <c r="AG1625" s="77">
        <f>IF(OR($A1625="",B1625=""),"",MONTH(B1625))</f>
        <v/>
      </c>
    </row>
    <row r="1626">
      <c r="A1626" s="7" t="n"/>
      <c r="B1626" s="75" t="n"/>
      <c r="C1626" s="7" t="n"/>
      <c r="D1626" s="7" t="n"/>
      <c r="E1626" s="9">
        <f>IF(D1626="","",IFERROR(INDEX('Équipements'!$B$5:$B$304,MATCH(D1626,'Équipements'!$A$5:$A$304,0)),"Code inconnu"))</f>
        <v/>
      </c>
      <c r="F1626" s="9">
        <f>IF(D1626="","",IFERROR(INDEX('Équipements'!$D$5:$D$304,MATCH(D1626,'Équipements'!$A$5:$A$304,0)),""))</f>
        <v/>
      </c>
      <c r="G1626" s="9">
        <f>IF(D1626="","",IFERROR(INDEX('Équipements'!$K$5:$K$304,MATCH(D1626,'Équipements'!$A$5:$A$304,0)),""))</f>
        <v/>
      </c>
      <c r="H1626" s="7" t="n"/>
      <c r="I1626" s="7" t="n"/>
      <c r="J1626" s="7" t="n"/>
      <c r="K1626" s="7" t="n"/>
      <c r="L1626" s="7" t="n"/>
      <c r="M1626" s="7" t="n"/>
      <c r="N1626" s="7" t="n"/>
      <c r="O1626" s="7" t="n"/>
      <c r="P1626" s="65" t="n"/>
      <c r="Q1626" s="75" t="n"/>
      <c r="R1626" s="75" t="n"/>
      <c r="S1626" s="76" t="n"/>
      <c r="T1626" s="76" t="n"/>
      <c r="U1626" s="70">
        <f>IF($A1626="","",IFERROR(INDEX('Techniciens'!$F$5:$F$44,MATCH(O1626,'Techniciens'!$B$5:$B$44,0)),'Paramètres'!$AA$10))</f>
        <v/>
      </c>
      <c r="V1626" s="70">
        <f>IF($A1626="","",IF(OR(AC1626="Demandé",AC1626="Planifié",AC1626="Annulé"),0,N(T1626)*N(U1626)))</f>
        <v/>
      </c>
      <c r="W1626" s="70">
        <f>IF($A1626="","",SUMIFS('Mouvements stock'!$H$5:$H$3004,'Mouvements stock'!$I$5:$I$3004,$A1626,'Mouvements stock'!$C$5:$C$3004,"Sortie")-SUMIFS('Mouvements stock'!$H$5:$H$3004,'Mouvements stock'!$I$5:$I$3004,$A1626,'Mouvements stock'!$C$5:$C$3004,"Retour"))</f>
        <v/>
      </c>
      <c r="X1626" s="66" t="n"/>
      <c r="Y1626" s="66" t="n"/>
      <c r="Z1626" s="7" t="n"/>
      <c r="AA1626" s="70">
        <f>IF($A1626="","",N(V1626)+N(W1626)+N(X1626)+N(Y1626))</f>
        <v/>
      </c>
      <c r="AB1626" s="70">
        <f>IF($A1626="","",N(S1626)*'Paramètres'!$AA$9*IFERROR(INDEX('Paramètres'!$O$5:$O$7,MATCH(G1626,'Paramètres'!$N$5:$N$7,0)),0))</f>
        <v/>
      </c>
      <c r="AC1626" s="7" t="n"/>
      <c r="AD1626" s="69">
        <f>IF(OR($A1626="",Q1626=""),"",(Q1626-B1626)*24)</f>
        <v/>
      </c>
      <c r="AE1626" s="69">
        <f>IF(OR(Q1626="",R1626=""),"",(R1626-Q1626)*24)</f>
        <v/>
      </c>
      <c r="AF1626" s="77">
        <f>IF(OR($A1626="",B1626=""),"",YEAR(B1626))</f>
        <v/>
      </c>
      <c r="AG1626" s="77">
        <f>IF(OR($A1626="",B1626=""),"",MONTH(B1626))</f>
        <v/>
      </c>
    </row>
    <row r="1627">
      <c r="A1627" s="7" t="n"/>
      <c r="B1627" s="75" t="n"/>
      <c r="C1627" s="7" t="n"/>
      <c r="D1627" s="7" t="n"/>
      <c r="E1627" s="9">
        <f>IF(D1627="","",IFERROR(INDEX('Équipements'!$B$5:$B$304,MATCH(D1627,'Équipements'!$A$5:$A$304,0)),"Code inconnu"))</f>
        <v/>
      </c>
      <c r="F1627" s="9">
        <f>IF(D1627="","",IFERROR(INDEX('Équipements'!$D$5:$D$304,MATCH(D1627,'Équipements'!$A$5:$A$304,0)),""))</f>
        <v/>
      </c>
      <c r="G1627" s="9">
        <f>IF(D1627="","",IFERROR(INDEX('Équipements'!$K$5:$K$304,MATCH(D1627,'Équipements'!$A$5:$A$304,0)),""))</f>
        <v/>
      </c>
      <c r="H1627" s="7" t="n"/>
      <c r="I1627" s="7" t="n"/>
      <c r="J1627" s="7" t="n"/>
      <c r="K1627" s="7" t="n"/>
      <c r="L1627" s="7" t="n"/>
      <c r="M1627" s="7" t="n"/>
      <c r="N1627" s="7" t="n"/>
      <c r="O1627" s="7" t="n"/>
      <c r="P1627" s="65" t="n"/>
      <c r="Q1627" s="75" t="n"/>
      <c r="R1627" s="75" t="n"/>
      <c r="S1627" s="76" t="n"/>
      <c r="T1627" s="76" t="n"/>
      <c r="U1627" s="70">
        <f>IF($A1627="","",IFERROR(INDEX('Techniciens'!$F$5:$F$44,MATCH(O1627,'Techniciens'!$B$5:$B$44,0)),'Paramètres'!$AA$10))</f>
        <v/>
      </c>
      <c r="V1627" s="70">
        <f>IF($A1627="","",IF(OR(AC1627="Demandé",AC1627="Planifié",AC1627="Annulé"),0,N(T1627)*N(U1627)))</f>
        <v/>
      </c>
      <c r="W1627" s="70">
        <f>IF($A1627="","",SUMIFS('Mouvements stock'!$H$5:$H$3004,'Mouvements stock'!$I$5:$I$3004,$A1627,'Mouvements stock'!$C$5:$C$3004,"Sortie")-SUMIFS('Mouvements stock'!$H$5:$H$3004,'Mouvements stock'!$I$5:$I$3004,$A1627,'Mouvements stock'!$C$5:$C$3004,"Retour"))</f>
        <v/>
      </c>
      <c r="X1627" s="66" t="n"/>
      <c r="Y1627" s="66" t="n"/>
      <c r="Z1627" s="7" t="n"/>
      <c r="AA1627" s="70">
        <f>IF($A1627="","",N(V1627)+N(W1627)+N(X1627)+N(Y1627))</f>
        <v/>
      </c>
      <c r="AB1627" s="70">
        <f>IF($A1627="","",N(S1627)*'Paramètres'!$AA$9*IFERROR(INDEX('Paramètres'!$O$5:$O$7,MATCH(G1627,'Paramètres'!$N$5:$N$7,0)),0))</f>
        <v/>
      </c>
      <c r="AC1627" s="7" t="n"/>
      <c r="AD1627" s="69">
        <f>IF(OR($A1627="",Q1627=""),"",(Q1627-B1627)*24)</f>
        <v/>
      </c>
      <c r="AE1627" s="69">
        <f>IF(OR(Q1627="",R1627=""),"",(R1627-Q1627)*24)</f>
        <v/>
      </c>
      <c r="AF1627" s="77">
        <f>IF(OR($A1627="",B1627=""),"",YEAR(B1627))</f>
        <v/>
      </c>
      <c r="AG1627" s="77">
        <f>IF(OR($A1627="",B1627=""),"",MONTH(B1627))</f>
        <v/>
      </c>
    </row>
    <row r="1628">
      <c r="A1628" s="7" t="n"/>
      <c r="B1628" s="75" t="n"/>
      <c r="C1628" s="7" t="n"/>
      <c r="D1628" s="7" t="n"/>
      <c r="E1628" s="9">
        <f>IF(D1628="","",IFERROR(INDEX('Équipements'!$B$5:$B$304,MATCH(D1628,'Équipements'!$A$5:$A$304,0)),"Code inconnu"))</f>
        <v/>
      </c>
      <c r="F1628" s="9">
        <f>IF(D1628="","",IFERROR(INDEX('Équipements'!$D$5:$D$304,MATCH(D1628,'Équipements'!$A$5:$A$304,0)),""))</f>
        <v/>
      </c>
      <c r="G1628" s="9">
        <f>IF(D1628="","",IFERROR(INDEX('Équipements'!$K$5:$K$304,MATCH(D1628,'Équipements'!$A$5:$A$304,0)),""))</f>
        <v/>
      </c>
      <c r="H1628" s="7" t="n"/>
      <c r="I1628" s="7" t="n"/>
      <c r="J1628" s="7" t="n"/>
      <c r="K1628" s="7" t="n"/>
      <c r="L1628" s="7" t="n"/>
      <c r="M1628" s="7" t="n"/>
      <c r="N1628" s="7" t="n"/>
      <c r="O1628" s="7" t="n"/>
      <c r="P1628" s="65" t="n"/>
      <c r="Q1628" s="75" t="n"/>
      <c r="R1628" s="75" t="n"/>
      <c r="S1628" s="76" t="n"/>
      <c r="T1628" s="76" t="n"/>
      <c r="U1628" s="70">
        <f>IF($A1628="","",IFERROR(INDEX('Techniciens'!$F$5:$F$44,MATCH(O1628,'Techniciens'!$B$5:$B$44,0)),'Paramètres'!$AA$10))</f>
        <v/>
      </c>
      <c r="V1628" s="70">
        <f>IF($A1628="","",IF(OR(AC1628="Demandé",AC1628="Planifié",AC1628="Annulé"),0,N(T1628)*N(U1628)))</f>
        <v/>
      </c>
      <c r="W1628" s="70">
        <f>IF($A1628="","",SUMIFS('Mouvements stock'!$H$5:$H$3004,'Mouvements stock'!$I$5:$I$3004,$A1628,'Mouvements stock'!$C$5:$C$3004,"Sortie")-SUMIFS('Mouvements stock'!$H$5:$H$3004,'Mouvements stock'!$I$5:$I$3004,$A1628,'Mouvements stock'!$C$5:$C$3004,"Retour"))</f>
        <v/>
      </c>
      <c r="X1628" s="66" t="n"/>
      <c r="Y1628" s="66" t="n"/>
      <c r="Z1628" s="7" t="n"/>
      <c r="AA1628" s="70">
        <f>IF($A1628="","",N(V1628)+N(W1628)+N(X1628)+N(Y1628))</f>
        <v/>
      </c>
      <c r="AB1628" s="70">
        <f>IF($A1628="","",N(S1628)*'Paramètres'!$AA$9*IFERROR(INDEX('Paramètres'!$O$5:$O$7,MATCH(G1628,'Paramètres'!$N$5:$N$7,0)),0))</f>
        <v/>
      </c>
      <c r="AC1628" s="7" t="n"/>
      <c r="AD1628" s="69">
        <f>IF(OR($A1628="",Q1628=""),"",(Q1628-B1628)*24)</f>
        <v/>
      </c>
      <c r="AE1628" s="69">
        <f>IF(OR(Q1628="",R1628=""),"",(R1628-Q1628)*24)</f>
        <v/>
      </c>
      <c r="AF1628" s="77">
        <f>IF(OR($A1628="",B1628=""),"",YEAR(B1628))</f>
        <v/>
      </c>
      <c r="AG1628" s="77">
        <f>IF(OR($A1628="",B1628=""),"",MONTH(B1628))</f>
        <v/>
      </c>
    </row>
    <row r="1629">
      <c r="A1629" s="7" t="n"/>
      <c r="B1629" s="75" t="n"/>
      <c r="C1629" s="7" t="n"/>
      <c r="D1629" s="7" t="n"/>
      <c r="E1629" s="9">
        <f>IF(D1629="","",IFERROR(INDEX('Équipements'!$B$5:$B$304,MATCH(D1629,'Équipements'!$A$5:$A$304,0)),"Code inconnu"))</f>
        <v/>
      </c>
      <c r="F1629" s="9">
        <f>IF(D1629="","",IFERROR(INDEX('Équipements'!$D$5:$D$304,MATCH(D1629,'Équipements'!$A$5:$A$304,0)),""))</f>
        <v/>
      </c>
      <c r="G1629" s="9">
        <f>IF(D1629="","",IFERROR(INDEX('Équipements'!$K$5:$K$304,MATCH(D1629,'Équipements'!$A$5:$A$304,0)),""))</f>
        <v/>
      </c>
      <c r="H1629" s="7" t="n"/>
      <c r="I1629" s="7" t="n"/>
      <c r="J1629" s="7" t="n"/>
      <c r="K1629" s="7" t="n"/>
      <c r="L1629" s="7" t="n"/>
      <c r="M1629" s="7" t="n"/>
      <c r="N1629" s="7" t="n"/>
      <c r="O1629" s="7" t="n"/>
      <c r="P1629" s="65" t="n"/>
      <c r="Q1629" s="75" t="n"/>
      <c r="R1629" s="75" t="n"/>
      <c r="S1629" s="76" t="n"/>
      <c r="T1629" s="76" t="n"/>
      <c r="U1629" s="70">
        <f>IF($A1629="","",IFERROR(INDEX('Techniciens'!$F$5:$F$44,MATCH(O1629,'Techniciens'!$B$5:$B$44,0)),'Paramètres'!$AA$10))</f>
        <v/>
      </c>
      <c r="V1629" s="70">
        <f>IF($A1629="","",IF(OR(AC1629="Demandé",AC1629="Planifié",AC1629="Annulé"),0,N(T1629)*N(U1629)))</f>
        <v/>
      </c>
      <c r="W1629" s="70">
        <f>IF($A1629="","",SUMIFS('Mouvements stock'!$H$5:$H$3004,'Mouvements stock'!$I$5:$I$3004,$A1629,'Mouvements stock'!$C$5:$C$3004,"Sortie")-SUMIFS('Mouvements stock'!$H$5:$H$3004,'Mouvements stock'!$I$5:$I$3004,$A1629,'Mouvements stock'!$C$5:$C$3004,"Retour"))</f>
        <v/>
      </c>
      <c r="X1629" s="66" t="n"/>
      <c r="Y1629" s="66" t="n"/>
      <c r="Z1629" s="7" t="n"/>
      <c r="AA1629" s="70">
        <f>IF($A1629="","",N(V1629)+N(W1629)+N(X1629)+N(Y1629))</f>
        <v/>
      </c>
      <c r="AB1629" s="70">
        <f>IF($A1629="","",N(S1629)*'Paramètres'!$AA$9*IFERROR(INDEX('Paramètres'!$O$5:$O$7,MATCH(G1629,'Paramètres'!$N$5:$N$7,0)),0))</f>
        <v/>
      </c>
      <c r="AC1629" s="7" t="n"/>
      <c r="AD1629" s="69">
        <f>IF(OR($A1629="",Q1629=""),"",(Q1629-B1629)*24)</f>
        <v/>
      </c>
      <c r="AE1629" s="69">
        <f>IF(OR(Q1629="",R1629=""),"",(R1629-Q1629)*24)</f>
        <v/>
      </c>
      <c r="AF1629" s="77">
        <f>IF(OR($A1629="",B1629=""),"",YEAR(B1629))</f>
        <v/>
      </c>
      <c r="AG1629" s="77">
        <f>IF(OR($A1629="",B1629=""),"",MONTH(B1629))</f>
        <v/>
      </c>
    </row>
    <row r="1630">
      <c r="A1630" s="7" t="n"/>
      <c r="B1630" s="75" t="n"/>
      <c r="C1630" s="7" t="n"/>
      <c r="D1630" s="7" t="n"/>
      <c r="E1630" s="9">
        <f>IF(D1630="","",IFERROR(INDEX('Équipements'!$B$5:$B$304,MATCH(D1630,'Équipements'!$A$5:$A$304,0)),"Code inconnu"))</f>
        <v/>
      </c>
      <c r="F1630" s="9">
        <f>IF(D1630="","",IFERROR(INDEX('Équipements'!$D$5:$D$304,MATCH(D1630,'Équipements'!$A$5:$A$304,0)),""))</f>
        <v/>
      </c>
      <c r="G1630" s="9">
        <f>IF(D1630="","",IFERROR(INDEX('Équipements'!$K$5:$K$304,MATCH(D1630,'Équipements'!$A$5:$A$304,0)),""))</f>
        <v/>
      </c>
      <c r="H1630" s="7" t="n"/>
      <c r="I1630" s="7" t="n"/>
      <c r="J1630" s="7" t="n"/>
      <c r="K1630" s="7" t="n"/>
      <c r="L1630" s="7" t="n"/>
      <c r="M1630" s="7" t="n"/>
      <c r="N1630" s="7" t="n"/>
      <c r="O1630" s="7" t="n"/>
      <c r="P1630" s="65" t="n"/>
      <c r="Q1630" s="75" t="n"/>
      <c r="R1630" s="75" t="n"/>
      <c r="S1630" s="76" t="n"/>
      <c r="T1630" s="76" t="n"/>
      <c r="U1630" s="70">
        <f>IF($A1630="","",IFERROR(INDEX('Techniciens'!$F$5:$F$44,MATCH(O1630,'Techniciens'!$B$5:$B$44,0)),'Paramètres'!$AA$10))</f>
        <v/>
      </c>
      <c r="V1630" s="70">
        <f>IF($A1630="","",IF(OR(AC1630="Demandé",AC1630="Planifié",AC1630="Annulé"),0,N(T1630)*N(U1630)))</f>
        <v/>
      </c>
      <c r="W1630" s="70">
        <f>IF($A1630="","",SUMIFS('Mouvements stock'!$H$5:$H$3004,'Mouvements stock'!$I$5:$I$3004,$A1630,'Mouvements stock'!$C$5:$C$3004,"Sortie")-SUMIFS('Mouvements stock'!$H$5:$H$3004,'Mouvements stock'!$I$5:$I$3004,$A1630,'Mouvements stock'!$C$5:$C$3004,"Retour"))</f>
        <v/>
      </c>
      <c r="X1630" s="66" t="n"/>
      <c r="Y1630" s="66" t="n"/>
      <c r="Z1630" s="7" t="n"/>
      <c r="AA1630" s="70">
        <f>IF($A1630="","",N(V1630)+N(W1630)+N(X1630)+N(Y1630))</f>
        <v/>
      </c>
      <c r="AB1630" s="70">
        <f>IF($A1630="","",N(S1630)*'Paramètres'!$AA$9*IFERROR(INDEX('Paramètres'!$O$5:$O$7,MATCH(G1630,'Paramètres'!$N$5:$N$7,0)),0))</f>
        <v/>
      </c>
      <c r="AC1630" s="7" t="n"/>
      <c r="AD1630" s="69">
        <f>IF(OR($A1630="",Q1630=""),"",(Q1630-B1630)*24)</f>
        <v/>
      </c>
      <c r="AE1630" s="69">
        <f>IF(OR(Q1630="",R1630=""),"",(R1630-Q1630)*24)</f>
        <v/>
      </c>
      <c r="AF1630" s="77">
        <f>IF(OR($A1630="",B1630=""),"",YEAR(B1630))</f>
        <v/>
      </c>
      <c r="AG1630" s="77">
        <f>IF(OR($A1630="",B1630=""),"",MONTH(B1630))</f>
        <v/>
      </c>
    </row>
    <row r="1631">
      <c r="A1631" s="7" t="n"/>
      <c r="B1631" s="75" t="n"/>
      <c r="C1631" s="7" t="n"/>
      <c r="D1631" s="7" t="n"/>
      <c r="E1631" s="9">
        <f>IF(D1631="","",IFERROR(INDEX('Équipements'!$B$5:$B$304,MATCH(D1631,'Équipements'!$A$5:$A$304,0)),"Code inconnu"))</f>
        <v/>
      </c>
      <c r="F1631" s="9">
        <f>IF(D1631="","",IFERROR(INDEX('Équipements'!$D$5:$D$304,MATCH(D1631,'Équipements'!$A$5:$A$304,0)),""))</f>
        <v/>
      </c>
      <c r="G1631" s="9">
        <f>IF(D1631="","",IFERROR(INDEX('Équipements'!$K$5:$K$304,MATCH(D1631,'Équipements'!$A$5:$A$304,0)),""))</f>
        <v/>
      </c>
      <c r="H1631" s="7" t="n"/>
      <c r="I1631" s="7" t="n"/>
      <c r="J1631" s="7" t="n"/>
      <c r="K1631" s="7" t="n"/>
      <c r="L1631" s="7" t="n"/>
      <c r="M1631" s="7" t="n"/>
      <c r="N1631" s="7" t="n"/>
      <c r="O1631" s="7" t="n"/>
      <c r="P1631" s="65" t="n"/>
      <c r="Q1631" s="75" t="n"/>
      <c r="R1631" s="75" t="n"/>
      <c r="S1631" s="76" t="n"/>
      <c r="T1631" s="76" t="n"/>
      <c r="U1631" s="70">
        <f>IF($A1631="","",IFERROR(INDEX('Techniciens'!$F$5:$F$44,MATCH(O1631,'Techniciens'!$B$5:$B$44,0)),'Paramètres'!$AA$10))</f>
        <v/>
      </c>
      <c r="V1631" s="70">
        <f>IF($A1631="","",IF(OR(AC1631="Demandé",AC1631="Planifié",AC1631="Annulé"),0,N(T1631)*N(U1631)))</f>
        <v/>
      </c>
      <c r="W1631" s="70">
        <f>IF($A1631="","",SUMIFS('Mouvements stock'!$H$5:$H$3004,'Mouvements stock'!$I$5:$I$3004,$A1631,'Mouvements stock'!$C$5:$C$3004,"Sortie")-SUMIFS('Mouvements stock'!$H$5:$H$3004,'Mouvements stock'!$I$5:$I$3004,$A1631,'Mouvements stock'!$C$5:$C$3004,"Retour"))</f>
        <v/>
      </c>
      <c r="X1631" s="66" t="n"/>
      <c r="Y1631" s="66" t="n"/>
      <c r="Z1631" s="7" t="n"/>
      <c r="AA1631" s="70">
        <f>IF($A1631="","",N(V1631)+N(W1631)+N(X1631)+N(Y1631))</f>
        <v/>
      </c>
      <c r="AB1631" s="70">
        <f>IF($A1631="","",N(S1631)*'Paramètres'!$AA$9*IFERROR(INDEX('Paramètres'!$O$5:$O$7,MATCH(G1631,'Paramètres'!$N$5:$N$7,0)),0))</f>
        <v/>
      </c>
      <c r="AC1631" s="7" t="n"/>
      <c r="AD1631" s="69">
        <f>IF(OR($A1631="",Q1631=""),"",(Q1631-B1631)*24)</f>
        <v/>
      </c>
      <c r="AE1631" s="69">
        <f>IF(OR(Q1631="",R1631=""),"",(R1631-Q1631)*24)</f>
        <v/>
      </c>
      <c r="AF1631" s="77">
        <f>IF(OR($A1631="",B1631=""),"",YEAR(B1631))</f>
        <v/>
      </c>
      <c r="AG1631" s="77">
        <f>IF(OR($A1631="",B1631=""),"",MONTH(B1631))</f>
        <v/>
      </c>
    </row>
    <row r="1632">
      <c r="A1632" s="7" t="n"/>
      <c r="B1632" s="75" t="n"/>
      <c r="C1632" s="7" t="n"/>
      <c r="D1632" s="7" t="n"/>
      <c r="E1632" s="9">
        <f>IF(D1632="","",IFERROR(INDEX('Équipements'!$B$5:$B$304,MATCH(D1632,'Équipements'!$A$5:$A$304,0)),"Code inconnu"))</f>
        <v/>
      </c>
      <c r="F1632" s="9">
        <f>IF(D1632="","",IFERROR(INDEX('Équipements'!$D$5:$D$304,MATCH(D1632,'Équipements'!$A$5:$A$304,0)),""))</f>
        <v/>
      </c>
      <c r="G1632" s="9">
        <f>IF(D1632="","",IFERROR(INDEX('Équipements'!$K$5:$K$304,MATCH(D1632,'Équipements'!$A$5:$A$304,0)),""))</f>
        <v/>
      </c>
      <c r="H1632" s="7" t="n"/>
      <c r="I1632" s="7" t="n"/>
      <c r="J1632" s="7" t="n"/>
      <c r="K1632" s="7" t="n"/>
      <c r="L1632" s="7" t="n"/>
      <c r="M1632" s="7" t="n"/>
      <c r="N1632" s="7" t="n"/>
      <c r="O1632" s="7" t="n"/>
      <c r="P1632" s="65" t="n"/>
      <c r="Q1632" s="75" t="n"/>
      <c r="R1632" s="75" t="n"/>
      <c r="S1632" s="76" t="n"/>
      <c r="T1632" s="76" t="n"/>
      <c r="U1632" s="70">
        <f>IF($A1632="","",IFERROR(INDEX('Techniciens'!$F$5:$F$44,MATCH(O1632,'Techniciens'!$B$5:$B$44,0)),'Paramètres'!$AA$10))</f>
        <v/>
      </c>
      <c r="V1632" s="70">
        <f>IF($A1632="","",IF(OR(AC1632="Demandé",AC1632="Planifié",AC1632="Annulé"),0,N(T1632)*N(U1632)))</f>
        <v/>
      </c>
      <c r="W1632" s="70">
        <f>IF($A1632="","",SUMIFS('Mouvements stock'!$H$5:$H$3004,'Mouvements stock'!$I$5:$I$3004,$A1632,'Mouvements stock'!$C$5:$C$3004,"Sortie")-SUMIFS('Mouvements stock'!$H$5:$H$3004,'Mouvements stock'!$I$5:$I$3004,$A1632,'Mouvements stock'!$C$5:$C$3004,"Retour"))</f>
        <v/>
      </c>
      <c r="X1632" s="66" t="n"/>
      <c r="Y1632" s="66" t="n"/>
      <c r="Z1632" s="7" t="n"/>
      <c r="AA1632" s="70">
        <f>IF($A1632="","",N(V1632)+N(W1632)+N(X1632)+N(Y1632))</f>
        <v/>
      </c>
      <c r="AB1632" s="70">
        <f>IF($A1632="","",N(S1632)*'Paramètres'!$AA$9*IFERROR(INDEX('Paramètres'!$O$5:$O$7,MATCH(G1632,'Paramètres'!$N$5:$N$7,0)),0))</f>
        <v/>
      </c>
      <c r="AC1632" s="7" t="n"/>
      <c r="AD1632" s="69">
        <f>IF(OR($A1632="",Q1632=""),"",(Q1632-B1632)*24)</f>
        <v/>
      </c>
      <c r="AE1632" s="69">
        <f>IF(OR(Q1632="",R1632=""),"",(R1632-Q1632)*24)</f>
        <v/>
      </c>
      <c r="AF1632" s="77">
        <f>IF(OR($A1632="",B1632=""),"",YEAR(B1632))</f>
        <v/>
      </c>
      <c r="AG1632" s="77">
        <f>IF(OR($A1632="",B1632=""),"",MONTH(B1632))</f>
        <v/>
      </c>
    </row>
    <row r="1633">
      <c r="A1633" s="7" t="n"/>
      <c r="B1633" s="75" t="n"/>
      <c r="C1633" s="7" t="n"/>
      <c r="D1633" s="7" t="n"/>
      <c r="E1633" s="9">
        <f>IF(D1633="","",IFERROR(INDEX('Équipements'!$B$5:$B$304,MATCH(D1633,'Équipements'!$A$5:$A$304,0)),"Code inconnu"))</f>
        <v/>
      </c>
      <c r="F1633" s="9">
        <f>IF(D1633="","",IFERROR(INDEX('Équipements'!$D$5:$D$304,MATCH(D1633,'Équipements'!$A$5:$A$304,0)),""))</f>
        <v/>
      </c>
      <c r="G1633" s="9">
        <f>IF(D1633="","",IFERROR(INDEX('Équipements'!$K$5:$K$304,MATCH(D1633,'Équipements'!$A$5:$A$304,0)),""))</f>
        <v/>
      </c>
      <c r="H1633" s="7" t="n"/>
      <c r="I1633" s="7" t="n"/>
      <c r="J1633" s="7" t="n"/>
      <c r="K1633" s="7" t="n"/>
      <c r="L1633" s="7" t="n"/>
      <c r="M1633" s="7" t="n"/>
      <c r="N1633" s="7" t="n"/>
      <c r="O1633" s="7" t="n"/>
      <c r="P1633" s="65" t="n"/>
      <c r="Q1633" s="75" t="n"/>
      <c r="R1633" s="75" t="n"/>
      <c r="S1633" s="76" t="n"/>
      <c r="T1633" s="76" t="n"/>
      <c r="U1633" s="70">
        <f>IF($A1633="","",IFERROR(INDEX('Techniciens'!$F$5:$F$44,MATCH(O1633,'Techniciens'!$B$5:$B$44,0)),'Paramètres'!$AA$10))</f>
        <v/>
      </c>
      <c r="V1633" s="70">
        <f>IF($A1633="","",IF(OR(AC1633="Demandé",AC1633="Planifié",AC1633="Annulé"),0,N(T1633)*N(U1633)))</f>
        <v/>
      </c>
      <c r="W1633" s="70">
        <f>IF($A1633="","",SUMIFS('Mouvements stock'!$H$5:$H$3004,'Mouvements stock'!$I$5:$I$3004,$A1633,'Mouvements stock'!$C$5:$C$3004,"Sortie")-SUMIFS('Mouvements stock'!$H$5:$H$3004,'Mouvements stock'!$I$5:$I$3004,$A1633,'Mouvements stock'!$C$5:$C$3004,"Retour"))</f>
        <v/>
      </c>
      <c r="X1633" s="66" t="n"/>
      <c r="Y1633" s="66" t="n"/>
      <c r="Z1633" s="7" t="n"/>
      <c r="AA1633" s="70">
        <f>IF($A1633="","",N(V1633)+N(W1633)+N(X1633)+N(Y1633))</f>
        <v/>
      </c>
      <c r="AB1633" s="70">
        <f>IF($A1633="","",N(S1633)*'Paramètres'!$AA$9*IFERROR(INDEX('Paramètres'!$O$5:$O$7,MATCH(G1633,'Paramètres'!$N$5:$N$7,0)),0))</f>
        <v/>
      </c>
      <c r="AC1633" s="7" t="n"/>
      <c r="AD1633" s="69">
        <f>IF(OR($A1633="",Q1633=""),"",(Q1633-B1633)*24)</f>
        <v/>
      </c>
      <c r="AE1633" s="69">
        <f>IF(OR(Q1633="",R1633=""),"",(R1633-Q1633)*24)</f>
        <v/>
      </c>
      <c r="AF1633" s="77">
        <f>IF(OR($A1633="",B1633=""),"",YEAR(B1633))</f>
        <v/>
      </c>
      <c r="AG1633" s="77">
        <f>IF(OR($A1633="",B1633=""),"",MONTH(B1633))</f>
        <v/>
      </c>
    </row>
    <row r="1634">
      <c r="A1634" s="7" t="n"/>
      <c r="B1634" s="75" t="n"/>
      <c r="C1634" s="7" t="n"/>
      <c r="D1634" s="7" t="n"/>
      <c r="E1634" s="9">
        <f>IF(D1634="","",IFERROR(INDEX('Équipements'!$B$5:$B$304,MATCH(D1634,'Équipements'!$A$5:$A$304,0)),"Code inconnu"))</f>
        <v/>
      </c>
      <c r="F1634" s="9">
        <f>IF(D1634="","",IFERROR(INDEX('Équipements'!$D$5:$D$304,MATCH(D1634,'Équipements'!$A$5:$A$304,0)),""))</f>
        <v/>
      </c>
      <c r="G1634" s="9">
        <f>IF(D1634="","",IFERROR(INDEX('Équipements'!$K$5:$K$304,MATCH(D1634,'Équipements'!$A$5:$A$304,0)),""))</f>
        <v/>
      </c>
      <c r="H1634" s="7" t="n"/>
      <c r="I1634" s="7" t="n"/>
      <c r="J1634" s="7" t="n"/>
      <c r="K1634" s="7" t="n"/>
      <c r="L1634" s="7" t="n"/>
      <c r="M1634" s="7" t="n"/>
      <c r="N1634" s="7" t="n"/>
      <c r="O1634" s="7" t="n"/>
      <c r="P1634" s="65" t="n"/>
      <c r="Q1634" s="75" t="n"/>
      <c r="R1634" s="75" t="n"/>
      <c r="S1634" s="76" t="n"/>
      <c r="T1634" s="76" t="n"/>
      <c r="U1634" s="70">
        <f>IF($A1634="","",IFERROR(INDEX('Techniciens'!$F$5:$F$44,MATCH(O1634,'Techniciens'!$B$5:$B$44,0)),'Paramètres'!$AA$10))</f>
        <v/>
      </c>
      <c r="V1634" s="70">
        <f>IF($A1634="","",IF(OR(AC1634="Demandé",AC1634="Planifié",AC1634="Annulé"),0,N(T1634)*N(U1634)))</f>
        <v/>
      </c>
      <c r="W1634" s="70">
        <f>IF($A1634="","",SUMIFS('Mouvements stock'!$H$5:$H$3004,'Mouvements stock'!$I$5:$I$3004,$A1634,'Mouvements stock'!$C$5:$C$3004,"Sortie")-SUMIFS('Mouvements stock'!$H$5:$H$3004,'Mouvements stock'!$I$5:$I$3004,$A1634,'Mouvements stock'!$C$5:$C$3004,"Retour"))</f>
        <v/>
      </c>
      <c r="X1634" s="66" t="n"/>
      <c r="Y1634" s="66" t="n"/>
      <c r="Z1634" s="7" t="n"/>
      <c r="AA1634" s="70">
        <f>IF($A1634="","",N(V1634)+N(W1634)+N(X1634)+N(Y1634))</f>
        <v/>
      </c>
      <c r="AB1634" s="70">
        <f>IF($A1634="","",N(S1634)*'Paramètres'!$AA$9*IFERROR(INDEX('Paramètres'!$O$5:$O$7,MATCH(G1634,'Paramètres'!$N$5:$N$7,0)),0))</f>
        <v/>
      </c>
      <c r="AC1634" s="7" t="n"/>
      <c r="AD1634" s="69">
        <f>IF(OR($A1634="",Q1634=""),"",(Q1634-B1634)*24)</f>
        <v/>
      </c>
      <c r="AE1634" s="69">
        <f>IF(OR(Q1634="",R1634=""),"",(R1634-Q1634)*24)</f>
        <v/>
      </c>
      <c r="AF1634" s="77">
        <f>IF(OR($A1634="",B1634=""),"",YEAR(B1634))</f>
        <v/>
      </c>
      <c r="AG1634" s="77">
        <f>IF(OR($A1634="",B1634=""),"",MONTH(B1634))</f>
        <v/>
      </c>
    </row>
    <row r="1635">
      <c r="A1635" s="7" t="n"/>
      <c r="B1635" s="75" t="n"/>
      <c r="C1635" s="7" t="n"/>
      <c r="D1635" s="7" t="n"/>
      <c r="E1635" s="9">
        <f>IF(D1635="","",IFERROR(INDEX('Équipements'!$B$5:$B$304,MATCH(D1635,'Équipements'!$A$5:$A$304,0)),"Code inconnu"))</f>
        <v/>
      </c>
      <c r="F1635" s="9">
        <f>IF(D1635="","",IFERROR(INDEX('Équipements'!$D$5:$D$304,MATCH(D1635,'Équipements'!$A$5:$A$304,0)),""))</f>
        <v/>
      </c>
      <c r="G1635" s="9">
        <f>IF(D1635="","",IFERROR(INDEX('Équipements'!$K$5:$K$304,MATCH(D1635,'Équipements'!$A$5:$A$304,0)),""))</f>
        <v/>
      </c>
      <c r="H1635" s="7" t="n"/>
      <c r="I1635" s="7" t="n"/>
      <c r="J1635" s="7" t="n"/>
      <c r="K1635" s="7" t="n"/>
      <c r="L1635" s="7" t="n"/>
      <c r="M1635" s="7" t="n"/>
      <c r="N1635" s="7" t="n"/>
      <c r="O1635" s="7" t="n"/>
      <c r="P1635" s="65" t="n"/>
      <c r="Q1635" s="75" t="n"/>
      <c r="R1635" s="75" t="n"/>
      <c r="S1635" s="76" t="n"/>
      <c r="T1635" s="76" t="n"/>
      <c r="U1635" s="70">
        <f>IF($A1635="","",IFERROR(INDEX('Techniciens'!$F$5:$F$44,MATCH(O1635,'Techniciens'!$B$5:$B$44,0)),'Paramètres'!$AA$10))</f>
        <v/>
      </c>
      <c r="V1635" s="70">
        <f>IF($A1635="","",IF(OR(AC1635="Demandé",AC1635="Planifié",AC1635="Annulé"),0,N(T1635)*N(U1635)))</f>
        <v/>
      </c>
      <c r="W1635" s="70">
        <f>IF($A1635="","",SUMIFS('Mouvements stock'!$H$5:$H$3004,'Mouvements stock'!$I$5:$I$3004,$A1635,'Mouvements stock'!$C$5:$C$3004,"Sortie")-SUMIFS('Mouvements stock'!$H$5:$H$3004,'Mouvements stock'!$I$5:$I$3004,$A1635,'Mouvements stock'!$C$5:$C$3004,"Retour"))</f>
        <v/>
      </c>
      <c r="X1635" s="66" t="n"/>
      <c r="Y1635" s="66" t="n"/>
      <c r="Z1635" s="7" t="n"/>
      <c r="AA1635" s="70">
        <f>IF($A1635="","",N(V1635)+N(W1635)+N(X1635)+N(Y1635))</f>
        <v/>
      </c>
      <c r="AB1635" s="70">
        <f>IF($A1635="","",N(S1635)*'Paramètres'!$AA$9*IFERROR(INDEX('Paramètres'!$O$5:$O$7,MATCH(G1635,'Paramètres'!$N$5:$N$7,0)),0))</f>
        <v/>
      </c>
      <c r="AC1635" s="7" t="n"/>
      <c r="AD1635" s="69">
        <f>IF(OR($A1635="",Q1635=""),"",(Q1635-B1635)*24)</f>
        <v/>
      </c>
      <c r="AE1635" s="69">
        <f>IF(OR(Q1635="",R1635=""),"",(R1635-Q1635)*24)</f>
        <v/>
      </c>
      <c r="AF1635" s="77">
        <f>IF(OR($A1635="",B1635=""),"",YEAR(B1635))</f>
        <v/>
      </c>
      <c r="AG1635" s="77">
        <f>IF(OR($A1635="",B1635=""),"",MONTH(B1635))</f>
        <v/>
      </c>
    </row>
    <row r="1636">
      <c r="A1636" s="7" t="n"/>
      <c r="B1636" s="75" t="n"/>
      <c r="C1636" s="7" t="n"/>
      <c r="D1636" s="7" t="n"/>
      <c r="E1636" s="9">
        <f>IF(D1636="","",IFERROR(INDEX('Équipements'!$B$5:$B$304,MATCH(D1636,'Équipements'!$A$5:$A$304,0)),"Code inconnu"))</f>
        <v/>
      </c>
      <c r="F1636" s="9">
        <f>IF(D1636="","",IFERROR(INDEX('Équipements'!$D$5:$D$304,MATCH(D1636,'Équipements'!$A$5:$A$304,0)),""))</f>
        <v/>
      </c>
      <c r="G1636" s="9">
        <f>IF(D1636="","",IFERROR(INDEX('Équipements'!$K$5:$K$304,MATCH(D1636,'Équipements'!$A$5:$A$304,0)),""))</f>
        <v/>
      </c>
      <c r="H1636" s="7" t="n"/>
      <c r="I1636" s="7" t="n"/>
      <c r="J1636" s="7" t="n"/>
      <c r="K1636" s="7" t="n"/>
      <c r="L1636" s="7" t="n"/>
      <c r="M1636" s="7" t="n"/>
      <c r="N1636" s="7" t="n"/>
      <c r="O1636" s="7" t="n"/>
      <c r="P1636" s="65" t="n"/>
      <c r="Q1636" s="75" t="n"/>
      <c r="R1636" s="75" t="n"/>
      <c r="S1636" s="76" t="n"/>
      <c r="T1636" s="76" t="n"/>
      <c r="U1636" s="70">
        <f>IF($A1636="","",IFERROR(INDEX('Techniciens'!$F$5:$F$44,MATCH(O1636,'Techniciens'!$B$5:$B$44,0)),'Paramètres'!$AA$10))</f>
        <v/>
      </c>
      <c r="V1636" s="70">
        <f>IF($A1636="","",IF(OR(AC1636="Demandé",AC1636="Planifié",AC1636="Annulé"),0,N(T1636)*N(U1636)))</f>
        <v/>
      </c>
      <c r="W1636" s="70">
        <f>IF($A1636="","",SUMIFS('Mouvements stock'!$H$5:$H$3004,'Mouvements stock'!$I$5:$I$3004,$A1636,'Mouvements stock'!$C$5:$C$3004,"Sortie")-SUMIFS('Mouvements stock'!$H$5:$H$3004,'Mouvements stock'!$I$5:$I$3004,$A1636,'Mouvements stock'!$C$5:$C$3004,"Retour"))</f>
        <v/>
      </c>
      <c r="X1636" s="66" t="n"/>
      <c r="Y1636" s="66" t="n"/>
      <c r="Z1636" s="7" t="n"/>
      <c r="AA1636" s="70">
        <f>IF($A1636="","",N(V1636)+N(W1636)+N(X1636)+N(Y1636))</f>
        <v/>
      </c>
      <c r="AB1636" s="70">
        <f>IF($A1636="","",N(S1636)*'Paramètres'!$AA$9*IFERROR(INDEX('Paramètres'!$O$5:$O$7,MATCH(G1636,'Paramètres'!$N$5:$N$7,0)),0))</f>
        <v/>
      </c>
      <c r="AC1636" s="7" t="n"/>
      <c r="AD1636" s="69">
        <f>IF(OR($A1636="",Q1636=""),"",(Q1636-B1636)*24)</f>
        <v/>
      </c>
      <c r="AE1636" s="69">
        <f>IF(OR(Q1636="",R1636=""),"",(R1636-Q1636)*24)</f>
        <v/>
      </c>
      <c r="AF1636" s="77">
        <f>IF(OR($A1636="",B1636=""),"",YEAR(B1636))</f>
        <v/>
      </c>
      <c r="AG1636" s="77">
        <f>IF(OR($A1636="",B1636=""),"",MONTH(B1636))</f>
        <v/>
      </c>
    </row>
    <row r="1637">
      <c r="A1637" s="7" t="n"/>
      <c r="B1637" s="75" t="n"/>
      <c r="C1637" s="7" t="n"/>
      <c r="D1637" s="7" t="n"/>
      <c r="E1637" s="9">
        <f>IF(D1637="","",IFERROR(INDEX('Équipements'!$B$5:$B$304,MATCH(D1637,'Équipements'!$A$5:$A$304,0)),"Code inconnu"))</f>
        <v/>
      </c>
      <c r="F1637" s="9">
        <f>IF(D1637="","",IFERROR(INDEX('Équipements'!$D$5:$D$304,MATCH(D1637,'Équipements'!$A$5:$A$304,0)),""))</f>
        <v/>
      </c>
      <c r="G1637" s="9">
        <f>IF(D1637="","",IFERROR(INDEX('Équipements'!$K$5:$K$304,MATCH(D1637,'Équipements'!$A$5:$A$304,0)),""))</f>
        <v/>
      </c>
      <c r="H1637" s="7" t="n"/>
      <c r="I1637" s="7" t="n"/>
      <c r="J1637" s="7" t="n"/>
      <c r="K1637" s="7" t="n"/>
      <c r="L1637" s="7" t="n"/>
      <c r="M1637" s="7" t="n"/>
      <c r="N1637" s="7" t="n"/>
      <c r="O1637" s="7" t="n"/>
      <c r="P1637" s="65" t="n"/>
      <c r="Q1637" s="75" t="n"/>
      <c r="R1637" s="75" t="n"/>
      <c r="S1637" s="76" t="n"/>
      <c r="T1637" s="76" t="n"/>
      <c r="U1637" s="70">
        <f>IF($A1637="","",IFERROR(INDEX('Techniciens'!$F$5:$F$44,MATCH(O1637,'Techniciens'!$B$5:$B$44,0)),'Paramètres'!$AA$10))</f>
        <v/>
      </c>
      <c r="V1637" s="70">
        <f>IF($A1637="","",IF(OR(AC1637="Demandé",AC1637="Planifié",AC1637="Annulé"),0,N(T1637)*N(U1637)))</f>
        <v/>
      </c>
      <c r="W1637" s="70">
        <f>IF($A1637="","",SUMIFS('Mouvements stock'!$H$5:$H$3004,'Mouvements stock'!$I$5:$I$3004,$A1637,'Mouvements stock'!$C$5:$C$3004,"Sortie")-SUMIFS('Mouvements stock'!$H$5:$H$3004,'Mouvements stock'!$I$5:$I$3004,$A1637,'Mouvements stock'!$C$5:$C$3004,"Retour"))</f>
        <v/>
      </c>
      <c r="X1637" s="66" t="n"/>
      <c r="Y1637" s="66" t="n"/>
      <c r="Z1637" s="7" t="n"/>
      <c r="AA1637" s="70">
        <f>IF($A1637="","",N(V1637)+N(W1637)+N(X1637)+N(Y1637))</f>
        <v/>
      </c>
      <c r="AB1637" s="70">
        <f>IF($A1637="","",N(S1637)*'Paramètres'!$AA$9*IFERROR(INDEX('Paramètres'!$O$5:$O$7,MATCH(G1637,'Paramètres'!$N$5:$N$7,0)),0))</f>
        <v/>
      </c>
      <c r="AC1637" s="7" t="n"/>
      <c r="AD1637" s="69">
        <f>IF(OR($A1637="",Q1637=""),"",(Q1637-B1637)*24)</f>
        <v/>
      </c>
      <c r="AE1637" s="69">
        <f>IF(OR(Q1637="",R1637=""),"",(R1637-Q1637)*24)</f>
        <v/>
      </c>
      <c r="AF1637" s="77">
        <f>IF(OR($A1637="",B1637=""),"",YEAR(B1637))</f>
        <v/>
      </c>
      <c r="AG1637" s="77">
        <f>IF(OR($A1637="",B1637=""),"",MONTH(B1637))</f>
        <v/>
      </c>
    </row>
    <row r="1638">
      <c r="A1638" s="7" t="n"/>
      <c r="B1638" s="75" t="n"/>
      <c r="C1638" s="7" t="n"/>
      <c r="D1638" s="7" t="n"/>
      <c r="E1638" s="9">
        <f>IF(D1638="","",IFERROR(INDEX('Équipements'!$B$5:$B$304,MATCH(D1638,'Équipements'!$A$5:$A$304,0)),"Code inconnu"))</f>
        <v/>
      </c>
      <c r="F1638" s="9">
        <f>IF(D1638="","",IFERROR(INDEX('Équipements'!$D$5:$D$304,MATCH(D1638,'Équipements'!$A$5:$A$304,0)),""))</f>
        <v/>
      </c>
      <c r="G1638" s="9">
        <f>IF(D1638="","",IFERROR(INDEX('Équipements'!$K$5:$K$304,MATCH(D1638,'Équipements'!$A$5:$A$304,0)),""))</f>
        <v/>
      </c>
      <c r="H1638" s="7" t="n"/>
      <c r="I1638" s="7" t="n"/>
      <c r="J1638" s="7" t="n"/>
      <c r="K1638" s="7" t="n"/>
      <c r="L1638" s="7" t="n"/>
      <c r="M1638" s="7" t="n"/>
      <c r="N1638" s="7" t="n"/>
      <c r="O1638" s="7" t="n"/>
      <c r="P1638" s="65" t="n"/>
      <c r="Q1638" s="75" t="n"/>
      <c r="R1638" s="75" t="n"/>
      <c r="S1638" s="76" t="n"/>
      <c r="T1638" s="76" t="n"/>
      <c r="U1638" s="70">
        <f>IF($A1638="","",IFERROR(INDEX('Techniciens'!$F$5:$F$44,MATCH(O1638,'Techniciens'!$B$5:$B$44,0)),'Paramètres'!$AA$10))</f>
        <v/>
      </c>
      <c r="V1638" s="70">
        <f>IF($A1638="","",IF(OR(AC1638="Demandé",AC1638="Planifié",AC1638="Annulé"),0,N(T1638)*N(U1638)))</f>
        <v/>
      </c>
      <c r="W1638" s="70">
        <f>IF($A1638="","",SUMIFS('Mouvements stock'!$H$5:$H$3004,'Mouvements stock'!$I$5:$I$3004,$A1638,'Mouvements stock'!$C$5:$C$3004,"Sortie")-SUMIFS('Mouvements stock'!$H$5:$H$3004,'Mouvements stock'!$I$5:$I$3004,$A1638,'Mouvements stock'!$C$5:$C$3004,"Retour"))</f>
        <v/>
      </c>
      <c r="X1638" s="66" t="n"/>
      <c r="Y1638" s="66" t="n"/>
      <c r="Z1638" s="7" t="n"/>
      <c r="AA1638" s="70">
        <f>IF($A1638="","",N(V1638)+N(W1638)+N(X1638)+N(Y1638))</f>
        <v/>
      </c>
      <c r="AB1638" s="70">
        <f>IF($A1638="","",N(S1638)*'Paramètres'!$AA$9*IFERROR(INDEX('Paramètres'!$O$5:$O$7,MATCH(G1638,'Paramètres'!$N$5:$N$7,0)),0))</f>
        <v/>
      </c>
      <c r="AC1638" s="7" t="n"/>
      <c r="AD1638" s="69">
        <f>IF(OR($A1638="",Q1638=""),"",(Q1638-B1638)*24)</f>
        <v/>
      </c>
      <c r="AE1638" s="69">
        <f>IF(OR(Q1638="",R1638=""),"",(R1638-Q1638)*24)</f>
        <v/>
      </c>
      <c r="AF1638" s="77">
        <f>IF(OR($A1638="",B1638=""),"",YEAR(B1638))</f>
        <v/>
      </c>
      <c r="AG1638" s="77">
        <f>IF(OR($A1638="",B1638=""),"",MONTH(B1638))</f>
        <v/>
      </c>
    </row>
    <row r="1639">
      <c r="A1639" s="7" t="n"/>
      <c r="B1639" s="75" t="n"/>
      <c r="C1639" s="7" t="n"/>
      <c r="D1639" s="7" t="n"/>
      <c r="E1639" s="9">
        <f>IF(D1639="","",IFERROR(INDEX('Équipements'!$B$5:$B$304,MATCH(D1639,'Équipements'!$A$5:$A$304,0)),"Code inconnu"))</f>
        <v/>
      </c>
      <c r="F1639" s="9">
        <f>IF(D1639="","",IFERROR(INDEX('Équipements'!$D$5:$D$304,MATCH(D1639,'Équipements'!$A$5:$A$304,0)),""))</f>
        <v/>
      </c>
      <c r="G1639" s="9">
        <f>IF(D1639="","",IFERROR(INDEX('Équipements'!$K$5:$K$304,MATCH(D1639,'Équipements'!$A$5:$A$304,0)),""))</f>
        <v/>
      </c>
      <c r="H1639" s="7" t="n"/>
      <c r="I1639" s="7" t="n"/>
      <c r="J1639" s="7" t="n"/>
      <c r="K1639" s="7" t="n"/>
      <c r="L1639" s="7" t="n"/>
      <c r="M1639" s="7" t="n"/>
      <c r="N1639" s="7" t="n"/>
      <c r="O1639" s="7" t="n"/>
      <c r="P1639" s="65" t="n"/>
      <c r="Q1639" s="75" t="n"/>
      <c r="R1639" s="75" t="n"/>
      <c r="S1639" s="76" t="n"/>
      <c r="T1639" s="76" t="n"/>
      <c r="U1639" s="70">
        <f>IF($A1639="","",IFERROR(INDEX('Techniciens'!$F$5:$F$44,MATCH(O1639,'Techniciens'!$B$5:$B$44,0)),'Paramètres'!$AA$10))</f>
        <v/>
      </c>
      <c r="V1639" s="70">
        <f>IF($A1639="","",IF(OR(AC1639="Demandé",AC1639="Planifié",AC1639="Annulé"),0,N(T1639)*N(U1639)))</f>
        <v/>
      </c>
      <c r="W1639" s="70">
        <f>IF($A1639="","",SUMIFS('Mouvements stock'!$H$5:$H$3004,'Mouvements stock'!$I$5:$I$3004,$A1639,'Mouvements stock'!$C$5:$C$3004,"Sortie")-SUMIFS('Mouvements stock'!$H$5:$H$3004,'Mouvements stock'!$I$5:$I$3004,$A1639,'Mouvements stock'!$C$5:$C$3004,"Retour"))</f>
        <v/>
      </c>
      <c r="X1639" s="66" t="n"/>
      <c r="Y1639" s="66" t="n"/>
      <c r="Z1639" s="7" t="n"/>
      <c r="AA1639" s="70">
        <f>IF($A1639="","",N(V1639)+N(W1639)+N(X1639)+N(Y1639))</f>
        <v/>
      </c>
      <c r="AB1639" s="70">
        <f>IF($A1639="","",N(S1639)*'Paramètres'!$AA$9*IFERROR(INDEX('Paramètres'!$O$5:$O$7,MATCH(G1639,'Paramètres'!$N$5:$N$7,0)),0))</f>
        <v/>
      </c>
      <c r="AC1639" s="7" t="n"/>
      <c r="AD1639" s="69">
        <f>IF(OR($A1639="",Q1639=""),"",(Q1639-B1639)*24)</f>
        <v/>
      </c>
      <c r="AE1639" s="69">
        <f>IF(OR(Q1639="",R1639=""),"",(R1639-Q1639)*24)</f>
        <v/>
      </c>
      <c r="AF1639" s="77">
        <f>IF(OR($A1639="",B1639=""),"",YEAR(B1639))</f>
        <v/>
      </c>
      <c r="AG1639" s="77">
        <f>IF(OR($A1639="",B1639=""),"",MONTH(B1639))</f>
        <v/>
      </c>
    </row>
    <row r="1640">
      <c r="A1640" s="7" t="n"/>
      <c r="B1640" s="75" t="n"/>
      <c r="C1640" s="7" t="n"/>
      <c r="D1640" s="7" t="n"/>
      <c r="E1640" s="9">
        <f>IF(D1640="","",IFERROR(INDEX('Équipements'!$B$5:$B$304,MATCH(D1640,'Équipements'!$A$5:$A$304,0)),"Code inconnu"))</f>
        <v/>
      </c>
      <c r="F1640" s="9">
        <f>IF(D1640="","",IFERROR(INDEX('Équipements'!$D$5:$D$304,MATCH(D1640,'Équipements'!$A$5:$A$304,0)),""))</f>
        <v/>
      </c>
      <c r="G1640" s="9">
        <f>IF(D1640="","",IFERROR(INDEX('Équipements'!$K$5:$K$304,MATCH(D1640,'Équipements'!$A$5:$A$304,0)),""))</f>
        <v/>
      </c>
      <c r="H1640" s="7" t="n"/>
      <c r="I1640" s="7" t="n"/>
      <c r="J1640" s="7" t="n"/>
      <c r="K1640" s="7" t="n"/>
      <c r="L1640" s="7" t="n"/>
      <c r="M1640" s="7" t="n"/>
      <c r="N1640" s="7" t="n"/>
      <c r="O1640" s="7" t="n"/>
      <c r="P1640" s="65" t="n"/>
      <c r="Q1640" s="75" t="n"/>
      <c r="R1640" s="75" t="n"/>
      <c r="S1640" s="76" t="n"/>
      <c r="T1640" s="76" t="n"/>
      <c r="U1640" s="70">
        <f>IF($A1640="","",IFERROR(INDEX('Techniciens'!$F$5:$F$44,MATCH(O1640,'Techniciens'!$B$5:$B$44,0)),'Paramètres'!$AA$10))</f>
        <v/>
      </c>
      <c r="V1640" s="70">
        <f>IF($A1640="","",IF(OR(AC1640="Demandé",AC1640="Planifié",AC1640="Annulé"),0,N(T1640)*N(U1640)))</f>
        <v/>
      </c>
      <c r="W1640" s="70">
        <f>IF($A1640="","",SUMIFS('Mouvements stock'!$H$5:$H$3004,'Mouvements stock'!$I$5:$I$3004,$A1640,'Mouvements stock'!$C$5:$C$3004,"Sortie")-SUMIFS('Mouvements stock'!$H$5:$H$3004,'Mouvements stock'!$I$5:$I$3004,$A1640,'Mouvements stock'!$C$5:$C$3004,"Retour"))</f>
        <v/>
      </c>
      <c r="X1640" s="66" t="n"/>
      <c r="Y1640" s="66" t="n"/>
      <c r="Z1640" s="7" t="n"/>
      <c r="AA1640" s="70">
        <f>IF($A1640="","",N(V1640)+N(W1640)+N(X1640)+N(Y1640))</f>
        <v/>
      </c>
      <c r="AB1640" s="70">
        <f>IF($A1640="","",N(S1640)*'Paramètres'!$AA$9*IFERROR(INDEX('Paramètres'!$O$5:$O$7,MATCH(G1640,'Paramètres'!$N$5:$N$7,0)),0))</f>
        <v/>
      </c>
      <c r="AC1640" s="7" t="n"/>
      <c r="AD1640" s="69">
        <f>IF(OR($A1640="",Q1640=""),"",(Q1640-B1640)*24)</f>
        <v/>
      </c>
      <c r="AE1640" s="69">
        <f>IF(OR(Q1640="",R1640=""),"",(R1640-Q1640)*24)</f>
        <v/>
      </c>
      <c r="AF1640" s="77">
        <f>IF(OR($A1640="",B1640=""),"",YEAR(B1640))</f>
        <v/>
      </c>
      <c r="AG1640" s="77">
        <f>IF(OR($A1640="",B1640=""),"",MONTH(B1640))</f>
        <v/>
      </c>
    </row>
    <row r="1641">
      <c r="A1641" s="7" t="n"/>
      <c r="B1641" s="75" t="n"/>
      <c r="C1641" s="7" t="n"/>
      <c r="D1641" s="7" t="n"/>
      <c r="E1641" s="9">
        <f>IF(D1641="","",IFERROR(INDEX('Équipements'!$B$5:$B$304,MATCH(D1641,'Équipements'!$A$5:$A$304,0)),"Code inconnu"))</f>
        <v/>
      </c>
      <c r="F1641" s="9">
        <f>IF(D1641="","",IFERROR(INDEX('Équipements'!$D$5:$D$304,MATCH(D1641,'Équipements'!$A$5:$A$304,0)),""))</f>
        <v/>
      </c>
      <c r="G1641" s="9">
        <f>IF(D1641="","",IFERROR(INDEX('Équipements'!$K$5:$K$304,MATCH(D1641,'Équipements'!$A$5:$A$304,0)),""))</f>
        <v/>
      </c>
      <c r="H1641" s="7" t="n"/>
      <c r="I1641" s="7" t="n"/>
      <c r="J1641" s="7" t="n"/>
      <c r="K1641" s="7" t="n"/>
      <c r="L1641" s="7" t="n"/>
      <c r="M1641" s="7" t="n"/>
      <c r="N1641" s="7" t="n"/>
      <c r="O1641" s="7" t="n"/>
      <c r="P1641" s="65" t="n"/>
      <c r="Q1641" s="75" t="n"/>
      <c r="R1641" s="75" t="n"/>
      <c r="S1641" s="76" t="n"/>
      <c r="T1641" s="76" t="n"/>
      <c r="U1641" s="70">
        <f>IF($A1641="","",IFERROR(INDEX('Techniciens'!$F$5:$F$44,MATCH(O1641,'Techniciens'!$B$5:$B$44,0)),'Paramètres'!$AA$10))</f>
        <v/>
      </c>
      <c r="V1641" s="70">
        <f>IF($A1641="","",IF(OR(AC1641="Demandé",AC1641="Planifié",AC1641="Annulé"),0,N(T1641)*N(U1641)))</f>
        <v/>
      </c>
      <c r="W1641" s="70">
        <f>IF($A1641="","",SUMIFS('Mouvements stock'!$H$5:$H$3004,'Mouvements stock'!$I$5:$I$3004,$A1641,'Mouvements stock'!$C$5:$C$3004,"Sortie")-SUMIFS('Mouvements stock'!$H$5:$H$3004,'Mouvements stock'!$I$5:$I$3004,$A1641,'Mouvements stock'!$C$5:$C$3004,"Retour"))</f>
        <v/>
      </c>
      <c r="X1641" s="66" t="n"/>
      <c r="Y1641" s="66" t="n"/>
      <c r="Z1641" s="7" t="n"/>
      <c r="AA1641" s="70">
        <f>IF($A1641="","",N(V1641)+N(W1641)+N(X1641)+N(Y1641))</f>
        <v/>
      </c>
      <c r="AB1641" s="70">
        <f>IF($A1641="","",N(S1641)*'Paramètres'!$AA$9*IFERROR(INDEX('Paramètres'!$O$5:$O$7,MATCH(G1641,'Paramètres'!$N$5:$N$7,0)),0))</f>
        <v/>
      </c>
      <c r="AC1641" s="7" t="n"/>
      <c r="AD1641" s="69">
        <f>IF(OR($A1641="",Q1641=""),"",(Q1641-B1641)*24)</f>
        <v/>
      </c>
      <c r="AE1641" s="69">
        <f>IF(OR(Q1641="",R1641=""),"",(R1641-Q1641)*24)</f>
        <v/>
      </c>
      <c r="AF1641" s="77">
        <f>IF(OR($A1641="",B1641=""),"",YEAR(B1641))</f>
        <v/>
      </c>
      <c r="AG1641" s="77">
        <f>IF(OR($A1641="",B1641=""),"",MONTH(B1641))</f>
        <v/>
      </c>
    </row>
    <row r="1642">
      <c r="A1642" s="7" t="n"/>
      <c r="B1642" s="75" t="n"/>
      <c r="C1642" s="7" t="n"/>
      <c r="D1642" s="7" t="n"/>
      <c r="E1642" s="9">
        <f>IF(D1642="","",IFERROR(INDEX('Équipements'!$B$5:$B$304,MATCH(D1642,'Équipements'!$A$5:$A$304,0)),"Code inconnu"))</f>
        <v/>
      </c>
      <c r="F1642" s="9">
        <f>IF(D1642="","",IFERROR(INDEX('Équipements'!$D$5:$D$304,MATCH(D1642,'Équipements'!$A$5:$A$304,0)),""))</f>
        <v/>
      </c>
      <c r="G1642" s="9">
        <f>IF(D1642="","",IFERROR(INDEX('Équipements'!$K$5:$K$304,MATCH(D1642,'Équipements'!$A$5:$A$304,0)),""))</f>
        <v/>
      </c>
      <c r="H1642" s="7" t="n"/>
      <c r="I1642" s="7" t="n"/>
      <c r="J1642" s="7" t="n"/>
      <c r="K1642" s="7" t="n"/>
      <c r="L1642" s="7" t="n"/>
      <c r="M1642" s="7" t="n"/>
      <c r="N1642" s="7" t="n"/>
      <c r="O1642" s="7" t="n"/>
      <c r="P1642" s="65" t="n"/>
      <c r="Q1642" s="75" t="n"/>
      <c r="R1642" s="75" t="n"/>
      <c r="S1642" s="76" t="n"/>
      <c r="T1642" s="76" t="n"/>
      <c r="U1642" s="70">
        <f>IF($A1642="","",IFERROR(INDEX('Techniciens'!$F$5:$F$44,MATCH(O1642,'Techniciens'!$B$5:$B$44,0)),'Paramètres'!$AA$10))</f>
        <v/>
      </c>
      <c r="V1642" s="70">
        <f>IF($A1642="","",IF(OR(AC1642="Demandé",AC1642="Planifié",AC1642="Annulé"),0,N(T1642)*N(U1642)))</f>
        <v/>
      </c>
      <c r="W1642" s="70">
        <f>IF($A1642="","",SUMIFS('Mouvements stock'!$H$5:$H$3004,'Mouvements stock'!$I$5:$I$3004,$A1642,'Mouvements stock'!$C$5:$C$3004,"Sortie")-SUMIFS('Mouvements stock'!$H$5:$H$3004,'Mouvements stock'!$I$5:$I$3004,$A1642,'Mouvements stock'!$C$5:$C$3004,"Retour"))</f>
        <v/>
      </c>
      <c r="X1642" s="66" t="n"/>
      <c r="Y1642" s="66" t="n"/>
      <c r="Z1642" s="7" t="n"/>
      <c r="AA1642" s="70">
        <f>IF($A1642="","",N(V1642)+N(W1642)+N(X1642)+N(Y1642))</f>
        <v/>
      </c>
      <c r="AB1642" s="70">
        <f>IF($A1642="","",N(S1642)*'Paramètres'!$AA$9*IFERROR(INDEX('Paramètres'!$O$5:$O$7,MATCH(G1642,'Paramètres'!$N$5:$N$7,0)),0))</f>
        <v/>
      </c>
      <c r="AC1642" s="7" t="n"/>
      <c r="AD1642" s="69">
        <f>IF(OR($A1642="",Q1642=""),"",(Q1642-B1642)*24)</f>
        <v/>
      </c>
      <c r="AE1642" s="69">
        <f>IF(OR(Q1642="",R1642=""),"",(R1642-Q1642)*24)</f>
        <v/>
      </c>
      <c r="AF1642" s="77">
        <f>IF(OR($A1642="",B1642=""),"",YEAR(B1642))</f>
        <v/>
      </c>
      <c r="AG1642" s="77">
        <f>IF(OR($A1642="",B1642=""),"",MONTH(B1642))</f>
        <v/>
      </c>
    </row>
    <row r="1643">
      <c r="A1643" s="7" t="n"/>
      <c r="B1643" s="75" t="n"/>
      <c r="C1643" s="7" t="n"/>
      <c r="D1643" s="7" t="n"/>
      <c r="E1643" s="9">
        <f>IF(D1643="","",IFERROR(INDEX('Équipements'!$B$5:$B$304,MATCH(D1643,'Équipements'!$A$5:$A$304,0)),"Code inconnu"))</f>
        <v/>
      </c>
      <c r="F1643" s="9">
        <f>IF(D1643="","",IFERROR(INDEX('Équipements'!$D$5:$D$304,MATCH(D1643,'Équipements'!$A$5:$A$304,0)),""))</f>
        <v/>
      </c>
      <c r="G1643" s="9">
        <f>IF(D1643="","",IFERROR(INDEX('Équipements'!$K$5:$K$304,MATCH(D1643,'Équipements'!$A$5:$A$304,0)),""))</f>
        <v/>
      </c>
      <c r="H1643" s="7" t="n"/>
      <c r="I1643" s="7" t="n"/>
      <c r="J1643" s="7" t="n"/>
      <c r="K1643" s="7" t="n"/>
      <c r="L1643" s="7" t="n"/>
      <c r="M1643" s="7" t="n"/>
      <c r="N1643" s="7" t="n"/>
      <c r="O1643" s="7" t="n"/>
      <c r="P1643" s="65" t="n"/>
      <c r="Q1643" s="75" t="n"/>
      <c r="R1643" s="75" t="n"/>
      <c r="S1643" s="76" t="n"/>
      <c r="T1643" s="76" t="n"/>
      <c r="U1643" s="70">
        <f>IF($A1643="","",IFERROR(INDEX('Techniciens'!$F$5:$F$44,MATCH(O1643,'Techniciens'!$B$5:$B$44,0)),'Paramètres'!$AA$10))</f>
        <v/>
      </c>
      <c r="V1643" s="70">
        <f>IF($A1643="","",IF(OR(AC1643="Demandé",AC1643="Planifié",AC1643="Annulé"),0,N(T1643)*N(U1643)))</f>
        <v/>
      </c>
      <c r="W1643" s="70">
        <f>IF($A1643="","",SUMIFS('Mouvements stock'!$H$5:$H$3004,'Mouvements stock'!$I$5:$I$3004,$A1643,'Mouvements stock'!$C$5:$C$3004,"Sortie")-SUMIFS('Mouvements stock'!$H$5:$H$3004,'Mouvements stock'!$I$5:$I$3004,$A1643,'Mouvements stock'!$C$5:$C$3004,"Retour"))</f>
        <v/>
      </c>
      <c r="X1643" s="66" t="n"/>
      <c r="Y1643" s="66" t="n"/>
      <c r="Z1643" s="7" t="n"/>
      <c r="AA1643" s="70">
        <f>IF($A1643="","",N(V1643)+N(W1643)+N(X1643)+N(Y1643))</f>
        <v/>
      </c>
      <c r="AB1643" s="70">
        <f>IF($A1643="","",N(S1643)*'Paramètres'!$AA$9*IFERROR(INDEX('Paramètres'!$O$5:$O$7,MATCH(G1643,'Paramètres'!$N$5:$N$7,0)),0))</f>
        <v/>
      </c>
      <c r="AC1643" s="7" t="n"/>
      <c r="AD1643" s="69">
        <f>IF(OR($A1643="",Q1643=""),"",(Q1643-B1643)*24)</f>
        <v/>
      </c>
      <c r="AE1643" s="69">
        <f>IF(OR(Q1643="",R1643=""),"",(R1643-Q1643)*24)</f>
        <v/>
      </c>
      <c r="AF1643" s="77">
        <f>IF(OR($A1643="",B1643=""),"",YEAR(B1643))</f>
        <v/>
      </c>
      <c r="AG1643" s="77">
        <f>IF(OR($A1643="",B1643=""),"",MONTH(B1643))</f>
        <v/>
      </c>
    </row>
    <row r="1644">
      <c r="A1644" s="7" t="n"/>
      <c r="B1644" s="75" t="n"/>
      <c r="C1644" s="7" t="n"/>
      <c r="D1644" s="7" t="n"/>
      <c r="E1644" s="9">
        <f>IF(D1644="","",IFERROR(INDEX('Équipements'!$B$5:$B$304,MATCH(D1644,'Équipements'!$A$5:$A$304,0)),"Code inconnu"))</f>
        <v/>
      </c>
      <c r="F1644" s="9">
        <f>IF(D1644="","",IFERROR(INDEX('Équipements'!$D$5:$D$304,MATCH(D1644,'Équipements'!$A$5:$A$304,0)),""))</f>
        <v/>
      </c>
      <c r="G1644" s="9">
        <f>IF(D1644="","",IFERROR(INDEX('Équipements'!$K$5:$K$304,MATCH(D1644,'Équipements'!$A$5:$A$304,0)),""))</f>
        <v/>
      </c>
      <c r="H1644" s="7" t="n"/>
      <c r="I1644" s="7" t="n"/>
      <c r="J1644" s="7" t="n"/>
      <c r="K1644" s="7" t="n"/>
      <c r="L1644" s="7" t="n"/>
      <c r="M1644" s="7" t="n"/>
      <c r="N1644" s="7" t="n"/>
      <c r="O1644" s="7" t="n"/>
      <c r="P1644" s="65" t="n"/>
      <c r="Q1644" s="75" t="n"/>
      <c r="R1644" s="75" t="n"/>
      <c r="S1644" s="76" t="n"/>
      <c r="T1644" s="76" t="n"/>
      <c r="U1644" s="70">
        <f>IF($A1644="","",IFERROR(INDEX('Techniciens'!$F$5:$F$44,MATCH(O1644,'Techniciens'!$B$5:$B$44,0)),'Paramètres'!$AA$10))</f>
        <v/>
      </c>
      <c r="V1644" s="70">
        <f>IF($A1644="","",IF(OR(AC1644="Demandé",AC1644="Planifié",AC1644="Annulé"),0,N(T1644)*N(U1644)))</f>
        <v/>
      </c>
      <c r="W1644" s="70">
        <f>IF($A1644="","",SUMIFS('Mouvements stock'!$H$5:$H$3004,'Mouvements stock'!$I$5:$I$3004,$A1644,'Mouvements stock'!$C$5:$C$3004,"Sortie")-SUMIFS('Mouvements stock'!$H$5:$H$3004,'Mouvements stock'!$I$5:$I$3004,$A1644,'Mouvements stock'!$C$5:$C$3004,"Retour"))</f>
        <v/>
      </c>
      <c r="X1644" s="66" t="n"/>
      <c r="Y1644" s="66" t="n"/>
      <c r="Z1644" s="7" t="n"/>
      <c r="AA1644" s="70">
        <f>IF($A1644="","",N(V1644)+N(W1644)+N(X1644)+N(Y1644))</f>
        <v/>
      </c>
      <c r="AB1644" s="70">
        <f>IF($A1644="","",N(S1644)*'Paramètres'!$AA$9*IFERROR(INDEX('Paramètres'!$O$5:$O$7,MATCH(G1644,'Paramètres'!$N$5:$N$7,0)),0))</f>
        <v/>
      </c>
      <c r="AC1644" s="7" t="n"/>
      <c r="AD1644" s="69">
        <f>IF(OR($A1644="",Q1644=""),"",(Q1644-B1644)*24)</f>
        <v/>
      </c>
      <c r="AE1644" s="69">
        <f>IF(OR(Q1644="",R1644=""),"",(R1644-Q1644)*24)</f>
        <v/>
      </c>
      <c r="AF1644" s="77">
        <f>IF(OR($A1644="",B1644=""),"",YEAR(B1644))</f>
        <v/>
      </c>
      <c r="AG1644" s="77">
        <f>IF(OR($A1644="",B1644=""),"",MONTH(B1644))</f>
        <v/>
      </c>
    </row>
    <row r="1645">
      <c r="A1645" s="7" t="n"/>
      <c r="B1645" s="75" t="n"/>
      <c r="C1645" s="7" t="n"/>
      <c r="D1645" s="7" t="n"/>
      <c r="E1645" s="9">
        <f>IF(D1645="","",IFERROR(INDEX('Équipements'!$B$5:$B$304,MATCH(D1645,'Équipements'!$A$5:$A$304,0)),"Code inconnu"))</f>
        <v/>
      </c>
      <c r="F1645" s="9">
        <f>IF(D1645="","",IFERROR(INDEX('Équipements'!$D$5:$D$304,MATCH(D1645,'Équipements'!$A$5:$A$304,0)),""))</f>
        <v/>
      </c>
      <c r="G1645" s="9">
        <f>IF(D1645="","",IFERROR(INDEX('Équipements'!$K$5:$K$304,MATCH(D1645,'Équipements'!$A$5:$A$304,0)),""))</f>
        <v/>
      </c>
      <c r="H1645" s="7" t="n"/>
      <c r="I1645" s="7" t="n"/>
      <c r="J1645" s="7" t="n"/>
      <c r="K1645" s="7" t="n"/>
      <c r="L1645" s="7" t="n"/>
      <c r="M1645" s="7" t="n"/>
      <c r="N1645" s="7" t="n"/>
      <c r="O1645" s="7" t="n"/>
      <c r="P1645" s="65" t="n"/>
      <c r="Q1645" s="75" t="n"/>
      <c r="R1645" s="75" t="n"/>
      <c r="S1645" s="76" t="n"/>
      <c r="T1645" s="76" t="n"/>
      <c r="U1645" s="70">
        <f>IF($A1645="","",IFERROR(INDEX('Techniciens'!$F$5:$F$44,MATCH(O1645,'Techniciens'!$B$5:$B$44,0)),'Paramètres'!$AA$10))</f>
        <v/>
      </c>
      <c r="V1645" s="70">
        <f>IF($A1645="","",IF(OR(AC1645="Demandé",AC1645="Planifié",AC1645="Annulé"),0,N(T1645)*N(U1645)))</f>
        <v/>
      </c>
      <c r="W1645" s="70">
        <f>IF($A1645="","",SUMIFS('Mouvements stock'!$H$5:$H$3004,'Mouvements stock'!$I$5:$I$3004,$A1645,'Mouvements stock'!$C$5:$C$3004,"Sortie")-SUMIFS('Mouvements stock'!$H$5:$H$3004,'Mouvements stock'!$I$5:$I$3004,$A1645,'Mouvements stock'!$C$5:$C$3004,"Retour"))</f>
        <v/>
      </c>
      <c r="X1645" s="66" t="n"/>
      <c r="Y1645" s="66" t="n"/>
      <c r="Z1645" s="7" t="n"/>
      <c r="AA1645" s="70">
        <f>IF($A1645="","",N(V1645)+N(W1645)+N(X1645)+N(Y1645))</f>
        <v/>
      </c>
      <c r="AB1645" s="70">
        <f>IF($A1645="","",N(S1645)*'Paramètres'!$AA$9*IFERROR(INDEX('Paramètres'!$O$5:$O$7,MATCH(G1645,'Paramètres'!$N$5:$N$7,0)),0))</f>
        <v/>
      </c>
      <c r="AC1645" s="7" t="n"/>
      <c r="AD1645" s="69">
        <f>IF(OR($A1645="",Q1645=""),"",(Q1645-B1645)*24)</f>
        <v/>
      </c>
      <c r="AE1645" s="69">
        <f>IF(OR(Q1645="",R1645=""),"",(R1645-Q1645)*24)</f>
        <v/>
      </c>
      <c r="AF1645" s="77">
        <f>IF(OR($A1645="",B1645=""),"",YEAR(B1645))</f>
        <v/>
      </c>
      <c r="AG1645" s="77">
        <f>IF(OR($A1645="",B1645=""),"",MONTH(B1645))</f>
        <v/>
      </c>
    </row>
    <row r="1646">
      <c r="A1646" s="7" t="n"/>
      <c r="B1646" s="75" t="n"/>
      <c r="C1646" s="7" t="n"/>
      <c r="D1646" s="7" t="n"/>
      <c r="E1646" s="9">
        <f>IF(D1646="","",IFERROR(INDEX('Équipements'!$B$5:$B$304,MATCH(D1646,'Équipements'!$A$5:$A$304,0)),"Code inconnu"))</f>
        <v/>
      </c>
      <c r="F1646" s="9">
        <f>IF(D1646="","",IFERROR(INDEX('Équipements'!$D$5:$D$304,MATCH(D1646,'Équipements'!$A$5:$A$304,0)),""))</f>
        <v/>
      </c>
      <c r="G1646" s="9">
        <f>IF(D1646="","",IFERROR(INDEX('Équipements'!$K$5:$K$304,MATCH(D1646,'Équipements'!$A$5:$A$304,0)),""))</f>
        <v/>
      </c>
      <c r="H1646" s="7" t="n"/>
      <c r="I1646" s="7" t="n"/>
      <c r="J1646" s="7" t="n"/>
      <c r="K1646" s="7" t="n"/>
      <c r="L1646" s="7" t="n"/>
      <c r="M1646" s="7" t="n"/>
      <c r="N1646" s="7" t="n"/>
      <c r="O1646" s="7" t="n"/>
      <c r="P1646" s="65" t="n"/>
      <c r="Q1646" s="75" t="n"/>
      <c r="R1646" s="75" t="n"/>
      <c r="S1646" s="76" t="n"/>
      <c r="T1646" s="76" t="n"/>
      <c r="U1646" s="70">
        <f>IF($A1646="","",IFERROR(INDEX('Techniciens'!$F$5:$F$44,MATCH(O1646,'Techniciens'!$B$5:$B$44,0)),'Paramètres'!$AA$10))</f>
        <v/>
      </c>
      <c r="V1646" s="70">
        <f>IF($A1646="","",IF(OR(AC1646="Demandé",AC1646="Planifié",AC1646="Annulé"),0,N(T1646)*N(U1646)))</f>
        <v/>
      </c>
      <c r="W1646" s="70">
        <f>IF($A1646="","",SUMIFS('Mouvements stock'!$H$5:$H$3004,'Mouvements stock'!$I$5:$I$3004,$A1646,'Mouvements stock'!$C$5:$C$3004,"Sortie")-SUMIFS('Mouvements stock'!$H$5:$H$3004,'Mouvements stock'!$I$5:$I$3004,$A1646,'Mouvements stock'!$C$5:$C$3004,"Retour"))</f>
        <v/>
      </c>
      <c r="X1646" s="66" t="n"/>
      <c r="Y1646" s="66" t="n"/>
      <c r="Z1646" s="7" t="n"/>
      <c r="AA1646" s="70">
        <f>IF($A1646="","",N(V1646)+N(W1646)+N(X1646)+N(Y1646))</f>
        <v/>
      </c>
      <c r="AB1646" s="70">
        <f>IF($A1646="","",N(S1646)*'Paramètres'!$AA$9*IFERROR(INDEX('Paramètres'!$O$5:$O$7,MATCH(G1646,'Paramètres'!$N$5:$N$7,0)),0))</f>
        <v/>
      </c>
      <c r="AC1646" s="7" t="n"/>
      <c r="AD1646" s="69">
        <f>IF(OR($A1646="",Q1646=""),"",(Q1646-B1646)*24)</f>
        <v/>
      </c>
      <c r="AE1646" s="69">
        <f>IF(OR(Q1646="",R1646=""),"",(R1646-Q1646)*24)</f>
        <v/>
      </c>
      <c r="AF1646" s="77">
        <f>IF(OR($A1646="",B1646=""),"",YEAR(B1646))</f>
        <v/>
      </c>
      <c r="AG1646" s="77">
        <f>IF(OR($A1646="",B1646=""),"",MONTH(B1646))</f>
        <v/>
      </c>
    </row>
    <row r="1647">
      <c r="A1647" s="7" t="n"/>
      <c r="B1647" s="75" t="n"/>
      <c r="C1647" s="7" t="n"/>
      <c r="D1647" s="7" t="n"/>
      <c r="E1647" s="9">
        <f>IF(D1647="","",IFERROR(INDEX('Équipements'!$B$5:$B$304,MATCH(D1647,'Équipements'!$A$5:$A$304,0)),"Code inconnu"))</f>
        <v/>
      </c>
      <c r="F1647" s="9">
        <f>IF(D1647="","",IFERROR(INDEX('Équipements'!$D$5:$D$304,MATCH(D1647,'Équipements'!$A$5:$A$304,0)),""))</f>
        <v/>
      </c>
      <c r="G1647" s="9">
        <f>IF(D1647="","",IFERROR(INDEX('Équipements'!$K$5:$K$304,MATCH(D1647,'Équipements'!$A$5:$A$304,0)),""))</f>
        <v/>
      </c>
      <c r="H1647" s="7" t="n"/>
      <c r="I1647" s="7" t="n"/>
      <c r="J1647" s="7" t="n"/>
      <c r="K1647" s="7" t="n"/>
      <c r="L1647" s="7" t="n"/>
      <c r="M1647" s="7" t="n"/>
      <c r="N1647" s="7" t="n"/>
      <c r="O1647" s="7" t="n"/>
      <c r="P1647" s="65" t="n"/>
      <c r="Q1647" s="75" t="n"/>
      <c r="R1647" s="75" t="n"/>
      <c r="S1647" s="76" t="n"/>
      <c r="T1647" s="76" t="n"/>
      <c r="U1647" s="70">
        <f>IF($A1647="","",IFERROR(INDEX('Techniciens'!$F$5:$F$44,MATCH(O1647,'Techniciens'!$B$5:$B$44,0)),'Paramètres'!$AA$10))</f>
        <v/>
      </c>
      <c r="V1647" s="70">
        <f>IF($A1647="","",IF(OR(AC1647="Demandé",AC1647="Planifié",AC1647="Annulé"),0,N(T1647)*N(U1647)))</f>
        <v/>
      </c>
      <c r="W1647" s="70">
        <f>IF($A1647="","",SUMIFS('Mouvements stock'!$H$5:$H$3004,'Mouvements stock'!$I$5:$I$3004,$A1647,'Mouvements stock'!$C$5:$C$3004,"Sortie")-SUMIFS('Mouvements stock'!$H$5:$H$3004,'Mouvements stock'!$I$5:$I$3004,$A1647,'Mouvements stock'!$C$5:$C$3004,"Retour"))</f>
        <v/>
      </c>
      <c r="X1647" s="66" t="n"/>
      <c r="Y1647" s="66" t="n"/>
      <c r="Z1647" s="7" t="n"/>
      <c r="AA1647" s="70">
        <f>IF($A1647="","",N(V1647)+N(W1647)+N(X1647)+N(Y1647))</f>
        <v/>
      </c>
      <c r="AB1647" s="70">
        <f>IF($A1647="","",N(S1647)*'Paramètres'!$AA$9*IFERROR(INDEX('Paramètres'!$O$5:$O$7,MATCH(G1647,'Paramètres'!$N$5:$N$7,0)),0))</f>
        <v/>
      </c>
      <c r="AC1647" s="7" t="n"/>
      <c r="AD1647" s="69">
        <f>IF(OR($A1647="",Q1647=""),"",(Q1647-B1647)*24)</f>
        <v/>
      </c>
      <c r="AE1647" s="69">
        <f>IF(OR(Q1647="",R1647=""),"",(R1647-Q1647)*24)</f>
        <v/>
      </c>
      <c r="AF1647" s="77">
        <f>IF(OR($A1647="",B1647=""),"",YEAR(B1647))</f>
        <v/>
      </c>
      <c r="AG1647" s="77">
        <f>IF(OR($A1647="",B1647=""),"",MONTH(B1647))</f>
        <v/>
      </c>
    </row>
    <row r="1648">
      <c r="A1648" s="7" t="n"/>
      <c r="B1648" s="75" t="n"/>
      <c r="C1648" s="7" t="n"/>
      <c r="D1648" s="7" t="n"/>
      <c r="E1648" s="9">
        <f>IF(D1648="","",IFERROR(INDEX('Équipements'!$B$5:$B$304,MATCH(D1648,'Équipements'!$A$5:$A$304,0)),"Code inconnu"))</f>
        <v/>
      </c>
      <c r="F1648" s="9">
        <f>IF(D1648="","",IFERROR(INDEX('Équipements'!$D$5:$D$304,MATCH(D1648,'Équipements'!$A$5:$A$304,0)),""))</f>
        <v/>
      </c>
      <c r="G1648" s="9">
        <f>IF(D1648="","",IFERROR(INDEX('Équipements'!$K$5:$K$304,MATCH(D1648,'Équipements'!$A$5:$A$304,0)),""))</f>
        <v/>
      </c>
      <c r="H1648" s="7" t="n"/>
      <c r="I1648" s="7" t="n"/>
      <c r="J1648" s="7" t="n"/>
      <c r="K1648" s="7" t="n"/>
      <c r="L1648" s="7" t="n"/>
      <c r="M1648" s="7" t="n"/>
      <c r="N1648" s="7" t="n"/>
      <c r="O1648" s="7" t="n"/>
      <c r="P1648" s="65" t="n"/>
      <c r="Q1648" s="75" t="n"/>
      <c r="R1648" s="75" t="n"/>
      <c r="S1648" s="76" t="n"/>
      <c r="T1648" s="76" t="n"/>
      <c r="U1648" s="70">
        <f>IF($A1648="","",IFERROR(INDEX('Techniciens'!$F$5:$F$44,MATCH(O1648,'Techniciens'!$B$5:$B$44,0)),'Paramètres'!$AA$10))</f>
        <v/>
      </c>
      <c r="V1648" s="70">
        <f>IF($A1648="","",IF(OR(AC1648="Demandé",AC1648="Planifié",AC1648="Annulé"),0,N(T1648)*N(U1648)))</f>
        <v/>
      </c>
      <c r="W1648" s="70">
        <f>IF($A1648="","",SUMIFS('Mouvements stock'!$H$5:$H$3004,'Mouvements stock'!$I$5:$I$3004,$A1648,'Mouvements stock'!$C$5:$C$3004,"Sortie")-SUMIFS('Mouvements stock'!$H$5:$H$3004,'Mouvements stock'!$I$5:$I$3004,$A1648,'Mouvements stock'!$C$5:$C$3004,"Retour"))</f>
        <v/>
      </c>
      <c r="X1648" s="66" t="n"/>
      <c r="Y1648" s="66" t="n"/>
      <c r="Z1648" s="7" t="n"/>
      <c r="AA1648" s="70">
        <f>IF($A1648="","",N(V1648)+N(W1648)+N(X1648)+N(Y1648))</f>
        <v/>
      </c>
      <c r="AB1648" s="70">
        <f>IF($A1648="","",N(S1648)*'Paramètres'!$AA$9*IFERROR(INDEX('Paramètres'!$O$5:$O$7,MATCH(G1648,'Paramètres'!$N$5:$N$7,0)),0))</f>
        <v/>
      </c>
      <c r="AC1648" s="7" t="n"/>
      <c r="AD1648" s="69">
        <f>IF(OR($A1648="",Q1648=""),"",(Q1648-B1648)*24)</f>
        <v/>
      </c>
      <c r="AE1648" s="69">
        <f>IF(OR(Q1648="",R1648=""),"",(R1648-Q1648)*24)</f>
        <v/>
      </c>
      <c r="AF1648" s="77">
        <f>IF(OR($A1648="",B1648=""),"",YEAR(B1648))</f>
        <v/>
      </c>
      <c r="AG1648" s="77">
        <f>IF(OR($A1648="",B1648=""),"",MONTH(B1648))</f>
        <v/>
      </c>
    </row>
    <row r="1649">
      <c r="A1649" s="7" t="n"/>
      <c r="B1649" s="75" t="n"/>
      <c r="C1649" s="7" t="n"/>
      <c r="D1649" s="7" t="n"/>
      <c r="E1649" s="9">
        <f>IF(D1649="","",IFERROR(INDEX('Équipements'!$B$5:$B$304,MATCH(D1649,'Équipements'!$A$5:$A$304,0)),"Code inconnu"))</f>
        <v/>
      </c>
      <c r="F1649" s="9">
        <f>IF(D1649="","",IFERROR(INDEX('Équipements'!$D$5:$D$304,MATCH(D1649,'Équipements'!$A$5:$A$304,0)),""))</f>
        <v/>
      </c>
      <c r="G1649" s="9">
        <f>IF(D1649="","",IFERROR(INDEX('Équipements'!$K$5:$K$304,MATCH(D1649,'Équipements'!$A$5:$A$304,0)),""))</f>
        <v/>
      </c>
      <c r="H1649" s="7" t="n"/>
      <c r="I1649" s="7" t="n"/>
      <c r="J1649" s="7" t="n"/>
      <c r="K1649" s="7" t="n"/>
      <c r="L1649" s="7" t="n"/>
      <c r="M1649" s="7" t="n"/>
      <c r="N1649" s="7" t="n"/>
      <c r="O1649" s="7" t="n"/>
      <c r="P1649" s="65" t="n"/>
      <c r="Q1649" s="75" t="n"/>
      <c r="R1649" s="75" t="n"/>
      <c r="S1649" s="76" t="n"/>
      <c r="T1649" s="76" t="n"/>
      <c r="U1649" s="70">
        <f>IF($A1649="","",IFERROR(INDEX('Techniciens'!$F$5:$F$44,MATCH(O1649,'Techniciens'!$B$5:$B$44,0)),'Paramètres'!$AA$10))</f>
        <v/>
      </c>
      <c r="V1649" s="70">
        <f>IF($A1649="","",IF(OR(AC1649="Demandé",AC1649="Planifié",AC1649="Annulé"),0,N(T1649)*N(U1649)))</f>
        <v/>
      </c>
      <c r="W1649" s="70">
        <f>IF($A1649="","",SUMIFS('Mouvements stock'!$H$5:$H$3004,'Mouvements stock'!$I$5:$I$3004,$A1649,'Mouvements stock'!$C$5:$C$3004,"Sortie")-SUMIFS('Mouvements stock'!$H$5:$H$3004,'Mouvements stock'!$I$5:$I$3004,$A1649,'Mouvements stock'!$C$5:$C$3004,"Retour"))</f>
        <v/>
      </c>
      <c r="X1649" s="66" t="n"/>
      <c r="Y1649" s="66" t="n"/>
      <c r="Z1649" s="7" t="n"/>
      <c r="AA1649" s="70">
        <f>IF($A1649="","",N(V1649)+N(W1649)+N(X1649)+N(Y1649))</f>
        <v/>
      </c>
      <c r="AB1649" s="70">
        <f>IF($A1649="","",N(S1649)*'Paramètres'!$AA$9*IFERROR(INDEX('Paramètres'!$O$5:$O$7,MATCH(G1649,'Paramètres'!$N$5:$N$7,0)),0))</f>
        <v/>
      </c>
      <c r="AC1649" s="7" t="n"/>
      <c r="AD1649" s="69">
        <f>IF(OR($A1649="",Q1649=""),"",(Q1649-B1649)*24)</f>
        <v/>
      </c>
      <c r="AE1649" s="69">
        <f>IF(OR(Q1649="",R1649=""),"",(R1649-Q1649)*24)</f>
        <v/>
      </c>
      <c r="AF1649" s="77">
        <f>IF(OR($A1649="",B1649=""),"",YEAR(B1649))</f>
        <v/>
      </c>
      <c r="AG1649" s="77">
        <f>IF(OR($A1649="",B1649=""),"",MONTH(B1649))</f>
        <v/>
      </c>
    </row>
    <row r="1650">
      <c r="A1650" s="7" t="n"/>
      <c r="B1650" s="75" t="n"/>
      <c r="C1650" s="7" t="n"/>
      <c r="D1650" s="7" t="n"/>
      <c r="E1650" s="9">
        <f>IF(D1650="","",IFERROR(INDEX('Équipements'!$B$5:$B$304,MATCH(D1650,'Équipements'!$A$5:$A$304,0)),"Code inconnu"))</f>
        <v/>
      </c>
      <c r="F1650" s="9">
        <f>IF(D1650="","",IFERROR(INDEX('Équipements'!$D$5:$D$304,MATCH(D1650,'Équipements'!$A$5:$A$304,0)),""))</f>
        <v/>
      </c>
      <c r="G1650" s="9">
        <f>IF(D1650="","",IFERROR(INDEX('Équipements'!$K$5:$K$304,MATCH(D1650,'Équipements'!$A$5:$A$304,0)),""))</f>
        <v/>
      </c>
      <c r="H1650" s="7" t="n"/>
      <c r="I1650" s="7" t="n"/>
      <c r="J1650" s="7" t="n"/>
      <c r="K1650" s="7" t="n"/>
      <c r="L1650" s="7" t="n"/>
      <c r="M1650" s="7" t="n"/>
      <c r="N1650" s="7" t="n"/>
      <c r="O1650" s="7" t="n"/>
      <c r="P1650" s="65" t="n"/>
      <c r="Q1650" s="75" t="n"/>
      <c r="R1650" s="75" t="n"/>
      <c r="S1650" s="76" t="n"/>
      <c r="T1650" s="76" t="n"/>
      <c r="U1650" s="70">
        <f>IF($A1650="","",IFERROR(INDEX('Techniciens'!$F$5:$F$44,MATCH(O1650,'Techniciens'!$B$5:$B$44,0)),'Paramètres'!$AA$10))</f>
        <v/>
      </c>
      <c r="V1650" s="70">
        <f>IF($A1650="","",IF(OR(AC1650="Demandé",AC1650="Planifié",AC1650="Annulé"),0,N(T1650)*N(U1650)))</f>
        <v/>
      </c>
      <c r="W1650" s="70">
        <f>IF($A1650="","",SUMIFS('Mouvements stock'!$H$5:$H$3004,'Mouvements stock'!$I$5:$I$3004,$A1650,'Mouvements stock'!$C$5:$C$3004,"Sortie")-SUMIFS('Mouvements stock'!$H$5:$H$3004,'Mouvements stock'!$I$5:$I$3004,$A1650,'Mouvements stock'!$C$5:$C$3004,"Retour"))</f>
        <v/>
      </c>
      <c r="X1650" s="66" t="n"/>
      <c r="Y1650" s="66" t="n"/>
      <c r="Z1650" s="7" t="n"/>
      <c r="AA1650" s="70">
        <f>IF($A1650="","",N(V1650)+N(W1650)+N(X1650)+N(Y1650))</f>
        <v/>
      </c>
      <c r="AB1650" s="70">
        <f>IF($A1650="","",N(S1650)*'Paramètres'!$AA$9*IFERROR(INDEX('Paramètres'!$O$5:$O$7,MATCH(G1650,'Paramètres'!$N$5:$N$7,0)),0))</f>
        <v/>
      </c>
      <c r="AC1650" s="7" t="n"/>
      <c r="AD1650" s="69">
        <f>IF(OR($A1650="",Q1650=""),"",(Q1650-B1650)*24)</f>
        <v/>
      </c>
      <c r="AE1650" s="69">
        <f>IF(OR(Q1650="",R1650=""),"",(R1650-Q1650)*24)</f>
        <v/>
      </c>
      <c r="AF1650" s="77">
        <f>IF(OR($A1650="",B1650=""),"",YEAR(B1650))</f>
        <v/>
      </c>
      <c r="AG1650" s="77">
        <f>IF(OR($A1650="",B1650=""),"",MONTH(B1650))</f>
        <v/>
      </c>
    </row>
    <row r="1651">
      <c r="A1651" s="7" t="n"/>
      <c r="B1651" s="75" t="n"/>
      <c r="C1651" s="7" t="n"/>
      <c r="D1651" s="7" t="n"/>
      <c r="E1651" s="9">
        <f>IF(D1651="","",IFERROR(INDEX('Équipements'!$B$5:$B$304,MATCH(D1651,'Équipements'!$A$5:$A$304,0)),"Code inconnu"))</f>
        <v/>
      </c>
      <c r="F1651" s="9">
        <f>IF(D1651="","",IFERROR(INDEX('Équipements'!$D$5:$D$304,MATCH(D1651,'Équipements'!$A$5:$A$304,0)),""))</f>
        <v/>
      </c>
      <c r="G1651" s="9">
        <f>IF(D1651="","",IFERROR(INDEX('Équipements'!$K$5:$K$304,MATCH(D1651,'Équipements'!$A$5:$A$304,0)),""))</f>
        <v/>
      </c>
      <c r="H1651" s="7" t="n"/>
      <c r="I1651" s="7" t="n"/>
      <c r="J1651" s="7" t="n"/>
      <c r="K1651" s="7" t="n"/>
      <c r="L1651" s="7" t="n"/>
      <c r="M1651" s="7" t="n"/>
      <c r="N1651" s="7" t="n"/>
      <c r="O1651" s="7" t="n"/>
      <c r="P1651" s="65" t="n"/>
      <c r="Q1651" s="75" t="n"/>
      <c r="R1651" s="75" t="n"/>
      <c r="S1651" s="76" t="n"/>
      <c r="T1651" s="76" t="n"/>
      <c r="U1651" s="70">
        <f>IF($A1651="","",IFERROR(INDEX('Techniciens'!$F$5:$F$44,MATCH(O1651,'Techniciens'!$B$5:$B$44,0)),'Paramètres'!$AA$10))</f>
        <v/>
      </c>
      <c r="V1651" s="70">
        <f>IF($A1651="","",IF(OR(AC1651="Demandé",AC1651="Planifié",AC1651="Annulé"),0,N(T1651)*N(U1651)))</f>
        <v/>
      </c>
      <c r="W1651" s="70">
        <f>IF($A1651="","",SUMIFS('Mouvements stock'!$H$5:$H$3004,'Mouvements stock'!$I$5:$I$3004,$A1651,'Mouvements stock'!$C$5:$C$3004,"Sortie")-SUMIFS('Mouvements stock'!$H$5:$H$3004,'Mouvements stock'!$I$5:$I$3004,$A1651,'Mouvements stock'!$C$5:$C$3004,"Retour"))</f>
        <v/>
      </c>
      <c r="X1651" s="66" t="n"/>
      <c r="Y1651" s="66" t="n"/>
      <c r="Z1651" s="7" t="n"/>
      <c r="AA1651" s="70">
        <f>IF($A1651="","",N(V1651)+N(W1651)+N(X1651)+N(Y1651))</f>
        <v/>
      </c>
      <c r="AB1651" s="70">
        <f>IF($A1651="","",N(S1651)*'Paramètres'!$AA$9*IFERROR(INDEX('Paramètres'!$O$5:$O$7,MATCH(G1651,'Paramètres'!$N$5:$N$7,0)),0))</f>
        <v/>
      </c>
      <c r="AC1651" s="7" t="n"/>
      <c r="AD1651" s="69">
        <f>IF(OR($A1651="",Q1651=""),"",(Q1651-B1651)*24)</f>
        <v/>
      </c>
      <c r="AE1651" s="69">
        <f>IF(OR(Q1651="",R1651=""),"",(R1651-Q1651)*24)</f>
        <v/>
      </c>
      <c r="AF1651" s="77">
        <f>IF(OR($A1651="",B1651=""),"",YEAR(B1651))</f>
        <v/>
      </c>
      <c r="AG1651" s="77">
        <f>IF(OR($A1651="",B1651=""),"",MONTH(B1651))</f>
        <v/>
      </c>
    </row>
    <row r="1652">
      <c r="A1652" s="7" t="n"/>
      <c r="B1652" s="75" t="n"/>
      <c r="C1652" s="7" t="n"/>
      <c r="D1652" s="7" t="n"/>
      <c r="E1652" s="9">
        <f>IF(D1652="","",IFERROR(INDEX('Équipements'!$B$5:$B$304,MATCH(D1652,'Équipements'!$A$5:$A$304,0)),"Code inconnu"))</f>
        <v/>
      </c>
      <c r="F1652" s="9">
        <f>IF(D1652="","",IFERROR(INDEX('Équipements'!$D$5:$D$304,MATCH(D1652,'Équipements'!$A$5:$A$304,0)),""))</f>
        <v/>
      </c>
      <c r="G1652" s="9">
        <f>IF(D1652="","",IFERROR(INDEX('Équipements'!$K$5:$K$304,MATCH(D1652,'Équipements'!$A$5:$A$304,0)),""))</f>
        <v/>
      </c>
      <c r="H1652" s="7" t="n"/>
      <c r="I1652" s="7" t="n"/>
      <c r="J1652" s="7" t="n"/>
      <c r="K1652" s="7" t="n"/>
      <c r="L1652" s="7" t="n"/>
      <c r="M1652" s="7" t="n"/>
      <c r="N1652" s="7" t="n"/>
      <c r="O1652" s="7" t="n"/>
      <c r="P1652" s="65" t="n"/>
      <c r="Q1652" s="75" t="n"/>
      <c r="R1652" s="75" t="n"/>
      <c r="S1652" s="76" t="n"/>
      <c r="T1652" s="76" t="n"/>
      <c r="U1652" s="70">
        <f>IF($A1652="","",IFERROR(INDEX('Techniciens'!$F$5:$F$44,MATCH(O1652,'Techniciens'!$B$5:$B$44,0)),'Paramètres'!$AA$10))</f>
        <v/>
      </c>
      <c r="V1652" s="70">
        <f>IF($A1652="","",IF(OR(AC1652="Demandé",AC1652="Planifié",AC1652="Annulé"),0,N(T1652)*N(U1652)))</f>
        <v/>
      </c>
      <c r="W1652" s="70">
        <f>IF($A1652="","",SUMIFS('Mouvements stock'!$H$5:$H$3004,'Mouvements stock'!$I$5:$I$3004,$A1652,'Mouvements stock'!$C$5:$C$3004,"Sortie")-SUMIFS('Mouvements stock'!$H$5:$H$3004,'Mouvements stock'!$I$5:$I$3004,$A1652,'Mouvements stock'!$C$5:$C$3004,"Retour"))</f>
        <v/>
      </c>
      <c r="X1652" s="66" t="n"/>
      <c r="Y1652" s="66" t="n"/>
      <c r="Z1652" s="7" t="n"/>
      <c r="AA1652" s="70">
        <f>IF($A1652="","",N(V1652)+N(W1652)+N(X1652)+N(Y1652))</f>
        <v/>
      </c>
      <c r="AB1652" s="70">
        <f>IF($A1652="","",N(S1652)*'Paramètres'!$AA$9*IFERROR(INDEX('Paramètres'!$O$5:$O$7,MATCH(G1652,'Paramètres'!$N$5:$N$7,0)),0))</f>
        <v/>
      </c>
      <c r="AC1652" s="7" t="n"/>
      <c r="AD1652" s="69">
        <f>IF(OR($A1652="",Q1652=""),"",(Q1652-B1652)*24)</f>
        <v/>
      </c>
      <c r="AE1652" s="69">
        <f>IF(OR(Q1652="",R1652=""),"",(R1652-Q1652)*24)</f>
        <v/>
      </c>
      <c r="AF1652" s="77">
        <f>IF(OR($A1652="",B1652=""),"",YEAR(B1652))</f>
        <v/>
      </c>
      <c r="AG1652" s="77">
        <f>IF(OR($A1652="",B1652=""),"",MONTH(B1652))</f>
        <v/>
      </c>
    </row>
    <row r="1653">
      <c r="A1653" s="7" t="n"/>
      <c r="B1653" s="75" t="n"/>
      <c r="C1653" s="7" t="n"/>
      <c r="D1653" s="7" t="n"/>
      <c r="E1653" s="9">
        <f>IF(D1653="","",IFERROR(INDEX('Équipements'!$B$5:$B$304,MATCH(D1653,'Équipements'!$A$5:$A$304,0)),"Code inconnu"))</f>
        <v/>
      </c>
      <c r="F1653" s="9">
        <f>IF(D1653="","",IFERROR(INDEX('Équipements'!$D$5:$D$304,MATCH(D1653,'Équipements'!$A$5:$A$304,0)),""))</f>
        <v/>
      </c>
      <c r="G1653" s="9">
        <f>IF(D1653="","",IFERROR(INDEX('Équipements'!$K$5:$K$304,MATCH(D1653,'Équipements'!$A$5:$A$304,0)),""))</f>
        <v/>
      </c>
      <c r="H1653" s="7" t="n"/>
      <c r="I1653" s="7" t="n"/>
      <c r="J1653" s="7" t="n"/>
      <c r="K1653" s="7" t="n"/>
      <c r="L1653" s="7" t="n"/>
      <c r="M1653" s="7" t="n"/>
      <c r="N1653" s="7" t="n"/>
      <c r="O1653" s="7" t="n"/>
      <c r="P1653" s="65" t="n"/>
      <c r="Q1653" s="75" t="n"/>
      <c r="R1653" s="75" t="n"/>
      <c r="S1653" s="76" t="n"/>
      <c r="T1653" s="76" t="n"/>
      <c r="U1653" s="70">
        <f>IF($A1653="","",IFERROR(INDEX('Techniciens'!$F$5:$F$44,MATCH(O1653,'Techniciens'!$B$5:$B$44,0)),'Paramètres'!$AA$10))</f>
        <v/>
      </c>
      <c r="V1653" s="70">
        <f>IF($A1653="","",IF(OR(AC1653="Demandé",AC1653="Planifié",AC1653="Annulé"),0,N(T1653)*N(U1653)))</f>
        <v/>
      </c>
      <c r="W1653" s="70">
        <f>IF($A1653="","",SUMIFS('Mouvements stock'!$H$5:$H$3004,'Mouvements stock'!$I$5:$I$3004,$A1653,'Mouvements stock'!$C$5:$C$3004,"Sortie")-SUMIFS('Mouvements stock'!$H$5:$H$3004,'Mouvements stock'!$I$5:$I$3004,$A1653,'Mouvements stock'!$C$5:$C$3004,"Retour"))</f>
        <v/>
      </c>
      <c r="X1653" s="66" t="n"/>
      <c r="Y1653" s="66" t="n"/>
      <c r="Z1653" s="7" t="n"/>
      <c r="AA1653" s="70">
        <f>IF($A1653="","",N(V1653)+N(W1653)+N(X1653)+N(Y1653))</f>
        <v/>
      </c>
      <c r="AB1653" s="70">
        <f>IF($A1653="","",N(S1653)*'Paramètres'!$AA$9*IFERROR(INDEX('Paramètres'!$O$5:$O$7,MATCH(G1653,'Paramètres'!$N$5:$N$7,0)),0))</f>
        <v/>
      </c>
      <c r="AC1653" s="7" t="n"/>
      <c r="AD1653" s="69">
        <f>IF(OR($A1653="",Q1653=""),"",(Q1653-B1653)*24)</f>
        <v/>
      </c>
      <c r="AE1653" s="69">
        <f>IF(OR(Q1653="",R1653=""),"",(R1653-Q1653)*24)</f>
        <v/>
      </c>
      <c r="AF1653" s="77">
        <f>IF(OR($A1653="",B1653=""),"",YEAR(B1653))</f>
        <v/>
      </c>
      <c r="AG1653" s="77">
        <f>IF(OR($A1653="",B1653=""),"",MONTH(B1653))</f>
        <v/>
      </c>
    </row>
    <row r="1654">
      <c r="A1654" s="7" t="n"/>
      <c r="B1654" s="75" t="n"/>
      <c r="C1654" s="7" t="n"/>
      <c r="D1654" s="7" t="n"/>
      <c r="E1654" s="9">
        <f>IF(D1654="","",IFERROR(INDEX('Équipements'!$B$5:$B$304,MATCH(D1654,'Équipements'!$A$5:$A$304,0)),"Code inconnu"))</f>
        <v/>
      </c>
      <c r="F1654" s="9">
        <f>IF(D1654="","",IFERROR(INDEX('Équipements'!$D$5:$D$304,MATCH(D1654,'Équipements'!$A$5:$A$304,0)),""))</f>
        <v/>
      </c>
      <c r="G1654" s="9">
        <f>IF(D1654="","",IFERROR(INDEX('Équipements'!$K$5:$K$304,MATCH(D1654,'Équipements'!$A$5:$A$304,0)),""))</f>
        <v/>
      </c>
      <c r="H1654" s="7" t="n"/>
      <c r="I1654" s="7" t="n"/>
      <c r="J1654" s="7" t="n"/>
      <c r="K1654" s="7" t="n"/>
      <c r="L1654" s="7" t="n"/>
      <c r="M1654" s="7" t="n"/>
      <c r="N1654" s="7" t="n"/>
      <c r="O1654" s="7" t="n"/>
      <c r="P1654" s="65" t="n"/>
      <c r="Q1654" s="75" t="n"/>
      <c r="R1654" s="75" t="n"/>
      <c r="S1654" s="76" t="n"/>
      <c r="T1654" s="76" t="n"/>
      <c r="U1654" s="70">
        <f>IF($A1654="","",IFERROR(INDEX('Techniciens'!$F$5:$F$44,MATCH(O1654,'Techniciens'!$B$5:$B$44,0)),'Paramètres'!$AA$10))</f>
        <v/>
      </c>
      <c r="V1654" s="70">
        <f>IF($A1654="","",IF(OR(AC1654="Demandé",AC1654="Planifié",AC1654="Annulé"),0,N(T1654)*N(U1654)))</f>
        <v/>
      </c>
      <c r="W1654" s="70">
        <f>IF($A1654="","",SUMIFS('Mouvements stock'!$H$5:$H$3004,'Mouvements stock'!$I$5:$I$3004,$A1654,'Mouvements stock'!$C$5:$C$3004,"Sortie")-SUMIFS('Mouvements stock'!$H$5:$H$3004,'Mouvements stock'!$I$5:$I$3004,$A1654,'Mouvements stock'!$C$5:$C$3004,"Retour"))</f>
        <v/>
      </c>
      <c r="X1654" s="66" t="n"/>
      <c r="Y1654" s="66" t="n"/>
      <c r="Z1654" s="7" t="n"/>
      <c r="AA1654" s="70">
        <f>IF($A1654="","",N(V1654)+N(W1654)+N(X1654)+N(Y1654))</f>
        <v/>
      </c>
      <c r="AB1654" s="70">
        <f>IF($A1654="","",N(S1654)*'Paramètres'!$AA$9*IFERROR(INDEX('Paramètres'!$O$5:$O$7,MATCH(G1654,'Paramètres'!$N$5:$N$7,0)),0))</f>
        <v/>
      </c>
      <c r="AC1654" s="7" t="n"/>
      <c r="AD1654" s="69">
        <f>IF(OR($A1654="",Q1654=""),"",(Q1654-B1654)*24)</f>
        <v/>
      </c>
      <c r="AE1654" s="69">
        <f>IF(OR(Q1654="",R1654=""),"",(R1654-Q1654)*24)</f>
        <v/>
      </c>
      <c r="AF1654" s="77">
        <f>IF(OR($A1654="",B1654=""),"",YEAR(B1654))</f>
        <v/>
      </c>
      <c r="AG1654" s="77">
        <f>IF(OR($A1654="",B1654=""),"",MONTH(B1654))</f>
        <v/>
      </c>
    </row>
    <row r="1655">
      <c r="A1655" s="7" t="n"/>
      <c r="B1655" s="75" t="n"/>
      <c r="C1655" s="7" t="n"/>
      <c r="D1655" s="7" t="n"/>
      <c r="E1655" s="9">
        <f>IF(D1655="","",IFERROR(INDEX('Équipements'!$B$5:$B$304,MATCH(D1655,'Équipements'!$A$5:$A$304,0)),"Code inconnu"))</f>
        <v/>
      </c>
      <c r="F1655" s="9">
        <f>IF(D1655="","",IFERROR(INDEX('Équipements'!$D$5:$D$304,MATCH(D1655,'Équipements'!$A$5:$A$304,0)),""))</f>
        <v/>
      </c>
      <c r="G1655" s="9">
        <f>IF(D1655="","",IFERROR(INDEX('Équipements'!$K$5:$K$304,MATCH(D1655,'Équipements'!$A$5:$A$304,0)),""))</f>
        <v/>
      </c>
      <c r="H1655" s="7" t="n"/>
      <c r="I1655" s="7" t="n"/>
      <c r="J1655" s="7" t="n"/>
      <c r="K1655" s="7" t="n"/>
      <c r="L1655" s="7" t="n"/>
      <c r="M1655" s="7" t="n"/>
      <c r="N1655" s="7" t="n"/>
      <c r="O1655" s="7" t="n"/>
      <c r="P1655" s="65" t="n"/>
      <c r="Q1655" s="75" t="n"/>
      <c r="R1655" s="75" t="n"/>
      <c r="S1655" s="76" t="n"/>
      <c r="T1655" s="76" t="n"/>
      <c r="U1655" s="70">
        <f>IF($A1655="","",IFERROR(INDEX('Techniciens'!$F$5:$F$44,MATCH(O1655,'Techniciens'!$B$5:$B$44,0)),'Paramètres'!$AA$10))</f>
        <v/>
      </c>
      <c r="V1655" s="70">
        <f>IF($A1655="","",IF(OR(AC1655="Demandé",AC1655="Planifié",AC1655="Annulé"),0,N(T1655)*N(U1655)))</f>
        <v/>
      </c>
      <c r="W1655" s="70">
        <f>IF($A1655="","",SUMIFS('Mouvements stock'!$H$5:$H$3004,'Mouvements stock'!$I$5:$I$3004,$A1655,'Mouvements stock'!$C$5:$C$3004,"Sortie")-SUMIFS('Mouvements stock'!$H$5:$H$3004,'Mouvements stock'!$I$5:$I$3004,$A1655,'Mouvements stock'!$C$5:$C$3004,"Retour"))</f>
        <v/>
      </c>
      <c r="X1655" s="66" t="n"/>
      <c r="Y1655" s="66" t="n"/>
      <c r="Z1655" s="7" t="n"/>
      <c r="AA1655" s="70">
        <f>IF($A1655="","",N(V1655)+N(W1655)+N(X1655)+N(Y1655))</f>
        <v/>
      </c>
      <c r="AB1655" s="70">
        <f>IF($A1655="","",N(S1655)*'Paramètres'!$AA$9*IFERROR(INDEX('Paramètres'!$O$5:$O$7,MATCH(G1655,'Paramètres'!$N$5:$N$7,0)),0))</f>
        <v/>
      </c>
      <c r="AC1655" s="7" t="n"/>
      <c r="AD1655" s="69">
        <f>IF(OR($A1655="",Q1655=""),"",(Q1655-B1655)*24)</f>
        <v/>
      </c>
      <c r="AE1655" s="69">
        <f>IF(OR(Q1655="",R1655=""),"",(R1655-Q1655)*24)</f>
        <v/>
      </c>
      <c r="AF1655" s="77">
        <f>IF(OR($A1655="",B1655=""),"",YEAR(B1655))</f>
        <v/>
      </c>
      <c r="AG1655" s="77">
        <f>IF(OR($A1655="",B1655=""),"",MONTH(B1655))</f>
        <v/>
      </c>
    </row>
    <row r="1656">
      <c r="A1656" s="7" t="n"/>
      <c r="B1656" s="75" t="n"/>
      <c r="C1656" s="7" t="n"/>
      <c r="D1656" s="7" t="n"/>
      <c r="E1656" s="9">
        <f>IF(D1656="","",IFERROR(INDEX('Équipements'!$B$5:$B$304,MATCH(D1656,'Équipements'!$A$5:$A$304,0)),"Code inconnu"))</f>
        <v/>
      </c>
      <c r="F1656" s="9">
        <f>IF(D1656="","",IFERROR(INDEX('Équipements'!$D$5:$D$304,MATCH(D1656,'Équipements'!$A$5:$A$304,0)),""))</f>
        <v/>
      </c>
      <c r="G1656" s="9">
        <f>IF(D1656="","",IFERROR(INDEX('Équipements'!$K$5:$K$304,MATCH(D1656,'Équipements'!$A$5:$A$304,0)),""))</f>
        <v/>
      </c>
      <c r="H1656" s="7" t="n"/>
      <c r="I1656" s="7" t="n"/>
      <c r="J1656" s="7" t="n"/>
      <c r="K1656" s="7" t="n"/>
      <c r="L1656" s="7" t="n"/>
      <c r="M1656" s="7" t="n"/>
      <c r="N1656" s="7" t="n"/>
      <c r="O1656" s="7" t="n"/>
      <c r="P1656" s="65" t="n"/>
      <c r="Q1656" s="75" t="n"/>
      <c r="R1656" s="75" t="n"/>
      <c r="S1656" s="76" t="n"/>
      <c r="T1656" s="76" t="n"/>
      <c r="U1656" s="70">
        <f>IF($A1656="","",IFERROR(INDEX('Techniciens'!$F$5:$F$44,MATCH(O1656,'Techniciens'!$B$5:$B$44,0)),'Paramètres'!$AA$10))</f>
        <v/>
      </c>
      <c r="V1656" s="70">
        <f>IF($A1656="","",IF(OR(AC1656="Demandé",AC1656="Planifié",AC1656="Annulé"),0,N(T1656)*N(U1656)))</f>
        <v/>
      </c>
      <c r="W1656" s="70">
        <f>IF($A1656="","",SUMIFS('Mouvements stock'!$H$5:$H$3004,'Mouvements stock'!$I$5:$I$3004,$A1656,'Mouvements stock'!$C$5:$C$3004,"Sortie")-SUMIFS('Mouvements stock'!$H$5:$H$3004,'Mouvements stock'!$I$5:$I$3004,$A1656,'Mouvements stock'!$C$5:$C$3004,"Retour"))</f>
        <v/>
      </c>
      <c r="X1656" s="66" t="n"/>
      <c r="Y1656" s="66" t="n"/>
      <c r="Z1656" s="7" t="n"/>
      <c r="AA1656" s="70">
        <f>IF($A1656="","",N(V1656)+N(W1656)+N(X1656)+N(Y1656))</f>
        <v/>
      </c>
      <c r="AB1656" s="70">
        <f>IF($A1656="","",N(S1656)*'Paramètres'!$AA$9*IFERROR(INDEX('Paramètres'!$O$5:$O$7,MATCH(G1656,'Paramètres'!$N$5:$N$7,0)),0))</f>
        <v/>
      </c>
      <c r="AC1656" s="7" t="n"/>
      <c r="AD1656" s="69">
        <f>IF(OR($A1656="",Q1656=""),"",(Q1656-B1656)*24)</f>
        <v/>
      </c>
      <c r="AE1656" s="69">
        <f>IF(OR(Q1656="",R1656=""),"",(R1656-Q1656)*24)</f>
        <v/>
      </c>
      <c r="AF1656" s="77">
        <f>IF(OR($A1656="",B1656=""),"",YEAR(B1656))</f>
        <v/>
      </c>
      <c r="AG1656" s="77">
        <f>IF(OR($A1656="",B1656=""),"",MONTH(B1656))</f>
        <v/>
      </c>
    </row>
    <row r="1657">
      <c r="A1657" s="7" t="n"/>
      <c r="B1657" s="75" t="n"/>
      <c r="C1657" s="7" t="n"/>
      <c r="D1657" s="7" t="n"/>
      <c r="E1657" s="9">
        <f>IF(D1657="","",IFERROR(INDEX('Équipements'!$B$5:$B$304,MATCH(D1657,'Équipements'!$A$5:$A$304,0)),"Code inconnu"))</f>
        <v/>
      </c>
      <c r="F1657" s="9">
        <f>IF(D1657="","",IFERROR(INDEX('Équipements'!$D$5:$D$304,MATCH(D1657,'Équipements'!$A$5:$A$304,0)),""))</f>
        <v/>
      </c>
      <c r="G1657" s="9">
        <f>IF(D1657="","",IFERROR(INDEX('Équipements'!$K$5:$K$304,MATCH(D1657,'Équipements'!$A$5:$A$304,0)),""))</f>
        <v/>
      </c>
      <c r="H1657" s="7" t="n"/>
      <c r="I1657" s="7" t="n"/>
      <c r="J1657" s="7" t="n"/>
      <c r="K1657" s="7" t="n"/>
      <c r="L1657" s="7" t="n"/>
      <c r="M1657" s="7" t="n"/>
      <c r="N1657" s="7" t="n"/>
      <c r="O1657" s="7" t="n"/>
      <c r="P1657" s="65" t="n"/>
      <c r="Q1657" s="75" t="n"/>
      <c r="R1657" s="75" t="n"/>
      <c r="S1657" s="76" t="n"/>
      <c r="T1657" s="76" t="n"/>
      <c r="U1657" s="70">
        <f>IF($A1657="","",IFERROR(INDEX('Techniciens'!$F$5:$F$44,MATCH(O1657,'Techniciens'!$B$5:$B$44,0)),'Paramètres'!$AA$10))</f>
        <v/>
      </c>
      <c r="V1657" s="70">
        <f>IF($A1657="","",IF(OR(AC1657="Demandé",AC1657="Planifié",AC1657="Annulé"),0,N(T1657)*N(U1657)))</f>
        <v/>
      </c>
      <c r="W1657" s="70">
        <f>IF($A1657="","",SUMIFS('Mouvements stock'!$H$5:$H$3004,'Mouvements stock'!$I$5:$I$3004,$A1657,'Mouvements stock'!$C$5:$C$3004,"Sortie")-SUMIFS('Mouvements stock'!$H$5:$H$3004,'Mouvements stock'!$I$5:$I$3004,$A1657,'Mouvements stock'!$C$5:$C$3004,"Retour"))</f>
        <v/>
      </c>
      <c r="X1657" s="66" t="n"/>
      <c r="Y1657" s="66" t="n"/>
      <c r="Z1657" s="7" t="n"/>
      <c r="AA1657" s="70">
        <f>IF($A1657="","",N(V1657)+N(W1657)+N(X1657)+N(Y1657))</f>
        <v/>
      </c>
      <c r="AB1657" s="70">
        <f>IF($A1657="","",N(S1657)*'Paramètres'!$AA$9*IFERROR(INDEX('Paramètres'!$O$5:$O$7,MATCH(G1657,'Paramètres'!$N$5:$N$7,0)),0))</f>
        <v/>
      </c>
      <c r="AC1657" s="7" t="n"/>
      <c r="AD1657" s="69">
        <f>IF(OR($A1657="",Q1657=""),"",(Q1657-B1657)*24)</f>
        <v/>
      </c>
      <c r="AE1657" s="69">
        <f>IF(OR(Q1657="",R1657=""),"",(R1657-Q1657)*24)</f>
        <v/>
      </c>
      <c r="AF1657" s="77">
        <f>IF(OR($A1657="",B1657=""),"",YEAR(B1657))</f>
        <v/>
      </c>
      <c r="AG1657" s="77">
        <f>IF(OR($A1657="",B1657=""),"",MONTH(B1657))</f>
        <v/>
      </c>
    </row>
    <row r="1658">
      <c r="A1658" s="7" t="n"/>
      <c r="B1658" s="75" t="n"/>
      <c r="C1658" s="7" t="n"/>
      <c r="D1658" s="7" t="n"/>
      <c r="E1658" s="9">
        <f>IF(D1658="","",IFERROR(INDEX('Équipements'!$B$5:$B$304,MATCH(D1658,'Équipements'!$A$5:$A$304,0)),"Code inconnu"))</f>
        <v/>
      </c>
      <c r="F1658" s="9">
        <f>IF(D1658="","",IFERROR(INDEX('Équipements'!$D$5:$D$304,MATCH(D1658,'Équipements'!$A$5:$A$304,0)),""))</f>
        <v/>
      </c>
      <c r="G1658" s="9">
        <f>IF(D1658="","",IFERROR(INDEX('Équipements'!$K$5:$K$304,MATCH(D1658,'Équipements'!$A$5:$A$304,0)),""))</f>
        <v/>
      </c>
      <c r="H1658" s="7" t="n"/>
      <c r="I1658" s="7" t="n"/>
      <c r="J1658" s="7" t="n"/>
      <c r="K1658" s="7" t="n"/>
      <c r="L1658" s="7" t="n"/>
      <c r="M1658" s="7" t="n"/>
      <c r="N1658" s="7" t="n"/>
      <c r="O1658" s="7" t="n"/>
      <c r="P1658" s="65" t="n"/>
      <c r="Q1658" s="75" t="n"/>
      <c r="R1658" s="75" t="n"/>
      <c r="S1658" s="76" t="n"/>
      <c r="T1658" s="76" t="n"/>
      <c r="U1658" s="70">
        <f>IF($A1658="","",IFERROR(INDEX('Techniciens'!$F$5:$F$44,MATCH(O1658,'Techniciens'!$B$5:$B$44,0)),'Paramètres'!$AA$10))</f>
        <v/>
      </c>
      <c r="V1658" s="70">
        <f>IF($A1658="","",IF(OR(AC1658="Demandé",AC1658="Planifié",AC1658="Annulé"),0,N(T1658)*N(U1658)))</f>
        <v/>
      </c>
      <c r="W1658" s="70">
        <f>IF($A1658="","",SUMIFS('Mouvements stock'!$H$5:$H$3004,'Mouvements stock'!$I$5:$I$3004,$A1658,'Mouvements stock'!$C$5:$C$3004,"Sortie")-SUMIFS('Mouvements stock'!$H$5:$H$3004,'Mouvements stock'!$I$5:$I$3004,$A1658,'Mouvements stock'!$C$5:$C$3004,"Retour"))</f>
        <v/>
      </c>
      <c r="X1658" s="66" t="n"/>
      <c r="Y1658" s="66" t="n"/>
      <c r="Z1658" s="7" t="n"/>
      <c r="AA1658" s="70">
        <f>IF($A1658="","",N(V1658)+N(W1658)+N(X1658)+N(Y1658))</f>
        <v/>
      </c>
      <c r="AB1658" s="70">
        <f>IF($A1658="","",N(S1658)*'Paramètres'!$AA$9*IFERROR(INDEX('Paramètres'!$O$5:$O$7,MATCH(G1658,'Paramètres'!$N$5:$N$7,0)),0))</f>
        <v/>
      </c>
      <c r="AC1658" s="7" t="n"/>
      <c r="AD1658" s="69">
        <f>IF(OR($A1658="",Q1658=""),"",(Q1658-B1658)*24)</f>
        <v/>
      </c>
      <c r="AE1658" s="69">
        <f>IF(OR(Q1658="",R1658=""),"",(R1658-Q1658)*24)</f>
        <v/>
      </c>
      <c r="AF1658" s="77">
        <f>IF(OR($A1658="",B1658=""),"",YEAR(B1658))</f>
        <v/>
      </c>
      <c r="AG1658" s="77">
        <f>IF(OR($A1658="",B1658=""),"",MONTH(B1658))</f>
        <v/>
      </c>
    </row>
    <row r="1659">
      <c r="A1659" s="7" t="n"/>
      <c r="B1659" s="75" t="n"/>
      <c r="C1659" s="7" t="n"/>
      <c r="D1659" s="7" t="n"/>
      <c r="E1659" s="9">
        <f>IF(D1659="","",IFERROR(INDEX('Équipements'!$B$5:$B$304,MATCH(D1659,'Équipements'!$A$5:$A$304,0)),"Code inconnu"))</f>
        <v/>
      </c>
      <c r="F1659" s="9">
        <f>IF(D1659="","",IFERROR(INDEX('Équipements'!$D$5:$D$304,MATCH(D1659,'Équipements'!$A$5:$A$304,0)),""))</f>
        <v/>
      </c>
      <c r="G1659" s="9">
        <f>IF(D1659="","",IFERROR(INDEX('Équipements'!$K$5:$K$304,MATCH(D1659,'Équipements'!$A$5:$A$304,0)),""))</f>
        <v/>
      </c>
      <c r="H1659" s="7" t="n"/>
      <c r="I1659" s="7" t="n"/>
      <c r="J1659" s="7" t="n"/>
      <c r="K1659" s="7" t="n"/>
      <c r="L1659" s="7" t="n"/>
      <c r="M1659" s="7" t="n"/>
      <c r="N1659" s="7" t="n"/>
      <c r="O1659" s="7" t="n"/>
      <c r="P1659" s="65" t="n"/>
      <c r="Q1659" s="75" t="n"/>
      <c r="R1659" s="75" t="n"/>
      <c r="S1659" s="76" t="n"/>
      <c r="T1659" s="76" t="n"/>
      <c r="U1659" s="70">
        <f>IF($A1659="","",IFERROR(INDEX('Techniciens'!$F$5:$F$44,MATCH(O1659,'Techniciens'!$B$5:$B$44,0)),'Paramètres'!$AA$10))</f>
        <v/>
      </c>
      <c r="V1659" s="70">
        <f>IF($A1659="","",IF(OR(AC1659="Demandé",AC1659="Planifié",AC1659="Annulé"),0,N(T1659)*N(U1659)))</f>
        <v/>
      </c>
      <c r="W1659" s="70">
        <f>IF($A1659="","",SUMIFS('Mouvements stock'!$H$5:$H$3004,'Mouvements stock'!$I$5:$I$3004,$A1659,'Mouvements stock'!$C$5:$C$3004,"Sortie")-SUMIFS('Mouvements stock'!$H$5:$H$3004,'Mouvements stock'!$I$5:$I$3004,$A1659,'Mouvements stock'!$C$5:$C$3004,"Retour"))</f>
        <v/>
      </c>
      <c r="X1659" s="66" t="n"/>
      <c r="Y1659" s="66" t="n"/>
      <c r="Z1659" s="7" t="n"/>
      <c r="AA1659" s="70">
        <f>IF($A1659="","",N(V1659)+N(W1659)+N(X1659)+N(Y1659))</f>
        <v/>
      </c>
      <c r="AB1659" s="70">
        <f>IF($A1659="","",N(S1659)*'Paramètres'!$AA$9*IFERROR(INDEX('Paramètres'!$O$5:$O$7,MATCH(G1659,'Paramètres'!$N$5:$N$7,0)),0))</f>
        <v/>
      </c>
      <c r="AC1659" s="7" t="n"/>
      <c r="AD1659" s="69">
        <f>IF(OR($A1659="",Q1659=""),"",(Q1659-B1659)*24)</f>
        <v/>
      </c>
      <c r="AE1659" s="69">
        <f>IF(OR(Q1659="",R1659=""),"",(R1659-Q1659)*24)</f>
        <v/>
      </c>
      <c r="AF1659" s="77">
        <f>IF(OR($A1659="",B1659=""),"",YEAR(B1659))</f>
        <v/>
      </c>
      <c r="AG1659" s="77">
        <f>IF(OR($A1659="",B1659=""),"",MONTH(B1659))</f>
        <v/>
      </c>
    </row>
    <row r="1660">
      <c r="A1660" s="7" t="n"/>
      <c r="B1660" s="75" t="n"/>
      <c r="C1660" s="7" t="n"/>
      <c r="D1660" s="7" t="n"/>
      <c r="E1660" s="9">
        <f>IF(D1660="","",IFERROR(INDEX('Équipements'!$B$5:$B$304,MATCH(D1660,'Équipements'!$A$5:$A$304,0)),"Code inconnu"))</f>
        <v/>
      </c>
      <c r="F1660" s="9">
        <f>IF(D1660="","",IFERROR(INDEX('Équipements'!$D$5:$D$304,MATCH(D1660,'Équipements'!$A$5:$A$304,0)),""))</f>
        <v/>
      </c>
      <c r="G1660" s="9">
        <f>IF(D1660="","",IFERROR(INDEX('Équipements'!$K$5:$K$304,MATCH(D1660,'Équipements'!$A$5:$A$304,0)),""))</f>
        <v/>
      </c>
      <c r="H1660" s="7" t="n"/>
      <c r="I1660" s="7" t="n"/>
      <c r="J1660" s="7" t="n"/>
      <c r="K1660" s="7" t="n"/>
      <c r="L1660" s="7" t="n"/>
      <c r="M1660" s="7" t="n"/>
      <c r="N1660" s="7" t="n"/>
      <c r="O1660" s="7" t="n"/>
      <c r="P1660" s="65" t="n"/>
      <c r="Q1660" s="75" t="n"/>
      <c r="R1660" s="75" t="n"/>
      <c r="S1660" s="76" t="n"/>
      <c r="T1660" s="76" t="n"/>
      <c r="U1660" s="70">
        <f>IF($A1660="","",IFERROR(INDEX('Techniciens'!$F$5:$F$44,MATCH(O1660,'Techniciens'!$B$5:$B$44,0)),'Paramètres'!$AA$10))</f>
        <v/>
      </c>
      <c r="V1660" s="70">
        <f>IF($A1660="","",IF(OR(AC1660="Demandé",AC1660="Planifié",AC1660="Annulé"),0,N(T1660)*N(U1660)))</f>
        <v/>
      </c>
      <c r="W1660" s="70">
        <f>IF($A1660="","",SUMIFS('Mouvements stock'!$H$5:$H$3004,'Mouvements stock'!$I$5:$I$3004,$A1660,'Mouvements stock'!$C$5:$C$3004,"Sortie")-SUMIFS('Mouvements stock'!$H$5:$H$3004,'Mouvements stock'!$I$5:$I$3004,$A1660,'Mouvements stock'!$C$5:$C$3004,"Retour"))</f>
        <v/>
      </c>
      <c r="X1660" s="66" t="n"/>
      <c r="Y1660" s="66" t="n"/>
      <c r="Z1660" s="7" t="n"/>
      <c r="AA1660" s="70">
        <f>IF($A1660="","",N(V1660)+N(W1660)+N(X1660)+N(Y1660))</f>
        <v/>
      </c>
      <c r="AB1660" s="70">
        <f>IF($A1660="","",N(S1660)*'Paramètres'!$AA$9*IFERROR(INDEX('Paramètres'!$O$5:$O$7,MATCH(G1660,'Paramètres'!$N$5:$N$7,0)),0))</f>
        <v/>
      </c>
      <c r="AC1660" s="7" t="n"/>
      <c r="AD1660" s="69">
        <f>IF(OR($A1660="",Q1660=""),"",(Q1660-B1660)*24)</f>
        <v/>
      </c>
      <c r="AE1660" s="69">
        <f>IF(OR(Q1660="",R1660=""),"",(R1660-Q1660)*24)</f>
        <v/>
      </c>
      <c r="AF1660" s="77">
        <f>IF(OR($A1660="",B1660=""),"",YEAR(B1660))</f>
        <v/>
      </c>
      <c r="AG1660" s="77">
        <f>IF(OR($A1660="",B1660=""),"",MONTH(B1660))</f>
        <v/>
      </c>
    </row>
    <row r="1661">
      <c r="A1661" s="7" t="n"/>
      <c r="B1661" s="75" t="n"/>
      <c r="C1661" s="7" t="n"/>
      <c r="D1661" s="7" t="n"/>
      <c r="E1661" s="9">
        <f>IF(D1661="","",IFERROR(INDEX('Équipements'!$B$5:$B$304,MATCH(D1661,'Équipements'!$A$5:$A$304,0)),"Code inconnu"))</f>
        <v/>
      </c>
      <c r="F1661" s="9">
        <f>IF(D1661="","",IFERROR(INDEX('Équipements'!$D$5:$D$304,MATCH(D1661,'Équipements'!$A$5:$A$304,0)),""))</f>
        <v/>
      </c>
      <c r="G1661" s="9">
        <f>IF(D1661="","",IFERROR(INDEX('Équipements'!$K$5:$K$304,MATCH(D1661,'Équipements'!$A$5:$A$304,0)),""))</f>
        <v/>
      </c>
      <c r="H1661" s="7" t="n"/>
      <c r="I1661" s="7" t="n"/>
      <c r="J1661" s="7" t="n"/>
      <c r="K1661" s="7" t="n"/>
      <c r="L1661" s="7" t="n"/>
      <c r="M1661" s="7" t="n"/>
      <c r="N1661" s="7" t="n"/>
      <c r="O1661" s="7" t="n"/>
      <c r="P1661" s="65" t="n"/>
      <c r="Q1661" s="75" t="n"/>
      <c r="R1661" s="75" t="n"/>
      <c r="S1661" s="76" t="n"/>
      <c r="T1661" s="76" t="n"/>
      <c r="U1661" s="70">
        <f>IF($A1661="","",IFERROR(INDEX('Techniciens'!$F$5:$F$44,MATCH(O1661,'Techniciens'!$B$5:$B$44,0)),'Paramètres'!$AA$10))</f>
        <v/>
      </c>
      <c r="V1661" s="70">
        <f>IF($A1661="","",IF(OR(AC1661="Demandé",AC1661="Planifié",AC1661="Annulé"),0,N(T1661)*N(U1661)))</f>
        <v/>
      </c>
      <c r="W1661" s="70">
        <f>IF($A1661="","",SUMIFS('Mouvements stock'!$H$5:$H$3004,'Mouvements stock'!$I$5:$I$3004,$A1661,'Mouvements stock'!$C$5:$C$3004,"Sortie")-SUMIFS('Mouvements stock'!$H$5:$H$3004,'Mouvements stock'!$I$5:$I$3004,$A1661,'Mouvements stock'!$C$5:$C$3004,"Retour"))</f>
        <v/>
      </c>
      <c r="X1661" s="66" t="n"/>
      <c r="Y1661" s="66" t="n"/>
      <c r="Z1661" s="7" t="n"/>
      <c r="AA1661" s="70">
        <f>IF($A1661="","",N(V1661)+N(W1661)+N(X1661)+N(Y1661))</f>
        <v/>
      </c>
      <c r="AB1661" s="70">
        <f>IF($A1661="","",N(S1661)*'Paramètres'!$AA$9*IFERROR(INDEX('Paramètres'!$O$5:$O$7,MATCH(G1661,'Paramètres'!$N$5:$N$7,0)),0))</f>
        <v/>
      </c>
      <c r="AC1661" s="7" t="n"/>
      <c r="AD1661" s="69">
        <f>IF(OR($A1661="",Q1661=""),"",(Q1661-B1661)*24)</f>
        <v/>
      </c>
      <c r="AE1661" s="69">
        <f>IF(OR(Q1661="",R1661=""),"",(R1661-Q1661)*24)</f>
        <v/>
      </c>
      <c r="AF1661" s="77">
        <f>IF(OR($A1661="",B1661=""),"",YEAR(B1661))</f>
        <v/>
      </c>
      <c r="AG1661" s="77">
        <f>IF(OR($A1661="",B1661=""),"",MONTH(B1661))</f>
        <v/>
      </c>
    </row>
    <row r="1662">
      <c r="A1662" s="7" t="n"/>
      <c r="B1662" s="75" t="n"/>
      <c r="C1662" s="7" t="n"/>
      <c r="D1662" s="7" t="n"/>
      <c r="E1662" s="9">
        <f>IF(D1662="","",IFERROR(INDEX('Équipements'!$B$5:$B$304,MATCH(D1662,'Équipements'!$A$5:$A$304,0)),"Code inconnu"))</f>
        <v/>
      </c>
      <c r="F1662" s="9">
        <f>IF(D1662="","",IFERROR(INDEX('Équipements'!$D$5:$D$304,MATCH(D1662,'Équipements'!$A$5:$A$304,0)),""))</f>
        <v/>
      </c>
      <c r="G1662" s="9">
        <f>IF(D1662="","",IFERROR(INDEX('Équipements'!$K$5:$K$304,MATCH(D1662,'Équipements'!$A$5:$A$304,0)),""))</f>
        <v/>
      </c>
      <c r="H1662" s="7" t="n"/>
      <c r="I1662" s="7" t="n"/>
      <c r="J1662" s="7" t="n"/>
      <c r="K1662" s="7" t="n"/>
      <c r="L1662" s="7" t="n"/>
      <c r="M1662" s="7" t="n"/>
      <c r="N1662" s="7" t="n"/>
      <c r="O1662" s="7" t="n"/>
      <c r="P1662" s="65" t="n"/>
      <c r="Q1662" s="75" t="n"/>
      <c r="R1662" s="75" t="n"/>
      <c r="S1662" s="76" t="n"/>
      <c r="T1662" s="76" t="n"/>
      <c r="U1662" s="70">
        <f>IF($A1662="","",IFERROR(INDEX('Techniciens'!$F$5:$F$44,MATCH(O1662,'Techniciens'!$B$5:$B$44,0)),'Paramètres'!$AA$10))</f>
        <v/>
      </c>
      <c r="V1662" s="70">
        <f>IF($A1662="","",IF(OR(AC1662="Demandé",AC1662="Planifié",AC1662="Annulé"),0,N(T1662)*N(U1662)))</f>
        <v/>
      </c>
      <c r="W1662" s="70">
        <f>IF($A1662="","",SUMIFS('Mouvements stock'!$H$5:$H$3004,'Mouvements stock'!$I$5:$I$3004,$A1662,'Mouvements stock'!$C$5:$C$3004,"Sortie")-SUMIFS('Mouvements stock'!$H$5:$H$3004,'Mouvements stock'!$I$5:$I$3004,$A1662,'Mouvements stock'!$C$5:$C$3004,"Retour"))</f>
        <v/>
      </c>
      <c r="X1662" s="66" t="n"/>
      <c r="Y1662" s="66" t="n"/>
      <c r="Z1662" s="7" t="n"/>
      <c r="AA1662" s="70">
        <f>IF($A1662="","",N(V1662)+N(W1662)+N(X1662)+N(Y1662))</f>
        <v/>
      </c>
      <c r="AB1662" s="70">
        <f>IF($A1662="","",N(S1662)*'Paramètres'!$AA$9*IFERROR(INDEX('Paramètres'!$O$5:$O$7,MATCH(G1662,'Paramètres'!$N$5:$N$7,0)),0))</f>
        <v/>
      </c>
      <c r="AC1662" s="7" t="n"/>
      <c r="AD1662" s="69">
        <f>IF(OR($A1662="",Q1662=""),"",(Q1662-B1662)*24)</f>
        <v/>
      </c>
      <c r="AE1662" s="69">
        <f>IF(OR(Q1662="",R1662=""),"",(R1662-Q1662)*24)</f>
        <v/>
      </c>
      <c r="AF1662" s="77">
        <f>IF(OR($A1662="",B1662=""),"",YEAR(B1662))</f>
        <v/>
      </c>
      <c r="AG1662" s="77">
        <f>IF(OR($A1662="",B1662=""),"",MONTH(B1662))</f>
        <v/>
      </c>
    </row>
    <row r="1663">
      <c r="A1663" s="7" t="n"/>
      <c r="B1663" s="75" t="n"/>
      <c r="C1663" s="7" t="n"/>
      <c r="D1663" s="7" t="n"/>
      <c r="E1663" s="9">
        <f>IF(D1663="","",IFERROR(INDEX('Équipements'!$B$5:$B$304,MATCH(D1663,'Équipements'!$A$5:$A$304,0)),"Code inconnu"))</f>
        <v/>
      </c>
      <c r="F1663" s="9">
        <f>IF(D1663="","",IFERROR(INDEX('Équipements'!$D$5:$D$304,MATCH(D1663,'Équipements'!$A$5:$A$304,0)),""))</f>
        <v/>
      </c>
      <c r="G1663" s="9">
        <f>IF(D1663="","",IFERROR(INDEX('Équipements'!$K$5:$K$304,MATCH(D1663,'Équipements'!$A$5:$A$304,0)),""))</f>
        <v/>
      </c>
      <c r="H1663" s="7" t="n"/>
      <c r="I1663" s="7" t="n"/>
      <c r="J1663" s="7" t="n"/>
      <c r="K1663" s="7" t="n"/>
      <c r="L1663" s="7" t="n"/>
      <c r="M1663" s="7" t="n"/>
      <c r="N1663" s="7" t="n"/>
      <c r="O1663" s="7" t="n"/>
      <c r="P1663" s="65" t="n"/>
      <c r="Q1663" s="75" t="n"/>
      <c r="R1663" s="75" t="n"/>
      <c r="S1663" s="76" t="n"/>
      <c r="T1663" s="76" t="n"/>
      <c r="U1663" s="70">
        <f>IF($A1663="","",IFERROR(INDEX('Techniciens'!$F$5:$F$44,MATCH(O1663,'Techniciens'!$B$5:$B$44,0)),'Paramètres'!$AA$10))</f>
        <v/>
      </c>
      <c r="V1663" s="70">
        <f>IF($A1663="","",IF(OR(AC1663="Demandé",AC1663="Planifié",AC1663="Annulé"),0,N(T1663)*N(U1663)))</f>
        <v/>
      </c>
      <c r="W1663" s="70">
        <f>IF($A1663="","",SUMIFS('Mouvements stock'!$H$5:$H$3004,'Mouvements stock'!$I$5:$I$3004,$A1663,'Mouvements stock'!$C$5:$C$3004,"Sortie")-SUMIFS('Mouvements stock'!$H$5:$H$3004,'Mouvements stock'!$I$5:$I$3004,$A1663,'Mouvements stock'!$C$5:$C$3004,"Retour"))</f>
        <v/>
      </c>
      <c r="X1663" s="66" t="n"/>
      <c r="Y1663" s="66" t="n"/>
      <c r="Z1663" s="7" t="n"/>
      <c r="AA1663" s="70">
        <f>IF($A1663="","",N(V1663)+N(W1663)+N(X1663)+N(Y1663))</f>
        <v/>
      </c>
      <c r="AB1663" s="70">
        <f>IF($A1663="","",N(S1663)*'Paramètres'!$AA$9*IFERROR(INDEX('Paramètres'!$O$5:$O$7,MATCH(G1663,'Paramètres'!$N$5:$N$7,0)),0))</f>
        <v/>
      </c>
      <c r="AC1663" s="7" t="n"/>
      <c r="AD1663" s="69">
        <f>IF(OR($A1663="",Q1663=""),"",(Q1663-B1663)*24)</f>
        <v/>
      </c>
      <c r="AE1663" s="69">
        <f>IF(OR(Q1663="",R1663=""),"",(R1663-Q1663)*24)</f>
        <v/>
      </c>
      <c r="AF1663" s="77">
        <f>IF(OR($A1663="",B1663=""),"",YEAR(B1663))</f>
        <v/>
      </c>
      <c r="AG1663" s="77">
        <f>IF(OR($A1663="",B1663=""),"",MONTH(B1663))</f>
        <v/>
      </c>
    </row>
    <row r="1664">
      <c r="A1664" s="7" t="n"/>
      <c r="B1664" s="75" t="n"/>
      <c r="C1664" s="7" t="n"/>
      <c r="D1664" s="7" t="n"/>
      <c r="E1664" s="9">
        <f>IF(D1664="","",IFERROR(INDEX('Équipements'!$B$5:$B$304,MATCH(D1664,'Équipements'!$A$5:$A$304,0)),"Code inconnu"))</f>
        <v/>
      </c>
      <c r="F1664" s="9">
        <f>IF(D1664="","",IFERROR(INDEX('Équipements'!$D$5:$D$304,MATCH(D1664,'Équipements'!$A$5:$A$304,0)),""))</f>
        <v/>
      </c>
      <c r="G1664" s="9">
        <f>IF(D1664="","",IFERROR(INDEX('Équipements'!$K$5:$K$304,MATCH(D1664,'Équipements'!$A$5:$A$304,0)),""))</f>
        <v/>
      </c>
      <c r="H1664" s="7" t="n"/>
      <c r="I1664" s="7" t="n"/>
      <c r="J1664" s="7" t="n"/>
      <c r="K1664" s="7" t="n"/>
      <c r="L1664" s="7" t="n"/>
      <c r="M1664" s="7" t="n"/>
      <c r="N1664" s="7" t="n"/>
      <c r="O1664" s="7" t="n"/>
      <c r="P1664" s="65" t="n"/>
      <c r="Q1664" s="75" t="n"/>
      <c r="R1664" s="75" t="n"/>
      <c r="S1664" s="76" t="n"/>
      <c r="T1664" s="76" t="n"/>
      <c r="U1664" s="70">
        <f>IF($A1664="","",IFERROR(INDEX('Techniciens'!$F$5:$F$44,MATCH(O1664,'Techniciens'!$B$5:$B$44,0)),'Paramètres'!$AA$10))</f>
        <v/>
      </c>
      <c r="V1664" s="70">
        <f>IF($A1664="","",IF(OR(AC1664="Demandé",AC1664="Planifié",AC1664="Annulé"),0,N(T1664)*N(U1664)))</f>
        <v/>
      </c>
      <c r="W1664" s="70">
        <f>IF($A1664="","",SUMIFS('Mouvements stock'!$H$5:$H$3004,'Mouvements stock'!$I$5:$I$3004,$A1664,'Mouvements stock'!$C$5:$C$3004,"Sortie")-SUMIFS('Mouvements stock'!$H$5:$H$3004,'Mouvements stock'!$I$5:$I$3004,$A1664,'Mouvements stock'!$C$5:$C$3004,"Retour"))</f>
        <v/>
      </c>
      <c r="X1664" s="66" t="n"/>
      <c r="Y1664" s="66" t="n"/>
      <c r="Z1664" s="7" t="n"/>
      <c r="AA1664" s="70">
        <f>IF($A1664="","",N(V1664)+N(W1664)+N(X1664)+N(Y1664))</f>
        <v/>
      </c>
      <c r="AB1664" s="70">
        <f>IF($A1664="","",N(S1664)*'Paramètres'!$AA$9*IFERROR(INDEX('Paramètres'!$O$5:$O$7,MATCH(G1664,'Paramètres'!$N$5:$N$7,0)),0))</f>
        <v/>
      </c>
      <c r="AC1664" s="7" t="n"/>
      <c r="AD1664" s="69">
        <f>IF(OR($A1664="",Q1664=""),"",(Q1664-B1664)*24)</f>
        <v/>
      </c>
      <c r="AE1664" s="69">
        <f>IF(OR(Q1664="",R1664=""),"",(R1664-Q1664)*24)</f>
        <v/>
      </c>
      <c r="AF1664" s="77">
        <f>IF(OR($A1664="",B1664=""),"",YEAR(B1664))</f>
        <v/>
      </c>
      <c r="AG1664" s="77">
        <f>IF(OR($A1664="",B1664=""),"",MONTH(B1664))</f>
        <v/>
      </c>
    </row>
    <row r="1665">
      <c r="A1665" s="7" t="n"/>
      <c r="B1665" s="75" t="n"/>
      <c r="C1665" s="7" t="n"/>
      <c r="D1665" s="7" t="n"/>
      <c r="E1665" s="9">
        <f>IF(D1665="","",IFERROR(INDEX('Équipements'!$B$5:$B$304,MATCH(D1665,'Équipements'!$A$5:$A$304,0)),"Code inconnu"))</f>
        <v/>
      </c>
      <c r="F1665" s="9">
        <f>IF(D1665="","",IFERROR(INDEX('Équipements'!$D$5:$D$304,MATCH(D1665,'Équipements'!$A$5:$A$304,0)),""))</f>
        <v/>
      </c>
      <c r="G1665" s="9">
        <f>IF(D1665="","",IFERROR(INDEX('Équipements'!$K$5:$K$304,MATCH(D1665,'Équipements'!$A$5:$A$304,0)),""))</f>
        <v/>
      </c>
      <c r="H1665" s="7" t="n"/>
      <c r="I1665" s="7" t="n"/>
      <c r="J1665" s="7" t="n"/>
      <c r="K1665" s="7" t="n"/>
      <c r="L1665" s="7" t="n"/>
      <c r="M1665" s="7" t="n"/>
      <c r="N1665" s="7" t="n"/>
      <c r="O1665" s="7" t="n"/>
      <c r="P1665" s="65" t="n"/>
      <c r="Q1665" s="75" t="n"/>
      <c r="R1665" s="75" t="n"/>
      <c r="S1665" s="76" t="n"/>
      <c r="T1665" s="76" t="n"/>
      <c r="U1665" s="70">
        <f>IF($A1665="","",IFERROR(INDEX('Techniciens'!$F$5:$F$44,MATCH(O1665,'Techniciens'!$B$5:$B$44,0)),'Paramètres'!$AA$10))</f>
        <v/>
      </c>
      <c r="V1665" s="70">
        <f>IF($A1665="","",IF(OR(AC1665="Demandé",AC1665="Planifié",AC1665="Annulé"),0,N(T1665)*N(U1665)))</f>
        <v/>
      </c>
      <c r="W1665" s="70">
        <f>IF($A1665="","",SUMIFS('Mouvements stock'!$H$5:$H$3004,'Mouvements stock'!$I$5:$I$3004,$A1665,'Mouvements stock'!$C$5:$C$3004,"Sortie")-SUMIFS('Mouvements stock'!$H$5:$H$3004,'Mouvements stock'!$I$5:$I$3004,$A1665,'Mouvements stock'!$C$5:$C$3004,"Retour"))</f>
        <v/>
      </c>
      <c r="X1665" s="66" t="n"/>
      <c r="Y1665" s="66" t="n"/>
      <c r="Z1665" s="7" t="n"/>
      <c r="AA1665" s="70">
        <f>IF($A1665="","",N(V1665)+N(W1665)+N(X1665)+N(Y1665))</f>
        <v/>
      </c>
      <c r="AB1665" s="70">
        <f>IF($A1665="","",N(S1665)*'Paramètres'!$AA$9*IFERROR(INDEX('Paramètres'!$O$5:$O$7,MATCH(G1665,'Paramètres'!$N$5:$N$7,0)),0))</f>
        <v/>
      </c>
      <c r="AC1665" s="7" t="n"/>
      <c r="AD1665" s="69">
        <f>IF(OR($A1665="",Q1665=""),"",(Q1665-B1665)*24)</f>
        <v/>
      </c>
      <c r="AE1665" s="69">
        <f>IF(OR(Q1665="",R1665=""),"",(R1665-Q1665)*24)</f>
        <v/>
      </c>
      <c r="AF1665" s="77">
        <f>IF(OR($A1665="",B1665=""),"",YEAR(B1665))</f>
        <v/>
      </c>
      <c r="AG1665" s="77">
        <f>IF(OR($A1665="",B1665=""),"",MONTH(B1665))</f>
        <v/>
      </c>
    </row>
    <row r="1666">
      <c r="A1666" s="7" t="n"/>
      <c r="B1666" s="75" t="n"/>
      <c r="C1666" s="7" t="n"/>
      <c r="D1666" s="7" t="n"/>
      <c r="E1666" s="9">
        <f>IF(D1666="","",IFERROR(INDEX('Équipements'!$B$5:$B$304,MATCH(D1666,'Équipements'!$A$5:$A$304,0)),"Code inconnu"))</f>
        <v/>
      </c>
      <c r="F1666" s="9">
        <f>IF(D1666="","",IFERROR(INDEX('Équipements'!$D$5:$D$304,MATCH(D1666,'Équipements'!$A$5:$A$304,0)),""))</f>
        <v/>
      </c>
      <c r="G1666" s="9">
        <f>IF(D1666="","",IFERROR(INDEX('Équipements'!$K$5:$K$304,MATCH(D1666,'Équipements'!$A$5:$A$304,0)),""))</f>
        <v/>
      </c>
      <c r="H1666" s="7" t="n"/>
      <c r="I1666" s="7" t="n"/>
      <c r="J1666" s="7" t="n"/>
      <c r="K1666" s="7" t="n"/>
      <c r="L1666" s="7" t="n"/>
      <c r="M1666" s="7" t="n"/>
      <c r="N1666" s="7" t="n"/>
      <c r="O1666" s="7" t="n"/>
      <c r="P1666" s="65" t="n"/>
      <c r="Q1666" s="75" t="n"/>
      <c r="R1666" s="75" t="n"/>
      <c r="S1666" s="76" t="n"/>
      <c r="T1666" s="76" t="n"/>
      <c r="U1666" s="70">
        <f>IF($A1666="","",IFERROR(INDEX('Techniciens'!$F$5:$F$44,MATCH(O1666,'Techniciens'!$B$5:$B$44,0)),'Paramètres'!$AA$10))</f>
        <v/>
      </c>
      <c r="V1666" s="70">
        <f>IF($A1666="","",IF(OR(AC1666="Demandé",AC1666="Planifié",AC1666="Annulé"),0,N(T1666)*N(U1666)))</f>
        <v/>
      </c>
      <c r="W1666" s="70">
        <f>IF($A1666="","",SUMIFS('Mouvements stock'!$H$5:$H$3004,'Mouvements stock'!$I$5:$I$3004,$A1666,'Mouvements stock'!$C$5:$C$3004,"Sortie")-SUMIFS('Mouvements stock'!$H$5:$H$3004,'Mouvements stock'!$I$5:$I$3004,$A1666,'Mouvements stock'!$C$5:$C$3004,"Retour"))</f>
        <v/>
      </c>
      <c r="X1666" s="66" t="n"/>
      <c r="Y1666" s="66" t="n"/>
      <c r="Z1666" s="7" t="n"/>
      <c r="AA1666" s="70">
        <f>IF($A1666="","",N(V1666)+N(W1666)+N(X1666)+N(Y1666))</f>
        <v/>
      </c>
      <c r="AB1666" s="70">
        <f>IF($A1666="","",N(S1666)*'Paramètres'!$AA$9*IFERROR(INDEX('Paramètres'!$O$5:$O$7,MATCH(G1666,'Paramètres'!$N$5:$N$7,0)),0))</f>
        <v/>
      </c>
      <c r="AC1666" s="7" t="n"/>
      <c r="AD1666" s="69">
        <f>IF(OR($A1666="",Q1666=""),"",(Q1666-B1666)*24)</f>
        <v/>
      </c>
      <c r="AE1666" s="69">
        <f>IF(OR(Q1666="",R1666=""),"",(R1666-Q1666)*24)</f>
        <v/>
      </c>
      <c r="AF1666" s="77">
        <f>IF(OR($A1666="",B1666=""),"",YEAR(B1666))</f>
        <v/>
      </c>
      <c r="AG1666" s="77">
        <f>IF(OR($A1666="",B1666=""),"",MONTH(B1666))</f>
        <v/>
      </c>
    </row>
    <row r="1667">
      <c r="A1667" s="7" t="n"/>
      <c r="B1667" s="75" t="n"/>
      <c r="C1667" s="7" t="n"/>
      <c r="D1667" s="7" t="n"/>
      <c r="E1667" s="9">
        <f>IF(D1667="","",IFERROR(INDEX('Équipements'!$B$5:$B$304,MATCH(D1667,'Équipements'!$A$5:$A$304,0)),"Code inconnu"))</f>
        <v/>
      </c>
      <c r="F1667" s="9">
        <f>IF(D1667="","",IFERROR(INDEX('Équipements'!$D$5:$D$304,MATCH(D1667,'Équipements'!$A$5:$A$304,0)),""))</f>
        <v/>
      </c>
      <c r="G1667" s="9">
        <f>IF(D1667="","",IFERROR(INDEX('Équipements'!$K$5:$K$304,MATCH(D1667,'Équipements'!$A$5:$A$304,0)),""))</f>
        <v/>
      </c>
      <c r="H1667" s="7" t="n"/>
      <c r="I1667" s="7" t="n"/>
      <c r="J1667" s="7" t="n"/>
      <c r="K1667" s="7" t="n"/>
      <c r="L1667" s="7" t="n"/>
      <c r="M1667" s="7" t="n"/>
      <c r="N1667" s="7" t="n"/>
      <c r="O1667" s="7" t="n"/>
      <c r="P1667" s="65" t="n"/>
      <c r="Q1667" s="75" t="n"/>
      <c r="R1667" s="75" t="n"/>
      <c r="S1667" s="76" t="n"/>
      <c r="T1667" s="76" t="n"/>
      <c r="U1667" s="70">
        <f>IF($A1667="","",IFERROR(INDEX('Techniciens'!$F$5:$F$44,MATCH(O1667,'Techniciens'!$B$5:$B$44,0)),'Paramètres'!$AA$10))</f>
        <v/>
      </c>
      <c r="V1667" s="70">
        <f>IF($A1667="","",IF(OR(AC1667="Demandé",AC1667="Planifié",AC1667="Annulé"),0,N(T1667)*N(U1667)))</f>
        <v/>
      </c>
      <c r="W1667" s="70">
        <f>IF($A1667="","",SUMIFS('Mouvements stock'!$H$5:$H$3004,'Mouvements stock'!$I$5:$I$3004,$A1667,'Mouvements stock'!$C$5:$C$3004,"Sortie")-SUMIFS('Mouvements stock'!$H$5:$H$3004,'Mouvements stock'!$I$5:$I$3004,$A1667,'Mouvements stock'!$C$5:$C$3004,"Retour"))</f>
        <v/>
      </c>
      <c r="X1667" s="66" t="n"/>
      <c r="Y1667" s="66" t="n"/>
      <c r="Z1667" s="7" t="n"/>
      <c r="AA1667" s="70">
        <f>IF($A1667="","",N(V1667)+N(W1667)+N(X1667)+N(Y1667))</f>
        <v/>
      </c>
      <c r="AB1667" s="70">
        <f>IF($A1667="","",N(S1667)*'Paramètres'!$AA$9*IFERROR(INDEX('Paramètres'!$O$5:$O$7,MATCH(G1667,'Paramètres'!$N$5:$N$7,0)),0))</f>
        <v/>
      </c>
      <c r="AC1667" s="7" t="n"/>
      <c r="AD1667" s="69">
        <f>IF(OR($A1667="",Q1667=""),"",(Q1667-B1667)*24)</f>
        <v/>
      </c>
      <c r="AE1667" s="69">
        <f>IF(OR(Q1667="",R1667=""),"",(R1667-Q1667)*24)</f>
        <v/>
      </c>
      <c r="AF1667" s="77">
        <f>IF(OR($A1667="",B1667=""),"",YEAR(B1667))</f>
        <v/>
      </c>
      <c r="AG1667" s="77">
        <f>IF(OR($A1667="",B1667=""),"",MONTH(B1667))</f>
        <v/>
      </c>
    </row>
    <row r="1668">
      <c r="A1668" s="7" t="n"/>
      <c r="B1668" s="75" t="n"/>
      <c r="C1668" s="7" t="n"/>
      <c r="D1668" s="7" t="n"/>
      <c r="E1668" s="9">
        <f>IF(D1668="","",IFERROR(INDEX('Équipements'!$B$5:$B$304,MATCH(D1668,'Équipements'!$A$5:$A$304,0)),"Code inconnu"))</f>
        <v/>
      </c>
      <c r="F1668" s="9">
        <f>IF(D1668="","",IFERROR(INDEX('Équipements'!$D$5:$D$304,MATCH(D1668,'Équipements'!$A$5:$A$304,0)),""))</f>
        <v/>
      </c>
      <c r="G1668" s="9">
        <f>IF(D1668="","",IFERROR(INDEX('Équipements'!$K$5:$K$304,MATCH(D1668,'Équipements'!$A$5:$A$304,0)),""))</f>
        <v/>
      </c>
      <c r="H1668" s="7" t="n"/>
      <c r="I1668" s="7" t="n"/>
      <c r="J1668" s="7" t="n"/>
      <c r="K1668" s="7" t="n"/>
      <c r="L1668" s="7" t="n"/>
      <c r="M1668" s="7" t="n"/>
      <c r="N1668" s="7" t="n"/>
      <c r="O1668" s="7" t="n"/>
      <c r="P1668" s="65" t="n"/>
      <c r="Q1668" s="75" t="n"/>
      <c r="R1668" s="75" t="n"/>
      <c r="S1668" s="76" t="n"/>
      <c r="T1668" s="76" t="n"/>
      <c r="U1668" s="70">
        <f>IF($A1668="","",IFERROR(INDEX('Techniciens'!$F$5:$F$44,MATCH(O1668,'Techniciens'!$B$5:$B$44,0)),'Paramètres'!$AA$10))</f>
        <v/>
      </c>
      <c r="V1668" s="70">
        <f>IF($A1668="","",IF(OR(AC1668="Demandé",AC1668="Planifié",AC1668="Annulé"),0,N(T1668)*N(U1668)))</f>
        <v/>
      </c>
      <c r="W1668" s="70">
        <f>IF($A1668="","",SUMIFS('Mouvements stock'!$H$5:$H$3004,'Mouvements stock'!$I$5:$I$3004,$A1668,'Mouvements stock'!$C$5:$C$3004,"Sortie")-SUMIFS('Mouvements stock'!$H$5:$H$3004,'Mouvements stock'!$I$5:$I$3004,$A1668,'Mouvements stock'!$C$5:$C$3004,"Retour"))</f>
        <v/>
      </c>
      <c r="X1668" s="66" t="n"/>
      <c r="Y1668" s="66" t="n"/>
      <c r="Z1668" s="7" t="n"/>
      <c r="AA1668" s="70">
        <f>IF($A1668="","",N(V1668)+N(W1668)+N(X1668)+N(Y1668))</f>
        <v/>
      </c>
      <c r="AB1668" s="70">
        <f>IF($A1668="","",N(S1668)*'Paramètres'!$AA$9*IFERROR(INDEX('Paramètres'!$O$5:$O$7,MATCH(G1668,'Paramètres'!$N$5:$N$7,0)),0))</f>
        <v/>
      </c>
      <c r="AC1668" s="7" t="n"/>
      <c r="AD1668" s="69">
        <f>IF(OR($A1668="",Q1668=""),"",(Q1668-B1668)*24)</f>
        <v/>
      </c>
      <c r="AE1668" s="69">
        <f>IF(OR(Q1668="",R1668=""),"",(R1668-Q1668)*24)</f>
        <v/>
      </c>
      <c r="AF1668" s="77">
        <f>IF(OR($A1668="",B1668=""),"",YEAR(B1668))</f>
        <v/>
      </c>
      <c r="AG1668" s="77">
        <f>IF(OR($A1668="",B1668=""),"",MONTH(B1668))</f>
        <v/>
      </c>
    </row>
    <row r="1669">
      <c r="A1669" s="7" t="n"/>
      <c r="B1669" s="75" t="n"/>
      <c r="C1669" s="7" t="n"/>
      <c r="D1669" s="7" t="n"/>
      <c r="E1669" s="9">
        <f>IF(D1669="","",IFERROR(INDEX('Équipements'!$B$5:$B$304,MATCH(D1669,'Équipements'!$A$5:$A$304,0)),"Code inconnu"))</f>
        <v/>
      </c>
      <c r="F1669" s="9">
        <f>IF(D1669="","",IFERROR(INDEX('Équipements'!$D$5:$D$304,MATCH(D1669,'Équipements'!$A$5:$A$304,0)),""))</f>
        <v/>
      </c>
      <c r="G1669" s="9">
        <f>IF(D1669="","",IFERROR(INDEX('Équipements'!$K$5:$K$304,MATCH(D1669,'Équipements'!$A$5:$A$304,0)),""))</f>
        <v/>
      </c>
      <c r="H1669" s="7" t="n"/>
      <c r="I1669" s="7" t="n"/>
      <c r="J1669" s="7" t="n"/>
      <c r="K1669" s="7" t="n"/>
      <c r="L1669" s="7" t="n"/>
      <c r="M1669" s="7" t="n"/>
      <c r="N1669" s="7" t="n"/>
      <c r="O1669" s="7" t="n"/>
      <c r="P1669" s="65" t="n"/>
      <c r="Q1669" s="75" t="n"/>
      <c r="R1669" s="75" t="n"/>
      <c r="S1669" s="76" t="n"/>
      <c r="T1669" s="76" t="n"/>
      <c r="U1669" s="70">
        <f>IF($A1669="","",IFERROR(INDEX('Techniciens'!$F$5:$F$44,MATCH(O1669,'Techniciens'!$B$5:$B$44,0)),'Paramètres'!$AA$10))</f>
        <v/>
      </c>
      <c r="V1669" s="70">
        <f>IF($A1669="","",IF(OR(AC1669="Demandé",AC1669="Planifié",AC1669="Annulé"),0,N(T1669)*N(U1669)))</f>
        <v/>
      </c>
      <c r="W1669" s="70">
        <f>IF($A1669="","",SUMIFS('Mouvements stock'!$H$5:$H$3004,'Mouvements stock'!$I$5:$I$3004,$A1669,'Mouvements stock'!$C$5:$C$3004,"Sortie")-SUMIFS('Mouvements stock'!$H$5:$H$3004,'Mouvements stock'!$I$5:$I$3004,$A1669,'Mouvements stock'!$C$5:$C$3004,"Retour"))</f>
        <v/>
      </c>
      <c r="X1669" s="66" t="n"/>
      <c r="Y1669" s="66" t="n"/>
      <c r="Z1669" s="7" t="n"/>
      <c r="AA1669" s="70">
        <f>IF($A1669="","",N(V1669)+N(W1669)+N(X1669)+N(Y1669))</f>
        <v/>
      </c>
      <c r="AB1669" s="70">
        <f>IF($A1669="","",N(S1669)*'Paramètres'!$AA$9*IFERROR(INDEX('Paramètres'!$O$5:$O$7,MATCH(G1669,'Paramètres'!$N$5:$N$7,0)),0))</f>
        <v/>
      </c>
      <c r="AC1669" s="7" t="n"/>
      <c r="AD1669" s="69">
        <f>IF(OR($A1669="",Q1669=""),"",(Q1669-B1669)*24)</f>
        <v/>
      </c>
      <c r="AE1669" s="69">
        <f>IF(OR(Q1669="",R1669=""),"",(R1669-Q1669)*24)</f>
        <v/>
      </c>
      <c r="AF1669" s="77">
        <f>IF(OR($A1669="",B1669=""),"",YEAR(B1669))</f>
        <v/>
      </c>
      <c r="AG1669" s="77">
        <f>IF(OR($A1669="",B1669=""),"",MONTH(B1669))</f>
        <v/>
      </c>
    </row>
    <row r="1670">
      <c r="A1670" s="7" t="n"/>
      <c r="B1670" s="75" t="n"/>
      <c r="C1670" s="7" t="n"/>
      <c r="D1670" s="7" t="n"/>
      <c r="E1670" s="9">
        <f>IF(D1670="","",IFERROR(INDEX('Équipements'!$B$5:$B$304,MATCH(D1670,'Équipements'!$A$5:$A$304,0)),"Code inconnu"))</f>
        <v/>
      </c>
      <c r="F1670" s="9">
        <f>IF(D1670="","",IFERROR(INDEX('Équipements'!$D$5:$D$304,MATCH(D1670,'Équipements'!$A$5:$A$304,0)),""))</f>
        <v/>
      </c>
      <c r="G1670" s="9">
        <f>IF(D1670="","",IFERROR(INDEX('Équipements'!$K$5:$K$304,MATCH(D1670,'Équipements'!$A$5:$A$304,0)),""))</f>
        <v/>
      </c>
      <c r="H1670" s="7" t="n"/>
      <c r="I1670" s="7" t="n"/>
      <c r="J1670" s="7" t="n"/>
      <c r="K1670" s="7" t="n"/>
      <c r="L1670" s="7" t="n"/>
      <c r="M1670" s="7" t="n"/>
      <c r="N1670" s="7" t="n"/>
      <c r="O1670" s="7" t="n"/>
      <c r="P1670" s="65" t="n"/>
      <c r="Q1670" s="75" t="n"/>
      <c r="R1670" s="75" t="n"/>
      <c r="S1670" s="76" t="n"/>
      <c r="T1670" s="76" t="n"/>
      <c r="U1670" s="70">
        <f>IF($A1670="","",IFERROR(INDEX('Techniciens'!$F$5:$F$44,MATCH(O1670,'Techniciens'!$B$5:$B$44,0)),'Paramètres'!$AA$10))</f>
        <v/>
      </c>
      <c r="V1670" s="70">
        <f>IF($A1670="","",IF(OR(AC1670="Demandé",AC1670="Planifié",AC1670="Annulé"),0,N(T1670)*N(U1670)))</f>
        <v/>
      </c>
      <c r="W1670" s="70">
        <f>IF($A1670="","",SUMIFS('Mouvements stock'!$H$5:$H$3004,'Mouvements stock'!$I$5:$I$3004,$A1670,'Mouvements stock'!$C$5:$C$3004,"Sortie")-SUMIFS('Mouvements stock'!$H$5:$H$3004,'Mouvements stock'!$I$5:$I$3004,$A1670,'Mouvements stock'!$C$5:$C$3004,"Retour"))</f>
        <v/>
      </c>
      <c r="X1670" s="66" t="n"/>
      <c r="Y1670" s="66" t="n"/>
      <c r="Z1670" s="7" t="n"/>
      <c r="AA1670" s="70">
        <f>IF($A1670="","",N(V1670)+N(W1670)+N(X1670)+N(Y1670))</f>
        <v/>
      </c>
      <c r="AB1670" s="70">
        <f>IF($A1670="","",N(S1670)*'Paramètres'!$AA$9*IFERROR(INDEX('Paramètres'!$O$5:$O$7,MATCH(G1670,'Paramètres'!$N$5:$N$7,0)),0))</f>
        <v/>
      </c>
      <c r="AC1670" s="7" t="n"/>
      <c r="AD1670" s="69">
        <f>IF(OR($A1670="",Q1670=""),"",(Q1670-B1670)*24)</f>
        <v/>
      </c>
      <c r="AE1670" s="69">
        <f>IF(OR(Q1670="",R1670=""),"",(R1670-Q1670)*24)</f>
        <v/>
      </c>
      <c r="AF1670" s="77">
        <f>IF(OR($A1670="",B1670=""),"",YEAR(B1670))</f>
        <v/>
      </c>
      <c r="AG1670" s="77">
        <f>IF(OR($A1670="",B1670=""),"",MONTH(B1670))</f>
        <v/>
      </c>
    </row>
    <row r="1671">
      <c r="A1671" s="7" t="n"/>
      <c r="B1671" s="75" t="n"/>
      <c r="C1671" s="7" t="n"/>
      <c r="D1671" s="7" t="n"/>
      <c r="E1671" s="9">
        <f>IF(D1671="","",IFERROR(INDEX('Équipements'!$B$5:$B$304,MATCH(D1671,'Équipements'!$A$5:$A$304,0)),"Code inconnu"))</f>
        <v/>
      </c>
      <c r="F1671" s="9">
        <f>IF(D1671="","",IFERROR(INDEX('Équipements'!$D$5:$D$304,MATCH(D1671,'Équipements'!$A$5:$A$304,0)),""))</f>
        <v/>
      </c>
      <c r="G1671" s="9">
        <f>IF(D1671="","",IFERROR(INDEX('Équipements'!$K$5:$K$304,MATCH(D1671,'Équipements'!$A$5:$A$304,0)),""))</f>
        <v/>
      </c>
      <c r="H1671" s="7" t="n"/>
      <c r="I1671" s="7" t="n"/>
      <c r="J1671" s="7" t="n"/>
      <c r="K1671" s="7" t="n"/>
      <c r="L1671" s="7" t="n"/>
      <c r="M1671" s="7" t="n"/>
      <c r="N1671" s="7" t="n"/>
      <c r="O1671" s="7" t="n"/>
      <c r="P1671" s="65" t="n"/>
      <c r="Q1671" s="75" t="n"/>
      <c r="R1671" s="75" t="n"/>
      <c r="S1671" s="76" t="n"/>
      <c r="T1671" s="76" t="n"/>
      <c r="U1671" s="70">
        <f>IF($A1671="","",IFERROR(INDEX('Techniciens'!$F$5:$F$44,MATCH(O1671,'Techniciens'!$B$5:$B$44,0)),'Paramètres'!$AA$10))</f>
        <v/>
      </c>
      <c r="V1671" s="70">
        <f>IF($A1671="","",IF(OR(AC1671="Demandé",AC1671="Planifié",AC1671="Annulé"),0,N(T1671)*N(U1671)))</f>
        <v/>
      </c>
      <c r="W1671" s="70">
        <f>IF($A1671="","",SUMIFS('Mouvements stock'!$H$5:$H$3004,'Mouvements stock'!$I$5:$I$3004,$A1671,'Mouvements stock'!$C$5:$C$3004,"Sortie")-SUMIFS('Mouvements stock'!$H$5:$H$3004,'Mouvements stock'!$I$5:$I$3004,$A1671,'Mouvements stock'!$C$5:$C$3004,"Retour"))</f>
        <v/>
      </c>
      <c r="X1671" s="66" t="n"/>
      <c r="Y1671" s="66" t="n"/>
      <c r="Z1671" s="7" t="n"/>
      <c r="AA1671" s="70">
        <f>IF($A1671="","",N(V1671)+N(W1671)+N(X1671)+N(Y1671))</f>
        <v/>
      </c>
      <c r="AB1671" s="70">
        <f>IF($A1671="","",N(S1671)*'Paramètres'!$AA$9*IFERROR(INDEX('Paramètres'!$O$5:$O$7,MATCH(G1671,'Paramètres'!$N$5:$N$7,0)),0))</f>
        <v/>
      </c>
      <c r="AC1671" s="7" t="n"/>
      <c r="AD1671" s="69">
        <f>IF(OR($A1671="",Q1671=""),"",(Q1671-B1671)*24)</f>
        <v/>
      </c>
      <c r="AE1671" s="69">
        <f>IF(OR(Q1671="",R1671=""),"",(R1671-Q1671)*24)</f>
        <v/>
      </c>
      <c r="AF1671" s="77">
        <f>IF(OR($A1671="",B1671=""),"",YEAR(B1671))</f>
        <v/>
      </c>
      <c r="AG1671" s="77">
        <f>IF(OR($A1671="",B1671=""),"",MONTH(B1671))</f>
        <v/>
      </c>
    </row>
    <row r="1672">
      <c r="A1672" s="7" t="n"/>
      <c r="B1672" s="75" t="n"/>
      <c r="C1672" s="7" t="n"/>
      <c r="D1672" s="7" t="n"/>
      <c r="E1672" s="9">
        <f>IF(D1672="","",IFERROR(INDEX('Équipements'!$B$5:$B$304,MATCH(D1672,'Équipements'!$A$5:$A$304,0)),"Code inconnu"))</f>
        <v/>
      </c>
      <c r="F1672" s="9">
        <f>IF(D1672="","",IFERROR(INDEX('Équipements'!$D$5:$D$304,MATCH(D1672,'Équipements'!$A$5:$A$304,0)),""))</f>
        <v/>
      </c>
      <c r="G1672" s="9">
        <f>IF(D1672="","",IFERROR(INDEX('Équipements'!$K$5:$K$304,MATCH(D1672,'Équipements'!$A$5:$A$304,0)),""))</f>
        <v/>
      </c>
      <c r="H1672" s="7" t="n"/>
      <c r="I1672" s="7" t="n"/>
      <c r="J1672" s="7" t="n"/>
      <c r="K1672" s="7" t="n"/>
      <c r="L1672" s="7" t="n"/>
      <c r="M1672" s="7" t="n"/>
      <c r="N1672" s="7" t="n"/>
      <c r="O1672" s="7" t="n"/>
      <c r="P1672" s="65" t="n"/>
      <c r="Q1672" s="75" t="n"/>
      <c r="R1672" s="75" t="n"/>
      <c r="S1672" s="76" t="n"/>
      <c r="T1672" s="76" t="n"/>
      <c r="U1672" s="70">
        <f>IF($A1672="","",IFERROR(INDEX('Techniciens'!$F$5:$F$44,MATCH(O1672,'Techniciens'!$B$5:$B$44,0)),'Paramètres'!$AA$10))</f>
        <v/>
      </c>
      <c r="V1672" s="70">
        <f>IF($A1672="","",IF(OR(AC1672="Demandé",AC1672="Planifié",AC1672="Annulé"),0,N(T1672)*N(U1672)))</f>
        <v/>
      </c>
      <c r="W1672" s="70">
        <f>IF($A1672="","",SUMIFS('Mouvements stock'!$H$5:$H$3004,'Mouvements stock'!$I$5:$I$3004,$A1672,'Mouvements stock'!$C$5:$C$3004,"Sortie")-SUMIFS('Mouvements stock'!$H$5:$H$3004,'Mouvements stock'!$I$5:$I$3004,$A1672,'Mouvements stock'!$C$5:$C$3004,"Retour"))</f>
        <v/>
      </c>
      <c r="X1672" s="66" t="n"/>
      <c r="Y1672" s="66" t="n"/>
      <c r="Z1672" s="7" t="n"/>
      <c r="AA1672" s="70">
        <f>IF($A1672="","",N(V1672)+N(W1672)+N(X1672)+N(Y1672))</f>
        <v/>
      </c>
      <c r="AB1672" s="70">
        <f>IF($A1672="","",N(S1672)*'Paramètres'!$AA$9*IFERROR(INDEX('Paramètres'!$O$5:$O$7,MATCH(G1672,'Paramètres'!$N$5:$N$7,0)),0))</f>
        <v/>
      </c>
      <c r="AC1672" s="7" t="n"/>
      <c r="AD1672" s="69">
        <f>IF(OR($A1672="",Q1672=""),"",(Q1672-B1672)*24)</f>
        <v/>
      </c>
      <c r="AE1672" s="69">
        <f>IF(OR(Q1672="",R1672=""),"",(R1672-Q1672)*24)</f>
        <v/>
      </c>
      <c r="AF1672" s="77">
        <f>IF(OR($A1672="",B1672=""),"",YEAR(B1672))</f>
        <v/>
      </c>
      <c r="AG1672" s="77">
        <f>IF(OR($A1672="",B1672=""),"",MONTH(B1672))</f>
        <v/>
      </c>
    </row>
    <row r="1673">
      <c r="A1673" s="7" t="n"/>
      <c r="B1673" s="75" t="n"/>
      <c r="C1673" s="7" t="n"/>
      <c r="D1673" s="7" t="n"/>
      <c r="E1673" s="9">
        <f>IF(D1673="","",IFERROR(INDEX('Équipements'!$B$5:$B$304,MATCH(D1673,'Équipements'!$A$5:$A$304,0)),"Code inconnu"))</f>
        <v/>
      </c>
      <c r="F1673" s="9">
        <f>IF(D1673="","",IFERROR(INDEX('Équipements'!$D$5:$D$304,MATCH(D1673,'Équipements'!$A$5:$A$304,0)),""))</f>
        <v/>
      </c>
      <c r="G1673" s="9">
        <f>IF(D1673="","",IFERROR(INDEX('Équipements'!$K$5:$K$304,MATCH(D1673,'Équipements'!$A$5:$A$304,0)),""))</f>
        <v/>
      </c>
      <c r="H1673" s="7" t="n"/>
      <c r="I1673" s="7" t="n"/>
      <c r="J1673" s="7" t="n"/>
      <c r="K1673" s="7" t="n"/>
      <c r="L1673" s="7" t="n"/>
      <c r="M1673" s="7" t="n"/>
      <c r="N1673" s="7" t="n"/>
      <c r="O1673" s="7" t="n"/>
      <c r="P1673" s="65" t="n"/>
      <c r="Q1673" s="75" t="n"/>
      <c r="R1673" s="75" t="n"/>
      <c r="S1673" s="76" t="n"/>
      <c r="T1673" s="76" t="n"/>
      <c r="U1673" s="70">
        <f>IF($A1673="","",IFERROR(INDEX('Techniciens'!$F$5:$F$44,MATCH(O1673,'Techniciens'!$B$5:$B$44,0)),'Paramètres'!$AA$10))</f>
        <v/>
      </c>
      <c r="V1673" s="70">
        <f>IF($A1673="","",IF(OR(AC1673="Demandé",AC1673="Planifié",AC1673="Annulé"),0,N(T1673)*N(U1673)))</f>
        <v/>
      </c>
      <c r="W1673" s="70">
        <f>IF($A1673="","",SUMIFS('Mouvements stock'!$H$5:$H$3004,'Mouvements stock'!$I$5:$I$3004,$A1673,'Mouvements stock'!$C$5:$C$3004,"Sortie")-SUMIFS('Mouvements stock'!$H$5:$H$3004,'Mouvements stock'!$I$5:$I$3004,$A1673,'Mouvements stock'!$C$5:$C$3004,"Retour"))</f>
        <v/>
      </c>
      <c r="X1673" s="66" t="n"/>
      <c r="Y1673" s="66" t="n"/>
      <c r="Z1673" s="7" t="n"/>
      <c r="AA1673" s="70">
        <f>IF($A1673="","",N(V1673)+N(W1673)+N(X1673)+N(Y1673))</f>
        <v/>
      </c>
      <c r="AB1673" s="70">
        <f>IF($A1673="","",N(S1673)*'Paramètres'!$AA$9*IFERROR(INDEX('Paramètres'!$O$5:$O$7,MATCH(G1673,'Paramètres'!$N$5:$N$7,0)),0))</f>
        <v/>
      </c>
      <c r="AC1673" s="7" t="n"/>
      <c r="AD1673" s="69">
        <f>IF(OR($A1673="",Q1673=""),"",(Q1673-B1673)*24)</f>
        <v/>
      </c>
      <c r="AE1673" s="69">
        <f>IF(OR(Q1673="",R1673=""),"",(R1673-Q1673)*24)</f>
        <v/>
      </c>
      <c r="AF1673" s="77">
        <f>IF(OR($A1673="",B1673=""),"",YEAR(B1673))</f>
        <v/>
      </c>
      <c r="AG1673" s="77">
        <f>IF(OR($A1673="",B1673=""),"",MONTH(B1673))</f>
        <v/>
      </c>
    </row>
    <row r="1674">
      <c r="A1674" s="7" t="n"/>
      <c r="B1674" s="75" t="n"/>
      <c r="C1674" s="7" t="n"/>
      <c r="D1674" s="7" t="n"/>
      <c r="E1674" s="9">
        <f>IF(D1674="","",IFERROR(INDEX('Équipements'!$B$5:$B$304,MATCH(D1674,'Équipements'!$A$5:$A$304,0)),"Code inconnu"))</f>
        <v/>
      </c>
      <c r="F1674" s="9">
        <f>IF(D1674="","",IFERROR(INDEX('Équipements'!$D$5:$D$304,MATCH(D1674,'Équipements'!$A$5:$A$304,0)),""))</f>
        <v/>
      </c>
      <c r="G1674" s="9">
        <f>IF(D1674="","",IFERROR(INDEX('Équipements'!$K$5:$K$304,MATCH(D1674,'Équipements'!$A$5:$A$304,0)),""))</f>
        <v/>
      </c>
      <c r="H1674" s="7" t="n"/>
      <c r="I1674" s="7" t="n"/>
      <c r="J1674" s="7" t="n"/>
      <c r="K1674" s="7" t="n"/>
      <c r="L1674" s="7" t="n"/>
      <c r="M1674" s="7" t="n"/>
      <c r="N1674" s="7" t="n"/>
      <c r="O1674" s="7" t="n"/>
      <c r="P1674" s="65" t="n"/>
      <c r="Q1674" s="75" t="n"/>
      <c r="R1674" s="75" t="n"/>
      <c r="S1674" s="76" t="n"/>
      <c r="T1674" s="76" t="n"/>
      <c r="U1674" s="70">
        <f>IF($A1674="","",IFERROR(INDEX('Techniciens'!$F$5:$F$44,MATCH(O1674,'Techniciens'!$B$5:$B$44,0)),'Paramètres'!$AA$10))</f>
        <v/>
      </c>
      <c r="V1674" s="70">
        <f>IF($A1674="","",IF(OR(AC1674="Demandé",AC1674="Planifié",AC1674="Annulé"),0,N(T1674)*N(U1674)))</f>
        <v/>
      </c>
      <c r="W1674" s="70">
        <f>IF($A1674="","",SUMIFS('Mouvements stock'!$H$5:$H$3004,'Mouvements stock'!$I$5:$I$3004,$A1674,'Mouvements stock'!$C$5:$C$3004,"Sortie")-SUMIFS('Mouvements stock'!$H$5:$H$3004,'Mouvements stock'!$I$5:$I$3004,$A1674,'Mouvements stock'!$C$5:$C$3004,"Retour"))</f>
        <v/>
      </c>
      <c r="X1674" s="66" t="n"/>
      <c r="Y1674" s="66" t="n"/>
      <c r="Z1674" s="7" t="n"/>
      <c r="AA1674" s="70">
        <f>IF($A1674="","",N(V1674)+N(W1674)+N(X1674)+N(Y1674))</f>
        <v/>
      </c>
      <c r="AB1674" s="70">
        <f>IF($A1674="","",N(S1674)*'Paramètres'!$AA$9*IFERROR(INDEX('Paramètres'!$O$5:$O$7,MATCH(G1674,'Paramètres'!$N$5:$N$7,0)),0))</f>
        <v/>
      </c>
      <c r="AC1674" s="7" t="n"/>
      <c r="AD1674" s="69">
        <f>IF(OR($A1674="",Q1674=""),"",(Q1674-B1674)*24)</f>
        <v/>
      </c>
      <c r="AE1674" s="69">
        <f>IF(OR(Q1674="",R1674=""),"",(R1674-Q1674)*24)</f>
        <v/>
      </c>
      <c r="AF1674" s="77">
        <f>IF(OR($A1674="",B1674=""),"",YEAR(B1674))</f>
        <v/>
      </c>
      <c r="AG1674" s="77">
        <f>IF(OR($A1674="",B1674=""),"",MONTH(B1674))</f>
        <v/>
      </c>
    </row>
    <row r="1675">
      <c r="A1675" s="7" t="n"/>
      <c r="B1675" s="75" t="n"/>
      <c r="C1675" s="7" t="n"/>
      <c r="D1675" s="7" t="n"/>
      <c r="E1675" s="9">
        <f>IF(D1675="","",IFERROR(INDEX('Équipements'!$B$5:$B$304,MATCH(D1675,'Équipements'!$A$5:$A$304,0)),"Code inconnu"))</f>
        <v/>
      </c>
      <c r="F1675" s="9">
        <f>IF(D1675="","",IFERROR(INDEX('Équipements'!$D$5:$D$304,MATCH(D1675,'Équipements'!$A$5:$A$304,0)),""))</f>
        <v/>
      </c>
      <c r="G1675" s="9">
        <f>IF(D1675="","",IFERROR(INDEX('Équipements'!$K$5:$K$304,MATCH(D1675,'Équipements'!$A$5:$A$304,0)),""))</f>
        <v/>
      </c>
      <c r="H1675" s="7" t="n"/>
      <c r="I1675" s="7" t="n"/>
      <c r="J1675" s="7" t="n"/>
      <c r="K1675" s="7" t="n"/>
      <c r="L1675" s="7" t="n"/>
      <c r="M1675" s="7" t="n"/>
      <c r="N1675" s="7" t="n"/>
      <c r="O1675" s="7" t="n"/>
      <c r="P1675" s="65" t="n"/>
      <c r="Q1675" s="75" t="n"/>
      <c r="R1675" s="75" t="n"/>
      <c r="S1675" s="76" t="n"/>
      <c r="T1675" s="76" t="n"/>
      <c r="U1675" s="70">
        <f>IF($A1675="","",IFERROR(INDEX('Techniciens'!$F$5:$F$44,MATCH(O1675,'Techniciens'!$B$5:$B$44,0)),'Paramètres'!$AA$10))</f>
        <v/>
      </c>
      <c r="V1675" s="70">
        <f>IF($A1675="","",IF(OR(AC1675="Demandé",AC1675="Planifié",AC1675="Annulé"),0,N(T1675)*N(U1675)))</f>
        <v/>
      </c>
      <c r="W1675" s="70">
        <f>IF($A1675="","",SUMIFS('Mouvements stock'!$H$5:$H$3004,'Mouvements stock'!$I$5:$I$3004,$A1675,'Mouvements stock'!$C$5:$C$3004,"Sortie")-SUMIFS('Mouvements stock'!$H$5:$H$3004,'Mouvements stock'!$I$5:$I$3004,$A1675,'Mouvements stock'!$C$5:$C$3004,"Retour"))</f>
        <v/>
      </c>
      <c r="X1675" s="66" t="n"/>
      <c r="Y1675" s="66" t="n"/>
      <c r="Z1675" s="7" t="n"/>
      <c r="AA1675" s="70">
        <f>IF($A1675="","",N(V1675)+N(W1675)+N(X1675)+N(Y1675))</f>
        <v/>
      </c>
      <c r="AB1675" s="70">
        <f>IF($A1675="","",N(S1675)*'Paramètres'!$AA$9*IFERROR(INDEX('Paramètres'!$O$5:$O$7,MATCH(G1675,'Paramètres'!$N$5:$N$7,0)),0))</f>
        <v/>
      </c>
      <c r="AC1675" s="7" t="n"/>
      <c r="AD1675" s="69">
        <f>IF(OR($A1675="",Q1675=""),"",(Q1675-B1675)*24)</f>
        <v/>
      </c>
      <c r="AE1675" s="69">
        <f>IF(OR(Q1675="",R1675=""),"",(R1675-Q1675)*24)</f>
        <v/>
      </c>
      <c r="AF1675" s="77">
        <f>IF(OR($A1675="",B1675=""),"",YEAR(B1675))</f>
        <v/>
      </c>
      <c r="AG1675" s="77">
        <f>IF(OR($A1675="",B1675=""),"",MONTH(B1675))</f>
        <v/>
      </c>
    </row>
    <row r="1676">
      <c r="A1676" s="7" t="n"/>
      <c r="B1676" s="75" t="n"/>
      <c r="C1676" s="7" t="n"/>
      <c r="D1676" s="7" t="n"/>
      <c r="E1676" s="9">
        <f>IF(D1676="","",IFERROR(INDEX('Équipements'!$B$5:$B$304,MATCH(D1676,'Équipements'!$A$5:$A$304,0)),"Code inconnu"))</f>
        <v/>
      </c>
      <c r="F1676" s="9">
        <f>IF(D1676="","",IFERROR(INDEX('Équipements'!$D$5:$D$304,MATCH(D1676,'Équipements'!$A$5:$A$304,0)),""))</f>
        <v/>
      </c>
      <c r="G1676" s="9">
        <f>IF(D1676="","",IFERROR(INDEX('Équipements'!$K$5:$K$304,MATCH(D1676,'Équipements'!$A$5:$A$304,0)),""))</f>
        <v/>
      </c>
      <c r="H1676" s="7" t="n"/>
      <c r="I1676" s="7" t="n"/>
      <c r="J1676" s="7" t="n"/>
      <c r="K1676" s="7" t="n"/>
      <c r="L1676" s="7" t="n"/>
      <c r="M1676" s="7" t="n"/>
      <c r="N1676" s="7" t="n"/>
      <c r="O1676" s="7" t="n"/>
      <c r="P1676" s="65" t="n"/>
      <c r="Q1676" s="75" t="n"/>
      <c r="R1676" s="75" t="n"/>
      <c r="S1676" s="76" t="n"/>
      <c r="T1676" s="76" t="n"/>
      <c r="U1676" s="70">
        <f>IF($A1676="","",IFERROR(INDEX('Techniciens'!$F$5:$F$44,MATCH(O1676,'Techniciens'!$B$5:$B$44,0)),'Paramètres'!$AA$10))</f>
        <v/>
      </c>
      <c r="V1676" s="70">
        <f>IF($A1676="","",IF(OR(AC1676="Demandé",AC1676="Planifié",AC1676="Annulé"),0,N(T1676)*N(U1676)))</f>
        <v/>
      </c>
      <c r="W1676" s="70">
        <f>IF($A1676="","",SUMIFS('Mouvements stock'!$H$5:$H$3004,'Mouvements stock'!$I$5:$I$3004,$A1676,'Mouvements stock'!$C$5:$C$3004,"Sortie")-SUMIFS('Mouvements stock'!$H$5:$H$3004,'Mouvements stock'!$I$5:$I$3004,$A1676,'Mouvements stock'!$C$5:$C$3004,"Retour"))</f>
        <v/>
      </c>
      <c r="X1676" s="66" t="n"/>
      <c r="Y1676" s="66" t="n"/>
      <c r="Z1676" s="7" t="n"/>
      <c r="AA1676" s="70">
        <f>IF($A1676="","",N(V1676)+N(W1676)+N(X1676)+N(Y1676))</f>
        <v/>
      </c>
      <c r="AB1676" s="70">
        <f>IF($A1676="","",N(S1676)*'Paramètres'!$AA$9*IFERROR(INDEX('Paramètres'!$O$5:$O$7,MATCH(G1676,'Paramètres'!$N$5:$N$7,0)),0))</f>
        <v/>
      </c>
      <c r="AC1676" s="7" t="n"/>
      <c r="AD1676" s="69">
        <f>IF(OR($A1676="",Q1676=""),"",(Q1676-B1676)*24)</f>
        <v/>
      </c>
      <c r="AE1676" s="69">
        <f>IF(OR(Q1676="",R1676=""),"",(R1676-Q1676)*24)</f>
        <v/>
      </c>
      <c r="AF1676" s="77">
        <f>IF(OR($A1676="",B1676=""),"",YEAR(B1676))</f>
        <v/>
      </c>
      <c r="AG1676" s="77">
        <f>IF(OR($A1676="",B1676=""),"",MONTH(B1676))</f>
        <v/>
      </c>
    </row>
    <row r="1677">
      <c r="A1677" s="7" t="n"/>
      <c r="B1677" s="75" t="n"/>
      <c r="C1677" s="7" t="n"/>
      <c r="D1677" s="7" t="n"/>
      <c r="E1677" s="9">
        <f>IF(D1677="","",IFERROR(INDEX('Équipements'!$B$5:$B$304,MATCH(D1677,'Équipements'!$A$5:$A$304,0)),"Code inconnu"))</f>
        <v/>
      </c>
      <c r="F1677" s="9">
        <f>IF(D1677="","",IFERROR(INDEX('Équipements'!$D$5:$D$304,MATCH(D1677,'Équipements'!$A$5:$A$304,0)),""))</f>
        <v/>
      </c>
      <c r="G1677" s="9">
        <f>IF(D1677="","",IFERROR(INDEX('Équipements'!$K$5:$K$304,MATCH(D1677,'Équipements'!$A$5:$A$304,0)),""))</f>
        <v/>
      </c>
      <c r="H1677" s="7" t="n"/>
      <c r="I1677" s="7" t="n"/>
      <c r="J1677" s="7" t="n"/>
      <c r="K1677" s="7" t="n"/>
      <c r="L1677" s="7" t="n"/>
      <c r="M1677" s="7" t="n"/>
      <c r="N1677" s="7" t="n"/>
      <c r="O1677" s="7" t="n"/>
      <c r="P1677" s="65" t="n"/>
      <c r="Q1677" s="75" t="n"/>
      <c r="R1677" s="75" t="n"/>
      <c r="S1677" s="76" t="n"/>
      <c r="T1677" s="76" t="n"/>
      <c r="U1677" s="70">
        <f>IF($A1677="","",IFERROR(INDEX('Techniciens'!$F$5:$F$44,MATCH(O1677,'Techniciens'!$B$5:$B$44,0)),'Paramètres'!$AA$10))</f>
        <v/>
      </c>
      <c r="V1677" s="70">
        <f>IF($A1677="","",IF(OR(AC1677="Demandé",AC1677="Planifié",AC1677="Annulé"),0,N(T1677)*N(U1677)))</f>
        <v/>
      </c>
      <c r="W1677" s="70">
        <f>IF($A1677="","",SUMIFS('Mouvements stock'!$H$5:$H$3004,'Mouvements stock'!$I$5:$I$3004,$A1677,'Mouvements stock'!$C$5:$C$3004,"Sortie")-SUMIFS('Mouvements stock'!$H$5:$H$3004,'Mouvements stock'!$I$5:$I$3004,$A1677,'Mouvements stock'!$C$5:$C$3004,"Retour"))</f>
        <v/>
      </c>
      <c r="X1677" s="66" t="n"/>
      <c r="Y1677" s="66" t="n"/>
      <c r="Z1677" s="7" t="n"/>
      <c r="AA1677" s="70">
        <f>IF($A1677="","",N(V1677)+N(W1677)+N(X1677)+N(Y1677))</f>
        <v/>
      </c>
      <c r="AB1677" s="70">
        <f>IF($A1677="","",N(S1677)*'Paramètres'!$AA$9*IFERROR(INDEX('Paramètres'!$O$5:$O$7,MATCH(G1677,'Paramètres'!$N$5:$N$7,0)),0))</f>
        <v/>
      </c>
      <c r="AC1677" s="7" t="n"/>
      <c r="AD1677" s="69">
        <f>IF(OR($A1677="",Q1677=""),"",(Q1677-B1677)*24)</f>
        <v/>
      </c>
      <c r="AE1677" s="69">
        <f>IF(OR(Q1677="",R1677=""),"",(R1677-Q1677)*24)</f>
        <v/>
      </c>
      <c r="AF1677" s="77">
        <f>IF(OR($A1677="",B1677=""),"",YEAR(B1677))</f>
        <v/>
      </c>
      <c r="AG1677" s="77">
        <f>IF(OR($A1677="",B1677=""),"",MONTH(B1677))</f>
        <v/>
      </c>
    </row>
    <row r="1678">
      <c r="A1678" s="7" t="n"/>
      <c r="B1678" s="75" t="n"/>
      <c r="C1678" s="7" t="n"/>
      <c r="D1678" s="7" t="n"/>
      <c r="E1678" s="9">
        <f>IF(D1678="","",IFERROR(INDEX('Équipements'!$B$5:$B$304,MATCH(D1678,'Équipements'!$A$5:$A$304,0)),"Code inconnu"))</f>
        <v/>
      </c>
      <c r="F1678" s="9">
        <f>IF(D1678="","",IFERROR(INDEX('Équipements'!$D$5:$D$304,MATCH(D1678,'Équipements'!$A$5:$A$304,0)),""))</f>
        <v/>
      </c>
      <c r="G1678" s="9">
        <f>IF(D1678="","",IFERROR(INDEX('Équipements'!$K$5:$K$304,MATCH(D1678,'Équipements'!$A$5:$A$304,0)),""))</f>
        <v/>
      </c>
      <c r="H1678" s="7" t="n"/>
      <c r="I1678" s="7" t="n"/>
      <c r="J1678" s="7" t="n"/>
      <c r="K1678" s="7" t="n"/>
      <c r="L1678" s="7" t="n"/>
      <c r="M1678" s="7" t="n"/>
      <c r="N1678" s="7" t="n"/>
      <c r="O1678" s="7" t="n"/>
      <c r="P1678" s="65" t="n"/>
      <c r="Q1678" s="75" t="n"/>
      <c r="R1678" s="75" t="n"/>
      <c r="S1678" s="76" t="n"/>
      <c r="T1678" s="76" t="n"/>
      <c r="U1678" s="70">
        <f>IF($A1678="","",IFERROR(INDEX('Techniciens'!$F$5:$F$44,MATCH(O1678,'Techniciens'!$B$5:$B$44,0)),'Paramètres'!$AA$10))</f>
        <v/>
      </c>
      <c r="V1678" s="70">
        <f>IF($A1678="","",IF(OR(AC1678="Demandé",AC1678="Planifié",AC1678="Annulé"),0,N(T1678)*N(U1678)))</f>
        <v/>
      </c>
      <c r="W1678" s="70">
        <f>IF($A1678="","",SUMIFS('Mouvements stock'!$H$5:$H$3004,'Mouvements stock'!$I$5:$I$3004,$A1678,'Mouvements stock'!$C$5:$C$3004,"Sortie")-SUMIFS('Mouvements stock'!$H$5:$H$3004,'Mouvements stock'!$I$5:$I$3004,$A1678,'Mouvements stock'!$C$5:$C$3004,"Retour"))</f>
        <v/>
      </c>
      <c r="X1678" s="66" t="n"/>
      <c r="Y1678" s="66" t="n"/>
      <c r="Z1678" s="7" t="n"/>
      <c r="AA1678" s="70">
        <f>IF($A1678="","",N(V1678)+N(W1678)+N(X1678)+N(Y1678))</f>
        <v/>
      </c>
      <c r="AB1678" s="70">
        <f>IF($A1678="","",N(S1678)*'Paramètres'!$AA$9*IFERROR(INDEX('Paramètres'!$O$5:$O$7,MATCH(G1678,'Paramètres'!$N$5:$N$7,0)),0))</f>
        <v/>
      </c>
      <c r="AC1678" s="7" t="n"/>
      <c r="AD1678" s="69">
        <f>IF(OR($A1678="",Q1678=""),"",(Q1678-B1678)*24)</f>
        <v/>
      </c>
      <c r="AE1678" s="69">
        <f>IF(OR(Q1678="",R1678=""),"",(R1678-Q1678)*24)</f>
        <v/>
      </c>
      <c r="AF1678" s="77">
        <f>IF(OR($A1678="",B1678=""),"",YEAR(B1678))</f>
        <v/>
      </c>
      <c r="AG1678" s="77">
        <f>IF(OR($A1678="",B1678=""),"",MONTH(B1678))</f>
        <v/>
      </c>
    </row>
    <row r="1679">
      <c r="A1679" s="7" t="n"/>
      <c r="B1679" s="75" t="n"/>
      <c r="C1679" s="7" t="n"/>
      <c r="D1679" s="7" t="n"/>
      <c r="E1679" s="9">
        <f>IF(D1679="","",IFERROR(INDEX('Équipements'!$B$5:$B$304,MATCH(D1679,'Équipements'!$A$5:$A$304,0)),"Code inconnu"))</f>
        <v/>
      </c>
      <c r="F1679" s="9">
        <f>IF(D1679="","",IFERROR(INDEX('Équipements'!$D$5:$D$304,MATCH(D1679,'Équipements'!$A$5:$A$304,0)),""))</f>
        <v/>
      </c>
      <c r="G1679" s="9">
        <f>IF(D1679="","",IFERROR(INDEX('Équipements'!$K$5:$K$304,MATCH(D1679,'Équipements'!$A$5:$A$304,0)),""))</f>
        <v/>
      </c>
      <c r="H1679" s="7" t="n"/>
      <c r="I1679" s="7" t="n"/>
      <c r="J1679" s="7" t="n"/>
      <c r="K1679" s="7" t="n"/>
      <c r="L1679" s="7" t="n"/>
      <c r="M1679" s="7" t="n"/>
      <c r="N1679" s="7" t="n"/>
      <c r="O1679" s="7" t="n"/>
      <c r="P1679" s="65" t="n"/>
      <c r="Q1679" s="75" t="n"/>
      <c r="R1679" s="75" t="n"/>
      <c r="S1679" s="76" t="n"/>
      <c r="T1679" s="76" t="n"/>
      <c r="U1679" s="70">
        <f>IF($A1679="","",IFERROR(INDEX('Techniciens'!$F$5:$F$44,MATCH(O1679,'Techniciens'!$B$5:$B$44,0)),'Paramètres'!$AA$10))</f>
        <v/>
      </c>
      <c r="V1679" s="70">
        <f>IF($A1679="","",IF(OR(AC1679="Demandé",AC1679="Planifié",AC1679="Annulé"),0,N(T1679)*N(U1679)))</f>
        <v/>
      </c>
      <c r="W1679" s="70">
        <f>IF($A1679="","",SUMIFS('Mouvements stock'!$H$5:$H$3004,'Mouvements stock'!$I$5:$I$3004,$A1679,'Mouvements stock'!$C$5:$C$3004,"Sortie")-SUMIFS('Mouvements stock'!$H$5:$H$3004,'Mouvements stock'!$I$5:$I$3004,$A1679,'Mouvements stock'!$C$5:$C$3004,"Retour"))</f>
        <v/>
      </c>
      <c r="X1679" s="66" t="n"/>
      <c r="Y1679" s="66" t="n"/>
      <c r="Z1679" s="7" t="n"/>
      <c r="AA1679" s="70">
        <f>IF($A1679="","",N(V1679)+N(W1679)+N(X1679)+N(Y1679))</f>
        <v/>
      </c>
      <c r="AB1679" s="70">
        <f>IF($A1679="","",N(S1679)*'Paramètres'!$AA$9*IFERROR(INDEX('Paramètres'!$O$5:$O$7,MATCH(G1679,'Paramètres'!$N$5:$N$7,0)),0))</f>
        <v/>
      </c>
      <c r="AC1679" s="7" t="n"/>
      <c r="AD1679" s="69">
        <f>IF(OR($A1679="",Q1679=""),"",(Q1679-B1679)*24)</f>
        <v/>
      </c>
      <c r="AE1679" s="69">
        <f>IF(OR(Q1679="",R1679=""),"",(R1679-Q1679)*24)</f>
        <v/>
      </c>
      <c r="AF1679" s="77">
        <f>IF(OR($A1679="",B1679=""),"",YEAR(B1679))</f>
        <v/>
      </c>
      <c r="AG1679" s="77">
        <f>IF(OR($A1679="",B1679=""),"",MONTH(B1679))</f>
        <v/>
      </c>
    </row>
    <row r="1680">
      <c r="A1680" s="7" t="n"/>
      <c r="B1680" s="75" t="n"/>
      <c r="C1680" s="7" t="n"/>
      <c r="D1680" s="7" t="n"/>
      <c r="E1680" s="9">
        <f>IF(D1680="","",IFERROR(INDEX('Équipements'!$B$5:$B$304,MATCH(D1680,'Équipements'!$A$5:$A$304,0)),"Code inconnu"))</f>
        <v/>
      </c>
      <c r="F1680" s="9">
        <f>IF(D1680="","",IFERROR(INDEX('Équipements'!$D$5:$D$304,MATCH(D1680,'Équipements'!$A$5:$A$304,0)),""))</f>
        <v/>
      </c>
      <c r="G1680" s="9">
        <f>IF(D1680="","",IFERROR(INDEX('Équipements'!$K$5:$K$304,MATCH(D1680,'Équipements'!$A$5:$A$304,0)),""))</f>
        <v/>
      </c>
      <c r="H1680" s="7" t="n"/>
      <c r="I1680" s="7" t="n"/>
      <c r="J1680" s="7" t="n"/>
      <c r="K1680" s="7" t="n"/>
      <c r="L1680" s="7" t="n"/>
      <c r="M1680" s="7" t="n"/>
      <c r="N1680" s="7" t="n"/>
      <c r="O1680" s="7" t="n"/>
      <c r="P1680" s="65" t="n"/>
      <c r="Q1680" s="75" t="n"/>
      <c r="R1680" s="75" t="n"/>
      <c r="S1680" s="76" t="n"/>
      <c r="T1680" s="76" t="n"/>
      <c r="U1680" s="70">
        <f>IF($A1680="","",IFERROR(INDEX('Techniciens'!$F$5:$F$44,MATCH(O1680,'Techniciens'!$B$5:$B$44,0)),'Paramètres'!$AA$10))</f>
        <v/>
      </c>
      <c r="V1680" s="70">
        <f>IF($A1680="","",IF(OR(AC1680="Demandé",AC1680="Planifié",AC1680="Annulé"),0,N(T1680)*N(U1680)))</f>
        <v/>
      </c>
      <c r="W1680" s="70">
        <f>IF($A1680="","",SUMIFS('Mouvements stock'!$H$5:$H$3004,'Mouvements stock'!$I$5:$I$3004,$A1680,'Mouvements stock'!$C$5:$C$3004,"Sortie")-SUMIFS('Mouvements stock'!$H$5:$H$3004,'Mouvements stock'!$I$5:$I$3004,$A1680,'Mouvements stock'!$C$5:$C$3004,"Retour"))</f>
        <v/>
      </c>
      <c r="X1680" s="66" t="n"/>
      <c r="Y1680" s="66" t="n"/>
      <c r="Z1680" s="7" t="n"/>
      <c r="AA1680" s="70">
        <f>IF($A1680="","",N(V1680)+N(W1680)+N(X1680)+N(Y1680))</f>
        <v/>
      </c>
      <c r="AB1680" s="70">
        <f>IF($A1680="","",N(S1680)*'Paramètres'!$AA$9*IFERROR(INDEX('Paramètres'!$O$5:$O$7,MATCH(G1680,'Paramètres'!$N$5:$N$7,0)),0))</f>
        <v/>
      </c>
      <c r="AC1680" s="7" t="n"/>
      <c r="AD1680" s="69">
        <f>IF(OR($A1680="",Q1680=""),"",(Q1680-B1680)*24)</f>
        <v/>
      </c>
      <c r="AE1680" s="69">
        <f>IF(OR(Q1680="",R1680=""),"",(R1680-Q1680)*24)</f>
        <v/>
      </c>
      <c r="AF1680" s="77">
        <f>IF(OR($A1680="",B1680=""),"",YEAR(B1680))</f>
        <v/>
      </c>
      <c r="AG1680" s="77">
        <f>IF(OR($A1680="",B1680=""),"",MONTH(B1680))</f>
        <v/>
      </c>
    </row>
    <row r="1681">
      <c r="A1681" s="7" t="n"/>
      <c r="B1681" s="75" t="n"/>
      <c r="C1681" s="7" t="n"/>
      <c r="D1681" s="7" t="n"/>
      <c r="E1681" s="9">
        <f>IF(D1681="","",IFERROR(INDEX('Équipements'!$B$5:$B$304,MATCH(D1681,'Équipements'!$A$5:$A$304,0)),"Code inconnu"))</f>
        <v/>
      </c>
      <c r="F1681" s="9">
        <f>IF(D1681="","",IFERROR(INDEX('Équipements'!$D$5:$D$304,MATCH(D1681,'Équipements'!$A$5:$A$304,0)),""))</f>
        <v/>
      </c>
      <c r="G1681" s="9">
        <f>IF(D1681="","",IFERROR(INDEX('Équipements'!$K$5:$K$304,MATCH(D1681,'Équipements'!$A$5:$A$304,0)),""))</f>
        <v/>
      </c>
      <c r="H1681" s="7" t="n"/>
      <c r="I1681" s="7" t="n"/>
      <c r="J1681" s="7" t="n"/>
      <c r="K1681" s="7" t="n"/>
      <c r="L1681" s="7" t="n"/>
      <c r="M1681" s="7" t="n"/>
      <c r="N1681" s="7" t="n"/>
      <c r="O1681" s="7" t="n"/>
      <c r="P1681" s="65" t="n"/>
      <c r="Q1681" s="75" t="n"/>
      <c r="R1681" s="75" t="n"/>
      <c r="S1681" s="76" t="n"/>
      <c r="T1681" s="76" t="n"/>
      <c r="U1681" s="70">
        <f>IF($A1681="","",IFERROR(INDEX('Techniciens'!$F$5:$F$44,MATCH(O1681,'Techniciens'!$B$5:$B$44,0)),'Paramètres'!$AA$10))</f>
        <v/>
      </c>
      <c r="V1681" s="70">
        <f>IF($A1681="","",IF(OR(AC1681="Demandé",AC1681="Planifié",AC1681="Annulé"),0,N(T1681)*N(U1681)))</f>
        <v/>
      </c>
      <c r="W1681" s="70">
        <f>IF($A1681="","",SUMIFS('Mouvements stock'!$H$5:$H$3004,'Mouvements stock'!$I$5:$I$3004,$A1681,'Mouvements stock'!$C$5:$C$3004,"Sortie")-SUMIFS('Mouvements stock'!$H$5:$H$3004,'Mouvements stock'!$I$5:$I$3004,$A1681,'Mouvements stock'!$C$5:$C$3004,"Retour"))</f>
        <v/>
      </c>
      <c r="X1681" s="66" t="n"/>
      <c r="Y1681" s="66" t="n"/>
      <c r="Z1681" s="7" t="n"/>
      <c r="AA1681" s="70">
        <f>IF($A1681="","",N(V1681)+N(W1681)+N(X1681)+N(Y1681))</f>
        <v/>
      </c>
      <c r="AB1681" s="70">
        <f>IF($A1681="","",N(S1681)*'Paramètres'!$AA$9*IFERROR(INDEX('Paramètres'!$O$5:$O$7,MATCH(G1681,'Paramètres'!$N$5:$N$7,0)),0))</f>
        <v/>
      </c>
      <c r="AC1681" s="7" t="n"/>
      <c r="AD1681" s="69">
        <f>IF(OR($A1681="",Q1681=""),"",(Q1681-B1681)*24)</f>
        <v/>
      </c>
      <c r="AE1681" s="69">
        <f>IF(OR(Q1681="",R1681=""),"",(R1681-Q1681)*24)</f>
        <v/>
      </c>
      <c r="AF1681" s="77">
        <f>IF(OR($A1681="",B1681=""),"",YEAR(B1681))</f>
        <v/>
      </c>
      <c r="AG1681" s="77">
        <f>IF(OR($A1681="",B1681=""),"",MONTH(B1681))</f>
        <v/>
      </c>
    </row>
    <row r="1682">
      <c r="A1682" s="7" t="n"/>
      <c r="B1682" s="75" t="n"/>
      <c r="C1682" s="7" t="n"/>
      <c r="D1682" s="7" t="n"/>
      <c r="E1682" s="9">
        <f>IF(D1682="","",IFERROR(INDEX('Équipements'!$B$5:$B$304,MATCH(D1682,'Équipements'!$A$5:$A$304,0)),"Code inconnu"))</f>
        <v/>
      </c>
      <c r="F1682" s="9">
        <f>IF(D1682="","",IFERROR(INDEX('Équipements'!$D$5:$D$304,MATCH(D1682,'Équipements'!$A$5:$A$304,0)),""))</f>
        <v/>
      </c>
      <c r="G1682" s="9">
        <f>IF(D1682="","",IFERROR(INDEX('Équipements'!$K$5:$K$304,MATCH(D1682,'Équipements'!$A$5:$A$304,0)),""))</f>
        <v/>
      </c>
      <c r="H1682" s="7" t="n"/>
      <c r="I1682" s="7" t="n"/>
      <c r="J1682" s="7" t="n"/>
      <c r="K1682" s="7" t="n"/>
      <c r="L1682" s="7" t="n"/>
      <c r="M1682" s="7" t="n"/>
      <c r="N1682" s="7" t="n"/>
      <c r="O1682" s="7" t="n"/>
      <c r="P1682" s="65" t="n"/>
      <c r="Q1682" s="75" t="n"/>
      <c r="R1682" s="75" t="n"/>
      <c r="S1682" s="76" t="n"/>
      <c r="T1682" s="76" t="n"/>
      <c r="U1682" s="70">
        <f>IF($A1682="","",IFERROR(INDEX('Techniciens'!$F$5:$F$44,MATCH(O1682,'Techniciens'!$B$5:$B$44,0)),'Paramètres'!$AA$10))</f>
        <v/>
      </c>
      <c r="V1682" s="70">
        <f>IF($A1682="","",IF(OR(AC1682="Demandé",AC1682="Planifié",AC1682="Annulé"),0,N(T1682)*N(U1682)))</f>
        <v/>
      </c>
      <c r="W1682" s="70">
        <f>IF($A1682="","",SUMIFS('Mouvements stock'!$H$5:$H$3004,'Mouvements stock'!$I$5:$I$3004,$A1682,'Mouvements stock'!$C$5:$C$3004,"Sortie")-SUMIFS('Mouvements stock'!$H$5:$H$3004,'Mouvements stock'!$I$5:$I$3004,$A1682,'Mouvements stock'!$C$5:$C$3004,"Retour"))</f>
        <v/>
      </c>
      <c r="X1682" s="66" t="n"/>
      <c r="Y1682" s="66" t="n"/>
      <c r="Z1682" s="7" t="n"/>
      <c r="AA1682" s="70">
        <f>IF($A1682="","",N(V1682)+N(W1682)+N(X1682)+N(Y1682))</f>
        <v/>
      </c>
      <c r="AB1682" s="70">
        <f>IF($A1682="","",N(S1682)*'Paramètres'!$AA$9*IFERROR(INDEX('Paramètres'!$O$5:$O$7,MATCH(G1682,'Paramètres'!$N$5:$N$7,0)),0))</f>
        <v/>
      </c>
      <c r="AC1682" s="7" t="n"/>
      <c r="AD1682" s="69">
        <f>IF(OR($A1682="",Q1682=""),"",(Q1682-B1682)*24)</f>
        <v/>
      </c>
      <c r="AE1682" s="69">
        <f>IF(OR(Q1682="",R1682=""),"",(R1682-Q1682)*24)</f>
        <v/>
      </c>
      <c r="AF1682" s="77">
        <f>IF(OR($A1682="",B1682=""),"",YEAR(B1682))</f>
        <v/>
      </c>
      <c r="AG1682" s="77">
        <f>IF(OR($A1682="",B1682=""),"",MONTH(B1682))</f>
        <v/>
      </c>
    </row>
    <row r="1683">
      <c r="A1683" s="7" t="n"/>
      <c r="B1683" s="75" t="n"/>
      <c r="C1683" s="7" t="n"/>
      <c r="D1683" s="7" t="n"/>
      <c r="E1683" s="9">
        <f>IF(D1683="","",IFERROR(INDEX('Équipements'!$B$5:$B$304,MATCH(D1683,'Équipements'!$A$5:$A$304,0)),"Code inconnu"))</f>
        <v/>
      </c>
      <c r="F1683" s="9">
        <f>IF(D1683="","",IFERROR(INDEX('Équipements'!$D$5:$D$304,MATCH(D1683,'Équipements'!$A$5:$A$304,0)),""))</f>
        <v/>
      </c>
      <c r="G1683" s="9">
        <f>IF(D1683="","",IFERROR(INDEX('Équipements'!$K$5:$K$304,MATCH(D1683,'Équipements'!$A$5:$A$304,0)),""))</f>
        <v/>
      </c>
      <c r="H1683" s="7" t="n"/>
      <c r="I1683" s="7" t="n"/>
      <c r="J1683" s="7" t="n"/>
      <c r="K1683" s="7" t="n"/>
      <c r="L1683" s="7" t="n"/>
      <c r="M1683" s="7" t="n"/>
      <c r="N1683" s="7" t="n"/>
      <c r="O1683" s="7" t="n"/>
      <c r="P1683" s="65" t="n"/>
      <c r="Q1683" s="75" t="n"/>
      <c r="R1683" s="75" t="n"/>
      <c r="S1683" s="76" t="n"/>
      <c r="T1683" s="76" t="n"/>
      <c r="U1683" s="70">
        <f>IF($A1683="","",IFERROR(INDEX('Techniciens'!$F$5:$F$44,MATCH(O1683,'Techniciens'!$B$5:$B$44,0)),'Paramètres'!$AA$10))</f>
        <v/>
      </c>
      <c r="V1683" s="70">
        <f>IF($A1683="","",IF(OR(AC1683="Demandé",AC1683="Planifié",AC1683="Annulé"),0,N(T1683)*N(U1683)))</f>
        <v/>
      </c>
      <c r="W1683" s="70">
        <f>IF($A1683="","",SUMIFS('Mouvements stock'!$H$5:$H$3004,'Mouvements stock'!$I$5:$I$3004,$A1683,'Mouvements stock'!$C$5:$C$3004,"Sortie")-SUMIFS('Mouvements stock'!$H$5:$H$3004,'Mouvements stock'!$I$5:$I$3004,$A1683,'Mouvements stock'!$C$5:$C$3004,"Retour"))</f>
        <v/>
      </c>
      <c r="X1683" s="66" t="n"/>
      <c r="Y1683" s="66" t="n"/>
      <c r="Z1683" s="7" t="n"/>
      <c r="AA1683" s="70">
        <f>IF($A1683="","",N(V1683)+N(W1683)+N(X1683)+N(Y1683))</f>
        <v/>
      </c>
      <c r="AB1683" s="70">
        <f>IF($A1683="","",N(S1683)*'Paramètres'!$AA$9*IFERROR(INDEX('Paramètres'!$O$5:$O$7,MATCH(G1683,'Paramètres'!$N$5:$N$7,0)),0))</f>
        <v/>
      </c>
      <c r="AC1683" s="7" t="n"/>
      <c r="AD1683" s="69">
        <f>IF(OR($A1683="",Q1683=""),"",(Q1683-B1683)*24)</f>
        <v/>
      </c>
      <c r="AE1683" s="69">
        <f>IF(OR(Q1683="",R1683=""),"",(R1683-Q1683)*24)</f>
        <v/>
      </c>
      <c r="AF1683" s="77">
        <f>IF(OR($A1683="",B1683=""),"",YEAR(B1683))</f>
        <v/>
      </c>
      <c r="AG1683" s="77">
        <f>IF(OR($A1683="",B1683=""),"",MONTH(B1683))</f>
        <v/>
      </c>
    </row>
    <row r="1684">
      <c r="A1684" s="7" t="n"/>
      <c r="B1684" s="75" t="n"/>
      <c r="C1684" s="7" t="n"/>
      <c r="D1684" s="7" t="n"/>
      <c r="E1684" s="9">
        <f>IF(D1684="","",IFERROR(INDEX('Équipements'!$B$5:$B$304,MATCH(D1684,'Équipements'!$A$5:$A$304,0)),"Code inconnu"))</f>
        <v/>
      </c>
      <c r="F1684" s="9">
        <f>IF(D1684="","",IFERROR(INDEX('Équipements'!$D$5:$D$304,MATCH(D1684,'Équipements'!$A$5:$A$304,0)),""))</f>
        <v/>
      </c>
      <c r="G1684" s="9">
        <f>IF(D1684="","",IFERROR(INDEX('Équipements'!$K$5:$K$304,MATCH(D1684,'Équipements'!$A$5:$A$304,0)),""))</f>
        <v/>
      </c>
      <c r="H1684" s="7" t="n"/>
      <c r="I1684" s="7" t="n"/>
      <c r="J1684" s="7" t="n"/>
      <c r="K1684" s="7" t="n"/>
      <c r="L1684" s="7" t="n"/>
      <c r="M1684" s="7" t="n"/>
      <c r="N1684" s="7" t="n"/>
      <c r="O1684" s="7" t="n"/>
      <c r="P1684" s="65" t="n"/>
      <c r="Q1684" s="75" t="n"/>
      <c r="R1684" s="75" t="n"/>
      <c r="S1684" s="76" t="n"/>
      <c r="T1684" s="76" t="n"/>
      <c r="U1684" s="70">
        <f>IF($A1684="","",IFERROR(INDEX('Techniciens'!$F$5:$F$44,MATCH(O1684,'Techniciens'!$B$5:$B$44,0)),'Paramètres'!$AA$10))</f>
        <v/>
      </c>
      <c r="V1684" s="70">
        <f>IF($A1684="","",IF(OR(AC1684="Demandé",AC1684="Planifié",AC1684="Annulé"),0,N(T1684)*N(U1684)))</f>
        <v/>
      </c>
      <c r="W1684" s="70">
        <f>IF($A1684="","",SUMIFS('Mouvements stock'!$H$5:$H$3004,'Mouvements stock'!$I$5:$I$3004,$A1684,'Mouvements stock'!$C$5:$C$3004,"Sortie")-SUMIFS('Mouvements stock'!$H$5:$H$3004,'Mouvements stock'!$I$5:$I$3004,$A1684,'Mouvements stock'!$C$5:$C$3004,"Retour"))</f>
        <v/>
      </c>
      <c r="X1684" s="66" t="n"/>
      <c r="Y1684" s="66" t="n"/>
      <c r="Z1684" s="7" t="n"/>
      <c r="AA1684" s="70">
        <f>IF($A1684="","",N(V1684)+N(W1684)+N(X1684)+N(Y1684))</f>
        <v/>
      </c>
      <c r="AB1684" s="70">
        <f>IF($A1684="","",N(S1684)*'Paramètres'!$AA$9*IFERROR(INDEX('Paramètres'!$O$5:$O$7,MATCH(G1684,'Paramètres'!$N$5:$N$7,0)),0))</f>
        <v/>
      </c>
      <c r="AC1684" s="7" t="n"/>
      <c r="AD1684" s="69">
        <f>IF(OR($A1684="",Q1684=""),"",(Q1684-B1684)*24)</f>
        <v/>
      </c>
      <c r="AE1684" s="69">
        <f>IF(OR(Q1684="",R1684=""),"",(R1684-Q1684)*24)</f>
        <v/>
      </c>
      <c r="AF1684" s="77">
        <f>IF(OR($A1684="",B1684=""),"",YEAR(B1684))</f>
        <v/>
      </c>
      <c r="AG1684" s="77">
        <f>IF(OR($A1684="",B1684=""),"",MONTH(B1684))</f>
        <v/>
      </c>
    </row>
    <row r="1685">
      <c r="A1685" s="7" t="n"/>
      <c r="B1685" s="75" t="n"/>
      <c r="C1685" s="7" t="n"/>
      <c r="D1685" s="7" t="n"/>
      <c r="E1685" s="9">
        <f>IF(D1685="","",IFERROR(INDEX('Équipements'!$B$5:$B$304,MATCH(D1685,'Équipements'!$A$5:$A$304,0)),"Code inconnu"))</f>
        <v/>
      </c>
      <c r="F1685" s="9">
        <f>IF(D1685="","",IFERROR(INDEX('Équipements'!$D$5:$D$304,MATCH(D1685,'Équipements'!$A$5:$A$304,0)),""))</f>
        <v/>
      </c>
      <c r="G1685" s="9">
        <f>IF(D1685="","",IFERROR(INDEX('Équipements'!$K$5:$K$304,MATCH(D1685,'Équipements'!$A$5:$A$304,0)),""))</f>
        <v/>
      </c>
      <c r="H1685" s="7" t="n"/>
      <c r="I1685" s="7" t="n"/>
      <c r="J1685" s="7" t="n"/>
      <c r="K1685" s="7" t="n"/>
      <c r="L1685" s="7" t="n"/>
      <c r="M1685" s="7" t="n"/>
      <c r="N1685" s="7" t="n"/>
      <c r="O1685" s="7" t="n"/>
      <c r="P1685" s="65" t="n"/>
      <c r="Q1685" s="75" t="n"/>
      <c r="R1685" s="75" t="n"/>
      <c r="S1685" s="76" t="n"/>
      <c r="T1685" s="76" t="n"/>
      <c r="U1685" s="70">
        <f>IF($A1685="","",IFERROR(INDEX('Techniciens'!$F$5:$F$44,MATCH(O1685,'Techniciens'!$B$5:$B$44,0)),'Paramètres'!$AA$10))</f>
        <v/>
      </c>
      <c r="V1685" s="70">
        <f>IF($A1685="","",IF(OR(AC1685="Demandé",AC1685="Planifié",AC1685="Annulé"),0,N(T1685)*N(U1685)))</f>
        <v/>
      </c>
      <c r="W1685" s="70">
        <f>IF($A1685="","",SUMIFS('Mouvements stock'!$H$5:$H$3004,'Mouvements stock'!$I$5:$I$3004,$A1685,'Mouvements stock'!$C$5:$C$3004,"Sortie")-SUMIFS('Mouvements stock'!$H$5:$H$3004,'Mouvements stock'!$I$5:$I$3004,$A1685,'Mouvements stock'!$C$5:$C$3004,"Retour"))</f>
        <v/>
      </c>
      <c r="X1685" s="66" t="n"/>
      <c r="Y1685" s="66" t="n"/>
      <c r="Z1685" s="7" t="n"/>
      <c r="AA1685" s="70">
        <f>IF($A1685="","",N(V1685)+N(W1685)+N(X1685)+N(Y1685))</f>
        <v/>
      </c>
      <c r="AB1685" s="70">
        <f>IF($A1685="","",N(S1685)*'Paramètres'!$AA$9*IFERROR(INDEX('Paramètres'!$O$5:$O$7,MATCH(G1685,'Paramètres'!$N$5:$N$7,0)),0))</f>
        <v/>
      </c>
      <c r="AC1685" s="7" t="n"/>
      <c r="AD1685" s="69">
        <f>IF(OR($A1685="",Q1685=""),"",(Q1685-B1685)*24)</f>
        <v/>
      </c>
      <c r="AE1685" s="69">
        <f>IF(OR(Q1685="",R1685=""),"",(R1685-Q1685)*24)</f>
        <v/>
      </c>
      <c r="AF1685" s="77">
        <f>IF(OR($A1685="",B1685=""),"",YEAR(B1685))</f>
        <v/>
      </c>
      <c r="AG1685" s="77">
        <f>IF(OR($A1685="",B1685=""),"",MONTH(B1685))</f>
        <v/>
      </c>
    </row>
    <row r="1686">
      <c r="A1686" s="7" t="n"/>
      <c r="B1686" s="75" t="n"/>
      <c r="C1686" s="7" t="n"/>
      <c r="D1686" s="7" t="n"/>
      <c r="E1686" s="9">
        <f>IF(D1686="","",IFERROR(INDEX('Équipements'!$B$5:$B$304,MATCH(D1686,'Équipements'!$A$5:$A$304,0)),"Code inconnu"))</f>
        <v/>
      </c>
      <c r="F1686" s="9">
        <f>IF(D1686="","",IFERROR(INDEX('Équipements'!$D$5:$D$304,MATCH(D1686,'Équipements'!$A$5:$A$304,0)),""))</f>
        <v/>
      </c>
      <c r="G1686" s="9">
        <f>IF(D1686="","",IFERROR(INDEX('Équipements'!$K$5:$K$304,MATCH(D1686,'Équipements'!$A$5:$A$304,0)),""))</f>
        <v/>
      </c>
      <c r="H1686" s="7" t="n"/>
      <c r="I1686" s="7" t="n"/>
      <c r="J1686" s="7" t="n"/>
      <c r="K1686" s="7" t="n"/>
      <c r="L1686" s="7" t="n"/>
      <c r="M1686" s="7" t="n"/>
      <c r="N1686" s="7" t="n"/>
      <c r="O1686" s="7" t="n"/>
      <c r="P1686" s="65" t="n"/>
      <c r="Q1686" s="75" t="n"/>
      <c r="R1686" s="75" t="n"/>
      <c r="S1686" s="76" t="n"/>
      <c r="T1686" s="76" t="n"/>
      <c r="U1686" s="70">
        <f>IF($A1686="","",IFERROR(INDEX('Techniciens'!$F$5:$F$44,MATCH(O1686,'Techniciens'!$B$5:$B$44,0)),'Paramètres'!$AA$10))</f>
        <v/>
      </c>
      <c r="V1686" s="70">
        <f>IF($A1686="","",IF(OR(AC1686="Demandé",AC1686="Planifié",AC1686="Annulé"),0,N(T1686)*N(U1686)))</f>
        <v/>
      </c>
      <c r="W1686" s="70">
        <f>IF($A1686="","",SUMIFS('Mouvements stock'!$H$5:$H$3004,'Mouvements stock'!$I$5:$I$3004,$A1686,'Mouvements stock'!$C$5:$C$3004,"Sortie")-SUMIFS('Mouvements stock'!$H$5:$H$3004,'Mouvements stock'!$I$5:$I$3004,$A1686,'Mouvements stock'!$C$5:$C$3004,"Retour"))</f>
        <v/>
      </c>
      <c r="X1686" s="66" t="n"/>
      <c r="Y1686" s="66" t="n"/>
      <c r="Z1686" s="7" t="n"/>
      <c r="AA1686" s="70">
        <f>IF($A1686="","",N(V1686)+N(W1686)+N(X1686)+N(Y1686))</f>
        <v/>
      </c>
      <c r="AB1686" s="70">
        <f>IF($A1686="","",N(S1686)*'Paramètres'!$AA$9*IFERROR(INDEX('Paramètres'!$O$5:$O$7,MATCH(G1686,'Paramètres'!$N$5:$N$7,0)),0))</f>
        <v/>
      </c>
      <c r="AC1686" s="7" t="n"/>
      <c r="AD1686" s="69">
        <f>IF(OR($A1686="",Q1686=""),"",(Q1686-B1686)*24)</f>
        <v/>
      </c>
      <c r="AE1686" s="69">
        <f>IF(OR(Q1686="",R1686=""),"",(R1686-Q1686)*24)</f>
        <v/>
      </c>
      <c r="AF1686" s="77">
        <f>IF(OR($A1686="",B1686=""),"",YEAR(B1686))</f>
        <v/>
      </c>
      <c r="AG1686" s="77">
        <f>IF(OR($A1686="",B1686=""),"",MONTH(B1686))</f>
        <v/>
      </c>
    </row>
    <row r="1687">
      <c r="A1687" s="7" t="n"/>
      <c r="B1687" s="75" t="n"/>
      <c r="C1687" s="7" t="n"/>
      <c r="D1687" s="7" t="n"/>
      <c r="E1687" s="9">
        <f>IF(D1687="","",IFERROR(INDEX('Équipements'!$B$5:$B$304,MATCH(D1687,'Équipements'!$A$5:$A$304,0)),"Code inconnu"))</f>
        <v/>
      </c>
      <c r="F1687" s="9">
        <f>IF(D1687="","",IFERROR(INDEX('Équipements'!$D$5:$D$304,MATCH(D1687,'Équipements'!$A$5:$A$304,0)),""))</f>
        <v/>
      </c>
      <c r="G1687" s="9">
        <f>IF(D1687="","",IFERROR(INDEX('Équipements'!$K$5:$K$304,MATCH(D1687,'Équipements'!$A$5:$A$304,0)),""))</f>
        <v/>
      </c>
      <c r="H1687" s="7" t="n"/>
      <c r="I1687" s="7" t="n"/>
      <c r="J1687" s="7" t="n"/>
      <c r="K1687" s="7" t="n"/>
      <c r="L1687" s="7" t="n"/>
      <c r="M1687" s="7" t="n"/>
      <c r="N1687" s="7" t="n"/>
      <c r="O1687" s="7" t="n"/>
      <c r="P1687" s="65" t="n"/>
      <c r="Q1687" s="75" t="n"/>
      <c r="R1687" s="75" t="n"/>
      <c r="S1687" s="76" t="n"/>
      <c r="T1687" s="76" t="n"/>
      <c r="U1687" s="70">
        <f>IF($A1687="","",IFERROR(INDEX('Techniciens'!$F$5:$F$44,MATCH(O1687,'Techniciens'!$B$5:$B$44,0)),'Paramètres'!$AA$10))</f>
        <v/>
      </c>
      <c r="V1687" s="70">
        <f>IF($A1687="","",IF(OR(AC1687="Demandé",AC1687="Planifié",AC1687="Annulé"),0,N(T1687)*N(U1687)))</f>
        <v/>
      </c>
      <c r="W1687" s="70">
        <f>IF($A1687="","",SUMIFS('Mouvements stock'!$H$5:$H$3004,'Mouvements stock'!$I$5:$I$3004,$A1687,'Mouvements stock'!$C$5:$C$3004,"Sortie")-SUMIFS('Mouvements stock'!$H$5:$H$3004,'Mouvements stock'!$I$5:$I$3004,$A1687,'Mouvements stock'!$C$5:$C$3004,"Retour"))</f>
        <v/>
      </c>
      <c r="X1687" s="66" t="n"/>
      <c r="Y1687" s="66" t="n"/>
      <c r="Z1687" s="7" t="n"/>
      <c r="AA1687" s="70">
        <f>IF($A1687="","",N(V1687)+N(W1687)+N(X1687)+N(Y1687))</f>
        <v/>
      </c>
      <c r="AB1687" s="70">
        <f>IF($A1687="","",N(S1687)*'Paramètres'!$AA$9*IFERROR(INDEX('Paramètres'!$O$5:$O$7,MATCH(G1687,'Paramètres'!$N$5:$N$7,0)),0))</f>
        <v/>
      </c>
      <c r="AC1687" s="7" t="n"/>
      <c r="AD1687" s="69">
        <f>IF(OR($A1687="",Q1687=""),"",(Q1687-B1687)*24)</f>
        <v/>
      </c>
      <c r="AE1687" s="69">
        <f>IF(OR(Q1687="",R1687=""),"",(R1687-Q1687)*24)</f>
        <v/>
      </c>
      <c r="AF1687" s="77">
        <f>IF(OR($A1687="",B1687=""),"",YEAR(B1687))</f>
        <v/>
      </c>
      <c r="AG1687" s="77">
        <f>IF(OR($A1687="",B1687=""),"",MONTH(B1687))</f>
        <v/>
      </c>
    </row>
    <row r="1688">
      <c r="A1688" s="7" t="n"/>
      <c r="B1688" s="75" t="n"/>
      <c r="C1688" s="7" t="n"/>
      <c r="D1688" s="7" t="n"/>
      <c r="E1688" s="9">
        <f>IF(D1688="","",IFERROR(INDEX('Équipements'!$B$5:$B$304,MATCH(D1688,'Équipements'!$A$5:$A$304,0)),"Code inconnu"))</f>
        <v/>
      </c>
      <c r="F1688" s="9">
        <f>IF(D1688="","",IFERROR(INDEX('Équipements'!$D$5:$D$304,MATCH(D1688,'Équipements'!$A$5:$A$304,0)),""))</f>
        <v/>
      </c>
      <c r="G1688" s="9">
        <f>IF(D1688="","",IFERROR(INDEX('Équipements'!$K$5:$K$304,MATCH(D1688,'Équipements'!$A$5:$A$304,0)),""))</f>
        <v/>
      </c>
      <c r="H1688" s="7" t="n"/>
      <c r="I1688" s="7" t="n"/>
      <c r="J1688" s="7" t="n"/>
      <c r="K1688" s="7" t="n"/>
      <c r="L1688" s="7" t="n"/>
      <c r="M1688" s="7" t="n"/>
      <c r="N1688" s="7" t="n"/>
      <c r="O1688" s="7" t="n"/>
      <c r="P1688" s="65" t="n"/>
      <c r="Q1688" s="75" t="n"/>
      <c r="R1688" s="75" t="n"/>
      <c r="S1688" s="76" t="n"/>
      <c r="T1688" s="76" t="n"/>
      <c r="U1688" s="70">
        <f>IF($A1688="","",IFERROR(INDEX('Techniciens'!$F$5:$F$44,MATCH(O1688,'Techniciens'!$B$5:$B$44,0)),'Paramètres'!$AA$10))</f>
        <v/>
      </c>
      <c r="V1688" s="70">
        <f>IF($A1688="","",IF(OR(AC1688="Demandé",AC1688="Planifié",AC1688="Annulé"),0,N(T1688)*N(U1688)))</f>
        <v/>
      </c>
      <c r="W1688" s="70">
        <f>IF($A1688="","",SUMIFS('Mouvements stock'!$H$5:$H$3004,'Mouvements stock'!$I$5:$I$3004,$A1688,'Mouvements stock'!$C$5:$C$3004,"Sortie")-SUMIFS('Mouvements stock'!$H$5:$H$3004,'Mouvements stock'!$I$5:$I$3004,$A1688,'Mouvements stock'!$C$5:$C$3004,"Retour"))</f>
        <v/>
      </c>
      <c r="X1688" s="66" t="n"/>
      <c r="Y1688" s="66" t="n"/>
      <c r="Z1688" s="7" t="n"/>
      <c r="AA1688" s="70">
        <f>IF($A1688="","",N(V1688)+N(W1688)+N(X1688)+N(Y1688))</f>
        <v/>
      </c>
      <c r="AB1688" s="70">
        <f>IF($A1688="","",N(S1688)*'Paramètres'!$AA$9*IFERROR(INDEX('Paramètres'!$O$5:$O$7,MATCH(G1688,'Paramètres'!$N$5:$N$7,0)),0))</f>
        <v/>
      </c>
      <c r="AC1688" s="7" t="n"/>
      <c r="AD1688" s="69">
        <f>IF(OR($A1688="",Q1688=""),"",(Q1688-B1688)*24)</f>
        <v/>
      </c>
      <c r="AE1688" s="69">
        <f>IF(OR(Q1688="",R1688=""),"",(R1688-Q1688)*24)</f>
        <v/>
      </c>
      <c r="AF1688" s="77">
        <f>IF(OR($A1688="",B1688=""),"",YEAR(B1688))</f>
        <v/>
      </c>
      <c r="AG1688" s="77">
        <f>IF(OR($A1688="",B1688=""),"",MONTH(B1688))</f>
        <v/>
      </c>
    </row>
    <row r="1689">
      <c r="A1689" s="7" t="n"/>
      <c r="B1689" s="75" t="n"/>
      <c r="C1689" s="7" t="n"/>
      <c r="D1689" s="7" t="n"/>
      <c r="E1689" s="9">
        <f>IF(D1689="","",IFERROR(INDEX('Équipements'!$B$5:$B$304,MATCH(D1689,'Équipements'!$A$5:$A$304,0)),"Code inconnu"))</f>
        <v/>
      </c>
      <c r="F1689" s="9">
        <f>IF(D1689="","",IFERROR(INDEX('Équipements'!$D$5:$D$304,MATCH(D1689,'Équipements'!$A$5:$A$304,0)),""))</f>
        <v/>
      </c>
      <c r="G1689" s="9">
        <f>IF(D1689="","",IFERROR(INDEX('Équipements'!$K$5:$K$304,MATCH(D1689,'Équipements'!$A$5:$A$304,0)),""))</f>
        <v/>
      </c>
      <c r="H1689" s="7" t="n"/>
      <c r="I1689" s="7" t="n"/>
      <c r="J1689" s="7" t="n"/>
      <c r="K1689" s="7" t="n"/>
      <c r="L1689" s="7" t="n"/>
      <c r="M1689" s="7" t="n"/>
      <c r="N1689" s="7" t="n"/>
      <c r="O1689" s="7" t="n"/>
      <c r="P1689" s="65" t="n"/>
      <c r="Q1689" s="75" t="n"/>
      <c r="R1689" s="75" t="n"/>
      <c r="S1689" s="76" t="n"/>
      <c r="T1689" s="76" t="n"/>
      <c r="U1689" s="70">
        <f>IF($A1689="","",IFERROR(INDEX('Techniciens'!$F$5:$F$44,MATCH(O1689,'Techniciens'!$B$5:$B$44,0)),'Paramètres'!$AA$10))</f>
        <v/>
      </c>
      <c r="V1689" s="70">
        <f>IF($A1689="","",IF(OR(AC1689="Demandé",AC1689="Planifié",AC1689="Annulé"),0,N(T1689)*N(U1689)))</f>
        <v/>
      </c>
      <c r="W1689" s="70">
        <f>IF($A1689="","",SUMIFS('Mouvements stock'!$H$5:$H$3004,'Mouvements stock'!$I$5:$I$3004,$A1689,'Mouvements stock'!$C$5:$C$3004,"Sortie")-SUMIFS('Mouvements stock'!$H$5:$H$3004,'Mouvements stock'!$I$5:$I$3004,$A1689,'Mouvements stock'!$C$5:$C$3004,"Retour"))</f>
        <v/>
      </c>
      <c r="X1689" s="66" t="n"/>
      <c r="Y1689" s="66" t="n"/>
      <c r="Z1689" s="7" t="n"/>
      <c r="AA1689" s="70">
        <f>IF($A1689="","",N(V1689)+N(W1689)+N(X1689)+N(Y1689))</f>
        <v/>
      </c>
      <c r="AB1689" s="70">
        <f>IF($A1689="","",N(S1689)*'Paramètres'!$AA$9*IFERROR(INDEX('Paramètres'!$O$5:$O$7,MATCH(G1689,'Paramètres'!$N$5:$N$7,0)),0))</f>
        <v/>
      </c>
      <c r="AC1689" s="7" t="n"/>
      <c r="AD1689" s="69">
        <f>IF(OR($A1689="",Q1689=""),"",(Q1689-B1689)*24)</f>
        <v/>
      </c>
      <c r="AE1689" s="69">
        <f>IF(OR(Q1689="",R1689=""),"",(R1689-Q1689)*24)</f>
        <v/>
      </c>
      <c r="AF1689" s="77">
        <f>IF(OR($A1689="",B1689=""),"",YEAR(B1689))</f>
        <v/>
      </c>
      <c r="AG1689" s="77">
        <f>IF(OR($A1689="",B1689=""),"",MONTH(B1689))</f>
        <v/>
      </c>
    </row>
    <row r="1690">
      <c r="A1690" s="7" t="n"/>
      <c r="B1690" s="75" t="n"/>
      <c r="C1690" s="7" t="n"/>
      <c r="D1690" s="7" t="n"/>
      <c r="E1690" s="9">
        <f>IF(D1690="","",IFERROR(INDEX('Équipements'!$B$5:$B$304,MATCH(D1690,'Équipements'!$A$5:$A$304,0)),"Code inconnu"))</f>
        <v/>
      </c>
      <c r="F1690" s="9">
        <f>IF(D1690="","",IFERROR(INDEX('Équipements'!$D$5:$D$304,MATCH(D1690,'Équipements'!$A$5:$A$304,0)),""))</f>
        <v/>
      </c>
      <c r="G1690" s="9">
        <f>IF(D1690="","",IFERROR(INDEX('Équipements'!$K$5:$K$304,MATCH(D1690,'Équipements'!$A$5:$A$304,0)),""))</f>
        <v/>
      </c>
      <c r="H1690" s="7" t="n"/>
      <c r="I1690" s="7" t="n"/>
      <c r="J1690" s="7" t="n"/>
      <c r="K1690" s="7" t="n"/>
      <c r="L1690" s="7" t="n"/>
      <c r="M1690" s="7" t="n"/>
      <c r="N1690" s="7" t="n"/>
      <c r="O1690" s="7" t="n"/>
      <c r="P1690" s="65" t="n"/>
      <c r="Q1690" s="75" t="n"/>
      <c r="R1690" s="75" t="n"/>
      <c r="S1690" s="76" t="n"/>
      <c r="T1690" s="76" t="n"/>
      <c r="U1690" s="70">
        <f>IF($A1690="","",IFERROR(INDEX('Techniciens'!$F$5:$F$44,MATCH(O1690,'Techniciens'!$B$5:$B$44,0)),'Paramètres'!$AA$10))</f>
        <v/>
      </c>
      <c r="V1690" s="70">
        <f>IF($A1690="","",IF(OR(AC1690="Demandé",AC1690="Planifié",AC1690="Annulé"),0,N(T1690)*N(U1690)))</f>
        <v/>
      </c>
      <c r="W1690" s="70">
        <f>IF($A1690="","",SUMIFS('Mouvements stock'!$H$5:$H$3004,'Mouvements stock'!$I$5:$I$3004,$A1690,'Mouvements stock'!$C$5:$C$3004,"Sortie")-SUMIFS('Mouvements stock'!$H$5:$H$3004,'Mouvements stock'!$I$5:$I$3004,$A1690,'Mouvements stock'!$C$5:$C$3004,"Retour"))</f>
        <v/>
      </c>
      <c r="X1690" s="66" t="n"/>
      <c r="Y1690" s="66" t="n"/>
      <c r="Z1690" s="7" t="n"/>
      <c r="AA1690" s="70">
        <f>IF($A1690="","",N(V1690)+N(W1690)+N(X1690)+N(Y1690))</f>
        <v/>
      </c>
      <c r="AB1690" s="70">
        <f>IF($A1690="","",N(S1690)*'Paramètres'!$AA$9*IFERROR(INDEX('Paramètres'!$O$5:$O$7,MATCH(G1690,'Paramètres'!$N$5:$N$7,0)),0))</f>
        <v/>
      </c>
      <c r="AC1690" s="7" t="n"/>
      <c r="AD1690" s="69">
        <f>IF(OR($A1690="",Q1690=""),"",(Q1690-B1690)*24)</f>
        <v/>
      </c>
      <c r="AE1690" s="69">
        <f>IF(OR(Q1690="",R1690=""),"",(R1690-Q1690)*24)</f>
        <v/>
      </c>
      <c r="AF1690" s="77">
        <f>IF(OR($A1690="",B1690=""),"",YEAR(B1690))</f>
        <v/>
      </c>
      <c r="AG1690" s="77">
        <f>IF(OR($A1690="",B1690=""),"",MONTH(B1690))</f>
        <v/>
      </c>
    </row>
    <row r="1691">
      <c r="A1691" s="7" t="n"/>
      <c r="B1691" s="75" t="n"/>
      <c r="C1691" s="7" t="n"/>
      <c r="D1691" s="7" t="n"/>
      <c r="E1691" s="9">
        <f>IF(D1691="","",IFERROR(INDEX('Équipements'!$B$5:$B$304,MATCH(D1691,'Équipements'!$A$5:$A$304,0)),"Code inconnu"))</f>
        <v/>
      </c>
      <c r="F1691" s="9">
        <f>IF(D1691="","",IFERROR(INDEX('Équipements'!$D$5:$D$304,MATCH(D1691,'Équipements'!$A$5:$A$304,0)),""))</f>
        <v/>
      </c>
      <c r="G1691" s="9">
        <f>IF(D1691="","",IFERROR(INDEX('Équipements'!$K$5:$K$304,MATCH(D1691,'Équipements'!$A$5:$A$304,0)),""))</f>
        <v/>
      </c>
      <c r="H1691" s="7" t="n"/>
      <c r="I1691" s="7" t="n"/>
      <c r="J1691" s="7" t="n"/>
      <c r="K1691" s="7" t="n"/>
      <c r="L1691" s="7" t="n"/>
      <c r="M1691" s="7" t="n"/>
      <c r="N1691" s="7" t="n"/>
      <c r="O1691" s="7" t="n"/>
      <c r="P1691" s="65" t="n"/>
      <c r="Q1691" s="75" t="n"/>
      <c r="R1691" s="75" t="n"/>
      <c r="S1691" s="76" t="n"/>
      <c r="T1691" s="76" t="n"/>
      <c r="U1691" s="70">
        <f>IF($A1691="","",IFERROR(INDEX('Techniciens'!$F$5:$F$44,MATCH(O1691,'Techniciens'!$B$5:$B$44,0)),'Paramètres'!$AA$10))</f>
        <v/>
      </c>
      <c r="V1691" s="70">
        <f>IF($A1691="","",IF(OR(AC1691="Demandé",AC1691="Planifié",AC1691="Annulé"),0,N(T1691)*N(U1691)))</f>
        <v/>
      </c>
      <c r="W1691" s="70">
        <f>IF($A1691="","",SUMIFS('Mouvements stock'!$H$5:$H$3004,'Mouvements stock'!$I$5:$I$3004,$A1691,'Mouvements stock'!$C$5:$C$3004,"Sortie")-SUMIFS('Mouvements stock'!$H$5:$H$3004,'Mouvements stock'!$I$5:$I$3004,$A1691,'Mouvements stock'!$C$5:$C$3004,"Retour"))</f>
        <v/>
      </c>
      <c r="X1691" s="66" t="n"/>
      <c r="Y1691" s="66" t="n"/>
      <c r="Z1691" s="7" t="n"/>
      <c r="AA1691" s="70">
        <f>IF($A1691="","",N(V1691)+N(W1691)+N(X1691)+N(Y1691))</f>
        <v/>
      </c>
      <c r="AB1691" s="70">
        <f>IF($A1691="","",N(S1691)*'Paramètres'!$AA$9*IFERROR(INDEX('Paramètres'!$O$5:$O$7,MATCH(G1691,'Paramètres'!$N$5:$N$7,0)),0))</f>
        <v/>
      </c>
      <c r="AC1691" s="7" t="n"/>
      <c r="AD1691" s="69">
        <f>IF(OR($A1691="",Q1691=""),"",(Q1691-B1691)*24)</f>
        <v/>
      </c>
      <c r="AE1691" s="69">
        <f>IF(OR(Q1691="",R1691=""),"",(R1691-Q1691)*24)</f>
        <v/>
      </c>
      <c r="AF1691" s="77">
        <f>IF(OR($A1691="",B1691=""),"",YEAR(B1691))</f>
        <v/>
      </c>
      <c r="AG1691" s="77">
        <f>IF(OR($A1691="",B1691=""),"",MONTH(B1691))</f>
        <v/>
      </c>
    </row>
    <row r="1692">
      <c r="A1692" s="7" t="n"/>
      <c r="B1692" s="75" t="n"/>
      <c r="C1692" s="7" t="n"/>
      <c r="D1692" s="7" t="n"/>
      <c r="E1692" s="9">
        <f>IF(D1692="","",IFERROR(INDEX('Équipements'!$B$5:$B$304,MATCH(D1692,'Équipements'!$A$5:$A$304,0)),"Code inconnu"))</f>
        <v/>
      </c>
      <c r="F1692" s="9">
        <f>IF(D1692="","",IFERROR(INDEX('Équipements'!$D$5:$D$304,MATCH(D1692,'Équipements'!$A$5:$A$304,0)),""))</f>
        <v/>
      </c>
      <c r="G1692" s="9">
        <f>IF(D1692="","",IFERROR(INDEX('Équipements'!$K$5:$K$304,MATCH(D1692,'Équipements'!$A$5:$A$304,0)),""))</f>
        <v/>
      </c>
      <c r="H1692" s="7" t="n"/>
      <c r="I1692" s="7" t="n"/>
      <c r="J1692" s="7" t="n"/>
      <c r="K1692" s="7" t="n"/>
      <c r="L1692" s="7" t="n"/>
      <c r="M1692" s="7" t="n"/>
      <c r="N1692" s="7" t="n"/>
      <c r="O1692" s="7" t="n"/>
      <c r="P1692" s="65" t="n"/>
      <c r="Q1692" s="75" t="n"/>
      <c r="R1692" s="75" t="n"/>
      <c r="S1692" s="76" t="n"/>
      <c r="T1692" s="76" t="n"/>
      <c r="U1692" s="70">
        <f>IF($A1692="","",IFERROR(INDEX('Techniciens'!$F$5:$F$44,MATCH(O1692,'Techniciens'!$B$5:$B$44,0)),'Paramètres'!$AA$10))</f>
        <v/>
      </c>
      <c r="V1692" s="70">
        <f>IF($A1692="","",IF(OR(AC1692="Demandé",AC1692="Planifié",AC1692="Annulé"),0,N(T1692)*N(U1692)))</f>
        <v/>
      </c>
      <c r="W1692" s="70">
        <f>IF($A1692="","",SUMIFS('Mouvements stock'!$H$5:$H$3004,'Mouvements stock'!$I$5:$I$3004,$A1692,'Mouvements stock'!$C$5:$C$3004,"Sortie")-SUMIFS('Mouvements stock'!$H$5:$H$3004,'Mouvements stock'!$I$5:$I$3004,$A1692,'Mouvements stock'!$C$5:$C$3004,"Retour"))</f>
        <v/>
      </c>
      <c r="X1692" s="66" t="n"/>
      <c r="Y1692" s="66" t="n"/>
      <c r="Z1692" s="7" t="n"/>
      <c r="AA1692" s="70">
        <f>IF($A1692="","",N(V1692)+N(W1692)+N(X1692)+N(Y1692))</f>
        <v/>
      </c>
      <c r="AB1692" s="70">
        <f>IF($A1692="","",N(S1692)*'Paramètres'!$AA$9*IFERROR(INDEX('Paramètres'!$O$5:$O$7,MATCH(G1692,'Paramètres'!$N$5:$N$7,0)),0))</f>
        <v/>
      </c>
      <c r="AC1692" s="7" t="n"/>
      <c r="AD1692" s="69">
        <f>IF(OR($A1692="",Q1692=""),"",(Q1692-B1692)*24)</f>
        <v/>
      </c>
      <c r="AE1692" s="69">
        <f>IF(OR(Q1692="",R1692=""),"",(R1692-Q1692)*24)</f>
        <v/>
      </c>
      <c r="AF1692" s="77">
        <f>IF(OR($A1692="",B1692=""),"",YEAR(B1692))</f>
        <v/>
      </c>
      <c r="AG1692" s="77">
        <f>IF(OR($A1692="",B1692=""),"",MONTH(B1692))</f>
        <v/>
      </c>
    </row>
    <row r="1693">
      <c r="A1693" s="7" t="n"/>
      <c r="B1693" s="75" t="n"/>
      <c r="C1693" s="7" t="n"/>
      <c r="D1693" s="7" t="n"/>
      <c r="E1693" s="9">
        <f>IF(D1693="","",IFERROR(INDEX('Équipements'!$B$5:$B$304,MATCH(D1693,'Équipements'!$A$5:$A$304,0)),"Code inconnu"))</f>
        <v/>
      </c>
      <c r="F1693" s="9">
        <f>IF(D1693="","",IFERROR(INDEX('Équipements'!$D$5:$D$304,MATCH(D1693,'Équipements'!$A$5:$A$304,0)),""))</f>
        <v/>
      </c>
      <c r="G1693" s="9">
        <f>IF(D1693="","",IFERROR(INDEX('Équipements'!$K$5:$K$304,MATCH(D1693,'Équipements'!$A$5:$A$304,0)),""))</f>
        <v/>
      </c>
      <c r="H1693" s="7" t="n"/>
      <c r="I1693" s="7" t="n"/>
      <c r="J1693" s="7" t="n"/>
      <c r="K1693" s="7" t="n"/>
      <c r="L1693" s="7" t="n"/>
      <c r="M1693" s="7" t="n"/>
      <c r="N1693" s="7" t="n"/>
      <c r="O1693" s="7" t="n"/>
      <c r="P1693" s="65" t="n"/>
      <c r="Q1693" s="75" t="n"/>
      <c r="R1693" s="75" t="n"/>
      <c r="S1693" s="76" t="n"/>
      <c r="T1693" s="76" t="n"/>
      <c r="U1693" s="70">
        <f>IF($A1693="","",IFERROR(INDEX('Techniciens'!$F$5:$F$44,MATCH(O1693,'Techniciens'!$B$5:$B$44,0)),'Paramètres'!$AA$10))</f>
        <v/>
      </c>
      <c r="V1693" s="70">
        <f>IF($A1693="","",IF(OR(AC1693="Demandé",AC1693="Planifié",AC1693="Annulé"),0,N(T1693)*N(U1693)))</f>
        <v/>
      </c>
      <c r="W1693" s="70">
        <f>IF($A1693="","",SUMIFS('Mouvements stock'!$H$5:$H$3004,'Mouvements stock'!$I$5:$I$3004,$A1693,'Mouvements stock'!$C$5:$C$3004,"Sortie")-SUMIFS('Mouvements stock'!$H$5:$H$3004,'Mouvements stock'!$I$5:$I$3004,$A1693,'Mouvements stock'!$C$5:$C$3004,"Retour"))</f>
        <v/>
      </c>
      <c r="X1693" s="66" t="n"/>
      <c r="Y1693" s="66" t="n"/>
      <c r="Z1693" s="7" t="n"/>
      <c r="AA1693" s="70">
        <f>IF($A1693="","",N(V1693)+N(W1693)+N(X1693)+N(Y1693))</f>
        <v/>
      </c>
      <c r="AB1693" s="70">
        <f>IF($A1693="","",N(S1693)*'Paramètres'!$AA$9*IFERROR(INDEX('Paramètres'!$O$5:$O$7,MATCH(G1693,'Paramètres'!$N$5:$N$7,0)),0))</f>
        <v/>
      </c>
      <c r="AC1693" s="7" t="n"/>
      <c r="AD1693" s="69">
        <f>IF(OR($A1693="",Q1693=""),"",(Q1693-B1693)*24)</f>
        <v/>
      </c>
      <c r="AE1693" s="69">
        <f>IF(OR(Q1693="",R1693=""),"",(R1693-Q1693)*24)</f>
        <v/>
      </c>
      <c r="AF1693" s="77">
        <f>IF(OR($A1693="",B1693=""),"",YEAR(B1693))</f>
        <v/>
      </c>
      <c r="AG1693" s="77">
        <f>IF(OR($A1693="",B1693=""),"",MONTH(B1693))</f>
        <v/>
      </c>
    </row>
    <row r="1694">
      <c r="A1694" s="7" t="n"/>
      <c r="B1694" s="75" t="n"/>
      <c r="C1694" s="7" t="n"/>
      <c r="D1694" s="7" t="n"/>
      <c r="E1694" s="9">
        <f>IF(D1694="","",IFERROR(INDEX('Équipements'!$B$5:$B$304,MATCH(D1694,'Équipements'!$A$5:$A$304,0)),"Code inconnu"))</f>
        <v/>
      </c>
      <c r="F1694" s="9">
        <f>IF(D1694="","",IFERROR(INDEX('Équipements'!$D$5:$D$304,MATCH(D1694,'Équipements'!$A$5:$A$304,0)),""))</f>
        <v/>
      </c>
      <c r="G1694" s="9">
        <f>IF(D1694="","",IFERROR(INDEX('Équipements'!$K$5:$K$304,MATCH(D1694,'Équipements'!$A$5:$A$304,0)),""))</f>
        <v/>
      </c>
      <c r="H1694" s="7" t="n"/>
      <c r="I1694" s="7" t="n"/>
      <c r="J1694" s="7" t="n"/>
      <c r="K1694" s="7" t="n"/>
      <c r="L1694" s="7" t="n"/>
      <c r="M1694" s="7" t="n"/>
      <c r="N1694" s="7" t="n"/>
      <c r="O1694" s="7" t="n"/>
      <c r="P1694" s="65" t="n"/>
      <c r="Q1694" s="75" t="n"/>
      <c r="R1694" s="75" t="n"/>
      <c r="S1694" s="76" t="n"/>
      <c r="T1694" s="76" t="n"/>
      <c r="U1694" s="70">
        <f>IF($A1694="","",IFERROR(INDEX('Techniciens'!$F$5:$F$44,MATCH(O1694,'Techniciens'!$B$5:$B$44,0)),'Paramètres'!$AA$10))</f>
        <v/>
      </c>
      <c r="V1694" s="70">
        <f>IF($A1694="","",IF(OR(AC1694="Demandé",AC1694="Planifié",AC1694="Annulé"),0,N(T1694)*N(U1694)))</f>
        <v/>
      </c>
      <c r="W1694" s="70">
        <f>IF($A1694="","",SUMIFS('Mouvements stock'!$H$5:$H$3004,'Mouvements stock'!$I$5:$I$3004,$A1694,'Mouvements stock'!$C$5:$C$3004,"Sortie")-SUMIFS('Mouvements stock'!$H$5:$H$3004,'Mouvements stock'!$I$5:$I$3004,$A1694,'Mouvements stock'!$C$5:$C$3004,"Retour"))</f>
        <v/>
      </c>
      <c r="X1694" s="66" t="n"/>
      <c r="Y1694" s="66" t="n"/>
      <c r="Z1694" s="7" t="n"/>
      <c r="AA1694" s="70">
        <f>IF($A1694="","",N(V1694)+N(W1694)+N(X1694)+N(Y1694))</f>
        <v/>
      </c>
      <c r="AB1694" s="70">
        <f>IF($A1694="","",N(S1694)*'Paramètres'!$AA$9*IFERROR(INDEX('Paramètres'!$O$5:$O$7,MATCH(G1694,'Paramètres'!$N$5:$N$7,0)),0))</f>
        <v/>
      </c>
      <c r="AC1694" s="7" t="n"/>
      <c r="AD1694" s="69">
        <f>IF(OR($A1694="",Q1694=""),"",(Q1694-B1694)*24)</f>
        <v/>
      </c>
      <c r="AE1694" s="69">
        <f>IF(OR(Q1694="",R1694=""),"",(R1694-Q1694)*24)</f>
        <v/>
      </c>
      <c r="AF1694" s="77">
        <f>IF(OR($A1694="",B1694=""),"",YEAR(B1694))</f>
        <v/>
      </c>
      <c r="AG1694" s="77">
        <f>IF(OR($A1694="",B1694=""),"",MONTH(B1694))</f>
        <v/>
      </c>
    </row>
    <row r="1695">
      <c r="A1695" s="7" t="n"/>
      <c r="B1695" s="75" t="n"/>
      <c r="C1695" s="7" t="n"/>
      <c r="D1695" s="7" t="n"/>
      <c r="E1695" s="9">
        <f>IF(D1695="","",IFERROR(INDEX('Équipements'!$B$5:$B$304,MATCH(D1695,'Équipements'!$A$5:$A$304,0)),"Code inconnu"))</f>
        <v/>
      </c>
      <c r="F1695" s="9">
        <f>IF(D1695="","",IFERROR(INDEX('Équipements'!$D$5:$D$304,MATCH(D1695,'Équipements'!$A$5:$A$304,0)),""))</f>
        <v/>
      </c>
      <c r="G1695" s="9">
        <f>IF(D1695="","",IFERROR(INDEX('Équipements'!$K$5:$K$304,MATCH(D1695,'Équipements'!$A$5:$A$304,0)),""))</f>
        <v/>
      </c>
      <c r="H1695" s="7" t="n"/>
      <c r="I1695" s="7" t="n"/>
      <c r="J1695" s="7" t="n"/>
      <c r="K1695" s="7" t="n"/>
      <c r="L1695" s="7" t="n"/>
      <c r="M1695" s="7" t="n"/>
      <c r="N1695" s="7" t="n"/>
      <c r="O1695" s="7" t="n"/>
      <c r="P1695" s="65" t="n"/>
      <c r="Q1695" s="75" t="n"/>
      <c r="R1695" s="75" t="n"/>
      <c r="S1695" s="76" t="n"/>
      <c r="T1695" s="76" t="n"/>
      <c r="U1695" s="70">
        <f>IF($A1695="","",IFERROR(INDEX('Techniciens'!$F$5:$F$44,MATCH(O1695,'Techniciens'!$B$5:$B$44,0)),'Paramètres'!$AA$10))</f>
        <v/>
      </c>
      <c r="V1695" s="70">
        <f>IF($A1695="","",IF(OR(AC1695="Demandé",AC1695="Planifié",AC1695="Annulé"),0,N(T1695)*N(U1695)))</f>
        <v/>
      </c>
      <c r="W1695" s="70">
        <f>IF($A1695="","",SUMIFS('Mouvements stock'!$H$5:$H$3004,'Mouvements stock'!$I$5:$I$3004,$A1695,'Mouvements stock'!$C$5:$C$3004,"Sortie")-SUMIFS('Mouvements stock'!$H$5:$H$3004,'Mouvements stock'!$I$5:$I$3004,$A1695,'Mouvements stock'!$C$5:$C$3004,"Retour"))</f>
        <v/>
      </c>
      <c r="X1695" s="66" t="n"/>
      <c r="Y1695" s="66" t="n"/>
      <c r="Z1695" s="7" t="n"/>
      <c r="AA1695" s="70">
        <f>IF($A1695="","",N(V1695)+N(W1695)+N(X1695)+N(Y1695))</f>
        <v/>
      </c>
      <c r="AB1695" s="70">
        <f>IF($A1695="","",N(S1695)*'Paramètres'!$AA$9*IFERROR(INDEX('Paramètres'!$O$5:$O$7,MATCH(G1695,'Paramètres'!$N$5:$N$7,0)),0))</f>
        <v/>
      </c>
      <c r="AC1695" s="7" t="n"/>
      <c r="AD1695" s="69">
        <f>IF(OR($A1695="",Q1695=""),"",(Q1695-B1695)*24)</f>
        <v/>
      </c>
      <c r="AE1695" s="69">
        <f>IF(OR(Q1695="",R1695=""),"",(R1695-Q1695)*24)</f>
        <v/>
      </c>
      <c r="AF1695" s="77">
        <f>IF(OR($A1695="",B1695=""),"",YEAR(B1695))</f>
        <v/>
      </c>
      <c r="AG1695" s="77">
        <f>IF(OR($A1695="",B1695=""),"",MONTH(B1695))</f>
        <v/>
      </c>
    </row>
    <row r="1696">
      <c r="A1696" s="7" t="n"/>
      <c r="B1696" s="75" t="n"/>
      <c r="C1696" s="7" t="n"/>
      <c r="D1696" s="7" t="n"/>
      <c r="E1696" s="9">
        <f>IF(D1696="","",IFERROR(INDEX('Équipements'!$B$5:$B$304,MATCH(D1696,'Équipements'!$A$5:$A$304,0)),"Code inconnu"))</f>
        <v/>
      </c>
      <c r="F1696" s="9">
        <f>IF(D1696="","",IFERROR(INDEX('Équipements'!$D$5:$D$304,MATCH(D1696,'Équipements'!$A$5:$A$304,0)),""))</f>
        <v/>
      </c>
      <c r="G1696" s="9">
        <f>IF(D1696="","",IFERROR(INDEX('Équipements'!$K$5:$K$304,MATCH(D1696,'Équipements'!$A$5:$A$304,0)),""))</f>
        <v/>
      </c>
      <c r="H1696" s="7" t="n"/>
      <c r="I1696" s="7" t="n"/>
      <c r="J1696" s="7" t="n"/>
      <c r="K1696" s="7" t="n"/>
      <c r="L1696" s="7" t="n"/>
      <c r="M1696" s="7" t="n"/>
      <c r="N1696" s="7" t="n"/>
      <c r="O1696" s="7" t="n"/>
      <c r="P1696" s="65" t="n"/>
      <c r="Q1696" s="75" t="n"/>
      <c r="R1696" s="75" t="n"/>
      <c r="S1696" s="76" t="n"/>
      <c r="T1696" s="76" t="n"/>
      <c r="U1696" s="70">
        <f>IF($A1696="","",IFERROR(INDEX('Techniciens'!$F$5:$F$44,MATCH(O1696,'Techniciens'!$B$5:$B$44,0)),'Paramètres'!$AA$10))</f>
        <v/>
      </c>
      <c r="V1696" s="70">
        <f>IF($A1696="","",IF(OR(AC1696="Demandé",AC1696="Planifié",AC1696="Annulé"),0,N(T1696)*N(U1696)))</f>
        <v/>
      </c>
      <c r="W1696" s="70">
        <f>IF($A1696="","",SUMIFS('Mouvements stock'!$H$5:$H$3004,'Mouvements stock'!$I$5:$I$3004,$A1696,'Mouvements stock'!$C$5:$C$3004,"Sortie")-SUMIFS('Mouvements stock'!$H$5:$H$3004,'Mouvements stock'!$I$5:$I$3004,$A1696,'Mouvements stock'!$C$5:$C$3004,"Retour"))</f>
        <v/>
      </c>
      <c r="X1696" s="66" t="n"/>
      <c r="Y1696" s="66" t="n"/>
      <c r="Z1696" s="7" t="n"/>
      <c r="AA1696" s="70">
        <f>IF($A1696="","",N(V1696)+N(W1696)+N(X1696)+N(Y1696))</f>
        <v/>
      </c>
      <c r="AB1696" s="70">
        <f>IF($A1696="","",N(S1696)*'Paramètres'!$AA$9*IFERROR(INDEX('Paramètres'!$O$5:$O$7,MATCH(G1696,'Paramètres'!$N$5:$N$7,0)),0))</f>
        <v/>
      </c>
      <c r="AC1696" s="7" t="n"/>
      <c r="AD1696" s="69">
        <f>IF(OR($A1696="",Q1696=""),"",(Q1696-B1696)*24)</f>
        <v/>
      </c>
      <c r="AE1696" s="69">
        <f>IF(OR(Q1696="",R1696=""),"",(R1696-Q1696)*24)</f>
        <v/>
      </c>
      <c r="AF1696" s="77">
        <f>IF(OR($A1696="",B1696=""),"",YEAR(B1696))</f>
        <v/>
      </c>
      <c r="AG1696" s="77">
        <f>IF(OR($A1696="",B1696=""),"",MONTH(B1696))</f>
        <v/>
      </c>
    </row>
    <row r="1697">
      <c r="A1697" s="7" t="n"/>
      <c r="B1697" s="75" t="n"/>
      <c r="C1697" s="7" t="n"/>
      <c r="D1697" s="7" t="n"/>
      <c r="E1697" s="9">
        <f>IF(D1697="","",IFERROR(INDEX('Équipements'!$B$5:$B$304,MATCH(D1697,'Équipements'!$A$5:$A$304,0)),"Code inconnu"))</f>
        <v/>
      </c>
      <c r="F1697" s="9">
        <f>IF(D1697="","",IFERROR(INDEX('Équipements'!$D$5:$D$304,MATCH(D1697,'Équipements'!$A$5:$A$304,0)),""))</f>
        <v/>
      </c>
      <c r="G1697" s="9">
        <f>IF(D1697="","",IFERROR(INDEX('Équipements'!$K$5:$K$304,MATCH(D1697,'Équipements'!$A$5:$A$304,0)),""))</f>
        <v/>
      </c>
      <c r="H1697" s="7" t="n"/>
      <c r="I1697" s="7" t="n"/>
      <c r="J1697" s="7" t="n"/>
      <c r="K1697" s="7" t="n"/>
      <c r="L1697" s="7" t="n"/>
      <c r="M1697" s="7" t="n"/>
      <c r="N1697" s="7" t="n"/>
      <c r="O1697" s="7" t="n"/>
      <c r="P1697" s="65" t="n"/>
      <c r="Q1697" s="75" t="n"/>
      <c r="R1697" s="75" t="n"/>
      <c r="S1697" s="76" t="n"/>
      <c r="T1697" s="76" t="n"/>
      <c r="U1697" s="70">
        <f>IF($A1697="","",IFERROR(INDEX('Techniciens'!$F$5:$F$44,MATCH(O1697,'Techniciens'!$B$5:$B$44,0)),'Paramètres'!$AA$10))</f>
        <v/>
      </c>
      <c r="V1697" s="70">
        <f>IF($A1697="","",IF(OR(AC1697="Demandé",AC1697="Planifié",AC1697="Annulé"),0,N(T1697)*N(U1697)))</f>
        <v/>
      </c>
      <c r="W1697" s="70">
        <f>IF($A1697="","",SUMIFS('Mouvements stock'!$H$5:$H$3004,'Mouvements stock'!$I$5:$I$3004,$A1697,'Mouvements stock'!$C$5:$C$3004,"Sortie")-SUMIFS('Mouvements stock'!$H$5:$H$3004,'Mouvements stock'!$I$5:$I$3004,$A1697,'Mouvements stock'!$C$5:$C$3004,"Retour"))</f>
        <v/>
      </c>
      <c r="X1697" s="66" t="n"/>
      <c r="Y1697" s="66" t="n"/>
      <c r="Z1697" s="7" t="n"/>
      <c r="AA1697" s="70">
        <f>IF($A1697="","",N(V1697)+N(W1697)+N(X1697)+N(Y1697))</f>
        <v/>
      </c>
      <c r="AB1697" s="70">
        <f>IF($A1697="","",N(S1697)*'Paramètres'!$AA$9*IFERROR(INDEX('Paramètres'!$O$5:$O$7,MATCH(G1697,'Paramètres'!$N$5:$N$7,0)),0))</f>
        <v/>
      </c>
      <c r="AC1697" s="7" t="n"/>
      <c r="AD1697" s="69">
        <f>IF(OR($A1697="",Q1697=""),"",(Q1697-B1697)*24)</f>
        <v/>
      </c>
      <c r="AE1697" s="69">
        <f>IF(OR(Q1697="",R1697=""),"",(R1697-Q1697)*24)</f>
        <v/>
      </c>
      <c r="AF1697" s="77">
        <f>IF(OR($A1697="",B1697=""),"",YEAR(B1697))</f>
        <v/>
      </c>
      <c r="AG1697" s="77">
        <f>IF(OR($A1697="",B1697=""),"",MONTH(B1697))</f>
        <v/>
      </c>
    </row>
    <row r="1698">
      <c r="A1698" s="7" t="n"/>
      <c r="B1698" s="75" t="n"/>
      <c r="C1698" s="7" t="n"/>
      <c r="D1698" s="7" t="n"/>
      <c r="E1698" s="9">
        <f>IF(D1698="","",IFERROR(INDEX('Équipements'!$B$5:$B$304,MATCH(D1698,'Équipements'!$A$5:$A$304,0)),"Code inconnu"))</f>
        <v/>
      </c>
      <c r="F1698" s="9">
        <f>IF(D1698="","",IFERROR(INDEX('Équipements'!$D$5:$D$304,MATCH(D1698,'Équipements'!$A$5:$A$304,0)),""))</f>
        <v/>
      </c>
      <c r="G1698" s="9">
        <f>IF(D1698="","",IFERROR(INDEX('Équipements'!$K$5:$K$304,MATCH(D1698,'Équipements'!$A$5:$A$304,0)),""))</f>
        <v/>
      </c>
      <c r="H1698" s="7" t="n"/>
      <c r="I1698" s="7" t="n"/>
      <c r="J1698" s="7" t="n"/>
      <c r="K1698" s="7" t="n"/>
      <c r="L1698" s="7" t="n"/>
      <c r="M1698" s="7" t="n"/>
      <c r="N1698" s="7" t="n"/>
      <c r="O1698" s="7" t="n"/>
      <c r="P1698" s="65" t="n"/>
      <c r="Q1698" s="75" t="n"/>
      <c r="R1698" s="75" t="n"/>
      <c r="S1698" s="76" t="n"/>
      <c r="T1698" s="76" t="n"/>
      <c r="U1698" s="70">
        <f>IF($A1698="","",IFERROR(INDEX('Techniciens'!$F$5:$F$44,MATCH(O1698,'Techniciens'!$B$5:$B$44,0)),'Paramètres'!$AA$10))</f>
        <v/>
      </c>
      <c r="V1698" s="70">
        <f>IF($A1698="","",IF(OR(AC1698="Demandé",AC1698="Planifié",AC1698="Annulé"),0,N(T1698)*N(U1698)))</f>
        <v/>
      </c>
      <c r="W1698" s="70">
        <f>IF($A1698="","",SUMIFS('Mouvements stock'!$H$5:$H$3004,'Mouvements stock'!$I$5:$I$3004,$A1698,'Mouvements stock'!$C$5:$C$3004,"Sortie")-SUMIFS('Mouvements stock'!$H$5:$H$3004,'Mouvements stock'!$I$5:$I$3004,$A1698,'Mouvements stock'!$C$5:$C$3004,"Retour"))</f>
        <v/>
      </c>
      <c r="X1698" s="66" t="n"/>
      <c r="Y1698" s="66" t="n"/>
      <c r="Z1698" s="7" t="n"/>
      <c r="AA1698" s="70">
        <f>IF($A1698="","",N(V1698)+N(W1698)+N(X1698)+N(Y1698))</f>
        <v/>
      </c>
      <c r="AB1698" s="70">
        <f>IF($A1698="","",N(S1698)*'Paramètres'!$AA$9*IFERROR(INDEX('Paramètres'!$O$5:$O$7,MATCH(G1698,'Paramètres'!$N$5:$N$7,0)),0))</f>
        <v/>
      </c>
      <c r="AC1698" s="7" t="n"/>
      <c r="AD1698" s="69">
        <f>IF(OR($A1698="",Q1698=""),"",(Q1698-B1698)*24)</f>
        <v/>
      </c>
      <c r="AE1698" s="69">
        <f>IF(OR(Q1698="",R1698=""),"",(R1698-Q1698)*24)</f>
        <v/>
      </c>
      <c r="AF1698" s="77">
        <f>IF(OR($A1698="",B1698=""),"",YEAR(B1698))</f>
        <v/>
      </c>
      <c r="AG1698" s="77">
        <f>IF(OR($A1698="",B1698=""),"",MONTH(B1698))</f>
        <v/>
      </c>
    </row>
    <row r="1699">
      <c r="A1699" s="7" t="n"/>
      <c r="B1699" s="75" t="n"/>
      <c r="C1699" s="7" t="n"/>
      <c r="D1699" s="7" t="n"/>
      <c r="E1699" s="9">
        <f>IF(D1699="","",IFERROR(INDEX('Équipements'!$B$5:$B$304,MATCH(D1699,'Équipements'!$A$5:$A$304,0)),"Code inconnu"))</f>
        <v/>
      </c>
      <c r="F1699" s="9">
        <f>IF(D1699="","",IFERROR(INDEX('Équipements'!$D$5:$D$304,MATCH(D1699,'Équipements'!$A$5:$A$304,0)),""))</f>
        <v/>
      </c>
      <c r="G1699" s="9">
        <f>IF(D1699="","",IFERROR(INDEX('Équipements'!$K$5:$K$304,MATCH(D1699,'Équipements'!$A$5:$A$304,0)),""))</f>
        <v/>
      </c>
      <c r="H1699" s="7" t="n"/>
      <c r="I1699" s="7" t="n"/>
      <c r="J1699" s="7" t="n"/>
      <c r="K1699" s="7" t="n"/>
      <c r="L1699" s="7" t="n"/>
      <c r="M1699" s="7" t="n"/>
      <c r="N1699" s="7" t="n"/>
      <c r="O1699" s="7" t="n"/>
      <c r="P1699" s="65" t="n"/>
      <c r="Q1699" s="75" t="n"/>
      <c r="R1699" s="75" t="n"/>
      <c r="S1699" s="76" t="n"/>
      <c r="T1699" s="76" t="n"/>
      <c r="U1699" s="70">
        <f>IF($A1699="","",IFERROR(INDEX('Techniciens'!$F$5:$F$44,MATCH(O1699,'Techniciens'!$B$5:$B$44,0)),'Paramètres'!$AA$10))</f>
        <v/>
      </c>
      <c r="V1699" s="70">
        <f>IF($A1699="","",IF(OR(AC1699="Demandé",AC1699="Planifié",AC1699="Annulé"),0,N(T1699)*N(U1699)))</f>
        <v/>
      </c>
      <c r="W1699" s="70">
        <f>IF($A1699="","",SUMIFS('Mouvements stock'!$H$5:$H$3004,'Mouvements stock'!$I$5:$I$3004,$A1699,'Mouvements stock'!$C$5:$C$3004,"Sortie")-SUMIFS('Mouvements stock'!$H$5:$H$3004,'Mouvements stock'!$I$5:$I$3004,$A1699,'Mouvements stock'!$C$5:$C$3004,"Retour"))</f>
        <v/>
      </c>
      <c r="X1699" s="66" t="n"/>
      <c r="Y1699" s="66" t="n"/>
      <c r="Z1699" s="7" t="n"/>
      <c r="AA1699" s="70">
        <f>IF($A1699="","",N(V1699)+N(W1699)+N(X1699)+N(Y1699))</f>
        <v/>
      </c>
      <c r="AB1699" s="70">
        <f>IF($A1699="","",N(S1699)*'Paramètres'!$AA$9*IFERROR(INDEX('Paramètres'!$O$5:$O$7,MATCH(G1699,'Paramètres'!$N$5:$N$7,0)),0))</f>
        <v/>
      </c>
      <c r="AC1699" s="7" t="n"/>
      <c r="AD1699" s="69">
        <f>IF(OR($A1699="",Q1699=""),"",(Q1699-B1699)*24)</f>
        <v/>
      </c>
      <c r="AE1699" s="69">
        <f>IF(OR(Q1699="",R1699=""),"",(R1699-Q1699)*24)</f>
        <v/>
      </c>
      <c r="AF1699" s="77">
        <f>IF(OR($A1699="",B1699=""),"",YEAR(B1699))</f>
        <v/>
      </c>
      <c r="AG1699" s="77">
        <f>IF(OR($A1699="",B1699=""),"",MONTH(B1699))</f>
        <v/>
      </c>
    </row>
    <row r="1700">
      <c r="A1700" s="7" t="n"/>
      <c r="B1700" s="75" t="n"/>
      <c r="C1700" s="7" t="n"/>
      <c r="D1700" s="7" t="n"/>
      <c r="E1700" s="9">
        <f>IF(D1700="","",IFERROR(INDEX('Équipements'!$B$5:$B$304,MATCH(D1700,'Équipements'!$A$5:$A$304,0)),"Code inconnu"))</f>
        <v/>
      </c>
      <c r="F1700" s="9">
        <f>IF(D1700="","",IFERROR(INDEX('Équipements'!$D$5:$D$304,MATCH(D1700,'Équipements'!$A$5:$A$304,0)),""))</f>
        <v/>
      </c>
      <c r="G1700" s="9">
        <f>IF(D1700="","",IFERROR(INDEX('Équipements'!$K$5:$K$304,MATCH(D1700,'Équipements'!$A$5:$A$304,0)),""))</f>
        <v/>
      </c>
      <c r="H1700" s="7" t="n"/>
      <c r="I1700" s="7" t="n"/>
      <c r="J1700" s="7" t="n"/>
      <c r="K1700" s="7" t="n"/>
      <c r="L1700" s="7" t="n"/>
      <c r="M1700" s="7" t="n"/>
      <c r="N1700" s="7" t="n"/>
      <c r="O1700" s="7" t="n"/>
      <c r="P1700" s="65" t="n"/>
      <c r="Q1700" s="75" t="n"/>
      <c r="R1700" s="75" t="n"/>
      <c r="S1700" s="76" t="n"/>
      <c r="T1700" s="76" t="n"/>
      <c r="U1700" s="70">
        <f>IF($A1700="","",IFERROR(INDEX('Techniciens'!$F$5:$F$44,MATCH(O1700,'Techniciens'!$B$5:$B$44,0)),'Paramètres'!$AA$10))</f>
        <v/>
      </c>
      <c r="V1700" s="70">
        <f>IF($A1700="","",IF(OR(AC1700="Demandé",AC1700="Planifié",AC1700="Annulé"),0,N(T1700)*N(U1700)))</f>
        <v/>
      </c>
      <c r="W1700" s="70">
        <f>IF($A1700="","",SUMIFS('Mouvements stock'!$H$5:$H$3004,'Mouvements stock'!$I$5:$I$3004,$A1700,'Mouvements stock'!$C$5:$C$3004,"Sortie")-SUMIFS('Mouvements stock'!$H$5:$H$3004,'Mouvements stock'!$I$5:$I$3004,$A1700,'Mouvements stock'!$C$5:$C$3004,"Retour"))</f>
        <v/>
      </c>
      <c r="X1700" s="66" t="n"/>
      <c r="Y1700" s="66" t="n"/>
      <c r="Z1700" s="7" t="n"/>
      <c r="AA1700" s="70">
        <f>IF($A1700="","",N(V1700)+N(W1700)+N(X1700)+N(Y1700))</f>
        <v/>
      </c>
      <c r="AB1700" s="70">
        <f>IF($A1700="","",N(S1700)*'Paramètres'!$AA$9*IFERROR(INDEX('Paramètres'!$O$5:$O$7,MATCH(G1700,'Paramètres'!$N$5:$N$7,0)),0))</f>
        <v/>
      </c>
      <c r="AC1700" s="7" t="n"/>
      <c r="AD1700" s="69">
        <f>IF(OR($A1700="",Q1700=""),"",(Q1700-B1700)*24)</f>
        <v/>
      </c>
      <c r="AE1700" s="69">
        <f>IF(OR(Q1700="",R1700=""),"",(R1700-Q1700)*24)</f>
        <v/>
      </c>
      <c r="AF1700" s="77">
        <f>IF(OR($A1700="",B1700=""),"",YEAR(B1700))</f>
        <v/>
      </c>
      <c r="AG1700" s="77">
        <f>IF(OR($A1700="",B1700=""),"",MONTH(B1700))</f>
        <v/>
      </c>
    </row>
    <row r="1701">
      <c r="A1701" s="7" t="n"/>
      <c r="B1701" s="75" t="n"/>
      <c r="C1701" s="7" t="n"/>
      <c r="D1701" s="7" t="n"/>
      <c r="E1701" s="9">
        <f>IF(D1701="","",IFERROR(INDEX('Équipements'!$B$5:$B$304,MATCH(D1701,'Équipements'!$A$5:$A$304,0)),"Code inconnu"))</f>
        <v/>
      </c>
      <c r="F1701" s="9">
        <f>IF(D1701="","",IFERROR(INDEX('Équipements'!$D$5:$D$304,MATCH(D1701,'Équipements'!$A$5:$A$304,0)),""))</f>
        <v/>
      </c>
      <c r="G1701" s="9">
        <f>IF(D1701="","",IFERROR(INDEX('Équipements'!$K$5:$K$304,MATCH(D1701,'Équipements'!$A$5:$A$304,0)),""))</f>
        <v/>
      </c>
      <c r="H1701" s="7" t="n"/>
      <c r="I1701" s="7" t="n"/>
      <c r="J1701" s="7" t="n"/>
      <c r="K1701" s="7" t="n"/>
      <c r="L1701" s="7" t="n"/>
      <c r="M1701" s="7" t="n"/>
      <c r="N1701" s="7" t="n"/>
      <c r="O1701" s="7" t="n"/>
      <c r="P1701" s="65" t="n"/>
      <c r="Q1701" s="75" t="n"/>
      <c r="R1701" s="75" t="n"/>
      <c r="S1701" s="76" t="n"/>
      <c r="T1701" s="76" t="n"/>
      <c r="U1701" s="70">
        <f>IF($A1701="","",IFERROR(INDEX('Techniciens'!$F$5:$F$44,MATCH(O1701,'Techniciens'!$B$5:$B$44,0)),'Paramètres'!$AA$10))</f>
        <v/>
      </c>
      <c r="V1701" s="70">
        <f>IF($A1701="","",IF(OR(AC1701="Demandé",AC1701="Planifié",AC1701="Annulé"),0,N(T1701)*N(U1701)))</f>
        <v/>
      </c>
      <c r="W1701" s="70">
        <f>IF($A1701="","",SUMIFS('Mouvements stock'!$H$5:$H$3004,'Mouvements stock'!$I$5:$I$3004,$A1701,'Mouvements stock'!$C$5:$C$3004,"Sortie")-SUMIFS('Mouvements stock'!$H$5:$H$3004,'Mouvements stock'!$I$5:$I$3004,$A1701,'Mouvements stock'!$C$5:$C$3004,"Retour"))</f>
        <v/>
      </c>
      <c r="X1701" s="66" t="n"/>
      <c r="Y1701" s="66" t="n"/>
      <c r="Z1701" s="7" t="n"/>
      <c r="AA1701" s="70">
        <f>IF($A1701="","",N(V1701)+N(W1701)+N(X1701)+N(Y1701))</f>
        <v/>
      </c>
      <c r="AB1701" s="70">
        <f>IF($A1701="","",N(S1701)*'Paramètres'!$AA$9*IFERROR(INDEX('Paramètres'!$O$5:$O$7,MATCH(G1701,'Paramètres'!$N$5:$N$7,0)),0))</f>
        <v/>
      </c>
      <c r="AC1701" s="7" t="n"/>
      <c r="AD1701" s="69">
        <f>IF(OR($A1701="",Q1701=""),"",(Q1701-B1701)*24)</f>
        <v/>
      </c>
      <c r="AE1701" s="69">
        <f>IF(OR(Q1701="",R1701=""),"",(R1701-Q1701)*24)</f>
        <v/>
      </c>
      <c r="AF1701" s="77">
        <f>IF(OR($A1701="",B1701=""),"",YEAR(B1701))</f>
        <v/>
      </c>
      <c r="AG1701" s="77">
        <f>IF(OR($A1701="",B1701=""),"",MONTH(B1701))</f>
        <v/>
      </c>
    </row>
    <row r="1702">
      <c r="A1702" s="7" t="n"/>
      <c r="B1702" s="75" t="n"/>
      <c r="C1702" s="7" t="n"/>
      <c r="D1702" s="7" t="n"/>
      <c r="E1702" s="9">
        <f>IF(D1702="","",IFERROR(INDEX('Équipements'!$B$5:$B$304,MATCH(D1702,'Équipements'!$A$5:$A$304,0)),"Code inconnu"))</f>
        <v/>
      </c>
      <c r="F1702" s="9">
        <f>IF(D1702="","",IFERROR(INDEX('Équipements'!$D$5:$D$304,MATCH(D1702,'Équipements'!$A$5:$A$304,0)),""))</f>
        <v/>
      </c>
      <c r="G1702" s="9">
        <f>IF(D1702="","",IFERROR(INDEX('Équipements'!$K$5:$K$304,MATCH(D1702,'Équipements'!$A$5:$A$304,0)),""))</f>
        <v/>
      </c>
      <c r="H1702" s="7" t="n"/>
      <c r="I1702" s="7" t="n"/>
      <c r="J1702" s="7" t="n"/>
      <c r="K1702" s="7" t="n"/>
      <c r="L1702" s="7" t="n"/>
      <c r="M1702" s="7" t="n"/>
      <c r="N1702" s="7" t="n"/>
      <c r="O1702" s="7" t="n"/>
      <c r="P1702" s="65" t="n"/>
      <c r="Q1702" s="75" t="n"/>
      <c r="R1702" s="75" t="n"/>
      <c r="S1702" s="76" t="n"/>
      <c r="T1702" s="76" t="n"/>
      <c r="U1702" s="70">
        <f>IF($A1702="","",IFERROR(INDEX('Techniciens'!$F$5:$F$44,MATCH(O1702,'Techniciens'!$B$5:$B$44,0)),'Paramètres'!$AA$10))</f>
        <v/>
      </c>
      <c r="V1702" s="70">
        <f>IF($A1702="","",IF(OR(AC1702="Demandé",AC1702="Planifié",AC1702="Annulé"),0,N(T1702)*N(U1702)))</f>
        <v/>
      </c>
      <c r="W1702" s="70">
        <f>IF($A1702="","",SUMIFS('Mouvements stock'!$H$5:$H$3004,'Mouvements stock'!$I$5:$I$3004,$A1702,'Mouvements stock'!$C$5:$C$3004,"Sortie")-SUMIFS('Mouvements stock'!$H$5:$H$3004,'Mouvements stock'!$I$5:$I$3004,$A1702,'Mouvements stock'!$C$5:$C$3004,"Retour"))</f>
        <v/>
      </c>
      <c r="X1702" s="66" t="n"/>
      <c r="Y1702" s="66" t="n"/>
      <c r="Z1702" s="7" t="n"/>
      <c r="AA1702" s="70">
        <f>IF($A1702="","",N(V1702)+N(W1702)+N(X1702)+N(Y1702))</f>
        <v/>
      </c>
      <c r="AB1702" s="70">
        <f>IF($A1702="","",N(S1702)*'Paramètres'!$AA$9*IFERROR(INDEX('Paramètres'!$O$5:$O$7,MATCH(G1702,'Paramètres'!$N$5:$N$7,0)),0))</f>
        <v/>
      </c>
      <c r="AC1702" s="7" t="n"/>
      <c r="AD1702" s="69">
        <f>IF(OR($A1702="",Q1702=""),"",(Q1702-B1702)*24)</f>
        <v/>
      </c>
      <c r="AE1702" s="69">
        <f>IF(OR(Q1702="",R1702=""),"",(R1702-Q1702)*24)</f>
        <v/>
      </c>
      <c r="AF1702" s="77">
        <f>IF(OR($A1702="",B1702=""),"",YEAR(B1702))</f>
        <v/>
      </c>
      <c r="AG1702" s="77">
        <f>IF(OR($A1702="",B1702=""),"",MONTH(B1702))</f>
        <v/>
      </c>
    </row>
    <row r="1703">
      <c r="A1703" s="7" t="n"/>
      <c r="B1703" s="75" t="n"/>
      <c r="C1703" s="7" t="n"/>
      <c r="D1703" s="7" t="n"/>
      <c r="E1703" s="9">
        <f>IF(D1703="","",IFERROR(INDEX('Équipements'!$B$5:$B$304,MATCH(D1703,'Équipements'!$A$5:$A$304,0)),"Code inconnu"))</f>
        <v/>
      </c>
      <c r="F1703" s="9">
        <f>IF(D1703="","",IFERROR(INDEX('Équipements'!$D$5:$D$304,MATCH(D1703,'Équipements'!$A$5:$A$304,0)),""))</f>
        <v/>
      </c>
      <c r="G1703" s="9">
        <f>IF(D1703="","",IFERROR(INDEX('Équipements'!$K$5:$K$304,MATCH(D1703,'Équipements'!$A$5:$A$304,0)),""))</f>
        <v/>
      </c>
      <c r="H1703" s="7" t="n"/>
      <c r="I1703" s="7" t="n"/>
      <c r="J1703" s="7" t="n"/>
      <c r="K1703" s="7" t="n"/>
      <c r="L1703" s="7" t="n"/>
      <c r="M1703" s="7" t="n"/>
      <c r="N1703" s="7" t="n"/>
      <c r="O1703" s="7" t="n"/>
      <c r="P1703" s="65" t="n"/>
      <c r="Q1703" s="75" t="n"/>
      <c r="R1703" s="75" t="n"/>
      <c r="S1703" s="76" t="n"/>
      <c r="T1703" s="76" t="n"/>
      <c r="U1703" s="70">
        <f>IF($A1703="","",IFERROR(INDEX('Techniciens'!$F$5:$F$44,MATCH(O1703,'Techniciens'!$B$5:$B$44,0)),'Paramètres'!$AA$10))</f>
        <v/>
      </c>
      <c r="V1703" s="70">
        <f>IF($A1703="","",IF(OR(AC1703="Demandé",AC1703="Planifié",AC1703="Annulé"),0,N(T1703)*N(U1703)))</f>
        <v/>
      </c>
      <c r="W1703" s="70">
        <f>IF($A1703="","",SUMIFS('Mouvements stock'!$H$5:$H$3004,'Mouvements stock'!$I$5:$I$3004,$A1703,'Mouvements stock'!$C$5:$C$3004,"Sortie")-SUMIFS('Mouvements stock'!$H$5:$H$3004,'Mouvements stock'!$I$5:$I$3004,$A1703,'Mouvements stock'!$C$5:$C$3004,"Retour"))</f>
        <v/>
      </c>
      <c r="X1703" s="66" t="n"/>
      <c r="Y1703" s="66" t="n"/>
      <c r="Z1703" s="7" t="n"/>
      <c r="AA1703" s="70">
        <f>IF($A1703="","",N(V1703)+N(W1703)+N(X1703)+N(Y1703))</f>
        <v/>
      </c>
      <c r="AB1703" s="70">
        <f>IF($A1703="","",N(S1703)*'Paramètres'!$AA$9*IFERROR(INDEX('Paramètres'!$O$5:$O$7,MATCH(G1703,'Paramètres'!$N$5:$N$7,0)),0))</f>
        <v/>
      </c>
      <c r="AC1703" s="7" t="n"/>
      <c r="AD1703" s="69">
        <f>IF(OR($A1703="",Q1703=""),"",(Q1703-B1703)*24)</f>
        <v/>
      </c>
      <c r="AE1703" s="69">
        <f>IF(OR(Q1703="",R1703=""),"",(R1703-Q1703)*24)</f>
        <v/>
      </c>
      <c r="AF1703" s="77">
        <f>IF(OR($A1703="",B1703=""),"",YEAR(B1703))</f>
        <v/>
      </c>
      <c r="AG1703" s="77">
        <f>IF(OR($A1703="",B1703=""),"",MONTH(B1703))</f>
        <v/>
      </c>
    </row>
    <row r="1704">
      <c r="A1704" s="7" t="n"/>
      <c r="B1704" s="75" t="n"/>
      <c r="C1704" s="7" t="n"/>
      <c r="D1704" s="7" t="n"/>
      <c r="E1704" s="9">
        <f>IF(D1704="","",IFERROR(INDEX('Équipements'!$B$5:$B$304,MATCH(D1704,'Équipements'!$A$5:$A$304,0)),"Code inconnu"))</f>
        <v/>
      </c>
      <c r="F1704" s="9">
        <f>IF(D1704="","",IFERROR(INDEX('Équipements'!$D$5:$D$304,MATCH(D1704,'Équipements'!$A$5:$A$304,0)),""))</f>
        <v/>
      </c>
      <c r="G1704" s="9">
        <f>IF(D1704="","",IFERROR(INDEX('Équipements'!$K$5:$K$304,MATCH(D1704,'Équipements'!$A$5:$A$304,0)),""))</f>
        <v/>
      </c>
      <c r="H1704" s="7" t="n"/>
      <c r="I1704" s="7" t="n"/>
      <c r="J1704" s="7" t="n"/>
      <c r="K1704" s="7" t="n"/>
      <c r="L1704" s="7" t="n"/>
      <c r="M1704" s="7" t="n"/>
      <c r="N1704" s="7" t="n"/>
      <c r="O1704" s="7" t="n"/>
      <c r="P1704" s="65" t="n"/>
      <c r="Q1704" s="75" t="n"/>
      <c r="R1704" s="75" t="n"/>
      <c r="S1704" s="76" t="n"/>
      <c r="T1704" s="76" t="n"/>
      <c r="U1704" s="70">
        <f>IF($A1704="","",IFERROR(INDEX('Techniciens'!$F$5:$F$44,MATCH(O1704,'Techniciens'!$B$5:$B$44,0)),'Paramètres'!$AA$10))</f>
        <v/>
      </c>
      <c r="V1704" s="70">
        <f>IF($A1704="","",IF(OR(AC1704="Demandé",AC1704="Planifié",AC1704="Annulé"),0,N(T1704)*N(U1704)))</f>
        <v/>
      </c>
      <c r="W1704" s="70">
        <f>IF($A1704="","",SUMIFS('Mouvements stock'!$H$5:$H$3004,'Mouvements stock'!$I$5:$I$3004,$A1704,'Mouvements stock'!$C$5:$C$3004,"Sortie")-SUMIFS('Mouvements stock'!$H$5:$H$3004,'Mouvements stock'!$I$5:$I$3004,$A1704,'Mouvements stock'!$C$5:$C$3004,"Retour"))</f>
        <v/>
      </c>
      <c r="X1704" s="66" t="n"/>
      <c r="Y1704" s="66" t="n"/>
      <c r="Z1704" s="7" t="n"/>
      <c r="AA1704" s="70">
        <f>IF($A1704="","",N(V1704)+N(W1704)+N(X1704)+N(Y1704))</f>
        <v/>
      </c>
      <c r="AB1704" s="70">
        <f>IF($A1704="","",N(S1704)*'Paramètres'!$AA$9*IFERROR(INDEX('Paramètres'!$O$5:$O$7,MATCH(G1704,'Paramètres'!$N$5:$N$7,0)),0))</f>
        <v/>
      </c>
      <c r="AC1704" s="7" t="n"/>
      <c r="AD1704" s="69">
        <f>IF(OR($A1704="",Q1704=""),"",(Q1704-B1704)*24)</f>
        <v/>
      </c>
      <c r="AE1704" s="69">
        <f>IF(OR(Q1704="",R1704=""),"",(R1704-Q1704)*24)</f>
        <v/>
      </c>
      <c r="AF1704" s="77">
        <f>IF(OR($A1704="",B1704=""),"",YEAR(B1704))</f>
        <v/>
      </c>
      <c r="AG1704" s="77">
        <f>IF(OR($A1704="",B1704=""),"",MONTH(B1704))</f>
        <v/>
      </c>
    </row>
    <row r="1705">
      <c r="A1705" s="7" t="n"/>
      <c r="B1705" s="75" t="n"/>
      <c r="C1705" s="7" t="n"/>
      <c r="D1705" s="7" t="n"/>
      <c r="E1705" s="9">
        <f>IF(D1705="","",IFERROR(INDEX('Équipements'!$B$5:$B$304,MATCH(D1705,'Équipements'!$A$5:$A$304,0)),"Code inconnu"))</f>
        <v/>
      </c>
      <c r="F1705" s="9">
        <f>IF(D1705="","",IFERROR(INDEX('Équipements'!$D$5:$D$304,MATCH(D1705,'Équipements'!$A$5:$A$304,0)),""))</f>
        <v/>
      </c>
      <c r="G1705" s="9">
        <f>IF(D1705="","",IFERROR(INDEX('Équipements'!$K$5:$K$304,MATCH(D1705,'Équipements'!$A$5:$A$304,0)),""))</f>
        <v/>
      </c>
      <c r="H1705" s="7" t="n"/>
      <c r="I1705" s="7" t="n"/>
      <c r="J1705" s="7" t="n"/>
      <c r="K1705" s="7" t="n"/>
      <c r="L1705" s="7" t="n"/>
      <c r="M1705" s="7" t="n"/>
      <c r="N1705" s="7" t="n"/>
      <c r="O1705" s="7" t="n"/>
      <c r="P1705" s="65" t="n"/>
      <c r="Q1705" s="75" t="n"/>
      <c r="R1705" s="75" t="n"/>
      <c r="S1705" s="76" t="n"/>
      <c r="T1705" s="76" t="n"/>
      <c r="U1705" s="70">
        <f>IF($A1705="","",IFERROR(INDEX('Techniciens'!$F$5:$F$44,MATCH(O1705,'Techniciens'!$B$5:$B$44,0)),'Paramètres'!$AA$10))</f>
        <v/>
      </c>
      <c r="V1705" s="70">
        <f>IF($A1705="","",IF(OR(AC1705="Demandé",AC1705="Planifié",AC1705="Annulé"),0,N(T1705)*N(U1705)))</f>
        <v/>
      </c>
      <c r="W1705" s="70">
        <f>IF($A1705="","",SUMIFS('Mouvements stock'!$H$5:$H$3004,'Mouvements stock'!$I$5:$I$3004,$A1705,'Mouvements stock'!$C$5:$C$3004,"Sortie")-SUMIFS('Mouvements stock'!$H$5:$H$3004,'Mouvements stock'!$I$5:$I$3004,$A1705,'Mouvements stock'!$C$5:$C$3004,"Retour"))</f>
        <v/>
      </c>
      <c r="X1705" s="66" t="n"/>
      <c r="Y1705" s="66" t="n"/>
      <c r="Z1705" s="7" t="n"/>
      <c r="AA1705" s="70">
        <f>IF($A1705="","",N(V1705)+N(W1705)+N(X1705)+N(Y1705))</f>
        <v/>
      </c>
      <c r="AB1705" s="70">
        <f>IF($A1705="","",N(S1705)*'Paramètres'!$AA$9*IFERROR(INDEX('Paramètres'!$O$5:$O$7,MATCH(G1705,'Paramètres'!$N$5:$N$7,0)),0))</f>
        <v/>
      </c>
      <c r="AC1705" s="7" t="n"/>
      <c r="AD1705" s="69">
        <f>IF(OR($A1705="",Q1705=""),"",(Q1705-B1705)*24)</f>
        <v/>
      </c>
      <c r="AE1705" s="69">
        <f>IF(OR(Q1705="",R1705=""),"",(R1705-Q1705)*24)</f>
        <v/>
      </c>
      <c r="AF1705" s="77">
        <f>IF(OR($A1705="",B1705=""),"",YEAR(B1705))</f>
        <v/>
      </c>
      <c r="AG1705" s="77">
        <f>IF(OR($A1705="",B1705=""),"",MONTH(B1705))</f>
        <v/>
      </c>
    </row>
    <row r="1706">
      <c r="A1706" s="7" t="n"/>
      <c r="B1706" s="75" t="n"/>
      <c r="C1706" s="7" t="n"/>
      <c r="D1706" s="7" t="n"/>
      <c r="E1706" s="9">
        <f>IF(D1706="","",IFERROR(INDEX('Équipements'!$B$5:$B$304,MATCH(D1706,'Équipements'!$A$5:$A$304,0)),"Code inconnu"))</f>
        <v/>
      </c>
      <c r="F1706" s="9">
        <f>IF(D1706="","",IFERROR(INDEX('Équipements'!$D$5:$D$304,MATCH(D1706,'Équipements'!$A$5:$A$304,0)),""))</f>
        <v/>
      </c>
      <c r="G1706" s="9">
        <f>IF(D1706="","",IFERROR(INDEX('Équipements'!$K$5:$K$304,MATCH(D1706,'Équipements'!$A$5:$A$304,0)),""))</f>
        <v/>
      </c>
      <c r="H1706" s="7" t="n"/>
      <c r="I1706" s="7" t="n"/>
      <c r="J1706" s="7" t="n"/>
      <c r="K1706" s="7" t="n"/>
      <c r="L1706" s="7" t="n"/>
      <c r="M1706" s="7" t="n"/>
      <c r="N1706" s="7" t="n"/>
      <c r="O1706" s="7" t="n"/>
      <c r="P1706" s="65" t="n"/>
      <c r="Q1706" s="75" t="n"/>
      <c r="R1706" s="75" t="n"/>
      <c r="S1706" s="76" t="n"/>
      <c r="T1706" s="76" t="n"/>
      <c r="U1706" s="70">
        <f>IF($A1706="","",IFERROR(INDEX('Techniciens'!$F$5:$F$44,MATCH(O1706,'Techniciens'!$B$5:$B$44,0)),'Paramètres'!$AA$10))</f>
        <v/>
      </c>
      <c r="V1706" s="70">
        <f>IF($A1706="","",IF(OR(AC1706="Demandé",AC1706="Planifié",AC1706="Annulé"),0,N(T1706)*N(U1706)))</f>
        <v/>
      </c>
      <c r="W1706" s="70">
        <f>IF($A1706="","",SUMIFS('Mouvements stock'!$H$5:$H$3004,'Mouvements stock'!$I$5:$I$3004,$A1706,'Mouvements stock'!$C$5:$C$3004,"Sortie")-SUMIFS('Mouvements stock'!$H$5:$H$3004,'Mouvements stock'!$I$5:$I$3004,$A1706,'Mouvements stock'!$C$5:$C$3004,"Retour"))</f>
        <v/>
      </c>
      <c r="X1706" s="66" t="n"/>
      <c r="Y1706" s="66" t="n"/>
      <c r="Z1706" s="7" t="n"/>
      <c r="AA1706" s="70">
        <f>IF($A1706="","",N(V1706)+N(W1706)+N(X1706)+N(Y1706))</f>
        <v/>
      </c>
      <c r="AB1706" s="70">
        <f>IF($A1706="","",N(S1706)*'Paramètres'!$AA$9*IFERROR(INDEX('Paramètres'!$O$5:$O$7,MATCH(G1706,'Paramètres'!$N$5:$N$7,0)),0))</f>
        <v/>
      </c>
      <c r="AC1706" s="7" t="n"/>
      <c r="AD1706" s="69">
        <f>IF(OR($A1706="",Q1706=""),"",(Q1706-B1706)*24)</f>
        <v/>
      </c>
      <c r="AE1706" s="69">
        <f>IF(OR(Q1706="",R1706=""),"",(R1706-Q1706)*24)</f>
        <v/>
      </c>
      <c r="AF1706" s="77">
        <f>IF(OR($A1706="",B1706=""),"",YEAR(B1706))</f>
        <v/>
      </c>
      <c r="AG1706" s="77">
        <f>IF(OR($A1706="",B1706=""),"",MONTH(B1706))</f>
        <v/>
      </c>
    </row>
    <row r="1707">
      <c r="A1707" s="7" t="n"/>
      <c r="B1707" s="75" t="n"/>
      <c r="C1707" s="7" t="n"/>
      <c r="D1707" s="7" t="n"/>
      <c r="E1707" s="9">
        <f>IF(D1707="","",IFERROR(INDEX('Équipements'!$B$5:$B$304,MATCH(D1707,'Équipements'!$A$5:$A$304,0)),"Code inconnu"))</f>
        <v/>
      </c>
      <c r="F1707" s="9">
        <f>IF(D1707="","",IFERROR(INDEX('Équipements'!$D$5:$D$304,MATCH(D1707,'Équipements'!$A$5:$A$304,0)),""))</f>
        <v/>
      </c>
      <c r="G1707" s="9">
        <f>IF(D1707="","",IFERROR(INDEX('Équipements'!$K$5:$K$304,MATCH(D1707,'Équipements'!$A$5:$A$304,0)),""))</f>
        <v/>
      </c>
      <c r="H1707" s="7" t="n"/>
      <c r="I1707" s="7" t="n"/>
      <c r="J1707" s="7" t="n"/>
      <c r="K1707" s="7" t="n"/>
      <c r="L1707" s="7" t="n"/>
      <c r="M1707" s="7" t="n"/>
      <c r="N1707" s="7" t="n"/>
      <c r="O1707" s="7" t="n"/>
      <c r="P1707" s="65" t="n"/>
      <c r="Q1707" s="75" t="n"/>
      <c r="R1707" s="75" t="n"/>
      <c r="S1707" s="76" t="n"/>
      <c r="T1707" s="76" t="n"/>
      <c r="U1707" s="70">
        <f>IF($A1707="","",IFERROR(INDEX('Techniciens'!$F$5:$F$44,MATCH(O1707,'Techniciens'!$B$5:$B$44,0)),'Paramètres'!$AA$10))</f>
        <v/>
      </c>
      <c r="V1707" s="70">
        <f>IF($A1707="","",IF(OR(AC1707="Demandé",AC1707="Planifié",AC1707="Annulé"),0,N(T1707)*N(U1707)))</f>
        <v/>
      </c>
      <c r="W1707" s="70">
        <f>IF($A1707="","",SUMIFS('Mouvements stock'!$H$5:$H$3004,'Mouvements stock'!$I$5:$I$3004,$A1707,'Mouvements stock'!$C$5:$C$3004,"Sortie")-SUMIFS('Mouvements stock'!$H$5:$H$3004,'Mouvements stock'!$I$5:$I$3004,$A1707,'Mouvements stock'!$C$5:$C$3004,"Retour"))</f>
        <v/>
      </c>
      <c r="X1707" s="66" t="n"/>
      <c r="Y1707" s="66" t="n"/>
      <c r="Z1707" s="7" t="n"/>
      <c r="AA1707" s="70">
        <f>IF($A1707="","",N(V1707)+N(W1707)+N(X1707)+N(Y1707))</f>
        <v/>
      </c>
      <c r="AB1707" s="70">
        <f>IF($A1707="","",N(S1707)*'Paramètres'!$AA$9*IFERROR(INDEX('Paramètres'!$O$5:$O$7,MATCH(G1707,'Paramètres'!$N$5:$N$7,0)),0))</f>
        <v/>
      </c>
      <c r="AC1707" s="7" t="n"/>
      <c r="AD1707" s="69">
        <f>IF(OR($A1707="",Q1707=""),"",(Q1707-B1707)*24)</f>
        <v/>
      </c>
      <c r="AE1707" s="69">
        <f>IF(OR(Q1707="",R1707=""),"",(R1707-Q1707)*24)</f>
        <v/>
      </c>
      <c r="AF1707" s="77">
        <f>IF(OR($A1707="",B1707=""),"",YEAR(B1707))</f>
        <v/>
      </c>
      <c r="AG1707" s="77">
        <f>IF(OR($A1707="",B1707=""),"",MONTH(B1707))</f>
        <v/>
      </c>
    </row>
    <row r="1708">
      <c r="A1708" s="7" t="n"/>
      <c r="B1708" s="75" t="n"/>
      <c r="C1708" s="7" t="n"/>
      <c r="D1708" s="7" t="n"/>
      <c r="E1708" s="9">
        <f>IF(D1708="","",IFERROR(INDEX('Équipements'!$B$5:$B$304,MATCH(D1708,'Équipements'!$A$5:$A$304,0)),"Code inconnu"))</f>
        <v/>
      </c>
      <c r="F1708" s="9">
        <f>IF(D1708="","",IFERROR(INDEX('Équipements'!$D$5:$D$304,MATCH(D1708,'Équipements'!$A$5:$A$304,0)),""))</f>
        <v/>
      </c>
      <c r="G1708" s="9">
        <f>IF(D1708="","",IFERROR(INDEX('Équipements'!$K$5:$K$304,MATCH(D1708,'Équipements'!$A$5:$A$304,0)),""))</f>
        <v/>
      </c>
      <c r="H1708" s="7" t="n"/>
      <c r="I1708" s="7" t="n"/>
      <c r="J1708" s="7" t="n"/>
      <c r="K1708" s="7" t="n"/>
      <c r="L1708" s="7" t="n"/>
      <c r="M1708" s="7" t="n"/>
      <c r="N1708" s="7" t="n"/>
      <c r="O1708" s="7" t="n"/>
      <c r="P1708" s="65" t="n"/>
      <c r="Q1708" s="75" t="n"/>
      <c r="R1708" s="75" t="n"/>
      <c r="S1708" s="76" t="n"/>
      <c r="T1708" s="76" t="n"/>
      <c r="U1708" s="70">
        <f>IF($A1708="","",IFERROR(INDEX('Techniciens'!$F$5:$F$44,MATCH(O1708,'Techniciens'!$B$5:$B$44,0)),'Paramètres'!$AA$10))</f>
        <v/>
      </c>
      <c r="V1708" s="70">
        <f>IF($A1708="","",IF(OR(AC1708="Demandé",AC1708="Planifié",AC1708="Annulé"),0,N(T1708)*N(U1708)))</f>
        <v/>
      </c>
      <c r="W1708" s="70">
        <f>IF($A1708="","",SUMIFS('Mouvements stock'!$H$5:$H$3004,'Mouvements stock'!$I$5:$I$3004,$A1708,'Mouvements stock'!$C$5:$C$3004,"Sortie")-SUMIFS('Mouvements stock'!$H$5:$H$3004,'Mouvements stock'!$I$5:$I$3004,$A1708,'Mouvements stock'!$C$5:$C$3004,"Retour"))</f>
        <v/>
      </c>
      <c r="X1708" s="66" t="n"/>
      <c r="Y1708" s="66" t="n"/>
      <c r="Z1708" s="7" t="n"/>
      <c r="AA1708" s="70">
        <f>IF($A1708="","",N(V1708)+N(W1708)+N(X1708)+N(Y1708))</f>
        <v/>
      </c>
      <c r="AB1708" s="70">
        <f>IF($A1708="","",N(S1708)*'Paramètres'!$AA$9*IFERROR(INDEX('Paramètres'!$O$5:$O$7,MATCH(G1708,'Paramètres'!$N$5:$N$7,0)),0))</f>
        <v/>
      </c>
      <c r="AC1708" s="7" t="n"/>
      <c r="AD1708" s="69">
        <f>IF(OR($A1708="",Q1708=""),"",(Q1708-B1708)*24)</f>
        <v/>
      </c>
      <c r="AE1708" s="69">
        <f>IF(OR(Q1708="",R1708=""),"",(R1708-Q1708)*24)</f>
        <v/>
      </c>
      <c r="AF1708" s="77">
        <f>IF(OR($A1708="",B1708=""),"",YEAR(B1708))</f>
        <v/>
      </c>
      <c r="AG1708" s="77">
        <f>IF(OR($A1708="",B1708=""),"",MONTH(B1708))</f>
        <v/>
      </c>
    </row>
    <row r="1709">
      <c r="A1709" s="7" t="n"/>
      <c r="B1709" s="75" t="n"/>
      <c r="C1709" s="7" t="n"/>
      <c r="D1709" s="7" t="n"/>
      <c r="E1709" s="9">
        <f>IF(D1709="","",IFERROR(INDEX('Équipements'!$B$5:$B$304,MATCH(D1709,'Équipements'!$A$5:$A$304,0)),"Code inconnu"))</f>
        <v/>
      </c>
      <c r="F1709" s="9">
        <f>IF(D1709="","",IFERROR(INDEX('Équipements'!$D$5:$D$304,MATCH(D1709,'Équipements'!$A$5:$A$304,0)),""))</f>
        <v/>
      </c>
      <c r="G1709" s="9">
        <f>IF(D1709="","",IFERROR(INDEX('Équipements'!$K$5:$K$304,MATCH(D1709,'Équipements'!$A$5:$A$304,0)),""))</f>
        <v/>
      </c>
      <c r="H1709" s="7" t="n"/>
      <c r="I1709" s="7" t="n"/>
      <c r="J1709" s="7" t="n"/>
      <c r="K1709" s="7" t="n"/>
      <c r="L1709" s="7" t="n"/>
      <c r="M1709" s="7" t="n"/>
      <c r="N1709" s="7" t="n"/>
      <c r="O1709" s="7" t="n"/>
      <c r="P1709" s="65" t="n"/>
      <c r="Q1709" s="75" t="n"/>
      <c r="R1709" s="75" t="n"/>
      <c r="S1709" s="76" t="n"/>
      <c r="T1709" s="76" t="n"/>
      <c r="U1709" s="70">
        <f>IF($A1709="","",IFERROR(INDEX('Techniciens'!$F$5:$F$44,MATCH(O1709,'Techniciens'!$B$5:$B$44,0)),'Paramètres'!$AA$10))</f>
        <v/>
      </c>
      <c r="V1709" s="70">
        <f>IF($A1709="","",IF(OR(AC1709="Demandé",AC1709="Planifié",AC1709="Annulé"),0,N(T1709)*N(U1709)))</f>
        <v/>
      </c>
      <c r="W1709" s="70">
        <f>IF($A1709="","",SUMIFS('Mouvements stock'!$H$5:$H$3004,'Mouvements stock'!$I$5:$I$3004,$A1709,'Mouvements stock'!$C$5:$C$3004,"Sortie")-SUMIFS('Mouvements stock'!$H$5:$H$3004,'Mouvements stock'!$I$5:$I$3004,$A1709,'Mouvements stock'!$C$5:$C$3004,"Retour"))</f>
        <v/>
      </c>
      <c r="X1709" s="66" t="n"/>
      <c r="Y1709" s="66" t="n"/>
      <c r="Z1709" s="7" t="n"/>
      <c r="AA1709" s="70">
        <f>IF($A1709="","",N(V1709)+N(W1709)+N(X1709)+N(Y1709))</f>
        <v/>
      </c>
      <c r="AB1709" s="70">
        <f>IF($A1709="","",N(S1709)*'Paramètres'!$AA$9*IFERROR(INDEX('Paramètres'!$O$5:$O$7,MATCH(G1709,'Paramètres'!$N$5:$N$7,0)),0))</f>
        <v/>
      </c>
      <c r="AC1709" s="7" t="n"/>
      <c r="AD1709" s="69">
        <f>IF(OR($A1709="",Q1709=""),"",(Q1709-B1709)*24)</f>
        <v/>
      </c>
      <c r="AE1709" s="69">
        <f>IF(OR(Q1709="",R1709=""),"",(R1709-Q1709)*24)</f>
        <v/>
      </c>
      <c r="AF1709" s="77">
        <f>IF(OR($A1709="",B1709=""),"",YEAR(B1709))</f>
        <v/>
      </c>
      <c r="AG1709" s="77">
        <f>IF(OR($A1709="",B1709=""),"",MONTH(B1709))</f>
        <v/>
      </c>
    </row>
    <row r="1710">
      <c r="A1710" s="7" t="n"/>
      <c r="B1710" s="75" t="n"/>
      <c r="C1710" s="7" t="n"/>
      <c r="D1710" s="7" t="n"/>
      <c r="E1710" s="9">
        <f>IF(D1710="","",IFERROR(INDEX('Équipements'!$B$5:$B$304,MATCH(D1710,'Équipements'!$A$5:$A$304,0)),"Code inconnu"))</f>
        <v/>
      </c>
      <c r="F1710" s="9">
        <f>IF(D1710="","",IFERROR(INDEX('Équipements'!$D$5:$D$304,MATCH(D1710,'Équipements'!$A$5:$A$304,0)),""))</f>
        <v/>
      </c>
      <c r="G1710" s="9">
        <f>IF(D1710="","",IFERROR(INDEX('Équipements'!$K$5:$K$304,MATCH(D1710,'Équipements'!$A$5:$A$304,0)),""))</f>
        <v/>
      </c>
      <c r="H1710" s="7" t="n"/>
      <c r="I1710" s="7" t="n"/>
      <c r="J1710" s="7" t="n"/>
      <c r="K1710" s="7" t="n"/>
      <c r="L1710" s="7" t="n"/>
      <c r="M1710" s="7" t="n"/>
      <c r="N1710" s="7" t="n"/>
      <c r="O1710" s="7" t="n"/>
      <c r="P1710" s="65" t="n"/>
      <c r="Q1710" s="75" t="n"/>
      <c r="R1710" s="75" t="n"/>
      <c r="S1710" s="76" t="n"/>
      <c r="T1710" s="76" t="n"/>
      <c r="U1710" s="70">
        <f>IF($A1710="","",IFERROR(INDEX('Techniciens'!$F$5:$F$44,MATCH(O1710,'Techniciens'!$B$5:$B$44,0)),'Paramètres'!$AA$10))</f>
        <v/>
      </c>
      <c r="V1710" s="70">
        <f>IF($A1710="","",IF(OR(AC1710="Demandé",AC1710="Planifié",AC1710="Annulé"),0,N(T1710)*N(U1710)))</f>
        <v/>
      </c>
      <c r="W1710" s="70">
        <f>IF($A1710="","",SUMIFS('Mouvements stock'!$H$5:$H$3004,'Mouvements stock'!$I$5:$I$3004,$A1710,'Mouvements stock'!$C$5:$C$3004,"Sortie")-SUMIFS('Mouvements stock'!$H$5:$H$3004,'Mouvements stock'!$I$5:$I$3004,$A1710,'Mouvements stock'!$C$5:$C$3004,"Retour"))</f>
        <v/>
      </c>
      <c r="X1710" s="66" t="n"/>
      <c r="Y1710" s="66" t="n"/>
      <c r="Z1710" s="7" t="n"/>
      <c r="AA1710" s="70">
        <f>IF($A1710="","",N(V1710)+N(W1710)+N(X1710)+N(Y1710))</f>
        <v/>
      </c>
      <c r="AB1710" s="70">
        <f>IF($A1710="","",N(S1710)*'Paramètres'!$AA$9*IFERROR(INDEX('Paramètres'!$O$5:$O$7,MATCH(G1710,'Paramètres'!$N$5:$N$7,0)),0))</f>
        <v/>
      </c>
      <c r="AC1710" s="7" t="n"/>
      <c r="AD1710" s="69">
        <f>IF(OR($A1710="",Q1710=""),"",(Q1710-B1710)*24)</f>
        <v/>
      </c>
      <c r="AE1710" s="69">
        <f>IF(OR(Q1710="",R1710=""),"",(R1710-Q1710)*24)</f>
        <v/>
      </c>
      <c r="AF1710" s="77">
        <f>IF(OR($A1710="",B1710=""),"",YEAR(B1710))</f>
        <v/>
      </c>
      <c r="AG1710" s="77">
        <f>IF(OR($A1710="",B1710=""),"",MONTH(B1710))</f>
        <v/>
      </c>
    </row>
    <row r="1711">
      <c r="A1711" s="7" t="n"/>
      <c r="B1711" s="75" t="n"/>
      <c r="C1711" s="7" t="n"/>
      <c r="D1711" s="7" t="n"/>
      <c r="E1711" s="9">
        <f>IF(D1711="","",IFERROR(INDEX('Équipements'!$B$5:$B$304,MATCH(D1711,'Équipements'!$A$5:$A$304,0)),"Code inconnu"))</f>
        <v/>
      </c>
      <c r="F1711" s="9">
        <f>IF(D1711="","",IFERROR(INDEX('Équipements'!$D$5:$D$304,MATCH(D1711,'Équipements'!$A$5:$A$304,0)),""))</f>
        <v/>
      </c>
      <c r="G1711" s="9">
        <f>IF(D1711="","",IFERROR(INDEX('Équipements'!$K$5:$K$304,MATCH(D1711,'Équipements'!$A$5:$A$304,0)),""))</f>
        <v/>
      </c>
      <c r="H1711" s="7" t="n"/>
      <c r="I1711" s="7" t="n"/>
      <c r="J1711" s="7" t="n"/>
      <c r="K1711" s="7" t="n"/>
      <c r="L1711" s="7" t="n"/>
      <c r="M1711" s="7" t="n"/>
      <c r="N1711" s="7" t="n"/>
      <c r="O1711" s="7" t="n"/>
      <c r="P1711" s="65" t="n"/>
      <c r="Q1711" s="75" t="n"/>
      <c r="R1711" s="75" t="n"/>
      <c r="S1711" s="76" t="n"/>
      <c r="T1711" s="76" t="n"/>
      <c r="U1711" s="70">
        <f>IF($A1711="","",IFERROR(INDEX('Techniciens'!$F$5:$F$44,MATCH(O1711,'Techniciens'!$B$5:$B$44,0)),'Paramètres'!$AA$10))</f>
        <v/>
      </c>
      <c r="V1711" s="70">
        <f>IF($A1711="","",IF(OR(AC1711="Demandé",AC1711="Planifié",AC1711="Annulé"),0,N(T1711)*N(U1711)))</f>
        <v/>
      </c>
      <c r="W1711" s="70">
        <f>IF($A1711="","",SUMIFS('Mouvements stock'!$H$5:$H$3004,'Mouvements stock'!$I$5:$I$3004,$A1711,'Mouvements stock'!$C$5:$C$3004,"Sortie")-SUMIFS('Mouvements stock'!$H$5:$H$3004,'Mouvements stock'!$I$5:$I$3004,$A1711,'Mouvements stock'!$C$5:$C$3004,"Retour"))</f>
        <v/>
      </c>
      <c r="X1711" s="66" t="n"/>
      <c r="Y1711" s="66" t="n"/>
      <c r="Z1711" s="7" t="n"/>
      <c r="AA1711" s="70">
        <f>IF($A1711="","",N(V1711)+N(W1711)+N(X1711)+N(Y1711))</f>
        <v/>
      </c>
      <c r="AB1711" s="70">
        <f>IF($A1711="","",N(S1711)*'Paramètres'!$AA$9*IFERROR(INDEX('Paramètres'!$O$5:$O$7,MATCH(G1711,'Paramètres'!$N$5:$N$7,0)),0))</f>
        <v/>
      </c>
      <c r="AC1711" s="7" t="n"/>
      <c r="AD1711" s="69">
        <f>IF(OR($A1711="",Q1711=""),"",(Q1711-B1711)*24)</f>
        <v/>
      </c>
      <c r="AE1711" s="69">
        <f>IF(OR(Q1711="",R1711=""),"",(R1711-Q1711)*24)</f>
        <v/>
      </c>
      <c r="AF1711" s="77">
        <f>IF(OR($A1711="",B1711=""),"",YEAR(B1711))</f>
        <v/>
      </c>
      <c r="AG1711" s="77">
        <f>IF(OR($A1711="",B1711=""),"",MONTH(B1711))</f>
        <v/>
      </c>
    </row>
    <row r="1712">
      <c r="A1712" s="7" t="n"/>
      <c r="B1712" s="75" t="n"/>
      <c r="C1712" s="7" t="n"/>
      <c r="D1712" s="7" t="n"/>
      <c r="E1712" s="9">
        <f>IF(D1712="","",IFERROR(INDEX('Équipements'!$B$5:$B$304,MATCH(D1712,'Équipements'!$A$5:$A$304,0)),"Code inconnu"))</f>
        <v/>
      </c>
      <c r="F1712" s="9">
        <f>IF(D1712="","",IFERROR(INDEX('Équipements'!$D$5:$D$304,MATCH(D1712,'Équipements'!$A$5:$A$304,0)),""))</f>
        <v/>
      </c>
      <c r="G1712" s="9">
        <f>IF(D1712="","",IFERROR(INDEX('Équipements'!$K$5:$K$304,MATCH(D1712,'Équipements'!$A$5:$A$304,0)),""))</f>
        <v/>
      </c>
      <c r="H1712" s="7" t="n"/>
      <c r="I1712" s="7" t="n"/>
      <c r="J1712" s="7" t="n"/>
      <c r="K1712" s="7" t="n"/>
      <c r="L1712" s="7" t="n"/>
      <c r="M1712" s="7" t="n"/>
      <c r="N1712" s="7" t="n"/>
      <c r="O1712" s="7" t="n"/>
      <c r="P1712" s="65" t="n"/>
      <c r="Q1712" s="75" t="n"/>
      <c r="R1712" s="75" t="n"/>
      <c r="S1712" s="76" t="n"/>
      <c r="T1712" s="76" t="n"/>
      <c r="U1712" s="70">
        <f>IF($A1712="","",IFERROR(INDEX('Techniciens'!$F$5:$F$44,MATCH(O1712,'Techniciens'!$B$5:$B$44,0)),'Paramètres'!$AA$10))</f>
        <v/>
      </c>
      <c r="V1712" s="70">
        <f>IF($A1712="","",IF(OR(AC1712="Demandé",AC1712="Planifié",AC1712="Annulé"),0,N(T1712)*N(U1712)))</f>
        <v/>
      </c>
      <c r="W1712" s="70">
        <f>IF($A1712="","",SUMIFS('Mouvements stock'!$H$5:$H$3004,'Mouvements stock'!$I$5:$I$3004,$A1712,'Mouvements stock'!$C$5:$C$3004,"Sortie")-SUMIFS('Mouvements stock'!$H$5:$H$3004,'Mouvements stock'!$I$5:$I$3004,$A1712,'Mouvements stock'!$C$5:$C$3004,"Retour"))</f>
        <v/>
      </c>
      <c r="X1712" s="66" t="n"/>
      <c r="Y1712" s="66" t="n"/>
      <c r="Z1712" s="7" t="n"/>
      <c r="AA1712" s="70">
        <f>IF($A1712="","",N(V1712)+N(W1712)+N(X1712)+N(Y1712))</f>
        <v/>
      </c>
      <c r="AB1712" s="70">
        <f>IF($A1712="","",N(S1712)*'Paramètres'!$AA$9*IFERROR(INDEX('Paramètres'!$O$5:$O$7,MATCH(G1712,'Paramètres'!$N$5:$N$7,0)),0))</f>
        <v/>
      </c>
      <c r="AC1712" s="7" t="n"/>
      <c r="AD1712" s="69">
        <f>IF(OR($A1712="",Q1712=""),"",(Q1712-B1712)*24)</f>
        <v/>
      </c>
      <c r="AE1712" s="69">
        <f>IF(OR(Q1712="",R1712=""),"",(R1712-Q1712)*24)</f>
        <v/>
      </c>
      <c r="AF1712" s="77">
        <f>IF(OR($A1712="",B1712=""),"",YEAR(B1712))</f>
        <v/>
      </c>
      <c r="AG1712" s="77">
        <f>IF(OR($A1712="",B1712=""),"",MONTH(B1712))</f>
        <v/>
      </c>
    </row>
    <row r="1713">
      <c r="A1713" s="7" t="n"/>
      <c r="B1713" s="75" t="n"/>
      <c r="C1713" s="7" t="n"/>
      <c r="D1713" s="7" t="n"/>
      <c r="E1713" s="9">
        <f>IF(D1713="","",IFERROR(INDEX('Équipements'!$B$5:$B$304,MATCH(D1713,'Équipements'!$A$5:$A$304,0)),"Code inconnu"))</f>
        <v/>
      </c>
      <c r="F1713" s="9">
        <f>IF(D1713="","",IFERROR(INDEX('Équipements'!$D$5:$D$304,MATCH(D1713,'Équipements'!$A$5:$A$304,0)),""))</f>
        <v/>
      </c>
      <c r="G1713" s="9">
        <f>IF(D1713="","",IFERROR(INDEX('Équipements'!$K$5:$K$304,MATCH(D1713,'Équipements'!$A$5:$A$304,0)),""))</f>
        <v/>
      </c>
      <c r="H1713" s="7" t="n"/>
      <c r="I1713" s="7" t="n"/>
      <c r="J1713" s="7" t="n"/>
      <c r="K1713" s="7" t="n"/>
      <c r="L1713" s="7" t="n"/>
      <c r="M1713" s="7" t="n"/>
      <c r="N1713" s="7" t="n"/>
      <c r="O1713" s="7" t="n"/>
      <c r="P1713" s="65" t="n"/>
      <c r="Q1713" s="75" t="n"/>
      <c r="R1713" s="75" t="n"/>
      <c r="S1713" s="76" t="n"/>
      <c r="T1713" s="76" t="n"/>
      <c r="U1713" s="70">
        <f>IF($A1713="","",IFERROR(INDEX('Techniciens'!$F$5:$F$44,MATCH(O1713,'Techniciens'!$B$5:$B$44,0)),'Paramètres'!$AA$10))</f>
        <v/>
      </c>
      <c r="V1713" s="70">
        <f>IF($A1713="","",IF(OR(AC1713="Demandé",AC1713="Planifié",AC1713="Annulé"),0,N(T1713)*N(U1713)))</f>
        <v/>
      </c>
      <c r="W1713" s="70">
        <f>IF($A1713="","",SUMIFS('Mouvements stock'!$H$5:$H$3004,'Mouvements stock'!$I$5:$I$3004,$A1713,'Mouvements stock'!$C$5:$C$3004,"Sortie")-SUMIFS('Mouvements stock'!$H$5:$H$3004,'Mouvements stock'!$I$5:$I$3004,$A1713,'Mouvements stock'!$C$5:$C$3004,"Retour"))</f>
        <v/>
      </c>
      <c r="X1713" s="66" t="n"/>
      <c r="Y1713" s="66" t="n"/>
      <c r="Z1713" s="7" t="n"/>
      <c r="AA1713" s="70">
        <f>IF($A1713="","",N(V1713)+N(W1713)+N(X1713)+N(Y1713))</f>
        <v/>
      </c>
      <c r="AB1713" s="70">
        <f>IF($A1713="","",N(S1713)*'Paramètres'!$AA$9*IFERROR(INDEX('Paramètres'!$O$5:$O$7,MATCH(G1713,'Paramètres'!$N$5:$N$7,0)),0))</f>
        <v/>
      </c>
      <c r="AC1713" s="7" t="n"/>
      <c r="AD1713" s="69">
        <f>IF(OR($A1713="",Q1713=""),"",(Q1713-B1713)*24)</f>
        <v/>
      </c>
      <c r="AE1713" s="69">
        <f>IF(OR(Q1713="",R1713=""),"",(R1713-Q1713)*24)</f>
        <v/>
      </c>
      <c r="AF1713" s="77">
        <f>IF(OR($A1713="",B1713=""),"",YEAR(B1713))</f>
        <v/>
      </c>
      <c r="AG1713" s="77">
        <f>IF(OR($A1713="",B1713=""),"",MONTH(B1713))</f>
        <v/>
      </c>
    </row>
    <row r="1714">
      <c r="A1714" s="7" t="n"/>
      <c r="B1714" s="75" t="n"/>
      <c r="C1714" s="7" t="n"/>
      <c r="D1714" s="7" t="n"/>
      <c r="E1714" s="9">
        <f>IF(D1714="","",IFERROR(INDEX('Équipements'!$B$5:$B$304,MATCH(D1714,'Équipements'!$A$5:$A$304,0)),"Code inconnu"))</f>
        <v/>
      </c>
      <c r="F1714" s="9">
        <f>IF(D1714="","",IFERROR(INDEX('Équipements'!$D$5:$D$304,MATCH(D1714,'Équipements'!$A$5:$A$304,0)),""))</f>
        <v/>
      </c>
      <c r="G1714" s="9">
        <f>IF(D1714="","",IFERROR(INDEX('Équipements'!$K$5:$K$304,MATCH(D1714,'Équipements'!$A$5:$A$304,0)),""))</f>
        <v/>
      </c>
      <c r="H1714" s="7" t="n"/>
      <c r="I1714" s="7" t="n"/>
      <c r="J1714" s="7" t="n"/>
      <c r="K1714" s="7" t="n"/>
      <c r="L1714" s="7" t="n"/>
      <c r="M1714" s="7" t="n"/>
      <c r="N1714" s="7" t="n"/>
      <c r="O1714" s="7" t="n"/>
      <c r="P1714" s="65" t="n"/>
      <c r="Q1714" s="75" t="n"/>
      <c r="R1714" s="75" t="n"/>
      <c r="S1714" s="76" t="n"/>
      <c r="T1714" s="76" t="n"/>
      <c r="U1714" s="70">
        <f>IF($A1714="","",IFERROR(INDEX('Techniciens'!$F$5:$F$44,MATCH(O1714,'Techniciens'!$B$5:$B$44,0)),'Paramètres'!$AA$10))</f>
        <v/>
      </c>
      <c r="V1714" s="70">
        <f>IF($A1714="","",IF(OR(AC1714="Demandé",AC1714="Planifié",AC1714="Annulé"),0,N(T1714)*N(U1714)))</f>
        <v/>
      </c>
      <c r="W1714" s="70">
        <f>IF($A1714="","",SUMIFS('Mouvements stock'!$H$5:$H$3004,'Mouvements stock'!$I$5:$I$3004,$A1714,'Mouvements stock'!$C$5:$C$3004,"Sortie")-SUMIFS('Mouvements stock'!$H$5:$H$3004,'Mouvements stock'!$I$5:$I$3004,$A1714,'Mouvements stock'!$C$5:$C$3004,"Retour"))</f>
        <v/>
      </c>
      <c r="X1714" s="66" t="n"/>
      <c r="Y1714" s="66" t="n"/>
      <c r="Z1714" s="7" t="n"/>
      <c r="AA1714" s="70">
        <f>IF($A1714="","",N(V1714)+N(W1714)+N(X1714)+N(Y1714))</f>
        <v/>
      </c>
      <c r="AB1714" s="70">
        <f>IF($A1714="","",N(S1714)*'Paramètres'!$AA$9*IFERROR(INDEX('Paramètres'!$O$5:$O$7,MATCH(G1714,'Paramètres'!$N$5:$N$7,0)),0))</f>
        <v/>
      </c>
      <c r="AC1714" s="7" t="n"/>
      <c r="AD1714" s="69">
        <f>IF(OR($A1714="",Q1714=""),"",(Q1714-B1714)*24)</f>
        <v/>
      </c>
      <c r="AE1714" s="69">
        <f>IF(OR(Q1714="",R1714=""),"",(R1714-Q1714)*24)</f>
        <v/>
      </c>
      <c r="AF1714" s="77">
        <f>IF(OR($A1714="",B1714=""),"",YEAR(B1714))</f>
        <v/>
      </c>
      <c r="AG1714" s="77">
        <f>IF(OR($A1714="",B1714=""),"",MONTH(B1714))</f>
        <v/>
      </c>
    </row>
    <row r="1715">
      <c r="A1715" s="7" t="n"/>
      <c r="B1715" s="75" t="n"/>
      <c r="C1715" s="7" t="n"/>
      <c r="D1715" s="7" t="n"/>
      <c r="E1715" s="9">
        <f>IF(D1715="","",IFERROR(INDEX('Équipements'!$B$5:$B$304,MATCH(D1715,'Équipements'!$A$5:$A$304,0)),"Code inconnu"))</f>
        <v/>
      </c>
      <c r="F1715" s="9">
        <f>IF(D1715="","",IFERROR(INDEX('Équipements'!$D$5:$D$304,MATCH(D1715,'Équipements'!$A$5:$A$304,0)),""))</f>
        <v/>
      </c>
      <c r="G1715" s="9">
        <f>IF(D1715="","",IFERROR(INDEX('Équipements'!$K$5:$K$304,MATCH(D1715,'Équipements'!$A$5:$A$304,0)),""))</f>
        <v/>
      </c>
      <c r="H1715" s="7" t="n"/>
      <c r="I1715" s="7" t="n"/>
      <c r="J1715" s="7" t="n"/>
      <c r="K1715" s="7" t="n"/>
      <c r="L1715" s="7" t="n"/>
      <c r="M1715" s="7" t="n"/>
      <c r="N1715" s="7" t="n"/>
      <c r="O1715" s="7" t="n"/>
      <c r="P1715" s="65" t="n"/>
      <c r="Q1715" s="75" t="n"/>
      <c r="R1715" s="75" t="n"/>
      <c r="S1715" s="76" t="n"/>
      <c r="T1715" s="76" t="n"/>
      <c r="U1715" s="70">
        <f>IF($A1715="","",IFERROR(INDEX('Techniciens'!$F$5:$F$44,MATCH(O1715,'Techniciens'!$B$5:$B$44,0)),'Paramètres'!$AA$10))</f>
        <v/>
      </c>
      <c r="V1715" s="70">
        <f>IF($A1715="","",IF(OR(AC1715="Demandé",AC1715="Planifié",AC1715="Annulé"),0,N(T1715)*N(U1715)))</f>
        <v/>
      </c>
      <c r="W1715" s="70">
        <f>IF($A1715="","",SUMIFS('Mouvements stock'!$H$5:$H$3004,'Mouvements stock'!$I$5:$I$3004,$A1715,'Mouvements stock'!$C$5:$C$3004,"Sortie")-SUMIFS('Mouvements stock'!$H$5:$H$3004,'Mouvements stock'!$I$5:$I$3004,$A1715,'Mouvements stock'!$C$5:$C$3004,"Retour"))</f>
        <v/>
      </c>
      <c r="X1715" s="66" t="n"/>
      <c r="Y1715" s="66" t="n"/>
      <c r="Z1715" s="7" t="n"/>
      <c r="AA1715" s="70">
        <f>IF($A1715="","",N(V1715)+N(W1715)+N(X1715)+N(Y1715))</f>
        <v/>
      </c>
      <c r="AB1715" s="70">
        <f>IF($A1715="","",N(S1715)*'Paramètres'!$AA$9*IFERROR(INDEX('Paramètres'!$O$5:$O$7,MATCH(G1715,'Paramètres'!$N$5:$N$7,0)),0))</f>
        <v/>
      </c>
      <c r="AC1715" s="7" t="n"/>
      <c r="AD1715" s="69">
        <f>IF(OR($A1715="",Q1715=""),"",(Q1715-B1715)*24)</f>
        <v/>
      </c>
      <c r="AE1715" s="69">
        <f>IF(OR(Q1715="",R1715=""),"",(R1715-Q1715)*24)</f>
        <v/>
      </c>
      <c r="AF1715" s="77">
        <f>IF(OR($A1715="",B1715=""),"",YEAR(B1715))</f>
        <v/>
      </c>
      <c r="AG1715" s="77">
        <f>IF(OR($A1715="",B1715=""),"",MONTH(B1715))</f>
        <v/>
      </c>
    </row>
    <row r="1716">
      <c r="A1716" s="7" t="n"/>
      <c r="B1716" s="75" t="n"/>
      <c r="C1716" s="7" t="n"/>
      <c r="D1716" s="7" t="n"/>
      <c r="E1716" s="9">
        <f>IF(D1716="","",IFERROR(INDEX('Équipements'!$B$5:$B$304,MATCH(D1716,'Équipements'!$A$5:$A$304,0)),"Code inconnu"))</f>
        <v/>
      </c>
      <c r="F1716" s="9">
        <f>IF(D1716="","",IFERROR(INDEX('Équipements'!$D$5:$D$304,MATCH(D1716,'Équipements'!$A$5:$A$304,0)),""))</f>
        <v/>
      </c>
      <c r="G1716" s="9">
        <f>IF(D1716="","",IFERROR(INDEX('Équipements'!$K$5:$K$304,MATCH(D1716,'Équipements'!$A$5:$A$304,0)),""))</f>
        <v/>
      </c>
      <c r="H1716" s="7" t="n"/>
      <c r="I1716" s="7" t="n"/>
      <c r="J1716" s="7" t="n"/>
      <c r="K1716" s="7" t="n"/>
      <c r="L1716" s="7" t="n"/>
      <c r="M1716" s="7" t="n"/>
      <c r="N1716" s="7" t="n"/>
      <c r="O1716" s="7" t="n"/>
      <c r="P1716" s="65" t="n"/>
      <c r="Q1716" s="75" t="n"/>
      <c r="R1716" s="75" t="n"/>
      <c r="S1716" s="76" t="n"/>
      <c r="T1716" s="76" t="n"/>
      <c r="U1716" s="70">
        <f>IF($A1716="","",IFERROR(INDEX('Techniciens'!$F$5:$F$44,MATCH(O1716,'Techniciens'!$B$5:$B$44,0)),'Paramètres'!$AA$10))</f>
        <v/>
      </c>
      <c r="V1716" s="70">
        <f>IF($A1716="","",IF(OR(AC1716="Demandé",AC1716="Planifié",AC1716="Annulé"),0,N(T1716)*N(U1716)))</f>
        <v/>
      </c>
      <c r="W1716" s="70">
        <f>IF($A1716="","",SUMIFS('Mouvements stock'!$H$5:$H$3004,'Mouvements stock'!$I$5:$I$3004,$A1716,'Mouvements stock'!$C$5:$C$3004,"Sortie")-SUMIFS('Mouvements stock'!$H$5:$H$3004,'Mouvements stock'!$I$5:$I$3004,$A1716,'Mouvements stock'!$C$5:$C$3004,"Retour"))</f>
        <v/>
      </c>
      <c r="X1716" s="66" t="n"/>
      <c r="Y1716" s="66" t="n"/>
      <c r="Z1716" s="7" t="n"/>
      <c r="AA1716" s="70">
        <f>IF($A1716="","",N(V1716)+N(W1716)+N(X1716)+N(Y1716))</f>
        <v/>
      </c>
      <c r="AB1716" s="70">
        <f>IF($A1716="","",N(S1716)*'Paramètres'!$AA$9*IFERROR(INDEX('Paramètres'!$O$5:$O$7,MATCH(G1716,'Paramètres'!$N$5:$N$7,0)),0))</f>
        <v/>
      </c>
      <c r="AC1716" s="7" t="n"/>
      <c r="AD1716" s="69">
        <f>IF(OR($A1716="",Q1716=""),"",(Q1716-B1716)*24)</f>
        <v/>
      </c>
      <c r="AE1716" s="69">
        <f>IF(OR(Q1716="",R1716=""),"",(R1716-Q1716)*24)</f>
        <v/>
      </c>
      <c r="AF1716" s="77">
        <f>IF(OR($A1716="",B1716=""),"",YEAR(B1716))</f>
        <v/>
      </c>
      <c r="AG1716" s="77">
        <f>IF(OR($A1716="",B1716=""),"",MONTH(B1716))</f>
        <v/>
      </c>
    </row>
    <row r="1717">
      <c r="A1717" s="7" t="n"/>
      <c r="B1717" s="75" t="n"/>
      <c r="C1717" s="7" t="n"/>
      <c r="D1717" s="7" t="n"/>
      <c r="E1717" s="9">
        <f>IF(D1717="","",IFERROR(INDEX('Équipements'!$B$5:$B$304,MATCH(D1717,'Équipements'!$A$5:$A$304,0)),"Code inconnu"))</f>
        <v/>
      </c>
      <c r="F1717" s="9">
        <f>IF(D1717="","",IFERROR(INDEX('Équipements'!$D$5:$D$304,MATCH(D1717,'Équipements'!$A$5:$A$304,0)),""))</f>
        <v/>
      </c>
      <c r="G1717" s="9">
        <f>IF(D1717="","",IFERROR(INDEX('Équipements'!$K$5:$K$304,MATCH(D1717,'Équipements'!$A$5:$A$304,0)),""))</f>
        <v/>
      </c>
      <c r="H1717" s="7" t="n"/>
      <c r="I1717" s="7" t="n"/>
      <c r="J1717" s="7" t="n"/>
      <c r="K1717" s="7" t="n"/>
      <c r="L1717" s="7" t="n"/>
      <c r="M1717" s="7" t="n"/>
      <c r="N1717" s="7" t="n"/>
      <c r="O1717" s="7" t="n"/>
      <c r="P1717" s="65" t="n"/>
      <c r="Q1717" s="75" t="n"/>
      <c r="R1717" s="75" t="n"/>
      <c r="S1717" s="76" t="n"/>
      <c r="T1717" s="76" t="n"/>
      <c r="U1717" s="70">
        <f>IF($A1717="","",IFERROR(INDEX('Techniciens'!$F$5:$F$44,MATCH(O1717,'Techniciens'!$B$5:$B$44,0)),'Paramètres'!$AA$10))</f>
        <v/>
      </c>
      <c r="V1717" s="70">
        <f>IF($A1717="","",IF(OR(AC1717="Demandé",AC1717="Planifié",AC1717="Annulé"),0,N(T1717)*N(U1717)))</f>
        <v/>
      </c>
      <c r="W1717" s="70">
        <f>IF($A1717="","",SUMIFS('Mouvements stock'!$H$5:$H$3004,'Mouvements stock'!$I$5:$I$3004,$A1717,'Mouvements stock'!$C$5:$C$3004,"Sortie")-SUMIFS('Mouvements stock'!$H$5:$H$3004,'Mouvements stock'!$I$5:$I$3004,$A1717,'Mouvements stock'!$C$5:$C$3004,"Retour"))</f>
        <v/>
      </c>
      <c r="X1717" s="66" t="n"/>
      <c r="Y1717" s="66" t="n"/>
      <c r="Z1717" s="7" t="n"/>
      <c r="AA1717" s="70">
        <f>IF($A1717="","",N(V1717)+N(W1717)+N(X1717)+N(Y1717))</f>
        <v/>
      </c>
      <c r="AB1717" s="70">
        <f>IF($A1717="","",N(S1717)*'Paramètres'!$AA$9*IFERROR(INDEX('Paramètres'!$O$5:$O$7,MATCH(G1717,'Paramètres'!$N$5:$N$7,0)),0))</f>
        <v/>
      </c>
      <c r="AC1717" s="7" t="n"/>
      <c r="AD1717" s="69">
        <f>IF(OR($A1717="",Q1717=""),"",(Q1717-B1717)*24)</f>
        <v/>
      </c>
      <c r="AE1717" s="69">
        <f>IF(OR(Q1717="",R1717=""),"",(R1717-Q1717)*24)</f>
        <v/>
      </c>
      <c r="AF1717" s="77">
        <f>IF(OR($A1717="",B1717=""),"",YEAR(B1717))</f>
        <v/>
      </c>
      <c r="AG1717" s="77">
        <f>IF(OR($A1717="",B1717=""),"",MONTH(B1717))</f>
        <v/>
      </c>
    </row>
    <row r="1718">
      <c r="A1718" s="7" t="n"/>
      <c r="B1718" s="75" t="n"/>
      <c r="C1718" s="7" t="n"/>
      <c r="D1718" s="7" t="n"/>
      <c r="E1718" s="9">
        <f>IF(D1718="","",IFERROR(INDEX('Équipements'!$B$5:$B$304,MATCH(D1718,'Équipements'!$A$5:$A$304,0)),"Code inconnu"))</f>
        <v/>
      </c>
      <c r="F1718" s="9">
        <f>IF(D1718="","",IFERROR(INDEX('Équipements'!$D$5:$D$304,MATCH(D1718,'Équipements'!$A$5:$A$304,0)),""))</f>
        <v/>
      </c>
      <c r="G1718" s="9">
        <f>IF(D1718="","",IFERROR(INDEX('Équipements'!$K$5:$K$304,MATCH(D1718,'Équipements'!$A$5:$A$304,0)),""))</f>
        <v/>
      </c>
      <c r="H1718" s="7" t="n"/>
      <c r="I1718" s="7" t="n"/>
      <c r="J1718" s="7" t="n"/>
      <c r="K1718" s="7" t="n"/>
      <c r="L1718" s="7" t="n"/>
      <c r="M1718" s="7" t="n"/>
      <c r="N1718" s="7" t="n"/>
      <c r="O1718" s="7" t="n"/>
      <c r="P1718" s="65" t="n"/>
      <c r="Q1718" s="75" t="n"/>
      <c r="R1718" s="75" t="n"/>
      <c r="S1718" s="76" t="n"/>
      <c r="T1718" s="76" t="n"/>
      <c r="U1718" s="70">
        <f>IF($A1718="","",IFERROR(INDEX('Techniciens'!$F$5:$F$44,MATCH(O1718,'Techniciens'!$B$5:$B$44,0)),'Paramètres'!$AA$10))</f>
        <v/>
      </c>
      <c r="V1718" s="70">
        <f>IF($A1718="","",IF(OR(AC1718="Demandé",AC1718="Planifié",AC1718="Annulé"),0,N(T1718)*N(U1718)))</f>
        <v/>
      </c>
      <c r="W1718" s="70">
        <f>IF($A1718="","",SUMIFS('Mouvements stock'!$H$5:$H$3004,'Mouvements stock'!$I$5:$I$3004,$A1718,'Mouvements stock'!$C$5:$C$3004,"Sortie")-SUMIFS('Mouvements stock'!$H$5:$H$3004,'Mouvements stock'!$I$5:$I$3004,$A1718,'Mouvements stock'!$C$5:$C$3004,"Retour"))</f>
        <v/>
      </c>
      <c r="X1718" s="66" t="n"/>
      <c r="Y1718" s="66" t="n"/>
      <c r="Z1718" s="7" t="n"/>
      <c r="AA1718" s="70">
        <f>IF($A1718="","",N(V1718)+N(W1718)+N(X1718)+N(Y1718))</f>
        <v/>
      </c>
      <c r="AB1718" s="70">
        <f>IF($A1718="","",N(S1718)*'Paramètres'!$AA$9*IFERROR(INDEX('Paramètres'!$O$5:$O$7,MATCH(G1718,'Paramètres'!$N$5:$N$7,0)),0))</f>
        <v/>
      </c>
      <c r="AC1718" s="7" t="n"/>
      <c r="AD1718" s="69">
        <f>IF(OR($A1718="",Q1718=""),"",(Q1718-B1718)*24)</f>
        <v/>
      </c>
      <c r="AE1718" s="69">
        <f>IF(OR(Q1718="",R1718=""),"",(R1718-Q1718)*24)</f>
        <v/>
      </c>
      <c r="AF1718" s="77">
        <f>IF(OR($A1718="",B1718=""),"",YEAR(B1718))</f>
        <v/>
      </c>
      <c r="AG1718" s="77">
        <f>IF(OR($A1718="",B1718=""),"",MONTH(B1718))</f>
        <v/>
      </c>
    </row>
    <row r="1719">
      <c r="A1719" s="7" t="n"/>
      <c r="B1719" s="75" t="n"/>
      <c r="C1719" s="7" t="n"/>
      <c r="D1719" s="7" t="n"/>
      <c r="E1719" s="9">
        <f>IF(D1719="","",IFERROR(INDEX('Équipements'!$B$5:$B$304,MATCH(D1719,'Équipements'!$A$5:$A$304,0)),"Code inconnu"))</f>
        <v/>
      </c>
      <c r="F1719" s="9">
        <f>IF(D1719="","",IFERROR(INDEX('Équipements'!$D$5:$D$304,MATCH(D1719,'Équipements'!$A$5:$A$304,0)),""))</f>
        <v/>
      </c>
      <c r="G1719" s="9">
        <f>IF(D1719="","",IFERROR(INDEX('Équipements'!$K$5:$K$304,MATCH(D1719,'Équipements'!$A$5:$A$304,0)),""))</f>
        <v/>
      </c>
      <c r="H1719" s="7" t="n"/>
      <c r="I1719" s="7" t="n"/>
      <c r="J1719" s="7" t="n"/>
      <c r="K1719" s="7" t="n"/>
      <c r="L1719" s="7" t="n"/>
      <c r="M1719" s="7" t="n"/>
      <c r="N1719" s="7" t="n"/>
      <c r="O1719" s="7" t="n"/>
      <c r="P1719" s="65" t="n"/>
      <c r="Q1719" s="75" t="n"/>
      <c r="R1719" s="75" t="n"/>
      <c r="S1719" s="76" t="n"/>
      <c r="T1719" s="76" t="n"/>
      <c r="U1719" s="70">
        <f>IF($A1719="","",IFERROR(INDEX('Techniciens'!$F$5:$F$44,MATCH(O1719,'Techniciens'!$B$5:$B$44,0)),'Paramètres'!$AA$10))</f>
        <v/>
      </c>
      <c r="V1719" s="70">
        <f>IF($A1719="","",IF(OR(AC1719="Demandé",AC1719="Planifié",AC1719="Annulé"),0,N(T1719)*N(U1719)))</f>
        <v/>
      </c>
      <c r="W1719" s="70">
        <f>IF($A1719="","",SUMIFS('Mouvements stock'!$H$5:$H$3004,'Mouvements stock'!$I$5:$I$3004,$A1719,'Mouvements stock'!$C$5:$C$3004,"Sortie")-SUMIFS('Mouvements stock'!$H$5:$H$3004,'Mouvements stock'!$I$5:$I$3004,$A1719,'Mouvements stock'!$C$5:$C$3004,"Retour"))</f>
        <v/>
      </c>
      <c r="X1719" s="66" t="n"/>
      <c r="Y1719" s="66" t="n"/>
      <c r="Z1719" s="7" t="n"/>
      <c r="AA1719" s="70">
        <f>IF($A1719="","",N(V1719)+N(W1719)+N(X1719)+N(Y1719))</f>
        <v/>
      </c>
      <c r="AB1719" s="70">
        <f>IF($A1719="","",N(S1719)*'Paramètres'!$AA$9*IFERROR(INDEX('Paramètres'!$O$5:$O$7,MATCH(G1719,'Paramètres'!$N$5:$N$7,0)),0))</f>
        <v/>
      </c>
      <c r="AC1719" s="7" t="n"/>
      <c r="AD1719" s="69">
        <f>IF(OR($A1719="",Q1719=""),"",(Q1719-B1719)*24)</f>
        <v/>
      </c>
      <c r="AE1719" s="69">
        <f>IF(OR(Q1719="",R1719=""),"",(R1719-Q1719)*24)</f>
        <v/>
      </c>
      <c r="AF1719" s="77">
        <f>IF(OR($A1719="",B1719=""),"",YEAR(B1719))</f>
        <v/>
      </c>
      <c r="AG1719" s="77">
        <f>IF(OR($A1719="",B1719=""),"",MONTH(B1719))</f>
        <v/>
      </c>
    </row>
    <row r="1720">
      <c r="A1720" s="7" t="n"/>
      <c r="B1720" s="75" t="n"/>
      <c r="C1720" s="7" t="n"/>
      <c r="D1720" s="7" t="n"/>
      <c r="E1720" s="9">
        <f>IF(D1720="","",IFERROR(INDEX('Équipements'!$B$5:$B$304,MATCH(D1720,'Équipements'!$A$5:$A$304,0)),"Code inconnu"))</f>
        <v/>
      </c>
      <c r="F1720" s="9">
        <f>IF(D1720="","",IFERROR(INDEX('Équipements'!$D$5:$D$304,MATCH(D1720,'Équipements'!$A$5:$A$304,0)),""))</f>
        <v/>
      </c>
      <c r="G1720" s="9">
        <f>IF(D1720="","",IFERROR(INDEX('Équipements'!$K$5:$K$304,MATCH(D1720,'Équipements'!$A$5:$A$304,0)),""))</f>
        <v/>
      </c>
      <c r="H1720" s="7" t="n"/>
      <c r="I1720" s="7" t="n"/>
      <c r="J1720" s="7" t="n"/>
      <c r="K1720" s="7" t="n"/>
      <c r="L1720" s="7" t="n"/>
      <c r="M1720" s="7" t="n"/>
      <c r="N1720" s="7" t="n"/>
      <c r="O1720" s="7" t="n"/>
      <c r="P1720" s="65" t="n"/>
      <c r="Q1720" s="75" t="n"/>
      <c r="R1720" s="75" t="n"/>
      <c r="S1720" s="76" t="n"/>
      <c r="T1720" s="76" t="n"/>
      <c r="U1720" s="70">
        <f>IF($A1720="","",IFERROR(INDEX('Techniciens'!$F$5:$F$44,MATCH(O1720,'Techniciens'!$B$5:$B$44,0)),'Paramètres'!$AA$10))</f>
        <v/>
      </c>
      <c r="V1720" s="70">
        <f>IF($A1720="","",IF(OR(AC1720="Demandé",AC1720="Planifié",AC1720="Annulé"),0,N(T1720)*N(U1720)))</f>
        <v/>
      </c>
      <c r="W1720" s="70">
        <f>IF($A1720="","",SUMIFS('Mouvements stock'!$H$5:$H$3004,'Mouvements stock'!$I$5:$I$3004,$A1720,'Mouvements stock'!$C$5:$C$3004,"Sortie")-SUMIFS('Mouvements stock'!$H$5:$H$3004,'Mouvements stock'!$I$5:$I$3004,$A1720,'Mouvements stock'!$C$5:$C$3004,"Retour"))</f>
        <v/>
      </c>
      <c r="X1720" s="66" t="n"/>
      <c r="Y1720" s="66" t="n"/>
      <c r="Z1720" s="7" t="n"/>
      <c r="AA1720" s="70">
        <f>IF($A1720="","",N(V1720)+N(W1720)+N(X1720)+N(Y1720))</f>
        <v/>
      </c>
      <c r="AB1720" s="70">
        <f>IF($A1720="","",N(S1720)*'Paramètres'!$AA$9*IFERROR(INDEX('Paramètres'!$O$5:$O$7,MATCH(G1720,'Paramètres'!$N$5:$N$7,0)),0))</f>
        <v/>
      </c>
      <c r="AC1720" s="7" t="n"/>
      <c r="AD1720" s="69">
        <f>IF(OR($A1720="",Q1720=""),"",(Q1720-B1720)*24)</f>
        <v/>
      </c>
      <c r="AE1720" s="69">
        <f>IF(OR(Q1720="",R1720=""),"",(R1720-Q1720)*24)</f>
        <v/>
      </c>
      <c r="AF1720" s="77">
        <f>IF(OR($A1720="",B1720=""),"",YEAR(B1720))</f>
        <v/>
      </c>
      <c r="AG1720" s="77">
        <f>IF(OR($A1720="",B1720=""),"",MONTH(B1720))</f>
        <v/>
      </c>
    </row>
    <row r="1721">
      <c r="A1721" s="7" t="n"/>
      <c r="B1721" s="75" t="n"/>
      <c r="C1721" s="7" t="n"/>
      <c r="D1721" s="7" t="n"/>
      <c r="E1721" s="9">
        <f>IF(D1721="","",IFERROR(INDEX('Équipements'!$B$5:$B$304,MATCH(D1721,'Équipements'!$A$5:$A$304,0)),"Code inconnu"))</f>
        <v/>
      </c>
      <c r="F1721" s="9">
        <f>IF(D1721="","",IFERROR(INDEX('Équipements'!$D$5:$D$304,MATCH(D1721,'Équipements'!$A$5:$A$304,0)),""))</f>
        <v/>
      </c>
      <c r="G1721" s="9">
        <f>IF(D1721="","",IFERROR(INDEX('Équipements'!$K$5:$K$304,MATCH(D1721,'Équipements'!$A$5:$A$304,0)),""))</f>
        <v/>
      </c>
      <c r="H1721" s="7" t="n"/>
      <c r="I1721" s="7" t="n"/>
      <c r="J1721" s="7" t="n"/>
      <c r="K1721" s="7" t="n"/>
      <c r="L1721" s="7" t="n"/>
      <c r="M1721" s="7" t="n"/>
      <c r="N1721" s="7" t="n"/>
      <c r="O1721" s="7" t="n"/>
      <c r="P1721" s="65" t="n"/>
      <c r="Q1721" s="75" t="n"/>
      <c r="R1721" s="75" t="n"/>
      <c r="S1721" s="76" t="n"/>
      <c r="T1721" s="76" t="n"/>
      <c r="U1721" s="70">
        <f>IF($A1721="","",IFERROR(INDEX('Techniciens'!$F$5:$F$44,MATCH(O1721,'Techniciens'!$B$5:$B$44,0)),'Paramètres'!$AA$10))</f>
        <v/>
      </c>
      <c r="V1721" s="70">
        <f>IF($A1721="","",IF(OR(AC1721="Demandé",AC1721="Planifié",AC1721="Annulé"),0,N(T1721)*N(U1721)))</f>
        <v/>
      </c>
      <c r="W1721" s="70">
        <f>IF($A1721="","",SUMIFS('Mouvements stock'!$H$5:$H$3004,'Mouvements stock'!$I$5:$I$3004,$A1721,'Mouvements stock'!$C$5:$C$3004,"Sortie")-SUMIFS('Mouvements stock'!$H$5:$H$3004,'Mouvements stock'!$I$5:$I$3004,$A1721,'Mouvements stock'!$C$5:$C$3004,"Retour"))</f>
        <v/>
      </c>
      <c r="X1721" s="66" t="n"/>
      <c r="Y1721" s="66" t="n"/>
      <c r="Z1721" s="7" t="n"/>
      <c r="AA1721" s="70">
        <f>IF($A1721="","",N(V1721)+N(W1721)+N(X1721)+N(Y1721))</f>
        <v/>
      </c>
      <c r="AB1721" s="70">
        <f>IF($A1721="","",N(S1721)*'Paramètres'!$AA$9*IFERROR(INDEX('Paramètres'!$O$5:$O$7,MATCH(G1721,'Paramètres'!$N$5:$N$7,0)),0))</f>
        <v/>
      </c>
      <c r="AC1721" s="7" t="n"/>
      <c r="AD1721" s="69">
        <f>IF(OR($A1721="",Q1721=""),"",(Q1721-B1721)*24)</f>
        <v/>
      </c>
      <c r="AE1721" s="69">
        <f>IF(OR(Q1721="",R1721=""),"",(R1721-Q1721)*24)</f>
        <v/>
      </c>
      <c r="AF1721" s="77">
        <f>IF(OR($A1721="",B1721=""),"",YEAR(B1721))</f>
        <v/>
      </c>
      <c r="AG1721" s="77">
        <f>IF(OR($A1721="",B1721=""),"",MONTH(B1721))</f>
        <v/>
      </c>
    </row>
    <row r="1722">
      <c r="A1722" s="7" t="n"/>
      <c r="B1722" s="75" t="n"/>
      <c r="C1722" s="7" t="n"/>
      <c r="D1722" s="7" t="n"/>
      <c r="E1722" s="9">
        <f>IF(D1722="","",IFERROR(INDEX('Équipements'!$B$5:$B$304,MATCH(D1722,'Équipements'!$A$5:$A$304,0)),"Code inconnu"))</f>
        <v/>
      </c>
      <c r="F1722" s="9">
        <f>IF(D1722="","",IFERROR(INDEX('Équipements'!$D$5:$D$304,MATCH(D1722,'Équipements'!$A$5:$A$304,0)),""))</f>
        <v/>
      </c>
      <c r="G1722" s="9">
        <f>IF(D1722="","",IFERROR(INDEX('Équipements'!$K$5:$K$304,MATCH(D1722,'Équipements'!$A$5:$A$304,0)),""))</f>
        <v/>
      </c>
      <c r="H1722" s="7" t="n"/>
      <c r="I1722" s="7" t="n"/>
      <c r="J1722" s="7" t="n"/>
      <c r="K1722" s="7" t="n"/>
      <c r="L1722" s="7" t="n"/>
      <c r="M1722" s="7" t="n"/>
      <c r="N1722" s="7" t="n"/>
      <c r="O1722" s="7" t="n"/>
      <c r="P1722" s="65" t="n"/>
      <c r="Q1722" s="75" t="n"/>
      <c r="R1722" s="75" t="n"/>
      <c r="S1722" s="76" t="n"/>
      <c r="T1722" s="76" t="n"/>
      <c r="U1722" s="70">
        <f>IF($A1722="","",IFERROR(INDEX('Techniciens'!$F$5:$F$44,MATCH(O1722,'Techniciens'!$B$5:$B$44,0)),'Paramètres'!$AA$10))</f>
        <v/>
      </c>
      <c r="V1722" s="70">
        <f>IF($A1722="","",IF(OR(AC1722="Demandé",AC1722="Planifié",AC1722="Annulé"),0,N(T1722)*N(U1722)))</f>
        <v/>
      </c>
      <c r="W1722" s="70">
        <f>IF($A1722="","",SUMIFS('Mouvements stock'!$H$5:$H$3004,'Mouvements stock'!$I$5:$I$3004,$A1722,'Mouvements stock'!$C$5:$C$3004,"Sortie")-SUMIFS('Mouvements stock'!$H$5:$H$3004,'Mouvements stock'!$I$5:$I$3004,$A1722,'Mouvements stock'!$C$5:$C$3004,"Retour"))</f>
        <v/>
      </c>
      <c r="X1722" s="66" t="n"/>
      <c r="Y1722" s="66" t="n"/>
      <c r="Z1722" s="7" t="n"/>
      <c r="AA1722" s="70">
        <f>IF($A1722="","",N(V1722)+N(W1722)+N(X1722)+N(Y1722))</f>
        <v/>
      </c>
      <c r="AB1722" s="70">
        <f>IF($A1722="","",N(S1722)*'Paramètres'!$AA$9*IFERROR(INDEX('Paramètres'!$O$5:$O$7,MATCH(G1722,'Paramètres'!$N$5:$N$7,0)),0))</f>
        <v/>
      </c>
      <c r="AC1722" s="7" t="n"/>
      <c r="AD1722" s="69">
        <f>IF(OR($A1722="",Q1722=""),"",(Q1722-B1722)*24)</f>
        <v/>
      </c>
      <c r="AE1722" s="69">
        <f>IF(OR(Q1722="",R1722=""),"",(R1722-Q1722)*24)</f>
        <v/>
      </c>
      <c r="AF1722" s="77">
        <f>IF(OR($A1722="",B1722=""),"",YEAR(B1722))</f>
        <v/>
      </c>
      <c r="AG1722" s="77">
        <f>IF(OR($A1722="",B1722=""),"",MONTH(B1722))</f>
        <v/>
      </c>
    </row>
    <row r="1723">
      <c r="A1723" s="7" t="n"/>
      <c r="B1723" s="75" t="n"/>
      <c r="C1723" s="7" t="n"/>
      <c r="D1723" s="7" t="n"/>
      <c r="E1723" s="9">
        <f>IF(D1723="","",IFERROR(INDEX('Équipements'!$B$5:$B$304,MATCH(D1723,'Équipements'!$A$5:$A$304,0)),"Code inconnu"))</f>
        <v/>
      </c>
      <c r="F1723" s="9">
        <f>IF(D1723="","",IFERROR(INDEX('Équipements'!$D$5:$D$304,MATCH(D1723,'Équipements'!$A$5:$A$304,0)),""))</f>
        <v/>
      </c>
      <c r="G1723" s="9">
        <f>IF(D1723="","",IFERROR(INDEX('Équipements'!$K$5:$K$304,MATCH(D1723,'Équipements'!$A$5:$A$304,0)),""))</f>
        <v/>
      </c>
      <c r="H1723" s="7" t="n"/>
      <c r="I1723" s="7" t="n"/>
      <c r="J1723" s="7" t="n"/>
      <c r="K1723" s="7" t="n"/>
      <c r="L1723" s="7" t="n"/>
      <c r="M1723" s="7" t="n"/>
      <c r="N1723" s="7" t="n"/>
      <c r="O1723" s="7" t="n"/>
      <c r="P1723" s="65" t="n"/>
      <c r="Q1723" s="75" t="n"/>
      <c r="R1723" s="75" t="n"/>
      <c r="S1723" s="76" t="n"/>
      <c r="T1723" s="76" t="n"/>
      <c r="U1723" s="70">
        <f>IF($A1723="","",IFERROR(INDEX('Techniciens'!$F$5:$F$44,MATCH(O1723,'Techniciens'!$B$5:$B$44,0)),'Paramètres'!$AA$10))</f>
        <v/>
      </c>
      <c r="V1723" s="70">
        <f>IF($A1723="","",IF(OR(AC1723="Demandé",AC1723="Planifié",AC1723="Annulé"),0,N(T1723)*N(U1723)))</f>
        <v/>
      </c>
      <c r="W1723" s="70">
        <f>IF($A1723="","",SUMIFS('Mouvements stock'!$H$5:$H$3004,'Mouvements stock'!$I$5:$I$3004,$A1723,'Mouvements stock'!$C$5:$C$3004,"Sortie")-SUMIFS('Mouvements stock'!$H$5:$H$3004,'Mouvements stock'!$I$5:$I$3004,$A1723,'Mouvements stock'!$C$5:$C$3004,"Retour"))</f>
        <v/>
      </c>
      <c r="X1723" s="66" t="n"/>
      <c r="Y1723" s="66" t="n"/>
      <c r="Z1723" s="7" t="n"/>
      <c r="AA1723" s="70">
        <f>IF($A1723="","",N(V1723)+N(W1723)+N(X1723)+N(Y1723))</f>
        <v/>
      </c>
      <c r="AB1723" s="70">
        <f>IF($A1723="","",N(S1723)*'Paramètres'!$AA$9*IFERROR(INDEX('Paramètres'!$O$5:$O$7,MATCH(G1723,'Paramètres'!$N$5:$N$7,0)),0))</f>
        <v/>
      </c>
      <c r="AC1723" s="7" t="n"/>
      <c r="AD1723" s="69">
        <f>IF(OR($A1723="",Q1723=""),"",(Q1723-B1723)*24)</f>
        <v/>
      </c>
      <c r="AE1723" s="69">
        <f>IF(OR(Q1723="",R1723=""),"",(R1723-Q1723)*24)</f>
        <v/>
      </c>
      <c r="AF1723" s="77">
        <f>IF(OR($A1723="",B1723=""),"",YEAR(B1723))</f>
        <v/>
      </c>
      <c r="AG1723" s="77">
        <f>IF(OR($A1723="",B1723=""),"",MONTH(B1723))</f>
        <v/>
      </c>
    </row>
    <row r="1724">
      <c r="A1724" s="7" t="n"/>
      <c r="B1724" s="75" t="n"/>
      <c r="C1724" s="7" t="n"/>
      <c r="D1724" s="7" t="n"/>
      <c r="E1724" s="9">
        <f>IF(D1724="","",IFERROR(INDEX('Équipements'!$B$5:$B$304,MATCH(D1724,'Équipements'!$A$5:$A$304,0)),"Code inconnu"))</f>
        <v/>
      </c>
      <c r="F1724" s="9">
        <f>IF(D1724="","",IFERROR(INDEX('Équipements'!$D$5:$D$304,MATCH(D1724,'Équipements'!$A$5:$A$304,0)),""))</f>
        <v/>
      </c>
      <c r="G1724" s="9">
        <f>IF(D1724="","",IFERROR(INDEX('Équipements'!$K$5:$K$304,MATCH(D1724,'Équipements'!$A$5:$A$304,0)),""))</f>
        <v/>
      </c>
      <c r="H1724" s="7" t="n"/>
      <c r="I1724" s="7" t="n"/>
      <c r="J1724" s="7" t="n"/>
      <c r="K1724" s="7" t="n"/>
      <c r="L1724" s="7" t="n"/>
      <c r="M1724" s="7" t="n"/>
      <c r="N1724" s="7" t="n"/>
      <c r="O1724" s="7" t="n"/>
      <c r="P1724" s="65" t="n"/>
      <c r="Q1724" s="75" t="n"/>
      <c r="R1724" s="75" t="n"/>
      <c r="S1724" s="76" t="n"/>
      <c r="T1724" s="76" t="n"/>
      <c r="U1724" s="70">
        <f>IF($A1724="","",IFERROR(INDEX('Techniciens'!$F$5:$F$44,MATCH(O1724,'Techniciens'!$B$5:$B$44,0)),'Paramètres'!$AA$10))</f>
        <v/>
      </c>
      <c r="V1724" s="70">
        <f>IF($A1724="","",IF(OR(AC1724="Demandé",AC1724="Planifié",AC1724="Annulé"),0,N(T1724)*N(U1724)))</f>
        <v/>
      </c>
      <c r="W1724" s="70">
        <f>IF($A1724="","",SUMIFS('Mouvements stock'!$H$5:$H$3004,'Mouvements stock'!$I$5:$I$3004,$A1724,'Mouvements stock'!$C$5:$C$3004,"Sortie")-SUMIFS('Mouvements stock'!$H$5:$H$3004,'Mouvements stock'!$I$5:$I$3004,$A1724,'Mouvements stock'!$C$5:$C$3004,"Retour"))</f>
        <v/>
      </c>
      <c r="X1724" s="66" t="n"/>
      <c r="Y1724" s="66" t="n"/>
      <c r="Z1724" s="7" t="n"/>
      <c r="AA1724" s="70">
        <f>IF($A1724="","",N(V1724)+N(W1724)+N(X1724)+N(Y1724))</f>
        <v/>
      </c>
      <c r="AB1724" s="70">
        <f>IF($A1724="","",N(S1724)*'Paramètres'!$AA$9*IFERROR(INDEX('Paramètres'!$O$5:$O$7,MATCH(G1724,'Paramètres'!$N$5:$N$7,0)),0))</f>
        <v/>
      </c>
      <c r="AC1724" s="7" t="n"/>
      <c r="AD1724" s="69">
        <f>IF(OR($A1724="",Q1724=""),"",(Q1724-B1724)*24)</f>
        <v/>
      </c>
      <c r="AE1724" s="69">
        <f>IF(OR(Q1724="",R1724=""),"",(R1724-Q1724)*24)</f>
        <v/>
      </c>
      <c r="AF1724" s="77">
        <f>IF(OR($A1724="",B1724=""),"",YEAR(B1724))</f>
        <v/>
      </c>
      <c r="AG1724" s="77">
        <f>IF(OR($A1724="",B1724=""),"",MONTH(B1724))</f>
        <v/>
      </c>
    </row>
    <row r="1725">
      <c r="A1725" s="7" t="n"/>
      <c r="B1725" s="75" t="n"/>
      <c r="C1725" s="7" t="n"/>
      <c r="D1725" s="7" t="n"/>
      <c r="E1725" s="9">
        <f>IF(D1725="","",IFERROR(INDEX('Équipements'!$B$5:$B$304,MATCH(D1725,'Équipements'!$A$5:$A$304,0)),"Code inconnu"))</f>
        <v/>
      </c>
      <c r="F1725" s="9">
        <f>IF(D1725="","",IFERROR(INDEX('Équipements'!$D$5:$D$304,MATCH(D1725,'Équipements'!$A$5:$A$304,0)),""))</f>
        <v/>
      </c>
      <c r="G1725" s="9">
        <f>IF(D1725="","",IFERROR(INDEX('Équipements'!$K$5:$K$304,MATCH(D1725,'Équipements'!$A$5:$A$304,0)),""))</f>
        <v/>
      </c>
      <c r="H1725" s="7" t="n"/>
      <c r="I1725" s="7" t="n"/>
      <c r="J1725" s="7" t="n"/>
      <c r="K1725" s="7" t="n"/>
      <c r="L1725" s="7" t="n"/>
      <c r="M1725" s="7" t="n"/>
      <c r="N1725" s="7" t="n"/>
      <c r="O1725" s="7" t="n"/>
      <c r="P1725" s="65" t="n"/>
      <c r="Q1725" s="75" t="n"/>
      <c r="R1725" s="75" t="n"/>
      <c r="S1725" s="76" t="n"/>
      <c r="T1725" s="76" t="n"/>
      <c r="U1725" s="70">
        <f>IF($A1725="","",IFERROR(INDEX('Techniciens'!$F$5:$F$44,MATCH(O1725,'Techniciens'!$B$5:$B$44,0)),'Paramètres'!$AA$10))</f>
        <v/>
      </c>
      <c r="V1725" s="70">
        <f>IF($A1725="","",IF(OR(AC1725="Demandé",AC1725="Planifié",AC1725="Annulé"),0,N(T1725)*N(U1725)))</f>
        <v/>
      </c>
      <c r="W1725" s="70">
        <f>IF($A1725="","",SUMIFS('Mouvements stock'!$H$5:$H$3004,'Mouvements stock'!$I$5:$I$3004,$A1725,'Mouvements stock'!$C$5:$C$3004,"Sortie")-SUMIFS('Mouvements stock'!$H$5:$H$3004,'Mouvements stock'!$I$5:$I$3004,$A1725,'Mouvements stock'!$C$5:$C$3004,"Retour"))</f>
        <v/>
      </c>
      <c r="X1725" s="66" t="n"/>
      <c r="Y1725" s="66" t="n"/>
      <c r="Z1725" s="7" t="n"/>
      <c r="AA1725" s="70">
        <f>IF($A1725="","",N(V1725)+N(W1725)+N(X1725)+N(Y1725))</f>
        <v/>
      </c>
      <c r="AB1725" s="70">
        <f>IF($A1725="","",N(S1725)*'Paramètres'!$AA$9*IFERROR(INDEX('Paramètres'!$O$5:$O$7,MATCH(G1725,'Paramètres'!$N$5:$N$7,0)),0))</f>
        <v/>
      </c>
      <c r="AC1725" s="7" t="n"/>
      <c r="AD1725" s="69">
        <f>IF(OR($A1725="",Q1725=""),"",(Q1725-B1725)*24)</f>
        <v/>
      </c>
      <c r="AE1725" s="69">
        <f>IF(OR(Q1725="",R1725=""),"",(R1725-Q1725)*24)</f>
        <v/>
      </c>
      <c r="AF1725" s="77">
        <f>IF(OR($A1725="",B1725=""),"",YEAR(B1725))</f>
        <v/>
      </c>
      <c r="AG1725" s="77">
        <f>IF(OR($A1725="",B1725=""),"",MONTH(B1725))</f>
        <v/>
      </c>
    </row>
    <row r="1726">
      <c r="A1726" s="7" t="n"/>
      <c r="B1726" s="75" t="n"/>
      <c r="C1726" s="7" t="n"/>
      <c r="D1726" s="7" t="n"/>
      <c r="E1726" s="9">
        <f>IF(D1726="","",IFERROR(INDEX('Équipements'!$B$5:$B$304,MATCH(D1726,'Équipements'!$A$5:$A$304,0)),"Code inconnu"))</f>
        <v/>
      </c>
      <c r="F1726" s="9">
        <f>IF(D1726="","",IFERROR(INDEX('Équipements'!$D$5:$D$304,MATCH(D1726,'Équipements'!$A$5:$A$304,0)),""))</f>
        <v/>
      </c>
      <c r="G1726" s="9">
        <f>IF(D1726="","",IFERROR(INDEX('Équipements'!$K$5:$K$304,MATCH(D1726,'Équipements'!$A$5:$A$304,0)),""))</f>
        <v/>
      </c>
      <c r="H1726" s="7" t="n"/>
      <c r="I1726" s="7" t="n"/>
      <c r="J1726" s="7" t="n"/>
      <c r="K1726" s="7" t="n"/>
      <c r="L1726" s="7" t="n"/>
      <c r="M1726" s="7" t="n"/>
      <c r="N1726" s="7" t="n"/>
      <c r="O1726" s="7" t="n"/>
      <c r="P1726" s="65" t="n"/>
      <c r="Q1726" s="75" t="n"/>
      <c r="R1726" s="75" t="n"/>
      <c r="S1726" s="76" t="n"/>
      <c r="T1726" s="76" t="n"/>
      <c r="U1726" s="70">
        <f>IF($A1726="","",IFERROR(INDEX('Techniciens'!$F$5:$F$44,MATCH(O1726,'Techniciens'!$B$5:$B$44,0)),'Paramètres'!$AA$10))</f>
        <v/>
      </c>
      <c r="V1726" s="70">
        <f>IF($A1726="","",IF(OR(AC1726="Demandé",AC1726="Planifié",AC1726="Annulé"),0,N(T1726)*N(U1726)))</f>
        <v/>
      </c>
      <c r="W1726" s="70">
        <f>IF($A1726="","",SUMIFS('Mouvements stock'!$H$5:$H$3004,'Mouvements stock'!$I$5:$I$3004,$A1726,'Mouvements stock'!$C$5:$C$3004,"Sortie")-SUMIFS('Mouvements stock'!$H$5:$H$3004,'Mouvements stock'!$I$5:$I$3004,$A1726,'Mouvements stock'!$C$5:$C$3004,"Retour"))</f>
        <v/>
      </c>
      <c r="X1726" s="66" t="n"/>
      <c r="Y1726" s="66" t="n"/>
      <c r="Z1726" s="7" t="n"/>
      <c r="AA1726" s="70">
        <f>IF($A1726="","",N(V1726)+N(W1726)+N(X1726)+N(Y1726))</f>
        <v/>
      </c>
      <c r="AB1726" s="70">
        <f>IF($A1726="","",N(S1726)*'Paramètres'!$AA$9*IFERROR(INDEX('Paramètres'!$O$5:$O$7,MATCH(G1726,'Paramètres'!$N$5:$N$7,0)),0))</f>
        <v/>
      </c>
      <c r="AC1726" s="7" t="n"/>
      <c r="AD1726" s="69">
        <f>IF(OR($A1726="",Q1726=""),"",(Q1726-B1726)*24)</f>
        <v/>
      </c>
      <c r="AE1726" s="69">
        <f>IF(OR(Q1726="",R1726=""),"",(R1726-Q1726)*24)</f>
        <v/>
      </c>
      <c r="AF1726" s="77">
        <f>IF(OR($A1726="",B1726=""),"",YEAR(B1726))</f>
        <v/>
      </c>
      <c r="AG1726" s="77">
        <f>IF(OR($A1726="",B1726=""),"",MONTH(B1726))</f>
        <v/>
      </c>
    </row>
    <row r="1727">
      <c r="A1727" s="7" t="n"/>
      <c r="B1727" s="75" t="n"/>
      <c r="C1727" s="7" t="n"/>
      <c r="D1727" s="7" t="n"/>
      <c r="E1727" s="9">
        <f>IF(D1727="","",IFERROR(INDEX('Équipements'!$B$5:$B$304,MATCH(D1727,'Équipements'!$A$5:$A$304,0)),"Code inconnu"))</f>
        <v/>
      </c>
      <c r="F1727" s="9">
        <f>IF(D1727="","",IFERROR(INDEX('Équipements'!$D$5:$D$304,MATCH(D1727,'Équipements'!$A$5:$A$304,0)),""))</f>
        <v/>
      </c>
      <c r="G1727" s="9">
        <f>IF(D1727="","",IFERROR(INDEX('Équipements'!$K$5:$K$304,MATCH(D1727,'Équipements'!$A$5:$A$304,0)),""))</f>
        <v/>
      </c>
      <c r="H1727" s="7" t="n"/>
      <c r="I1727" s="7" t="n"/>
      <c r="J1727" s="7" t="n"/>
      <c r="K1727" s="7" t="n"/>
      <c r="L1727" s="7" t="n"/>
      <c r="M1727" s="7" t="n"/>
      <c r="N1727" s="7" t="n"/>
      <c r="O1727" s="7" t="n"/>
      <c r="P1727" s="65" t="n"/>
      <c r="Q1727" s="75" t="n"/>
      <c r="R1727" s="75" t="n"/>
      <c r="S1727" s="76" t="n"/>
      <c r="T1727" s="76" t="n"/>
      <c r="U1727" s="70">
        <f>IF($A1727="","",IFERROR(INDEX('Techniciens'!$F$5:$F$44,MATCH(O1727,'Techniciens'!$B$5:$B$44,0)),'Paramètres'!$AA$10))</f>
        <v/>
      </c>
      <c r="V1727" s="70">
        <f>IF($A1727="","",IF(OR(AC1727="Demandé",AC1727="Planifié",AC1727="Annulé"),0,N(T1727)*N(U1727)))</f>
        <v/>
      </c>
      <c r="W1727" s="70">
        <f>IF($A1727="","",SUMIFS('Mouvements stock'!$H$5:$H$3004,'Mouvements stock'!$I$5:$I$3004,$A1727,'Mouvements stock'!$C$5:$C$3004,"Sortie")-SUMIFS('Mouvements stock'!$H$5:$H$3004,'Mouvements stock'!$I$5:$I$3004,$A1727,'Mouvements stock'!$C$5:$C$3004,"Retour"))</f>
        <v/>
      </c>
      <c r="X1727" s="66" t="n"/>
      <c r="Y1727" s="66" t="n"/>
      <c r="Z1727" s="7" t="n"/>
      <c r="AA1727" s="70">
        <f>IF($A1727="","",N(V1727)+N(W1727)+N(X1727)+N(Y1727))</f>
        <v/>
      </c>
      <c r="AB1727" s="70">
        <f>IF($A1727="","",N(S1727)*'Paramètres'!$AA$9*IFERROR(INDEX('Paramètres'!$O$5:$O$7,MATCH(G1727,'Paramètres'!$N$5:$N$7,0)),0))</f>
        <v/>
      </c>
      <c r="AC1727" s="7" t="n"/>
      <c r="AD1727" s="69">
        <f>IF(OR($A1727="",Q1727=""),"",(Q1727-B1727)*24)</f>
        <v/>
      </c>
      <c r="AE1727" s="69">
        <f>IF(OR(Q1727="",R1727=""),"",(R1727-Q1727)*24)</f>
        <v/>
      </c>
      <c r="AF1727" s="77">
        <f>IF(OR($A1727="",B1727=""),"",YEAR(B1727))</f>
        <v/>
      </c>
      <c r="AG1727" s="77">
        <f>IF(OR($A1727="",B1727=""),"",MONTH(B1727))</f>
        <v/>
      </c>
    </row>
    <row r="1728">
      <c r="A1728" s="7" t="n"/>
      <c r="B1728" s="75" t="n"/>
      <c r="C1728" s="7" t="n"/>
      <c r="D1728" s="7" t="n"/>
      <c r="E1728" s="9">
        <f>IF(D1728="","",IFERROR(INDEX('Équipements'!$B$5:$B$304,MATCH(D1728,'Équipements'!$A$5:$A$304,0)),"Code inconnu"))</f>
        <v/>
      </c>
      <c r="F1728" s="9">
        <f>IF(D1728="","",IFERROR(INDEX('Équipements'!$D$5:$D$304,MATCH(D1728,'Équipements'!$A$5:$A$304,0)),""))</f>
        <v/>
      </c>
      <c r="G1728" s="9">
        <f>IF(D1728="","",IFERROR(INDEX('Équipements'!$K$5:$K$304,MATCH(D1728,'Équipements'!$A$5:$A$304,0)),""))</f>
        <v/>
      </c>
      <c r="H1728" s="7" t="n"/>
      <c r="I1728" s="7" t="n"/>
      <c r="J1728" s="7" t="n"/>
      <c r="K1728" s="7" t="n"/>
      <c r="L1728" s="7" t="n"/>
      <c r="M1728" s="7" t="n"/>
      <c r="N1728" s="7" t="n"/>
      <c r="O1728" s="7" t="n"/>
      <c r="P1728" s="65" t="n"/>
      <c r="Q1728" s="75" t="n"/>
      <c r="R1728" s="75" t="n"/>
      <c r="S1728" s="76" t="n"/>
      <c r="T1728" s="76" t="n"/>
      <c r="U1728" s="70">
        <f>IF($A1728="","",IFERROR(INDEX('Techniciens'!$F$5:$F$44,MATCH(O1728,'Techniciens'!$B$5:$B$44,0)),'Paramètres'!$AA$10))</f>
        <v/>
      </c>
      <c r="V1728" s="70">
        <f>IF($A1728="","",IF(OR(AC1728="Demandé",AC1728="Planifié",AC1728="Annulé"),0,N(T1728)*N(U1728)))</f>
        <v/>
      </c>
      <c r="W1728" s="70">
        <f>IF($A1728="","",SUMIFS('Mouvements stock'!$H$5:$H$3004,'Mouvements stock'!$I$5:$I$3004,$A1728,'Mouvements stock'!$C$5:$C$3004,"Sortie")-SUMIFS('Mouvements stock'!$H$5:$H$3004,'Mouvements stock'!$I$5:$I$3004,$A1728,'Mouvements stock'!$C$5:$C$3004,"Retour"))</f>
        <v/>
      </c>
      <c r="X1728" s="66" t="n"/>
      <c r="Y1728" s="66" t="n"/>
      <c r="Z1728" s="7" t="n"/>
      <c r="AA1728" s="70">
        <f>IF($A1728="","",N(V1728)+N(W1728)+N(X1728)+N(Y1728))</f>
        <v/>
      </c>
      <c r="AB1728" s="70">
        <f>IF($A1728="","",N(S1728)*'Paramètres'!$AA$9*IFERROR(INDEX('Paramètres'!$O$5:$O$7,MATCH(G1728,'Paramètres'!$N$5:$N$7,0)),0))</f>
        <v/>
      </c>
      <c r="AC1728" s="7" t="n"/>
      <c r="AD1728" s="69">
        <f>IF(OR($A1728="",Q1728=""),"",(Q1728-B1728)*24)</f>
        <v/>
      </c>
      <c r="AE1728" s="69">
        <f>IF(OR(Q1728="",R1728=""),"",(R1728-Q1728)*24)</f>
        <v/>
      </c>
      <c r="AF1728" s="77">
        <f>IF(OR($A1728="",B1728=""),"",YEAR(B1728))</f>
        <v/>
      </c>
      <c r="AG1728" s="77">
        <f>IF(OR($A1728="",B1728=""),"",MONTH(B1728))</f>
        <v/>
      </c>
    </row>
    <row r="1729">
      <c r="A1729" s="7" t="n"/>
      <c r="B1729" s="75" t="n"/>
      <c r="C1729" s="7" t="n"/>
      <c r="D1729" s="7" t="n"/>
      <c r="E1729" s="9">
        <f>IF(D1729="","",IFERROR(INDEX('Équipements'!$B$5:$B$304,MATCH(D1729,'Équipements'!$A$5:$A$304,0)),"Code inconnu"))</f>
        <v/>
      </c>
      <c r="F1729" s="9">
        <f>IF(D1729="","",IFERROR(INDEX('Équipements'!$D$5:$D$304,MATCH(D1729,'Équipements'!$A$5:$A$304,0)),""))</f>
        <v/>
      </c>
      <c r="G1729" s="9">
        <f>IF(D1729="","",IFERROR(INDEX('Équipements'!$K$5:$K$304,MATCH(D1729,'Équipements'!$A$5:$A$304,0)),""))</f>
        <v/>
      </c>
      <c r="H1729" s="7" t="n"/>
      <c r="I1729" s="7" t="n"/>
      <c r="J1729" s="7" t="n"/>
      <c r="K1729" s="7" t="n"/>
      <c r="L1729" s="7" t="n"/>
      <c r="M1729" s="7" t="n"/>
      <c r="N1729" s="7" t="n"/>
      <c r="O1729" s="7" t="n"/>
      <c r="P1729" s="65" t="n"/>
      <c r="Q1729" s="75" t="n"/>
      <c r="R1729" s="75" t="n"/>
      <c r="S1729" s="76" t="n"/>
      <c r="T1729" s="76" t="n"/>
      <c r="U1729" s="70">
        <f>IF($A1729="","",IFERROR(INDEX('Techniciens'!$F$5:$F$44,MATCH(O1729,'Techniciens'!$B$5:$B$44,0)),'Paramètres'!$AA$10))</f>
        <v/>
      </c>
      <c r="V1729" s="70">
        <f>IF($A1729="","",IF(OR(AC1729="Demandé",AC1729="Planifié",AC1729="Annulé"),0,N(T1729)*N(U1729)))</f>
        <v/>
      </c>
      <c r="W1729" s="70">
        <f>IF($A1729="","",SUMIFS('Mouvements stock'!$H$5:$H$3004,'Mouvements stock'!$I$5:$I$3004,$A1729,'Mouvements stock'!$C$5:$C$3004,"Sortie")-SUMIFS('Mouvements stock'!$H$5:$H$3004,'Mouvements stock'!$I$5:$I$3004,$A1729,'Mouvements stock'!$C$5:$C$3004,"Retour"))</f>
        <v/>
      </c>
      <c r="X1729" s="66" t="n"/>
      <c r="Y1729" s="66" t="n"/>
      <c r="Z1729" s="7" t="n"/>
      <c r="AA1729" s="70">
        <f>IF($A1729="","",N(V1729)+N(W1729)+N(X1729)+N(Y1729))</f>
        <v/>
      </c>
      <c r="AB1729" s="70">
        <f>IF($A1729="","",N(S1729)*'Paramètres'!$AA$9*IFERROR(INDEX('Paramètres'!$O$5:$O$7,MATCH(G1729,'Paramètres'!$N$5:$N$7,0)),0))</f>
        <v/>
      </c>
      <c r="AC1729" s="7" t="n"/>
      <c r="AD1729" s="69">
        <f>IF(OR($A1729="",Q1729=""),"",(Q1729-B1729)*24)</f>
        <v/>
      </c>
      <c r="AE1729" s="69">
        <f>IF(OR(Q1729="",R1729=""),"",(R1729-Q1729)*24)</f>
        <v/>
      </c>
      <c r="AF1729" s="77">
        <f>IF(OR($A1729="",B1729=""),"",YEAR(B1729))</f>
        <v/>
      </c>
      <c r="AG1729" s="77">
        <f>IF(OR($A1729="",B1729=""),"",MONTH(B1729))</f>
        <v/>
      </c>
    </row>
    <row r="1730">
      <c r="A1730" s="7" t="n"/>
      <c r="B1730" s="75" t="n"/>
      <c r="C1730" s="7" t="n"/>
      <c r="D1730" s="7" t="n"/>
      <c r="E1730" s="9">
        <f>IF(D1730="","",IFERROR(INDEX('Équipements'!$B$5:$B$304,MATCH(D1730,'Équipements'!$A$5:$A$304,0)),"Code inconnu"))</f>
        <v/>
      </c>
      <c r="F1730" s="9">
        <f>IF(D1730="","",IFERROR(INDEX('Équipements'!$D$5:$D$304,MATCH(D1730,'Équipements'!$A$5:$A$304,0)),""))</f>
        <v/>
      </c>
      <c r="G1730" s="9">
        <f>IF(D1730="","",IFERROR(INDEX('Équipements'!$K$5:$K$304,MATCH(D1730,'Équipements'!$A$5:$A$304,0)),""))</f>
        <v/>
      </c>
      <c r="H1730" s="7" t="n"/>
      <c r="I1730" s="7" t="n"/>
      <c r="J1730" s="7" t="n"/>
      <c r="K1730" s="7" t="n"/>
      <c r="L1730" s="7" t="n"/>
      <c r="M1730" s="7" t="n"/>
      <c r="N1730" s="7" t="n"/>
      <c r="O1730" s="7" t="n"/>
      <c r="P1730" s="65" t="n"/>
      <c r="Q1730" s="75" t="n"/>
      <c r="R1730" s="75" t="n"/>
      <c r="S1730" s="76" t="n"/>
      <c r="T1730" s="76" t="n"/>
      <c r="U1730" s="70">
        <f>IF($A1730="","",IFERROR(INDEX('Techniciens'!$F$5:$F$44,MATCH(O1730,'Techniciens'!$B$5:$B$44,0)),'Paramètres'!$AA$10))</f>
        <v/>
      </c>
      <c r="V1730" s="70">
        <f>IF($A1730="","",IF(OR(AC1730="Demandé",AC1730="Planifié",AC1730="Annulé"),0,N(T1730)*N(U1730)))</f>
        <v/>
      </c>
      <c r="W1730" s="70">
        <f>IF($A1730="","",SUMIFS('Mouvements stock'!$H$5:$H$3004,'Mouvements stock'!$I$5:$I$3004,$A1730,'Mouvements stock'!$C$5:$C$3004,"Sortie")-SUMIFS('Mouvements stock'!$H$5:$H$3004,'Mouvements stock'!$I$5:$I$3004,$A1730,'Mouvements stock'!$C$5:$C$3004,"Retour"))</f>
        <v/>
      </c>
      <c r="X1730" s="66" t="n"/>
      <c r="Y1730" s="66" t="n"/>
      <c r="Z1730" s="7" t="n"/>
      <c r="AA1730" s="70">
        <f>IF($A1730="","",N(V1730)+N(W1730)+N(X1730)+N(Y1730))</f>
        <v/>
      </c>
      <c r="AB1730" s="70">
        <f>IF($A1730="","",N(S1730)*'Paramètres'!$AA$9*IFERROR(INDEX('Paramètres'!$O$5:$O$7,MATCH(G1730,'Paramètres'!$N$5:$N$7,0)),0))</f>
        <v/>
      </c>
      <c r="AC1730" s="7" t="n"/>
      <c r="AD1730" s="69">
        <f>IF(OR($A1730="",Q1730=""),"",(Q1730-B1730)*24)</f>
        <v/>
      </c>
      <c r="AE1730" s="69">
        <f>IF(OR(Q1730="",R1730=""),"",(R1730-Q1730)*24)</f>
        <v/>
      </c>
      <c r="AF1730" s="77">
        <f>IF(OR($A1730="",B1730=""),"",YEAR(B1730))</f>
        <v/>
      </c>
      <c r="AG1730" s="77">
        <f>IF(OR($A1730="",B1730=""),"",MONTH(B1730))</f>
        <v/>
      </c>
    </row>
    <row r="1731">
      <c r="A1731" s="7" t="n"/>
      <c r="B1731" s="75" t="n"/>
      <c r="C1731" s="7" t="n"/>
      <c r="D1731" s="7" t="n"/>
      <c r="E1731" s="9">
        <f>IF(D1731="","",IFERROR(INDEX('Équipements'!$B$5:$B$304,MATCH(D1731,'Équipements'!$A$5:$A$304,0)),"Code inconnu"))</f>
        <v/>
      </c>
      <c r="F1731" s="9">
        <f>IF(D1731="","",IFERROR(INDEX('Équipements'!$D$5:$D$304,MATCH(D1731,'Équipements'!$A$5:$A$304,0)),""))</f>
        <v/>
      </c>
      <c r="G1731" s="9">
        <f>IF(D1731="","",IFERROR(INDEX('Équipements'!$K$5:$K$304,MATCH(D1731,'Équipements'!$A$5:$A$304,0)),""))</f>
        <v/>
      </c>
      <c r="H1731" s="7" t="n"/>
      <c r="I1731" s="7" t="n"/>
      <c r="J1731" s="7" t="n"/>
      <c r="K1731" s="7" t="n"/>
      <c r="L1731" s="7" t="n"/>
      <c r="M1731" s="7" t="n"/>
      <c r="N1731" s="7" t="n"/>
      <c r="O1731" s="7" t="n"/>
      <c r="P1731" s="65" t="n"/>
      <c r="Q1731" s="75" t="n"/>
      <c r="R1731" s="75" t="n"/>
      <c r="S1731" s="76" t="n"/>
      <c r="T1731" s="76" t="n"/>
      <c r="U1731" s="70">
        <f>IF($A1731="","",IFERROR(INDEX('Techniciens'!$F$5:$F$44,MATCH(O1731,'Techniciens'!$B$5:$B$44,0)),'Paramètres'!$AA$10))</f>
        <v/>
      </c>
      <c r="V1731" s="70">
        <f>IF($A1731="","",IF(OR(AC1731="Demandé",AC1731="Planifié",AC1731="Annulé"),0,N(T1731)*N(U1731)))</f>
        <v/>
      </c>
      <c r="W1731" s="70">
        <f>IF($A1731="","",SUMIFS('Mouvements stock'!$H$5:$H$3004,'Mouvements stock'!$I$5:$I$3004,$A1731,'Mouvements stock'!$C$5:$C$3004,"Sortie")-SUMIFS('Mouvements stock'!$H$5:$H$3004,'Mouvements stock'!$I$5:$I$3004,$A1731,'Mouvements stock'!$C$5:$C$3004,"Retour"))</f>
        <v/>
      </c>
      <c r="X1731" s="66" t="n"/>
      <c r="Y1731" s="66" t="n"/>
      <c r="Z1731" s="7" t="n"/>
      <c r="AA1731" s="70">
        <f>IF($A1731="","",N(V1731)+N(W1731)+N(X1731)+N(Y1731))</f>
        <v/>
      </c>
      <c r="AB1731" s="70">
        <f>IF($A1731="","",N(S1731)*'Paramètres'!$AA$9*IFERROR(INDEX('Paramètres'!$O$5:$O$7,MATCH(G1731,'Paramètres'!$N$5:$N$7,0)),0))</f>
        <v/>
      </c>
      <c r="AC1731" s="7" t="n"/>
      <c r="AD1731" s="69">
        <f>IF(OR($A1731="",Q1731=""),"",(Q1731-B1731)*24)</f>
        <v/>
      </c>
      <c r="AE1731" s="69">
        <f>IF(OR(Q1731="",R1731=""),"",(R1731-Q1731)*24)</f>
        <v/>
      </c>
      <c r="AF1731" s="77">
        <f>IF(OR($A1731="",B1731=""),"",YEAR(B1731))</f>
        <v/>
      </c>
      <c r="AG1731" s="77">
        <f>IF(OR($A1731="",B1731=""),"",MONTH(B1731))</f>
        <v/>
      </c>
    </row>
    <row r="1732">
      <c r="A1732" s="7" t="n"/>
      <c r="B1732" s="75" t="n"/>
      <c r="C1732" s="7" t="n"/>
      <c r="D1732" s="7" t="n"/>
      <c r="E1732" s="9">
        <f>IF(D1732="","",IFERROR(INDEX('Équipements'!$B$5:$B$304,MATCH(D1732,'Équipements'!$A$5:$A$304,0)),"Code inconnu"))</f>
        <v/>
      </c>
      <c r="F1732" s="9">
        <f>IF(D1732="","",IFERROR(INDEX('Équipements'!$D$5:$D$304,MATCH(D1732,'Équipements'!$A$5:$A$304,0)),""))</f>
        <v/>
      </c>
      <c r="G1732" s="9">
        <f>IF(D1732="","",IFERROR(INDEX('Équipements'!$K$5:$K$304,MATCH(D1732,'Équipements'!$A$5:$A$304,0)),""))</f>
        <v/>
      </c>
      <c r="H1732" s="7" t="n"/>
      <c r="I1732" s="7" t="n"/>
      <c r="J1732" s="7" t="n"/>
      <c r="K1732" s="7" t="n"/>
      <c r="L1732" s="7" t="n"/>
      <c r="M1732" s="7" t="n"/>
      <c r="N1732" s="7" t="n"/>
      <c r="O1732" s="7" t="n"/>
      <c r="P1732" s="65" t="n"/>
      <c r="Q1732" s="75" t="n"/>
      <c r="R1732" s="75" t="n"/>
      <c r="S1732" s="76" t="n"/>
      <c r="T1732" s="76" t="n"/>
      <c r="U1732" s="70">
        <f>IF($A1732="","",IFERROR(INDEX('Techniciens'!$F$5:$F$44,MATCH(O1732,'Techniciens'!$B$5:$B$44,0)),'Paramètres'!$AA$10))</f>
        <v/>
      </c>
      <c r="V1732" s="70">
        <f>IF($A1732="","",IF(OR(AC1732="Demandé",AC1732="Planifié",AC1732="Annulé"),0,N(T1732)*N(U1732)))</f>
        <v/>
      </c>
      <c r="W1732" s="70">
        <f>IF($A1732="","",SUMIFS('Mouvements stock'!$H$5:$H$3004,'Mouvements stock'!$I$5:$I$3004,$A1732,'Mouvements stock'!$C$5:$C$3004,"Sortie")-SUMIFS('Mouvements stock'!$H$5:$H$3004,'Mouvements stock'!$I$5:$I$3004,$A1732,'Mouvements stock'!$C$5:$C$3004,"Retour"))</f>
        <v/>
      </c>
      <c r="X1732" s="66" t="n"/>
      <c r="Y1732" s="66" t="n"/>
      <c r="Z1732" s="7" t="n"/>
      <c r="AA1732" s="70">
        <f>IF($A1732="","",N(V1732)+N(W1732)+N(X1732)+N(Y1732))</f>
        <v/>
      </c>
      <c r="AB1732" s="70">
        <f>IF($A1732="","",N(S1732)*'Paramètres'!$AA$9*IFERROR(INDEX('Paramètres'!$O$5:$O$7,MATCH(G1732,'Paramètres'!$N$5:$N$7,0)),0))</f>
        <v/>
      </c>
      <c r="AC1732" s="7" t="n"/>
      <c r="AD1732" s="69">
        <f>IF(OR($A1732="",Q1732=""),"",(Q1732-B1732)*24)</f>
        <v/>
      </c>
      <c r="AE1732" s="69">
        <f>IF(OR(Q1732="",R1732=""),"",(R1732-Q1732)*24)</f>
        <v/>
      </c>
      <c r="AF1732" s="77">
        <f>IF(OR($A1732="",B1732=""),"",YEAR(B1732))</f>
        <v/>
      </c>
      <c r="AG1732" s="77">
        <f>IF(OR($A1732="",B1732=""),"",MONTH(B1732))</f>
        <v/>
      </c>
    </row>
    <row r="1733">
      <c r="A1733" s="7" t="n"/>
      <c r="B1733" s="75" t="n"/>
      <c r="C1733" s="7" t="n"/>
      <c r="D1733" s="7" t="n"/>
      <c r="E1733" s="9">
        <f>IF(D1733="","",IFERROR(INDEX('Équipements'!$B$5:$B$304,MATCH(D1733,'Équipements'!$A$5:$A$304,0)),"Code inconnu"))</f>
        <v/>
      </c>
      <c r="F1733" s="9">
        <f>IF(D1733="","",IFERROR(INDEX('Équipements'!$D$5:$D$304,MATCH(D1733,'Équipements'!$A$5:$A$304,0)),""))</f>
        <v/>
      </c>
      <c r="G1733" s="9">
        <f>IF(D1733="","",IFERROR(INDEX('Équipements'!$K$5:$K$304,MATCH(D1733,'Équipements'!$A$5:$A$304,0)),""))</f>
        <v/>
      </c>
      <c r="H1733" s="7" t="n"/>
      <c r="I1733" s="7" t="n"/>
      <c r="J1733" s="7" t="n"/>
      <c r="K1733" s="7" t="n"/>
      <c r="L1733" s="7" t="n"/>
      <c r="M1733" s="7" t="n"/>
      <c r="N1733" s="7" t="n"/>
      <c r="O1733" s="7" t="n"/>
      <c r="P1733" s="65" t="n"/>
      <c r="Q1733" s="75" t="n"/>
      <c r="R1733" s="75" t="n"/>
      <c r="S1733" s="76" t="n"/>
      <c r="T1733" s="76" t="n"/>
      <c r="U1733" s="70">
        <f>IF($A1733="","",IFERROR(INDEX('Techniciens'!$F$5:$F$44,MATCH(O1733,'Techniciens'!$B$5:$B$44,0)),'Paramètres'!$AA$10))</f>
        <v/>
      </c>
      <c r="V1733" s="70">
        <f>IF($A1733="","",IF(OR(AC1733="Demandé",AC1733="Planifié",AC1733="Annulé"),0,N(T1733)*N(U1733)))</f>
        <v/>
      </c>
      <c r="W1733" s="70">
        <f>IF($A1733="","",SUMIFS('Mouvements stock'!$H$5:$H$3004,'Mouvements stock'!$I$5:$I$3004,$A1733,'Mouvements stock'!$C$5:$C$3004,"Sortie")-SUMIFS('Mouvements stock'!$H$5:$H$3004,'Mouvements stock'!$I$5:$I$3004,$A1733,'Mouvements stock'!$C$5:$C$3004,"Retour"))</f>
        <v/>
      </c>
      <c r="X1733" s="66" t="n"/>
      <c r="Y1733" s="66" t="n"/>
      <c r="Z1733" s="7" t="n"/>
      <c r="AA1733" s="70">
        <f>IF($A1733="","",N(V1733)+N(W1733)+N(X1733)+N(Y1733))</f>
        <v/>
      </c>
      <c r="AB1733" s="70">
        <f>IF($A1733="","",N(S1733)*'Paramètres'!$AA$9*IFERROR(INDEX('Paramètres'!$O$5:$O$7,MATCH(G1733,'Paramètres'!$N$5:$N$7,0)),0))</f>
        <v/>
      </c>
      <c r="AC1733" s="7" t="n"/>
      <c r="AD1733" s="69">
        <f>IF(OR($A1733="",Q1733=""),"",(Q1733-B1733)*24)</f>
        <v/>
      </c>
      <c r="AE1733" s="69">
        <f>IF(OR(Q1733="",R1733=""),"",(R1733-Q1733)*24)</f>
        <v/>
      </c>
      <c r="AF1733" s="77">
        <f>IF(OR($A1733="",B1733=""),"",YEAR(B1733))</f>
        <v/>
      </c>
      <c r="AG1733" s="77">
        <f>IF(OR($A1733="",B1733=""),"",MONTH(B1733))</f>
        <v/>
      </c>
    </row>
    <row r="1734">
      <c r="A1734" s="7" t="n"/>
      <c r="B1734" s="75" t="n"/>
      <c r="C1734" s="7" t="n"/>
      <c r="D1734" s="7" t="n"/>
      <c r="E1734" s="9">
        <f>IF(D1734="","",IFERROR(INDEX('Équipements'!$B$5:$B$304,MATCH(D1734,'Équipements'!$A$5:$A$304,0)),"Code inconnu"))</f>
        <v/>
      </c>
      <c r="F1734" s="9">
        <f>IF(D1734="","",IFERROR(INDEX('Équipements'!$D$5:$D$304,MATCH(D1734,'Équipements'!$A$5:$A$304,0)),""))</f>
        <v/>
      </c>
      <c r="G1734" s="9">
        <f>IF(D1734="","",IFERROR(INDEX('Équipements'!$K$5:$K$304,MATCH(D1734,'Équipements'!$A$5:$A$304,0)),""))</f>
        <v/>
      </c>
      <c r="H1734" s="7" t="n"/>
      <c r="I1734" s="7" t="n"/>
      <c r="J1734" s="7" t="n"/>
      <c r="K1734" s="7" t="n"/>
      <c r="L1734" s="7" t="n"/>
      <c r="M1734" s="7" t="n"/>
      <c r="N1734" s="7" t="n"/>
      <c r="O1734" s="7" t="n"/>
      <c r="P1734" s="65" t="n"/>
      <c r="Q1734" s="75" t="n"/>
      <c r="R1734" s="75" t="n"/>
      <c r="S1734" s="76" t="n"/>
      <c r="T1734" s="76" t="n"/>
      <c r="U1734" s="70">
        <f>IF($A1734="","",IFERROR(INDEX('Techniciens'!$F$5:$F$44,MATCH(O1734,'Techniciens'!$B$5:$B$44,0)),'Paramètres'!$AA$10))</f>
        <v/>
      </c>
      <c r="V1734" s="70">
        <f>IF($A1734="","",IF(OR(AC1734="Demandé",AC1734="Planifié",AC1734="Annulé"),0,N(T1734)*N(U1734)))</f>
        <v/>
      </c>
      <c r="W1734" s="70">
        <f>IF($A1734="","",SUMIFS('Mouvements stock'!$H$5:$H$3004,'Mouvements stock'!$I$5:$I$3004,$A1734,'Mouvements stock'!$C$5:$C$3004,"Sortie")-SUMIFS('Mouvements stock'!$H$5:$H$3004,'Mouvements stock'!$I$5:$I$3004,$A1734,'Mouvements stock'!$C$5:$C$3004,"Retour"))</f>
        <v/>
      </c>
      <c r="X1734" s="66" t="n"/>
      <c r="Y1734" s="66" t="n"/>
      <c r="Z1734" s="7" t="n"/>
      <c r="AA1734" s="70">
        <f>IF($A1734="","",N(V1734)+N(W1734)+N(X1734)+N(Y1734))</f>
        <v/>
      </c>
      <c r="AB1734" s="70">
        <f>IF($A1734="","",N(S1734)*'Paramètres'!$AA$9*IFERROR(INDEX('Paramètres'!$O$5:$O$7,MATCH(G1734,'Paramètres'!$N$5:$N$7,0)),0))</f>
        <v/>
      </c>
      <c r="AC1734" s="7" t="n"/>
      <c r="AD1734" s="69">
        <f>IF(OR($A1734="",Q1734=""),"",(Q1734-B1734)*24)</f>
        <v/>
      </c>
      <c r="AE1734" s="69">
        <f>IF(OR(Q1734="",R1734=""),"",(R1734-Q1734)*24)</f>
        <v/>
      </c>
      <c r="AF1734" s="77">
        <f>IF(OR($A1734="",B1734=""),"",YEAR(B1734))</f>
        <v/>
      </c>
      <c r="AG1734" s="77">
        <f>IF(OR($A1734="",B1734=""),"",MONTH(B1734))</f>
        <v/>
      </c>
    </row>
    <row r="1735">
      <c r="A1735" s="7" t="n"/>
      <c r="B1735" s="75" t="n"/>
      <c r="C1735" s="7" t="n"/>
      <c r="D1735" s="7" t="n"/>
      <c r="E1735" s="9">
        <f>IF(D1735="","",IFERROR(INDEX('Équipements'!$B$5:$B$304,MATCH(D1735,'Équipements'!$A$5:$A$304,0)),"Code inconnu"))</f>
        <v/>
      </c>
      <c r="F1735" s="9">
        <f>IF(D1735="","",IFERROR(INDEX('Équipements'!$D$5:$D$304,MATCH(D1735,'Équipements'!$A$5:$A$304,0)),""))</f>
        <v/>
      </c>
      <c r="G1735" s="9">
        <f>IF(D1735="","",IFERROR(INDEX('Équipements'!$K$5:$K$304,MATCH(D1735,'Équipements'!$A$5:$A$304,0)),""))</f>
        <v/>
      </c>
      <c r="H1735" s="7" t="n"/>
      <c r="I1735" s="7" t="n"/>
      <c r="J1735" s="7" t="n"/>
      <c r="K1735" s="7" t="n"/>
      <c r="L1735" s="7" t="n"/>
      <c r="M1735" s="7" t="n"/>
      <c r="N1735" s="7" t="n"/>
      <c r="O1735" s="7" t="n"/>
      <c r="P1735" s="65" t="n"/>
      <c r="Q1735" s="75" t="n"/>
      <c r="R1735" s="75" t="n"/>
      <c r="S1735" s="76" t="n"/>
      <c r="T1735" s="76" t="n"/>
      <c r="U1735" s="70">
        <f>IF($A1735="","",IFERROR(INDEX('Techniciens'!$F$5:$F$44,MATCH(O1735,'Techniciens'!$B$5:$B$44,0)),'Paramètres'!$AA$10))</f>
        <v/>
      </c>
      <c r="V1735" s="70">
        <f>IF($A1735="","",IF(OR(AC1735="Demandé",AC1735="Planifié",AC1735="Annulé"),0,N(T1735)*N(U1735)))</f>
        <v/>
      </c>
      <c r="W1735" s="70">
        <f>IF($A1735="","",SUMIFS('Mouvements stock'!$H$5:$H$3004,'Mouvements stock'!$I$5:$I$3004,$A1735,'Mouvements stock'!$C$5:$C$3004,"Sortie")-SUMIFS('Mouvements stock'!$H$5:$H$3004,'Mouvements stock'!$I$5:$I$3004,$A1735,'Mouvements stock'!$C$5:$C$3004,"Retour"))</f>
        <v/>
      </c>
      <c r="X1735" s="66" t="n"/>
      <c r="Y1735" s="66" t="n"/>
      <c r="Z1735" s="7" t="n"/>
      <c r="AA1735" s="70">
        <f>IF($A1735="","",N(V1735)+N(W1735)+N(X1735)+N(Y1735))</f>
        <v/>
      </c>
      <c r="AB1735" s="70">
        <f>IF($A1735="","",N(S1735)*'Paramètres'!$AA$9*IFERROR(INDEX('Paramètres'!$O$5:$O$7,MATCH(G1735,'Paramètres'!$N$5:$N$7,0)),0))</f>
        <v/>
      </c>
      <c r="AC1735" s="7" t="n"/>
      <c r="AD1735" s="69">
        <f>IF(OR($A1735="",Q1735=""),"",(Q1735-B1735)*24)</f>
        <v/>
      </c>
      <c r="AE1735" s="69">
        <f>IF(OR(Q1735="",R1735=""),"",(R1735-Q1735)*24)</f>
        <v/>
      </c>
      <c r="AF1735" s="77">
        <f>IF(OR($A1735="",B1735=""),"",YEAR(B1735))</f>
        <v/>
      </c>
      <c r="AG1735" s="77">
        <f>IF(OR($A1735="",B1735=""),"",MONTH(B1735))</f>
        <v/>
      </c>
    </row>
    <row r="1736">
      <c r="A1736" s="7" t="n"/>
      <c r="B1736" s="75" t="n"/>
      <c r="C1736" s="7" t="n"/>
      <c r="D1736" s="7" t="n"/>
      <c r="E1736" s="9">
        <f>IF(D1736="","",IFERROR(INDEX('Équipements'!$B$5:$B$304,MATCH(D1736,'Équipements'!$A$5:$A$304,0)),"Code inconnu"))</f>
        <v/>
      </c>
      <c r="F1736" s="9">
        <f>IF(D1736="","",IFERROR(INDEX('Équipements'!$D$5:$D$304,MATCH(D1736,'Équipements'!$A$5:$A$304,0)),""))</f>
        <v/>
      </c>
      <c r="G1736" s="9">
        <f>IF(D1736="","",IFERROR(INDEX('Équipements'!$K$5:$K$304,MATCH(D1736,'Équipements'!$A$5:$A$304,0)),""))</f>
        <v/>
      </c>
      <c r="H1736" s="7" t="n"/>
      <c r="I1736" s="7" t="n"/>
      <c r="J1736" s="7" t="n"/>
      <c r="K1736" s="7" t="n"/>
      <c r="L1736" s="7" t="n"/>
      <c r="M1736" s="7" t="n"/>
      <c r="N1736" s="7" t="n"/>
      <c r="O1736" s="7" t="n"/>
      <c r="P1736" s="65" t="n"/>
      <c r="Q1736" s="75" t="n"/>
      <c r="R1736" s="75" t="n"/>
      <c r="S1736" s="76" t="n"/>
      <c r="T1736" s="76" t="n"/>
      <c r="U1736" s="70">
        <f>IF($A1736="","",IFERROR(INDEX('Techniciens'!$F$5:$F$44,MATCH(O1736,'Techniciens'!$B$5:$B$44,0)),'Paramètres'!$AA$10))</f>
        <v/>
      </c>
      <c r="V1736" s="70">
        <f>IF($A1736="","",IF(OR(AC1736="Demandé",AC1736="Planifié",AC1736="Annulé"),0,N(T1736)*N(U1736)))</f>
        <v/>
      </c>
      <c r="W1736" s="70">
        <f>IF($A1736="","",SUMIFS('Mouvements stock'!$H$5:$H$3004,'Mouvements stock'!$I$5:$I$3004,$A1736,'Mouvements stock'!$C$5:$C$3004,"Sortie")-SUMIFS('Mouvements stock'!$H$5:$H$3004,'Mouvements stock'!$I$5:$I$3004,$A1736,'Mouvements stock'!$C$5:$C$3004,"Retour"))</f>
        <v/>
      </c>
      <c r="X1736" s="66" t="n"/>
      <c r="Y1736" s="66" t="n"/>
      <c r="Z1736" s="7" t="n"/>
      <c r="AA1736" s="70">
        <f>IF($A1736="","",N(V1736)+N(W1736)+N(X1736)+N(Y1736))</f>
        <v/>
      </c>
      <c r="AB1736" s="70">
        <f>IF($A1736="","",N(S1736)*'Paramètres'!$AA$9*IFERROR(INDEX('Paramètres'!$O$5:$O$7,MATCH(G1736,'Paramètres'!$N$5:$N$7,0)),0))</f>
        <v/>
      </c>
      <c r="AC1736" s="7" t="n"/>
      <c r="AD1736" s="69">
        <f>IF(OR($A1736="",Q1736=""),"",(Q1736-B1736)*24)</f>
        <v/>
      </c>
      <c r="AE1736" s="69">
        <f>IF(OR(Q1736="",R1736=""),"",(R1736-Q1736)*24)</f>
        <v/>
      </c>
      <c r="AF1736" s="77">
        <f>IF(OR($A1736="",B1736=""),"",YEAR(B1736))</f>
        <v/>
      </c>
      <c r="AG1736" s="77">
        <f>IF(OR($A1736="",B1736=""),"",MONTH(B1736))</f>
        <v/>
      </c>
    </row>
    <row r="1737">
      <c r="A1737" s="7" t="n"/>
      <c r="B1737" s="75" t="n"/>
      <c r="C1737" s="7" t="n"/>
      <c r="D1737" s="7" t="n"/>
      <c r="E1737" s="9">
        <f>IF(D1737="","",IFERROR(INDEX('Équipements'!$B$5:$B$304,MATCH(D1737,'Équipements'!$A$5:$A$304,0)),"Code inconnu"))</f>
        <v/>
      </c>
      <c r="F1737" s="9">
        <f>IF(D1737="","",IFERROR(INDEX('Équipements'!$D$5:$D$304,MATCH(D1737,'Équipements'!$A$5:$A$304,0)),""))</f>
        <v/>
      </c>
      <c r="G1737" s="9">
        <f>IF(D1737="","",IFERROR(INDEX('Équipements'!$K$5:$K$304,MATCH(D1737,'Équipements'!$A$5:$A$304,0)),""))</f>
        <v/>
      </c>
      <c r="H1737" s="7" t="n"/>
      <c r="I1737" s="7" t="n"/>
      <c r="J1737" s="7" t="n"/>
      <c r="K1737" s="7" t="n"/>
      <c r="L1737" s="7" t="n"/>
      <c r="M1737" s="7" t="n"/>
      <c r="N1737" s="7" t="n"/>
      <c r="O1737" s="7" t="n"/>
      <c r="P1737" s="65" t="n"/>
      <c r="Q1737" s="75" t="n"/>
      <c r="R1737" s="75" t="n"/>
      <c r="S1737" s="76" t="n"/>
      <c r="T1737" s="76" t="n"/>
      <c r="U1737" s="70">
        <f>IF($A1737="","",IFERROR(INDEX('Techniciens'!$F$5:$F$44,MATCH(O1737,'Techniciens'!$B$5:$B$44,0)),'Paramètres'!$AA$10))</f>
        <v/>
      </c>
      <c r="V1737" s="70">
        <f>IF($A1737="","",IF(OR(AC1737="Demandé",AC1737="Planifié",AC1737="Annulé"),0,N(T1737)*N(U1737)))</f>
        <v/>
      </c>
      <c r="W1737" s="70">
        <f>IF($A1737="","",SUMIFS('Mouvements stock'!$H$5:$H$3004,'Mouvements stock'!$I$5:$I$3004,$A1737,'Mouvements stock'!$C$5:$C$3004,"Sortie")-SUMIFS('Mouvements stock'!$H$5:$H$3004,'Mouvements stock'!$I$5:$I$3004,$A1737,'Mouvements stock'!$C$5:$C$3004,"Retour"))</f>
        <v/>
      </c>
      <c r="X1737" s="66" t="n"/>
      <c r="Y1737" s="66" t="n"/>
      <c r="Z1737" s="7" t="n"/>
      <c r="AA1737" s="70">
        <f>IF($A1737="","",N(V1737)+N(W1737)+N(X1737)+N(Y1737))</f>
        <v/>
      </c>
      <c r="AB1737" s="70">
        <f>IF($A1737="","",N(S1737)*'Paramètres'!$AA$9*IFERROR(INDEX('Paramètres'!$O$5:$O$7,MATCH(G1737,'Paramètres'!$N$5:$N$7,0)),0))</f>
        <v/>
      </c>
      <c r="AC1737" s="7" t="n"/>
      <c r="AD1737" s="69">
        <f>IF(OR($A1737="",Q1737=""),"",(Q1737-B1737)*24)</f>
        <v/>
      </c>
      <c r="AE1737" s="69">
        <f>IF(OR(Q1737="",R1737=""),"",(R1737-Q1737)*24)</f>
        <v/>
      </c>
      <c r="AF1737" s="77">
        <f>IF(OR($A1737="",B1737=""),"",YEAR(B1737))</f>
        <v/>
      </c>
      <c r="AG1737" s="77">
        <f>IF(OR($A1737="",B1737=""),"",MONTH(B1737))</f>
        <v/>
      </c>
    </row>
    <row r="1738">
      <c r="A1738" s="7" t="n"/>
      <c r="B1738" s="75" t="n"/>
      <c r="C1738" s="7" t="n"/>
      <c r="D1738" s="7" t="n"/>
      <c r="E1738" s="9">
        <f>IF(D1738="","",IFERROR(INDEX('Équipements'!$B$5:$B$304,MATCH(D1738,'Équipements'!$A$5:$A$304,0)),"Code inconnu"))</f>
        <v/>
      </c>
      <c r="F1738" s="9">
        <f>IF(D1738="","",IFERROR(INDEX('Équipements'!$D$5:$D$304,MATCH(D1738,'Équipements'!$A$5:$A$304,0)),""))</f>
        <v/>
      </c>
      <c r="G1738" s="9">
        <f>IF(D1738="","",IFERROR(INDEX('Équipements'!$K$5:$K$304,MATCH(D1738,'Équipements'!$A$5:$A$304,0)),""))</f>
        <v/>
      </c>
      <c r="H1738" s="7" t="n"/>
      <c r="I1738" s="7" t="n"/>
      <c r="J1738" s="7" t="n"/>
      <c r="K1738" s="7" t="n"/>
      <c r="L1738" s="7" t="n"/>
      <c r="M1738" s="7" t="n"/>
      <c r="N1738" s="7" t="n"/>
      <c r="O1738" s="7" t="n"/>
      <c r="P1738" s="65" t="n"/>
      <c r="Q1738" s="75" t="n"/>
      <c r="R1738" s="75" t="n"/>
      <c r="S1738" s="76" t="n"/>
      <c r="T1738" s="76" t="n"/>
      <c r="U1738" s="70">
        <f>IF($A1738="","",IFERROR(INDEX('Techniciens'!$F$5:$F$44,MATCH(O1738,'Techniciens'!$B$5:$B$44,0)),'Paramètres'!$AA$10))</f>
        <v/>
      </c>
      <c r="V1738" s="70">
        <f>IF($A1738="","",IF(OR(AC1738="Demandé",AC1738="Planifié",AC1738="Annulé"),0,N(T1738)*N(U1738)))</f>
        <v/>
      </c>
      <c r="W1738" s="70">
        <f>IF($A1738="","",SUMIFS('Mouvements stock'!$H$5:$H$3004,'Mouvements stock'!$I$5:$I$3004,$A1738,'Mouvements stock'!$C$5:$C$3004,"Sortie")-SUMIFS('Mouvements stock'!$H$5:$H$3004,'Mouvements stock'!$I$5:$I$3004,$A1738,'Mouvements stock'!$C$5:$C$3004,"Retour"))</f>
        <v/>
      </c>
      <c r="X1738" s="66" t="n"/>
      <c r="Y1738" s="66" t="n"/>
      <c r="Z1738" s="7" t="n"/>
      <c r="AA1738" s="70">
        <f>IF($A1738="","",N(V1738)+N(W1738)+N(X1738)+N(Y1738))</f>
        <v/>
      </c>
      <c r="AB1738" s="70">
        <f>IF($A1738="","",N(S1738)*'Paramètres'!$AA$9*IFERROR(INDEX('Paramètres'!$O$5:$O$7,MATCH(G1738,'Paramètres'!$N$5:$N$7,0)),0))</f>
        <v/>
      </c>
      <c r="AC1738" s="7" t="n"/>
      <c r="AD1738" s="69">
        <f>IF(OR($A1738="",Q1738=""),"",(Q1738-B1738)*24)</f>
        <v/>
      </c>
      <c r="AE1738" s="69">
        <f>IF(OR(Q1738="",R1738=""),"",(R1738-Q1738)*24)</f>
        <v/>
      </c>
      <c r="AF1738" s="77">
        <f>IF(OR($A1738="",B1738=""),"",YEAR(B1738))</f>
        <v/>
      </c>
      <c r="AG1738" s="77">
        <f>IF(OR($A1738="",B1738=""),"",MONTH(B1738))</f>
        <v/>
      </c>
    </row>
    <row r="1739">
      <c r="A1739" s="7" t="n"/>
      <c r="B1739" s="75" t="n"/>
      <c r="C1739" s="7" t="n"/>
      <c r="D1739" s="7" t="n"/>
      <c r="E1739" s="9">
        <f>IF(D1739="","",IFERROR(INDEX('Équipements'!$B$5:$B$304,MATCH(D1739,'Équipements'!$A$5:$A$304,0)),"Code inconnu"))</f>
        <v/>
      </c>
      <c r="F1739" s="9">
        <f>IF(D1739="","",IFERROR(INDEX('Équipements'!$D$5:$D$304,MATCH(D1739,'Équipements'!$A$5:$A$304,0)),""))</f>
        <v/>
      </c>
      <c r="G1739" s="9">
        <f>IF(D1739="","",IFERROR(INDEX('Équipements'!$K$5:$K$304,MATCH(D1739,'Équipements'!$A$5:$A$304,0)),""))</f>
        <v/>
      </c>
      <c r="H1739" s="7" t="n"/>
      <c r="I1739" s="7" t="n"/>
      <c r="J1739" s="7" t="n"/>
      <c r="K1739" s="7" t="n"/>
      <c r="L1739" s="7" t="n"/>
      <c r="M1739" s="7" t="n"/>
      <c r="N1739" s="7" t="n"/>
      <c r="O1739" s="7" t="n"/>
      <c r="P1739" s="65" t="n"/>
      <c r="Q1739" s="75" t="n"/>
      <c r="R1739" s="75" t="n"/>
      <c r="S1739" s="76" t="n"/>
      <c r="T1739" s="76" t="n"/>
      <c r="U1739" s="70">
        <f>IF($A1739="","",IFERROR(INDEX('Techniciens'!$F$5:$F$44,MATCH(O1739,'Techniciens'!$B$5:$B$44,0)),'Paramètres'!$AA$10))</f>
        <v/>
      </c>
      <c r="V1739" s="70">
        <f>IF($A1739="","",IF(OR(AC1739="Demandé",AC1739="Planifié",AC1739="Annulé"),0,N(T1739)*N(U1739)))</f>
        <v/>
      </c>
      <c r="W1739" s="70">
        <f>IF($A1739="","",SUMIFS('Mouvements stock'!$H$5:$H$3004,'Mouvements stock'!$I$5:$I$3004,$A1739,'Mouvements stock'!$C$5:$C$3004,"Sortie")-SUMIFS('Mouvements stock'!$H$5:$H$3004,'Mouvements stock'!$I$5:$I$3004,$A1739,'Mouvements stock'!$C$5:$C$3004,"Retour"))</f>
        <v/>
      </c>
      <c r="X1739" s="66" t="n"/>
      <c r="Y1739" s="66" t="n"/>
      <c r="Z1739" s="7" t="n"/>
      <c r="AA1739" s="70">
        <f>IF($A1739="","",N(V1739)+N(W1739)+N(X1739)+N(Y1739))</f>
        <v/>
      </c>
      <c r="AB1739" s="70">
        <f>IF($A1739="","",N(S1739)*'Paramètres'!$AA$9*IFERROR(INDEX('Paramètres'!$O$5:$O$7,MATCH(G1739,'Paramètres'!$N$5:$N$7,0)),0))</f>
        <v/>
      </c>
      <c r="AC1739" s="7" t="n"/>
      <c r="AD1739" s="69">
        <f>IF(OR($A1739="",Q1739=""),"",(Q1739-B1739)*24)</f>
        <v/>
      </c>
      <c r="AE1739" s="69">
        <f>IF(OR(Q1739="",R1739=""),"",(R1739-Q1739)*24)</f>
        <v/>
      </c>
      <c r="AF1739" s="77">
        <f>IF(OR($A1739="",B1739=""),"",YEAR(B1739))</f>
        <v/>
      </c>
      <c r="AG1739" s="77">
        <f>IF(OR($A1739="",B1739=""),"",MONTH(B1739))</f>
        <v/>
      </c>
    </row>
    <row r="1740">
      <c r="A1740" s="7" t="n"/>
      <c r="B1740" s="75" t="n"/>
      <c r="C1740" s="7" t="n"/>
      <c r="D1740" s="7" t="n"/>
      <c r="E1740" s="9">
        <f>IF(D1740="","",IFERROR(INDEX('Équipements'!$B$5:$B$304,MATCH(D1740,'Équipements'!$A$5:$A$304,0)),"Code inconnu"))</f>
        <v/>
      </c>
      <c r="F1740" s="9">
        <f>IF(D1740="","",IFERROR(INDEX('Équipements'!$D$5:$D$304,MATCH(D1740,'Équipements'!$A$5:$A$304,0)),""))</f>
        <v/>
      </c>
      <c r="G1740" s="9">
        <f>IF(D1740="","",IFERROR(INDEX('Équipements'!$K$5:$K$304,MATCH(D1740,'Équipements'!$A$5:$A$304,0)),""))</f>
        <v/>
      </c>
      <c r="H1740" s="7" t="n"/>
      <c r="I1740" s="7" t="n"/>
      <c r="J1740" s="7" t="n"/>
      <c r="K1740" s="7" t="n"/>
      <c r="L1740" s="7" t="n"/>
      <c r="M1740" s="7" t="n"/>
      <c r="N1740" s="7" t="n"/>
      <c r="O1740" s="7" t="n"/>
      <c r="P1740" s="65" t="n"/>
      <c r="Q1740" s="75" t="n"/>
      <c r="R1740" s="75" t="n"/>
      <c r="S1740" s="76" t="n"/>
      <c r="T1740" s="76" t="n"/>
      <c r="U1740" s="70">
        <f>IF($A1740="","",IFERROR(INDEX('Techniciens'!$F$5:$F$44,MATCH(O1740,'Techniciens'!$B$5:$B$44,0)),'Paramètres'!$AA$10))</f>
        <v/>
      </c>
      <c r="V1740" s="70">
        <f>IF($A1740="","",IF(OR(AC1740="Demandé",AC1740="Planifié",AC1740="Annulé"),0,N(T1740)*N(U1740)))</f>
        <v/>
      </c>
      <c r="W1740" s="70">
        <f>IF($A1740="","",SUMIFS('Mouvements stock'!$H$5:$H$3004,'Mouvements stock'!$I$5:$I$3004,$A1740,'Mouvements stock'!$C$5:$C$3004,"Sortie")-SUMIFS('Mouvements stock'!$H$5:$H$3004,'Mouvements stock'!$I$5:$I$3004,$A1740,'Mouvements stock'!$C$5:$C$3004,"Retour"))</f>
        <v/>
      </c>
      <c r="X1740" s="66" t="n"/>
      <c r="Y1740" s="66" t="n"/>
      <c r="Z1740" s="7" t="n"/>
      <c r="AA1740" s="70">
        <f>IF($A1740="","",N(V1740)+N(W1740)+N(X1740)+N(Y1740))</f>
        <v/>
      </c>
      <c r="AB1740" s="70">
        <f>IF($A1740="","",N(S1740)*'Paramètres'!$AA$9*IFERROR(INDEX('Paramètres'!$O$5:$O$7,MATCH(G1740,'Paramètres'!$N$5:$N$7,0)),0))</f>
        <v/>
      </c>
      <c r="AC1740" s="7" t="n"/>
      <c r="AD1740" s="69">
        <f>IF(OR($A1740="",Q1740=""),"",(Q1740-B1740)*24)</f>
        <v/>
      </c>
      <c r="AE1740" s="69">
        <f>IF(OR(Q1740="",R1740=""),"",(R1740-Q1740)*24)</f>
        <v/>
      </c>
      <c r="AF1740" s="77">
        <f>IF(OR($A1740="",B1740=""),"",YEAR(B1740))</f>
        <v/>
      </c>
      <c r="AG1740" s="77">
        <f>IF(OR($A1740="",B1740=""),"",MONTH(B1740))</f>
        <v/>
      </c>
    </row>
    <row r="1741">
      <c r="A1741" s="7" t="n"/>
      <c r="B1741" s="75" t="n"/>
      <c r="C1741" s="7" t="n"/>
      <c r="D1741" s="7" t="n"/>
      <c r="E1741" s="9">
        <f>IF(D1741="","",IFERROR(INDEX('Équipements'!$B$5:$B$304,MATCH(D1741,'Équipements'!$A$5:$A$304,0)),"Code inconnu"))</f>
        <v/>
      </c>
      <c r="F1741" s="9">
        <f>IF(D1741="","",IFERROR(INDEX('Équipements'!$D$5:$D$304,MATCH(D1741,'Équipements'!$A$5:$A$304,0)),""))</f>
        <v/>
      </c>
      <c r="G1741" s="9">
        <f>IF(D1741="","",IFERROR(INDEX('Équipements'!$K$5:$K$304,MATCH(D1741,'Équipements'!$A$5:$A$304,0)),""))</f>
        <v/>
      </c>
      <c r="H1741" s="7" t="n"/>
      <c r="I1741" s="7" t="n"/>
      <c r="J1741" s="7" t="n"/>
      <c r="K1741" s="7" t="n"/>
      <c r="L1741" s="7" t="n"/>
      <c r="M1741" s="7" t="n"/>
      <c r="N1741" s="7" t="n"/>
      <c r="O1741" s="7" t="n"/>
      <c r="P1741" s="65" t="n"/>
      <c r="Q1741" s="75" t="n"/>
      <c r="R1741" s="75" t="n"/>
      <c r="S1741" s="76" t="n"/>
      <c r="T1741" s="76" t="n"/>
      <c r="U1741" s="70">
        <f>IF($A1741="","",IFERROR(INDEX('Techniciens'!$F$5:$F$44,MATCH(O1741,'Techniciens'!$B$5:$B$44,0)),'Paramètres'!$AA$10))</f>
        <v/>
      </c>
      <c r="V1741" s="70">
        <f>IF($A1741="","",IF(OR(AC1741="Demandé",AC1741="Planifié",AC1741="Annulé"),0,N(T1741)*N(U1741)))</f>
        <v/>
      </c>
      <c r="W1741" s="70">
        <f>IF($A1741="","",SUMIFS('Mouvements stock'!$H$5:$H$3004,'Mouvements stock'!$I$5:$I$3004,$A1741,'Mouvements stock'!$C$5:$C$3004,"Sortie")-SUMIFS('Mouvements stock'!$H$5:$H$3004,'Mouvements stock'!$I$5:$I$3004,$A1741,'Mouvements stock'!$C$5:$C$3004,"Retour"))</f>
        <v/>
      </c>
      <c r="X1741" s="66" t="n"/>
      <c r="Y1741" s="66" t="n"/>
      <c r="Z1741" s="7" t="n"/>
      <c r="AA1741" s="70">
        <f>IF($A1741="","",N(V1741)+N(W1741)+N(X1741)+N(Y1741))</f>
        <v/>
      </c>
      <c r="AB1741" s="70">
        <f>IF($A1741="","",N(S1741)*'Paramètres'!$AA$9*IFERROR(INDEX('Paramètres'!$O$5:$O$7,MATCH(G1741,'Paramètres'!$N$5:$N$7,0)),0))</f>
        <v/>
      </c>
      <c r="AC1741" s="7" t="n"/>
      <c r="AD1741" s="69">
        <f>IF(OR($A1741="",Q1741=""),"",(Q1741-B1741)*24)</f>
        <v/>
      </c>
      <c r="AE1741" s="69">
        <f>IF(OR(Q1741="",R1741=""),"",(R1741-Q1741)*24)</f>
        <v/>
      </c>
      <c r="AF1741" s="77">
        <f>IF(OR($A1741="",B1741=""),"",YEAR(B1741))</f>
        <v/>
      </c>
      <c r="AG1741" s="77">
        <f>IF(OR($A1741="",B1741=""),"",MONTH(B1741))</f>
        <v/>
      </c>
    </row>
    <row r="1742">
      <c r="A1742" s="7" t="n"/>
      <c r="B1742" s="75" t="n"/>
      <c r="C1742" s="7" t="n"/>
      <c r="D1742" s="7" t="n"/>
      <c r="E1742" s="9">
        <f>IF(D1742="","",IFERROR(INDEX('Équipements'!$B$5:$B$304,MATCH(D1742,'Équipements'!$A$5:$A$304,0)),"Code inconnu"))</f>
        <v/>
      </c>
      <c r="F1742" s="9">
        <f>IF(D1742="","",IFERROR(INDEX('Équipements'!$D$5:$D$304,MATCH(D1742,'Équipements'!$A$5:$A$304,0)),""))</f>
        <v/>
      </c>
      <c r="G1742" s="9">
        <f>IF(D1742="","",IFERROR(INDEX('Équipements'!$K$5:$K$304,MATCH(D1742,'Équipements'!$A$5:$A$304,0)),""))</f>
        <v/>
      </c>
      <c r="H1742" s="7" t="n"/>
      <c r="I1742" s="7" t="n"/>
      <c r="J1742" s="7" t="n"/>
      <c r="K1742" s="7" t="n"/>
      <c r="L1742" s="7" t="n"/>
      <c r="M1742" s="7" t="n"/>
      <c r="N1742" s="7" t="n"/>
      <c r="O1742" s="7" t="n"/>
      <c r="P1742" s="65" t="n"/>
      <c r="Q1742" s="75" t="n"/>
      <c r="R1742" s="75" t="n"/>
      <c r="S1742" s="76" t="n"/>
      <c r="T1742" s="76" t="n"/>
      <c r="U1742" s="70">
        <f>IF($A1742="","",IFERROR(INDEX('Techniciens'!$F$5:$F$44,MATCH(O1742,'Techniciens'!$B$5:$B$44,0)),'Paramètres'!$AA$10))</f>
        <v/>
      </c>
      <c r="V1742" s="70">
        <f>IF($A1742="","",IF(OR(AC1742="Demandé",AC1742="Planifié",AC1742="Annulé"),0,N(T1742)*N(U1742)))</f>
        <v/>
      </c>
      <c r="W1742" s="70">
        <f>IF($A1742="","",SUMIFS('Mouvements stock'!$H$5:$H$3004,'Mouvements stock'!$I$5:$I$3004,$A1742,'Mouvements stock'!$C$5:$C$3004,"Sortie")-SUMIFS('Mouvements stock'!$H$5:$H$3004,'Mouvements stock'!$I$5:$I$3004,$A1742,'Mouvements stock'!$C$5:$C$3004,"Retour"))</f>
        <v/>
      </c>
      <c r="X1742" s="66" t="n"/>
      <c r="Y1742" s="66" t="n"/>
      <c r="Z1742" s="7" t="n"/>
      <c r="AA1742" s="70">
        <f>IF($A1742="","",N(V1742)+N(W1742)+N(X1742)+N(Y1742))</f>
        <v/>
      </c>
      <c r="AB1742" s="70">
        <f>IF($A1742="","",N(S1742)*'Paramètres'!$AA$9*IFERROR(INDEX('Paramètres'!$O$5:$O$7,MATCH(G1742,'Paramètres'!$N$5:$N$7,0)),0))</f>
        <v/>
      </c>
      <c r="AC1742" s="7" t="n"/>
      <c r="AD1742" s="69">
        <f>IF(OR($A1742="",Q1742=""),"",(Q1742-B1742)*24)</f>
        <v/>
      </c>
      <c r="AE1742" s="69">
        <f>IF(OR(Q1742="",R1742=""),"",(R1742-Q1742)*24)</f>
        <v/>
      </c>
      <c r="AF1742" s="77">
        <f>IF(OR($A1742="",B1742=""),"",YEAR(B1742))</f>
        <v/>
      </c>
      <c r="AG1742" s="77">
        <f>IF(OR($A1742="",B1742=""),"",MONTH(B1742))</f>
        <v/>
      </c>
    </row>
    <row r="1743">
      <c r="A1743" s="7" t="n"/>
      <c r="B1743" s="75" t="n"/>
      <c r="C1743" s="7" t="n"/>
      <c r="D1743" s="7" t="n"/>
      <c r="E1743" s="9">
        <f>IF(D1743="","",IFERROR(INDEX('Équipements'!$B$5:$B$304,MATCH(D1743,'Équipements'!$A$5:$A$304,0)),"Code inconnu"))</f>
        <v/>
      </c>
      <c r="F1743" s="9">
        <f>IF(D1743="","",IFERROR(INDEX('Équipements'!$D$5:$D$304,MATCH(D1743,'Équipements'!$A$5:$A$304,0)),""))</f>
        <v/>
      </c>
      <c r="G1743" s="9">
        <f>IF(D1743="","",IFERROR(INDEX('Équipements'!$K$5:$K$304,MATCH(D1743,'Équipements'!$A$5:$A$304,0)),""))</f>
        <v/>
      </c>
      <c r="H1743" s="7" t="n"/>
      <c r="I1743" s="7" t="n"/>
      <c r="J1743" s="7" t="n"/>
      <c r="K1743" s="7" t="n"/>
      <c r="L1743" s="7" t="n"/>
      <c r="M1743" s="7" t="n"/>
      <c r="N1743" s="7" t="n"/>
      <c r="O1743" s="7" t="n"/>
      <c r="P1743" s="65" t="n"/>
      <c r="Q1743" s="75" t="n"/>
      <c r="R1743" s="75" t="n"/>
      <c r="S1743" s="76" t="n"/>
      <c r="T1743" s="76" t="n"/>
      <c r="U1743" s="70">
        <f>IF($A1743="","",IFERROR(INDEX('Techniciens'!$F$5:$F$44,MATCH(O1743,'Techniciens'!$B$5:$B$44,0)),'Paramètres'!$AA$10))</f>
        <v/>
      </c>
      <c r="V1743" s="70">
        <f>IF($A1743="","",IF(OR(AC1743="Demandé",AC1743="Planifié",AC1743="Annulé"),0,N(T1743)*N(U1743)))</f>
        <v/>
      </c>
      <c r="W1743" s="70">
        <f>IF($A1743="","",SUMIFS('Mouvements stock'!$H$5:$H$3004,'Mouvements stock'!$I$5:$I$3004,$A1743,'Mouvements stock'!$C$5:$C$3004,"Sortie")-SUMIFS('Mouvements stock'!$H$5:$H$3004,'Mouvements stock'!$I$5:$I$3004,$A1743,'Mouvements stock'!$C$5:$C$3004,"Retour"))</f>
        <v/>
      </c>
      <c r="X1743" s="66" t="n"/>
      <c r="Y1743" s="66" t="n"/>
      <c r="Z1743" s="7" t="n"/>
      <c r="AA1743" s="70">
        <f>IF($A1743="","",N(V1743)+N(W1743)+N(X1743)+N(Y1743))</f>
        <v/>
      </c>
      <c r="AB1743" s="70">
        <f>IF($A1743="","",N(S1743)*'Paramètres'!$AA$9*IFERROR(INDEX('Paramètres'!$O$5:$O$7,MATCH(G1743,'Paramètres'!$N$5:$N$7,0)),0))</f>
        <v/>
      </c>
      <c r="AC1743" s="7" t="n"/>
      <c r="AD1743" s="69">
        <f>IF(OR($A1743="",Q1743=""),"",(Q1743-B1743)*24)</f>
        <v/>
      </c>
      <c r="AE1743" s="69">
        <f>IF(OR(Q1743="",R1743=""),"",(R1743-Q1743)*24)</f>
        <v/>
      </c>
      <c r="AF1743" s="77">
        <f>IF(OR($A1743="",B1743=""),"",YEAR(B1743))</f>
        <v/>
      </c>
      <c r="AG1743" s="77">
        <f>IF(OR($A1743="",B1743=""),"",MONTH(B1743))</f>
        <v/>
      </c>
    </row>
    <row r="1744">
      <c r="A1744" s="7" t="n"/>
      <c r="B1744" s="75" t="n"/>
      <c r="C1744" s="7" t="n"/>
      <c r="D1744" s="7" t="n"/>
      <c r="E1744" s="9">
        <f>IF(D1744="","",IFERROR(INDEX('Équipements'!$B$5:$B$304,MATCH(D1744,'Équipements'!$A$5:$A$304,0)),"Code inconnu"))</f>
        <v/>
      </c>
      <c r="F1744" s="9">
        <f>IF(D1744="","",IFERROR(INDEX('Équipements'!$D$5:$D$304,MATCH(D1744,'Équipements'!$A$5:$A$304,0)),""))</f>
        <v/>
      </c>
      <c r="G1744" s="9">
        <f>IF(D1744="","",IFERROR(INDEX('Équipements'!$K$5:$K$304,MATCH(D1744,'Équipements'!$A$5:$A$304,0)),""))</f>
        <v/>
      </c>
      <c r="H1744" s="7" t="n"/>
      <c r="I1744" s="7" t="n"/>
      <c r="J1744" s="7" t="n"/>
      <c r="K1744" s="7" t="n"/>
      <c r="L1744" s="7" t="n"/>
      <c r="M1744" s="7" t="n"/>
      <c r="N1744" s="7" t="n"/>
      <c r="O1744" s="7" t="n"/>
      <c r="P1744" s="65" t="n"/>
      <c r="Q1744" s="75" t="n"/>
      <c r="R1744" s="75" t="n"/>
      <c r="S1744" s="76" t="n"/>
      <c r="T1744" s="76" t="n"/>
      <c r="U1744" s="70">
        <f>IF($A1744="","",IFERROR(INDEX('Techniciens'!$F$5:$F$44,MATCH(O1744,'Techniciens'!$B$5:$B$44,0)),'Paramètres'!$AA$10))</f>
        <v/>
      </c>
      <c r="V1744" s="70">
        <f>IF($A1744="","",IF(OR(AC1744="Demandé",AC1744="Planifié",AC1744="Annulé"),0,N(T1744)*N(U1744)))</f>
        <v/>
      </c>
      <c r="W1744" s="70">
        <f>IF($A1744="","",SUMIFS('Mouvements stock'!$H$5:$H$3004,'Mouvements stock'!$I$5:$I$3004,$A1744,'Mouvements stock'!$C$5:$C$3004,"Sortie")-SUMIFS('Mouvements stock'!$H$5:$H$3004,'Mouvements stock'!$I$5:$I$3004,$A1744,'Mouvements stock'!$C$5:$C$3004,"Retour"))</f>
        <v/>
      </c>
      <c r="X1744" s="66" t="n"/>
      <c r="Y1744" s="66" t="n"/>
      <c r="Z1744" s="7" t="n"/>
      <c r="AA1744" s="70">
        <f>IF($A1744="","",N(V1744)+N(W1744)+N(X1744)+N(Y1744))</f>
        <v/>
      </c>
      <c r="AB1744" s="70">
        <f>IF($A1744="","",N(S1744)*'Paramètres'!$AA$9*IFERROR(INDEX('Paramètres'!$O$5:$O$7,MATCH(G1744,'Paramètres'!$N$5:$N$7,0)),0))</f>
        <v/>
      </c>
      <c r="AC1744" s="7" t="n"/>
      <c r="AD1744" s="69">
        <f>IF(OR($A1744="",Q1744=""),"",(Q1744-B1744)*24)</f>
        <v/>
      </c>
      <c r="AE1744" s="69">
        <f>IF(OR(Q1744="",R1744=""),"",(R1744-Q1744)*24)</f>
        <v/>
      </c>
      <c r="AF1744" s="77">
        <f>IF(OR($A1744="",B1744=""),"",YEAR(B1744))</f>
        <v/>
      </c>
      <c r="AG1744" s="77">
        <f>IF(OR($A1744="",B1744=""),"",MONTH(B1744))</f>
        <v/>
      </c>
    </row>
    <row r="1745">
      <c r="A1745" s="7" t="n"/>
      <c r="B1745" s="75" t="n"/>
      <c r="C1745" s="7" t="n"/>
      <c r="D1745" s="7" t="n"/>
      <c r="E1745" s="9">
        <f>IF(D1745="","",IFERROR(INDEX('Équipements'!$B$5:$B$304,MATCH(D1745,'Équipements'!$A$5:$A$304,0)),"Code inconnu"))</f>
        <v/>
      </c>
      <c r="F1745" s="9">
        <f>IF(D1745="","",IFERROR(INDEX('Équipements'!$D$5:$D$304,MATCH(D1745,'Équipements'!$A$5:$A$304,0)),""))</f>
        <v/>
      </c>
      <c r="G1745" s="9">
        <f>IF(D1745="","",IFERROR(INDEX('Équipements'!$K$5:$K$304,MATCH(D1745,'Équipements'!$A$5:$A$304,0)),""))</f>
        <v/>
      </c>
      <c r="H1745" s="7" t="n"/>
      <c r="I1745" s="7" t="n"/>
      <c r="J1745" s="7" t="n"/>
      <c r="K1745" s="7" t="n"/>
      <c r="L1745" s="7" t="n"/>
      <c r="M1745" s="7" t="n"/>
      <c r="N1745" s="7" t="n"/>
      <c r="O1745" s="7" t="n"/>
      <c r="P1745" s="65" t="n"/>
      <c r="Q1745" s="75" t="n"/>
      <c r="R1745" s="75" t="n"/>
      <c r="S1745" s="76" t="n"/>
      <c r="T1745" s="76" t="n"/>
      <c r="U1745" s="70">
        <f>IF($A1745="","",IFERROR(INDEX('Techniciens'!$F$5:$F$44,MATCH(O1745,'Techniciens'!$B$5:$B$44,0)),'Paramètres'!$AA$10))</f>
        <v/>
      </c>
      <c r="V1745" s="70">
        <f>IF($A1745="","",IF(OR(AC1745="Demandé",AC1745="Planifié",AC1745="Annulé"),0,N(T1745)*N(U1745)))</f>
        <v/>
      </c>
      <c r="W1745" s="70">
        <f>IF($A1745="","",SUMIFS('Mouvements stock'!$H$5:$H$3004,'Mouvements stock'!$I$5:$I$3004,$A1745,'Mouvements stock'!$C$5:$C$3004,"Sortie")-SUMIFS('Mouvements stock'!$H$5:$H$3004,'Mouvements stock'!$I$5:$I$3004,$A1745,'Mouvements stock'!$C$5:$C$3004,"Retour"))</f>
        <v/>
      </c>
      <c r="X1745" s="66" t="n"/>
      <c r="Y1745" s="66" t="n"/>
      <c r="Z1745" s="7" t="n"/>
      <c r="AA1745" s="70">
        <f>IF($A1745="","",N(V1745)+N(W1745)+N(X1745)+N(Y1745))</f>
        <v/>
      </c>
      <c r="AB1745" s="70">
        <f>IF($A1745="","",N(S1745)*'Paramètres'!$AA$9*IFERROR(INDEX('Paramètres'!$O$5:$O$7,MATCH(G1745,'Paramètres'!$N$5:$N$7,0)),0))</f>
        <v/>
      </c>
      <c r="AC1745" s="7" t="n"/>
      <c r="AD1745" s="69">
        <f>IF(OR($A1745="",Q1745=""),"",(Q1745-B1745)*24)</f>
        <v/>
      </c>
      <c r="AE1745" s="69">
        <f>IF(OR(Q1745="",R1745=""),"",(R1745-Q1745)*24)</f>
        <v/>
      </c>
      <c r="AF1745" s="77">
        <f>IF(OR($A1745="",B1745=""),"",YEAR(B1745))</f>
        <v/>
      </c>
      <c r="AG1745" s="77">
        <f>IF(OR($A1745="",B1745=""),"",MONTH(B1745))</f>
        <v/>
      </c>
    </row>
    <row r="1746">
      <c r="A1746" s="7" t="n"/>
      <c r="B1746" s="75" t="n"/>
      <c r="C1746" s="7" t="n"/>
      <c r="D1746" s="7" t="n"/>
      <c r="E1746" s="9">
        <f>IF(D1746="","",IFERROR(INDEX('Équipements'!$B$5:$B$304,MATCH(D1746,'Équipements'!$A$5:$A$304,0)),"Code inconnu"))</f>
        <v/>
      </c>
      <c r="F1746" s="9">
        <f>IF(D1746="","",IFERROR(INDEX('Équipements'!$D$5:$D$304,MATCH(D1746,'Équipements'!$A$5:$A$304,0)),""))</f>
        <v/>
      </c>
      <c r="G1746" s="9">
        <f>IF(D1746="","",IFERROR(INDEX('Équipements'!$K$5:$K$304,MATCH(D1746,'Équipements'!$A$5:$A$304,0)),""))</f>
        <v/>
      </c>
      <c r="H1746" s="7" t="n"/>
      <c r="I1746" s="7" t="n"/>
      <c r="J1746" s="7" t="n"/>
      <c r="K1746" s="7" t="n"/>
      <c r="L1746" s="7" t="n"/>
      <c r="M1746" s="7" t="n"/>
      <c r="N1746" s="7" t="n"/>
      <c r="O1746" s="7" t="n"/>
      <c r="P1746" s="65" t="n"/>
      <c r="Q1746" s="75" t="n"/>
      <c r="R1746" s="75" t="n"/>
      <c r="S1746" s="76" t="n"/>
      <c r="T1746" s="76" t="n"/>
      <c r="U1746" s="70">
        <f>IF($A1746="","",IFERROR(INDEX('Techniciens'!$F$5:$F$44,MATCH(O1746,'Techniciens'!$B$5:$B$44,0)),'Paramètres'!$AA$10))</f>
        <v/>
      </c>
      <c r="V1746" s="70">
        <f>IF($A1746="","",IF(OR(AC1746="Demandé",AC1746="Planifié",AC1746="Annulé"),0,N(T1746)*N(U1746)))</f>
        <v/>
      </c>
      <c r="W1746" s="70">
        <f>IF($A1746="","",SUMIFS('Mouvements stock'!$H$5:$H$3004,'Mouvements stock'!$I$5:$I$3004,$A1746,'Mouvements stock'!$C$5:$C$3004,"Sortie")-SUMIFS('Mouvements stock'!$H$5:$H$3004,'Mouvements stock'!$I$5:$I$3004,$A1746,'Mouvements stock'!$C$5:$C$3004,"Retour"))</f>
        <v/>
      </c>
      <c r="X1746" s="66" t="n"/>
      <c r="Y1746" s="66" t="n"/>
      <c r="Z1746" s="7" t="n"/>
      <c r="AA1746" s="70">
        <f>IF($A1746="","",N(V1746)+N(W1746)+N(X1746)+N(Y1746))</f>
        <v/>
      </c>
      <c r="AB1746" s="70">
        <f>IF($A1746="","",N(S1746)*'Paramètres'!$AA$9*IFERROR(INDEX('Paramètres'!$O$5:$O$7,MATCH(G1746,'Paramètres'!$N$5:$N$7,0)),0))</f>
        <v/>
      </c>
      <c r="AC1746" s="7" t="n"/>
      <c r="AD1746" s="69">
        <f>IF(OR($A1746="",Q1746=""),"",(Q1746-B1746)*24)</f>
        <v/>
      </c>
      <c r="AE1746" s="69">
        <f>IF(OR(Q1746="",R1746=""),"",(R1746-Q1746)*24)</f>
        <v/>
      </c>
      <c r="AF1746" s="77">
        <f>IF(OR($A1746="",B1746=""),"",YEAR(B1746))</f>
        <v/>
      </c>
      <c r="AG1746" s="77">
        <f>IF(OR($A1746="",B1746=""),"",MONTH(B1746))</f>
        <v/>
      </c>
    </row>
    <row r="1747">
      <c r="A1747" s="7" t="n"/>
      <c r="B1747" s="75" t="n"/>
      <c r="C1747" s="7" t="n"/>
      <c r="D1747" s="7" t="n"/>
      <c r="E1747" s="9">
        <f>IF(D1747="","",IFERROR(INDEX('Équipements'!$B$5:$B$304,MATCH(D1747,'Équipements'!$A$5:$A$304,0)),"Code inconnu"))</f>
        <v/>
      </c>
      <c r="F1747" s="9">
        <f>IF(D1747="","",IFERROR(INDEX('Équipements'!$D$5:$D$304,MATCH(D1747,'Équipements'!$A$5:$A$304,0)),""))</f>
        <v/>
      </c>
      <c r="G1747" s="9">
        <f>IF(D1747="","",IFERROR(INDEX('Équipements'!$K$5:$K$304,MATCH(D1747,'Équipements'!$A$5:$A$304,0)),""))</f>
        <v/>
      </c>
      <c r="H1747" s="7" t="n"/>
      <c r="I1747" s="7" t="n"/>
      <c r="J1747" s="7" t="n"/>
      <c r="K1747" s="7" t="n"/>
      <c r="L1747" s="7" t="n"/>
      <c r="M1747" s="7" t="n"/>
      <c r="N1747" s="7" t="n"/>
      <c r="O1747" s="7" t="n"/>
      <c r="P1747" s="65" t="n"/>
      <c r="Q1747" s="75" t="n"/>
      <c r="R1747" s="75" t="n"/>
      <c r="S1747" s="76" t="n"/>
      <c r="T1747" s="76" t="n"/>
      <c r="U1747" s="70">
        <f>IF($A1747="","",IFERROR(INDEX('Techniciens'!$F$5:$F$44,MATCH(O1747,'Techniciens'!$B$5:$B$44,0)),'Paramètres'!$AA$10))</f>
        <v/>
      </c>
      <c r="V1747" s="70">
        <f>IF($A1747="","",IF(OR(AC1747="Demandé",AC1747="Planifié",AC1747="Annulé"),0,N(T1747)*N(U1747)))</f>
        <v/>
      </c>
      <c r="W1747" s="70">
        <f>IF($A1747="","",SUMIFS('Mouvements stock'!$H$5:$H$3004,'Mouvements stock'!$I$5:$I$3004,$A1747,'Mouvements stock'!$C$5:$C$3004,"Sortie")-SUMIFS('Mouvements stock'!$H$5:$H$3004,'Mouvements stock'!$I$5:$I$3004,$A1747,'Mouvements stock'!$C$5:$C$3004,"Retour"))</f>
        <v/>
      </c>
      <c r="X1747" s="66" t="n"/>
      <c r="Y1747" s="66" t="n"/>
      <c r="Z1747" s="7" t="n"/>
      <c r="AA1747" s="70">
        <f>IF($A1747="","",N(V1747)+N(W1747)+N(X1747)+N(Y1747))</f>
        <v/>
      </c>
      <c r="AB1747" s="70">
        <f>IF($A1747="","",N(S1747)*'Paramètres'!$AA$9*IFERROR(INDEX('Paramètres'!$O$5:$O$7,MATCH(G1747,'Paramètres'!$N$5:$N$7,0)),0))</f>
        <v/>
      </c>
      <c r="AC1747" s="7" t="n"/>
      <c r="AD1747" s="69">
        <f>IF(OR($A1747="",Q1747=""),"",(Q1747-B1747)*24)</f>
        <v/>
      </c>
      <c r="AE1747" s="69">
        <f>IF(OR(Q1747="",R1747=""),"",(R1747-Q1747)*24)</f>
        <v/>
      </c>
      <c r="AF1747" s="77">
        <f>IF(OR($A1747="",B1747=""),"",YEAR(B1747))</f>
        <v/>
      </c>
      <c r="AG1747" s="77">
        <f>IF(OR($A1747="",B1747=""),"",MONTH(B1747))</f>
        <v/>
      </c>
    </row>
    <row r="1748">
      <c r="A1748" s="7" t="n"/>
      <c r="B1748" s="75" t="n"/>
      <c r="C1748" s="7" t="n"/>
      <c r="D1748" s="7" t="n"/>
      <c r="E1748" s="9">
        <f>IF(D1748="","",IFERROR(INDEX('Équipements'!$B$5:$B$304,MATCH(D1748,'Équipements'!$A$5:$A$304,0)),"Code inconnu"))</f>
        <v/>
      </c>
      <c r="F1748" s="9">
        <f>IF(D1748="","",IFERROR(INDEX('Équipements'!$D$5:$D$304,MATCH(D1748,'Équipements'!$A$5:$A$304,0)),""))</f>
        <v/>
      </c>
      <c r="G1748" s="9">
        <f>IF(D1748="","",IFERROR(INDEX('Équipements'!$K$5:$K$304,MATCH(D1748,'Équipements'!$A$5:$A$304,0)),""))</f>
        <v/>
      </c>
      <c r="H1748" s="7" t="n"/>
      <c r="I1748" s="7" t="n"/>
      <c r="J1748" s="7" t="n"/>
      <c r="K1748" s="7" t="n"/>
      <c r="L1748" s="7" t="n"/>
      <c r="M1748" s="7" t="n"/>
      <c r="N1748" s="7" t="n"/>
      <c r="O1748" s="7" t="n"/>
      <c r="P1748" s="65" t="n"/>
      <c r="Q1748" s="75" t="n"/>
      <c r="R1748" s="75" t="n"/>
      <c r="S1748" s="76" t="n"/>
      <c r="T1748" s="76" t="n"/>
      <c r="U1748" s="70">
        <f>IF($A1748="","",IFERROR(INDEX('Techniciens'!$F$5:$F$44,MATCH(O1748,'Techniciens'!$B$5:$B$44,0)),'Paramètres'!$AA$10))</f>
        <v/>
      </c>
      <c r="V1748" s="70">
        <f>IF($A1748="","",IF(OR(AC1748="Demandé",AC1748="Planifié",AC1748="Annulé"),0,N(T1748)*N(U1748)))</f>
        <v/>
      </c>
      <c r="W1748" s="70">
        <f>IF($A1748="","",SUMIFS('Mouvements stock'!$H$5:$H$3004,'Mouvements stock'!$I$5:$I$3004,$A1748,'Mouvements stock'!$C$5:$C$3004,"Sortie")-SUMIFS('Mouvements stock'!$H$5:$H$3004,'Mouvements stock'!$I$5:$I$3004,$A1748,'Mouvements stock'!$C$5:$C$3004,"Retour"))</f>
        <v/>
      </c>
      <c r="X1748" s="66" t="n"/>
      <c r="Y1748" s="66" t="n"/>
      <c r="Z1748" s="7" t="n"/>
      <c r="AA1748" s="70">
        <f>IF($A1748="","",N(V1748)+N(W1748)+N(X1748)+N(Y1748))</f>
        <v/>
      </c>
      <c r="AB1748" s="70">
        <f>IF($A1748="","",N(S1748)*'Paramètres'!$AA$9*IFERROR(INDEX('Paramètres'!$O$5:$O$7,MATCH(G1748,'Paramètres'!$N$5:$N$7,0)),0))</f>
        <v/>
      </c>
      <c r="AC1748" s="7" t="n"/>
      <c r="AD1748" s="69">
        <f>IF(OR($A1748="",Q1748=""),"",(Q1748-B1748)*24)</f>
        <v/>
      </c>
      <c r="AE1748" s="69">
        <f>IF(OR(Q1748="",R1748=""),"",(R1748-Q1748)*24)</f>
        <v/>
      </c>
      <c r="AF1748" s="77">
        <f>IF(OR($A1748="",B1748=""),"",YEAR(B1748))</f>
        <v/>
      </c>
      <c r="AG1748" s="77">
        <f>IF(OR($A1748="",B1748=""),"",MONTH(B1748))</f>
        <v/>
      </c>
    </row>
    <row r="1749">
      <c r="A1749" s="7" t="n"/>
      <c r="B1749" s="75" t="n"/>
      <c r="C1749" s="7" t="n"/>
      <c r="D1749" s="7" t="n"/>
      <c r="E1749" s="9">
        <f>IF(D1749="","",IFERROR(INDEX('Équipements'!$B$5:$B$304,MATCH(D1749,'Équipements'!$A$5:$A$304,0)),"Code inconnu"))</f>
        <v/>
      </c>
      <c r="F1749" s="9">
        <f>IF(D1749="","",IFERROR(INDEX('Équipements'!$D$5:$D$304,MATCH(D1749,'Équipements'!$A$5:$A$304,0)),""))</f>
        <v/>
      </c>
      <c r="G1749" s="9">
        <f>IF(D1749="","",IFERROR(INDEX('Équipements'!$K$5:$K$304,MATCH(D1749,'Équipements'!$A$5:$A$304,0)),""))</f>
        <v/>
      </c>
      <c r="H1749" s="7" t="n"/>
      <c r="I1749" s="7" t="n"/>
      <c r="J1749" s="7" t="n"/>
      <c r="K1749" s="7" t="n"/>
      <c r="L1749" s="7" t="n"/>
      <c r="M1749" s="7" t="n"/>
      <c r="N1749" s="7" t="n"/>
      <c r="O1749" s="7" t="n"/>
      <c r="P1749" s="65" t="n"/>
      <c r="Q1749" s="75" t="n"/>
      <c r="R1749" s="75" t="n"/>
      <c r="S1749" s="76" t="n"/>
      <c r="T1749" s="76" t="n"/>
      <c r="U1749" s="70">
        <f>IF($A1749="","",IFERROR(INDEX('Techniciens'!$F$5:$F$44,MATCH(O1749,'Techniciens'!$B$5:$B$44,0)),'Paramètres'!$AA$10))</f>
        <v/>
      </c>
      <c r="V1749" s="70">
        <f>IF($A1749="","",IF(OR(AC1749="Demandé",AC1749="Planifié",AC1749="Annulé"),0,N(T1749)*N(U1749)))</f>
        <v/>
      </c>
      <c r="W1749" s="70">
        <f>IF($A1749="","",SUMIFS('Mouvements stock'!$H$5:$H$3004,'Mouvements stock'!$I$5:$I$3004,$A1749,'Mouvements stock'!$C$5:$C$3004,"Sortie")-SUMIFS('Mouvements stock'!$H$5:$H$3004,'Mouvements stock'!$I$5:$I$3004,$A1749,'Mouvements stock'!$C$5:$C$3004,"Retour"))</f>
        <v/>
      </c>
      <c r="X1749" s="66" t="n"/>
      <c r="Y1749" s="66" t="n"/>
      <c r="Z1749" s="7" t="n"/>
      <c r="AA1749" s="70">
        <f>IF($A1749="","",N(V1749)+N(W1749)+N(X1749)+N(Y1749))</f>
        <v/>
      </c>
      <c r="AB1749" s="70">
        <f>IF($A1749="","",N(S1749)*'Paramètres'!$AA$9*IFERROR(INDEX('Paramètres'!$O$5:$O$7,MATCH(G1749,'Paramètres'!$N$5:$N$7,0)),0))</f>
        <v/>
      </c>
      <c r="AC1749" s="7" t="n"/>
      <c r="AD1749" s="69">
        <f>IF(OR($A1749="",Q1749=""),"",(Q1749-B1749)*24)</f>
        <v/>
      </c>
      <c r="AE1749" s="69">
        <f>IF(OR(Q1749="",R1749=""),"",(R1749-Q1749)*24)</f>
        <v/>
      </c>
      <c r="AF1749" s="77">
        <f>IF(OR($A1749="",B1749=""),"",YEAR(B1749))</f>
        <v/>
      </c>
      <c r="AG1749" s="77">
        <f>IF(OR($A1749="",B1749=""),"",MONTH(B1749))</f>
        <v/>
      </c>
    </row>
    <row r="1750">
      <c r="A1750" s="7" t="n"/>
      <c r="B1750" s="75" t="n"/>
      <c r="C1750" s="7" t="n"/>
      <c r="D1750" s="7" t="n"/>
      <c r="E1750" s="9">
        <f>IF(D1750="","",IFERROR(INDEX('Équipements'!$B$5:$B$304,MATCH(D1750,'Équipements'!$A$5:$A$304,0)),"Code inconnu"))</f>
        <v/>
      </c>
      <c r="F1750" s="9">
        <f>IF(D1750="","",IFERROR(INDEX('Équipements'!$D$5:$D$304,MATCH(D1750,'Équipements'!$A$5:$A$304,0)),""))</f>
        <v/>
      </c>
      <c r="G1750" s="9">
        <f>IF(D1750="","",IFERROR(INDEX('Équipements'!$K$5:$K$304,MATCH(D1750,'Équipements'!$A$5:$A$304,0)),""))</f>
        <v/>
      </c>
      <c r="H1750" s="7" t="n"/>
      <c r="I1750" s="7" t="n"/>
      <c r="J1750" s="7" t="n"/>
      <c r="K1750" s="7" t="n"/>
      <c r="L1750" s="7" t="n"/>
      <c r="M1750" s="7" t="n"/>
      <c r="N1750" s="7" t="n"/>
      <c r="O1750" s="7" t="n"/>
      <c r="P1750" s="65" t="n"/>
      <c r="Q1750" s="75" t="n"/>
      <c r="R1750" s="75" t="n"/>
      <c r="S1750" s="76" t="n"/>
      <c r="T1750" s="76" t="n"/>
      <c r="U1750" s="70">
        <f>IF($A1750="","",IFERROR(INDEX('Techniciens'!$F$5:$F$44,MATCH(O1750,'Techniciens'!$B$5:$B$44,0)),'Paramètres'!$AA$10))</f>
        <v/>
      </c>
      <c r="V1750" s="70">
        <f>IF($A1750="","",IF(OR(AC1750="Demandé",AC1750="Planifié",AC1750="Annulé"),0,N(T1750)*N(U1750)))</f>
        <v/>
      </c>
      <c r="W1750" s="70">
        <f>IF($A1750="","",SUMIFS('Mouvements stock'!$H$5:$H$3004,'Mouvements stock'!$I$5:$I$3004,$A1750,'Mouvements stock'!$C$5:$C$3004,"Sortie")-SUMIFS('Mouvements stock'!$H$5:$H$3004,'Mouvements stock'!$I$5:$I$3004,$A1750,'Mouvements stock'!$C$5:$C$3004,"Retour"))</f>
        <v/>
      </c>
      <c r="X1750" s="66" t="n"/>
      <c r="Y1750" s="66" t="n"/>
      <c r="Z1750" s="7" t="n"/>
      <c r="AA1750" s="70">
        <f>IF($A1750="","",N(V1750)+N(W1750)+N(X1750)+N(Y1750))</f>
        <v/>
      </c>
      <c r="AB1750" s="70">
        <f>IF($A1750="","",N(S1750)*'Paramètres'!$AA$9*IFERROR(INDEX('Paramètres'!$O$5:$O$7,MATCH(G1750,'Paramètres'!$N$5:$N$7,0)),0))</f>
        <v/>
      </c>
      <c r="AC1750" s="7" t="n"/>
      <c r="AD1750" s="69">
        <f>IF(OR($A1750="",Q1750=""),"",(Q1750-B1750)*24)</f>
        <v/>
      </c>
      <c r="AE1750" s="69">
        <f>IF(OR(Q1750="",R1750=""),"",(R1750-Q1750)*24)</f>
        <v/>
      </c>
      <c r="AF1750" s="77">
        <f>IF(OR($A1750="",B1750=""),"",YEAR(B1750))</f>
        <v/>
      </c>
      <c r="AG1750" s="77">
        <f>IF(OR($A1750="",B1750=""),"",MONTH(B1750))</f>
        <v/>
      </c>
    </row>
    <row r="1751">
      <c r="A1751" s="7" t="n"/>
      <c r="B1751" s="75" t="n"/>
      <c r="C1751" s="7" t="n"/>
      <c r="D1751" s="7" t="n"/>
      <c r="E1751" s="9">
        <f>IF(D1751="","",IFERROR(INDEX('Équipements'!$B$5:$B$304,MATCH(D1751,'Équipements'!$A$5:$A$304,0)),"Code inconnu"))</f>
        <v/>
      </c>
      <c r="F1751" s="9">
        <f>IF(D1751="","",IFERROR(INDEX('Équipements'!$D$5:$D$304,MATCH(D1751,'Équipements'!$A$5:$A$304,0)),""))</f>
        <v/>
      </c>
      <c r="G1751" s="9">
        <f>IF(D1751="","",IFERROR(INDEX('Équipements'!$K$5:$K$304,MATCH(D1751,'Équipements'!$A$5:$A$304,0)),""))</f>
        <v/>
      </c>
      <c r="H1751" s="7" t="n"/>
      <c r="I1751" s="7" t="n"/>
      <c r="J1751" s="7" t="n"/>
      <c r="K1751" s="7" t="n"/>
      <c r="L1751" s="7" t="n"/>
      <c r="M1751" s="7" t="n"/>
      <c r="N1751" s="7" t="n"/>
      <c r="O1751" s="7" t="n"/>
      <c r="P1751" s="65" t="n"/>
      <c r="Q1751" s="75" t="n"/>
      <c r="R1751" s="75" t="n"/>
      <c r="S1751" s="76" t="n"/>
      <c r="T1751" s="76" t="n"/>
      <c r="U1751" s="70">
        <f>IF($A1751="","",IFERROR(INDEX('Techniciens'!$F$5:$F$44,MATCH(O1751,'Techniciens'!$B$5:$B$44,0)),'Paramètres'!$AA$10))</f>
        <v/>
      </c>
      <c r="V1751" s="70">
        <f>IF($A1751="","",IF(OR(AC1751="Demandé",AC1751="Planifié",AC1751="Annulé"),0,N(T1751)*N(U1751)))</f>
        <v/>
      </c>
      <c r="W1751" s="70">
        <f>IF($A1751="","",SUMIFS('Mouvements stock'!$H$5:$H$3004,'Mouvements stock'!$I$5:$I$3004,$A1751,'Mouvements stock'!$C$5:$C$3004,"Sortie")-SUMIFS('Mouvements stock'!$H$5:$H$3004,'Mouvements stock'!$I$5:$I$3004,$A1751,'Mouvements stock'!$C$5:$C$3004,"Retour"))</f>
        <v/>
      </c>
      <c r="X1751" s="66" t="n"/>
      <c r="Y1751" s="66" t="n"/>
      <c r="Z1751" s="7" t="n"/>
      <c r="AA1751" s="70">
        <f>IF($A1751="","",N(V1751)+N(W1751)+N(X1751)+N(Y1751))</f>
        <v/>
      </c>
      <c r="AB1751" s="70">
        <f>IF($A1751="","",N(S1751)*'Paramètres'!$AA$9*IFERROR(INDEX('Paramètres'!$O$5:$O$7,MATCH(G1751,'Paramètres'!$N$5:$N$7,0)),0))</f>
        <v/>
      </c>
      <c r="AC1751" s="7" t="n"/>
      <c r="AD1751" s="69">
        <f>IF(OR($A1751="",Q1751=""),"",(Q1751-B1751)*24)</f>
        <v/>
      </c>
      <c r="AE1751" s="69">
        <f>IF(OR(Q1751="",R1751=""),"",(R1751-Q1751)*24)</f>
        <v/>
      </c>
      <c r="AF1751" s="77">
        <f>IF(OR($A1751="",B1751=""),"",YEAR(B1751))</f>
        <v/>
      </c>
      <c r="AG1751" s="77">
        <f>IF(OR($A1751="",B1751=""),"",MONTH(B1751))</f>
        <v/>
      </c>
    </row>
    <row r="1752">
      <c r="A1752" s="7" t="n"/>
      <c r="B1752" s="75" t="n"/>
      <c r="C1752" s="7" t="n"/>
      <c r="D1752" s="7" t="n"/>
      <c r="E1752" s="9">
        <f>IF(D1752="","",IFERROR(INDEX('Équipements'!$B$5:$B$304,MATCH(D1752,'Équipements'!$A$5:$A$304,0)),"Code inconnu"))</f>
        <v/>
      </c>
      <c r="F1752" s="9">
        <f>IF(D1752="","",IFERROR(INDEX('Équipements'!$D$5:$D$304,MATCH(D1752,'Équipements'!$A$5:$A$304,0)),""))</f>
        <v/>
      </c>
      <c r="G1752" s="9">
        <f>IF(D1752="","",IFERROR(INDEX('Équipements'!$K$5:$K$304,MATCH(D1752,'Équipements'!$A$5:$A$304,0)),""))</f>
        <v/>
      </c>
      <c r="H1752" s="7" t="n"/>
      <c r="I1752" s="7" t="n"/>
      <c r="J1752" s="7" t="n"/>
      <c r="K1752" s="7" t="n"/>
      <c r="L1752" s="7" t="n"/>
      <c r="M1752" s="7" t="n"/>
      <c r="N1752" s="7" t="n"/>
      <c r="O1752" s="7" t="n"/>
      <c r="P1752" s="65" t="n"/>
      <c r="Q1752" s="75" t="n"/>
      <c r="R1752" s="75" t="n"/>
      <c r="S1752" s="76" t="n"/>
      <c r="T1752" s="76" t="n"/>
      <c r="U1752" s="70">
        <f>IF($A1752="","",IFERROR(INDEX('Techniciens'!$F$5:$F$44,MATCH(O1752,'Techniciens'!$B$5:$B$44,0)),'Paramètres'!$AA$10))</f>
        <v/>
      </c>
      <c r="V1752" s="70">
        <f>IF($A1752="","",IF(OR(AC1752="Demandé",AC1752="Planifié",AC1752="Annulé"),0,N(T1752)*N(U1752)))</f>
        <v/>
      </c>
      <c r="W1752" s="70">
        <f>IF($A1752="","",SUMIFS('Mouvements stock'!$H$5:$H$3004,'Mouvements stock'!$I$5:$I$3004,$A1752,'Mouvements stock'!$C$5:$C$3004,"Sortie")-SUMIFS('Mouvements stock'!$H$5:$H$3004,'Mouvements stock'!$I$5:$I$3004,$A1752,'Mouvements stock'!$C$5:$C$3004,"Retour"))</f>
        <v/>
      </c>
      <c r="X1752" s="66" t="n"/>
      <c r="Y1752" s="66" t="n"/>
      <c r="Z1752" s="7" t="n"/>
      <c r="AA1752" s="70">
        <f>IF($A1752="","",N(V1752)+N(W1752)+N(X1752)+N(Y1752))</f>
        <v/>
      </c>
      <c r="AB1752" s="70">
        <f>IF($A1752="","",N(S1752)*'Paramètres'!$AA$9*IFERROR(INDEX('Paramètres'!$O$5:$O$7,MATCH(G1752,'Paramètres'!$N$5:$N$7,0)),0))</f>
        <v/>
      </c>
      <c r="AC1752" s="7" t="n"/>
      <c r="AD1752" s="69">
        <f>IF(OR($A1752="",Q1752=""),"",(Q1752-B1752)*24)</f>
        <v/>
      </c>
      <c r="AE1752" s="69">
        <f>IF(OR(Q1752="",R1752=""),"",(R1752-Q1752)*24)</f>
        <v/>
      </c>
      <c r="AF1752" s="77">
        <f>IF(OR($A1752="",B1752=""),"",YEAR(B1752))</f>
        <v/>
      </c>
      <c r="AG1752" s="77">
        <f>IF(OR($A1752="",B1752=""),"",MONTH(B1752))</f>
        <v/>
      </c>
    </row>
    <row r="1753">
      <c r="A1753" s="7" t="n"/>
      <c r="B1753" s="75" t="n"/>
      <c r="C1753" s="7" t="n"/>
      <c r="D1753" s="7" t="n"/>
      <c r="E1753" s="9">
        <f>IF(D1753="","",IFERROR(INDEX('Équipements'!$B$5:$B$304,MATCH(D1753,'Équipements'!$A$5:$A$304,0)),"Code inconnu"))</f>
        <v/>
      </c>
      <c r="F1753" s="9">
        <f>IF(D1753="","",IFERROR(INDEX('Équipements'!$D$5:$D$304,MATCH(D1753,'Équipements'!$A$5:$A$304,0)),""))</f>
        <v/>
      </c>
      <c r="G1753" s="9">
        <f>IF(D1753="","",IFERROR(INDEX('Équipements'!$K$5:$K$304,MATCH(D1753,'Équipements'!$A$5:$A$304,0)),""))</f>
        <v/>
      </c>
      <c r="H1753" s="7" t="n"/>
      <c r="I1753" s="7" t="n"/>
      <c r="J1753" s="7" t="n"/>
      <c r="K1753" s="7" t="n"/>
      <c r="L1753" s="7" t="n"/>
      <c r="M1753" s="7" t="n"/>
      <c r="N1753" s="7" t="n"/>
      <c r="O1753" s="7" t="n"/>
      <c r="P1753" s="65" t="n"/>
      <c r="Q1753" s="75" t="n"/>
      <c r="R1753" s="75" t="n"/>
      <c r="S1753" s="76" t="n"/>
      <c r="T1753" s="76" t="n"/>
      <c r="U1753" s="70">
        <f>IF($A1753="","",IFERROR(INDEX('Techniciens'!$F$5:$F$44,MATCH(O1753,'Techniciens'!$B$5:$B$44,0)),'Paramètres'!$AA$10))</f>
        <v/>
      </c>
      <c r="V1753" s="70">
        <f>IF($A1753="","",IF(OR(AC1753="Demandé",AC1753="Planifié",AC1753="Annulé"),0,N(T1753)*N(U1753)))</f>
        <v/>
      </c>
      <c r="W1753" s="70">
        <f>IF($A1753="","",SUMIFS('Mouvements stock'!$H$5:$H$3004,'Mouvements stock'!$I$5:$I$3004,$A1753,'Mouvements stock'!$C$5:$C$3004,"Sortie")-SUMIFS('Mouvements stock'!$H$5:$H$3004,'Mouvements stock'!$I$5:$I$3004,$A1753,'Mouvements stock'!$C$5:$C$3004,"Retour"))</f>
        <v/>
      </c>
      <c r="X1753" s="66" t="n"/>
      <c r="Y1753" s="66" t="n"/>
      <c r="Z1753" s="7" t="n"/>
      <c r="AA1753" s="70">
        <f>IF($A1753="","",N(V1753)+N(W1753)+N(X1753)+N(Y1753))</f>
        <v/>
      </c>
      <c r="AB1753" s="70">
        <f>IF($A1753="","",N(S1753)*'Paramètres'!$AA$9*IFERROR(INDEX('Paramètres'!$O$5:$O$7,MATCH(G1753,'Paramètres'!$N$5:$N$7,0)),0))</f>
        <v/>
      </c>
      <c r="AC1753" s="7" t="n"/>
      <c r="AD1753" s="69">
        <f>IF(OR($A1753="",Q1753=""),"",(Q1753-B1753)*24)</f>
        <v/>
      </c>
      <c r="AE1753" s="69">
        <f>IF(OR(Q1753="",R1753=""),"",(R1753-Q1753)*24)</f>
        <v/>
      </c>
      <c r="AF1753" s="77">
        <f>IF(OR($A1753="",B1753=""),"",YEAR(B1753))</f>
        <v/>
      </c>
      <c r="AG1753" s="77">
        <f>IF(OR($A1753="",B1753=""),"",MONTH(B1753))</f>
        <v/>
      </c>
    </row>
    <row r="1754">
      <c r="A1754" s="7" t="n"/>
      <c r="B1754" s="75" t="n"/>
      <c r="C1754" s="7" t="n"/>
      <c r="D1754" s="7" t="n"/>
      <c r="E1754" s="9">
        <f>IF(D1754="","",IFERROR(INDEX('Équipements'!$B$5:$B$304,MATCH(D1754,'Équipements'!$A$5:$A$304,0)),"Code inconnu"))</f>
        <v/>
      </c>
      <c r="F1754" s="9">
        <f>IF(D1754="","",IFERROR(INDEX('Équipements'!$D$5:$D$304,MATCH(D1754,'Équipements'!$A$5:$A$304,0)),""))</f>
        <v/>
      </c>
      <c r="G1754" s="9">
        <f>IF(D1754="","",IFERROR(INDEX('Équipements'!$K$5:$K$304,MATCH(D1754,'Équipements'!$A$5:$A$304,0)),""))</f>
        <v/>
      </c>
      <c r="H1754" s="7" t="n"/>
      <c r="I1754" s="7" t="n"/>
      <c r="J1754" s="7" t="n"/>
      <c r="K1754" s="7" t="n"/>
      <c r="L1754" s="7" t="n"/>
      <c r="M1754" s="7" t="n"/>
      <c r="N1754" s="7" t="n"/>
      <c r="O1754" s="7" t="n"/>
      <c r="P1754" s="65" t="n"/>
      <c r="Q1754" s="75" t="n"/>
      <c r="R1754" s="75" t="n"/>
      <c r="S1754" s="76" t="n"/>
      <c r="T1754" s="76" t="n"/>
      <c r="U1754" s="70">
        <f>IF($A1754="","",IFERROR(INDEX('Techniciens'!$F$5:$F$44,MATCH(O1754,'Techniciens'!$B$5:$B$44,0)),'Paramètres'!$AA$10))</f>
        <v/>
      </c>
      <c r="V1754" s="70">
        <f>IF($A1754="","",IF(OR(AC1754="Demandé",AC1754="Planifié",AC1754="Annulé"),0,N(T1754)*N(U1754)))</f>
        <v/>
      </c>
      <c r="W1754" s="70">
        <f>IF($A1754="","",SUMIFS('Mouvements stock'!$H$5:$H$3004,'Mouvements stock'!$I$5:$I$3004,$A1754,'Mouvements stock'!$C$5:$C$3004,"Sortie")-SUMIFS('Mouvements stock'!$H$5:$H$3004,'Mouvements stock'!$I$5:$I$3004,$A1754,'Mouvements stock'!$C$5:$C$3004,"Retour"))</f>
        <v/>
      </c>
      <c r="X1754" s="66" t="n"/>
      <c r="Y1754" s="66" t="n"/>
      <c r="Z1754" s="7" t="n"/>
      <c r="AA1754" s="70">
        <f>IF($A1754="","",N(V1754)+N(W1754)+N(X1754)+N(Y1754))</f>
        <v/>
      </c>
      <c r="AB1754" s="70">
        <f>IF($A1754="","",N(S1754)*'Paramètres'!$AA$9*IFERROR(INDEX('Paramètres'!$O$5:$O$7,MATCH(G1754,'Paramètres'!$N$5:$N$7,0)),0))</f>
        <v/>
      </c>
      <c r="AC1754" s="7" t="n"/>
      <c r="AD1754" s="69">
        <f>IF(OR($A1754="",Q1754=""),"",(Q1754-B1754)*24)</f>
        <v/>
      </c>
      <c r="AE1754" s="69">
        <f>IF(OR(Q1754="",R1754=""),"",(R1754-Q1754)*24)</f>
        <v/>
      </c>
      <c r="AF1754" s="77">
        <f>IF(OR($A1754="",B1754=""),"",YEAR(B1754))</f>
        <v/>
      </c>
      <c r="AG1754" s="77">
        <f>IF(OR($A1754="",B1754=""),"",MONTH(B1754))</f>
        <v/>
      </c>
    </row>
    <row r="1755">
      <c r="A1755" s="7" t="n"/>
      <c r="B1755" s="75" t="n"/>
      <c r="C1755" s="7" t="n"/>
      <c r="D1755" s="7" t="n"/>
      <c r="E1755" s="9">
        <f>IF(D1755="","",IFERROR(INDEX('Équipements'!$B$5:$B$304,MATCH(D1755,'Équipements'!$A$5:$A$304,0)),"Code inconnu"))</f>
        <v/>
      </c>
      <c r="F1755" s="9">
        <f>IF(D1755="","",IFERROR(INDEX('Équipements'!$D$5:$D$304,MATCH(D1755,'Équipements'!$A$5:$A$304,0)),""))</f>
        <v/>
      </c>
      <c r="G1755" s="9">
        <f>IF(D1755="","",IFERROR(INDEX('Équipements'!$K$5:$K$304,MATCH(D1755,'Équipements'!$A$5:$A$304,0)),""))</f>
        <v/>
      </c>
      <c r="H1755" s="7" t="n"/>
      <c r="I1755" s="7" t="n"/>
      <c r="J1755" s="7" t="n"/>
      <c r="K1755" s="7" t="n"/>
      <c r="L1755" s="7" t="n"/>
      <c r="M1755" s="7" t="n"/>
      <c r="N1755" s="7" t="n"/>
      <c r="O1755" s="7" t="n"/>
      <c r="P1755" s="65" t="n"/>
      <c r="Q1755" s="75" t="n"/>
      <c r="R1755" s="75" t="n"/>
      <c r="S1755" s="76" t="n"/>
      <c r="T1755" s="76" t="n"/>
      <c r="U1755" s="70">
        <f>IF($A1755="","",IFERROR(INDEX('Techniciens'!$F$5:$F$44,MATCH(O1755,'Techniciens'!$B$5:$B$44,0)),'Paramètres'!$AA$10))</f>
        <v/>
      </c>
      <c r="V1755" s="70">
        <f>IF($A1755="","",IF(OR(AC1755="Demandé",AC1755="Planifié",AC1755="Annulé"),0,N(T1755)*N(U1755)))</f>
        <v/>
      </c>
      <c r="W1755" s="70">
        <f>IF($A1755="","",SUMIFS('Mouvements stock'!$H$5:$H$3004,'Mouvements stock'!$I$5:$I$3004,$A1755,'Mouvements stock'!$C$5:$C$3004,"Sortie")-SUMIFS('Mouvements stock'!$H$5:$H$3004,'Mouvements stock'!$I$5:$I$3004,$A1755,'Mouvements stock'!$C$5:$C$3004,"Retour"))</f>
        <v/>
      </c>
      <c r="X1755" s="66" t="n"/>
      <c r="Y1755" s="66" t="n"/>
      <c r="Z1755" s="7" t="n"/>
      <c r="AA1755" s="70">
        <f>IF($A1755="","",N(V1755)+N(W1755)+N(X1755)+N(Y1755))</f>
        <v/>
      </c>
      <c r="AB1755" s="70">
        <f>IF($A1755="","",N(S1755)*'Paramètres'!$AA$9*IFERROR(INDEX('Paramètres'!$O$5:$O$7,MATCH(G1755,'Paramètres'!$N$5:$N$7,0)),0))</f>
        <v/>
      </c>
      <c r="AC1755" s="7" t="n"/>
      <c r="AD1755" s="69">
        <f>IF(OR($A1755="",Q1755=""),"",(Q1755-B1755)*24)</f>
        <v/>
      </c>
      <c r="AE1755" s="69">
        <f>IF(OR(Q1755="",R1755=""),"",(R1755-Q1755)*24)</f>
        <v/>
      </c>
      <c r="AF1755" s="77">
        <f>IF(OR($A1755="",B1755=""),"",YEAR(B1755))</f>
        <v/>
      </c>
      <c r="AG1755" s="77">
        <f>IF(OR($A1755="",B1755=""),"",MONTH(B1755))</f>
        <v/>
      </c>
    </row>
    <row r="1756">
      <c r="A1756" s="7" t="n"/>
      <c r="B1756" s="75" t="n"/>
      <c r="C1756" s="7" t="n"/>
      <c r="D1756" s="7" t="n"/>
      <c r="E1756" s="9">
        <f>IF(D1756="","",IFERROR(INDEX('Équipements'!$B$5:$B$304,MATCH(D1756,'Équipements'!$A$5:$A$304,0)),"Code inconnu"))</f>
        <v/>
      </c>
      <c r="F1756" s="9">
        <f>IF(D1756="","",IFERROR(INDEX('Équipements'!$D$5:$D$304,MATCH(D1756,'Équipements'!$A$5:$A$304,0)),""))</f>
        <v/>
      </c>
      <c r="G1756" s="9">
        <f>IF(D1756="","",IFERROR(INDEX('Équipements'!$K$5:$K$304,MATCH(D1756,'Équipements'!$A$5:$A$304,0)),""))</f>
        <v/>
      </c>
      <c r="H1756" s="7" t="n"/>
      <c r="I1756" s="7" t="n"/>
      <c r="J1756" s="7" t="n"/>
      <c r="K1756" s="7" t="n"/>
      <c r="L1756" s="7" t="n"/>
      <c r="M1756" s="7" t="n"/>
      <c r="N1756" s="7" t="n"/>
      <c r="O1756" s="7" t="n"/>
      <c r="P1756" s="65" t="n"/>
      <c r="Q1756" s="75" t="n"/>
      <c r="R1756" s="75" t="n"/>
      <c r="S1756" s="76" t="n"/>
      <c r="T1756" s="76" t="n"/>
      <c r="U1756" s="70">
        <f>IF($A1756="","",IFERROR(INDEX('Techniciens'!$F$5:$F$44,MATCH(O1756,'Techniciens'!$B$5:$B$44,0)),'Paramètres'!$AA$10))</f>
        <v/>
      </c>
      <c r="V1756" s="70">
        <f>IF($A1756="","",IF(OR(AC1756="Demandé",AC1756="Planifié",AC1756="Annulé"),0,N(T1756)*N(U1756)))</f>
        <v/>
      </c>
      <c r="W1756" s="70">
        <f>IF($A1756="","",SUMIFS('Mouvements stock'!$H$5:$H$3004,'Mouvements stock'!$I$5:$I$3004,$A1756,'Mouvements stock'!$C$5:$C$3004,"Sortie")-SUMIFS('Mouvements stock'!$H$5:$H$3004,'Mouvements stock'!$I$5:$I$3004,$A1756,'Mouvements stock'!$C$5:$C$3004,"Retour"))</f>
        <v/>
      </c>
      <c r="X1756" s="66" t="n"/>
      <c r="Y1756" s="66" t="n"/>
      <c r="Z1756" s="7" t="n"/>
      <c r="AA1756" s="70">
        <f>IF($A1756="","",N(V1756)+N(W1756)+N(X1756)+N(Y1756))</f>
        <v/>
      </c>
      <c r="AB1756" s="70">
        <f>IF($A1756="","",N(S1756)*'Paramètres'!$AA$9*IFERROR(INDEX('Paramètres'!$O$5:$O$7,MATCH(G1756,'Paramètres'!$N$5:$N$7,0)),0))</f>
        <v/>
      </c>
      <c r="AC1756" s="7" t="n"/>
      <c r="AD1756" s="69">
        <f>IF(OR($A1756="",Q1756=""),"",(Q1756-B1756)*24)</f>
        <v/>
      </c>
      <c r="AE1756" s="69">
        <f>IF(OR(Q1756="",R1756=""),"",(R1756-Q1756)*24)</f>
        <v/>
      </c>
      <c r="AF1756" s="77">
        <f>IF(OR($A1756="",B1756=""),"",YEAR(B1756))</f>
        <v/>
      </c>
      <c r="AG1756" s="77">
        <f>IF(OR($A1756="",B1756=""),"",MONTH(B1756))</f>
        <v/>
      </c>
    </row>
    <row r="1757">
      <c r="A1757" s="7" t="n"/>
      <c r="B1757" s="75" t="n"/>
      <c r="C1757" s="7" t="n"/>
      <c r="D1757" s="7" t="n"/>
      <c r="E1757" s="9">
        <f>IF(D1757="","",IFERROR(INDEX('Équipements'!$B$5:$B$304,MATCH(D1757,'Équipements'!$A$5:$A$304,0)),"Code inconnu"))</f>
        <v/>
      </c>
      <c r="F1757" s="9">
        <f>IF(D1757="","",IFERROR(INDEX('Équipements'!$D$5:$D$304,MATCH(D1757,'Équipements'!$A$5:$A$304,0)),""))</f>
        <v/>
      </c>
      <c r="G1757" s="9">
        <f>IF(D1757="","",IFERROR(INDEX('Équipements'!$K$5:$K$304,MATCH(D1757,'Équipements'!$A$5:$A$304,0)),""))</f>
        <v/>
      </c>
      <c r="H1757" s="7" t="n"/>
      <c r="I1757" s="7" t="n"/>
      <c r="J1757" s="7" t="n"/>
      <c r="K1757" s="7" t="n"/>
      <c r="L1757" s="7" t="n"/>
      <c r="M1757" s="7" t="n"/>
      <c r="N1757" s="7" t="n"/>
      <c r="O1757" s="7" t="n"/>
      <c r="P1757" s="65" t="n"/>
      <c r="Q1757" s="75" t="n"/>
      <c r="R1757" s="75" t="n"/>
      <c r="S1757" s="76" t="n"/>
      <c r="T1757" s="76" t="n"/>
      <c r="U1757" s="70">
        <f>IF($A1757="","",IFERROR(INDEX('Techniciens'!$F$5:$F$44,MATCH(O1757,'Techniciens'!$B$5:$B$44,0)),'Paramètres'!$AA$10))</f>
        <v/>
      </c>
      <c r="V1757" s="70">
        <f>IF($A1757="","",IF(OR(AC1757="Demandé",AC1757="Planifié",AC1757="Annulé"),0,N(T1757)*N(U1757)))</f>
        <v/>
      </c>
      <c r="W1757" s="70">
        <f>IF($A1757="","",SUMIFS('Mouvements stock'!$H$5:$H$3004,'Mouvements stock'!$I$5:$I$3004,$A1757,'Mouvements stock'!$C$5:$C$3004,"Sortie")-SUMIFS('Mouvements stock'!$H$5:$H$3004,'Mouvements stock'!$I$5:$I$3004,$A1757,'Mouvements stock'!$C$5:$C$3004,"Retour"))</f>
        <v/>
      </c>
      <c r="X1757" s="66" t="n"/>
      <c r="Y1757" s="66" t="n"/>
      <c r="Z1757" s="7" t="n"/>
      <c r="AA1757" s="70">
        <f>IF($A1757="","",N(V1757)+N(W1757)+N(X1757)+N(Y1757))</f>
        <v/>
      </c>
      <c r="AB1757" s="70">
        <f>IF($A1757="","",N(S1757)*'Paramètres'!$AA$9*IFERROR(INDEX('Paramètres'!$O$5:$O$7,MATCH(G1757,'Paramètres'!$N$5:$N$7,0)),0))</f>
        <v/>
      </c>
      <c r="AC1757" s="7" t="n"/>
      <c r="AD1757" s="69">
        <f>IF(OR($A1757="",Q1757=""),"",(Q1757-B1757)*24)</f>
        <v/>
      </c>
      <c r="AE1757" s="69">
        <f>IF(OR(Q1757="",R1757=""),"",(R1757-Q1757)*24)</f>
        <v/>
      </c>
      <c r="AF1757" s="77">
        <f>IF(OR($A1757="",B1757=""),"",YEAR(B1757))</f>
        <v/>
      </c>
      <c r="AG1757" s="77">
        <f>IF(OR($A1757="",B1757=""),"",MONTH(B1757))</f>
        <v/>
      </c>
    </row>
    <row r="1758">
      <c r="A1758" s="7" t="n"/>
      <c r="B1758" s="75" t="n"/>
      <c r="C1758" s="7" t="n"/>
      <c r="D1758" s="7" t="n"/>
      <c r="E1758" s="9">
        <f>IF(D1758="","",IFERROR(INDEX('Équipements'!$B$5:$B$304,MATCH(D1758,'Équipements'!$A$5:$A$304,0)),"Code inconnu"))</f>
        <v/>
      </c>
      <c r="F1758" s="9">
        <f>IF(D1758="","",IFERROR(INDEX('Équipements'!$D$5:$D$304,MATCH(D1758,'Équipements'!$A$5:$A$304,0)),""))</f>
        <v/>
      </c>
      <c r="G1758" s="9">
        <f>IF(D1758="","",IFERROR(INDEX('Équipements'!$K$5:$K$304,MATCH(D1758,'Équipements'!$A$5:$A$304,0)),""))</f>
        <v/>
      </c>
      <c r="H1758" s="7" t="n"/>
      <c r="I1758" s="7" t="n"/>
      <c r="J1758" s="7" t="n"/>
      <c r="K1758" s="7" t="n"/>
      <c r="L1758" s="7" t="n"/>
      <c r="M1758" s="7" t="n"/>
      <c r="N1758" s="7" t="n"/>
      <c r="O1758" s="7" t="n"/>
      <c r="P1758" s="65" t="n"/>
      <c r="Q1758" s="75" t="n"/>
      <c r="R1758" s="75" t="n"/>
      <c r="S1758" s="76" t="n"/>
      <c r="T1758" s="76" t="n"/>
      <c r="U1758" s="70">
        <f>IF($A1758="","",IFERROR(INDEX('Techniciens'!$F$5:$F$44,MATCH(O1758,'Techniciens'!$B$5:$B$44,0)),'Paramètres'!$AA$10))</f>
        <v/>
      </c>
      <c r="V1758" s="70">
        <f>IF($A1758="","",IF(OR(AC1758="Demandé",AC1758="Planifié",AC1758="Annulé"),0,N(T1758)*N(U1758)))</f>
        <v/>
      </c>
      <c r="W1758" s="70">
        <f>IF($A1758="","",SUMIFS('Mouvements stock'!$H$5:$H$3004,'Mouvements stock'!$I$5:$I$3004,$A1758,'Mouvements stock'!$C$5:$C$3004,"Sortie")-SUMIFS('Mouvements stock'!$H$5:$H$3004,'Mouvements stock'!$I$5:$I$3004,$A1758,'Mouvements stock'!$C$5:$C$3004,"Retour"))</f>
        <v/>
      </c>
      <c r="X1758" s="66" t="n"/>
      <c r="Y1758" s="66" t="n"/>
      <c r="Z1758" s="7" t="n"/>
      <c r="AA1758" s="70">
        <f>IF($A1758="","",N(V1758)+N(W1758)+N(X1758)+N(Y1758))</f>
        <v/>
      </c>
      <c r="AB1758" s="70">
        <f>IF($A1758="","",N(S1758)*'Paramètres'!$AA$9*IFERROR(INDEX('Paramètres'!$O$5:$O$7,MATCH(G1758,'Paramètres'!$N$5:$N$7,0)),0))</f>
        <v/>
      </c>
      <c r="AC1758" s="7" t="n"/>
      <c r="AD1758" s="69">
        <f>IF(OR($A1758="",Q1758=""),"",(Q1758-B1758)*24)</f>
        <v/>
      </c>
      <c r="AE1758" s="69">
        <f>IF(OR(Q1758="",R1758=""),"",(R1758-Q1758)*24)</f>
        <v/>
      </c>
      <c r="AF1758" s="77">
        <f>IF(OR($A1758="",B1758=""),"",YEAR(B1758))</f>
        <v/>
      </c>
      <c r="AG1758" s="77">
        <f>IF(OR($A1758="",B1758=""),"",MONTH(B1758))</f>
        <v/>
      </c>
    </row>
    <row r="1759">
      <c r="A1759" s="7" t="n"/>
      <c r="B1759" s="75" t="n"/>
      <c r="C1759" s="7" t="n"/>
      <c r="D1759" s="7" t="n"/>
      <c r="E1759" s="9">
        <f>IF(D1759="","",IFERROR(INDEX('Équipements'!$B$5:$B$304,MATCH(D1759,'Équipements'!$A$5:$A$304,0)),"Code inconnu"))</f>
        <v/>
      </c>
      <c r="F1759" s="9">
        <f>IF(D1759="","",IFERROR(INDEX('Équipements'!$D$5:$D$304,MATCH(D1759,'Équipements'!$A$5:$A$304,0)),""))</f>
        <v/>
      </c>
      <c r="G1759" s="9">
        <f>IF(D1759="","",IFERROR(INDEX('Équipements'!$K$5:$K$304,MATCH(D1759,'Équipements'!$A$5:$A$304,0)),""))</f>
        <v/>
      </c>
      <c r="H1759" s="7" t="n"/>
      <c r="I1759" s="7" t="n"/>
      <c r="J1759" s="7" t="n"/>
      <c r="K1759" s="7" t="n"/>
      <c r="L1759" s="7" t="n"/>
      <c r="M1759" s="7" t="n"/>
      <c r="N1759" s="7" t="n"/>
      <c r="O1759" s="7" t="n"/>
      <c r="P1759" s="65" t="n"/>
      <c r="Q1759" s="75" t="n"/>
      <c r="R1759" s="75" t="n"/>
      <c r="S1759" s="76" t="n"/>
      <c r="T1759" s="76" t="n"/>
      <c r="U1759" s="70">
        <f>IF($A1759="","",IFERROR(INDEX('Techniciens'!$F$5:$F$44,MATCH(O1759,'Techniciens'!$B$5:$B$44,0)),'Paramètres'!$AA$10))</f>
        <v/>
      </c>
      <c r="V1759" s="70">
        <f>IF($A1759="","",IF(OR(AC1759="Demandé",AC1759="Planifié",AC1759="Annulé"),0,N(T1759)*N(U1759)))</f>
        <v/>
      </c>
      <c r="W1759" s="70">
        <f>IF($A1759="","",SUMIFS('Mouvements stock'!$H$5:$H$3004,'Mouvements stock'!$I$5:$I$3004,$A1759,'Mouvements stock'!$C$5:$C$3004,"Sortie")-SUMIFS('Mouvements stock'!$H$5:$H$3004,'Mouvements stock'!$I$5:$I$3004,$A1759,'Mouvements stock'!$C$5:$C$3004,"Retour"))</f>
        <v/>
      </c>
      <c r="X1759" s="66" t="n"/>
      <c r="Y1759" s="66" t="n"/>
      <c r="Z1759" s="7" t="n"/>
      <c r="AA1759" s="70">
        <f>IF($A1759="","",N(V1759)+N(W1759)+N(X1759)+N(Y1759))</f>
        <v/>
      </c>
      <c r="AB1759" s="70">
        <f>IF($A1759="","",N(S1759)*'Paramètres'!$AA$9*IFERROR(INDEX('Paramètres'!$O$5:$O$7,MATCH(G1759,'Paramètres'!$N$5:$N$7,0)),0))</f>
        <v/>
      </c>
      <c r="AC1759" s="7" t="n"/>
      <c r="AD1759" s="69">
        <f>IF(OR($A1759="",Q1759=""),"",(Q1759-B1759)*24)</f>
        <v/>
      </c>
      <c r="AE1759" s="69">
        <f>IF(OR(Q1759="",R1759=""),"",(R1759-Q1759)*24)</f>
        <v/>
      </c>
      <c r="AF1759" s="77">
        <f>IF(OR($A1759="",B1759=""),"",YEAR(B1759))</f>
        <v/>
      </c>
      <c r="AG1759" s="77">
        <f>IF(OR($A1759="",B1759=""),"",MONTH(B1759))</f>
        <v/>
      </c>
    </row>
    <row r="1760">
      <c r="A1760" s="7" t="n"/>
      <c r="B1760" s="75" t="n"/>
      <c r="C1760" s="7" t="n"/>
      <c r="D1760" s="7" t="n"/>
      <c r="E1760" s="9">
        <f>IF(D1760="","",IFERROR(INDEX('Équipements'!$B$5:$B$304,MATCH(D1760,'Équipements'!$A$5:$A$304,0)),"Code inconnu"))</f>
        <v/>
      </c>
      <c r="F1760" s="9">
        <f>IF(D1760="","",IFERROR(INDEX('Équipements'!$D$5:$D$304,MATCH(D1760,'Équipements'!$A$5:$A$304,0)),""))</f>
        <v/>
      </c>
      <c r="G1760" s="9">
        <f>IF(D1760="","",IFERROR(INDEX('Équipements'!$K$5:$K$304,MATCH(D1760,'Équipements'!$A$5:$A$304,0)),""))</f>
        <v/>
      </c>
      <c r="H1760" s="7" t="n"/>
      <c r="I1760" s="7" t="n"/>
      <c r="J1760" s="7" t="n"/>
      <c r="K1760" s="7" t="n"/>
      <c r="L1760" s="7" t="n"/>
      <c r="M1760" s="7" t="n"/>
      <c r="N1760" s="7" t="n"/>
      <c r="O1760" s="7" t="n"/>
      <c r="P1760" s="65" t="n"/>
      <c r="Q1760" s="75" t="n"/>
      <c r="R1760" s="75" t="n"/>
      <c r="S1760" s="76" t="n"/>
      <c r="T1760" s="76" t="n"/>
      <c r="U1760" s="70">
        <f>IF($A1760="","",IFERROR(INDEX('Techniciens'!$F$5:$F$44,MATCH(O1760,'Techniciens'!$B$5:$B$44,0)),'Paramètres'!$AA$10))</f>
        <v/>
      </c>
      <c r="V1760" s="70">
        <f>IF($A1760="","",IF(OR(AC1760="Demandé",AC1760="Planifié",AC1760="Annulé"),0,N(T1760)*N(U1760)))</f>
        <v/>
      </c>
      <c r="W1760" s="70">
        <f>IF($A1760="","",SUMIFS('Mouvements stock'!$H$5:$H$3004,'Mouvements stock'!$I$5:$I$3004,$A1760,'Mouvements stock'!$C$5:$C$3004,"Sortie")-SUMIFS('Mouvements stock'!$H$5:$H$3004,'Mouvements stock'!$I$5:$I$3004,$A1760,'Mouvements stock'!$C$5:$C$3004,"Retour"))</f>
        <v/>
      </c>
      <c r="X1760" s="66" t="n"/>
      <c r="Y1760" s="66" t="n"/>
      <c r="Z1760" s="7" t="n"/>
      <c r="AA1760" s="70">
        <f>IF($A1760="","",N(V1760)+N(W1760)+N(X1760)+N(Y1760))</f>
        <v/>
      </c>
      <c r="AB1760" s="70">
        <f>IF($A1760="","",N(S1760)*'Paramètres'!$AA$9*IFERROR(INDEX('Paramètres'!$O$5:$O$7,MATCH(G1760,'Paramètres'!$N$5:$N$7,0)),0))</f>
        <v/>
      </c>
      <c r="AC1760" s="7" t="n"/>
      <c r="AD1760" s="69">
        <f>IF(OR($A1760="",Q1760=""),"",(Q1760-B1760)*24)</f>
        <v/>
      </c>
      <c r="AE1760" s="69">
        <f>IF(OR(Q1760="",R1760=""),"",(R1760-Q1760)*24)</f>
        <v/>
      </c>
      <c r="AF1760" s="77">
        <f>IF(OR($A1760="",B1760=""),"",YEAR(B1760))</f>
        <v/>
      </c>
      <c r="AG1760" s="77">
        <f>IF(OR($A1760="",B1760=""),"",MONTH(B1760))</f>
        <v/>
      </c>
    </row>
    <row r="1761">
      <c r="A1761" s="7" t="n"/>
      <c r="B1761" s="75" t="n"/>
      <c r="C1761" s="7" t="n"/>
      <c r="D1761" s="7" t="n"/>
      <c r="E1761" s="9">
        <f>IF(D1761="","",IFERROR(INDEX('Équipements'!$B$5:$B$304,MATCH(D1761,'Équipements'!$A$5:$A$304,0)),"Code inconnu"))</f>
        <v/>
      </c>
      <c r="F1761" s="9">
        <f>IF(D1761="","",IFERROR(INDEX('Équipements'!$D$5:$D$304,MATCH(D1761,'Équipements'!$A$5:$A$304,0)),""))</f>
        <v/>
      </c>
      <c r="G1761" s="9">
        <f>IF(D1761="","",IFERROR(INDEX('Équipements'!$K$5:$K$304,MATCH(D1761,'Équipements'!$A$5:$A$304,0)),""))</f>
        <v/>
      </c>
      <c r="H1761" s="7" t="n"/>
      <c r="I1761" s="7" t="n"/>
      <c r="J1761" s="7" t="n"/>
      <c r="K1761" s="7" t="n"/>
      <c r="L1761" s="7" t="n"/>
      <c r="M1761" s="7" t="n"/>
      <c r="N1761" s="7" t="n"/>
      <c r="O1761" s="7" t="n"/>
      <c r="P1761" s="65" t="n"/>
      <c r="Q1761" s="75" t="n"/>
      <c r="R1761" s="75" t="n"/>
      <c r="S1761" s="76" t="n"/>
      <c r="T1761" s="76" t="n"/>
      <c r="U1761" s="70">
        <f>IF($A1761="","",IFERROR(INDEX('Techniciens'!$F$5:$F$44,MATCH(O1761,'Techniciens'!$B$5:$B$44,0)),'Paramètres'!$AA$10))</f>
        <v/>
      </c>
      <c r="V1761" s="70">
        <f>IF($A1761="","",IF(OR(AC1761="Demandé",AC1761="Planifié",AC1761="Annulé"),0,N(T1761)*N(U1761)))</f>
        <v/>
      </c>
      <c r="W1761" s="70">
        <f>IF($A1761="","",SUMIFS('Mouvements stock'!$H$5:$H$3004,'Mouvements stock'!$I$5:$I$3004,$A1761,'Mouvements stock'!$C$5:$C$3004,"Sortie")-SUMIFS('Mouvements stock'!$H$5:$H$3004,'Mouvements stock'!$I$5:$I$3004,$A1761,'Mouvements stock'!$C$5:$C$3004,"Retour"))</f>
        <v/>
      </c>
      <c r="X1761" s="66" t="n"/>
      <c r="Y1761" s="66" t="n"/>
      <c r="Z1761" s="7" t="n"/>
      <c r="AA1761" s="70">
        <f>IF($A1761="","",N(V1761)+N(W1761)+N(X1761)+N(Y1761))</f>
        <v/>
      </c>
      <c r="AB1761" s="70">
        <f>IF($A1761="","",N(S1761)*'Paramètres'!$AA$9*IFERROR(INDEX('Paramètres'!$O$5:$O$7,MATCH(G1761,'Paramètres'!$N$5:$N$7,0)),0))</f>
        <v/>
      </c>
      <c r="AC1761" s="7" t="n"/>
      <c r="AD1761" s="69">
        <f>IF(OR($A1761="",Q1761=""),"",(Q1761-B1761)*24)</f>
        <v/>
      </c>
      <c r="AE1761" s="69">
        <f>IF(OR(Q1761="",R1761=""),"",(R1761-Q1761)*24)</f>
        <v/>
      </c>
      <c r="AF1761" s="77">
        <f>IF(OR($A1761="",B1761=""),"",YEAR(B1761))</f>
        <v/>
      </c>
      <c r="AG1761" s="77">
        <f>IF(OR($A1761="",B1761=""),"",MONTH(B1761))</f>
        <v/>
      </c>
    </row>
    <row r="1762">
      <c r="A1762" s="7" t="n"/>
      <c r="B1762" s="75" t="n"/>
      <c r="C1762" s="7" t="n"/>
      <c r="D1762" s="7" t="n"/>
      <c r="E1762" s="9">
        <f>IF(D1762="","",IFERROR(INDEX('Équipements'!$B$5:$B$304,MATCH(D1762,'Équipements'!$A$5:$A$304,0)),"Code inconnu"))</f>
        <v/>
      </c>
      <c r="F1762" s="9">
        <f>IF(D1762="","",IFERROR(INDEX('Équipements'!$D$5:$D$304,MATCH(D1762,'Équipements'!$A$5:$A$304,0)),""))</f>
        <v/>
      </c>
      <c r="G1762" s="9">
        <f>IF(D1762="","",IFERROR(INDEX('Équipements'!$K$5:$K$304,MATCH(D1762,'Équipements'!$A$5:$A$304,0)),""))</f>
        <v/>
      </c>
      <c r="H1762" s="7" t="n"/>
      <c r="I1762" s="7" t="n"/>
      <c r="J1762" s="7" t="n"/>
      <c r="K1762" s="7" t="n"/>
      <c r="L1762" s="7" t="n"/>
      <c r="M1762" s="7" t="n"/>
      <c r="N1762" s="7" t="n"/>
      <c r="O1762" s="7" t="n"/>
      <c r="P1762" s="65" t="n"/>
      <c r="Q1762" s="75" t="n"/>
      <c r="R1762" s="75" t="n"/>
      <c r="S1762" s="76" t="n"/>
      <c r="T1762" s="76" t="n"/>
      <c r="U1762" s="70">
        <f>IF($A1762="","",IFERROR(INDEX('Techniciens'!$F$5:$F$44,MATCH(O1762,'Techniciens'!$B$5:$B$44,0)),'Paramètres'!$AA$10))</f>
        <v/>
      </c>
      <c r="V1762" s="70">
        <f>IF($A1762="","",IF(OR(AC1762="Demandé",AC1762="Planifié",AC1762="Annulé"),0,N(T1762)*N(U1762)))</f>
        <v/>
      </c>
      <c r="W1762" s="70">
        <f>IF($A1762="","",SUMIFS('Mouvements stock'!$H$5:$H$3004,'Mouvements stock'!$I$5:$I$3004,$A1762,'Mouvements stock'!$C$5:$C$3004,"Sortie")-SUMIFS('Mouvements stock'!$H$5:$H$3004,'Mouvements stock'!$I$5:$I$3004,$A1762,'Mouvements stock'!$C$5:$C$3004,"Retour"))</f>
        <v/>
      </c>
      <c r="X1762" s="66" t="n"/>
      <c r="Y1762" s="66" t="n"/>
      <c r="Z1762" s="7" t="n"/>
      <c r="AA1762" s="70">
        <f>IF($A1762="","",N(V1762)+N(W1762)+N(X1762)+N(Y1762))</f>
        <v/>
      </c>
      <c r="AB1762" s="70">
        <f>IF($A1762="","",N(S1762)*'Paramètres'!$AA$9*IFERROR(INDEX('Paramètres'!$O$5:$O$7,MATCH(G1762,'Paramètres'!$N$5:$N$7,0)),0))</f>
        <v/>
      </c>
      <c r="AC1762" s="7" t="n"/>
      <c r="AD1762" s="69">
        <f>IF(OR($A1762="",Q1762=""),"",(Q1762-B1762)*24)</f>
        <v/>
      </c>
      <c r="AE1762" s="69">
        <f>IF(OR(Q1762="",R1762=""),"",(R1762-Q1762)*24)</f>
        <v/>
      </c>
      <c r="AF1762" s="77">
        <f>IF(OR($A1762="",B1762=""),"",YEAR(B1762))</f>
        <v/>
      </c>
      <c r="AG1762" s="77">
        <f>IF(OR($A1762="",B1762=""),"",MONTH(B1762))</f>
        <v/>
      </c>
    </row>
    <row r="1763">
      <c r="A1763" s="7" t="n"/>
      <c r="B1763" s="75" t="n"/>
      <c r="C1763" s="7" t="n"/>
      <c r="D1763" s="7" t="n"/>
      <c r="E1763" s="9">
        <f>IF(D1763="","",IFERROR(INDEX('Équipements'!$B$5:$B$304,MATCH(D1763,'Équipements'!$A$5:$A$304,0)),"Code inconnu"))</f>
        <v/>
      </c>
      <c r="F1763" s="9">
        <f>IF(D1763="","",IFERROR(INDEX('Équipements'!$D$5:$D$304,MATCH(D1763,'Équipements'!$A$5:$A$304,0)),""))</f>
        <v/>
      </c>
      <c r="G1763" s="9">
        <f>IF(D1763="","",IFERROR(INDEX('Équipements'!$K$5:$K$304,MATCH(D1763,'Équipements'!$A$5:$A$304,0)),""))</f>
        <v/>
      </c>
      <c r="H1763" s="7" t="n"/>
      <c r="I1763" s="7" t="n"/>
      <c r="J1763" s="7" t="n"/>
      <c r="K1763" s="7" t="n"/>
      <c r="L1763" s="7" t="n"/>
      <c r="M1763" s="7" t="n"/>
      <c r="N1763" s="7" t="n"/>
      <c r="O1763" s="7" t="n"/>
      <c r="P1763" s="65" t="n"/>
      <c r="Q1763" s="75" t="n"/>
      <c r="R1763" s="75" t="n"/>
      <c r="S1763" s="76" t="n"/>
      <c r="T1763" s="76" t="n"/>
      <c r="U1763" s="70">
        <f>IF($A1763="","",IFERROR(INDEX('Techniciens'!$F$5:$F$44,MATCH(O1763,'Techniciens'!$B$5:$B$44,0)),'Paramètres'!$AA$10))</f>
        <v/>
      </c>
      <c r="V1763" s="70">
        <f>IF($A1763="","",IF(OR(AC1763="Demandé",AC1763="Planifié",AC1763="Annulé"),0,N(T1763)*N(U1763)))</f>
        <v/>
      </c>
      <c r="W1763" s="70">
        <f>IF($A1763="","",SUMIFS('Mouvements stock'!$H$5:$H$3004,'Mouvements stock'!$I$5:$I$3004,$A1763,'Mouvements stock'!$C$5:$C$3004,"Sortie")-SUMIFS('Mouvements stock'!$H$5:$H$3004,'Mouvements stock'!$I$5:$I$3004,$A1763,'Mouvements stock'!$C$5:$C$3004,"Retour"))</f>
        <v/>
      </c>
      <c r="X1763" s="66" t="n"/>
      <c r="Y1763" s="66" t="n"/>
      <c r="Z1763" s="7" t="n"/>
      <c r="AA1763" s="70">
        <f>IF($A1763="","",N(V1763)+N(W1763)+N(X1763)+N(Y1763))</f>
        <v/>
      </c>
      <c r="AB1763" s="70">
        <f>IF($A1763="","",N(S1763)*'Paramètres'!$AA$9*IFERROR(INDEX('Paramètres'!$O$5:$O$7,MATCH(G1763,'Paramètres'!$N$5:$N$7,0)),0))</f>
        <v/>
      </c>
      <c r="AC1763" s="7" t="n"/>
      <c r="AD1763" s="69">
        <f>IF(OR($A1763="",Q1763=""),"",(Q1763-B1763)*24)</f>
        <v/>
      </c>
      <c r="AE1763" s="69">
        <f>IF(OR(Q1763="",R1763=""),"",(R1763-Q1763)*24)</f>
        <v/>
      </c>
      <c r="AF1763" s="77">
        <f>IF(OR($A1763="",B1763=""),"",YEAR(B1763))</f>
        <v/>
      </c>
      <c r="AG1763" s="77">
        <f>IF(OR($A1763="",B1763=""),"",MONTH(B1763))</f>
        <v/>
      </c>
    </row>
    <row r="1764">
      <c r="A1764" s="7" t="n"/>
      <c r="B1764" s="75" t="n"/>
      <c r="C1764" s="7" t="n"/>
      <c r="D1764" s="7" t="n"/>
      <c r="E1764" s="9">
        <f>IF(D1764="","",IFERROR(INDEX('Équipements'!$B$5:$B$304,MATCH(D1764,'Équipements'!$A$5:$A$304,0)),"Code inconnu"))</f>
        <v/>
      </c>
      <c r="F1764" s="9">
        <f>IF(D1764="","",IFERROR(INDEX('Équipements'!$D$5:$D$304,MATCH(D1764,'Équipements'!$A$5:$A$304,0)),""))</f>
        <v/>
      </c>
      <c r="G1764" s="9">
        <f>IF(D1764="","",IFERROR(INDEX('Équipements'!$K$5:$K$304,MATCH(D1764,'Équipements'!$A$5:$A$304,0)),""))</f>
        <v/>
      </c>
      <c r="H1764" s="7" t="n"/>
      <c r="I1764" s="7" t="n"/>
      <c r="J1764" s="7" t="n"/>
      <c r="K1764" s="7" t="n"/>
      <c r="L1764" s="7" t="n"/>
      <c r="M1764" s="7" t="n"/>
      <c r="N1764" s="7" t="n"/>
      <c r="O1764" s="7" t="n"/>
      <c r="P1764" s="65" t="n"/>
      <c r="Q1764" s="75" t="n"/>
      <c r="R1764" s="75" t="n"/>
      <c r="S1764" s="76" t="n"/>
      <c r="T1764" s="76" t="n"/>
      <c r="U1764" s="70">
        <f>IF($A1764="","",IFERROR(INDEX('Techniciens'!$F$5:$F$44,MATCH(O1764,'Techniciens'!$B$5:$B$44,0)),'Paramètres'!$AA$10))</f>
        <v/>
      </c>
      <c r="V1764" s="70">
        <f>IF($A1764="","",IF(OR(AC1764="Demandé",AC1764="Planifié",AC1764="Annulé"),0,N(T1764)*N(U1764)))</f>
        <v/>
      </c>
      <c r="W1764" s="70">
        <f>IF($A1764="","",SUMIFS('Mouvements stock'!$H$5:$H$3004,'Mouvements stock'!$I$5:$I$3004,$A1764,'Mouvements stock'!$C$5:$C$3004,"Sortie")-SUMIFS('Mouvements stock'!$H$5:$H$3004,'Mouvements stock'!$I$5:$I$3004,$A1764,'Mouvements stock'!$C$5:$C$3004,"Retour"))</f>
        <v/>
      </c>
      <c r="X1764" s="66" t="n"/>
      <c r="Y1764" s="66" t="n"/>
      <c r="Z1764" s="7" t="n"/>
      <c r="AA1764" s="70">
        <f>IF($A1764="","",N(V1764)+N(W1764)+N(X1764)+N(Y1764))</f>
        <v/>
      </c>
      <c r="AB1764" s="70">
        <f>IF($A1764="","",N(S1764)*'Paramètres'!$AA$9*IFERROR(INDEX('Paramètres'!$O$5:$O$7,MATCH(G1764,'Paramètres'!$N$5:$N$7,0)),0))</f>
        <v/>
      </c>
      <c r="AC1764" s="7" t="n"/>
      <c r="AD1764" s="69">
        <f>IF(OR($A1764="",Q1764=""),"",(Q1764-B1764)*24)</f>
        <v/>
      </c>
      <c r="AE1764" s="69">
        <f>IF(OR(Q1764="",R1764=""),"",(R1764-Q1764)*24)</f>
        <v/>
      </c>
      <c r="AF1764" s="77">
        <f>IF(OR($A1764="",B1764=""),"",YEAR(B1764))</f>
        <v/>
      </c>
      <c r="AG1764" s="77">
        <f>IF(OR($A1764="",B1764=""),"",MONTH(B1764))</f>
        <v/>
      </c>
    </row>
    <row r="1765">
      <c r="A1765" s="7" t="n"/>
      <c r="B1765" s="75" t="n"/>
      <c r="C1765" s="7" t="n"/>
      <c r="D1765" s="7" t="n"/>
      <c r="E1765" s="9">
        <f>IF(D1765="","",IFERROR(INDEX('Équipements'!$B$5:$B$304,MATCH(D1765,'Équipements'!$A$5:$A$304,0)),"Code inconnu"))</f>
        <v/>
      </c>
      <c r="F1765" s="9">
        <f>IF(D1765="","",IFERROR(INDEX('Équipements'!$D$5:$D$304,MATCH(D1765,'Équipements'!$A$5:$A$304,0)),""))</f>
        <v/>
      </c>
      <c r="G1765" s="9">
        <f>IF(D1765="","",IFERROR(INDEX('Équipements'!$K$5:$K$304,MATCH(D1765,'Équipements'!$A$5:$A$304,0)),""))</f>
        <v/>
      </c>
      <c r="H1765" s="7" t="n"/>
      <c r="I1765" s="7" t="n"/>
      <c r="J1765" s="7" t="n"/>
      <c r="K1765" s="7" t="n"/>
      <c r="L1765" s="7" t="n"/>
      <c r="M1765" s="7" t="n"/>
      <c r="N1765" s="7" t="n"/>
      <c r="O1765" s="7" t="n"/>
      <c r="P1765" s="65" t="n"/>
      <c r="Q1765" s="75" t="n"/>
      <c r="R1765" s="75" t="n"/>
      <c r="S1765" s="76" t="n"/>
      <c r="T1765" s="76" t="n"/>
      <c r="U1765" s="70">
        <f>IF($A1765="","",IFERROR(INDEX('Techniciens'!$F$5:$F$44,MATCH(O1765,'Techniciens'!$B$5:$B$44,0)),'Paramètres'!$AA$10))</f>
        <v/>
      </c>
      <c r="V1765" s="70">
        <f>IF($A1765="","",IF(OR(AC1765="Demandé",AC1765="Planifié",AC1765="Annulé"),0,N(T1765)*N(U1765)))</f>
        <v/>
      </c>
      <c r="W1765" s="70">
        <f>IF($A1765="","",SUMIFS('Mouvements stock'!$H$5:$H$3004,'Mouvements stock'!$I$5:$I$3004,$A1765,'Mouvements stock'!$C$5:$C$3004,"Sortie")-SUMIFS('Mouvements stock'!$H$5:$H$3004,'Mouvements stock'!$I$5:$I$3004,$A1765,'Mouvements stock'!$C$5:$C$3004,"Retour"))</f>
        <v/>
      </c>
      <c r="X1765" s="66" t="n"/>
      <c r="Y1765" s="66" t="n"/>
      <c r="Z1765" s="7" t="n"/>
      <c r="AA1765" s="70">
        <f>IF($A1765="","",N(V1765)+N(W1765)+N(X1765)+N(Y1765))</f>
        <v/>
      </c>
      <c r="AB1765" s="70">
        <f>IF($A1765="","",N(S1765)*'Paramètres'!$AA$9*IFERROR(INDEX('Paramètres'!$O$5:$O$7,MATCH(G1765,'Paramètres'!$N$5:$N$7,0)),0))</f>
        <v/>
      </c>
      <c r="AC1765" s="7" t="n"/>
      <c r="AD1765" s="69">
        <f>IF(OR($A1765="",Q1765=""),"",(Q1765-B1765)*24)</f>
        <v/>
      </c>
      <c r="AE1765" s="69">
        <f>IF(OR(Q1765="",R1765=""),"",(R1765-Q1765)*24)</f>
        <v/>
      </c>
      <c r="AF1765" s="77">
        <f>IF(OR($A1765="",B1765=""),"",YEAR(B1765))</f>
        <v/>
      </c>
      <c r="AG1765" s="77">
        <f>IF(OR($A1765="",B1765=""),"",MONTH(B1765))</f>
        <v/>
      </c>
    </row>
    <row r="1766">
      <c r="A1766" s="7" t="n"/>
      <c r="B1766" s="75" t="n"/>
      <c r="C1766" s="7" t="n"/>
      <c r="D1766" s="7" t="n"/>
      <c r="E1766" s="9">
        <f>IF(D1766="","",IFERROR(INDEX('Équipements'!$B$5:$B$304,MATCH(D1766,'Équipements'!$A$5:$A$304,0)),"Code inconnu"))</f>
        <v/>
      </c>
      <c r="F1766" s="9">
        <f>IF(D1766="","",IFERROR(INDEX('Équipements'!$D$5:$D$304,MATCH(D1766,'Équipements'!$A$5:$A$304,0)),""))</f>
        <v/>
      </c>
      <c r="G1766" s="9">
        <f>IF(D1766="","",IFERROR(INDEX('Équipements'!$K$5:$K$304,MATCH(D1766,'Équipements'!$A$5:$A$304,0)),""))</f>
        <v/>
      </c>
      <c r="H1766" s="7" t="n"/>
      <c r="I1766" s="7" t="n"/>
      <c r="J1766" s="7" t="n"/>
      <c r="K1766" s="7" t="n"/>
      <c r="L1766" s="7" t="n"/>
      <c r="M1766" s="7" t="n"/>
      <c r="N1766" s="7" t="n"/>
      <c r="O1766" s="7" t="n"/>
      <c r="P1766" s="65" t="n"/>
      <c r="Q1766" s="75" t="n"/>
      <c r="R1766" s="75" t="n"/>
      <c r="S1766" s="76" t="n"/>
      <c r="T1766" s="76" t="n"/>
      <c r="U1766" s="70">
        <f>IF($A1766="","",IFERROR(INDEX('Techniciens'!$F$5:$F$44,MATCH(O1766,'Techniciens'!$B$5:$B$44,0)),'Paramètres'!$AA$10))</f>
        <v/>
      </c>
      <c r="V1766" s="70">
        <f>IF($A1766="","",IF(OR(AC1766="Demandé",AC1766="Planifié",AC1766="Annulé"),0,N(T1766)*N(U1766)))</f>
        <v/>
      </c>
      <c r="W1766" s="70">
        <f>IF($A1766="","",SUMIFS('Mouvements stock'!$H$5:$H$3004,'Mouvements stock'!$I$5:$I$3004,$A1766,'Mouvements stock'!$C$5:$C$3004,"Sortie")-SUMIFS('Mouvements stock'!$H$5:$H$3004,'Mouvements stock'!$I$5:$I$3004,$A1766,'Mouvements stock'!$C$5:$C$3004,"Retour"))</f>
        <v/>
      </c>
      <c r="X1766" s="66" t="n"/>
      <c r="Y1766" s="66" t="n"/>
      <c r="Z1766" s="7" t="n"/>
      <c r="AA1766" s="70">
        <f>IF($A1766="","",N(V1766)+N(W1766)+N(X1766)+N(Y1766))</f>
        <v/>
      </c>
      <c r="AB1766" s="70">
        <f>IF($A1766="","",N(S1766)*'Paramètres'!$AA$9*IFERROR(INDEX('Paramètres'!$O$5:$O$7,MATCH(G1766,'Paramètres'!$N$5:$N$7,0)),0))</f>
        <v/>
      </c>
      <c r="AC1766" s="7" t="n"/>
      <c r="AD1766" s="69">
        <f>IF(OR($A1766="",Q1766=""),"",(Q1766-B1766)*24)</f>
        <v/>
      </c>
      <c r="AE1766" s="69">
        <f>IF(OR(Q1766="",R1766=""),"",(R1766-Q1766)*24)</f>
        <v/>
      </c>
      <c r="AF1766" s="77">
        <f>IF(OR($A1766="",B1766=""),"",YEAR(B1766))</f>
        <v/>
      </c>
      <c r="AG1766" s="77">
        <f>IF(OR($A1766="",B1766=""),"",MONTH(B1766))</f>
        <v/>
      </c>
    </row>
    <row r="1767">
      <c r="A1767" s="7" t="n"/>
      <c r="B1767" s="75" t="n"/>
      <c r="C1767" s="7" t="n"/>
      <c r="D1767" s="7" t="n"/>
      <c r="E1767" s="9">
        <f>IF(D1767="","",IFERROR(INDEX('Équipements'!$B$5:$B$304,MATCH(D1767,'Équipements'!$A$5:$A$304,0)),"Code inconnu"))</f>
        <v/>
      </c>
      <c r="F1767" s="9">
        <f>IF(D1767="","",IFERROR(INDEX('Équipements'!$D$5:$D$304,MATCH(D1767,'Équipements'!$A$5:$A$304,0)),""))</f>
        <v/>
      </c>
      <c r="G1767" s="9">
        <f>IF(D1767="","",IFERROR(INDEX('Équipements'!$K$5:$K$304,MATCH(D1767,'Équipements'!$A$5:$A$304,0)),""))</f>
        <v/>
      </c>
      <c r="H1767" s="7" t="n"/>
      <c r="I1767" s="7" t="n"/>
      <c r="J1767" s="7" t="n"/>
      <c r="K1767" s="7" t="n"/>
      <c r="L1767" s="7" t="n"/>
      <c r="M1767" s="7" t="n"/>
      <c r="N1767" s="7" t="n"/>
      <c r="O1767" s="7" t="n"/>
      <c r="P1767" s="65" t="n"/>
      <c r="Q1767" s="75" t="n"/>
      <c r="R1767" s="75" t="n"/>
      <c r="S1767" s="76" t="n"/>
      <c r="T1767" s="76" t="n"/>
      <c r="U1767" s="70">
        <f>IF($A1767="","",IFERROR(INDEX('Techniciens'!$F$5:$F$44,MATCH(O1767,'Techniciens'!$B$5:$B$44,0)),'Paramètres'!$AA$10))</f>
        <v/>
      </c>
      <c r="V1767" s="70">
        <f>IF($A1767="","",IF(OR(AC1767="Demandé",AC1767="Planifié",AC1767="Annulé"),0,N(T1767)*N(U1767)))</f>
        <v/>
      </c>
      <c r="W1767" s="70">
        <f>IF($A1767="","",SUMIFS('Mouvements stock'!$H$5:$H$3004,'Mouvements stock'!$I$5:$I$3004,$A1767,'Mouvements stock'!$C$5:$C$3004,"Sortie")-SUMIFS('Mouvements stock'!$H$5:$H$3004,'Mouvements stock'!$I$5:$I$3004,$A1767,'Mouvements stock'!$C$5:$C$3004,"Retour"))</f>
        <v/>
      </c>
      <c r="X1767" s="66" t="n"/>
      <c r="Y1767" s="66" t="n"/>
      <c r="Z1767" s="7" t="n"/>
      <c r="AA1767" s="70">
        <f>IF($A1767="","",N(V1767)+N(W1767)+N(X1767)+N(Y1767))</f>
        <v/>
      </c>
      <c r="AB1767" s="70">
        <f>IF($A1767="","",N(S1767)*'Paramètres'!$AA$9*IFERROR(INDEX('Paramètres'!$O$5:$O$7,MATCH(G1767,'Paramètres'!$N$5:$N$7,0)),0))</f>
        <v/>
      </c>
      <c r="AC1767" s="7" t="n"/>
      <c r="AD1767" s="69">
        <f>IF(OR($A1767="",Q1767=""),"",(Q1767-B1767)*24)</f>
        <v/>
      </c>
      <c r="AE1767" s="69">
        <f>IF(OR(Q1767="",R1767=""),"",(R1767-Q1767)*24)</f>
        <v/>
      </c>
      <c r="AF1767" s="77">
        <f>IF(OR($A1767="",B1767=""),"",YEAR(B1767))</f>
        <v/>
      </c>
      <c r="AG1767" s="77">
        <f>IF(OR($A1767="",B1767=""),"",MONTH(B1767))</f>
        <v/>
      </c>
    </row>
    <row r="1768">
      <c r="A1768" s="7" t="n"/>
      <c r="B1768" s="75" t="n"/>
      <c r="C1768" s="7" t="n"/>
      <c r="D1768" s="7" t="n"/>
      <c r="E1768" s="9">
        <f>IF(D1768="","",IFERROR(INDEX('Équipements'!$B$5:$B$304,MATCH(D1768,'Équipements'!$A$5:$A$304,0)),"Code inconnu"))</f>
        <v/>
      </c>
      <c r="F1768" s="9">
        <f>IF(D1768="","",IFERROR(INDEX('Équipements'!$D$5:$D$304,MATCH(D1768,'Équipements'!$A$5:$A$304,0)),""))</f>
        <v/>
      </c>
      <c r="G1768" s="9">
        <f>IF(D1768="","",IFERROR(INDEX('Équipements'!$K$5:$K$304,MATCH(D1768,'Équipements'!$A$5:$A$304,0)),""))</f>
        <v/>
      </c>
      <c r="H1768" s="7" t="n"/>
      <c r="I1768" s="7" t="n"/>
      <c r="J1768" s="7" t="n"/>
      <c r="K1768" s="7" t="n"/>
      <c r="L1768" s="7" t="n"/>
      <c r="M1768" s="7" t="n"/>
      <c r="N1768" s="7" t="n"/>
      <c r="O1768" s="7" t="n"/>
      <c r="P1768" s="65" t="n"/>
      <c r="Q1768" s="75" t="n"/>
      <c r="R1768" s="75" t="n"/>
      <c r="S1768" s="76" t="n"/>
      <c r="T1768" s="76" t="n"/>
      <c r="U1768" s="70">
        <f>IF($A1768="","",IFERROR(INDEX('Techniciens'!$F$5:$F$44,MATCH(O1768,'Techniciens'!$B$5:$B$44,0)),'Paramètres'!$AA$10))</f>
        <v/>
      </c>
      <c r="V1768" s="70">
        <f>IF($A1768="","",IF(OR(AC1768="Demandé",AC1768="Planifié",AC1768="Annulé"),0,N(T1768)*N(U1768)))</f>
        <v/>
      </c>
      <c r="W1768" s="70">
        <f>IF($A1768="","",SUMIFS('Mouvements stock'!$H$5:$H$3004,'Mouvements stock'!$I$5:$I$3004,$A1768,'Mouvements stock'!$C$5:$C$3004,"Sortie")-SUMIFS('Mouvements stock'!$H$5:$H$3004,'Mouvements stock'!$I$5:$I$3004,$A1768,'Mouvements stock'!$C$5:$C$3004,"Retour"))</f>
        <v/>
      </c>
      <c r="X1768" s="66" t="n"/>
      <c r="Y1768" s="66" t="n"/>
      <c r="Z1768" s="7" t="n"/>
      <c r="AA1768" s="70">
        <f>IF($A1768="","",N(V1768)+N(W1768)+N(X1768)+N(Y1768))</f>
        <v/>
      </c>
      <c r="AB1768" s="70">
        <f>IF($A1768="","",N(S1768)*'Paramètres'!$AA$9*IFERROR(INDEX('Paramètres'!$O$5:$O$7,MATCH(G1768,'Paramètres'!$N$5:$N$7,0)),0))</f>
        <v/>
      </c>
      <c r="AC1768" s="7" t="n"/>
      <c r="AD1768" s="69">
        <f>IF(OR($A1768="",Q1768=""),"",(Q1768-B1768)*24)</f>
        <v/>
      </c>
      <c r="AE1768" s="69">
        <f>IF(OR(Q1768="",R1768=""),"",(R1768-Q1768)*24)</f>
        <v/>
      </c>
      <c r="AF1768" s="77">
        <f>IF(OR($A1768="",B1768=""),"",YEAR(B1768))</f>
        <v/>
      </c>
      <c r="AG1768" s="77">
        <f>IF(OR($A1768="",B1768=""),"",MONTH(B1768))</f>
        <v/>
      </c>
    </row>
    <row r="1769">
      <c r="A1769" s="7" t="n"/>
      <c r="B1769" s="75" t="n"/>
      <c r="C1769" s="7" t="n"/>
      <c r="D1769" s="7" t="n"/>
      <c r="E1769" s="9">
        <f>IF(D1769="","",IFERROR(INDEX('Équipements'!$B$5:$B$304,MATCH(D1769,'Équipements'!$A$5:$A$304,0)),"Code inconnu"))</f>
        <v/>
      </c>
      <c r="F1769" s="9">
        <f>IF(D1769="","",IFERROR(INDEX('Équipements'!$D$5:$D$304,MATCH(D1769,'Équipements'!$A$5:$A$304,0)),""))</f>
        <v/>
      </c>
      <c r="G1769" s="9">
        <f>IF(D1769="","",IFERROR(INDEX('Équipements'!$K$5:$K$304,MATCH(D1769,'Équipements'!$A$5:$A$304,0)),""))</f>
        <v/>
      </c>
      <c r="H1769" s="7" t="n"/>
      <c r="I1769" s="7" t="n"/>
      <c r="J1769" s="7" t="n"/>
      <c r="K1769" s="7" t="n"/>
      <c r="L1769" s="7" t="n"/>
      <c r="M1769" s="7" t="n"/>
      <c r="N1769" s="7" t="n"/>
      <c r="O1769" s="7" t="n"/>
      <c r="P1769" s="65" t="n"/>
      <c r="Q1769" s="75" t="n"/>
      <c r="R1769" s="75" t="n"/>
      <c r="S1769" s="76" t="n"/>
      <c r="T1769" s="76" t="n"/>
      <c r="U1769" s="70">
        <f>IF($A1769="","",IFERROR(INDEX('Techniciens'!$F$5:$F$44,MATCH(O1769,'Techniciens'!$B$5:$B$44,0)),'Paramètres'!$AA$10))</f>
        <v/>
      </c>
      <c r="V1769" s="70">
        <f>IF($A1769="","",IF(OR(AC1769="Demandé",AC1769="Planifié",AC1769="Annulé"),0,N(T1769)*N(U1769)))</f>
        <v/>
      </c>
      <c r="W1769" s="70">
        <f>IF($A1769="","",SUMIFS('Mouvements stock'!$H$5:$H$3004,'Mouvements stock'!$I$5:$I$3004,$A1769,'Mouvements stock'!$C$5:$C$3004,"Sortie")-SUMIFS('Mouvements stock'!$H$5:$H$3004,'Mouvements stock'!$I$5:$I$3004,$A1769,'Mouvements stock'!$C$5:$C$3004,"Retour"))</f>
        <v/>
      </c>
      <c r="X1769" s="66" t="n"/>
      <c r="Y1769" s="66" t="n"/>
      <c r="Z1769" s="7" t="n"/>
      <c r="AA1769" s="70">
        <f>IF($A1769="","",N(V1769)+N(W1769)+N(X1769)+N(Y1769))</f>
        <v/>
      </c>
      <c r="AB1769" s="70">
        <f>IF($A1769="","",N(S1769)*'Paramètres'!$AA$9*IFERROR(INDEX('Paramètres'!$O$5:$O$7,MATCH(G1769,'Paramètres'!$N$5:$N$7,0)),0))</f>
        <v/>
      </c>
      <c r="AC1769" s="7" t="n"/>
      <c r="AD1769" s="69">
        <f>IF(OR($A1769="",Q1769=""),"",(Q1769-B1769)*24)</f>
        <v/>
      </c>
      <c r="AE1769" s="69">
        <f>IF(OR(Q1769="",R1769=""),"",(R1769-Q1769)*24)</f>
        <v/>
      </c>
      <c r="AF1769" s="77">
        <f>IF(OR($A1769="",B1769=""),"",YEAR(B1769))</f>
        <v/>
      </c>
      <c r="AG1769" s="77">
        <f>IF(OR($A1769="",B1769=""),"",MONTH(B1769))</f>
        <v/>
      </c>
    </row>
    <row r="1770">
      <c r="A1770" s="7" t="n"/>
      <c r="B1770" s="75" t="n"/>
      <c r="C1770" s="7" t="n"/>
      <c r="D1770" s="7" t="n"/>
      <c r="E1770" s="9">
        <f>IF(D1770="","",IFERROR(INDEX('Équipements'!$B$5:$B$304,MATCH(D1770,'Équipements'!$A$5:$A$304,0)),"Code inconnu"))</f>
        <v/>
      </c>
      <c r="F1770" s="9">
        <f>IF(D1770="","",IFERROR(INDEX('Équipements'!$D$5:$D$304,MATCH(D1770,'Équipements'!$A$5:$A$304,0)),""))</f>
        <v/>
      </c>
      <c r="G1770" s="9">
        <f>IF(D1770="","",IFERROR(INDEX('Équipements'!$K$5:$K$304,MATCH(D1770,'Équipements'!$A$5:$A$304,0)),""))</f>
        <v/>
      </c>
      <c r="H1770" s="7" t="n"/>
      <c r="I1770" s="7" t="n"/>
      <c r="J1770" s="7" t="n"/>
      <c r="K1770" s="7" t="n"/>
      <c r="L1770" s="7" t="n"/>
      <c r="M1770" s="7" t="n"/>
      <c r="N1770" s="7" t="n"/>
      <c r="O1770" s="7" t="n"/>
      <c r="P1770" s="65" t="n"/>
      <c r="Q1770" s="75" t="n"/>
      <c r="R1770" s="75" t="n"/>
      <c r="S1770" s="76" t="n"/>
      <c r="T1770" s="76" t="n"/>
      <c r="U1770" s="70">
        <f>IF($A1770="","",IFERROR(INDEX('Techniciens'!$F$5:$F$44,MATCH(O1770,'Techniciens'!$B$5:$B$44,0)),'Paramètres'!$AA$10))</f>
        <v/>
      </c>
      <c r="V1770" s="70">
        <f>IF($A1770="","",IF(OR(AC1770="Demandé",AC1770="Planifié",AC1770="Annulé"),0,N(T1770)*N(U1770)))</f>
        <v/>
      </c>
      <c r="W1770" s="70">
        <f>IF($A1770="","",SUMIFS('Mouvements stock'!$H$5:$H$3004,'Mouvements stock'!$I$5:$I$3004,$A1770,'Mouvements stock'!$C$5:$C$3004,"Sortie")-SUMIFS('Mouvements stock'!$H$5:$H$3004,'Mouvements stock'!$I$5:$I$3004,$A1770,'Mouvements stock'!$C$5:$C$3004,"Retour"))</f>
        <v/>
      </c>
      <c r="X1770" s="66" t="n"/>
      <c r="Y1770" s="66" t="n"/>
      <c r="Z1770" s="7" t="n"/>
      <c r="AA1770" s="70">
        <f>IF($A1770="","",N(V1770)+N(W1770)+N(X1770)+N(Y1770))</f>
        <v/>
      </c>
      <c r="AB1770" s="70">
        <f>IF($A1770="","",N(S1770)*'Paramètres'!$AA$9*IFERROR(INDEX('Paramètres'!$O$5:$O$7,MATCH(G1770,'Paramètres'!$N$5:$N$7,0)),0))</f>
        <v/>
      </c>
      <c r="AC1770" s="7" t="n"/>
      <c r="AD1770" s="69">
        <f>IF(OR($A1770="",Q1770=""),"",(Q1770-B1770)*24)</f>
        <v/>
      </c>
      <c r="AE1770" s="69">
        <f>IF(OR(Q1770="",R1770=""),"",(R1770-Q1770)*24)</f>
        <v/>
      </c>
      <c r="AF1770" s="77">
        <f>IF(OR($A1770="",B1770=""),"",YEAR(B1770))</f>
        <v/>
      </c>
      <c r="AG1770" s="77">
        <f>IF(OR($A1770="",B1770=""),"",MONTH(B1770))</f>
        <v/>
      </c>
    </row>
    <row r="1771">
      <c r="A1771" s="7" t="n"/>
      <c r="B1771" s="75" t="n"/>
      <c r="C1771" s="7" t="n"/>
      <c r="D1771" s="7" t="n"/>
      <c r="E1771" s="9">
        <f>IF(D1771="","",IFERROR(INDEX('Équipements'!$B$5:$B$304,MATCH(D1771,'Équipements'!$A$5:$A$304,0)),"Code inconnu"))</f>
        <v/>
      </c>
      <c r="F1771" s="9">
        <f>IF(D1771="","",IFERROR(INDEX('Équipements'!$D$5:$D$304,MATCH(D1771,'Équipements'!$A$5:$A$304,0)),""))</f>
        <v/>
      </c>
      <c r="G1771" s="9">
        <f>IF(D1771="","",IFERROR(INDEX('Équipements'!$K$5:$K$304,MATCH(D1771,'Équipements'!$A$5:$A$304,0)),""))</f>
        <v/>
      </c>
      <c r="H1771" s="7" t="n"/>
      <c r="I1771" s="7" t="n"/>
      <c r="J1771" s="7" t="n"/>
      <c r="K1771" s="7" t="n"/>
      <c r="L1771" s="7" t="n"/>
      <c r="M1771" s="7" t="n"/>
      <c r="N1771" s="7" t="n"/>
      <c r="O1771" s="7" t="n"/>
      <c r="P1771" s="65" t="n"/>
      <c r="Q1771" s="75" t="n"/>
      <c r="R1771" s="75" t="n"/>
      <c r="S1771" s="76" t="n"/>
      <c r="T1771" s="76" t="n"/>
      <c r="U1771" s="70">
        <f>IF($A1771="","",IFERROR(INDEX('Techniciens'!$F$5:$F$44,MATCH(O1771,'Techniciens'!$B$5:$B$44,0)),'Paramètres'!$AA$10))</f>
        <v/>
      </c>
      <c r="V1771" s="70">
        <f>IF($A1771="","",IF(OR(AC1771="Demandé",AC1771="Planifié",AC1771="Annulé"),0,N(T1771)*N(U1771)))</f>
        <v/>
      </c>
      <c r="W1771" s="70">
        <f>IF($A1771="","",SUMIFS('Mouvements stock'!$H$5:$H$3004,'Mouvements stock'!$I$5:$I$3004,$A1771,'Mouvements stock'!$C$5:$C$3004,"Sortie")-SUMIFS('Mouvements stock'!$H$5:$H$3004,'Mouvements stock'!$I$5:$I$3004,$A1771,'Mouvements stock'!$C$5:$C$3004,"Retour"))</f>
        <v/>
      </c>
      <c r="X1771" s="66" t="n"/>
      <c r="Y1771" s="66" t="n"/>
      <c r="Z1771" s="7" t="n"/>
      <c r="AA1771" s="70">
        <f>IF($A1771="","",N(V1771)+N(W1771)+N(X1771)+N(Y1771))</f>
        <v/>
      </c>
      <c r="AB1771" s="70">
        <f>IF($A1771="","",N(S1771)*'Paramètres'!$AA$9*IFERROR(INDEX('Paramètres'!$O$5:$O$7,MATCH(G1771,'Paramètres'!$N$5:$N$7,0)),0))</f>
        <v/>
      </c>
      <c r="AC1771" s="7" t="n"/>
      <c r="AD1771" s="69">
        <f>IF(OR($A1771="",Q1771=""),"",(Q1771-B1771)*24)</f>
        <v/>
      </c>
      <c r="AE1771" s="69">
        <f>IF(OR(Q1771="",R1771=""),"",(R1771-Q1771)*24)</f>
        <v/>
      </c>
      <c r="AF1771" s="77">
        <f>IF(OR($A1771="",B1771=""),"",YEAR(B1771))</f>
        <v/>
      </c>
      <c r="AG1771" s="77">
        <f>IF(OR($A1771="",B1771=""),"",MONTH(B1771))</f>
        <v/>
      </c>
    </row>
    <row r="1772">
      <c r="A1772" s="7" t="n"/>
      <c r="B1772" s="75" t="n"/>
      <c r="C1772" s="7" t="n"/>
      <c r="D1772" s="7" t="n"/>
      <c r="E1772" s="9">
        <f>IF(D1772="","",IFERROR(INDEX('Équipements'!$B$5:$B$304,MATCH(D1772,'Équipements'!$A$5:$A$304,0)),"Code inconnu"))</f>
        <v/>
      </c>
      <c r="F1772" s="9">
        <f>IF(D1772="","",IFERROR(INDEX('Équipements'!$D$5:$D$304,MATCH(D1772,'Équipements'!$A$5:$A$304,0)),""))</f>
        <v/>
      </c>
      <c r="G1772" s="9">
        <f>IF(D1772="","",IFERROR(INDEX('Équipements'!$K$5:$K$304,MATCH(D1772,'Équipements'!$A$5:$A$304,0)),""))</f>
        <v/>
      </c>
      <c r="H1772" s="7" t="n"/>
      <c r="I1772" s="7" t="n"/>
      <c r="J1772" s="7" t="n"/>
      <c r="K1772" s="7" t="n"/>
      <c r="L1772" s="7" t="n"/>
      <c r="M1772" s="7" t="n"/>
      <c r="N1772" s="7" t="n"/>
      <c r="O1772" s="7" t="n"/>
      <c r="P1772" s="65" t="n"/>
      <c r="Q1772" s="75" t="n"/>
      <c r="R1772" s="75" t="n"/>
      <c r="S1772" s="76" t="n"/>
      <c r="T1772" s="76" t="n"/>
      <c r="U1772" s="70">
        <f>IF($A1772="","",IFERROR(INDEX('Techniciens'!$F$5:$F$44,MATCH(O1772,'Techniciens'!$B$5:$B$44,0)),'Paramètres'!$AA$10))</f>
        <v/>
      </c>
      <c r="V1772" s="70">
        <f>IF($A1772="","",IF(OR(AC1772="Demandé",AC1772="Planifié",AC1772="Annulé"),0,N(T1772)*N(U1772)))</f>
        <v/>
      </c>
      <c r="W1772" s="70">
        <f>IF($A1772="","",SUMIFS('Mouvements stock'!$H$5:$H$3004,'Mouvements stock'!$I$5:$I$3004,$A1772,'Mouvements stock'!$C$5:$C$3004,"Sortie")-SUMIFS('Mouvements stock'!$H$5:$H$3004,'Mouvements stock'!$I$5:$I$3004,$A1772,'Mouvements stock'!$C$5:$C$3004,"Retour"))</f>
        <v/>
      </c>
      <c r="X1772" s="66" t="n"/>
      <c r="Y1772" s="66" t="n"/>
      <c r="Z1772" s="7" t="n"/>
      <c r="AA1772" s="70">
        <f>IF($A1772="","",N(V1772)+N(W1772)+N(X1772)+N(Y1772))</f>
        <v/>
      </c>
      <c r="AB1772" s="70">
        <f>IF($A1772="","",N(S1772)*'Paramètres'!$AA$9*IFERROR(INDEX('Paramètres'!$O$5:$O$7,MATCH(G1772,'Paramètres'!$N$5:$N$7,0)),0))</f>
        <v/>
      </c>
      <c r="AC1772" s="7" t="n"/>
      <c r="AD1772" s="69">
        <f>IF(OR($A1772="",Q1772=""),"",(Q1772-B1772)*24)</f>
        <v/>
      </c>
      <c r="AE1772" s="69">
        <f>IF(OR(Q1772="",R1772=""),"",(R1772-Q1772)*24)</f>
        <v/>
      </c>
      <c r="AF1772" s="77">
        <f>IF(OR($A1772="",B1772=""),"",YEAR(B1772))</f>
        <v/>
      </c>
      <c r="AG1772" s="77">
        <f>IF(OR($A1772="",B1772=""),"",MONTH(B1772))</f>
        <v/>
      </c>
    </row>
    <row r="1773">
      <c r="A1773" s="7" t="n"/>
      <c r="B1773" s="75" t="n"/>
      <c r="C1773" s="7" t="n"/>
      <c r="D1773" s="7" t="n"/>
      <c r="E1773" s="9">
        <f>IF(D1773="","",IFERROR(INDEX('Équipements'!$B$5:$B$304,MATCH(D1773,'Équipements'!$A$5:$A$304,0)),"Code inconnu"))</f>
        <v/>
      </c>
      <c r="F1773" s="9">
        <f>IF(D1773="","",IFERROR(INDEX('Équipements'!$D$5:$D$304,MATCH(D1773,'Équipements'!$A$5:$A$304,0)),""))</f>
        <v/>
      </c>
      <c r="G1773" s="9">
        <f>IF(D1773="","",IFERROR(INDEX('Équipements'!$K$5:$K$304,MATCH(D1773,'Équipements'!$A$5:$A$304,0)),""))</f>
        <v/>
      </c>
      <c r="H1773" s="7" t="n"/>
      <c r="I1773" s="7" t="n"/>
      <c r="J1773" s="7" t="n"/>
      <c r="K1773" s="7" t="n"/>
      <c r="L1773" s="7" t="n"/>
      <c r="M1773" s="7" t="n"/>
      <c r="N1773" s="7" t="n"/>
      <c r="O1773" s="7" t="n"/>
      <c r="P1773" s="65" t="n"/>
      <c r="Q1773" s="75" t="n"/>
      <c r="R1773" s="75" t="n"/>
      <c r="S1773" s="76" t="n"/>
      <c r="T1773" s="76" t="n"/>
      <c r="U1773" s="70">
        <f>IF($A1773="","",IFERROR(INDEX('Techniciens'!$F$5:$F$44,MATCH(O1773,'Techniciens'!$B$5:$B$44,0)),'Paramètres'!$AA$10))</f>
        <v/>
      </c>
      <c r="V1773" s="70">
        <f>IF($A1773="","",IF(OR(AC1773="Demandé",AC1773="Planifié",AC1773="Annulé"),0,N(T1773)*N(U1773)))</f>
        <v/>
      </c>
      <c r="W1773" s="70">
        <f>IF($A1773="","",SUMIFS('Mouvements stock'!$H$5:$H$3004,'Mouvements stock'!$I$5:$I$3004,$A1773,'Mouvements stock'!$C$5:$C$3004,"Sortie")-SUMIFS('Mouvements stock'!$H$5:$H$3004,'Mouvements stock'!$I$5:$I$3004,$A1773,'Mouvements stock'!$C$5:$C$3004,"Retour"))</f>
        <v/>
      </c>
      <c r="X1773" s="66" t="n"/>
      <c r="Y1773" s="66" t="n"/>
      <c r="Z1773" s="7" t="n"/>
      <c r="AA1773" s="70">
        <f>IF($A1773="","",N(V1773)+N(W1773)+N(X1773)+N(Y1773))</f>
        <v/>
      </c>
      <c r="AB1773" s="70">
        <f>IF($A1773="","",N(S1773)*'Paramètres'!$AA$9*IFERROR(INDEX('Paramètres'!$O$5:$O$7,MATCH(G1773,'Paramètres'!$N$5:$N$7,0)),0))</f>
        <v/>
      </c>
      <c r="AC1773" s="7" t="n"/>
      <c r="AD1773" s="69">
        <f>IF(OR($A1773="",Q1773=""),"",(Q1773-B1773)*24)</f>
        <v/>
      </c>
      <c r="AE1773" s="69">
        <f>IF(OR(Q1773="",R1773=""),"",(R1773-Q1773)*24)</f>
        <v/>
      </c>
      <c r="AF1773" s="77">
        <f>IF(OR($A1773="",B1773=""),"",YEAR(B1773))</f>
        <v/>
      </c>
      <c r="AG1773" s="77">
        <f>IF(OR($A1773="",B1773=""),"",MONTH(B1773))</f>
        <v/>
      </c>
    </row>
    <row r="1774">
      <c r="A1774" s="7" t="n"/>
      <c r="B1774" s="75" t="n"/>
      <c r="C1774" s="7" t="n"/>
      <c r="D1774" s="7" t="n"/>
      <c r="E1774" s="9">
        <f>IF(D1774="","",IFERROR(INDEX('Équipements'!$B$5:$B$304,MATCH(D1774,'Équipements'!$A$5:$A$304,0)),"Code inconnu"))</f>
        <v/>
      </c>
      <c r="F1774" s="9">
        <f>IF(D1774="","",IFERROR(INDEX('Équipements'!$D$5:$D$304,MATCH(D1774,'Équipements'!$A$5:$A$304,0)),""))</f>
        <v/>
      </c>
      <c r="G1774" s="9">
        <f>IF(D1774="","",IFERROR(INDEX('Équipements'!$K$5:$K$304,MATCH(D1774,'Équipements'!$A$5:$A$304,0)),""))</f>
        <v/>
      </c>
      <c r="H1774" s="7" t="n"/>
      <c r="I1774" s="7" t="n"/>
      <c r="J1774" s="7" t="n"/>
      <c r="K1774" s="7" t="n"/>
      <c r="L1774" s="7" t="n"/>
      <c r="M1774" s="7" t="n"/>
      <c r="N1774" s="7" t="n"/>
      <c r="O1774" s="7" t="n"/>
      <c r="P1774" s="65" t="n"/>
      <c r="Q1774" s="75" t="n"/>
      <c r="R1774" s="75" t="n"/>
      <c r="S1774" s="76" t="n"/>
      <c r="T1774" s="76" t="n"/>
      <c r="U1774" s="70">
        <f>IF($A1774="","",IFERROR(INDEX('Techniciens'!$F$5:$F$44,MATCH(O1774,'Techniciens'!$B$5:$B$44,0)),'Paramètres'!$AA$10))</f>
        <v/>
      </c>
      <c r="V1774" s="70">
        <f>IF($A1774="","",IF(OR(AC1774="Demandé",AC1774="Planifié",AC1774="Annulé"),0,N(T1774)*N(U1774)))</f>
        <v/>
      </c>
      <c r="W1774" s="70">
        <f>IF($A1774="","",SUMIFS('Mouvements stock'!$H$5:$H$3004,'Mouvements stock'!$I$5:$I$3004,$A1774,'Mouvements stock'!$C$5:$C$3004,"Sortie")-SUMIFS('Mouvements stock'!$H$5:$H$3004,'Mouvements stock'!$I$5:$I$3004,$A1774,'Mouvements stock'!$C$5:$C$3004,"Retour"))</f>
        <v/>
      </c>
      <c r="X1774" s="66" t="n"/>
      <c r="Y1774" s="66" t="n"/>
      <c r="Z1774" s="7" t="n"/>
      <c r="AA1774" s="70">
        <f>IF($A1774="","",N(V1774)+N(W1774)+N(X1774)+N(Y1774))</f>
        <v/>
      </c>
      <c r="AB1774" s="70">
        <f>IF($A1774="","",N(S1774)*'Paramètres'!$AA$9*IFERROR(INDEX('Paramètres'!$O$5:$O$7,MATCH(G1774,'Paramètres'!$N$5:$N$7,0)),0))</f>
        <v/>
      </c>
      <c r="AC1774" s="7" t="n"/>
      <c r="AD1774" s="69">
        <f>IF(OR($A1774="",Q1774=""),"",(Q1774-B1774)*24)</f>
        <v/>
      </c>
      <c r="AE1774" s="69">
        <f>IF(OR(Q1774="",R1774=""),"",(R1774-Q1774)*24)</f>
        <v/>
      </c>
      <c r="AF1774" s="77">
        <f>IF(OR($A1774="",B1774=""),"",YEAR(B1774))</f>
        <v/>
      </c>
      <c r="AG1774" s="77">
        <f>IF(OR($A1774="",B1774=""),"",MONTH(B1774))</f>
        <v/>
      </c>
    </row>
    <row r="1775">
      <c r="A1775" s="7" t="n"/>
      <c r="B1775" s="75" t="n"/>
      <c r="C1775" s="7" t="n"/>
      <c r="D1775" s="7" t="n"/>
      <c r="E1775" s="9">
        <f>IF(D1775="","",IFERROR(INDEX('Équipements'!$B$5:$B$304,MATCH(D1775,'Équipements'!$A$5:$A$304,0)),"Code inconnu"))</f>
        <v/>
      </c>
      <c r="F1775" s="9">
        <f>IF(D1775="","",IFERROR(INDEX('Équipements'!$D$5:$D$304,MATCH(D1775,'Équipements'!$A$5:$A$304,0)),""))</f>
        <v/>
      </c>
      <c r="G1775" s="9">
        <f>IF(D1775="","",IFERROR(INDEX('Équipements'!$K$5:$K$304,MATCH(D1775,'Équipements'!$A$5:$A$304,0)),""))</f>
        <v/>
      </c>
      <c r="H1775" s="7" t="n"/>
      <c r="I1775" s="7" t="n"/>
      <c r="J1775" s="7" t="n"/>
      <c r="K1775" s="7" t="n"/>
      <c r="L1775" s="7" t="n"/>
      <c r="M1775" s="7" t="n"/>
      <c r="N1775" s="7" t="n"/>
      <c r="O1775" s="7" t="n"/>
      <c r="P1775" s="65" t="n"/>
      <c r="Q1775" s="75" t="n"/>
      <c r="R1775" s="75" t="n"/>
      <c r="S1775" s="76" t="n"/>
      <c r="T1775" s="76" t="n"/>
      <c r="U1775" s="70">
        <f>IF($A1775="","",IFERROR(INDEX('Techniciens'!$F$5:$F$44,MATCH(O1775,'Techniciens'!$B$5:$B$44,0)),'Paramètres'!$AA$10))</f>
        <v/>
      </c>
      <c r="V1775" s="70">
        <f>IF($A1775="","",IF(OR(AC1775="Demandé",AC1775="Planifié",AC1775="Annulé"),0,N(T1775)*N(U1775)))</f>
        <v/>
      </c>
      <c r="W1775" s="70">
        <f>IF($A1775="","",SUMIFS('Mouvements stock'!$H$5:$H$3004,'Mouvements stock'!$I$5:$I$3004,$A1775,'Mouvements stock'!$C$5:$C$3004,"Sortie")-SUMIFS('Mouvements stock'!$H$5:$H$3004,'Mouvements stock'!$I$5:$I$3004,$A1775,'Mouvements stock'!$C$5:$C$3004,"Retour"))</f>
        <v/>
      </c>
      <c r="X1775" s="66" t="n"/>
      <c r="Y1775" s="66" t="n"/>
      <c r="Z1775" s="7" t="n"/>
      <c r="AA1775" s="70">
        <f>IF($A1775="","",N(V1775)+N(W1775)+N(X1775)+N(Y1775))</f>
        <v/>
      </c>
      <c r="AB1775" s="70">
        <f>IF($A1775="","",N(S1775)*'Paramètres'!$AA$9*IFERROR(INDEX('Paramètres'!$O$5:$O$7,MATCH(G1775,'Paramètres'!$N$5:$N$7,0)),0))</f>
        <v/>
      </c>
      <c r="AC1775" s="7" t="n"/>
      <c r="AD1775" s="69">
        <f>IF(OR($A1775="",Q1775=""),"",(Q1775-B1775)*24)</f>
        <v/>
      </c>
      <c r="AE1775" s="69">
        <f>IF(OR(Q1775="",R1775=""),"",(R1775-Q1775)*24)</f>
        <v/>
      </c>
      <c r="AF1775" s="77">
        <f>IF(OR($A1775="",B1775=""),"",YEAR(B1775))</f>
        <v/>
      </c>
      <c r="AG1775" s="77">
        <f>IF(OR($A1775="",B1775=""),"",MONTH(B1775))</f>
        <v/>
      </c>
    </row>
    <row r="1776">
      <c r="A1776" s="7" t="n"/>
      <c r="B1776" s="75" t="n"/>
      <c r="C1776" s="7" t="n"/>
      <c r="D1776" s="7" t="n"/>
      <c r="E1776" s="9">
        <f>IF(D1776="","",IFERROR(INDEX('Équipements'!$B$5:$B$304,MATCH(D1776,'Équipements'!$A$5:$A$304,0)),"Code inconnu"))</f>
        <v/>
      </c>
      <c r="F1776" s="9">
        <f>IF(D1776="","",IFERROR(INDEX('Équipements'!$D$5:$D$304,MATCH(D1776,'Équipements'!$A$5:$A$304,0)),""))</f>
        <v/>
      </c>
      <c r="G1776" s="9">
        <f>IF(D1776="","",IFERROR(INDEX('Équipements'!$K$5:$K$304,MATCH(D1776,'Équipements'!$A$5:$A$304,0)),""))</f>
        <v/>
      </c>
      <c r="H1776" s="7" t="n"/>
      <c r="I1776" s="7" t="n"/>
      <c r="J1776" s="7" t="n"/>
      <c r="K1776" s="7" t="n"/>
      <c r="L1776" s="7" t="n"/>
      <c r="M1776" s="7" t="n"/>
      <c r="N1776" s="7" t="n"/>
      <c r="O1776" s="7" t="n"/>
      <c r="P1776" s="65" t="n"/>
      <c r="Q1776" s="75" t="n"/>
      <c r="R1776" s="75" t="n"/>
      <c r="S1776" s="76" t="n"/>
      <c r="T1776" s="76" t="n"/>
      <c r="U1776" s="70">
        <f>IF($A1776="","",IFERROR(INDEX('Techniciens'!$F$5:$F$44,MATCH(O1776,'Techniciens'!$B$5:$B$44,0)),'Paramètres'!$AA$10))</f>
        <v/>
      </c>
      <c r="V1776" s="70">
        <f>IF($A1776="","",IF(OR(AC1776="Demandé",AC1776="Planifié",AC1776="Annulé"),0,N(T1776)*N(U1776)))</f>
        <v/>
      </c>
      <c r="W1776" s="70">
        <f>IF($A1776="","",SUMIFS('Mouvements stock'!$H$5:$H$3004,'Mouvements stock'!$I$5:$I$3004,$A1776,'Mouvements stock'!$C$5:$C$3004,"Sortie")-SUMIFS('Mouvements stock'!$H$5:$H$3004,'Mouvements stock'!$I$5:$I$3004,$A1776,'Mouvements stock'!$C$5:$C$3004,"Retour"))</f>
        <v/>
      </c>
      <c r="X1776" s="66" t="n"/>
      <c r="Y1776" s="66" t="n"/>
      <c r="Z1776" s="7" t="n"/>
      <c r="AA1776" s="70">
        <f>IF($A1776="","",N(V1776)+N(W1776)+N(X1776)+N(Y1776))</f>
        <v/>
      </c>
      <c r="AB1776" s="70">
        <f>IF($A1776="","",N(S1776)*'Paramètres'!$AA$9*IFERROR(INDEX('Paramètres'!$O$5:$O$7,MATCH(G1776,'Paramètres'!$N$5:$N$7,0)),0))</f>
        <v/>
      </c>
      <c r="AC1776" s="7" t="n"/>
      <c r="AD1776" s="69">
        <f>IF(OR($A1776="",Q1776=""),"",(Q1776-B1776)*24)</f>
        <v/>
      </c>
      <c r="AE1776" s="69">
        <f>IF(OR(Q1776="",R1776=""),"",(R1776-Q1776)*24)</f>
        <v/>
      </c>
      <c r="AF1776" s="77">
        <f>IF(OR($A1776="",B1776=""),"",YEAR(B1776))</f>
        <v/>
      </c>
      <c r="AG1776" s="77">
        <f>IF(OR($A1776="",B1776=""),"",MONTH(B1776))</f>
        <v/>
      </c>
    </row>
    <row r="1777">
      <c r="A1777" s="7" t="n"/>
      <c r="B1777" s="75" t="n"/>
      <c r="C1777" s="7" t="n"/>
      <c r="D1777" s="7" t="n"/>
      <c r="E1777" s="9">
        <f>IF(D1777="","",IFERROR(INDEX('Équipements'!$B$5:$B$304,MATCH(D1777,'Équipements'!$A$5:$A$304,0)),"Code inconnu"))</f>
        <v/>
      </c>
      <c r="F1777" s="9">
        <f>IF(D1777="","",IFERROR(INDEX('Équipements'!$D$5:$D$304,MATCH(D1777,'Équipements'!$A$5:$A$304,0)),""))</f>
        <v/>
      </c>
      <c r="G1777" s="9">
        <f>IF(D1777="","",IFERROR(INDEX('Équipements'!$K$5:$K$304,MATCH(D1777,'Équipements'!$A$5:$A$304,0)),""))</f>
        <v/>
      </c>
      <c r="H1777" s="7" t="n"/>
      <c r="I1777" s="7" t="n"/>
      <c r="J1777" s="7" t="n"/>
      <c r="K1777" s="7" t="n"/>
      <c r="L1777" s="7" t="n"/>
      <c r="M1777" s="7" t="n"/>
      <c r="N1777" s="7" t="n"/>
      <c r="O1777" s="7" t="n"/>
      <c r="P1777" s="65" t="n"/>
      <c r="Q1777" s="75" t="n"/>
      <c r="R1777" s="75" t="n"/>
      <c r="S1777" s="76" t="n"/>
      <c r="T1777" s="76" t="n"/>
      <c r="U1777" s="70">
        <f>IF($A1777="","",IFERROR(INDEX('Techniciens'!$F$5:$F$44,MATCH(O1777,'Techniciens'!$B$5:$B$44,0)),'Paramètres'!$AA$10))</f>
        <v/>
      </c>
      <c r="V1777" s="70">
        <f>IF($A1777="","",IF(OR(AC1777="Demandé",AC1777="Planifié",AC1777="Annulé"),0,N(T1777)*N(U1777)))</f>
        <v/>
      </c>
      <c r="W1777" s="70">
        <f>IF($A1777="","",SUMIFS('Mouvements stock'!$H$5:$H$3004,'Mouvements stock'!$I$5:$I$3004,$A1777,'Mouvements stock'!$C$5:$C$3004,"Sortie")-SUMIFS('Mouvements stock'!$H$5:$H$3004,'Mouvements stock'!$I$5:$I$3004,$A1777,'Mouvements stock'!$C$5:$C$3004,"Retour"))</f>
        <v/>
      </c>
      <c r="X1777" s="66" t="n"/>
      <c r="Y1777" s="66" t="n"/>
      <c r="Z1777" s="7" t="n"/>
      <c r="AA1777" s="70">
        <f>IF($A1777="","",N(V1777)+N(W1777)+N(X1777)+N(Y1777))</f>
        <v/>
      </c>
      <c r="AB1777" s="70">
        <f>IF($A1777="","",N(S1777)*'Paramètres'!$AA$9*IFERROR(INDEX('Paramètres'!$O$5:$O$7,MATCH(G1777,'Paramètres'!$N$5:$N$7,0)),0))</f>
        <v/>
      </c>
      <c r="AC1777" s="7" t="n"/>
      <c r="AD1777" s="69">
        <f>IF(OR($A1777="",Q1777=""),"",(Q1777-B1777)*24)</f>
        <v/>
      </c>
      <c r="AE1777" s="69">
        <f>IF(OR(Q1777="",R1777=""),"",(R1777-Q1777)*24)</f>
        <v/>
      </c>
      <c r="AF1777" s="77">
        <f>IF(OR($A1777="",B1777=""),"",YEAR(B1777))</f>
        <v/>
      </c>
      <c r="AG1777" s="77">
        <f>IF(OR($A1777="",B1777=""),"",MONTH(B1777))</f>
        <v/>
      </c>
    </row>
    <row r="1778">
      <c r="A1778" s="7" t="n"/>
      <c r="B1778" s="75" t="n"/>
      <c r="C1778" s="7" t="n"/>
      <c r="D1778" s="7" t="n"/>
      <c r="E1778" s="9">
        <f>IF(D1778="","",IFERROR(INDEX('Équipements'!$B$5:$B$304,MATCH(D1778,'Équipements'!$A$5:$A$304,0)),"Code inconnu"))</f>
        <v/>
      </c>
      <c r="F1778" s="9">
        <f>IF(D1778="","",IFERROR(INDEX('Équipements'!$D$5:$D$304,MATCH(D1778,'Équipements'!$A$5:$A$304,0)),""))</f>
        <v/>
      </c>
      <c r="G1778" s="9">
        <f>IF(D1778="","",IFERROR(INDEX('Équipements'!$K$5:$K$304,MATCH(D1778,'Équipements'!$A$5:$A$304,0)),""))</f>
        <v/>
      </c>
      <c r="H1778" s="7" t="n"/>
      <c r="I1778" s="7" t="n"/>
      <c r="J1778" s="7" t="n"/>
      <c r="K1778" s="7" t="n"/>
      <c r="L1778" s="7" t="n"/>
      <c r="M1778" s="7" t="n"/>
      <c r="N1778" s="7" t="n"/>
      <c r="O1778" s="7" t="n"/>
      <c r="P1778" s="65" t="n"/>
      <c r="Q1778" s="75" t="n"/>
      <c r="R1778" s="75" t="n"/>
      <c r="S1778" s="76" t="n"/>
      <c r="T1778" s="76" t="n"/>
      <c r="U1778" s="70">
        <f>IF($A1778="","",IFERROR(INDEX('Techniciens'!$F$5:$F$44,MATCH(O1778,'Techniciens'!$B$5:$B$44,0)),'Paramètres'!$AA$10))</f>
        <v/>
      </c>
      <c r="V1778" s="70">
        <f>IF($A1778="","",IF(OR(AC1778="Demandé",AC1778="Planifié",AC1778="Annulé"),0,N(T1778)*N(U1778)))</f>
        <v/>
      </c>
      <c r="W1778" s="70">
        <f>IF($A1778="","",SUMIFS('Mouvements stock'!$H$5:$H$3004,'Mouvements stock'!$I$5:$I$3004,$A1778,'Mouvements stock'!$C$5:$C$3004,"Sortie")-SUMIFS('Mouvements stock'!$H$5:$H$3004,'Mouvements stock'!$I$5:$I$3004,$A1778,'Mouvements stock'!$C$5:$C$3004,"Retour"))</f>
        <v/>
      </c>
      <c r="X1778" s="66" t="n"/>
      <c r="Y1778" s="66" t="n"/>
      <c r="Z1778" s="7" t="n"/>
      <c r="AA1778" s="70">
        <f>IF($A1778="","",N(V1778)+N(W1778)+N(X1778)+N(Y1778))</f>
        <v/>
      </c>
      <c r="AB1778" s="70">
        <f>IF($A1778="","",N(S1778)*'Paramètres'!$AA$9*IFERROR(INDEX('Paramètres'!$O$5:$O$7,MATCH(G1778,'Paramètres'!$N$5:$N$7,0)),0))</f>
        <v/>
      </c>
      <c r="AC1778" s="7" t="n"/>
      <c r="AD1778" s="69">
        <f>IF(OR($A1778="",Q1778=""),"",(Q1778-B1778)*24)</f>
        <v/>
      </c>
      <c r="AE1778" s="69">
        <f>IF(OR(Q1778="",R1778=""),"",(R1778-Q1778)*24)</f>
        <v/>
      </c>
      <c r="AF1778" s="77">
        <f>IF(OR($A1778="",B1778=""),"",YEAR(B1778))</f>
        <v/>
      </c>
      <c r="AG1778" s="77">
        <f>IF(OR($A1778="",B1778=""),"",MONTH(B1778))</f>
        <v/>
      </c>
    </row>
    <row r="1779">
      <c r="A1779" s="7" t="n"/>
      <c r="B1779" s="75" t="n"/>
      <c r="C1779" s="7" t="n"/>
      <c r="D1779" s="7" t="n"/>
      <c r="E1779" s="9">
        <f>IF(D1779="","",IFERROR(INDEX('Équipements'!$B$5:$B$304,MATCH(D1779,'Équipements'!$A$5:$A$304,0)),"Code inconnu"))</f>
        <v/>
      </c>
      <c r="F1779" s="9">
        <f>IF(D1779="","",IFERROR(INDEX('Équipements'!$D$5:$D$304,MATCH(D1779,'Équipements'!$A$5:$A$304,0)),""))</f>
        <v/>
      </c>
      <c r="G1779" s="9">
        <f>IF(D1779="","",IFERROR(INDEX('Équipements'!$K$5:$K$304,MATCH(D1779,'Équipements'!$A$5:$A$304,0)),""))</f>
        <v/>
      </c>
      <c r="H1779" s="7" t="n"/>
      <c r="I1779" s="7" t="n"/>
      <c r="J1779" s="7" t="n"/>
      <c r="K1779" s="7" t="n"/>
      <c r="L1779" s="7" t="n"/>
      <c r="M1779" s="7" t="n"/>
      <c r="N1779" s="7" t="n"/>
      <c r="O1779" s="7" t="n"/>
      <c r="P1779" s="65" t="n"/>
      <c r="Q1779" s="75" t="n"/>
      <c r="R1779" s="75" t="n"/>
      <c r="S1779" s="76" t="n"/>
      <c r="T1779" s="76" t="n"/>
      <c r="U1779" s="70">
        <f>IF($A1779="","",IFERROR(INDEX('Techniciens'!$F$5:$F$44,MATCH(O1779,'Techniciens'!$B$5:$B$44,0)),'Paramètres'!$AA$10))</f>
        <v/>
      </c>
      <c r="V1779" s="70">
        <f>IF($A1779="","",IF(OR(AC1779="Demandé",AC1779="Planifié",AC1779="Annulé"),0,N(T1779)*N(U1779)))</f>
        <v/>
      </c>
      <c r="W1779" s="70">
        <f>IF($A1779="","",SUMIFS('Mouvements stock'!$H$5:$H$3004,'Mouvements stock'!$I$5:$I$3004,$A1779,'Mouvements stock'!$C$5:$C$3004,"Sortie")-SUMIFS('Mouvements stock'!$H$5:$H$3004,'Mouvements stock'!$I$5:$I$3004,$A1779,'Mouvements stock'!$C$5:$C$3004,"Retour"))</f>
        <v/>
      </c>
      <c r="X1779" s="66" t="n"/>
      <c r="Y1779" s="66" t="n"/>
      <c r="Z1779" s="7" t="n"/>
      <c r="AA1779" s="70">
        <f>IF($A1779="","",N(V1779)+N(W1779)+N(X1779)+N(Y1779))</f>
        <v/>
      </c>
      <c r="AB1779" s="70">
        <f>IF($A1779="","",N(S1779)*'Paramètres'!$AA$9*IFERROR(INDEX('Paramètres'!$O$5:$O$7,MATCH(G1779,'Paramètres'!$N$5:$N$7,0)),0))</f>
        <v/>
      </c>
      <c r="AC1779" s="7" t="n"/>
      <c r="AD1779" s="69">
        <f>IF(OR($A1779="",Q1779=""),"",(Q1779-B1779)*24)</f>
        <v/>
      </c>
      <c r="AE1779" s="69">
        <f>IF(OR(Q1779="",R1779=""),"",(R1779-Q1779)*24)</f>
        <v/>
      </c>
      <c r="AF1779" s="77">
        <f>IF(OR($A1779="",B1779=""),"",YEAR(B1779))</f>
        <v/>
      </c>
      <c r="AG1779" s="77">
        <f>IF(OR($A1779="",B1779=""),"",MONTH(B1779))</f>
        <v/>
      </c>
    </row>
    <row r="1780">
      <c r="A1780" s="7" t="n"/>
      <c r="B1780" s="75" t="n"/>
      <c r="C1780" s="7" t="n"/>
      <c r="D1780" s="7" t="n"/>
      <c r="E1780" s="9">
        <f>IF(D1780="","",IFERROR(INDEX('Équipements'!$B$5:$B$304,MATCH(D1780,'Équipements'!$A$5:$A$304,0)),"Code inconnu"))</f>
        <v/>
      </c>
      <c r="F1780" s="9">
        <f>IF(D1780="","",IFERROR(INDEX('Équipements'!$D$5:$D$304,MATCH(D1780,'Équipements'!$A$5:$A$304,0)),""))</f>
        <v/>
      </c>
      <c r="G1780" s="9">
        <f>IF(D1780="","",IFERROR(INDEX('Équipements'!$K$5:$K$304,MATCH(D1780,'Équipements'!$A$5:$A$304,0)),""))</f>
        <v/>
      </c>
      <c r="H1780" s="7" t="n"/>
      <c r="I1780" s="7" t="n"/>
      <c r="J1780" s="7" t="n"/>
      <c r="K1780" s="7" t="n"/>
      <c r="L1780" s="7" t="n"/>
      <c r="M1780" s="7" t="n"/>
      <c r="N1780" s="7" t="n"/>
      <c r="O1780" s="7" t="n"/>
      <c r="P1780" s="65" t="n"/>
      <c r="Q1780" s="75" t="n"/>
      <c r="R1780" s="75" t="n"/>
      <c r="S1780" s="76" t="n"/>
      <c r="T1780" s="76" t="n"/>
      <c r="U1780" s="70">
        <f>IF($A1780="","",IFERROR(INDEX('Techniciens'!$F$5:$F$44,MATCH(O1780,'Techniciens'!$B$5:$B$44,0)),'Paramètres'!$AA$10))</f>
        <v/>
      </c>
      <c r="V1780" s="70">
        <f>IF($A1780="","",IF(OR(AC1780="Demandé",AC1780="Planifié",AC1780="Annulé"),0,N(T1780)*N(U1780)))</f>
        <v/>
      </c>
      <c r="W1780" s="70">
        <f>IF($A1780="","",SUMIFS('Mouvements stock'!$H$5:$H$3004,'Mouvements stock'!$I$5:$I$3004,$A1780,'Mouvements stock'!$C$5:$C$3004,"Sortie")-SUMIFS('Mouvements stock'!$H$5:$H$3004,'Mouvements stock'!$I$5:$I$3004,$A1780,'Mouvements stock'!$C$5:$C$3004,"Retour"))</f>
        <v/>
      </c>
      <c r="X1780" s="66" t="n"/>
      <c r="Y1780" s="66" t="n"/>
      <c r="Z1780" s="7" t="n"/>
      <c r="AA1780" s="70">
        <f>IF($A1780="","",N(V1780)+N(W1780)+N(X1780)+N(Y1780))</f>
        <v/>
      </c>
      <c r="AB1780" s="70">
        <f>IF($A1780="","",N(S1780)*'Paramètres'!$AA$9*IFERROR(INDEX('Paramètres'!$O$5:$O$7,MATCH(G1780,'Paramètres'!$N$5:$N$7,0)),0))</f>
        <v/>
      </c>
      <c r="AC1780" s="7" t="n"/>
      <c r="AD1780" s="69">
        <f>IF(OR($A1780="",Q1780=""),"",(Q1780-B1780)*24)</f>
        <v/>
      </c>
      <c r="AE1780" s="69">
        <f>IF(OR(Q1780="",R1780=""),"",(R1780-Q1780)*24)</f>
        <v/>
      </c>
      <c r="AF1780" s="77">
        <f>IF(OR($A1780="",B1780=""),"",YEAR(B1780))</f>
        <v/>
      </c>
      <c r="AG1780" s="77">
        <f>IF(OR($A1780="",B1780=""),"",MONTH(B1780))</f>
        <v/>
      </c>
    </row>
    <row r="1781">
      <c r="A1781" s="7" t="n"/>
      <c r="B1781" s="75" t="n"/>
      <c r="C1781" s="7" t="n"/>
      <c r="D1781" s="7" t="n"/>
      <c r="E1781" s="9">
        <f>IF(D1781="","",IFERROR(INDEX('Équipements'!$B$5:$B$304,MATCH(D1781,'Équipements'!$A$5:$A$304,0)),"Code inconnu"))</f>
        <v/>
      </c>
      <c r="F1781" s="9">
        <f>IF(D1781="","",IFERROR(INDEX('Équipements'!$D$5:$D$304,MATCH(D1781,'Équipements'!$A$5:$A$304,0)),""))</f>
        <v/>
      </c>
      <c r="G1781" s="9">
        <f>IF(D1781="","",IFERROR(INDEX('Équipements'!$K$5:$K$304,MATCH(D1781,'Équipements'!$A$5:$A$304,0)),""))</f>
        <v/>
      </c>
      <c r="H1781" s="7" t="n"/>
      <c r="I1781" s="7" t="n"/>
      <c r="J1781" s="7" t="n"/>
      <c r="K1781" s="7" t="n"/>
      <c r="L1781" s="7" t="n"/>
      <c r="M1781" s="7" t="n"/>
      <c r="N1781" s="7" t="n"/>
      <c r="O1781" s="7" t="n"/>
      <c r="P1781" s="65" t="n"/>
      <c r="Q1781" s="75" t="n"/>
      <c r="R1781" s="75" t="n"/>
      <c r="S1781" s="76" t="n"/>
      <c r="T1781" s="76" t="n"/>
      <c r="U1781" s="70">
        <f>IF($A1781="","",IFERROR(INDEX('Techniciens'!$F$5:$F$44,MATCH(O1781,'Techniciens'!$B$5:$B$44,0)),'Paramètres'!$AA$10))</f>
        <v/>
      </c>
      <c r="V1781" s="70">
        <f>IF($A1781="","",IF(OR(AC1781="Demandé",AC1781="Planifié",AC1781="Annulé"),0,N(T1781)*N(U1781)))</f>
        <v/>
      </c>
      <c r="W1781" s="70">
        <f>IF($A1781="","",SUMIFS('Mouvements stock'!$H$5:$H$3004,'Mouvements stock'!$I$5:$I$3004,$A1781,'Mouvements stock'!$C$5:$C$3004,"Sortie")-SUMIFS('Mouvements stock'!$H$5:$H$3004,'Mouvements stock'!$I$5:$I$3004,$A1781,'Mouvements stock'!$C$5:$C$3004,"Retour"))</f>
        <v/>
      </c>
      <c r="X1781" s="66" t="n"/>
      <c r="Y1781" s="66" t="n"/>
      <c r="Z1781" s="7" t="n"/>
      <c r="AA1781" s="70">
        <f>IF($A1781="","",N(V1781)+N(W1781)+N(X1781)+N(Y1781))</f>
        <v/>
      </c>
      <c r="AB1781" s="70">
        <f>IF($A1781="","",N(S1781)*'Paramètres'!$AA$9*IFERROR(INDEX('Paramètres'!$O$5:$O$7,MATCH(G1781,'Paramètres'!$N$5:$N$7,0)),0))</f>
        <v/>
      </c>
      <c r="AC1781" s="7" t="n"/>
      <c r="AD1781" s="69">
        <f>IF(OR($A1781="",Q1781=""),"",(Q1781-B1781)*24)</f>
        <v/>
      </c>
      <c r="AE1781" s="69">
        <f>IF(OR(Q1781="",R1781=""),"",(R1781-Q1781)*24)</f>
        <v/>
      </c>
      <c r="AF1781" s="77">
        <f>IF(OR($A1781="",B1781=""),"",YEAR(B1781))</f>
        <v/>
      </c>
      <c r="AG1781" s="77">
        <f>IF(OR($A1781="",B1781=""),"",MONTH(B1781))</f>
        <v/>
      </c>
    </row>
    <row r="1782">
      <c r="A1782" s="7" t="n"/>
      <c r="B1782" s="75" t="n"/>
      <c r="C1782" s="7" t="n"/>
      <c r="D1782" s="7" t="n"/>
      <c r="E1782" s="9">
        <f>IF(D1782="","",IFERROR(INDEX('Équipements'!$B$5:$B$304,MATCH(D1782,'Équipements'!$A$5:$A$304,0)),"Code inconnu"))</f>
        <v/>
      </c>
      <c r="F1782" s="9">
        <f>IF(D1782="","",IFERROR(INDEX('Équipements'!$D$5:$D$304,MATCH(D1782,'Équipements'!$A$5:$A$304,0)),""))</f>
        <v/>
      </c>
      <c r="G1782" s="9">
        <f>IF(D1782="","",IFERROR(INDEX('Équipements'!$K$5:$K$304,MATCH(D1782,'Équipements'!$A$5:$A$304,0)),""))</f>
        <v/>
      </c>
      <c r="H1782" s="7" t="n"/>
      <c r="I1782" s="7" t="n"/>
      <c r="J1782" s="7" t="n"/>
      <c r="K1782" s="7" t="n"/>
      <c r="L1782" s="7" t="n"/>
      <c r="M1782" s="7" t="n"/>
      <c r="N1782" s="7" t="n"/>
      <c r="O1782" s="7" t="n"/>
      <c r="P1782" s="65" t="n"/>
      <c r="Q1782" s="75" t="n"/>
      <c r="R1782" s="75" t="n"/>
      <c r="S1782" s="76" t="n"/>
      <c r="T1782" s="76" t="n"/>
      <c r="U1782" s="70">
        <f>IF($A1782="","",IFERROR(INDEX('Techniciens'!$F$5:$F$44,MATCH(O1782,'Techniciens'!$B$5:$B$44,0)),'Paramètres'!$AA$10))</f>
        <v/>
      </c>
      <c r="V1782" s="70">
        <f>IF($A1782="","",IF(OR(AC1782="Demandé",AC1782="Planifié",AC1782="Annulé"),0,N(T1782)*N(U1782)))</f>
        <v/>
      </c>
      <c r="W1782" s="70">
        <f>IF($A1782="","",SUMIFS('Mouvements stock'!$H$5:$H$3004,'Mouvements stock'!$I$5:$I$3004,$A1782,'Mouvements stock'!$C$5:$C$3004,"Sortie")-SUMIFS('Mouvements stock'!$H$5:$H$3004,'Mouvements stock'!$I$5:$I$3004,$A1782,'Mouvements stock'!$C$5:$C$3004,"Retour"))</f>
        <v/>
      </c>
      <c r="X1782" s="66" t="n"/>
      <c r="Y1782" s="66" t="n"/>
      <c r="Z1782" s="7" t="n"/>
      <c r="AA1782" s="70">
        <f>IF($A1782="","",N(V1782)+N(W1782)+N(X1782)+N(Y1782))</f>
        <v/>
      </c>
      <c r="AB1782" s="70">
        <f>IF($A1782="","",N(S1782)*'Paramètres'!$AA$9*IFERROR(INDEX('Paramètres'!$O$5:$O$7,MATCH(G1782,'Paramètres'!$N$5:$N$7,0)),0))</f>
        <v/>
      </c>
      <c r="AC1782" s="7" t="n"/>
      <c r="AD1782" s="69">
        <f>IF(OR($A1782="",Q1782=""),"",(Q1782-B1782)*24)</f>
        <v/>
      </c>
      <c r="AE1782" s="69">
        <f>IF(OR(Q1782="",R1782=""),"",(R1782-Q1782)*24)</f>
        <v/>
      </c>
      <c r="AF1782" s="77">
        <f>IF(OR($A1782="",B1782=""),"",YEAR(B1782))</f>
        <v/>
      </c>
      <c r="AG1782" s="77">
        <f>IF(OR($A1782="",B1782=""),"",MONTH(B1782))</f>
        <v/>
      </c>
    </row>
    <row r="1783">
      <c r="A1783" s="7" t="n"/>
      <c r="B1783" s="75" t="n"/>
      <c r="C1783" s="7" t="n"/>
      <c r="D1783" s="7" t="n"/>
      <c r="E1783" s="9">
        <f>IF(D1783="","",IFERROR(INDEX('Équipements'!$B$5:$B$304,MATCH(D1783,'Équipements'!$A$5:$A$304,0)),"Code inconnu"))</f>
        <v/>
      </c>
      <c r="F1783" s="9">
        <f>IF(D1783="","",IFERROR(INDEX('Équipements'!$D$5:$D$304,MATCH(D1783,'Équipements'!$A$5:$A$304,0)),""))</f>
        <v/>
      </c>
      <c r="G1783" s="9">
        <f>IF(D1783="","",IFERROR(INDEX('Équipements'!$K$5:$K$304,MATCH(D1783,'Équipements'!$A$5:$A$304,0)),""))</f>
        <v/>
      </c>
      <c r="H1783" s="7" t="n"/>
      <c r="I1783" s="7" t="n"/>
      <c r="J1783" s="7" t="n"/>
      <c r="K1783" s="7" t="n"/>
      <c r="L1783" s="7" t="n"/>
      <c r="M1783" s="7" t="n"/>
      <c r="N1783" s="7" t="n"/>
      <c r="O1783" s="7" t="n"/>
      <c r="P1783" s="65" t="n"/>
      <c r="Q1783" s="75" t="n"/>
      <c r="R1783" s="75" t="n"/>
      <c r="S1783" s="76" t="n"/>
      <c r="T1783" s="76" t="n"/>
      <c r="U1783" s="70">
        <f>IF($A1783="","",IFERROR(INDEX('Techniciens'!$F$5:$F$44,MATCH(O1783,'Techniciens'!$B$5:$B$44,0)),'Paramètres'!$AA$10))</f>
        <v/>
      </c>
      <c r="V1783" s="70">
        <f>IF($A1783="","",IF(OR(AC1783="Demandé",AC1783="Planifié",AC1783="Annulé"),0,N(T1783)*N(U1783)))</f>
        <v/>
      </c>
      <c r="W1783" s="70">
        <f>IF($A1783="","",SUMIFS('Mouvements stock'!$H$5:$H$3004,'Mouvements stock'!$I$5:$I$3004,$A1783,'Mouvements stock'!$C$5:$C$3004,"Sortie")-SUMIFS('Mouvements stock'!$H$5:$H$3004,'Mouvements stock'!$I$5:$I$3004,$A1783,'Mouvements stock'!$C$5:$C$3004,"Retour"))</f>
        <v/>
      </c>
      <c r="X1783" s="66" t="n"/>
      <c r="Y1783" s="66" t="n"/>
      <c r="Z1783" s="7" t="n"/>
      <c r="AA1783" s="70">
        <f>IF($A1783="","",N(V1783)+N(W1783)+N(X1783)+N(Y1783))</f>
        <v/>
      </c>
      <c r="AB1783" s="70">
        <f>IF($A1783="","",N(S1783)*'Paramètres'!$AA$9*IFERROR(INDEX('Paramètres'!$O$5:$O$7,MATCH(G1783,'Paramètres'!$N$5:$N$7,0)),0))</f>
        <v/>
      </c>
      <c r="AC1783" s="7" t="n"/>
      <c r="AD1783" s="69">
        <f>IF(OR($A1783="",Q1783=""),"",(Q1783-B1783)*24)</f>
        <v/>
      </c>
      <c r="AE1783" s="69">
        <f>IF(OR(Q1783="",R1783=""),"",(R1783-Q1783)*24)</f>
        <v/>
      </c>
      <c r="AF1783" s="77">
        <f>IF(OR($A1783="",B1783=""),"",YEAR(B1783))</f>
        <v/>
      </c>
      <c r="AG1783" s="77">
        <f>IF(OR($A1783="",B1783=""),"",MONTH(B1783))</f>
        <v/>
      </c>
    </row>
    <row r="1784">
      <c r="A1784" s="7" t="n"/>
      <c r="B1784" s="75" t="n"/>
      <c r="C1784" s="7" t="n"/>
      <c r="D1784" s="7" t="n"/>
      <c r="E1784" s="9">
        <f>IF(D1784="","",IFERROR(INDEX('Équipements'!$B$5:$B$304,MATCH(D1784,'Équipements'!$A$5:$A$304,0)),"Code inconnu"))</f>
        <v/>
      </c>
      <c r="F1784" s="9">
        <f>IF(D1784="","",IFERROR(INDEX('Équipements'!$D$5:$D$304,MATCH(D1784,'Équipements'!$A$5:$A$304,0)),""))</f>
        <v/>
      </c>
      <c r="G1784" s="9">
        <f>IF(D1784="","",IFERROR(INDEX('Équipements'!$K$5:$K$304,MATCH(D1784,'Équipements'!$A$5:$A$304,0)),""))</f>
        <v/>
      </c>
      <c r="H1784" s="7" t="n"/>
      <c r="I1784" s="7" t="n"/>
      <c r="J1784" s="7" t="n"/>
      <c r="K1784" s="7" t="n"/>
      <c r="L1784" s="7" t="n"/>
      <c r="M1784" s="7" t="n"/>
      <c r="N1784" s="7" t="n"/>
      <c r="O1784" s="7" t="n"/>
      <c r="P1784" s="65" t="n"/>
      <c r="Q1784" s="75" t="n"/>
      <c r="R1784" s="75" t="n"/>
      <c r="S1784" s="76" t="n"/>
      <c r="T1784" s="76" t="n"/>
      <c r="U1784" s="70">
        <f>IF($A1784="","",IFERROR(INDEX('Techniciens'!$F$5:$F$44,MATCH(O1784,'Techniciens'!$B$5:$B$44,0)),'Paramètres'!$AA$10))</f>
        <v/>
      </c>
      <c r="V1784" s="70">
        <f>IF($A1784="","",IF(OR(AC1784="Demandé",AC1784="Planifié",AC1784="Annulé"),0,N(T1784)*N(U1784)))</f>
        <v/>
      </c>
      <c r="W1784" s="70">
        <f>IF($A1784="","",SUMIFS('Mouvements stock'!$H$5:$H$3004,'Mouvements stock'!$I$5:$I$3004,$A1784,'Mouvements stock'!$C$5:$C$3004,"Sortie")-SUMIFS('Mouvements stock'!$H$5:$H$3004,'Mouvements stock'!$I$5:$I$3004,$A1784,'Mouvements stock'!$C$5:$C$3004,"Retour"))</f>
        <v/>
      </c>
      <c r="X1784" s="66" t="n"/>
      <c r="Y1784" s="66" t="n"/>
      <c r="Z1784" s="7" t="n"/>
      <c r="AA1784" s="70">
        <f>IF($A1784="","",N(V1784)+N(W1784)+N(X1784)+N(Y1784))</f>
        <v/>
      </c>
      <c r="AB1784" s="70">
        <f>IF($A1784="","",N(S1784)*'Paramètres'!$AA$9*IFERROR(INDEX('Paramètres'!$O$5:$O$7,MATCH(G1784,'Paramètres'!$N$5:$N$7,0)),0))</f>
        <v/>
      </c>
      <c r="AC1784" s="7" t="n"/>
      <c r="AD1784" s="69">
        <f>IF(OR($A1784="",Q1784=""),"",(Q1784-B1784)*24)</f>
        <v/>
      </c>
      <c r="AE1784" s="69">
        <f>IF(OR(Q1784="",R1784=""),"",(R1784-Q1784)*24)</f>
        <v/>
      </c>
      <c r="AF1784" s="77">
        <f>IF(OR($A1784="",B1784=""),"",YEAR(B1784))</f>
        <v/>
      </c>
      <c r="AG1784" s="77">
        <f>IF(OR($A1784="",B1784=""),"",MONTH(B1784))</f>
        <v/>
      </c>
    </row>
    <row r="1785">
      <c r="A1785" s="7" t="n"/>
      <c r="B1785" s="75" t="n"/>
      <c r="C1785" s="7" t="n"/>
      <c r="D1785" s="7" t="n"/>
      <c r="E1785" s="9">
        <f>IF(D1785="","",IFERROR(INDEX('Équipements'!$B$5:$B$304,MATCH(D1785,'Équipements'!$A$5:$A$304,0)),"Code inconnu"))</f>
        <v/>
      </c>
      <c r="F1785" s="9">
        <f>IF(D1785="","",IFERROR(INDEX('Équipements'!$D$5:$D$304,MATCH(D1785,'Équipements'!$A$5:$A$304,0)),""))</f>
        <v/>
      </c>
      <c r="G1785" s="9">
        <f>IF(D1785="","",IFERROR(INDEX('Équipements'!$K$5:$K$304,MATCH(D1785,'Équipements'!$A$5:$A$304,0)),""))</f>
        <v/>
      </c>
      <c r="H1785" s="7" t="n"/>
      <c r="I1785" s="7" t="n"/>
      <c r="J1785" s="7" t="n"/>
      <c r="K1785" s="7" t="n"/>
      <c r="L1785" s="7" t="n"/>
      <c r="M1785" s="7" t="n"/>
      <c r="N1785" s="7" t="n"/>
      <c r="O1785" s="7" t="n"/>
      <c r="P1785" s="65" t="n"/>
      <c r="Q1785" s="75" t="n"/>
      <c r="R1785" s="75" t="n"/>
      <c r="S1785" s="76" t="n"/>
      <c r="T1785" s="76" t="n"/>
      <c r="U1785" s="70">
        <f>IF($A1785="","",IFERROR(INDEX('Techniciens'!$F$5:$F$44,MATCH(O1785,'Techniciens'!$B$5:$B$44,0)),'Paramètres'!$AA$10))</f>
        <v/>
      </c>
      <c r="V1785" s="70">
        <f>IF($A1785="","",IF(OR(AC1785="Demandé",AC1785="Planifié",AC1785="Annulé"),0,N(T1785)*N(U1785)))</f>
        <v/>
      </c>
      <c r="W1785" s="70">
        <f>IF($A1785="","",SUMIFS('Mouvements stock'!$H$5:$H$3004,'Mouvements stock'!$I$5:$I$3004,$A1785,'Mouvements stock'!$C$5:$C$3004,"Sortie")-SUMIFS('Mouvements stock'!$H$5:$H$3004,'Mouvements stock'!$I$5:$I$3004,$A1785,'Mouvements stock'!$C$5:$C$3004,"Retour"))</f>
        <v/>
      </c>
      <c r="X1785" s="66" t="n"/>
      <c r="Y1785" s="66" t="n"/>
      <c r="Z1785" s="7" t="n"/>
      <c r="AA1785" s="70">
        <f>IF($A1785="","",N(V1785)+N(W1785)+N(X1785)+N(Y1785))</f>
        <v/>
      </c>
      <c r="AB1785" s="70">
        <f>IF($A1785="","",N(S1785)*'Paramètres'!$AA$9*IFERROR(INDEX('Paramètres'!$O$5:$O$7,MATCH(G1785,'Paramètres'!$N$5:$N$7,0)),0))</f>
        <v/>
      </c>
      <c r="AC1785" s="7" t="n"/>
      <c r="AD1785" s="69">
        <f>IF(OR($A1785="",Q1785=""),"",(Q1785-B1785)*24)</f>
        <v/>
      </c>
      <c r="AE1785" s="69">
        <f>IF(OR(Q1785="",R1785=""),"",(R1785-Q1785)*24)</f>
        <v/>
      </c>
      <c r="AF1785" s="77">
        <f>IF(OR($A1785="",B1785=""),"",YEAR(B1785))</f>
        <v/>
      </c>
      <c r="AG1785" s="77">
        <f>IF(OR($A1785="",B1785=""),"",MONTH(B1785))</f>
        <v/>
      </c>
    </row>
    <row r="1786">
      <c r="A1786" s="7" t="n"/>
      <c r="B1786" s="75" t="n"/>
      <c r="C1786" s="7" t="n"/>
      <c r="D1786" s="7" t="n"/>
      <c r="E1786" s="9">
        <f>IF(D1786="","",IFERROR(INDEX('Équipements'!$B$5:$B$304,MATCH(D1786,'Équipements'!$A$5:$A$304,0)),"Code inconnu"))</f>
        <v/>
      </c>
      <c r="F1786" s="9">
        <f>IF(D1786="","",IFERROR(INDEX('Équipements'!$D$5:$D$304,MATCH(D1786,'Équipements'!$A$5:$A$304,0)),""))</f>
        <v/>
      </c>
      <c r="G1786" s="9">
        <f>IF(D1786="","",IFERROR(INDEX('Équipements'!$K$5:$K$304,MATCH(D1786,'Équipements'!$A$5:$A$304,0)),""))</f>
        <v/>
      </c>
      <c r="H1786" s="7" t="n"/>
      <c r="I1786" s="7" t="n"/>
      <c r="J1786" s="7" t="n"/>
      <c r="K1786" s="7" t="n"/>
      <c r="L1786" s="7" t="n"/>
      <c r="M1786" s="7" t="n"/>
      <c r="N1786" s="7" t="n"/>
      <c r="O1786" s="7" t="n"/>
      <c r="P1786" s="65" t="n"/>
      <c r="Q1786" s="75" t="n"/>
      <c r="R1786" s="75" t="n"/>
      <c r="S1786" s="76" t="n"/>
      <c r="T1786" s="76" t="n"/>
      <c r="U1786" s="70">
        <f>IF($A1786="","",IFERROR(INDEX('Techniciens'!$F$5:$F$44,MATCH(O1786,'Techniciens'!$B$5:$B$44,0)),'Paramètres'!$AA$10))</f>
        <v/>
      </c>
      <c r="V1786" s="70">
        <f>IF($A1786="","",IF(OR(AC1786="Demandé",AC1786="Planifié",AC1786="Annulé"),0,N(T1786)*N(U1786)))</f>
        <v/>
      </c>
      <c r="W1786" s="70">
        <f>IF($A1786="","",SUMIFS('Mouvements stock'!$H$5:$H$3004,'Mouvements stock'!$I$5:$I$3004,$A1786,'Mouvements stock'!$C$5:$C$3004,"Sortie")-SUMIFS('Mouvements stock'!$H$5:$H$3004,'Mouvements stock'!$I$5:$I$3004,$A1786,'Mouvements stock'!$C$5:$C$3004,"Retour"))</f>
        <v/>
      </c>
      <c r="X1786" s="66" t="n"/>
      <c r="Y1786" s="66" t="n"/>
      <c r="Z1786" s="7" t="n"/>
      <c r="AA1786" s="70">
        <f>IF($A1786="","",N(V1786)+N(W1786)+N(X1786)+N(Y1786))</f>
        <v/>
      </c>
      <c r="AB1786" s="70">
        <f>IF($A1786="","",N(S1786)*'Paramètres'!$AA$9*IFERROR(INDEX('Paramètres'!$O$5:$O$7,MATCH(G1786,'Paramètres'!$N$5:$N$7,0)),0))</f>
        <v/>
      </c>
      <c r="AC1786" s="7" t="n"/>
      <c r="AD1786" s="69">
        <f>IF(OR($A1786="",Q1786=""),"",(Q1786-B1786)*24)</f>
        <v/>
      </c>
      <c r="AE1786" s="69">
        <f>IF(OR(Q1786="",R1786=""),"",(R1786-Q1786)*24)</f>
        <v/>
      </c>
      <c r="AF1786" s="77">
        <f>IF(OR($A1786="",B1786=""),"",YEAR(B1786))</f>
        <v/>
      </c>
      <c r="AG1786" s="77">
        <f>IF(OR($A1786="",B1786=""),"",MONTH(B1786))</f>
        <v/>
      </c>
    </row>
    <row r="1787">
      <c r="A1787" s="7" t="n"/>
      <c r="B1787" s="75" t="n"/>
      <c r="C1787" s="7" t="n"/>
      <c r="D1787" s="7" t="n"/>
      <c r="E1787" s="9">
        <f>IF(D1787="","",IFERROR(INDEX('Équipements'!$B$5:$B$304,MATCH(D1787,'Équipements'!$A$5:$A$304,0)),"Code inconnu"))</f>
        <v/>
      </c>
      <c r="F1787" s="9">
        <f>IF(D1787="","",IFERROR(INDEX('Équipements'!$D$5:$D$304,MATCH(D1787,'Équipements'!$A$5:$A$304,0)),""))</f>
        <v/>
      </c>
      <c r="G1787" s="9">
        <f>IF(D1787="","",IFERROR(INDEX('Équipements'!$K$5:$K$304,MATCH(D1787,'Équipements'!$A$5:$A$304,0)),""))</f>
        <v/>
      </c>
      <c r="H1787" s="7" t="n"/>
      <c r="I1787" s="7" t="n"/>
      <c r="J1787" s="7" t="n"/>
      <c r="K1787" s="7" t="n"/>
      <c r="L1787" s="7" t="n"/>
      <c r="M1787" s="7" t="n"/>
      <c r="N1787" s="7" t="n"/>
      <c r="O1787" s="7" t="n"/>
      <c r="P1787" s="65" t="n"/>
      <c r="Q1787" s="75" t="n"/>
      <c r="R1787" s="75" t="n"/>
      <c r="S1787" s="76" t="n"/>
      <c r="T1787" s="76" t="n"/>
      <c r="U1787" s="70">
        <f>IF($A1787="","",IFERROR(INDEX('Techniciens'!$F$5:$F$44,MATCH(O1787,'Techniciens'!$B$5:$B$44,0)),'Paramètres'!$AA$10))</f>
        <v/>
      </c>
      <c r="V1787" s="70">
        <f>IF($A1787="","",IF(OR(AC1787="Demandé",AC1787="Planifié",AC1787="Annulé"),0,N(T1787)*N(U1787)))</f>
        <v/>
      </c>
      <c r="W1787" s="70">
        <f>IF($A1787="","",SUMIFS('Mouvements stock'!$H$5:$H$3004,'Mouvements stock'!$I$5:$I$3004,$A1787,'Mouvements stock'!$C$5:$C$3004,"Sortie")-SUMIFS('Mouvements stock'!$H$5:$H$3004,'Mouvements stock'!$I$5:$I$3004,$A1787,'Mouvements stock'!$C$5:$C$3004,"Retour"))</f>
        <v/>
      </c>
      <c r="X1787" s="66" t="n"/>
      <c r="Y1787" s="66" t="n"/>
      <c r="Z1787" s="7" t="n"/>
      <c r="AA1787" s="70">
        <f>IF($A1787="","",N(V1787)+N(W1787)+N(X1787)+N(Y1787))</f>
        <v/>
      </c>
      <c r="AB1787" s="70">
        <f>IF($A1787="","",N(S1787)*'Paramètres'!$AA$9*IFERROR(INDEX('Paramètres'!$O$5:$O$7,MATCH(G1787,'Paramètres'!$N$5:$N$7,0)),0))</f>
        <v/>
      </c>
      <c r="AC1787" s="7" t="n"/>
      <c r="AD1787" s="69">
        <f>IF(OR($A1787="",Q1787=""),"",(Q1787-B1787)*24)</f>
        <v/>
      </c>
      <c r="AE1787" s="69">
        <f>IF(OR(Q1787="",R1787=""),"",(R1787-Q1787)*24)</f>
        <v/>
      </c>
      <c r="AF1787" s="77">
        <f>IF(OR($A1787="",B1787=""),"",YEAR(B1787))</f>
        <v/>
      </c>
      <c r="AG1787" s="77">
        <f>IF(OR($A1787="",B1787=""),"",MONTH(B1787))</f>
        <v/>
      </c>
    </row>
    <row r="1788">
      <c r="A1788" s="7" t="n"/>
      <c r="B1788" s="75" t="n"/>
      <c r="C1788" s="7" t="n"/>
      <c r="D1788" s="7" t="n"/>
      <c r="E1788" s="9">
        <f>IF(D1788="","",IFERROR(INDEX('Équipements'!$B$5:$B$304,MATCH(D1788,'Équipements'!$A$5:$A$304,0)),"Code inconnu"))</f>
        <v/>
      </c>
      <c r="F1788" s="9">
        <f>IF(D1788="","",IFERROR(INDEX('Équipements'!$D$5:$D$304,MATCH(D1788,'Équipements'!$A$5:$A$304,0)),""))</f>
        <v/>
      </c>
      <c r="G1788" s="9">
        <f>IF(D1788="","",IFERROR(INDEX('Équipements'!$K$5:$K$304,MATCH(D1788,'Équipements'!$A$5:$A$304,0)),""))</f>
        <v/>
      </c>
      <c r="H1788" s="7" t="n"/>
      <c r="I1788" s="7" t="n"/>
      <c r="J1788" s="7" t="n"/>
      <c r="K1788" s="7" t="n"/>
      <c r="L1788" s="7" t="n"/>
      <c r="M1788" s="7" t="n"/>
      <c r="N1788" s="7" t="n"/>
      <c r="O1788" s="7" t="n"/>
      <c r="P1788" s="65" t="n"/>
      <c r="Q1788" s="75" t="n"/>
      <c r="R1788" s="75" t="n"/>
      <c r="S1788" s="76" t="n"/>
      <c r="T1788" s="76" t="n"/>
      <c r="U1788" s="70">
        <f>IF($A1788="","",IFERROR(INDEX('Techniciens'!$F$5:$F$44,MATCH(O1788,'Techniciens'!$B$5:$B$44,0)),'Paramètres'!$AA$10))</f>
        <v/>
      </c>
      <c r="V1788" s="70">
        <f>IF($A1788="","",IF(OR(AC1788="Demandé",AC1788="Planifié",AC1788="Annulé"),0,N(T1788)*N(U1788)))</f>
        <v/>
      </c>
      <c r="W1788" s="70">
        <f>IF($A1788="","",SUMIFS('Mouvements stock'!$H$5:$H$3004,'Mouvements stock'!$I$5:$I$3004,$A1788,'Mouvements stock'!$C$5:$C$3004,"Sortie")-SUMIFS('Mouvements stock'!$H$5:$H$3004,'Mouvements stock'!$I$5:$I$3004,$A1788,'Mouvements stock'!$C$5:$C$3004,"Retour"))</f>
        <v/>
      </c>
      <c r="X1788" s="66" t="n"/>
      <c r="Y1788" s="66" t="n"/>
      <c r="Z1788" s="7" t="n"/>
      <c r="AA1788" s="70">
        <f>IF($A1788="","",N(V1788)+N(W1788)+N(X1788)+N(Y1788))</f>
        <v/>
      </c>
      <c r="AB1788" s="70">
        <f>IF($A1788="","",N(S1788)*'Paramètres'!$AA$9*IFERROR(INDEX('Paramètres'!$O$5:$O$7,MATCH(G1788,'Paramètres'!$N$5:$N$7,0)),0))</f>
        <v/>
      </c>
      <c r="AC1788" s="7" t="n"/>
      <c r="AD1788" s="69">
        <f>IF(OR($A1788="",Q1788=""),"",(Q1788-B1788)*24)</f>
        <v/>
      </c>
      <c r="AE1788" s="69">
        <f>IF(OR(Q1788="",R1788=""),"",(R1788-Q1788)*24)</f>
        <v/>
      </c>
      <c r="AF1788" s="77">
        <f>IF(OR($A1788="",B1788=""),"",YEAR(B1788))</f>
        <v/>
      </c>
      <c r="AG1788" s="77">
        <f>IF(OR($A1788="",B1788=""),"",MONTH(B1788))</f>
        <v/>
      </c>
    </row>
    <row r="1789">
      <c r="A1789" s="7" t="n"/>
      <c r="B1789" s="75" t="n"/>
      <c r="C1789" s="7" t="n"/>
      <c r="D1789" s="7" t="n"/>
      <c r="E1789" s="9">
        <f>IF(D1789="","",IFERROR(INDEX('Équipements'!$B$5:$B$304,MATCH(D1789,'Équipements'!$A$5:$A$304,0)),"Code inconnu"))</f>
        <v/>
      </c>
      <c r="F1789" s="9">
        <f>IF(D1789="","",IFERROR(INDEX('Équipements'!$D$5:$D$304,MATCH(D1789,'Équipements'!$A$5:$A$304,0)),""))</f>
        <v/>
      </c>
      <c r="G1789" s="9">
        <f>IF(D1789="","",IFERROR(INDEX('Équipements'!$K$5:$K$304,MATCH(D1789,'Équipements'!$A$5:$A$304,0)),""))</f>
        <v/>
      </c>
      <c r="H1789" s="7" t="n"/>
      <c r="I1789" s="7" t="n"/>
      <c r="J1789" s="7" t="n"/>
      <c r="K1789" s="7" t="n"/>
      <c r="L1789" s="7" t="n"/>
      <c r="M1789" s="7" t="n"/>
      <c r="N1789" s="7" t="n"/>
      <c r="O1789" s="7" t="n"/>
      <c r="P1789" s="65" t="n"/>
      <c r="Q1789" s="75" t="n"/>
      <c r="R1789" s="75" t="n"/>
      <c r="S1789" s="76" t="n"/>
      <c r="T1789" s="76" t="n"/>
      <c r="U1789" s="70">
        <f>IF($A1789="","",IFERROR(INDEX('Techniciens'!$F$5:$F$44,MATCH(O1789,'Techniciens'!$B$5:$B$44,0)),'Paramètres'!$AA$10))</f>
        <v/>
      </c>
      <c r="V1789" s="70">
        <f>IF($A1789="","",IF(OR(AC1789="Demandé",AC1789="Planifié",AC1789="Annulé"),0,N(T1789)*N(U1789)))</f>
        <v/>
      </c>
      <c r="W1789" s="70">
        <f>IF($A1789="","",SUMIFS('Mouvements stock'!$H$5:$H$3004,'Mouvements stock'!$I$5:$I$3004,$A1789,'Mouvements stock'!$C$5:$C$3004,"Sortie")-SUMIFS('Mouvements stock'!$H$5:$H$3004,'Mouvements stock'!$I$5:$I$3004,$A1789,'Mouvements stock'!$C$5:$C$3004,"Retour"))</f>
        <v/>
      </c>
      <c r="X1789" s="66" t="n"/>
      <c r="Y1789" s="66" t="n"/>
      <c r="Z1789" s="7" t="n"/>
      <c r="AA1789" s="70">
        <f>IF($A1789="","",N(V1789)+N(W1789)+N(X1789)+N(Y1789))</f>
        <v/>
      </c>
      <c r="AB1789" s="70">
        <f>IF($A1789="","",N(S1789)*'Paramètres'!$AA$9*IFERROR(INDEX('Paramètres'!$O$5:$O$7,MATCH(G1789,'Paramètres'!$N$5:$N$7,0)),0))</f>
        <v/>
      </c>
      <c r="AC1789" s="7" t="n"/>
      <c r="AD1789" s="69">
        <f>IF(OR($A1789="",Q1789=""),"",(Q1789-B1789)*24)</f>
        <v/>
      </c>
      <c r="AE1789" s="69">
        <f>IF(OR(Q1789="",R1789=""),"",(R1789-Q1789)*24)</f>
        <v/>
      </c>
      <c r="AF1789" s="77">
        <f>IF(OR($A1789="",B1789=""),"",YEAR(B1789))</f>
        <v/>
      </c>
      <c r="AG1789" s="77">
        <f>IF(OR($A1789="",B1789=""),"",MONTH(B1789))</f>
        <v/>
      </c>
    </row>
    <row r="1790">
      <c r="A1790" s="7" t="n"/>
      <c r="B1790" s="75" t="n"/>
      <c r="C1790" s="7" t="n"/>
      <c r="D1790" s="7" t="n"/>
      <c r="E1790" s="9">
        <f>IF(D1790="","",IFERROR(INDEX('Équipements'!$B$5:$B$304,MATCH(D1790,'Équipements'!$A$5:$A$304,0)),"Code inconnu"))</f>
        <v/>
      </c>
      <c r="F1790" s="9">
        <f>IF(D1790="","",IFERROR(INDEX('Équipements'!$D$5:$D$304,MATCH(D1790,'Équipements'!$A$5:$A$304,0)),""))</f>
        <v/>
      </c>
      <c r="G1790" s="9">
        <f>IF(D1790="","",IFERROR(INDEX('Équipements'!$K$5:$K$304,MATCH(D1790,'Équipements'!$A$5:$A$304,0)),""))</f>
        <v/>
      </c>
      <c r="H1790" s="7" t="n"/>
      <c r="I1790" s="7" t="n"/>
      <c r="J1790" s="7" t="n"/>
      <c r="K1790" s="7" t="n"/>
      <c r="L1790" s="7" t="n"/>
      <c r="M1790" s="7" t="n"/>
      <c r="N1790" s="7" t="n"/>
      <c r="O1790" s="7" t="n"/>
      <c r="P1790" s="65" t="n"/>
      <c r="Q1790" s="75" t="n"/>
      <c r="R1790" s="75" t="n"/>
      <c r="S1790" s="76" t="n"/>
      <c r="T1790" s="76" t="n"/>
      <c r="U1790" s="70">
        <f>IF($A1790="","",IFERROR(INDEX('Techniciens'!$F$5:$F$44,MATCH(O1790,'Techniciens'!$B$5:$B$44,0)),'Paramètres'!$AA$10))</f>
        <v/>
      </c>
      <c r="V1790" s="70">
        <f>IF($A1790="","",IF(OR(AC1790="Demandé",AC1790="Planifié",AC1790="Annulé"),0,N(T1790)*N(U1790)))</f>
        <v/>
      </c>
      <c r="W1790" s="70">
        <f>IF($A1790="","",SUMIFS('Mouvements stock'!$H$5:$H$3004,'Mouvements stock'!$I$5:$I$3004,$A1790,'Mouvements stock'!$C$5:$C$3004,"Sortie")-SUMIFS('Mouvements stock'!$H$5:$H$3004,'Mouvements stock'!$I$5:$I$3004,$A1790,'Mouvements stock'!$C$5:$C$3004,"Retour"))</f>
        <v/>
      </c>
      <c r="X1790" s="66" t="n"/>
      <c r="Y1790" s="66" t="n"/>
      <c r="Z1790" s="7" t="n"/>
      <c r="AA1790" s="70">
        <f>IF($A1790="","",N(V1790)+N(W1790)+N(X1790)+N(Y1790))</f>
        <v/>
      </c>
      <c r="AB1790" s="70">
        <f>IF($A1790="","",N(S1790)*'Paramètres'!$AA$9*IFERROR(INDEX('Paramètres'!$O$5:$O$7,MATCH(G1790,'Paramètres'!$N$5:$N$7,0)),0))</f>
        <v/>
      </c>
      <c r="AC1790" s="7" t="n"/>
      <c r="AD1790" s="69">
        <f>IF(OR($A1790="",Q1790=""),"",(Q1790-B1790)*24)</f>
        <v/>
      </c>
      <c r="AE1790" s="69">
        <f>IF(OR(Q1790="",R1790=""),"",(R1790-Q1790)*24)</f>
        <v/>
      </c>
      <c r="AF1790" s="77">
        <f>IF(OR($A1790="",B1790=""),"",YEAR(B1790))</f>
        <v/>
      </c>
      <c r="AG1790" s="77">
        <f>IF(OR($A1790="",B1790=""),"",MONTH(B1790))</f>
        <v/>
      </c>
    </row>
    <row r="1791">
      <c r="A1791" s="7" t="n"/>
      <c r="B1791" s="75" t="n"/>
      <c r="C1791" s="7" t="n"/>
      <c r="D1791" s="7" t="n"/>
      <c r="E1791" s="9">
        <f>IF(D1791="","",IFERROR(INDEX('Équipements'!$B$5:$B$304,MATCH(D1791,'Équipements'!$A$5:$A$304,0)),"Code inconnu"))</f>
        <v/>
      </c>
      <c r="F1791" s="9">
        <f>IF(D1791="","",IFERROR(INDEX('Équipements'!$D$5:$D$304,MATCH(D1791,'Équipements'!$A$5:$A$304,0)),""))</f>
        <v/>
      </c>
      <c r="G1791" s="9">
        <f>IF(D1791="","",IFERROR(INDEX('Équipements'!$K$5:$K$304,MATCH(D1791,'Équipements'!$A$5:$A$304,0)),""))</f>
        <v/>
      </c>
      <c r="H1791" s="7" t="n"/>
      <c r="I1791" s="7" t="n"/>
      <c r="J1791" s="7" t="n"/>
      <c r="K1791" s="7" t="n"/>
      <c r="L1791" s="7" t="n"/>
      <c r="M1791" s="7" t="n"/>
      <c r="N1791" s="7" t="n"/>
      <c r="O1791" s="7" t="n"/>
      <c r="P1791" s="65" t="n"/>
      <c r="Q1791" s="75" t="n"/>
      <c r="R1791" s="75" t="n"/>
      <c r="S1791" s="76" t="n"/>
      <c r="T1791" s="76" t="n"/>
      <c r="U1791" s="70">
        <f>IF($A1791="","",IFERROR(INDEX('Techniciens'!$F$5:$F$44,MATCH(O1791,'Techniciens'!$B$5:$B$44,0)),'Paramètres'!$AA$10))</f>
        <v/>
      </c>
      <c r="V1791" s="70">
        <f>IF($A1791="","",IF(OR(AC1791="Demandé",AC1791="Planifié",AC1791="Annulé"),0,N(T1791)*N(U1791)))</f>
        <v/>
      </c>
      <c r="W1791" s="70">
        <f>IF($A1791="","",SUMIFS('Mouvements stock'!$H$5:$H$3004,'Mouvements stock'!$I$5:$I$3004,$A1791,'Mouvements stock'!$C$5:$C$3004,"Sortie")-SUMIFS('Mouvements stock'!$H$5:$H$3004,'Mouvements stock'!$I$5:$I$3004,$A1791,'Mouvements stock'!$C$5:$C$3004,"Retour"))</f>
        <v/>
      </c>
      <c r="X1791" s="66" t="n"/>
      <c r="Y1791" s="66" t="n"/>
      <c r="Z1791" s="7" t="n"/>
      <c r="AA1791" s="70">
        <f>IF($A1791="","",N(V1791)+N(W1791)+N(X1791)+N(Y1791))</f>
        <v/>
      </c>
      <c r="AB1791" s="70">
        <f>IF($A1791="","",N(S1791)*'Paramètres'!$AA$9*IFERROR(INDEX('Paramètres'!$O$5:$O$7,MATCH(G1791,'Paramètres'!$N$5:$N$7,0)),0))</f>
        <v/>
      </c>
      <c r="AC1791" s="7" t="n"/>
      <c r="AD1791" s="69">
        <f>IF(OR($A1791="",Q1791=""),"",(Q1791-B1791)*24)</f>
        <v/>
      </c>
      <c r="AE1791" s="69">
        <f>IF(OR(Q1791="",R1791=""),"",(R1791-Q1791)*24)</f>
        <v/>
      </c>
      <c r="AF1791" s="77">
        <f>IF(OR($A1791="",B1791=""),"",YEAR(B1791))</f>
        <v/>
      </c>
      <c r="AG1791" s="77">
        <f>IF(OR($A1791="",B1791=""),"",MONTH(B1791))</f>
        <v/>
      </c>
    </row>
    <row r="1792">
      <c r="A1792" s="7" t="n"/>
      <c r="B1792" s="75" t="n"/>
      <c r="C1792" s="7" t="n"/>
      <c r="D1792" s="7" t="n"/>
      <c r="E1792" s="9">
        <f>IF(D1792="","",IFERROR(INDEX('Équipements'!$B$5:$B$304,MATCH(D1792,'Équipements'!$A$5:$A$304,0)),"Code inconnu"))</f>
        <v/>
      </c>
      <c r="F1792" s="9">
        <f>IF(D1792="","",IFERROR(INDEX('Équipements'!$D$5:$D$304,MATCH(D1792,'Équipements'!$A$5:$A$304,0)),""))</f>
        <v/>
      </c>
      <c r="G1792" s="9">
        <f>IF(D1792="","",IFERROR(INDEX('Équipements'!$K$5:$K$304,MATCH(D1792,'Équipements'!$A$5:$A$304,0)),""))</f>
        <v/>
      </c>
      <c r="H1792" s="7" t="n"/>
      <c r="I1792" s="7" t="n"/>
      <c r="J1792" s="7" t="n"/>
      <c r="K1792" s="7" t="n"/>
      <c r="L1792" s="7" t="n"/>
      <c r="M1792" s="7" t="n"/>
      <c r="N1792" s="7" t="n"/>
      <c r="O1792" s="7" t="n"/>
      <c r="P1792" s="65" t="n"/>
      <c r="Q1792" s="75" t="n"/>
      <c r="R1792" s="75" t="n"/>
      <c r="S1792" s="76" t="n"/>
      <c r="T1792" s="76" t="n"/>
      <c r="U1792" s="70">
        <f>IF($A1792="","",IFERROR(INDEX('Techniciens'!$F$5:$F$44,MATCH(O1792,'Techniciens'!$B$5:$B$44,0)),'Paramètres'!$AA$10))</f>
        <v/>
      </c>
      <c r="V1792" s="70">
        <f>IF($A1792="","",IF(OR(AC1792="Demandé",AC1792="Planifié",AC1792="Annulé"),0,N(T1792)*N(U1792)))</f>
        <v/>
      </c>
      <c r="W1792" s="70">
        <f>IF($A1792="","",SUMIFS('Mouvements stock'!$H$5:$H$3004,'Mouvements stock'!$I$5:$I$3004,$A1792,'Mouvements stock'!$C$5:$C$3004,"Sortie")-SUMIFS('Mouvements stock'!$H$5:$H$3004,'Mouvements stock'!$I$5:$I$3004,$A1792,'Mouvements stock'!$C$5:$C$3004,"Retour"))</f>
        <v/>
      </c>
      <c r="X1792" s="66" t="n"/>
      <c r="Y1792" s="66" t="n"/>
      <c r="Z1792" s="7" t="n"/>
      <c r="AA1792" s="70">
        <f>IF($A1792="","",N(V1792)+N(W1792)+N(X1792)+N(Y1792))</f>
        <v/>
      </c>
      <c r="AB1792" s="70">
        <f>IF($A1792="","",N(S1792)*'Paramètres'!$AA$9*IFERROR(INDEX('Paramètres'!$O$5:$O$7,MATCH(G1792,'Paramètres'!$N$5:$N$7,0)),0))</f>
        <v/>
      </c>
      <c r="AC1792" s="7" t="n"/>
      <c r="AD1792" s="69">
        <f>IF(OR($A1792="",Q1792=""),"",(Q1792-B1792)*24)</f>
        <v/>
      </c>
      <c r="AE1792" s="69">
        <f>IF(OR(Q1792="",R1792=""),"",(R1792-Q1792)*24)</f>
        <v/>
      </c>
      <c r="AF1792" s="77">
        <f>IF(OR($A1792="",B1792=""),"",YEAR(B1792))</f>
        <v/>
      </c>
      <c r="AG1792" s="77">
        <f>IF(OR($A1792="",B1792=""),"",MONTH(B1792))</f>
        <v/>
      </c>
    </row>
    <row r="1793">
      <c r="A1793" s="7" t="n"/>
      <c r="B1793" s="75" t="n"/>
      <c r="C1793" s="7" t="n"/>
      <c r="D1793" s="7" t="n"/>
      <c r="E1793" s="9">
        <f>IF(D1793="","",IFERROR(INDEX('Équipements'!$B$5:$B$304,MATCH(D1793,'Équipements'!$A$5:$A$304,0)),"Code inconnu"))</f>
        <v/>
      </c>
      <c r="F1793" s="9">
        <f>IF(D1793="","",IFERROR(INDEX('Équipements'!$D$5:$D$304,MATCH(D1793,'Équipements'!$A$5:$A$304,0)),""))</f>
        <v/>
      </c>
      <c r="G1793" s="9">
        <f>IF(D1793="","",IFERROR(INDEX('Équipements'!$K$5:$K$304,MATCH(D1793,'Équipements'!$A$5:$A$304,0)),""))</f>
        <v/>
      </c>
      <c r="H1793" s="7" t="n"/>
      <c r="I1793" s="7" t="n"/>
      <c r="J1793" s="7" t="n"/>
      <c r="K1793" s="7" t="n"/>
      <c r="L1793" s="7" t="n"/>
      <c r="M1793" s="7" t="n"/>
      <c r="N1793" s="7" t="n"/>
      <c r="O1793" s="7" t="n"/>
      <c r="P1793" s="65" t="n"/>
      <c r="Q1793" s="75" t="n"/>
      <c r="R1793" s="75" t="n"/>
      <c r="S1793" s="76" t="n"/>
      <c r="T1793" s="76" t="n"/>
      <c r="U1793" s="70">
        <f>IF($A1793="","",IFERROR(INDEX('Techniciens'!$F$5:$F$44,MATCH(O1793,'Techniciens'!$B$5:$B$44,0)),'Paramètres'!$AA$10))</f>
        <v/>
      </c>
      <c r="V1793" s="70">
        <f>IF($A1793="","",IF(OR(AC1793="Demandé",AC1793="Planifié",AC1793="Annulé"),0,N(T1793)*N(U1793)))</f>
        <v/>
      </c>
      <c r="W1793" s="70">
        <f>IF($A1793="","",SUMIFS('Mouvements stock'!$H$5:$H$3004,'Mouvements stock'!$I$5:$I$3004,$A1793,'Mouvements stock'!$C$5:$C$3004,"Sortie")-SUMIFS('Mouvements stock'!$H$5:$H$3004,'Mouvements stock'!$I$5:$I$3004,$A1793,'Mouvements stock'!$C$5:$C$3004,"Retour"))</f>
        <v/>
      </c>
      <c r="X1793" s="66" t="n"/>
      <c r="Y1793" s="66" t="n"/>
      <c r="Z1793" s="7" t="n"/>
      <c r="AA1793" s="70">
        <f>IF($A1793="","",N(V1793)+N(W1793)+N(X1793)+N(Y1793))</f>
        <v/>
      </c>
      <c r="AB1793" s="70">
        <f>IF($A1793="","",N(S1793)*'Paramètres'!$AA$9*IFERROR(INDEX('Paramètres'!$O$5:$O$7,MATCH(G1793,'Paramètres'!$N$5:$N$7,0)),0))</f>
        <v/>
      </c>
      <c r="AC1793" s="7" t="n"/>
      <c r="AD1793" s="69">
        <f>IF(OR($A1793="",Q1793=""),"",(Q1793-B1793)*24)</f>
        <v/>
      </c>
      <c r="AE1793" s="69">
        <f>IF(OR(Q1793="",R1793=""),"",(R1793-Q1793)*24)</f>
        <v/>
      </c>
      <c r="AF1793" s="77">
        <f>IF(OR($A1793="",B1793=""),"",YEAR(B1793))</f>
        <v/>
      </c>
      <c r="AG1793" s="77">
        <f>IF(OR($A1793="",B1793=""),"",MONTH(B1793))</f>
        <v/>
      </c>
    </row>
    <row r="1794">
      <c r="A1794" s="7" t="n"/>
      <c r="B1794" s="75" t="n"/>
      <c r="C1794" s="7" t="n"/>
      <c r="D1794" s="7" t="n"/>
      <c r="E1794" s="9">
        <f>IF(D1794="","",IFERROR(INDEX('Équipements'!$B$5:$B$304,MATCH(D1794,'Équipements'!$A$5:$A$304,0)),"Code inconnu"))</f>
        <v/>
      </c>
      <c r="F1794" s="9">
        <f>IF(D1794="","",IFERROR(INDEX('Équipements'!$D$5:$D$304,MATCH(D1794,'Équipements'!$A$5:$A$304,0)),""))</f>
        <v/>
      </c>
      <c r="G1794" s="9">
        <f>IF(D1794="","",IFERROR(INDEX('Équipements'!$K$5:$K$304,MATCH(D1794,'Équipements'!$A$5:$A$304,0)),""))</f>
        <v/>
      </c>
      <c r="H1794" s="7" t="n"/>
      <c r="I1794" s="7" t="n"/>
      <c r="J1794" s="7" t="n"/>
      <c r="K1794" s="7" t="n"/>
      <c r="L1794" s="7" t="n"/>
      <c r="M1794" s="7" t="n"/>
      <c r="N1794" s="7" t="n"/>
      <c r="O1794" s="7" t="n"/>
      <c r="P1794" s="65" t="n"/>
      <c r="Q1794" s="75" t="n"/>
      <c r="R1794" s="75" t="n"/>
      <c r="S1794" s="76" t="n"/>
      <c r="T1794" s="76" t="n"/>
      <c r="U1794" s="70">
        <f>IF($A1794="","",IFERROR(INDEX('Techniciens'!$F$5:$F$44,MATCH(O1794,'Techniciens'!$B$5:$B$44,0)),'Paramètres'!$AA$10))</f>
        <v/>
      </c>
      <c r="V1794" s="70">
        <f>IF($A1794="","",IF(OR(AC1794="Demandé",AC1794="Planifié",AC1794="Annulé"),0,N(T1794)*N(U1794)))</f>
        <v/>
      </c>
      <c r="W1794" s="70">
        <f>IF($A1794="","",SUMIFS('Mouvements stock'!$H$5:$H$3004,'Mouvements stock'!$I$5:$I$3004,$A1794,'Mouvements stock'!$C$5:$C$3004,"Sortie")-SUMIFS('Mouvements stock'!$H$5:$H$3004,'Mouvements stock'!$I$5:$I$3004,$A1794,'Mouvements stock'!$C$5:$C$3004,"Retour"))</f>
        <v/>
      </c>
      <c r="X1794" s="66" t="n"/>
      <c r="Y1794" s="66" t="n"/>
      <c r="Z1794" s="7" t="n"/>
      <c r="AA1794" s="70">
        <f>IF($A1794="","",N(V1794)+N(W1794)+N(X1794)+N(Y1794))</f>
        <v/>
      </c>
      <c r="AB1794" s="70">
        <f>IF($A1794="","",N(S1794)*'Paramètres'!$AA$9*IFERROR(INDEX('Paramètres'!$O$5:$O$7,MATCH(G1794,'Paramètres'!$N$5:$N$7,0)),0))</f>
        <v/>
      </c>
      <c r="AC1794" s="7" t="n"/>
      <c r="AD1794" s="69">
        <f>IF(OR($A1794="",Q1794=""),"",(Q1794-B1794)*24)</f>
        <v/>
      </c>
      <c r="AE1794" s="69">
        <f>IF(OR(Q1794="",R1794=""),"",(R1794-Q1794)*24)</f>
        <v/>
      </c>
      <c r="AF1794" s="77">
        <f>IF(OR($A1794="",B1794=""),"",YEAR(B1794))</f>
        <v/>
      </c>
      <c r="AG1794" s="77">
        <f>IF(OR($A1794="",B1794=""),"",MONTH(B1794))</f>
        <v/>
      </c>
    </row>
    <row r="1795">
      <c r="A1795" s="7" t="n"/>
      <c r="B1795" s="75" t="n"/>
      <c r="C1795" s="7" t="n"/>
      <c r="D1795" s="7" t="n"/>
      <c r="E1795" s="9">
        <f>IF(D1795="","",IFERROR(INDEX('Équipements'!$B$5:$B$304,MATCH(D1795,'Équipements'!$A$5:$A$304,0)),"Code inconnu"))</f>
        <v/>
      </c>
      <c r="F1795" s="9">
        <f>IF(D1795="","",IFERROR(INDEX('Équipements'!$D$5:$D$304,MATCH(D1795,'Équipements'!$A$5:$A$304,0)),""))</f>
        <v/>
      </c>
      <c r="G1795" s="9">
        <f>IF(D1795="","",IFERROR(INDEX('Équipements'!$K$5:$K$304,MATCH(D1795,'Équipements'!$A$5:$A$304,0)),""))</f>
        <v/>
      </c>
      <c r="H1795" s="7" t="n"/>
      <c r="I1795" s="7" t="n"/>
      <c r="J1795" s="7" t="n"/>
      <c r="K1795" s="7" t="n"/>
      <c r="L1795" s="7" t="n"/>
      <c r="M1795" s="7" t="n"/>
      <c r="N1795" s="7" t="n"/>
      <c r="O1795" s="7" t="n"/>
      <c r="P1795" s="65" t="n"/>
      <c r="Q1795" s="75" t="n"/>
      <c r="R1795" s="75" t="n"/>
      <c r="S1795" s="76" t="n"/>
      <c r="T1795" s="76" t="n"/>
      <c r="U1795" s="70">
        <f>IF($A1795="","",IFERROR(INDEX('Techniciens'!$F$5:$F$44,MATCH(O1795,'Techniciens'!$B$5:$B$44,0)),'Paramètres'!$AA$10))</f>
        <v/>
      </c>
      <c r="V1795" s="70">
        <f>IF($A1795="","",IF(OR(AC1795="Demandé",AC1795="Planifié",AC1795="Annulé"),0,N(T1795)*N(U1795)))</f>
        <v/>
      </c>
      <c r="W1795" s="70">
        <f>IF($A1795="","",SUMIFS('Mouvements stock'!$H$5:$H$3004,'Mouvements stock'!$I$5:$I$3004,$A1795,'Mouvements stock'!$C$5:$C$3004,"Sortie")-SUMIFS('Mouvements stock'!$H$5:$H$3004,'Mouvements stock'!$I$5:$I$3004,$A1795,'Mouvements stock'!$C$5:$C$3004,"Retour"))</f>
        <v/>
      </c>
      <c r="X1795" s="66" t="n"/>
      <c r="Y1795" s="66" t="n"/>
      <c r="Z1795" s="7" t="n"/>
      <c r="AA1795" s="70">
        <f>IF($A1795="","",N(V1795)+N(W1795)+N(X1795)+N(Y1795))</f>
        <v/>
      </c>
      <c r="AB1795" s="70">
        <f>IF($A1795="","",N(S1795)*'Paramètres'!$AA$9*IFERROR(INDEX('Paramètres'!$O$5:$O$7,MATCH(G1795,'Paramètres'!$N$5:$N$7,0)),0))</f>
        <v/>
      </c>
      <c r="AC1795" s="7" t="n"/>
      <c r="AD1795" s="69">
        <f>IF(OR($A1795="",Q1795=""),"",(Q1795-B1795)*24)</f>
        <v/>
      </c>
      <c r="AE1795" s="69">
        <f>IF(OR(Q1795="",R1795=""),"",(R1795-Q1795)*24)</f>
        <v/>
      </c>
      <c r="AF1795" s="77">
        <f>IF(OR($A1795="",B1795=""),"",YEAR(B1795))</f>
        <v/>
      </c>
      <c r="AG1795" s="77">
        <f>IF(OR($A1795="",B1795=""),"",MONTH(B1795))</f>
        <v/>
      </c>
    </row>
    <row r="1796">
      <c r="A1796" s="7" t="n"/>
      <c r="B1796" s="75" t="n"/>
      <c r="C1796" s="7" t="n"/>
      <c r="D1796" s="7" t="n"/>
      <c r="E1796" s="9">
        <f>IF(D1796="","",IFERROR(INDEX('Équipements'!$B$5:$B$304,MATCH(D1796,'Équipements'!$A$5:$A$304,0)),"Code inconnu"))</f>
        <v/>
      </c>
      <c r="F1796" s="9">
        <f>IF(D1796="","",IFERROR(INDEX('Équipements'!$D$5:$D$304,MATCH(D1796,'Équipements'!$A$5:$A$304,0)),""))</f>
        <v/>
      </c>
      <c r="G1796" s="9">
        <f>IF(D1796="","",IFERROR(INDEX('Équipements'!$K$5:$K$304,MATCH(D1796,'Équipements'!$A$5:$A$304,0)),""))</f>
        <v/>
      </c>
      <c r="H1796" s="7" t="n"/>
      <c r="I1796" s="7" t="n"/>
      <c r="J1796" s="7" t="n"/>
      <c r="K1796" s="7" t="n"/>
      <c r="L1796" s="7" t="n"/>
      <c r="M1796" s="7" t="n"/>
      <c r="N1796" s="7" t="n"/>
      <c r="O1796" s="7" t="n"/>
      <c r="P1796" s="65" t="n"/>
      <c r="Q1796" s="75" t="n"/>
      <c r="R1796" s="75" t="n"/>
      <c r="S1796" s="76" t="n"/>
      <c r="T1796" s="76" t="n"/>
      <c r="U1796" s="70">
        <f>IF($A1796="","",IFERROR(INDEX('Techniciens'!$F$5:$F$44,MATCH(O1796,'Techniciens'!$B$5:$B$44,0)),'Paramètres'!$AA$10))</f>
        <v/>
      </c>
      <c r="V1796" s="70">
        <f>IF($A1796="","",IF(OR(AC1796="Demandé",AC1796="Planifié",AC1796="Annulé"),0,N(T1796)*N(U1796)))</f>
        <v/>
      </c>
      <c r="W1796" s="70">
        <f>IF($A1796="","",SUMIFS('Mouvements stock'!$H$5:$H$3004,'Mouvements stock'!$I$5:$I$3004,$A1796,'Mouvements stock'!$C$5:$C$3004,"Sortie")-SUMIFS('Mouvements stock'!$H$5:$H$3004,'Mouvements stock'!$I$5:$I$3004,$A1796,'Mouvements stock'!$C$5:$C$3004,"Retour"))</f>
        <v/>
      </c>
      <c r="X1796" s="66" t="n"/>
      <c r="Y1796" s="66" t="n"/>
      <c r="Z1796" s="7" t="n"/>
      <c r="AA1796" s="70">
        <f>IF($A1796="","",N(V1796)+N(W1796)+N(X1796)+N(Y1796))</f>
        <v/>
      </c>
      <c r="AB1796" s="70">
        <f>IF($A1796="","",N(S1796)*'Paramètres'!$AA$9*IFERROR(INDEX('Paramètres'!$O$5:$O$7,MATCH(G1796,'Paramètres'!$N$5:$N$7,0)),0))</f>
        <v/>
      </c>
      <c r="AC1796" s="7" t="n"/>
      <c r="AD1796" s="69">
        <f>IF(OR($A1796="",Q1796=""),"",(Q1796-B1796)*24)</f>
        <v/>
      </c>
      <c r="AE1796" s="69">
        <f>IF(OR(Q1796="",R1796=""),"",(R1796-Q1796)*24)</f>
        <v/>
      </c>
      <c r="AF1796" s="77">
        <f>IF(OR($A1796="",B1796=""),"",YEAR(B1796))</f>
        <v/>
      </c>
      <c r="AG1796" s="77">
        <f>IF(OR($A1796="",B1796=""),"",MONTH(B1796))</f>
        <v/>
      </c>
    </row>
    <row r="1797">
      <c r="A1797" s="7" t="n"/>
      <c r="B1797" s="75" t="n"/>
      <c r="C1797" s="7" t="n"/>
      <c r="D1797" s="7" t="n"/>
      <c r="E1797" s="9">
        <f>IF(D1797="","",IFERROR(INDEX('Équipements'!$B$5:$B$304,MATCH(D1797,'Équipements'!$A$5:$A$304,0)),"Code inconnu"))</f>
        <v/>
      </c>
      <c r="F1797" s="9">
        <f>IF(D1797="","",IFERROR(INDEX('Équipements'!$D$5:$D$304,MATCH(D1797,'Équipements'!$A$5:$A$304,0)),""))</f>
        <v/>
      </c>
      <c r="G1797" s="9">
        <f>IF(D1797="","",IFERROR(INDEX('Équipements'!$K$5:$K$304,MATCH(D1797,'Équipements'!$A$5:$A$304,0)),""))</f>
        <v/>
      </c>
      <c r="H1797" s="7" t="n"/>
      <c r="I1797" s="7" t="n"/>
      <c r="J1797" s="7" t="n"/>
      <c r="K1797" s="7" t="n"/>
      <c r="L1797" s="7" t="n"/>
      <c r="M1797" s="7" t="n"/>
      <c r="N1797" s="7" t="n"/>
      <c r="O1797" s="7" t="n"/>
      <c r="P1797" s="65" t="n"/>
      <c r="Q1797" s="75" t="n"/>
      <c r="R1797" s="75" t="n"/>
      <c r="S1797" s="76" t="n"/>
      <c r="T1797" s="76" t="n"/>
      <c r="U1797" s="70">
        <f>IF($A1797="","",IFERROR(INDEX('Techniciens'!$F$5:$F$44,MATCH(O1797,'Techniciens'!$B$5:$B$44,0)),'Paramètres'!$AA$10))</f>
        <v/>
      </c>
      <c r="V1797" s="70">
        <f>IF($A1797="","",IF(OR(AC1797="Demandé",AC1797="Planifié",AC1797="Annulé"),0,N(T1797)*N(U1797)))</f>
        <v/>
      </c>
      <c r="W1797" s="70">
        <f>IF($A1797="","",SUMIFS('Mouvements stock'!$H$5:$H$3004,'Mouvements stock'!$I$5:$I$3004,$A1797,'Mouvements stock'!$C$5:$C$3004,"Sortie")-SUMIFS('Mouvements stock'!$H$5:$H$3004,'Mouvements stock'!$I$5:$I$3004,$A1797,'Mouvements stock'!$C$5:$C$3004,"Retour"))</f>
        <v/>
      </c>
      <c r="X1797" s="66" t="n"/>
      <c r="Y1797" s="66" t="n"/>
      <c r="Z1797" s="7" t="n"/>
      <c r="AA1797" s="70">
        <f>IF($A1797="","",N(V1797)+N(W1797)+N(X1797)+N(Y1797))</f>
        <v/>
      </c>
      <c r="AB1797" s="70">
        <f>IF($A1797="","",N(S1797)*'Paramètres'!$AA$9*IFERROR(INDEX('Paramètres'!$O$5:$O$7,MATCH(G1797,'Paramètres'!$N$5:$N$7,0)),0))</f>
        <v/>
      </c>
      <c r="AC1797" s="7" t="n"/>
      <c r="AD1797" s="69">
        <f>IF(OR($A1797="",Q1797=""),"",(Q1797-B1797)*24)</f>
        <v/>
      </c>
      <c r="AE1797" s="69">
        <f>IF(OR(Q1797="",R1797=""),"",(R1797-Q1797)*24)</f>
        <v/>
      </c>
      <c r="AF1797" s="77">
        <f>IF(OR($A1797="",B1797=""),"",YEAR(B1797))</f>
        <v/>
      </c>
      <c r="AG1797" s="77">
        <f>IF(OR($A1797="",B1797=""),"",MONTH(B1797))</f>
        <v/>
      </c>
    </row>
    <row r="1798">
      <c r="A1798" s="7" t="n"/>
      <c r="B1798" s="75" t="n"/>
      <c r="C1798" s="7" t="n"/>
      <c r="D1798" s="7" t="n"/>
      <c r="E1798" s="9">
        <f>IF(D1798="","",IFERROR(INDEX('Équipements'!$B$5:$B$304,MATCH(D1798,'Équipements'!$A$5:$A$304,0)),"Code inconnu"))</f>
        <v/>
      </c>
      <c r="F1798" s="9">
        <f>IF(D1798="","",IFERROR(INDEX('Équipements'!$D$5:$D$304,MATCH(D1798,'Équipements'!$A$5:$A$304,0)),""))</f>
        <v/>
      </c>
      <c r="G1798" s="9">
        <f>IF(D1798="","",IFERROR(INDEX('Équipements'!$K$5:$K$304,MATCH(D1798,'Équipements'!$A$5:$A$304,0)),""))</f>
        <v/>
      </c>
      <c r="H1798" s="7" t="n"/>
      <c r="I1798" s="7" t="n"/>
      <c r="J1798" s="7" t="n"/>
      <c r="K1798" s="7" t="n"/>
      <c r="L1798" s="7" t="n"/>
      <c r="M1798" s="7" t="n"/>
      <c r="N1798" s="7" t="n"/>
      <c r="O1798" s="7" t="n"/>
      <c r="P1798" s="65" t="n"/>
      <c r="Q1798" s="75" t="n"/>
      <c r="R1798" s="75" t="n"/>
      <c r="S1798" s="76" t="n"/>
      <c r="T1798" s="76" t="n"/>
      <c r="U1798" s="70">
        <f>IF($A1798="","",IFERROR(INDEX('Techniciens'!$F$5:$F$44,MATCH(O1798,'Techniciens'!$B$5:$B$44,0)),'Paramètres'!$AA$10))</f>
        <v/>
      </c>
      <c r="V1798" s="70">
        <f>IF($A1798="","",IF(OR(AC1798="Demandé",AC1798="Planifié",AC1798="Annulé"),0,N(T1798)*N(U1798)))</f>
        <v/>
      </c>
      <c r="W1798" s="70">
        <f>IF($A1798="","",SUMIFS('Mouvements stock'!$H$5:$H$3004,'Mouvements stock'!$I$5:$I$3004,$A1798,'Mouvements stock'!$C$5:$C$3004,"Sortie")-SUMIFS('Mouvements stock'!$H$5:$H$3004,'Mouvements stock'!$I$5:$I$3004,$A1798,'Mouvements stock'!$C$5:$C$3004,"Retour"))</f>
        <v/>
      </c>
      <c r="X1798" s="66" t="n"/>
      <c r="Y1798" s="66" t="n"/>
      <c r="Z1798" s="7" t="n"/>
      <c r="AA1798" s="70">
        <f>IF($A1798="","",N(V1798)+N(W1798)+N(X1798)+N(Y1798))</f>
        <v/>
      </c>
      <c r="AB1798" s="70">
        <f>IF($A1798="","",N(S1798)*'Paramètres'!$AA$9*IFERROR(INDEX('Paramètres'!$O$5:$O$7,MATCH(G1798,'Paramètres'!$N$5:$N$7,0)),0))</f>
        <v/>
      </c>
      <c r="AC1798" s="7" t="n"/>
      <c r="AD1798" s="69">
        <f>IF(OR($A1798="",Q1798=""),"",(Q1798-B1798)*24)</f>
        <v/>
      </c>
      <c r="AE1798" s="69">
        <f>IF(OR(Q1798="",R1798=""),"",(R1798-Q1798)*24)</f>
        <v/>
      </c>
      <c r="AF1798" s="77">
        <f>IF(OR($A1798="",B1798=""),"",YEAR(B1798))</f>
        <v/>
      </c>
      <c r="AG1798" s="77">
        <f>IF(OR($A1798="",B1798=""),"",MONTH(B1798))</f>
        <v/>
      </c>
    </row>
    <row r="1799">
      <c r="A1799" s="7" t="n"/>
      <c r="B1799" s="75" t="n"/>
      <c r="C1799" s="7" t="n"/>
      <c r="D1799" s="7" t="n"/>
      <c r="E1799" s="9">
        <f>IF(D1799="","",IFERROR(INDEX('Équipements'!$B$5:$B$304,MATCH(D1799,'Équipements'!$A$5:$A$304,0)),"Code inconnu"))</f>
        <v/>
      </c>
      <c r="F1799" s="9">
        <f>IF(D1799="","",IFERROR(INDEX('Équipements'!$D$5:$D$304,MATCH(D1799,'Équipements'!$A$5:$A$304,0)),""))</f>
        <v/>
      </c>
      <c r="G1799" s="9">
        <f>IF(D1799="","",IFERROR(INDEX('Équipements'!$K$5:$K$304,MATCH(D1799,'Équipements'!$A$5:$A$304,0)),""))</f>
        <v/>
      </c>
      <c r="H1799" s="7" t="n"/>
      <c r="I1799" s="7" t="n"/>
      <c r="J1799" s="7" t="n"/>
      <c r="K1799" s="7" t="n"/>
      <c r="L1799" s="7" t="n"/>
      <c r="M1799" s="7" t="n"/>
      <c r="N1799" s="7" t="n"/>
      <c r="O1799" s="7" t="n"/>
      <c r="P1799" s="65" t="n"/>
      <c r="Q1799" s="75" t="n"/>
      <c r="R1799" s="75" t="n"/>
      <c r="S1799" s="76" t="n"/>
      <c r="T1799" s="76" t="n"/>
      <c r="U1799" s="70">
        <f>IF($A1799="","",IFERROR(INDEX('Techniciens'!$F$5:$F$44,MATCH(O1799,'Techniciens'!$B$5:$B$44,0)),'Paramètres'!$AA$10))</f>
        <v/>
      </c>
      <c r="V1799" s="70">
        <f>IF($A1799="","",IF(OR(AC1799="Demandé",AC1799="Planifié",AC1799="Annulé"),0,N(T1799)*N(U1799)))</f>
        <v/>
      </c>
      <c r="W1799" s="70">
        <f>IF($A1799="","",SUMIFS('Mouvements stock'!$H$5:$H$3004,'Mouvements stock'!$I$5:$I$3004,$A1799,'Mouvements stock'!$C$5:$C$3004,"Sortie")-SUMIFS('Mouvements stock'!$H$5:$H$3004,'Mouvements stock'!$I$5:$I$3004,$A1799,'Mouvements stock'!$C$5:$C$3004,"Retour"))</f>
        <v/>
      </c>
      <c r="X1799" s="66" t="n"/>
      <c r="Y1799" s="66" t="n"/>
      <c r="Z1799" s="7" t="n"/>
      <c r="AA1799" s="70">
        <f>IF($A1799="","",N(V1799)+N(W1799)+N(X1799)+N(Y1799))</f>
        <v/>
      </c>
      <c r="AB1799" s="70">
        <f>IF($A1799="","",N(S1799)*'Paramètres'!$AA$9*IFERROR(INDEX('Paramètres'!$O$5:$O$7,MATCH(G1799,'Paramètres'!$N$5:$N$7,0)),0))</f>
        <v/>
      </c>
      <c r="AC1799" s="7" t="n"/>
      <c r="AD1799" s="69">
        <f>IF(OR($A1799="",Q1799=""),"",(Q1799-B1799)*24)</f>
        <v/>
      </c>
      <c r="AE1799" s="69">
        <f>IF(OR(Q1799="",R1799=""),"",(R1799-Q1799)*24)</f>
        <v/>
      </c>
      <c r="AF1799" s="77">
        <f>IF(OR($A1799="",B1799=""),"",YEAR(B1799))</f>
        <v/>
      </c>
      <c r="AG1799" s="77">
        <f>IF(OR($A1799="",B1799=""),"",MONTH(B1799))</f>
        <v/>
      </c>
    </row>
    <row r="1800">
      <c r="A1800" s="7" t="n"/>
      <c r="B1800" s="75" t="n"/>
      <c r="C1800" s="7" t="n"/>
      <c r="D1800" s="7" t="n"/>
      <c r="E1800" s="9">
        <f>IF(D1800="","",IFERROR(INDEX('Équipements'!$B$5:$B$304,MATCH(D1800,'Équipements'!$A$5:$A$304,0)),"Code inconnu"))</f>
        <v/>
      </c>
      <c r="F1800" s="9">
        <f>IF(D1800="","",IFERROR(INDEX('Équipements'!$D$5:$D$304,MATCH(D1800,'Équipements'!$A$5:$A$304,0)),""))</f>
        <v/>
      </c>
      <c r="G1800" s="9">
        <f>IF(D1800="","",IFERROR(INDEX('Équipements'!$K$5:$K$304,MATCH(D1800,'Équipements'!$A$5:$A$304,0)),""))</f>
        <v/>
      </c>
      <c r="H1800" s="7" t="n"/>
      <c r="I1800" s="7" t="n"/>
      <c r="J1800" s="7" t="n"/>
      <c r="K1800" s="7" t="n"/>
      <c r="L1800" s="7" t="n"/>
      <c r="M1800" s="7" t="n"/>
      <c r="N1800" s="7" t="n"/>
      <c r="O1800" s="7" t="n"/>
      <c r="P1800" s="65" t="n"/>
      <c r="Q1800" s="75" t="n"/>
      <c r="R1800" s="75" t="n"/>
      <c r="S1800" s="76" t="n"/>
      <c r="T1800" s="76" t="n"/>
      <c r="U1800" s="70">
        <f>IF($A1800="","",IFERROR(INDEX('Techniciens'!$F$5:$F$44,MATCH(O1800,'Techniciens'!$B$5:$B$44,0)),'Paramètres'!$AA$10))</f>
        <v/>
      </c>
      <c r="V1800" s="70">
        <f>IF($A1800="","",IF(OR(AC1800="Demandé",AC1800="Planifié",AC1800="Annulé"),0,N(T1800)*N(U1800)))</f>
        <v/>
      </c>
      <c r="W1800" s="70">
        <f>IF($A1800="","",SUMIFS('Mouvements stock'!$H$5:$H$3004,'Mouvements stock'!$I$5:$I$3004,$A1800,'Mouvements stock'!$C$5:$C$3004,"Sortie")-SUMIFS('Mouvements stock'!$H$5:$H$3004,'Mouvements stock'!$I$5:$I$3004,$A1800,'Mouvements stock'!$C$5:$C$3004,"Retour"))</f>
        <v/>
      </c>
      <c r="X1800" s="66" t="n"/>
      <c r="Y1800" s="66" t="n"/>
      <c r="Z1800" s="7" t="n"/>
      <c r="AA1800" s="70">
        <f>IF($A1800="","",N(V1800)+N(W1800)+N(X1800)+N(Y1800))</f>
        <v/>
      </c>
      <c r="AB1800" s="70">
        <f>IF($A1800="","",N(S1800)*'Paramètres'!$AA$9*IFERROR(INDEX('Paramètres'!$O$5:$O$7,MATCH(G1800,'Paramètres'!$N$5:$N$7,0)),0))</f>
        <v/>
      </c>
      <c r="AC1800" s="7" t="n"/>
      <c r="AD1800" s="69">
        <f>IF(OR($A1800="",Q1800=""),"",(Q1800-B1800)*24)</f>
        <v/>
      </c>
      <c r="AE1800" s="69">
        <f>IF(OR(Q1800="",R1800=""),"",(R1800-Q1800)*24)</f>
        <v/>
      </c>
      <c r="AF1800" s="77">
        <f>IF(OR($A1800="",B1800=""),"",YEAR(B1800))</f>
        <v/>
      </c>
      <c r="AG1800" s="77">
        <f>IF(OR($A1800="",B1800=""),"",MONTH(B1800))</f>
        <v/>
      </c>
    </row>
    <row r="1801">
      <c r="A1801" s="7" t="n"/>
      <c r="B1801" s="75" t="n"/>
      <c r="C1801" s="7" t="n"/>
      <c r="D1801" s="7" t="n"/>
      <c r="E1801" s="9">
        <f>IF(D1801="","",IFERROR(INDEX('Équipements'!$B$5:$B$304,MATCH(D1801,'Équipements'!$A$5:$A$304,0)),"Code inconnu"))</f>
        <v/>
      </c>
      <c r="F1801" s="9">
        <f>IF(D1801="","",IFERROR(INDEX('Équipements'!$D$5:$D$304,MATCH(D1801,'Équipements'!$A$5:$A$304,0)),""))</f>
        <v/>
      </c>
      <c r="G1801" s="9">
        <f>IF(D1801="","",IFERROR(INDEX('Équipements'!$K$5:$K$304,MATCH(D1801,'Équipements'!$A$5:$A$304,0)),""))</f>
        <v/>
      </c>
      <c r="H1801" s="7" t="n"/>
      <c r="I1801" s="7" t="n"/>
      <c r="J1801" s="7" t="n"/>
      <c r="K1801" s="7" t="n"/>
      <c r="L1801" s="7" t="n"/>
      <c r="M1801" s="7" t="n"/>
      <c r="N1801" s="7" t="n"/>
      <c r="O1801" s="7" t="n"/>
      <c r="P1801" s="65" t="n"/>
      <c r="Q1801" s="75" t="n"/>
      <c r="R1801" s="75" t="n"/>
      <c r="S1801" s="76" t="n"/>
      <c r="T1801" s="76" t="n"/>
      <c r="U1801" s="70">
        <f>IF($A1801="","",IFERROR(INDEX('Techniciens'!$F$5:$F$44,MATCH(O1801,'Techniciens'!$B$5:$B$44,0)),'Paramètres'!$AA$10))</f>
        <v/>
      </c>
      <c r="V1801" s="70">
        <f>IF($A1801="","",IF(OR(AC1801="Demandé",AC1801="Planifié",AC1801="Annulé"),0,N(T1801)*N(U1801)))</f>
        <v/>
      </c>
      <c r="W1801" s="70">
        <f>IF($A1801="","",SUMIFS('Mouvements stock'!$H$5:$H$3004,'Mouvements stock'!$I$5:$I$3004,$A1801,'Mouvements stock'!$C$5:$C$3004,"Sortie")-SUMIFS('Mouvements stock'!$H$5:$H$3004,'Mouvements stock'!$I$5:$I$3004,$A1801,'Mouvements stock'!$C$5:$C$3004,"Retour"))</f>
        <v/>
      </c>
      <c r="X1801" s="66" t="n"/>
      <c r="Y1801" s="66" t="n"/>
      <c r="Z1801" s="7" t="n"/>
      <c r="AA1801" s="70">
        <f>IF($A1801="","",N(V1801)+N(W1801)+N(X1801)+N(Y1801))</f>
        <v/>
      </c>
      <c r="AB1801" s="70">
        <f>IF($A1801="","",N(S1801)*'Paramètres'!$AA$9*IFERROR(INDEX('Paramètres'!$O$5:$O$7,MATCH(G1801,'Paramètres'!$N$5:$N$7,0)),0))</f>
        <v/>
      </c>
      <c r="AC1801" s="7" t="n"/>
      <c r="AD1801" s="69">
        <f>IF(OR($A1801="",Q1801=""),"",(Q1801-B1801)*24)</f>
        <v/>
      </c>
      <c r="AE1801" s="69">
        <f>IF(OR(Q1801="",R1801=""),"",(R1801-Q1801)*24)</f>
        <v/>
      </c>
      <c r="AF1801" s="77">
        <f>IF(OR($A1801="",B1801=""),"",YEAR(B1801))</f>
        <v/>
      </c>
      <c r="AG1801" s="77">
        <f>IF(OR($A1801="",B1801=""),"",MONTH(B1801))</f>
        <v/>
      </c>
    </row>
    <row r="1802">
      <c r="A1802" s="7" t="n"/>
      <c r="B1802" s="75" t="n"/>
      <c r="C1802" s="7" t="n"/>
      <c r="D1802" s="7" t="n"/>
      <c r="E1802" s="9">
        <f>IF(D1802="","",IFERROR(INDEX('Équipements'!$B$5:$B$304,MATCH(D1802,'Équipements'!$A$5:$A$304,0)),"Code inconnu"))</f>
        <v/>
      </c>
      <c r="F1802" s="9">
        <f>IF(D1802="","",IFERROR(INDEX('Équipements'!$D$5:$D$304,MATCH(D1802,'Équipements'!$A$5:$A$304,0)),""))</f>
        <v/>
      </c>
      <c r="G1802" s="9">
        <f>IF(D1802="","",IFERROR(INDEX('Équipements'!$K$5:$K$304,MATCH(D1802,'Équipements'!$A$5:$A$304,0)),""))</f>
        <v/>
      </c>
      <c r="H1802" s="7" t="n"/>
      <c r="I1802" s="7" t="n"/>
      <c r="J1802" s="7" t="n"/>
      <c r="K1802" s="7" t="n"/>
      <c r="L1802" s="7" t="n"/>
      <c r="M1802" s="7" t="n"/>
      <c r="N1802" s="7" t="n"/>
      <c r="O1802" s="7" t="n"/>
      <c r="P1802" s="65" t="n"/>
      <c r="Q1802" s="75" t="n"/>
      <c r="R1802" s="75" t="n"/>
      <c r="S1802" s="76" t="n"/>
      <c r="T1802" s="76" t="n"/>
      <c r="U1802" s="70">
        <f>IF($A1802="","",IFERROR(INDEX('Techniciens'!$F$5:$F$44,MATCH(O1802,'Techniciens'!$B$5:$B$44,0)),'Paramètres'!$AA$10))</f>
        <v/>
      </c>
      <c r="V1802" s="70">
        <f>IF($A1802="","",IF(OR(AC1802="Demandé",AC1802="Planifié",AC1802="Annulé"),0,N(T1802)*N(U1802)))</f>
        <v/>
      </c>
      <c r="W1802" s="70">
        <f>IF($A1802="","",SUMIFS('Mouvements stock'!$H$5:$H$3004,'Mouvements stock'!$I$5:$I$3004,$A1802,'Mouvements stock'!$C$5:$C$3004,"Sortie")-SUMIFS('Mouvements stock'!$H$5:$H$3004,'Mouvements stock'!$I$5:$I$3004,$A1802,'Mouvements stock'!$C$5:$C$3004,"Retour"))</f>
        <v/>
      </c>
      <c r="X1802" s="66" t="n"/>
      <c r="Y1802" s="66" t="n"/>
      <c r="Z1802" s="7" t="n"/>
      <c r="AA1802" s="70">
        <f>IF($A1802="","",N(V1802)+N(W1802)+N(X1802)+N(Y1802))</f>
        <v/>
      </c>
      <c r="AB1802" s="70">
        <f>IF($A1802="","",N(S1802)*'Paramètres'!$AA$9*IFERROR(INDEX('Paramètres'!$O$5:$O$7,MATCH(G1802,'Paramètres'!$N$5:$N$7,0)),0))</f>
        <v/>
      </c>
      <c r="AC1802" s="7" t="n"/>
      <c r="AD1802" s="69">
        <f>IF(OR($A1802="",Q1802=""),"",(Q1802-B1802)*24)</f>
        <v/>
      </c>
      <c r="AE1802" s="69">
        <f>IF(OR(Q1802="",R1802=""),"",(R1802-Q1802)*24)</f>
        <v/>
      </c>
      <c r="AF1802" s="77">
        <f>IF(OR($A1802="",B1802=""),"",YEAR(B1802))</f>
        <v/>
      </c>
      <c r="AG1802" s="77">
        <f>IF(OR($A1802="",B1802=""),"",MONTH(B1802))</f>
        <v/>
      </c>
    </row>
    <row r="1803">
      <c r="A1803" s="7" t="n"/>
      <c r="B1803" s="75" t="n"/>
      <c r="C1803" s="7" t="n"/>
      <c r="D1803" s="7" t="n"/>
      <c r="E1803" s="9">
        <f>IF(D1803="","",IFERROR(INDEX('Équipements'!$B$5:$B$304,MATCH(D1803,'Équipements'!$A$5:$A$304,0)),"Code inconnu"))</f>
        <v/>
      </c>
      <c r="F1803" s="9">
        <f>IF(D1803="","",IFERROR(INDEX('Équipements'!$D$5:$D$304,MATCH(D1803,'Équipements'!$A$5:$A$304,0)),""))</f>
        <v/>
      </c>
      <c r="G1803" s="9">
        <f>IF(D1803="","",IFERROR(INDEX('Équipements'!$K$5:$K$304,MATCH(D1803,'Équipements'!$A$5:$A$304,0)),""))</f>
        <v/>
      </c>
      <c r="H1803" s="7" t="n"/>
      <c r="I1803" s="7" t="n"/>
      <c r="J1803" s="7" t="n"/>
      <c r="K1803" s="7" t="n"/>
      <c r="L1803" s="7" t="n"/>
      <c r="M1803" s="7" t="n"/>
      <c r="N1803" s="7" t="n"/>
      <c r="O1803" s="7" t="n"/>
      <c r="P1803" s="65" t="n"/>
      <c r="Q1803" s="75" t="n"/>
      <c r="R1803" s="75" t="n"/>
      <c r="S1803" s="76" t="n"/>
      <c r="T1803" s="76" t="n"/>
      <c r="U1803" s="70">
        <f>IF($A1803="","",IFERROR(INDEX('Techniciens'!$F$5:$F$44,MATCH(O1803,'Techniciens'!$B$5:$B$44,0)),'Paramètres'!$AA$10))</f>
        <v/>
      </c>
      <c r="V1803" s="70">
        <f>IF($A1803="","",IF(OR(AC1803="Demandé",AC1803="Planifié",AC1803="Annulé"),0,N(T1803)*N(U1803)))</f>
        <v/>
      </c>
      <c r="W1803" s="70">
        <f>IF($A1803="","",SUMIFS('Mouvements stock'!$H$5:$H$3004,'Mouvements stock'!$I$5:$I$3004,$A1803,'Mouvements stock'!$C$5:$C$3004,"Sortie")-SUMIFS('Mouvements stock'!$H$5:$H$3004,'Mouvements stock'!$I$5:$I$3004,$A1803,'Mouvements stock'!$C$5:$C$3004,"Retour"))</f>
        <v/>
      </c>
      <c r="X1803" s="66" t="n"/>
      <c r="Y1803" s="66" t="n"/>
      <c r="Z1803" s="7" t="n"/>
      <c r="AA1803" s="70">
        <f>IF($A1803="","",N(V1803)+N(W1803)+N(X1803)+N(Y1803))</f>
        <v/>
      </c>
      <c r="AB1803" s="70">
        <f>IF($A1803="","",N(S1803)*'Paramètres'!$AA$9*IFERROR(INDEX('Paramètres'!$O$5:$O$7,MATCH(G1803,'Paramètres'!$N$5:$N$7,0)),0))</f>
        <v/>
      </c>
      <c r="AC1803" s="7" t="n"/>
      <c r="AD1803" s="69">
        <f>IF(OR($A1803="",Q1803=""),"",(Q1803-B1803)*24)</f>
        <v/>
      </c>
      <c r="AE1803" s="69">
        <f>IF(OR(Q1803="",R1803=""),"",(R1803-Q1803)*24)</f>
        <v/>
      </c>
      <c r="AF1803" s="77">
        <f>IF(OR($A1803="",B1803=""),"",YEAR(B1803))</f>
        <v/>
      </c>
      <c r="AG1803" s="77">
        <f>IF(OR($A1803="",B1803=""),"",MONTH(B1803))</f>
        <v/>
      </c>
    </row>
    <row r="1804">
      <c r="A1804" s="7" t="n"/>
      <c r="B1804" s="75" t="n"/>
      <c r="C1804" s="7" t="n"/>
      <c r="D1804" s="7" t="n"/>
      <c r="E1804" s="9">
        <f>IF(D1804="","",IFERROR(INDEX('Équipements'!$B$5:$B$304,MATCH(D1804,'Équipements'!$A$5:$A$304,0)),"Code inconnu"))</f>
        <v/>
      </c>
      <c r="F1804" s="9">
        <f>IF(D1804="","",IFERROR(INDEX('Équipements'!$D$5:$D$304,MATCH(D1804,'Équipements'!$A$5:$A$304,0)),""))</f>
        <v/>
      </c>
      <c r="G1804" s="9">
        <f>IF(D1804="","",IFERROR(INDEX('Équipements'!$K$5:$K$304,MATCH(D1804,'Équipements'!$A$5:$A$304,0)),""))</f>
        <v/>
      </c>
      <c r="H1804" s="7" t="n"/>
      <c r="I1804" s="7" t="n"/>
      <c r="J1804" s="7" t="n"/>
      <c r="K1804" s="7" t="n"/>
      <c r="L1804" s="7" t="n"/>
      <c r="M1804" s="7" t="n"/>
      <c r="N1804" s="7" t="n"/>
      <c r="O1804" s="7" t="n"/>
      <c r="P1804" s="65" t="n"/>
      <c r="Q1804" s="75" t="n"/>
      <c r="R1804" s="75" t="n"/>
      <c r="S1804" s="76" t="n"/>
      <c r="T1804" s="76" t="n"/>
      <c r="U1804" s="70">
        <f>IF($A1804="","",IFERROR(INDEX('Techniciens'!$F$5:$F$44,MATCH(O1804,'Techniciens'!$B$5:$B$44,0)),'Paramètres'!$AA$10))</f>
        <v/>
      </c>
      <c r="V1804" s="70">
        <f>IF($A1804="","",IF(OR(AC1804="Demandé",AC1804="Planifié",AC1804="Annulé"),0,N(T1804)*N(U1804)))</f>
        <v/>
      </c>
      <c r="W1804" s="70">
        <f>IF($A1804="","",SUMIFS('Mouvements stock'!$H$5:$H$3004,'Mouvements stock'!$I$5:$I$3004,$A1804,'Mouvements stock'!$C$5:$C$3004,"Sortie")-SUMIFS('Mouvements stock'!$H$5:$H$3004,'Mouvements stock'!$I$5:$I$3004,$A1804,'Mouvements stock'!$C$5:$C$3004,"Retour"))</f>
        <v/>
      </c>
      <c r="X1804" s="66" t="n"/>
      <c r="Y1804" s="66" t="n"/>
      <c r="Z1804" s="7" t="n"/>
      <c r="AA1804" s="70">
        <f>IF($A1804="","",N(V1804)+N(W1804)+N(X1804)+N(Y1804))</f>
        <v/>
      </c>
      <c r="AB1804" s="70">
        <f>IF($A1804="","",N(S1804)*'Paramètres'!$AA$9*IFERROR(INDEX('Paramètres'!$O$5:$O$7,MATCH(G1804,'Paramètres'!$N$5:$N$7,0)),0))</f>
        <v/>
      </c>
      <c r="AC1804" s="7" t="n"/>
      <c r="AD1804" s="69">
        <f>IF(OR($A1804="",Q1804=""),"",(Q1804-B1804)*24)</f>
        <v/>
      </c>
      <c r="AE1804" s="69">
        <f>IF(OR(Q1804="",R1804=""),"",(R1804-Q1804)*24)</f>
        <v/>
      </c>
      <c r="AF1804" s="77">
        <f>IF(OR($A1804="",B1804=""),"",YEAR(B1804))</f>
        <v/>
      </c>
      <c r="AG1804" s="77">
        <f>IF(OR($A1804="",B1804=""),"",MONTH(B1804))</f>
        <v/>
      </c>
    </row>
    <row r="1805">
      <c r="A1805" s="7" t="n"/>
      <c r="B1805" s="75" t="n"/>
      <c r="C1805" s="7" t="n"/>
      <c r="D1805" s="7" t="n"/>
      <c r="E1805" s="9">
        <f>IF(D1805="","",IFERROR(INDEX('Équipements'!$B$5:$B$304,MATCH(D1805,'Équipements'!$A$5:$A$304,0)),"Code inconnu"))</f>
        <v/>
      </c>
      <c r="F1805" s="9">
        <f>IF(D1805="","",IFERROR(INDEX('Équipements'!$D$5:$D$304,MATCH(D1805,'Équipements'!$A$5:$A$304,0)),""))</f>
        <v/>
      </c>
      <c r="G1805" s="9">
        <f>IF(D1805="","",IFERROR(INDEX('Équipements'!$K$5:$K$304,MATCH(D1805,'Équipements'!$A$5:$A$304,0)),""))</f>
        <v/>
      </c>
      <c r="H1805" s="7" t="n"/>
      <c r="I1805" s="7" t="n"/>
      <c r="J1805" s="7" t="n"/>
      <c r="K1805" s="7" t="n"/>
      <c r="L1805" s="7" t="n"/>
      <c r="M1805" s="7" t="n"/>
      <c r="N1805" s="7" t="n"/>
      <c r="O1805" s="7" t="n"/>
      <c r="P1805" s="65" t="n"/>
      <c r="Q1805" s="75" t="n"/>
      <c r="R1805" s="75" t="n"/>
      <c r="S1805" s="76" t="n"/>
      <c r="T1805" s="76" t="n"/>
      <c r="U1805" s="70">
        <f>IF($A1805="","",IFERROR(INDEX('Techniciens'!$F$5:$F$44,MATCH(O1805,'Techniciens'!$B$5:$B$44,0)),'Paramètres'!$AA$10))</f>
        <v/>
      </c>
      <c r="V1805" s="70">
        <f>IF($A1805="","",IF(OR(AC1805="Demandé",AC1805="Planifié",AC1805="Annulé"),0,N(T1805)*N(U1805)))</f>
        <v/>
      </c>
      <c r="W1805" s="70">
        <f>IF($A1805="","",SUMIFS('Mouvements stock'!$H$5:$H$3004,'Mouvements stock'!$I$5:$I$3004,$A1805,'Mouvements stock'!$C$5:$C$3004,"Sortie")-SUMIFS('Mouvements stock'!$H$5:$H$3004,'Mouvements stock'!$I$5:$I$3004,$A1805,'Mouvements stock'!$C$5:$C$3004,"Retour"))</f>
        <v/>
      </c>
      <c r="X1805" s="66" t="n"/>
      <c r="Y1805" s="66" t="n"/>
      <c r="Z1805" s="7" t="n"/>
      <c r="AA1805" s="70">
        <f>IF($A1805="","",N(V1805)+N(W1805)+N(X1805)+N(Y1805))</f>
        <v/>
      </c>
      <c r="AB1805" s="70">
        <f>IF($A1805="","",N(S1805)*'Paramètres'!$AA$9*IFERROR(INDEX('Paramètres'!$O$5:$O$7,MATCH(G1805,'Paramètres'!$N$5:$N$7,0)),0))</f>
        <v/>
      </c>
      <c r="AC1805" s="7" t="n"/>
      <c r="AD1805" s="69">
        <f>IF(OR($A1805="",Q1805=""),"",(Q1805-B1805)*24)</f>
        <v/>
      </c>
      <c r="AE1805" s="69">
        <f>IF(OR(Q1805="",R1805=""),"",(R1805-Q1805)*24)</f>
        <v/>
      </c>
      <c r="AF1805" s="77">
        <f>IF(OR($A1805="",B1805=""),"",YEAR(B1805))</f>
        <v/>
      </c>
      <c r="AG1805" s="77">
        <f>IF(OR($A1805="",B1805=""),"",MONTH(B1805))</f>
        <v/>
      </c>
    </row>
    <row r="1806">
      <c r="A1806" s="7" t="n"/>
      <c r="B1806" s="75" t="n"/>
      <c r="C1806" s="7" t="n"/>
      <c r="D1806" s="7" t="n"/>
      <c r="E1806" s="9">
        <f>IF(D1806="","",IFERROR(INDEX('Équipements'!$B$5:$B$304,MATCH(D1806,'Équipements'!$A$5:$A$304,0)),"Code inconnu"))</f>
        <v/>
      </c>
      <c r="F1806" s="9">
        <f>IF(D1806="","",IFERROR(INDEX('Équipements'!$D$5:$D$304,MATCH(D1806,'Équipements'!$A$5:$A$304,0)),""))</f>
        <v/>
      </c>
      <c r="G1806" s="9">
        <f>IF(D1806="","",IFERROR(INDEX('Équipements'!$K$5:$K$304,MATCH(D1806,'Équipements'!$A$5:$A$304,0)),""))</f>
        <v/>
      </c>
      <c r="H1806" s="7" t="n"/>
      <c r="I1806" s="7" t="n"/>
      <c r="J1806" s="7" t="n"/>
      <c r="K1806" s="7" t="n"/>
      <c r="L1806" s="7" t="n"/>
      <c r="M1806" s="7" t="n"/>
      <c r="N1806" s="7" t="n"/>
      <c r="O1806" s="7" t="n"/>
      <c r="P1806" s="65" t="n"/>
      <c r="Q1806" s="75" t="n"/>
      <c r="R1806" s="75" t="n"/>
      <c r="S1806" s="76" t="n"/>
      <c r="T1806" s="76" t="n"/>
      <c r="U1806" s="70">
        <f>IF($A1806="","",IFERROR(INDEX('Techniciens'!$F$5:$F$44,MATCH(O1806,'Techniciens'!$B$5:$B$44,0)),'Paramètres'!$AA$10))</f>
        <v/>
      </c>
      <c r="V1806" s="70">
        <f>IF($A1806="","",IF(OR(AC1806="Demandé",AC1806="Planifié",AC1806="Annulé"),0,N(T1806)*N(U1806)))</f>
        <v/>
      </c>
      <c r="W1806" s="70">
        <f>IF($A1806="","",SUMIFS('Mouvements stock'!$H$5:$H$3004,'Mouvements stock'!$I$5:$I$3004,$A1806,'Mouvements stock'!$C$5:$C$3004,"Sortie")-SUMIFS('Mouvements stock'!$H$5:$H$3004,'Mouvements stock'!$I$5:$I$3004,$A1806,'Mouvements stock'!$C$5:$C$3004,"Retour"))</f>
        <v/>
      </c>
      <c r="X1806" s="66" t="n"/>
      <c r="Y1806" s="66" t="n"/>
      <c r="Z1806" s="7" t="n"/>
      <c r="AA1806" s="70">
        <f>IF($A1806="","",N(V1806)+N(W1806)+N(X1806)+N(Y1806))</f>
        <v/>
      </c>
      <c r="AB1806" s="70">
        <f>IF($A1806="","",N(S1806)*'Paramètres'!$AA$9*IFERROR(INDEX('Paramètres'!$O$5:$O$7,MATCH(G1806,'Paramètres'!$N$5:$N$7,0)),0))</f>
        <v/>
      </c>
      <c r="AC1806" s="7" t="n"/>
      <c r="AD1806" s="69">
        <f>IF(OR($A1806="",Q1806=""),"",(Q1806-B1806)*24)</f>
        <v/>
      </c>
      <c r="AE1806" s="69">
        <f>IF(OR(Q1806="",R1806=""),"",(R1806-Q1806)*24)</f>
        <v/>
      </c>
      <c r="AF1806" s="77">
        <f>IF(OR($A1806="",B1806=""),"",YEAR(B1806))</f>
        <v/>
      </c>
      <c r="AG1806" s="77">
        <f>IF(OR($A1806="",B1806=""),"",MONTH(B1806))</f>
        <v/>
      </c>
    </row>
    <row r="1807">
      <c r="A1807" s="7" t="n"/>
      <c r="B1807" s="75" t="n"/>
      <c r="C1807" s="7" t="n"/>
      <c r="D1807" s="7" t="n"/>
      <c r="E1807" s="9">
        <f>IF(D1807="","",IFERROR(INDEX('Équipements'!$B$5:$B$304,MATCH(D1807,'Équipements'!$A$5:$A$304,0)),"Code inconnu"))</f>
        <v/>
      </c>
      <c r="F1807" s="9">
        <f>IF(D1807="","",IFERROR(INDEX('Équipements'!$D$5:$D$304,MATCH(D1807,'Équipements'!$A$5:$A$304,0)),""))</f>
        <v/>
      </c>
      <c r="G1807" s="9">
        <f>IF(D1807="","",IFERROR(INDEX('Équipements'!$K$5:$K$304,MATCH(D1807,'Équipements'!$A$5:$A$304,0)),""))</f>
        <v/>
      </c>
      <c r="H1807" s="7" t="n"/>
      <c r="I1807" s="7" t="n"/>
      <c r="J1807" s="7" t="n"/>
      <c r="K1807" s="7" t="n"/>
      <c r="L1807" s="7" t="n"/>
      <c r="M1807" s="7" t="n"/>
      <c r="N1807" s="7" t="n"/>
      <c r="O1807" s="7" t="n"/>
      <c r="P1807" s="65" t="n"/>
      <c r="Q1807" s="75" t="n"/>
      <c r="R1807" s="75" t="n"/>
      <c r="S1807" s="76" t="n"/>
      <c r="T1807" s="76" t="n"/>
      <c r="U1807" s="70">
        <f>IF($A1807="","",IFERROR(INDEX('Techniciens'!$F$5:$F$44,MATCH(O1807,'Techniciens'!$B$5:$B$44,0)),'Paramètres'!$AA$10))</f>
        <v/>
      </c>
      <c r="V1807" s="70">
        <f>IF($A1807="","",IF(OR(AC1807="Demandé",AC1807="Planifié",AC1807="Annulé"),0,N(T1807)*N(U1807)))</f>
        <v/>
      </c>
      <c r="W1807" s="70">
        <f>IF($A1807="","",SUMIFS('Mouvements stock'!$H$5:$H$3004,'Mouvements stock'!$I$5:$I$3004,$A1807,'Mouvements stock'!$C$5:$C$3004,"Sortie")-SUMIFS('Mouvements stock'!$H$5:$H$3004,'Mouvements stock'!$I$5:$I$3004,$A1807,'Mouvements stock'!$C$5:$C$3004,"Retour"))</f>
        <v/>
      </c>
      <c r="X1807" s="66" t="n"/>
      <c r="Y1807" s="66" t="n"/>
      <c r="Z1807" s="7" t="n"/>
      <c r="AA1807" s="70">
        <f>IF($A1807="","",N(V1807)+N(W1807)+N(X1807)+N(Y1807))</f>
        <v/>
      </c>
      <c r="AB1807" s="70">
        <f>IF($A1807="","",N(S1807)*'Paramètres'!$AA$9*IFERROR(INDEX('Paramètres'!$O$5:$O$7,MATCH(G1807,'Paramètres'!$N$5:$N$7,0)),0))</f>
        <v/>
      </c>
      <c r="AC1807" s="7" t="n"/>
      <c r="AD1807" s="69">
        <f>IF(OR($A1807="",Q1807=""),"",(Q1807-B1807)*24)</f>
        <v/>
      </c>
      <c r="AE1807" s="69">
        <f>IF(OR(Q1807="",R1807=""),"",(R1807-Q1807)*24)</f>
        <v/>
      </c>
      <c r="AF1807" s="77">
        <f>IF(OR($A1807="",B1807=""),"",YEAR(B1807))</f>
        <v/>
      </c>
      <c r="AG1807" s="77">
        <f>IF(OR($A1807="",B1807=""),"",MONTH(B1807))</f>
        <v/>
      </c>
    </row>
    <row r="1808">
      <c r="A1808" s="7" t="n"/>
      <c r="B1808" s="75" t="n"/>
      <c r="C1808" s="7" t="n"/>
      <c r="D1808" s="7" t="n"/>
      <c r="E1808" s="9">
        <f>IF(D1808="","",IFERROR(INDEX('Équipements'!$B$5:$B$304,MATCH(D1808,'Équipements'!$A$5:$A$304,0)),"Code inconnu"))</f>
        <v/>
      </c>
      <c r="F1808" s="9">
        <f>IF(D1808="","",IFERROR(INDEX('Équipements'!$D$5:$D$304,MATCH(D1808,'Équipements'!$A$5:$A$304,0)),""))</f>
        <v/>
      </c>
      <c r="G1808" s="9">
        <f>IF(D1808="","",IFERROR(INDEX('Équipements'!$K$5:$K$304,MATCH(D1808,'Équipements'!$A$5:$A$304,0)),""))</f>
        <v/>
      </c>
      <c r="H1808" s="7" t="n"/>
      <c r="I1808" s="7" t="n"/>
      <c r="J1808" s="7" t="n"/>
      <c r="K1808" s="7" t="n"/>
      <c r="L1808" s="7" t="n"/>
      <c r="M1808" s="7" t="n"/>
      <c r="N1808" s="7" t="n"/>
      <c r="O1808" s="7" t="n"/>
      <c r="P1808" s="65" t="n"/>
      <c r="Q1808" s="75" t="n"/>
      <c r="R1808" s="75" t="n"/>
      <c r="S1808" s="76" t="n"/>
      <c r="T1808" s="76" t="n"/>
      <c r="U1808" s="70">
        <f>IF($A1808="","",IFERROR(INDEX('Techniciens'!$F$5:$F$44,MATCH(O1808,'Techniciens'!$B$5:$B$44,0)),'Paramètres'!$AA$10))</f>
        <v/>
      </c>
      <c r="V1808" s="70">
        <f>IF($A1808="","",IF(OR(AC1808="Demandé",AC1808="Planifié",AC1808="Annulé"),0,N(T1808)*N(U1808)))</f>
        <v/>
      </c>
      <c r="W1808" s="70">
        <f>IF($A1808="","",SUMIFS('Mouvements stock'!$H$5:$H$3004,'Mouvements stock'!$I$5:$I$3004,$A1808,'Mouvements stock'!$C$5:$C$3004,"Sortie")-SUMIFS('Mouvements stock'!$H$5:$H$3004,'Mouvements stock'!$I$5:$I$3004,$A1808,'Mouvements stock'!$C$5:$C$3004,"Retour"))</f>
        <v/>
      </c>
      <c r="X1808" s="66" t="n"/>
      <c r="Y1808" s="66" t="n"/>
      <c r="Z1808" s="7" t="n"/>
      <c r="AA1808" s="70">
        <f>IF($A1808="","",N(V1808)+N(W1808)+N(X1808)+N(Y1808))</f>
        <v/>
      </c>
      <c r="AB1808" s="70">
        <f>IF($A1808="","",N(S1808)*'Paramètres'!$AA$9*IFERROR(INDEX('Paramètres'!$O$5:$O$7,MATCH(G1808,'Paramètres'!$N$5:$N$7,0)),0))</f>
        <v/>
      </c>
      <c r="AC1808" s="7" t="n"/>
      <c r="AD1808" s="69">
        <f>IF(OR($A1808="",Q1808=""),"",(Q1808-B1808)*24)</f>
        <v/>
      </c>
      <c r="AE1808" s="69">
        <f>IF(OR(Q1808="",R1808=""),"",(R1808-Q1808)*24)</f>
        <v/>
      </c>
      <c r="AF1808" s="77">
        <f>IF(OR($A1808="",B1808=""),"",YEAR(B1808))</f>
        <v/>
      </c>
      <c r="AG1808" s="77">
        <f>IF(OR($A1808="",B1808=""),"",MONTH(B1808))</f>
        <v/>
      </c>
    </row>
    <row r="1809">
      <c r="A1809" s="7" t="n"/>
      <c r="B1809" s="75" t="n"/>
      <c r="C1809" s="7" t="n"/>
      <c r="D1809" s="7" t="n"/>
      <c r="E1809" s="9">
        <f>IF(D1809="","",IFERROR(INDEX('Équipements'!$B$5:$B$304,MATCH(D1809,'Équipements'!$A$5:$A$304,0)),"Code inconnu"))</f>
        <v/>
      </c>
      <c r="F1809" s="9">
        <f>IF(D1809="","",IFERROR(INDEX('Équipements'!$D$5:$D$304,MATCH(D1809,'Équipements'!$A$5:$A$304,0)),""))</f>
        <v/>
      </c>
      <c r="G1809" s="9">
        <f>IF(D1809="","",IFERROR(INDEX('Équipements'!$K$5:$K$304,MATCH(D1809,'Équipements'!$A$5:$A$304,0)),""))</f>
        <v/>
      </c>
      <c r="H1809" s="7" t="n"/>
      <c r="I1809" s="7" t="n"/>
      <c r="J1809" s="7" t="n"/>
      <c r="K1809" s="7" t="n"/>
      <c r="L1809" s="7" t="n"/>
      <c r="M1809" s="7" t="n"/>
      <c r="N1809" s="7" t="n"/>
      <c r="O1809" s="7" t="n"/>
      <c r="P1809" s="65" t="n"/>
      <c r="Q1809" s="75" t="n"/>
      <c r="R1809" s="75" t="n"/>
      <c r="S1809" s="76" t="n"/>
      <c r="T1809" s="76" t="n"/>
      <c r="U1809" s="70">
        <f>IF($A1809="","",IFERROR(INDEX('Techniciens'!$F$5:$F$44,MATCH(O1809,'Techniciens'!$B$5:$B$44,0)),'Paramètres'!$AA$10))</f>
        <v/>
      </c>
      <c r="V1809" s="70">
        <f>IF($A1809="","",IF(OR(AC1809="Demandé",AC1809="Planifié",AC1809="Annulé"),0,N(T1809)*N(U1809)))</f>
        <v/>
      </c>
      <c r="W1809" s="70">
        <f>IF($A1809="","",SUMIFS('Mouvements stock'!$H$5:$H$3004,'Mouvements stock'!$I$5:$I$3004,$A1809,'Mouvements stock'!$C$5:$C$3004,"Sortie")-SUMIFS('Mouvements stock'!$H$5:$H$3004,'Mouvements stock'!$I$5:$I$3004,$A1809,'Mouvements stock'!$C$5:$C$3004,"Retour"))</f>
        <v/>
      </c>
      <c r="X1809" s="66" t="n"/>
      <c r="Y1809" s="66" t="n"/>
      <c r="Z1809" s="7" t="n"/>
      <c r="AA1809" s="70">
        <f>IF($A1809="","",N(V1809)+N(W1809)+N(X1809)+N(Y1809))</f>
        <v/>
      </c>
      <c r="AB1809" s="70">
        <f>IF($A1809="","",N(S1809)*'Paramètres'!$AA$9*IFERROR(INDEX('Paramètres'!$O$5:$O$7,MATCH(G1809,'Paramètres'!$N$5:$N$7,0)),0))</f>
        <v/>
      </c>
      <c r="AC1809" s="7" t="n"/>
      <c r="AD1809" s="69">
        <f>IF(OR($A1809="",Q1809=""),"",(Q1809-B1809)*24)</f>
        <v/>
      </c>
      <c r="AE1809" s="69">
        <f>IF(OR(Q1809="",R1809=""),"",(R1809-Q1809)*24)</f>
        <v/>
      </c>
      <c r="AF1809" s="77">
        <f>IF(OR($A1809="",B1809=""),"",YEAR(B1809))</f>
        <v/>
      </c>
      <c r="AG1809" s="77">
        <f>IF(OR($A1809="",B1809=""),"",MONTH(B1809))</f>
        <v/>
      </c>
    </row>
    <row r="1810">
      <c r="A1810" s="7" t="n"/>
      <c r="B1810" s="75" t="n"/>
      <c r="C1810" s="7" t="n"/>
      <c r="D1810" s="7" t="n"/>
      <c r="E1810" s="9">
        <f>IF(D1810="","",IFERROR(INDEX('Équipements'!$B$5:$B$304,MATCH(D1810,'Équipements'!$A$5:$A$304,0)),"Code inconnu"))</f>
        <v/>
      </c>
      <c r="F1810" s="9">
        <f>IF(D1810="","",IFERROR(INDEX('Équipements'!$D$5:$D$304,MATCH(D1810,'Équipements'!$A$5:$A$304,0)),""))</f>
        <v/>
      </c>
      <c r="G1810" s="9">
        <f>IF(D1810="","",IFERROR(INDEX('Équipements'!$K$5:$K$304,MATCH(D1810,'Équipements'!$A$5:$A$304,0)),""))</f>
        <v/>
      </c>
      <c r="H1810" s="7" t="n"/>
      <c r="I1810" s="7" t="n"/>
      <c r="J1810" s="7" t="n"/>
      <c r="K1810" s="7" t="n"/>
      <c r="L1810" s="7" t="n"/>
      <c r="M1810" s="7" t="n"/>
      <c r="N1810" s="7" t="n"/>
      <c r="O1810" s="7" t="n"/>
      <c r="P1810" s="65" t="n"/>
      <c r="Q1810" s="75" t="n"/>
      <c r="R1810" s="75" t="n"/>
      <c r="S1810" s="76" t="n"/>
      <c r="T1810" s="76" t="n"/>
      <c r="U1810" s="70">
        <f>IF($A1810="","",IFERROR(INDEX('Techniciens'!$F$5:$F$44,MATCH(O1810,'Techniciens'!$B$5:$B$44,0)),'Paramètres'!$AA$10))</f>
        <v/>
      </c>
      <c r="V1810" s="70">
        <f>IF($A1810="","",IF(OR(AC1810="Demandé",AC1810="Planifié",AC1810="Annulé"),0,N(T1810)*N(U1810)))</f>
        <v/>
      </c>
      <c r="W1810" s="70">
        <f>IF($A1810="","",SUMIFS('Mouvements stock'!$H$5:$H$3004,'Mouvements stock'!$I$5:$I$3004,$A1810,'Mouvements stock'!$C$5:$C$3004,"Sortie")-SUMIFS('Mouvements stock'!$H$5:$H$3004,'Mouvements stock'!$I$5:$I$3004,$A1810,'Mouvements stock'!$C$5:$C$3004,"Retour"))</f>
        <v/>
      </c>
      <c r="X1810" s="66" t="n"/>
      <c r="Y1810" s="66" t="n"/>
      <c r="Z1810" s="7" t="n"/>
      <c r="AA1810" s="70">
        <f>IF($A1810="","",N(V1810)+N(W1810)+N(X1810)+N(Y1810))</f>
        <v/>
      </c>
      <c r="AB1810" s="70">
        <f>IF($A1810="","",N(S1810)*'Paramètres'!$AA$9*IFERROR(INDEX('Paramètres'!$O$5:$O$7,MATCH(G1810,'Paramètres'!$N$5:$N$7,0)),0))</f>
        <v/>
      </c>
      <c r="AC1810" s="7" t="n"/>
      <c r="AD1810" s="69">
        <f>IF(OR($A1810="",Q1810=""),"",(Q1810-B1810)*24)</f>
        <v/>
      </c>
      <c r="AE1810" s="69">
        <f>IF(OR(Q1810="",R1810=""),"",(R1810-Q1810)*24)</f>
        <v/>
      </c>
      <c r="AF1810" s="77">
        <f>IF(OR($A1810="",B1810=""),"",YEAR(B1810))</f>
        <v/>
      </c>
      <c r="AG1810" s="77">
        <f>IF(OR($A1810="",B1810=""),"",MONTH(B1810))</f>
        <v/>
      </c>
    </row>
    <row r="1811">
      <c r="A1811" s="7" t="n"/>
      <c r="B1811" s="75" t="n"/>
      <c r="C1811" s="7" t="n"/>
      <c r="D1811" s="7" t="n"/>
      <c r="E1811" s="9">
        <f>IF(D1811="","",IFERROR(INDEX('Équipements'!$B$5:$B$304,MATCH(D1811,'Équipements'!$A$5:$A$304,0)),"Code inconnu"))</f>
        <v/>
      </c>
      <c r="F1811" s="9">
        <f>IF(D1811="","",IFERROR(INDEX('Équipements'!$D$5:$D$304,MATCH(D1811,'Équipements'!$A$5:$A$304,0)),""))</f>
        <v/>
      </c>
      <c r="G1811" s="9">
        <f>IF(D1811="","",IFERROR(INDEX('Équipements'!$K$5:$K$304,MATCH(D1811,'Équipements'!$A$5:$A$304,0)),""))</f>
        <v/>
      </c>
      <c r="H1811" s="7" t="n"/>
      <c r="I1811" s="7" t="n"/>
      <c r="J1811" s="7" t="n"/>
      <c r="K1811" s="7" t="n"/>
      <c r="L1811" s="7" t="n"/>
      <c r="M1811" s="7" t="n"/>
      <c r="N1811" s="7" t="n"/>
      <c r="O1811" s="7" t="n"/>
      <c r="P1811" s="65" t="n"/>
      <c r="Q1811" s="75" t="n"/>
      <c r="R1811" s="75" t="n"/>
      <c r="S1811" s="76" t="n"/>
      <c r="T1811" s="76" t="n"/>
      <c r="U1811" s="70">
        <f>IF($A1811="","",IFERROR(INDEX('Techniciens'!$F$5:$F$44,MATCH(O1811,'Techniciens'!$B$5:$B$44,0)),'Paramètres'!$AA$10))</f>
        <v/>
      </c>
      <c r="V1811" s="70">
        <f>IF($A1811="","",IF(OR(AC1811="Demandé",AC1811="Planifié",AC1811="Annulé"),0,N(T1811)*N(U1811)))</f>
        <v/>
      </c>
      <c r="W1811" s="70">
        <f>IF($A1811="","",SUMIFS('Mouvements stock'!$H$5:$H$3004,'Mouvements stock'!$I$5:$I$3004,$A1811,'Mouvements stock'!$C$5:$C$3004,"Sortie")-SUMIFS('Mouvements stock'!$H$5:$H$3004,'Mouvements stock'!$I$5:$I$3004,$A1811,'Mouvements stock'!$C$5:$C$3004,"Retour"))</f>
        <v/>
      </c>
      <c r="X1811" s="66" t="n"/>
      <c r="Y1811" s="66" t="n"/>
      <c r="Z1811" s="7" t="n"/>
      <c r="AA1811" s="70">
        <f>IF($A1811="","",N(V1811)+N(W1811)+N(X1811)+N(Y1811))</f>
        <v/>
      </c>
      <c r="AB1811" s="70">
        <f>IF($A1811="","",N(S1811)*'Paramètres'!$AA$9*IFERROR(INDEX('Paramètres'!$O$5:$O$7,MATCH(G1811,'Paramètres'!$N$5:$N$7,0)),0))</f>
        <v/>
      </c>
      <c r="AC1811" s="7" t="n"/>
      <c r="AD1811" s="69">
        <f>IF(OR($A1811="",Q1811=""),"",(Q1811-B1811)*24)</f>
        <v/>
      </c>
      <c r="AE1811" s="69">
        <f>IF(OR(Q1811="",R1811=""),"",(R1811-Q1811)*24)</f>
        <v/>
      </c>
      <c r="AF1811" s="77">
        <f>IF(OR($A1811="",B1811=""),"",YEAR(B1811))</f>
        <v/>
      </c>
      <c r="AG1811" s="77">
        <f>IF(OR($A1811="",B1811=""),"",MONTH(B1811))</f>
        <v/>
      </c>
    </row>
    <row r="1812">
      <c r="A1812" s="7" t="n"/>
      <c r="B1812" s="75" t="n"/>
      <c r="C1812" s="7" t="n"/>
      <c r="D1812" s="7" t="n"/>
      <c r="E1812" s="9">
        <f>IF(D1812="","",IFERROR(INDEX('Équipements'!$B$5:$B$304,MATCH(D1812,'Équipements'!$A$5:$A$304,0)),"Code inconnu"))</f>
        <v/>
      </c>
      <c r="F1812" s="9">
        <f>IF(D1812="","",IFERROR(INDEX('Équipements'!$D$5:$D$304,MATCH(D1812,'Équipements'!$A$5:$A$304,0)),""))</f>
        <v/>
      </c>
      <c r="G1812" s="9">
        <f>IF(D1812="","",IFERROR(INDEX('Équipements'!$K$5:$K$304,MATCH(D1812,'Équipements'!$A$5:$A$304,0)),""))</f>
        <v/>
      </c>
      <c r="H1812" s="7" t="n"/>
      <c r="I1812" s="7" t="n"/>
      <c r="J1812" s="7" t="n"/>
      <c r="K1812" s="7" t="n"/>
      <c r="L1812" s="7" t="n"/>
      <c r="M1812" s="7" t="n"/>
      <c r="N1812" s="7" t="n"/>
      <c r="O1812" s="7" t="n"/>
      <c r="P1812" s="65" t="n"/>
      <c r="Q1812" s="75" t="n"/>
      <c r="R1812" s="75" t="n"/>
      <c r="S1812" s="76" t="n"/>
      <c r="T1812" s="76" t="n"/>
      <c r="U1812" s="70">
        <f>IF($A1812="","",IFERROR(INDEX('Techniciens'!$F$5:$F$44,MATCH(O1812,'Techniciens'!$B$5:$B$44,0)),'Paramètres'!$AA$10))</f>
        <v/>
      </c>
      <c r="V1812" s="70">
        <f>IF($A1812="","",IF(OR(AC1812="Demandé",AC1812="Planifié",AC1812="Annulé"),0,N(T1812)*N(U1812)))</f>
        <v/>
      </c>
      <c r="W1812" s="70">
        <f>IF($A1812="","",SUMIFS('Mouvements stock'!$H$5:$H$3004,'Mouvements stock'!$I$5:$I$3004,$A1812,'Mouvements stock'!$C$5:$C$3004,"Sortie")-SUMIFS('Mouvements stock'!$H$5:$H$3004,'Mouvements stock'!$I$5:$I$3004,$A1812,'Mouvements stock'!$C$5:$C$3004,"Retour"))</f>
        <v/>
      </c>
      <c r="X1812" s="66" t="n"/>
      <c r="Y1812" s="66" t="n"/>
      <c r="Z1812" s="7" t="n"/>
      <c r="AA1812" s="70">
        <f>IF($A1812="","",N(V1812)+N(W1812)+N(X1812)+N(Y1812))</f>
        <v/>
      </c>
      <c r="AB1812" s="70">
        <f>IF($A1812="","",N(S1812)*'Paramètres'!$AA$9*IFERROR(INDEX('Paramètres'!$O$5:$O$7,MATCH(G1812,'Paramètres'!$N$5:$N$7,0)),0))</f>
        <v/>
      </c>
      <c r="AC1812" s="7" t="n"/>
      <c r="AD1812" s="69">
        <f>IF(OR($A1812="",Q1812=""),"",(Q1812-B1812)*24)</f>
        <v/>
      </c>
      <c r="AE1812" s="69">
        <f>IF(OR(Q1812="",R1812=""),"",(R1812-Q1812)*24)</f>
        <v/>
      </c>
      <c r="AF1812" s="77">
        <f>IF(OR($A1812="",B1812=""),"",YEAR(B1812))</f>
        <v/>
      </c>
      <c r="AG1812" s="77">
        <f>IF(OR($A1812="",B1812=""),"",MONTH(B1812))</f>
        <v/>
      </c>
    </row>
    <row r="1813">
      <c r="A1813" s="7" t="n"/>
      <c r="B1813" s="75" t="n"/>
      <c r="C1813" s="7" t="n"/>
      <c r="D1813" s="7" t="n"/>
      <c r="E1813" s="9">
        <f>IF(D1813="","",IFERROR(INDEX('Équipements'!$B$5:$B$304,MATCH(D1813,'Équipements'!$A$5:$A$304,0)),"Code inconnu"))</f>
        <v/>
      </c>
      <c r="F1813" s="9">
        <f>IF(D1813="","",IFERROR(INDEX('Équipements'!$D$5:$D$304,MATCH(D1813,'Équipements'!$A$5:$A$304,0)),""))</f>
        <v/>
      </c>
      <c r="G1813" s="9">
        <f>IF(D1813="","",IFERROR(INDEX('Équipements'!$K$5:$K$304,MATCH(D1813,'Équipements'!$A$5:$A$304,0)),""))</f>
        <v/>
      </c>
      <c r="H1813" s="7" t="n"/>
      <c r="I1813" s="7" t="n"/>
      <c r="J1813" s="7" t="n"/>
      <c r="K1813" s="7" t="n"/>
      <c r="L1813" s="7" t="n"/>
      <c r="M1813" s="7" t="n"/>
      <c r="N1813" s="7" t="n"/>
      <c r="O1813" s="7" t="n"/>
      <c r="P1813" s="65" t="n"/>
      <c r="Q1813" s="75" t="n"/>
      <c r="R1813" s="75" t="n"/>
      <c r="S1813" s="76" t="n"/>
      <c r="T1813" s="76" t="n"/>
      <c r="U1813" s="70">
        <f>IF($A1813="","",IFERROR(INDEX('Techniciens'!$F$5:$F$44,MATCH(O1813,'Techniciens'!$B$5:$B$44,0)),'Paramètres'!$AA$10))</f>
        <v/>
      </c>
      <c r="V1813" s="70">
        <f>IF($A1813="","",IF(OR(AC1813="Demandé",AC1813="Planifié",AC1813="Annulé"),0,N(T1813)*N(U1813)))</f>
        <v/>
      </c>
      <c r="W1813" s="70">
        <f>IF($A1813="","",SUMIFS('Mouvements stock'!$H$5:$H$3004,'Mouvements stock'!$I$5:$I$3004,$A1813,'Mouvements stock'!$C$5:$C$3004,"Sortie")-SUMIFS('Mouvements stock'!$H$5:$H$3004,'Mouvements stock'!$I$5:$I$3004,$A1813,'Mouvements stock'!$C$5:$C$3004,"Retour"))</f>
        <v/>
      </c>
      <c r="X1813" s="66" t="n"/>
      <c r="Y1813" s="66" t="n"/>
      <c r="Z1813" s="7" t="n"/>
      <c r="AA1813" s="70">
        <f>IF($A1813="","",N(V1813)+N(W1813)+N(X1813)+N(Y1813))</f>
        <v/>
      </c>
      <c r="AB1813" s="70">
        <f>IF($A1813="","",N(S1813)*'Paramètres'!$AA$9*IFERROR(INDEX('Paramètres'!$O$5:$O$7,MATCH(G1813,'Paramètres'!$N$5:$N$7,0)),0))</f>
        <v/>
      </c>
      <c r="AC1813" s="7" t="n"/>
      <c r="AD1813" s="69">
        <f>IF(OR($A1813="",Q1813=""),"",(Q1813-B1813)*24)</f>
        <v/>
      </c>
      <c r="AE1813" s="69">
        <f>IF(OR(Q1813="",R1813=""),"",(R1813-Q1813)*24)</f>
        <v/>
      </c>
      <c r="AF1813" s="77">
        <f>IF(OR($A1813="",B1813=""),"",YEAR(B1813))</f>
        <v/>
      </c>
      <c r="AG1813" s="77">
        <f>IF(OR($A1813="",B1813=""),"",MONTH(B1813))</f>
        <v/>
      </c>
    </row>
    <row r="1814">
      <c r="A1814" s="7" t="n"/>
      <c r="B1814" s="75" t="n"/>
      <c r="C1814" s="7" t="n"/>
      <c r="D1814" s="7" t="n"/>
      <c r="E1814" s="9">
        <f>IF(D1814="","",IFERROR(INDEX('Équipements'!$B$5:$B$304,MATCH(D1814,'Équipements'!$A$5:$A$304,0)),"Code inconnu"))</f>
        <v/>
      </c>
      <c r="F1814" s="9">
        <f>IF(D1814="","",IFERROR(INDEX('Équipements'!$D$5:$D$304,MATCH(D1814,'Équipements'!$A$5:$A$304,0)),""))</f>
        <v/>
      </c>
      <c r="G1814" s="9">
        <f>IF(D1814="","",IFERROR(INDEX('Équipements'!$K$5:$K$304,MATCH(D1814,'Équipements'!$A$5:$A$304,0)),""))</f>
        <v/>
      </c>
      <c r="H1814" s="7" t="n"/>
      <c r="I1814" s="7" t="n"/>
      <c r="J1814" s="7" t="n"/>
      <c r="K1814" s="7" t="n"/>
      <c r="L1814" s="7" t="n"/>
      <c r="M1814" s="7" t="n"/>
      <c r="N1814" s="7" t="n"/>
      <c r="O1814" s="7" t="n"/>
      <c r="P1814" s="65" t="n"/>
      <c r="Q1814" s="75" t="n"/>
      <c r="R1814" s="75" t="n"/>
      <c r="S1814" s="76" t="n"/>
      <c r="T1814" s="76" t="n"/>
      <c r="U1814" s="70">
        <f>IF($A1814="","",IFERROR(INDEX('Techniciens'!$F$5:$F$44,MATCH(O1814,'Techniciens'!$B$5:$B$44,0)),'Paramètres'!$AA$10))</f>
        <v/>
      </c>
      <c r="V1814" s="70">
        <f>IF($A1814="","",IF(OR(AC1814="Demandé",AC1814="Planifié",AC1814="Annulé"),0,N(T1814)*N(U1814)))</f>
        <v/>
      </c>
      <c r="W1814" s="70">
        <f>IF($A1814="","",SUMIFS('Mouvements stock'!$H$5:$H$3004,'Mouvements stock'!$I$5:$I$3004,$A1814,'Mouvements stock'!$C$5:$C$3004,"Sortie")-SUMIFS('Mouvements stock'!$H$5:$H$3004,'Mouvements stock'!$I$5:$I$3004,$A1814,'Mouvements stock'!$C$5:$C$3004,"Retour"))</f>
        <v/>
      </c>
      <c r="X1814" s="66" t="n"/>
      <c r="Y1814" s="66" t="n"/>
      <c r="Z1814" s="7" t="n"/>
      <c r="AA1814" s="70">
        <f>IF($A1814="","",N(V1814)+N(W1814)+N(X1814)+N(Y1814))</f>
        <v/>
      </c>
      <c r="AB1814" s="70">
        <f>IF($A1814="","",N(S1814)*'Paramètres'!$AA$9*IFERROR(INDEX('Paramètres'!$O$5:$O$7,MATCH(G1814,'Paramètres'!$N$5:$N$7,0)),0))</f>
        <v/>
      </c>
      <c r="AC1814" s="7" t="n"/>
      <c r="AD1814" s="69">
        <f>IF(OR($A1814="",Q1814=""),"",(Q1814-B1814)*24)</f>
        <v/>
      </c>
      <c r="AE1814" s="69">
        <f>IF(OR(Q1814="",R1814=""),"",(R1814-Q1814)*24)</f>
        <v/>
      </c>
      <c r="AF1814" s="77">
        <f>IF(OR($A1814="",B1814=""),"",YEAR(B1814))</f>
        <v/>
      </c>
      <c r="AG1814" s="77">
        <f>IF(OR($A1814="",B1814=""),"",MONTH(B1814))</f>
        <v/>
      </c>
    </row>
    <row r="1815">
      <c r="A1815" s="7" t="n"/>
      <c r="B1815" s="75" t="n"/>
      <c r="C1815" s="7" t="n"/>
      <c r="D1815" s="7" t="n"/>
      <c r="E1815" s="9">
        <f>IF(D1815="","",IFERROR(INDEX('Équipements'!$B$5:$B$304,MATCH(D1815,'Équipements'!$A$5:$A$304,0)),"Code inconnu"))</f>
        <v/>
      </c>
      <c r="F1815" s="9">
        <f>IF(D1815="","",IFERROR(INDEX('Équipements'!$D$5:$D$304,MATCH(D1815,'Équipements'!$A$5:$A$304,0)),""))</f>
        <v/>
      </c>
      <c r="G1815" s="9">
        <f>IF(D1815="","",IFERROR(INDEX('Équipements'!$K$5:$K$304,MATCH(D1815,'Équipements'!$A$5:$A$304,0)),""))</f>
        <v/>
      </c>
      <c r="H1815" s="7" t="n"/>
      <c r="I1815" s="7" t="n"/>
      <c r="J1815" s="7" t="n"/>
      <c r="K1815" s="7" t="n"/>
      <c r="L1815" s="7" t="n"/>
      <c r="M1815" s="7" t="n"/>
      <c r="N1815" s="7" t="n"/>
      <c r="O1815" s="7" t="n"/>
      <c r="P1815" s="65" t="n"/>
      <c r="Q1815" s="75" t="n"/>
      <c r="R1815" s="75" t="n"/>
      <c r="S1815" s="76" t="n"/>
      <c r="T1815" s="76" t="n"/>
      <c r="U1815" s="70">
        <f>IF($A1815="","",IFERROR(INDEX('Techniciens'!$F$5:$F$44,MATCH(O1815,'Techniciens'!$B$5:$B$44,0)),'Paramètres'!$AA$10))</f>
        <v/>
      </c>
      <c r="V1815" s="70">
        <f>IF($A1815="","",IF(OR(AC1815="Demandé",AC1815="Planifié",AC1815="Annulé"),0,N(T1815)*N(U1815)))</f>
        <v/>
      </c>
      <c r="W1815" s="70">
        <f>IF($A1815="","",SUMIFS('Mouvements stock'!$H$5:$H$3004,'Mouvements stock'!$I$5:$I$3004,$A1815,'Mouvements stock'!$C$5:$C$3004,"Sortie")-SUMIFS('Mouvements stock'!$H$5:$H$3004,'Mouvements stock'!$I$5:$I$3004,$A1815,'Mouvements stock'!$C$5:$C$3004,"Retour"))</f>
        <v/>
      </c>
      <c r="X1815" s="66" t="n"/>
      <c r="Y1815" s="66" t="n"/>
      <c r="Z1815" s="7" t="n"/>
      <c r="AA1815" s="70">
        <f>IF($A1815="","",N(V1815)+N(W1815)+N(X1815)+N(Y1815))</f>
        <v/>
      </c>
      <c r="AB1815" s="70">
        <f>IF($A1815="","",N(S1815)*'Paramètres'!$AA$9*IFERROR(INDEX('Paramètres'!$O$5:$O$7,MATCH(G1815,'Paramètres'!$N$5:$N$7,0)),0))</f>
        <v/>
      </c>
      <c r="AC1815" s="7" t="n"/>
      <c r="AD1815" s="69">
        <f>IF(OR($A1815="",Q1815=""),"",(Q1815-B1815)*24)</f>
        <v/>
      </c>
      <c r="AE1815" s="69">
        <f>IF(OR(Q1815="",R1815=""),"",(R1815-Q1815)*24)</f>
        <v/>
      </c>
      <c r="AF1815" s="77">
        <f>IF(OR($A1815="",B1815=""),"",YEAR(B1815))</f>
        <v/>
      </c>
      <c r="AG1815" s="77">
        <f>IF(OR($A1815="",B1815=""),"",MONTH(B1815))</f>
        <v/>
      </c>
    </row>
    <row r="1816">
      <c r="A1816" s="7" t="n"/>
      <c r="B1816" s="75" t="n"/>
      <c r="C1816" s="7" t="n"/>
      <c r="D1816" s="7" t="n"/>
      <c r="E1816" s="9">
        <f>IF(D1816="","",IFERROR(INDEX('Équipements'!$B$5:$B$304,MATCH(D1816,'Équipements'!$A$5:$A$304,0)),"Code inconnu"))</f>
        <v/>
      </c>
      <c r="F1816" s="9">
        <f>IF(D1816="","",IFERROR(INDEX('Équipements'!$D$5:$D$304,MATCH(D1816,'Équipements'!$A$5:$A$304,0)),""))</f>
        <v/>
      </c>
      <c r="G1816" s="9">
        <f>IF(D1816="","",IFERROR(INDEX('Équipements'!$K$5:$K$304,MATCH(D1816,'Équipements'!$A$5:$A$304,0)),""))</f>
        <v/>
      </c>
      <c r="H1816" s="7" t="n"/>
      <c r="I1816" s="7" t="n"/>
      <c r="J1816" s="7" t="n"/>
      <c r="K1816" s="7" t="n"/>
      <c r="L1816" s="7" t="n"/>
      <c r="M1816" s="7" t="n"/>
      <c r="N1816" s="7" t="n"/>
      <c r="O1816" s="7" t="n"/>
      <c r="P1816" s="65" t="n"/>
      <c r="Q1816" s="75" t="n"/>
      <c r="R1816" s="75" t="n"/>
      <c r="S1816" s="76" t="n"/>
      <c r="T1816" s="76" t="n"/>
      <c r="U1816" s="70">
        <f>IF($A1816="","",IFERROR(INDEX('Techniciens'!$F$5:$F$44,MATCH(O1816,'Techniciens'!$B$5:$B$44,0)),'Paramètres'!$AA$10))</f>
        <v/>
      </c>
      <c r="V1816" s="70">
        <f>IF($A1816="","",IF(OR(AC1816="Demandé",AC1816="Planifié",AC1816="Annulé"),0,N(T1816)*N(U1816)))</f>
        <v/>
      </c>
      <c r="W1816" s="70">
        <f>IF($A1816="","",SUMIFS('Mouvements stock'!$H$5:$H$3004,'Mouvements stock'!$I$5:$I$3004,$A1816,'Mouvements stock'!$C$5:$C$3004,"Sortie")-SUMIFS('Mouvements stock'!$H$5:$H$3004,'Mouvements stock'!$I$5:$I$3004,$A1816,'Mouvements stock'!$C$5:$C$3004,"Retour"))</f>
        <v/>
      </c>
      <c r="X1816" s="66" t="n"/>
      <c r="Y1816" s="66" t="n"/>
      <c r="Z1816" s="7" t="n"/>
      <c r="AA1816" s="70">
        <f>IF($A1816="","",N(V1816)+N(W1816)+N(X1816)+N(Y1816))</f>
        <v/>
      </c>
      <c r="AB1816" s="70">
        <f>IF($A1816="","",N(S1816)*'Paramètres'!$AA$9*IFERROR(INDEX('Paramètres'!$O$5:$O$7,MATCH(G1816,'Paramètres'!$N$5:$N$7,0)),0))</f>
        <v/>
      </c>
      <c r="AC1816" s="7" t="n"/>
      <c r="AD1816" s="69">
        <f>IF(OR($A1816="",Q1816=""),"",(Q1816-B1816)*24)</f>
        <v/>
      </c>
      <c r="AE1816" s="69">
        <f>IF(OR(Q1816="",R1816=""),"",(R1816-Q1816)*24)</f>
        <v/>
      </c>
      <c r="AF1816" s="77">
        <f>IF(OR($A1816="",B1816=""),"",YEAR(B1816))</f>
        <v/>
      </c>
      <c r="AG1816" s="77">
        <f>IF(OR($A1816="",B1816=""),"",MONTH(B1816))</f>
        <v/>
      </c>
    </row>
    <row r="1817">
      <c r="A1817" s="7" t="n"/>
      <c r="B1817" s="75" t="n"/>
      <c r="C1817" s="7" t="n"/>
      <c r="D1817" s="7" t="n"/>
      <c r="E1817" s="9">
        <f>IF(D1817="","",IFERROR(INDEX('Équipements'!$B$5:$B$304,MATCH(D1817,'Équipements'!$A$5:$A$304,0)),"Code inconnu"))</f>
        <v/>
      </c>
      <c r="F1817" s="9">
        <f>IF(D1817="","",IFERROR(INDEX('Équipements'!$D$5:$D$304,MATCH(D1817,'Équipements'!$A$5:$A$304,0)),""))</f>
        <v/>
      </c>
      <c r="G1817" s="9">
        <f>IF(D1817="","",IFERROR(INDEX('Équipements'!$K$5:$K$304,MATCH(D1817,'Équipements'!$A$5:$A$304,0)),""))</f>
        <v/>
      </c>
      <c r="H1817" s="7" t="n"/>
      <c r="I1817" s="7" t="n"/>
      <c r="J1817" s="7" t="n"/>
      <c r="K1817" s="7" t="n"/>
      <c r="L1817" s="7" t="n"/>
      <c r="M1817" s="7" t="n"/>
      <c r="N1817" s="7" t="n"/>
      <c r="O1817" s="7" t="n"/>
      <c r="P1817" s="65" t="n"/>
      <c r="Q1817" s="75" t="n"/>
      <c r="R1817" s="75" t="n"/>
      <c r="S1817" s="76" t="n"/>
      <c r="T1817" s="76" t="n"/>
      <c r="U1817" s="70">
        <f>IF($A1817="","",IFERROR(INDEX('Techniciens'!$F$5:$F$44,MATCH(O1817,'Techniciens'!$B$5:$B$44,0)),'Paramètres'!$AA$10))</f>
        <v/>
      </c>
      <c r="V1817" s="70">
        <f>IF($A1817="","",IF(OR(AC1817="Demandé",AC1817="Planifié",AC1817="Annulé"),0,N(T1817)*N(U1817)))</f>
        <v/>
      </c>
      <c r="W1817" s="70">
        <f>IF($A1817="","",SUMIFS('Mouvements stock'!$H$5:$H$3004,'Mouvements stock'!$I$5:$I$3004,$A1817,'Mouvements stock'!$C$5:$C$3004,"Sortie")-SUMIFS('Mouvements stock'!$H$5:$H$3004,'Mouvements stock'!$I$5:$I$3004,$A1817,'Mouvements stock'!$C$5:$C$3004,"Retour"))</f>
        <v/>
      </c>
      <c r="X1817" s="66" t="n"/>
      <c r="Y1817" s="66" t="n"/>
      <c r="Z1817" s="7" t="n"/>
      <c r="AA1817" s="70">
        <f>IF($A1817="","",N(V1817)+N(W1817)+N(X1817)+N(Y1817))</f>
        <v/>
      </c>
      <c r="AB1817" s="70">
        <f>IF($A1817="","",N(S1817)*'Paramètres'!$AA$9*IFERROR(INDEX('Paramètres'!$O$5:$O$7,MATCH(G1817,'Paramètres'!$N$5:$N$7,0)),0))</f>
        <v/>
      </c>
      <c r="AC1817" s="7" t="n"/>
      <c r="AD1817" s="69">
        <f>IF(OR($A1817="",Q1817=""),"",(Q1817-B1817)*24)</f>
        <v/>
      </c>
      <c r="AE1817" s="69">
        <f>IF(OR(Q1817="",R1817=""),"",(R1817-Q1817)*24)</f>
        <v/>
      </c>
      <c r="AF1817" s="77">
        <f>IF(OR($A1817="",B1817=""),"",YEAR(B1817))</f>
        <v/>
      </c>
      <c r="AG1817" s="77">
        <f>IF(OR($A1817="",B1817=""),"",MONTH(B1817))</f>
        <v/>
      </c>
    </row>
    <row r="1818">
      <c r="A1818" s="7" t="n"/>
      <c r="B1818" s="75" t="n"/>
      <c r="C1818" s="7" t="n"/>
      <c r="D1818" s="7" t="n"/>
      <c r="E1818" s="9">
        <f>IF(D1818="","",IFERROR(INDEX('Équipements'!$B$5:$B$304,MATCH(D1818,'Équipements'!$A$5:$A$304,0)),"Code inconnu"))</f>
        <v/>
      </c>
      <c r="F1818" s="9">
        <f>IF(D1818="","",IFERROR(INDEX('Équipements'!$D$5:$D$304,MATCH(D1818,'Équipements'!$A$5:$A$304,0)),""))</f>
        <v/>
      </c>
      <c r="G1818" s="9">
        <f>IF(D1818="","",IFERROR(INDEX('Équipements'!$K$5:$K$304,MATCH(D1818,'Équipements'!$A$5:$A$304,0)),""))</f>
        <v/>
      </c>
      <c r="H1818" s="7" t="n"/>
      <c r="I1818" s="7" t="n"/>
      <c r="J1818" s="7" t="n"/>
      <c r="K1818" s="7" t="n"/>
      <c r="L1818" s="7" t="n"/>
      <c r="M1818" s="7" t="n"/>
      <c r="N1818" s="7" t="n"/>
      <c r="O1818" s="7" t="n"/>
      <c r="P1818" s="65" t="n"/>
      <c r="Q1818" s="75" t="n"/>
      <c r="R1818" s="75" t="n"/>
      <c r="S1818" s="76" t="n"/>
      <c r="T1818" s="76" t="n"/>
      <c r="U1818" s="70">
        <f>IF($A1818="","",IFERROR(INDEX('Techniciens'!$F$5:$F$44,MATCH(O1818,'Techniciens'!$B$5:$B$44,0)),'Paramètres'!$AA$10))</f>
        <v/>
      </c>
      <c r="V1818" s="70">
        <f>IF($A1818="","",IF(OR(AC1818="Demandé",AC1818="Planifié",AC1818="Annulé"),0,N(T1818)*N(U1818)))</f>
        <v/>
      </c>
      <c r="W1818" s="70">
        <f>IF($A1818="","",SUMIFS('Mouvements stock'!$H$5:$H$3004,'Mouvements stock'!$I$5:$I$3004,$A1818,'Mouvements stock'!$C$5:$C$3004,"Sortie")-SUMIFS('Mouvements stock'!$H$5:$H$3004,'Mouvements stock'!$I$5:$I$3004,$A1818,'Mouvements stock'!$C$5:$C$3004,"Retour"))</f>
        <v/>
      </c>
      <c r="X1818" s="66" t="n"/>
      <c r="Y1818" s="66" t="n"/>
      <c r="Z1818" s="7" t="n"/>
      <c r="AA1818" s="70">
        <f>IF($A1818="","",N(V1818)+N(W1818)+N(X1818)+N(Y1818))</f>
        <v/>
      </c>
      <c r="AB1818" s="70">
        <f>IF($A1818="","",N(S1818)*'Paramètres'!$AA$9*IFERROR(INDEX('Paramètres'!$O$5:$O$7,MATCH(G1818,'Paramètres'!$N$5:$N$7,0)),0))</f>
        <v/>
      </c>
      <c r="AC1818" s="7" t="n"/>
      <c r="AD1818" s="69">
        <f>IF(OR($A1818="",Q1818=""),"",(Q1818-B1818)*24)</f>
        <v/>
      </c>
      <c r="AE1818" s="69">
        <f>IF(OR(Q1818="",R1818=""),"",(R1818-Q1818)*24)</f>
        <v/>
      </c>
      <c r="AF1818" s="77">
        <f>IF(OR($A1818="",B1818=""),"",YEAR(B1818))</f>
        <v/>
      </c>
      <c r="AG1818" s="77">
        <f>IF(OR($A1818="",B1818=""),"",MONTH(B1818))</f>
        <v/>
      </c>
    </row>
    <row r="1819">
      <c r="A1819" s="7" t="n"/>
      <c r="B1819" s="75" t="n"/>
      <c r="C1819" s="7" t="n"/>
      <c r="D1819" s="7" t="n"/>
      <c r="E1819" s="9">
        <f>IF(D1819="","",IFERROR(INDEX('Équipements'!$B$5:$B$304,MATCH(D1819,'Équipements'!$A$5:$A$304,0)),"Code inconnu"))</f>
        <v/>
      </c>
      <c r="F1819" s="9">
        <f>IF(D1819="","",IFERROR(INDEX('Équipements'!$D$5:$D$304,MATCH(D1819,'Équipements'!$A$5:$A$304,0)),""))</f>
        <v/>
      </c>
      <c r="G1819" s="9">
        <f>IF(D1819="","",IFERROR(INDEX('Équipements'!$K$5:$K$304,MATCH(D1819,'Équipements'!$A$5:$A$304,0)),""))</f>
        <v/>
      </c>
      <c r="H1819" s="7" t="n"/>
      <c r="I1819" s="7" t="n"/>
      <c r="J1819" s="7" t="n"/>
      <c r="K1819" s="7" t="n"/>
      <c r="L1819" s="7" t="n"/>
      <c r="M1819" s="7" t="n"/>
      <c r="N1819" s="7" t="n"/>
      <c r="O1819" s="7" t="n"/>
      <c r="P1819" s="65" t="n"/>
      <c r="Q1819" s="75" t="n"/>
      <c r="R1819" s="75" t="n"/>
      <c r="S1819" s="76" t="n"/>
      <c r="T1819" s="76" t="n"/>
      <c r="U1819" s="70">
        <f>IF($A1819="","",IFERROR(INDEX('Techniciens'!$F$5:$F$44,MATCH(O1819,'Techniciens'!$B$5:$B$44,0)),'Paramètres'!$AA$10))</f>
        <v/>
      </c>
      <c r="V1819" s="70">
        <f>IF($A1819="","",IF(OR(AC1819="Demandé",AC1819="Planifié",AC1819="Annulé"),0,N(T1819)*N(U1819)))</f>
        <v/>
      </c>
      <c r="W1819" s="70">
        <f>IF($A1819="","",SUMIFS('Mouvements stock'!$H$5:$H$3004,'Mouvements stock'!$I$5:$I$3004,$A1819,'Mouvements stock'!$C$5:$C$3004,"Sortie")-SUMIFS('Mouvements stock'!$H$5:$H$3004,'Mouvements stock'!$I$5:$I$3004,$A1819,'Mouvements stock'!$C$5:$C$3004,"Retour"))</f>
        <v/>
      </c>
      <c r="X1819" s="66" t="n"/>
      <c r="Y1819" s="66" t="n"/>
      <c r="Z1819" s="7" t="n"/>
      <c r="AA1819" s="70">
        <f>IF($A1819="","",N(V1819)+N(W1819)+N(X1819)+N(Y1819))</f>
        <v/>
      </c>
      <c r="AB1819" s="70">
        <f>IF($A1819="","",N(S1819)*'Paramètres'!$AA$9*IFERROR(INDEX('Paramètres'!$O$5:$O$7,MATCH(G1819,'Paramètres'!$N$5:$N$7,0)),0))</f>
        <v/>
      </c>
      <c r="AC1819" s="7" t="n"/>
      <c r="AD1819" s="69">
        <f>IF(OR($A1819="",Q1819=""),"",(Q1819-B1819)*24)</f>
        <v/>
      </c>
      <c r="AE1819" s="69">
        <f>IF(OR(Q1819="",R1819=""),"",(R1819-Q1819)*24)</f>
        <v/>
      </c>
      <c r="AF1819" s="77">
        <f>IF(OR($A1819="",B1819=""),"",YEAR(B1819))</f>
        <v/>
      </c>
      <c r="AG1819" s="77">
        <f>IF(OR($A1819="",B1819=""),"",MONTH(B1819))</f>
        <v/>
      </c>
    </row>
    <row r="1820">
      <c r="A1820" s="7" t="n"/>
      <c r="B1820" s="75" t="n"/>
      <c r="C1820" s="7" t="n"/>
      <c r="D1820" s="7" t="n"/>
      <c r="E1820" s="9">
        <f>IF(D1820="","",IFERROR(INDEX('Équipements'!$B$5:$B$304,MATCH(D1820,'Équipements'!$A$5:$A$304,0)),"Code inconnu"))</f>
        <v/>
      </c>
      <c r="F1820" s="9">
        <f>IF(D1820="","",IFERROR(INDEX('Équipements'!$D$5:$D$304,MATCH(D1820,'Équipements'!$A$5:$A$304,0)),""))</f>
        <v/>
      </c>
      <c r="G1820" s="9">
        <f>IF(D1820="","",IFERROR(INDEX('Équipements'!$K$5:$K$304,MATCH(D1820,'Équipements'!$A$5:$A$304,0)),""))</f>
        <v/>
      </c>
      <c r="H1820" s="7" t="n"/>
      <c r="I1820" s="7" t="n"/>
      <c r="J1820" s="7" t="n"/>
      <c r="K1820" s="7" t="n"/>
      <c r="L1820" s="7" t="n"/>
      <c r="M1820" s="7" t="n"/>
      <c r="N1820" s="7" t="n"/>
      <c r="O1820" s="7" t="n"/>
      <c r="P1820" s="65" t="n"/>
      <c r="Q1820" s="75" t="n"/>
      <c r="R1820" s="75" t="n"/>
      <c r="S1820" s="76" t="n"/>
      <c r="T1820" s="76" t="n"/>
      <c r="U1820" s="70">
        <f>IF($A1820="","",IFERROR(INDEX('Techniciens'!$F$5:$F$44,MATCH(O1820,'Techniciens'!$B$5:$B$44,0)),'Paramètres'!$AA$10))</f>
        <v/>
      </c>
      <c r="V1820" s="70">
        <f>IF($A1820="","",IF(OR(AC1820="Demandé",AC1820="Planifié",AC1820="Annulé"),0,N(T1820)*N(U1820)))</f>
        <v/>
      </c>
      <c r="W1820" s="70">
        <f>IF($A1820="","",SUMIFS('Mouvements stock'!$H$5:$H$3004,'Mouvements stock'!$I$5:$I$3004,$A1820,'Mouvements stock'!$C$5:$C$3004,"Sortie")-SUMIFS('Mouvements stock'!$H$5:$H$3004,'Mouvements stock'!$I$5:$I$3004,$A1820,'Mouvements stock'!$C$5:$C$3004,"Retour"))</f>
        <v/>
      </c>
      <c r="X1820" s="66" t="n"/>
      <c r="Y1820" s="66" t="n"/>
      <c r="Z1820" s="7" t="n"/>
      <c r="AA1820" s="70">
        <f>IF($A1820="","",N(V1820)+N(W1820)+N(X1820)+N(Y1820))</f>
        <v/>
      </c>
      <c r="AB1820" s="70">
        <f>IF($A1820="","",N(S1820)*'Paramètres'!$AA$9*IFERROR(INDEX('Paramètres'!$O$5:$O$7,MATCH(G1820,'Paramètres'!$N$5:$N$7,0)),0))</f>
        <v/>
      </c>
      <c r="AC1820" s="7" t="n"/>
      <c r="AD1820" s="69">
        <f>IF(OR($A1820="",Q1820=""),"",(Q1820-B1820)*24)</f>
        <v/>
      </c>
      <c r="AE1820" s="69">
        <f>IF(OR(Q1820="",R1820=""),"",(R1820-Q1820)*24)</f>
        <v/>
      </c>
      <c r="AF1820" s="77">
        <f>IF(OR($A1820="",B1820=""),"",YEAR(B1820))</f>
        <v/>
      </c>
      <c r="AG1820" s="77">
        <f>IF(OR($A1820="",B1820=""),"",MONTH(B1820))</f>
        <v/>
      </c>
    </row>
    <row r="1821">
      <c r="A1821" s="7" t="n"/>
      <c r="B1821" s="75" t="n"/>
      <c r="C1821" s="7" t="n"/>
      <c r="D1821" s="7" t="n"/>
      <c r="E1821" s="9">
        <f>IF(D1821="","",IFERROR(INDEX('Équipements'!$B$5:$B$304,MATCH(D1821,'Équipements'!$A$5:$A$304,0)),"Code inconnu"))</f>
        <v/>
      </c>
      <c r="F1821" s="9">
        <f>IF(D1821="","",IFERROR(INDEX('Équipements'!$D$5:$D$304,MATCH(D1821,'Équipements'!$A$5:$A$304,0)),""))</f>
        <v/>
      </c>
      <c r="G1821" s="9">
        <f>IF(D1821="","",IFERROR(INDEX('Équipements'!$K$5:$K$304,MATCH(D1821,'Équipements'!$A$5:$A$304,0)),""))</f>
        <v/>
      </c>
      <c r="H1821" s="7" t="n"/>
      <c r="I1821" s="7" t="n"/>
      <c r="J1821" s="7" t="n"/>
      <c r="K1821" s="7" t="n"/>
      <c r="L1821" s="7" t="n"/>
      <c r="M1821" s="7" t="n"/>
      <c r="N1821" s="7" t="n"/>
      <c r="O1821" s="7" t="n"/>
      <c r="P1821" s="65" t="n"/>
      <c r="Q1821" s="75" t="n"/>
      <c r="R1821" s="75" t="n"/>
      <c r="S1821" s="76" t="n"/>
      <c r="T1821" s="76" t="n"/>
      <c r="U1821" s="70">
        <f>IF($A1821="","",IFERROR(INDEX('Techniciens'!$F$5:$F$44,MATCH(O1821,'Techniciens'!$B$5:$B$44,0)),'Paramètres'!$AA$10))</f>
        <v/>
      </c>
      <c r="V1821" s="70">
        <f>IF($A1821="","",IF(OR(AC1821="Demandé",AC1821="Planifié",AC1821="Annulé"),0,N(T1821)*N(U1821)))</f>
        <v/>
      </c>
      <c r="W1821" s="70">
        <f>IF($A1821="","",SUMIFS('Mouvements stock'!$H$5:$H$3004,'Mouvements stock'!$I$5:$I$3004,$A1821,'Mouvements stock'!$C$5:$C$3004,"Sortie")-SUMIFS('Mouvements stock'!$H$5:$H$3004,'Mouvements stock'!$I$5:$I$3004,$A1821,'Mouvements stock'!$C$5:$C$3004,"Retour"))</f>
        <v/>
      </c>
      <c r="X1821" s="66" t="n"/>
      <c r="Y1821" s="66" t="n"/>
      <c r="Z1821" s="7" t="n"/>
      <c r="AA1821" s="70">
        <f>IF($A1821="","",N(V1821)+N(W1821)+N(X1821)+N(Y1821))</f>
        <v/>
      </c>
      <c r="AB1821" s="70">
        <f>IF($A1821="","",N(S1821)*'Paramètres'!$AA$9*IFERROR(INDEX('Paramètres'!$O$5:$O$7,MATCH(G1821,'Paramètres'!$N$5:$N$7,0)),0))</f>
        <v/>
      </c>
      <c r="AC1821" s="7" t="n"/>
      <c r="AD1821" s="69">
        <f>IF(OR($A1821="",Q1821=""),"",(Q1821-B1821)*24)</f>
        <v/>
      </c>
      <c r="AE1821" s="69">
        <f>IF(OR(Q1821="",R1821=""),"",(R1821-Q1821)*24)</f>
        <v/>
      </c>
      <c r="AF1821" s="77">
        <f>IF(OR($A1821="",B1821=""),"",YEAR(B1821))</f>
        <v/>
      </c>
      <c r="AG1821" s="77">
        <f>IF(OR($A1821="",B1821=""),"",MONTH(B1821))</f>
        <v/>
      </c>
    </row>
    <row r="1822">
      <c r="A1822" s="7" t="n"/>
      <c r="B1822" s="75" t="n"/>
      <c r="C1822" s="7" t="n"/>
      <c r="D1822" s="7" t="n"/>
      <c r="E1822" s="9">
        <f>IF(D1822="","",IFERROR(INDEX('Équipements'!$B$5:$B$304,MATCH(D1822,'Équipements'!$A$5:$A$304,0)),"Code inconnu"))</f>
        <v/>
      </c>
      <c r="F1822" s="9">
        <f>IF(D1822="","",IFERROR(INDEX('Équipements'!$D$5:$D$304,MATCH(D1822,'Équipements'!$A$5:$A$304,0)),""))</f>
        <v/>
      </c>
      <c r="G1822" s="9">
        <f>IF(D1822="","",IFERROR(INDEX('Équipements'!$K$5:$K$304,MATCH(D1822,'Équipements'!$A$5:$A$304,0)),""))</f>
        <v/>
      </c>
      <c r="H1822" s="7" t="n"/>
      <c r="I1822" s="7" t="n"/>
      <c r="J1822" s="7" t="n"/>
      <c r="K1822" s="7" t="n"/>
      <c r="L1822" s="7" t="n"/>
      <c r="M1822" s="7" t="n"/>
      <c r="N1822" s="7" t="n"/>
      <c r="O1822" s="7" t="n"/>
      <c r="P1822" s="65" t="n"/>
      <c r="Q1822" s="75" t="n"/>
      <c r="R1822" s="75" t="n"/>
      <c r="S1822" s="76" t="n"/>
      <c r="T1822" s="76" t="n"/>
      <c r="U1822" s="70">
        <f>IF($A1822="","",IFERROR(INDEX('Techniciens'!$F$5:$F$44,MATCH(O1822,'Techniciens'!$B$5:$B$44,0)),'Paramètres'!$AA$10))</f>
        <v/>
      </c>
      <c r="V1822" s="70">
        <f>IF($A1822="","",IF(OR(AC1822="Demandé",AC1822="Planifié",AC1822="Annulé"),0,N(T1822)*N(U1822)))</f>
        <v/>
      </c>
      <c r="W1822" s="70">
        <f>IF($A1822="","",SUMIFS('Mouvements stock'!$H$5:$H$3004,'Mouvements stock'!$I$5:$I$3004,$A1822,'Mouvements stock'!$C$5:$C$3004,"Sortie")-SUMIFS('Mouvements stock'!$H$5:$H$3004,'Mouvements stock'!$I$5:$I$3004,$A1822,'Mouvements stock'!$C$5:$C$3004,"Retour"))</f>
        <v/>
      </c>
      <c r="X1822" s="66" t="n"/>
      <c r="Y1822" s="66" t="n"/>
      <c r="Z1822" s="7" t="n"/>
      <c r="AA1822" s="70">
        <f>IF($A1822="","",N(V1822)+N(W1822)+N(X1822)+N(Y1822))</f>
        <v/>
      </c>
      <c r="AB1822" s="70">
        <f>IF($A1822="","",N(S1822)*'Paramètres'!$AA$9*IFERROR(INDEX('Paramètres'!$O$5:$O$7,MATCH(G1822,'Paramètres'!$N$5:$N$7,0)),0))</f>
        <v/>
      </c>
      <c r="AC1822" s="7" t="n"/>
      <c r="AD1822" s="69">
        <f>IF(OR($A1822="",Q1822=""),"",(Q1822-B1822)*24)</f>
        <v/>
      </c>
      <c r="AE1822" s="69">
        <f>IF(OR(Q1822="",R1822=""),"",(R1822-Q1822)*24)</f>
        <v/>
      </c>
      <c r="AF1822" s="77">
        <f>IF(OR($A1822="",B1822=""),"",YEAR(B1822))</f>
        <v/>
      </c>
      <c r="AG1822" s="77">
        <f>IF(OR($A1822="",B1822=""),"",MONTH(B1822))</f>
        <v/>
      </c>
    </row>
    <row r="1823">
      <c r="A1823" s="7" t="n"/>
      <c r="B1823" s="75" t="n"/>
      <c r="C1823" s="7" t="n"/>
      <c r="D1823" s="7" t="n"/>
      <c r="E1823" s="9">
        <f>IF(D1823="","",IFERROR(INDEX('Équipements'!$B$5:$B$304,MATCH(D1823,'Équipements'!$A$5:$A$304,0)),"Code inconnu"))</f>
        <v/>
      </c>
      <c r="F1823" s="9">
        <f>IF(D1823="","",IFERROR(INDEX('Équipements'!$D$5:$D$304,MATCH(D1823,'Équipements'!$A$5:$A$304,0)),""))</f>
        <v/>
      </c>
      <c r="G1823" s="9">
        <f>IF(D1823="","",IFERROR(INDEX('Équipements'!$K$5:$K$304,MATCH(D1823,'Équipements'!$A$5:$A$304,0)),""))</f>
        <v/>
      </c>
      <c r="H1823" s="7" t="n"/>
      <c r="I1823" s="7" t="n"/>
      <c r="J1823" s="7" t="n"/>
      <c r="K1823" s="7" t="n"/>
      <c r="L1823" s="7" t="n"/>
      <c r="M1823" s="7" t="n"/>
      <c r="N1823" s="7" t="n"/>
      <c r="O1823" s="7" t="n"/>
      <c r="P1823" s="65" t="n"/>
      <c r="Q1823" s="75" t="n"/>
      <c r="R1823" s="75" t="n"/>
      <c r="S1823" s="76" t="n"/>
      <c r="T1823" s="76" t="n"/>
      <c r="U1823" s="70">
        <f>IF($A1823="","",IFERROR(INDEX('Techniciens'!$F$5:$F$44,MATCH(O1823,'Techniciens'!$B$5:$B$44,0)),'Paramètres'!$AA$10))</f>
        <v/>
      </c>
      <c r="V1823" s="70">
        <f>IF($A1823="","",IF(OR(AC1823="Demandé",AC1823="Planifié",AC1823="Annulé"),0,N(T1823)*N(U1823)))</f>
        <v/>
      </c>
      <c r="W1823" s="70">
        <f>IF($A1823="","",SUMIFS('Mouvements stock'!$H$5:$H$3004,'Mouvements stock'!$I$5:$I$3004,$A1823,'Mouvements stock'!$C$5:$C$3004,"Sortie")-SUMIFS('Mouvements stock'!$H$5:$H$3004,'Mouvements stock'!$I$5:$I$3004,$A1823,'Mouvements stock'!$C$5:$C$3004,"Retour"))</f>
        <v/>
      </c>
      <c r="X1823" s="66" t="n"/>
      <c r="Y1823" s="66" t="n"/>
      <c r="Z1823" s="7" t="n"/>
      <c r="AA1823" s="70">
        <f>IF($A1823="","",N(V1823)+N(W1823)+N(X1823)+N(Y1823))</f>
        <v/>
      </c>
      <c r="AB1823" s="70">
        <f>IF($A1823="","",N(S1823)*'Paramètres'!$AA$9*IFERROR(INDEX('Paramètres'!$O$5:$O$7,MATCH(G1823,'Paramètres'!$N$5:$N$7,0)),0))</f>
        <v/>
      </c>
      <c r="AC1823" s="7" t="n"/>
      <c r="AD1823" s="69">
        <f>IF(OR($A1823="",Q1823=""),"",(Q1823-B1823)*24)</f>
        <v/>
      </c>
      <c r="AE1823" s="69">
        <f>IF(OR(Q1823="",R1823=""),"",(R1823-Q1823)*24)</f>
        <v/>
      </c>
      <c r="AF1823" s="77">
        <f>IF(OR($A1823="",B1823=""),"",YEAR(B1823))</f>
        <v/>
      </c>
      <c r="AG1823" s="77">
        <f>IF(OR($A1823="",B1823=""),"",MONTH(B1823))</f>
        <v/>
      </c>
    </row>
    <row r="1824">
      <c r="A1824" s="7" t="n"/>
      <c r="B1824" s="75" t="n"/>
      <c r="C1824" s="7" t="n"/>
      <c r="D1824" s="7" t="n"/>
      <c r="E1824" s="9">
        <f>IF(D1824="","",IFERROR(INDEX('Équipements'!$B$5:$B$304,MATCH(D1824,'Équipements'!$A$5:$A$304,0)),"Code inconnu"))</f>
        <v/>
      </c>
      <c r="F1824" s="9">
        <f>IF(D1824="","",IFERROR(INDEX('Équipements'!$D$5:$D$304,MATCH(D1824,'Équipements'!$A$5:$A$304,0)),""))</f>
        <v/>
      </c>
      <c r="G1824" s="9">
        <f>IF(D1824="","",IFERROR(INDEX('Équipements'!$K$5:$K$304,MATCH(D1824,'Équipements'!$A$5:$A$304,0)),""))</f>
        <v/>
      </c>
      <c r="H1824" s="7" t="n"/>
      <c r="I1824" s="7" t="n"/>
      <c r="J1824" s="7" t="n"/>
      <c r="K1824" s="7" t="n"/>
      <c r="L1824" s="7" t="n"/>
      <c r="M1824" s="7" t="n"/>
      <c r="N1824" s="7" t="n"/>
      <c r="O1824" s="7" t="n"/>
      <c r="P1824" s="65" t="n"/>
      <c r="Q1824" s="75" t="n"/>
      <c r="R1824" s="75" t="n"/>
      <c r="S1824" s="76" t="n"/>
      <c r="T1824" s="76" t="n"/>
      <c r="U1824" s="70">
        <f>IF($A1824="","",IFERROR(INDEX('Techniciens'!$F$5:$F$44,MATCH(O1824,'Techniciens'!$B$5:$B$44,0)),'Paramètres'!$AA$10))</f>
        <v/>
      </c>
      <c r="V1824" s="70">
        <f>IF($A1824="","",IF(OR(AC1824="Demandé",AC1824="Planifié",AC1824="Annulé"),0,N(T1824)*N(U1824)))</f>
        <v/>
      </c>
      <c r="W1824" s="70">
        <f>IF($A1824="","",SUMIFS('Mouvements stock'!$H$5:$H$3004,'Mouvements stock'!$I$5:$I$3004,$A1824,'Mouvements stock'!$C$5:$C$3004,"Sortie")-SUMIFS('Mouvements stock'!$H$5:$H$3004,'Mouvements stock'!$I$5:$I$3004,$A1824,'Mouvements stock'!$C$5:$C$3004,"Retour"))</f>
        <v/>
      </c>
      <c r="X1824" s="66" t="n"/>
      <c r="Y1824" s="66" t="n"/>
      <c r="Z1824" s="7" t="n"/>
      <c r="AA1824" s="70">
        <f>IF($A1824="","",N(V1824)+N(W1824)+N(X1824)+N(Y1824))</f>
        <v/>
      </c>
      <c r="AB1824" s="70">
        <f>IF($A1824="","",N(S1824)*'Paramètres'!$AA$9*IFERROR(INDEX('Paramètres'!$O$5:$O$7,MATCH(G1824,'Paramètres'!$N$5:$N$7,0)),0))</f>
        <v/>
      </c>
      <c r="AC1824" s="7" t="n"/>
      <c r="AD1824" s="69">
        <f>IF(OR($A1824="",Q1824=""),"",(Q1824-B1824)*24)</f>
        <v/>
      </c>
      <c r="AE1824" s="69">
        <f>IF(OR(Q1824="",R1824=""),"",(R1824-Q1824)*24)</f>
        <v/>
      </c>
      <c r="AF1824" s="77">
        <f>IF(OR($A1824="",B1824=""),"",YEAR(B1824))</f>
        <v/>
      </c>
      <c r="AG1824" s="77">
        <f>IF(OR($A1824="",B1824=""),"",MONTH(B1824))</f>
        <v/>
      </c>
    </row>
    <row r="1825">
      <c r="A1825" s="7" t="n"/>
      <c r="B1825" s="75" t="n"/>
      <c r="C1825" s="7" t="n"/>
      <c r="D1825" s="7" t="n"/>
      <c r="E1825" s="9">
        <f>IF(D1825="","",IFERROR(INDEX('Équipements'!$B$5:$B$304,MATCH(D1825,'Équipements'!$A$5:$A$304,0)),"Code inconnu"))</f>
        <v/>
      </c>
      <c r="F1825" s="9">
        <f>IF(D1825="","",IFERROR(INDEX('Équipements'!$D$5:$D$304,MATCH(D1825,'Équipements'!$A$5:$A$304,0)),""))</f>
        <v/>
      </c>
      <c r="G1825" s="9">
        <f>IF(D1825="","",IFERROR(INDEX('Équipements'!$K$5:$K$304,MATCH(D1825,'Équipements'!$A$5:$A$304,0)),""))</f>
        <v/>
      </c>
      <c r="H1825" s="7" t="n"/>
      <c r="I1825" s="7" t="n"/>
      <c r="J1825" s="7" t="n"/>
      <c r="K1825" s="7" t="n"/>
      <c r="L1825" s="7" t="n"/>
      <c r="M1825" s="7" t="n"/>
      <c r="N1825" s="7" t="n"/>
      <c r="O1825" s="7" t="n"/>
      <c r="P1825" s="65" t="n"/>
      <c r="Q1825" s="75" t="n"/>
      <c r="R1825" s="75" t="n"/>
      <c r="S1825" s="76" t="n"/>
      <c r="T1825" s="76" t="n"/>
      <c r="U1825" s="70">
        <f>IF($A1825="","",IFERROR(INDEX('Techniciens'!$F$5:$F$44,MATCH(O1825,'Techniciens'!$B$5:$B$44,0)),'Paramètres'!$AA$10))</f>
        <v/>
      </c>
      <c r="V1825" s="70">
        <f>IF($A1825="","",IF(OR(AC1825="Demandé",AC1825="Planifié",AC1825="Annulé"),0,N(T1825)*N(U1825)))</f>
        <v/>
      </c>
      <c r="W1825" s="70">
        <f>IF($A1825="","",SUMIFS('Mouvements stock'!$H$5:$H$3004,'Mouvements stock'!$I$5:$I$3004,$A1825,'Mouvements stock'!$C$5:$C$3004,"Sortie")-SUMIFS('Mouvements stock'!$H$5:$H$3004,'Mouvements stock'!$I$5:$I$3004,$A1825,'Mouvements stock'!$C$5:$C$3004,"Retour"))</f>
        <v/>
      </c>
      <c r="X1825" s="66" t="n"/>
      <c r="Y1825" s="66" t="n"/>
      <c r="Z1825" s="7" t="n"/>
      <c r="AA1825" s="70">
        <f>IF($A1825="","",N(V1825)+N(W1825)+N(X1825)+N(Y1825))</f>
        <v/>
      </c>
      <c r="AB1825" s="70">
        <f>IF($A1825="","",N(S1825)*'Paramètres'!$AA$9*IFERROR(INDEX('Paramètres'!$O$5:$O$7,MATCH(G1825,'Paramètres'!$N$5:$N$7,0)),0))</f>
        <v/>
      </c>
      <c r="AC1825" s="7" t="n"/>
      <c r="AD1825" s="69">
        <f>IF(OR($A1825="",Q1825=""),"",(Q1825-B1825)*24)</f>
        <v/>
      </c>
      <c r="AE1825" s="69">
        <f>IF(OR(Q1825="",R1825=""),"",(R1825-Q1825)*24)</f>
        <v/>
      </c>
      <c r="AF1825" s="77">
        <f>IF(OR($A1825="",B1825=""),"",YEAR(B1825))</f>
        <v/>
      </c>
      <c r="AG1825" s="77">
        <f>IF(OR($A1825="",B1825=""),"",MONTH(B1825))</f>
        <v/>
      </c>
    </row>
    <row r="1826">
      <c r="A1826" s="7" t="n"/>
      <c r="B1826" s="75" t="n"/>
      <c r="C1826" s="7" t="n"/>
      <c r="D1826" s="7" t="n"/>
      <c r="E1826" s="9">
        <f>IF(D1826="","",IFERROR(INDEX('Équipements'!$B$5:$B$304,MATCH(D1826,'Équipements'!$A$5:$A$304,0)),"Code inconnu"))</f>
        <v/>
      </c>
      <c r="F1826" s="9">
        <f>IF(D1826="","",IFERROR(INDEX('Équipements'!$D$5:$D$304,MATCH(D1826,'Équipements'!$A$5:$A$304,0)),""))</f>
        <v/>
      </c>
      <c r="G1826" s="9">
        <f>IF(D1826="","",IFERROR(INDEX('Équipements'!$K$5:$K$304,MATCH(D1826,'Équipements'!$A$5:$A$304,0)),""))</f>
        <v/>
      </c>
      <c r="H1826" s="7" t="n"/>
      <c r="I1826" s="7" t="n"/>
      <c r="J1826" s="7" t="n"/>
      <c r="K1826" s="7" t="n"/>
      <c r="L1826" s="7" t="n"/>
      <c r="M1826" s="7" t="n"/>
      <c r="N1826" s="7" t="n"/>
      <c r="O1826" s="7" t="n"/>
      <c r="P1826" s="65" t="n"/>
      <c r="Q1826" s="75" t="n"/>
      <c r="R1826" s="75" t="n"/>
      <c r="S1826" s="76" t="n"/>
      <c r="T1826" s="76" t="n"/>
      <c r="U1826" s="70">
        <f>IF($A1826="","",IFERROR(INDEX('Techniciens'!$F$5:$F$44,MATCH(O1826,'Techniciens'!$B$5:$B$44,0)),'Paramètres'!$AA$10))</f>
        <v/>
      </c>
      <c r="V1826" s="70">
        <f>IF($A1826="","",IF(OR(AC1826="Demandé",AC1826="Planifié",AC1826="Annulé"),0,N(T1826)*N(U1826)))</f>
        <v/>
      </c>
      <c r="W1826" s="70">
        <f>IF($A1826="","",SUMIFS('Mouvements stock'!$H$5:$H$3004,'Mouvements stock'!$I$5:$I$3004,$A1826,'Mouvements stock'!$C$5:$C$3004,"Sortie")-SUMIFS('Mouvements stock'!$H$5:$H$3004,'Mouvements stock'!$I$5:$I$3004,$A1826,'Mouvements stock'!$C$5:$C$3004,"Retour"))</f>
        <v/>
      </c>
      <c r="X1826" s="66" t="n"/>
      <c r="Y1826" s="66" t="n"/>
      <c r="Z1826" s="7" t="n"/>
      <c r="AA1826" s="70">
        <f>IF($A1826="","",N(V1826)+N(W1826)+N(X1826)+N(Y1826))</f>
        <v/>
      </c>
      <c r="AB1826" s="70">
        <f>IF($A1826="","",N(S1826)*'Paramètres'!$AA$9*IFERROR(INDEX('Paramètres'!$O$5:$O$7,MATCH(G1826,'Paramètres'!$N$5:$N$7,0)),0))</f>
        <v/>
      </c>
      <c r="AC1826" s="7" t="n"/>
      <c r="AD1826" s="69">
        <f>IF(OR($A1826="",Q1826=""),"",(Q1826-B1826)*24)</f>
        <v/>
      </c>
      <c r="AE1826" s="69">
        <f>IF(OR(Q1826="",R1826=""),"",(R1826-Q1826)*24)</f>
        <v/>
      </c>
      <c r="AF1826" s="77">
        <f>IF(OR($A1826="",B1826=""),"",YEAR(B1826))</f>
        <v/>
      </c>
      <c r="AG1826" s="77">
        <f>IF(OR($A1826="",B1826=""),"",MONTH(B1826))</f>
        <v/>
      </c>
    </row>
    <row r="1827">
      <c r="A1827" s="7" t="n"/>
      <c r="B1827" s="75" t="n"/>
      <c r="C1827" s="7" t="n"/>
      <c r="D1827" s="7" t="n"/>
      <c r="E1827" s="9">
        <f>IF(D1827="","",IFERROR(INDEX('Équipements'!$B$5:$B$304,MATCH(D1827,'Équipements'!$A$5:$A$304,0)),"Code inconnu"))</f>
        <v/>
      </c>
      <c r="F1827" s="9">
        <f>IF(D1827="","",IFERROR(INDEX('Équipements'!$D$5:$D$304,MATCH(D1827,'Équipements'!$A$5:$A$304,0)),""))</f>
        <v/>
      </c>
      <c r="G1827" s="9">
        <f>IF(D1827="","",IFERROR(INDEX('Équipements'!$K$5:$K$304,MATCH(D1827,'Équipements'!$A$5:$A$304,0)),""))</f>
        <v/>
      </c>
      <c r="H1827" s="7" t="n"/>
      <c r="I1827" s="7" t="n"/>
      <c r="J1827" s="7" t="n"/>
      <c r="K1827" s="7" t="n"/>
      <c r="L1827" s="7" t="n"/>
      <c r="M1827" s="7" t="n"/>
      <c r="N1827" s="7" t="n"/>
      <c r="O1827" s="7" t="n"/>
      <c r="P1827" s="65" t="n"/>
      <c r="Q1827" s="75" t="n"/>
      <c r="R1827" s="75" t="n"/>
      <c r="S1827" s="76" t="n"/>
      <c r="T1827" s="76" t="n"/>
      <c r="U1827" s="70">
        <f>IF($A1827="","",IFERROR(INDEX('Techniciens'!$F$5:$F$44,MATCH(O1827,'Techniciens'!$B$5:$B$44,0)),'Paramètres'!$AA$10))</f>
        <v/>
      </c>
      <c r="V1827" s="70">
        <f>IF($A1827="","",IF(OR(AC1827="Demandé",AC1827="Planifié",AC1827="Annulé"),0,N(T1827)*N(U1827)))</f>
        <v/>
      </c>
      <c r="W1827" s="70">
        <f>IF($A1827="","",SUMIFS('Mouvements stock'!$H$5:$H$3004,'Mouvements stock'!$I$5:$I$3004,$A1827,'Mouvements stock'!$C$5:$C$3004,"Sortie")-SUMIFS('Mouvements stock'!$H$5:$H$3004,'Mouvements stock'!$I$5:$I$3004,$A1827,'Mouvements stock'!$C$5:$C$3004,"Retour"))</f>
        <v/>
      </c>
      <c r="X1827" s="66" t="n"/>
      <c r="Y1827" s="66" t="n"/>
      <c r="Z1827" s="7" t="n"/>
      <c r="AA1827" s="70">
        <f>IF($A1827="","",N(V1827)+N(W1827)+N(X1827)+N(Y1827))</f>
        <v/>
      </c>
      <c r="AB1827" s="70">
        <f>IF($A1827="","",N(S1827)*'Paramètres'!$AA$9*IFERROR(INDEX('Paramètres'!$O$5:$O$7,MATCH(G1827,'Paramètres'!$N$5:$N$7,0)),0))</f>
        <v/>
      </c>
      <c r="AC1827" s="7" t="n"/>
      <c r="AD1827" s="69">
        <f>IF(OR($A1827="",Q1827=""),"",(Q1827-B1827)*24)</f>
        <v/>
      </c>
      <c r="AE1827" s="69">
        <f>IF(OR(Q1827="",R1827=""),"",(R1827-Q1827)*24)</f>
        <v/>
      </c>
      <c r="AF1827" s="77">
        <f>IF(OR($A1827="",B1827=""),"",YEAR(B1827))</f>
        <v/>
      </c>
      <c r="AG1827" s="77">
        <f>IF(OR($A1827="",B1827=""),"",MONTH(B1827))</f>
        <v/>
      </c>
    </row>
    <row r="1828">
      <c r="A1828" s="7" t="n"/>
      <c r="B1828" s="75" t="n"/>
      <c r="C1828" s="7" t="n"/>
      <c r="D1828" s="7" t="n"/>
      <c r="E1828" s="9">
        <f>IF(D1828="","",IFERROR(INDEX('Équipements'!$B$5:$B$304,MATCH(D1828,'Équipements'!$A$5:$A$304,0)),"Code inconnu"))</f>
        <v/>
      </c>
      <c r="F1828" s="9">
        <f>IF(D1828="","",IFERROR(INDEX('Équipements'!$D$5:$D$304,MATCH(D1828,'Équipements'!$A$5:$A$304,0)),""))</f>
        <v/>
      </c>
      <c r="G1828" s="9">
        <f>IF(D1828="","",IFERROR(INDEX('Équipements'!$K$5:$K$304,MATCH(D1828,'Équipements'!$A$5:$A$304,0)),""))</f>
        <v/>
      </c>
      <c r="H1828" s="7" t="n"/>
      <c r="I1828" s="7" t="n"/>
      <c r="J1828" s="7" t="n"/>
      <c r="K1828" s="7" t="n"/>
      <c r="L1828" s="7" t="n"/>
      <c r="M1828" s="7" t="n"/>
      <c r="N1828" s="7" t="n"/>
      <c r="O1828" s="7" t="n"/>
      <c r="P1828" s="65" t="n"/>
      <c r="Q1828" s="75" t="n"/>
      <c r="R1828" s="75" t="n"/>
      <c r="S1828" s="76" t="n"/>
      <c r="T1828" s="76" t="n"/>
      <c r="U1828" s="70">
        <f>IF($A1828="","",IFERROR(INDEX('Techniciens'!$F$5:$F$44,MATCH(O1828,'Techniciens'!$B$5:$B$44,0)),'Paramètres'!$AA$10))</f>
        <v/>
      </c>
      <c r="V1828" s="70">
        <f>IF($A1828="","",IF(OR(AC1828="Demandé",AC1828="Planifié",AC1828="Annulé"),0,N(T1828)*N(U1828)))</f>
        <v/>
      </c>
      <c r="W1828" s="70">
        <f>IF($A1828="","",SUMIFS('Mouvements stock'!$H$5:$H$3004,'Mouvements stock'!$I$5:$I$3004,$A1828,'Mouvements stock'!$C$5:$C$3004,"Sortie")-SUMIFS('Mouvements stock'!$H$5:$H$3004,'Mouvements stock'!$I$5:$I$3004,$A1828,'Mouvements stock'!$C$5:$C$3004,"Retour"))</f>
        <v/>
      </c>
      <c r="X1828" s="66" t="n"/>
      <c r="Y1828" s="66" t="n"/>
      <c r="Z1828" s="7" t="n"/>
      <c r="AA1828" s="70">
        <f>IF($A1828="","",N(V1828)+N(W1828)+N(X1828)+N(Y1828))</f>
        <v/>
      </c>
      <c r="AB1828" s="70">
        <f>IF($A1828="","",N(S1828)*'Paramètres'!$AA$9*IFERROR(INDEX('Paramètres'!$O$5:$O$7,MATCH(G1828,'Paramètres'!$N$5:$N$7,0)),0))</f>
        <v/>
      </c>
      <c r="AC1828" s="7" t="n"/>
      <c r="AD1828" s="69">
        <f>IF(OR($A1828="",Q1828=""),"",(Q1828-B1828)*24)</f>
        <v/>
      </c>
      <c r="AE1828" s="69">
        <f>IF(OR(Q1828="",R1828=""),"",(R1828-Q1828)*24)</f>
        <v/>
      </c>
      <c r="AF1828" s="77">
        <f>IF(OR($A1828="",B1828=""),"",YEAR(B1828))</f>
        <v/>
      </c>
      <c r="AG1828" s="77">
        <f>IF(OR($A1828="",B1828=""),"",MONTH(B1828))</f>
        <v/>
      </c>
    </row>
    <row r="1829">
      <c r="A1829" s="7" t="n"/>
      <c r="B1829" s="75" t="n"/>
      <c r="C1829" s="7" t="n"/>
      <c r="D1829" s="7" t="n"/>
      <c r="E1829" s="9">
        <f>IF(D1829="","",IFERROR(INDEX('Équipements'!$B$5:$B$304,MATCH(D1829,'Équipements'!$A$5:$A$304,0)),"Code inconnu"))</f>
        <v/>
      </c>
      <c r="F1829" s="9">
        <f>IF(D1829="","",IFERROR(INDEX('Équipements'!$D$5:$D$304,MATCH(D1829,'Équipements'!$A$5:$A$304,0)),""))</f>
        <v/>
      </c>
      <c r="G1829" s="9">
        <f>IF(D1829="","",IFERROR(INDEX('Équipements'!$K$5:$K$304,MATCH(D1829,'Équipements'!$A$5:$A$304,0)),""))</f>
        <v/>
      </c>
      <c r="H1829" s="7" t="n"/>
      <c r="I1829" s="7" t="n"/>
      <c r="J1829" s="7" t="n"/>
      <c r="K1829" s="7" t="n"/>
      <c r="L1829" s="7" t="n"/>
      <c r="M1829" s="7" t="n"/>
      <c r="N1829" s="7" t="n"/>
      <c r="O1829" s="7" t="n"/>
      <c r="P1829" s="65" t="n"/>
      <c r="Q1829" s="75" t="n"/>
      <c r="R1829" s="75" t="n"/>
      <c r="S1829" s="76" t="n"/>
      <c r="T1829" s="76" t="n"/>
      <c r="U1829" s="70">
        <f>IF($A1829="","",IFERROR(INDEX('Techniciens'!$F$5:$F$44,MATCH(O1829,'Techniciens'!$B$5:$B$44,0)),'Paramètres'!$AA$10))</f>
        <v/>
      </c>
      <c r="V1829" s="70">
        <f>IF($A1829="","",IF(OR(AC1829="Demandé",AC1829="Planifié",AC1829="Annulé"),0,N(T1829)*N(U1829)))</f>
        <v/>
      </c>
      <c r="W1829" s="70">
        <f>IF($A1829="","",SUMIFS('Mouvements stock'!$H$5:$H$3004,'Mouvements stock'!$I$5:$I$3004,$A1829,'Mouvements stock'!$C$5:$C$3004,"Sortie")-SUMIFS('Mouvements stock'!$H$5:$H$3004,'Mouvements stock'!$I$5:$I$3004,$A1829,'Mouvements stock'!$C$5:$C$3004,"Retour"))</f>
        <v/>
      </c>
      <c r="X1829" s="66" t="n"/>
      <c r="Y1829" s="66" t="n"/>
      <c r="Z1829" s="7" t="n"/>
      <c r="AA1829" s="70">
        <f>IF($A1829="","",N(V1829)+N(W1829)+N(X1829)+N(Y1829))</f>
        <v/>
      </c>
      <c r="AB1829" s="70">
        <f>IF($A1829="","",N(S1829)*'Paramètres'!$AA$9*IFERROR(INDEX('Paramètres'!$O$5:$O$7,MATCH(G1829,'Paramètres'!$N$5:$N$7,0)),0))</f>
        <v/>
      </c>
      <c r="AC1829" s="7" t="n"/>
      <c r="AD1829" s="69">
        <f>IF(OR($A1829="",Q1829=""),"",(Q1829-B1829)*24)</f>
        <v/>
      </c>
      <c r="AE1829" s="69">
        <f>IF(OR(Q1829="",R1829=""),"",(R1829-Q1829)*24)</f>
        <v/>
      </c>
      <c r="AF1829" s="77">
        <f>IF(OR($A1829="",B1829=""),"",YEAR(B1829))</f>
        <v/>
      </c>
      <c r="AG1829" s="77">
        <f>IF(OR($A1829="",B1829=""),"",MONTH(B1829))</f>
        <v/>
      </c>
    </row>
    <row r="1830">
      <c r="A1830" s="7" t="n"/>
      <c r="B1830" s="75" t="n"/>
      <c r="C1830" s="7" t="n"/>
      <c r="D1830" s="7" t="n"/>
      <c r="E1830" s="9">
        <f>IF(D1830="","",IFERROR(INDEX('Équipements'!$B$5:$B$304,MATCH(D1830,'Équipements'!$A$5:$A$304,0)),"Code inconnu"))</f>
        <v/>
      </c>
      <c r="F1830" s="9">
        <f>IF(D1830="","",IFERROR(INDEX('Équipements'!$D$5:$D$304,MATCH(D1830,'Équipements'!$A$5:$A$304,0)),""))</f>
        <v/>
      </c>
      <c r="G1830" s="9">
        <f>IF(D1830="","",IFERROR(INDEX('Équipements'!$K$5:$K$304,MATCH(D1830,'Équipements'!$A$5:$A$304,0)),""))</f>
        <v/>
      </c>
      <c r="H1830" s="7" t="n"/>
      <c r="I1830" s="7" t="n"/>
      <c r="J1830" s="7" t="n"/>
      <c r="K1830" s="7" t="n"/>
      <c r="L1830" s="7" t="n"/>
      <c r="M1830" s="7" t="n"/>
      <c r="N1830" s="7" t="n"/>
      <c r="O1830" s="7" t="n"/>
      <c r="P1830" s="65" t="n"/>
      <c r="Q1830" s="75" t="n"/>
      <c r="R1830" s="75" t="n"/>
      <c r="S1830" s="76" t="n"/>
      <c r="T1830" s="76" t="n"/>
      <c r="U1830" s="70">
        <f>IF($A1830="","",IFERROR(INDEX('Techniciens'!$F$5:$F$44,MATCH(O1830,'Techniciens'!$B$5:$B$44,0)),'Paramètres'!$AA$10))</f>
        <v/>
      </c>
      <c r="V1830" s="70">
        <f>IF($A1830="","",IF(OR(AC1830="Demandé",AC1830="Planifié",AC1830="Annulé"),0,N(T1830)*N(U1830)))</f>
        <v/>
      </c>
      <c r="W1830" s="70">
        <f>IF($A1830="","",SUMIFS('Mouvements stock'!$H$5:$H$3004,'Mouvements stock'!$I$5:$I$3004,$A1830,'Mouvements stock'!$C$5:$C$3004,"Sortie")-SUMIFS('Mouvements stock'!$H$5:$H$3004,'Mouvements stock'!$I$5:$I$3004,$A1830,'Mouvements stock'!$C$5:$C$3004,"Retour"))</f>
        <v/>
      </c>
      <c r="X1830" s="66" t="n"/>
      <c r="Y1830" s="66" t="n"/>
      <c r="Z1830" s="7" t="n"/>
      <c r="AA1830" s="70">
        <f>IF($A1830="","",N(V1830)+N(W1830)+N(X1830)+N(Y1830))</f>
        <v/>
      </c>
      <c r="AB1830" s="70">
        <f>IF($A1830="","",N(S1830)*'Paramètres'!$AA$9*IFERROR(INDEX('Paramètres'!$O$5:$O$7,MATCH(G1830,'Paramètres'!$N$5:$N$7,0)),0))</f>
        <v/>
      </c>
      <c r="AC1830" s="7" t="n"/>
      <c r="AD1830" s="69">
        <f>IF(OR($A1830="",Q1830=""),"",(Q1830-B1830)*24)</f>
        <v/>
      </c>
      <c r="AE1830" s="69">
        <f>IF(OR(Q1830="",R1830=""),"",(R1830-Q1830)*24)</f>
        <v/>
      </c>
      <c r="AF1830" s="77">
        <f>IF(OR($A1830="",B1830=""),"",YEAR(B1830))</f>
        <v/>
      </c>
      <c r="AG1830" s="77">
        <f>IF(OR($A1830="",B1830=""),"",MONTH(B1830))</f>
        <v/>
      </c>
    </row>
    <row r="1831">
      <c r="A1831" s="7" t="n"/>
      <c r="B1831" s="75" t="n"/>
      <c r="C1831" s="7" t="n"/>
      <c r="D1831" s="7" t="n"/>
      <c r="E1831" s="9">
        <f>IF(D1831="","",IFERROR(INDEX('Équipements'!$B$5:$B$304,MATCH(D1831,'Équipements'!$A$5:$A$304,0)),"Code inconnu"))</f>
        <v/>
      </c>
      <c r="F1831" s="9">
        <f>IF(D1831="","",IFERROR(INDEX('Équipements'!$D$5:$D$304,MATCH(D1831,'Équipements'!$A$5:$A$304,0)),""))</f>
        <v/>
      </c>
      <c r="G1831" s="9">
        <f>IF(D1831="","",IFERROR(INDEX('Équipements'!$K$5:$K$304,MATCH(D1831,'Équipements'!$A$5:$A$304,0)),""))</f>
        <v/>
      </c>
      <c r="H1831" s="7" t="n"/>
      <c r="I1831" s="7" t="n"/>
      <c r="J1831" s="7" t="n"/>
      <c r="K1831" s="7" t="n"/>
      <c r="L1831" s="7" t="n"/>
      <c r="M1831" s="7" t="n"/>
      <c r="N1831" s="7" t="n"/>
      <c r="O1831" s="7" t="n"/>
      <c r="P1831" s="65" t="n"/>
      <c r="Q1831" s="75" t="n"/>
      <c r="R1831" s="75" t="n"/>
      <c r="S1831" s="76" t="n"/>
      <c r="T1831" s="76" t="n"/>
      <c r="U1831" s="70">
        <f>IF($A1831="","",IFERROR(INDEX('Techniciens'!$F$5:$F$44,MATCH(O1831,'Techniciens'!$B$5:$B$44,0)),'Paramètres'!$AA$10))</f>
        <v/>
      </c>
      <c r="V1831" s="70">
        <f>IF($A1831="","",IF(OR(AC1831="Demandé",AC1831="Planifié",AC1831="Annulé"),0,N(T1831)*N(U1831)))</f>
        <v/>
      </c>
      <c r="W1831" s="70">
        <f>IF($A1831="","",SUMIFS('Mouvements stock'!$H$5:$H$3004,'Mouvements stock'!$I$5:$I$3004,$A1831,'Mouvements stock'!$C$5:$C$3004,"Sortie")-SUMIFS('Mouvements stock'!$H$5:$H$3004,'Mouvements stock'!$I$5:$I$3004,$A1831,'Mouvements stock'!$C$5:$C$3004,"Retour"))</f>
        <v/>
      </c>
      <c r="X1831" s="66" t="n"/>
      <c r="Y1831" s="66" t="n"/>
      <c r="Z1831" s="7" t="n"/>
      <c r="AA1831" s="70">
        <f>IF($A1831="","",N(V1831)+N(W1831)+N(X1831)+N(Y1831))</f>
        <v/>
      </c>
      <c r="AB1831" s="70">
        <f>IF($A1831="","",N(S1831)*'Paramètres'!$AA$9*IFERROR(INDEX('Paramètres'!$O$5:$O$7,MATCH(G1831,'Paramètres'!$N$5:$N$7,0)),0))</f>
        <v/>
      </c>
      <c r="AC1831" s="7" t="n"/>
      <c r="AD1831" s="69">
        <f>IF(OR($A1831="",Q1831=""),"",(Q1831-B1831)*24)</f>
        <v/>
      </c>
      <c r="AE1831" s="69">
        <f>IF(OR(Q1831="",R1831=""),"",(R1831-Q1831)*24)</f>
        <v/>
      </c>
      <c r="AF1831" s="77">
        <f>IF(OR($A1831="",B1831=""),"",YEAR(B1831))</f>
        <v/>
      </c>
      <c r="AG1831" s="77">
        <f>IF(OR($A1831="",B1831=""),"",MONTH(B1831))</f>
        <v/>
      </c>
    </row>
    <row r="1832">
      <c r="A1832" s="7" t="n"/>
      <c r="B1832" s="75" t="n"/>
      <c r="C1832" s="7" t="n"/>
      <c r="D1832" s="7" t="n"/>
      <c r="E1832" s="9">
        <f>IF(D1832="","",IFERROR(INDEX('Équipements'!$B$5:$B$304,MATCH(D1832,'Équipements'!$A$5:$A$304,0)),"Code inconnu"))</f>
        <v/>
      </c>
      <c r="F1832" s="9">
        <f>IF(D1832="","",IFERROR(INDEX('Équipements'!$D$5:$D$304,MATCH(D1832,'Équipements'!$A$5:$A$304,0)),""))</f>
        <v/>
      </c>
      <c r="G1832" s="9">
        <f>IF(D1832="","",IFERROR(INDEX('Équipements'!$K$5:$K$304,MATCH(D1832,'Équipements'!$A$5:$A$304,0)),""))</f>
        <v/>
      </c>
      <c r="H1832" s="7" t="n"/>
      <c r="I1832" s="7" t="n"/>
      <c r="J1832" s="7" t="n"/>
      <c r="K1832" s="7" t="n"/>
      <c r="L1832" s="7" t="n"/>
      <c r="M1832" s="7" t="n"/>
      <c r="N1832" s="7" t="n"/>
      <c r="O1832" s="7" t="n"/>
      <c r="P1832" s="65" t="n"/>
      <c r="Q1832" s="75" t="n"/>
      <c r="R1832" s="75" t="n"/>
      <c r="S1832" s="76" t="n"/>
      <c r="T1832" s="76" t="n"/>
      <c r="U1832" s="70">
        <f>IF($A1832="","",IFERROR(INDEX('Techniciens'!$F$5:$F$44,MATCH(O1832,'Techniciens'!$B$5:$B$44,0)),'Paramètres'!$AA$10))</f>
        <v/>
      </c>
      <c r="V1832" s="70">
        <f>IF($A1832="","",IF(OR(AC1832="Demandé",AC1832="Planifié",AC1832="Annulé"),0,N(T1832)*N(U1832)))</f>
        <v/>
      </c>
      <c r="W1832" s="70">
        <f>IF($A1832="","",SUMIFS('Mouvements stock'!$H$5:$H$3004,'Mouvements stock'!$I$5:$I$3004,$A1832,'Mouvements stock'!$C$5:$C$3004,"Sortie")-SUMIFS('Mouvements stock'!$H$5:$H$3004,'Mouvements stock'!$I$5:$I$3004,$A1832,'Mouvements stock'!$C$5:$C$3004,"Retour"))</f>
        <v/>
      </c>
      <c r="X1832" s="66" t="n"/>
      <c r="Y1832" s="66" t="n"/>
      <c r="Z1832" s="7" t="n"/>
      <c r="AA1832" s="70">
        <f>IF($A1832="","",N(V1832)+N(W1832)+N(X1832)+N(Y1832))</f>
        <v/>
      </c>
      <c r="AB1832" s="70">
        <f>IF($A1832="","",N(S1832)*'Paramètres'!$AA$9*IFERROR(INDEX('Paramètres'!$O$5:$O$7,MATCH(G1832,'Paramètres'!$N$5:$N$7,0)),0))</f>
        <v/>
      </c>
      <c r="AC1832" s="7" t="n"/>
      <c r="AD1832" s="69">
        <f>IF(OR($A1832="",Q1832=""),"",(Q1832-B1832)*24)</f>
        <v/>
      </c>
      <c r="AE1832" s="69">
        <f>IF(OR(Q1832="",R1832=""),"",(R1832-Q1832)*24)</f>
        <v/>
      </c>
      <c r="AF1832" s="77">
        <f>IF(OR($A1832="",B1832=""),"",YEAR(B1832))</f>
        <v/>
      </c>
      <c r="AG1832" s="77">
        <f>IF(OR($A1832="",B1832=""),"",MONTH(B1832))</f>
        <v/>
      </c>
    </row>
    <row r="1833">
      <c r="A1833" s="7" t="n"/>
      <c r="B1833" s="75" t="n"/>
      <c r="C1833" s="7" t="n"/>
      <c r="D1833" s="7" t="n"/>
      <c r="E1833" s="9">
        <f>IF(D1833="","",IFERROR(INDEX('Équipements'!$B$5:$B$304,MATCH(D1833,'Équipements'!$A$5:$A$304,0)),"Code inconnu"))</f>
        <v/>
      </c>
      <c r="F1833" s="9">
        <f>IF(D1833="","",IFERROR(INDEX('Équipements'!$D$5:$D$304,MATCH(D1833,'Équipements'!$A$5:$A$304,0)),""))</f>
        <v/>
      </c>
      <c r="G1833" s="9">
        <f>IF(D1833="","",IFERROR(INDEX('Équipements'!$K$5:$K$304,MATCH(D1833,'Équipements'!$A$5:$A$304,0)),""))</f>
        <v/>
      </c>
      <c r="H1833" s="7" t="n"/>
      <c r="I1833" s="7" t="n"/>
      <c r="J1833" s="7" t="n"/>
      <c r="K1833" s="7" t="n"/>
      <c r="L1833" s="7" t="n"/>
      <c r="M1833" s="7" t="n"/>
      <c r="N1833" s="7" t="n"/>
      <c r="O1833" s="7" t="n"/>
      <c r="P1833" s="65" t="n"/>
      <c r="Q1833" s="75" t="n"/>
      <c r="R1833" s="75" t="n"/>
      <c r="S1833" s="76" t="n"/>
      <c r="T1833" s="76" t="n"/>
      <c r="U1833" s="70">
        <f>IF($A1833="","",IFERROR(INDEX('Techniciens'!$F$5:$F$44,MATCH(O1833,'Techniciens'!$B$5:$B$44,0)),'Paramètres'!$AA$10))</f>
        <v/>
      </c>
      <c r="V1833" s="70">
        <f>IF($A1833="","",IF(OR(AC1833="Demandé",AC1833="Planifié",AC1833="Annulé"),0,N(T1833)*N(U1833)))</f>
        <v/>
      </c>
      <c r="W1833" s="70">
        <f>IF($A1833="","",SUMIFS('Mouvements stock'!$H$5:$H$3004,'Mouvements stock'!$I$5:$I$3004,$A1833,'Mouvements stock'!$C$5:$C$3004,"Sortie")-SUMIFS('Mouvements stock'!$H$5:$H$3004,'Mouvements stock'!$I$5:$I$3004,$A1833,'Mouvements stock'!$C$5:$C$3004,"Retour"))</f>
        <v/>
      </c>
      <c r="X1833" s="66" t="n"/>
      <c r="Y1833" s="66" t="n"/>
      <c r="Z1833" s="7" t="n"/>
      <c r="AA1833" s="70">
        <f>IF($A1833="","",N(V1833)+N(W1833)+N(X1833)+N(Y1833))</f>
        <v/>
      </c>
      <c r="AB1833" s="70">
        <f>IF($A1833="","",N(S1833)*'Paramètres'!$AA$9*IFERROR(INDEX('Paramètres'!$O$5:$O$7,MATCH(G1833,'Paramètres'!$N$5:$N$7,0)),0))</f>
        <v/>
      </c>
      <c r="AC1833" s="7" t="n"/>
      <c r="AD1833" s="69">
        <f>IF(OR($A1833="",Q1833=""),"",(Q1833-B1833)*24)</f>
        <v/>
      </c>
      <c r="AE1833" s="69">
        <f>IF(OR(Q1833="",R1833=""),"",(R1833-Q1833)*24)</f>
        <v/>
      </c>
      <c r="AF1833" s="77">
        <f>IF(OR($A1833="",B1833=""),"",YEAR(B1833))</f>
        <v/>
      </c>
      <c r="AG1833" s="77">
        <f>IF(OR($A1833="",B1833=""),"",MONTH(B1833))</f>
        <v/>
      </c>
    </row>
    <row r="1834">
      <c r="A1834" s="7" t="n"/>
      <c r="B1834" s="75" t="n"/>
      <c r="C1834" s="7" t="n"/>
      <c r="D1834" s="7" t="n"/>
      <c r="E1834" s="9">
        <f>IF(D1834="","",IFERROR(INDEX('Équipements'!$B$5:$B$304,MATCH(D1834,'Équipements'!$A$5:$A$304,0)),"Code inconnu"))</f>
        <v/>
      </c>
      <c r="F1834" s="9">
        <f>IF(D1834="","",IFERROR(INDEX('Équipements'!$D$5:$D$304,MATCH(D1834,'Équipements'!$A$5:$A$304,0)),""))</f>
        <v/>
      </c>
      <c r="G1834" s="9">
        <f>IF(D1834="","",IFERROR(INDEX('Équipements'!$K$5:$K$304,MATCH(D1834,'Équipements'!$A$5:$A$304,0)),""))</f>
        <v/>
      </c>
      <c r="H1834" s="7" t="n"/>
      <c r="I1834" s="7" t="n"/>
      <c r="J1834" s="7" t="n"/>
      <c r="K1834" s="7" t="n"/>
      <c r="L1834" s="7" t="n"/>
      <c r="M1834" s="7" t="n"/>
      <c r="N1834" s="7" t="n"/>
      <c r="O1834" s="7" t="n"/>
      <c r="P1834" s="65" t="n"/>
      <c r="Q1834" s="75" t="n"/>
      <c r="R1834" s="75" t="n"/>
      <c r="S1834" s="76" t="n"/>
      <c r="T1834" s="76" t="n"/>
      <c r="U1834" s="70">
        <f>IF($A1834="","",IFERROR(INDEX('Techniciens'!$F$5:$F$44,MATCH(O1834,'Techniciens'!$B$5:$B$44,0)),'Paramètres'!$AA$10))</f>
        <v/>
      </c>
      <c r="V1834" s="70">
        <f>IF($A1834="","",IF(OR(AC1834="Demandé",AC1834="Planifié",AC1834="Annulé"),0,N(T1834)*N(U1834)))</f>
        <v/>
      </c>
      <c r="W1834" s="70">
        <f>IF($A1834="","",SUMIFS('Mouvements stock'!$H$5:$H$3004,'Mouvements stock'!$I$5:$I$3004,$A1834,'Mouvements stock'!$C$5:$C$3004,"Sortie")-SUMIFS('Mouvements stock'!$H$5:$H$3004,'Mouvements stock'!$I$5:$I$3004,$A1834,'Mouvements stock'!$C$5:$C$3004,"Retour"))</f>
        <v/>
      </c>
      <c r="X1834" s="66" t="n"/>
      <c r="Y1834" s="66" t="n"/>
      <c r="Z1834" s="7" t="n"/>
      <c r="AA1834" s="70">
        <f>IF($A1834="","",N(V1834)+N(W1834)+N(X1834)+N(Y1834))</f>
        <v/>
      </c>
      <c r="AB1834" s="70">
        <f>IF($A1834="","",N(S1834)*'Paramètres'!$AA$9*IFERROR(INDEX('Paramètres'!$O$5:$O$7,MATCH(G1834,'Paramètres'!$N$5:$N$7,0)),0))</f>
        <v/>
      </c>
      <c r="AC1834" s="7" t="n"/>
      <c r="AD1834" s="69">
        <f>IF(OR($A1834="",Q1834=""),"",(Q1834-B1834)*24)</f>
        <v/>
      </c>
      <c r="AE1834" s="69">
        <f>IF(OR(Q1834="",R1834=""),"",(R1834-Q1834)*24)</f>
        <v/>
      </c>
      <c r="AF1834" s="77">
        <f>IF(OR($A1834="",B1834=""),"",YEAR(B1834))</f>
        <v/>
      </c>
      <c r="AG1834" s="77">
        <f>IF(OR($A1834="",B1834=""),"",MONTH(B1834))</f>
        <v/>
      </c>
    </row>
    <row r="1835">
      <c r="A1835" s="7" t="n"/>
      <c r="B1835" s="75" t="n"/>
      <c r="C1835" s="7" t="n"/>
      <c r="D1835" s="7" t="n"/>
      <c r="E1835" s="9">
        <f>IF(D1835="","",IFERROR(INDEX('Équipements'!$B$5:$B$304,MATCH(D1835,'Équipements'!$A$5:$A$304,0)),"Code inconnu"))</f>
        <v/>
      </c>
      <c r="F1835" s="9">
        <f>IF(D1835="","",IFERROR(INDEX('Équipements'!$D$5:$D$304,MATCH(D1835,'Équipements'!$A$5:$A$304,0)),""))</f>
        <v/>
      </c>
      <c r="G1835" s="9">
        <f>IF(D1835="","",IFERROR(INDEX('Équipements'!$K$5:$K$304,MATCH(D1835,'Équipements'!$A$5:$A$304,0)),""))</f>
        <v/>
      </c>
      <c r="H1835" s="7" t="n"/>
      <c r="I1835" s="7" t="n"/>
      <c r="J1835" s="7" t="n"/>
      <c r="K1835" s="7" t="n"/>
      <c r="L1835" s="7" t="n"/>
      <c r="M1835" s="7" t="n"/>
      <c r="N1835" s="7" t="n"/>
      <c r="O1835" s="7" t="n"/>
      <c r="P1835" s="65" t="n"/>
      <c r="Q1835" s="75" t="n"/>
      <c r="R1835" s="75" t="n"/>
      <c r="S1835" s="76" t="n"/>
      <c r="T1835" s="76" t="n"/>
      <c r="U1835" s="70">
        <f>IF($A1835="","",IFERROR(INDEX('Techniciens'!$F$5:$F$44,MATCH(O1835,'Techniciens'!$B$5:$B$44,0)),'Paramètres'!$AA$10))</f>
        <v/>
      </c>
      <c r="V1835" s="70">
        <f>IF($A1835="","",IF(OR(AC1835="Demandé",AC1835="Planifié",AC1835="Annulé"),0,N(T1835)*N(U1835)))</f>
        <v/>
      </c>
      <c r="W1835" s="70">
        <f>IF($A1835="","",SUMIFS('Mouvements stock'!$H$5:$H$3004,'Mouvements stock'!$I$5:$I$3004,$A1835,'Mouvements stock'!$C$5:$C$3004,"Sortie")-SUMIFS('Mouvements stock'!$H$5:$H$3004,'Mouvements stock'!$I$5:$I$3004,$A1835,'Mouvements stock'!$C$5:$C$3004,"Retour"))</f>
        <v/>
      </c>
      <c r="X1835" s="66" t="n"/>
      <c r="Y1835" s="66" t="n"/>
      <c r="Z1835" s="7" t="n"/>
      <c r="AA1835" s="70">
        <f>IF($A1835="","",N(V1835)+N(W1835)+N(X1835)+N(Y1835))</f>
        <v/>
      </c>
      <c r="AB1835" s="70">
        <f>IF($A1835="","",N(S1835)*'Paramètres'!$AA$9*IFERROR(INDEX('Paramètres'!$O$5:$O$7,MATCH(G1835,'Paramètres'!$N$5:$N$7,0)),0))</f>
        <v/>
      </c>
      <c r="AC1835" s="7" t="n"/>
      <c r="AD1835" s="69">
        <f>IF(OR($A1835="",Q1835=""),"",(Q1835-B1835)*24)</f>
        <v/>
      </c>
      <c r="AE1835" s="69">
        <f>IF(OR(Q1835="",R1835=""),"",(R1835-Q1835)*24)</f>
        <v/>
      </c>
      <c r="AF1835" s="77">
        <f>IF(OR($A1835="",B1835=""),"",YEAR(B1835))</f>
        <v/>
      </c>
      <c r="AG1835" s="77">
        <f>IF(OR($A1835="",B1835=""),"",MONTH(B1835))</f>
        <v/>
      </c>
    </row>
    <row r="1836">
      <c r="A1836" s="7" t="n"/>
      <c r="B1836" s="75" t="n"/>
      <c r="C1836" s="7" t="n"/>
      <c r="D1836" s="7" t="n"/>
      <c r="E1836" s="9">
        <f>IF(D1836="","",IFERROR(INDEX('Équipements'!$B$5:$B$304,MATCH(D1836,'Équipements'!$A$5:$A$304,0)),"Code inconnu"))</f>
        <v/>
      </c>
      <c r="F1836" s="9">
        <f>IF(D1836="","",IFERROR(INDEX('Équipements'!$D$5:$D$304,MATCH(D1836,'Équipements'!$A$5:$A$304,0)),""))</f>
        <v/>
      </c>
      <c r="G1836" s="9">
        <f>IF(D1836="","",IFERROR(INDEX('Équipements'!$K$5:$K$304,MATCH(D1836,'Équipements'!$A$5:$A$304,0)),""))</f>
        <v/>
      </c>
      <c r="H1836" s="7" t="n"/>
      <c r="I1836" s="7" t="n"/>
      <c r="J1836" s="7" t="n"/>
      <c r="K1836" s="7" t="n"/>
      <c r="L1836" s="7" t="n"/>
      <c r="M1836" s="7" t="n"/>
      <c r="N1836" s="7" t="n"/>
      <c r="O1836" s="7" t="n"/>
      <c r="P1836" s="65" t="n"/>
      <c r="Q1836" s="75" t="n"/>
      <c r="R1836" s="75" t="n"/>
      <c r="S1836" s="76" t="n"/>
      <c r="T1836" s="76" t="n"/>
      <c r="U1836" s="70">
        <f>IF($A1836="","",IFERROR(INDEX('Techniciens'!$F$5:$F$44,MATCH(O1836,'Techniciens'!$B$5:$B$44,0)),'Paramètres'!$AA$10))</f>
        <v/>
      </c>
      <c r="V1836" s="70">
        <f>IF($A1836="","",IF(OR(AC1836="Demandé",AC1836="Planifié",AC1836="Annulé"),0,N(T1836)*N(U1836)))</f>
        <v/>
      </c>
      <c r="W1836" s="70">
        <f>IF($A1836="","",SUMIFS('Mouvements stock'!$H$5:$H$3004,'Mouvements stock'!$I$5:$I$3004,$A1836,'Mouvements stock'!$C$5:$C$3004,"Sortie")-SUMIFS('Mouvements stock'!$H$5:$H$3004,'Mouvements stock'!$I$5:$I$3004,$A1836,'Mouvements stock'!$C$5:$C$3004,"Retour"))</f>
        <v/>
      </c>
      <c r="X1836" s="66" t="n"/>
      <c r="Y1836" s="66" t="n"/>
      <c r="Z1836" s="7" t="n"/>
      <c r="AA1836" s="70">
        <f>IF($A1836="","",N(V1836)+N(W1836)+N(X1836)+N(Y1836))</f>
        <v/>
      </c>
      <c r="AB1836" s="70">
        <f>IF($A1836="","",N(S1836)*'Paramètres'!$AA$9*IFERROR(INDEX('Paramètres'!$O$5:$O$7,MATCH(G1836,'Paramètres'!$N$5:$N$7,0)),0))</f>
        <v/>
      </c>
      <c r="AC1836" s="7" t="n"/>
      <c r="AD1836" s="69">
        <f>IF(OR($A1836="",Q1836=""),"",(Q1836-B1836)*24)</f>
        <v/>
      </c>
      <c r="AE1836" s="69">
        <f>IF(OR(Q1836="",R1836=""),"",(R1836-Q1836)*24)</f>
        <v/>
      </c>
      <c r="AF1836" s="77">
        <f>IF(OR($A1836="",B1836=""),"",YEAR(B1836))</f>
        <v/>
      </c>
      <c r="AG1836" s="77">
        <f>IF(OR($A1836="",B1836=""),"",MONTH(B1836))</f>
        <v/>
      </c>
    </row>
    <row r="1837">
      <c r="A1837" s="7" t="n"/>
      <c r="B1837" s="75" t="n"/>
      <c r="C1837" s="7" t="n"/>
      <c r="D1837" s="7" t="n"/>
      <c r="E1837" s="9">
        <f>IF(D1837="","",IFERROR(INDEX('Équipements'!$B$5:$B$304,MATCH(D1837,'Équipements'!$A$5:$A$304,0)),"Code inconnu"))</f>
        <v/>
      </c>
      <c r="F1837" s="9">
        <f>IF(D1837="","",IFERROR(INDEX('Équipements'!$D$5:$D$304,MATCH(D1837,'Équipements'!$A$5:$A$304,0)),""))</f>
        <v/>
      </c>
      <c r="G1837" s="9">
        <f>IF(D1837="","",IFERROR(INDEX('Équipements'!$K$5:$K$304,MATCH(D1837,'Équipements'!$A$5:$A$304,0)),""))</f>
        <v/>
      </c>
      <c r="H1837" s="7" t="n"/>
      <c r="I1837" s="7" t="n"/>
      <c r="J1837" s="7" t="n"/>
      <c r="K1837" s="7" t="n"/>
      <c r="L1837" s="7" t="n"/>
      <c r="M1837" s="7" t="n"/>
      <c r="N1837" s="7" t="n"/>
      <c r="O1837" s="7" t="n"/>
      <c r="P1837" s="65" t="n"/>
      <c r="Q1837" s="75" t="n"/>
      <c r="R1837" s="75" t="n"/>
      <c r="S1837" s="76" t="n"/>
      <c r="T1837" s="76" t="n"/>
      <c r="U1837" s="70">
        <f>IF($A1837="","",IFERROR(INDEX('Techniciens'!$F$5:$F$44,MATCH(O1837,'Techniciens'!$B$5:$B$44,0)),'Paramètres'!$AA$10))</f>
        <v/>
      </c>
      <c r="V1837" s="70">
        <f>IF($A1837="","",IF(OR(AC1837="Demandé",AC1837="Planifié",AC1837="Annulé"),0,N(T1837)*N(U1837)))</f>
        <v/>
      </c>
      <c r="W1837" s="70">
        <f>IF($A1837="","",SUMIFS('Mouvements stock'!$H$5:$H$3004,'Mouvements stock'!$I$5:$I$3004,$A1837,'Mouvements stock'!$C$5:$C$3004,"Sortie")-SUMIFS('Mouvements stock'!$H$5:$H$3004,'Mouvements stock'!$I$5:$I$3004,$A1837,'Mouvements stock'!$C$5:$C$3004,"Retour"))</f>
        <v/>
      </c>
      <c r="X1837" s="66" t="n"/>
      <c r="Y1837" s="66" t="n"/>
      <c r="Z1837" s="7" t="n"/>
      <c r="AA1837" s="70">
        <f>IF($A1837="","",N(V1837)+N(W1837)+N(X1837)+N(Y1837))</f>
        <v/>
      </c>
      <c r="AB1837" s="70">
        <f>IF($A1837="","",N(S1837)*'Paramètres'!$AA$9*IFERROR(INDEX('Paramètres'!$O$5:$O$7,MATCH(G1837,'Paramètres'!$N$5:$N$7,0)),0))</f>
        <v/>
      </c>
      <c r="AC1837" s="7" t="n"/>
      <c r="AD1837" s="69">
        <f>IF(OR($A1837="",Q1837=""),"",(Q1837-B1837)*24)</f>
        <v/>
      </c>
      <c r="AE1837" s="69">
        <f>IF(OR(Q1837="",R1837=""),"",(R1837-Q1837)*24)</f>
        <v/>
      </c>
      <c r="AF1837" s="77">
        <f>IF(OR($A1837="",B1837=""),"",YEAR(B1837))</f>
        <v/>
      </c>
      <c r="AG1837" s="77">
        <f>IF(OR($A1837="",B1837=""),"",MONTH(B1837))</f>
        <v/>
      </c>
    </row>
    <row r="1838">
      <c r="A1838" s="7" t="n"/>
      <c r="B1838" s="75" t="n"/>
      <c r="C1838" s="7" t="n"/>
      <c r="D1838" s="7" t="n"/>
      <c r="E1838" s="9">
        <f>IF(D1838="","",IFERROR(INDEX('Équipements'!$B$5:$B$304,MATCH(D1838,'Équipements'!$A$5:$A$304,0)),"Code inconnu"))</f>
        <v/>
      </c>
      <c r="F1838" s="9">
        <f>IF(D1838="","",IFERROR(INDEX('Équipements'!$D$5:$D$304,MATCH(D1838,'Équipements'!$A$5:$A$304,0)),""))</f>
        <v/>
      </c>
      <c r="G1838" s="9">
        <f>IF(D1838="","",IFERROR(INDEX('Équipements'!$K$5:$K$304,MATCH(D1838,'Équipements'!$A$5:$A$304,0)),""))</f>
        <v/>
      </c>
      <c r="H1838" s="7" t="n"/>
      <c r="I1838" s="7" t="n"/>
      <c r="J1838" s="7" t="n"/>
      <c r="K1838" s="7" t="n"/>
      <c r="L1838" s="7" t="n"/>
      <c r="M1838" s="7" t="n"/>
      <c r="N1838" s="7" t="n"/>
      <c r="O1838" s="7" t="n"/>
      <c r="P1838" s="65" t="n"/>
      <c r="Q1838" s="75" t="n"/>
      <c r="R1838" s="75" t="n"/>
      <c r="S1838" s="76" t="n"/>
      <c r="T1838" s="76" t="n"/>
      <c r="U1838" s="70">
        <f>IF($A1838="","",IFERROR(INDEX('Techniciens'!$F$5:$F$44,MATCH(O1838,'Techniciens'!$B$5:$B$44,0)),'Paramètres'!$AA$10))</f>
        <v/>
      </c>
      <c r="V1838" s="70">
        <f>IF($A1838="","",IF(OR(AC1838="Demandé",AC1838="Planifié",AC1838="Annulé"),0,N(T1838)*N(U1838)))</f>
        <v/>
      </c>
      <c r="W1838" s="70">
        <f>IF($A1838="","",SUMIFS('Mouvements stock'!$H$5:$H$3004,'Mouvements stock'!$I$5:$I$3004,$A1838,'Mouvements stock'!$C$5:$C$3004,"Sortie")-SUMIFS('Mouvements stock'!$H$5:$H$3004,'Mouvements stock'!$I$5:$I$3004,$A1838,'Mouvements stock'!$C$5:$C$3004,"Retour"))</f>
        <v/>
      </c>
      <c r="X1838" s="66" t="n"/>
      <c r="Y1838" s="66" t="n"/>
      <c r="Z1838" s="7" t="n"/>
      <c r="AA1838" s="70">
        <f>IF($A1838="","",N(V1838)+N(W1838)+N(X1838)+N(Y1838))</f>
        <v/>
      </c>
      <c r="AB1838" s="70">
        <f>IF($A1838="","",N(S1838)*'Paramètres'!$AA$9*IFERROR(INDEX('Paramètres'!$O$5:$O$7,MATCH(G1838,'Paramètres'!$N$5:$N$7,0)),0))</f>
        <v/>
      </c>
      <c r="AC1838" s="7" t="n"/>
      <c r="AD1838" s="69">
        <f>IF(OR($A1838="",Q1838=""),"",(Q1838-B1838)*24)</f>
        <v/>
      </c>
      <c r="AE1838" s="69">
        <f>IF(OR(Q1838="",R1838=""),"",(R1838-Q1838)*24)</f>
        <v/>
      </c>
      <c r="AF1838" s="77">
        <f>IF(OR($A1838="",B1838=""),"",YEAR(B1838))</f>
        <v/>
      </c>
      <c r="AG1838" s="77">
        <f>IF(OR($A1838="",B1838=""),"",MONTH(B1838))</f>
        <v/>
      </c>
    </row>
    <row r="1839">
      <c r="A1839" s="7" t="n"/>
      <c r="B1839" s="75" t="n"/>
      <c r="C1839" s="7" t="n"/>
      <c r="D1839" s="7" t="n"/>
      <c r="E1839" s="9">
        <f>IF(D1839="","",IFERROR(INDEX('Équipements'!$B$5:$B$304,MATCH(D1839,'Équipements'!$A$5:$A$304,0)),"Code inconnu"))</f>
        <v/>
      </c>
      <c r="F1839" s="9">
        <f>IF(D1839="","",IFERROR(INDEX('Équipements'!$D$5:$D$304,MATCH(D1839,'Équipements'!$A$5:$A$304,0)),""))</f>
        <v/>
      </c>
      <c r="G1839" s="9">
        <f>IF(D1839="","",IFERROR(INDEX('Équipements'!$K$5:$K$304,MATCH(D1839,'Équipements'!$A$5:$A$304,0)),""))</f>
        <v/>
      </c>
      <c r="H1839" s="7" t="n"/>
      <c r="I1839" s="7" t="n"/>
      <c r="J1839" s="7" t="n"/>
      <c r="K1839" s="7" t="n"/>
      <c r="L1839" s="7" t="n"/>
      <c r="M1839" s="7" t="n"/>
      <c r="N1839" s="7" t="n"/>
      <c r="O1839" s="7" t="n"/>
      <c r="P1839" s="65" t="n"/>
      <c r="Q1839" s="75" t="n"/>
      <c r="R1839" s="75" t="n"/>
      <c r="S1839" s="76" t="n"/>
      <c r="T1839" s="76" t="n"/>
      <c r="U1839" s="70">
        <f>IF($A1839="","",IFERROR(INDEX('Techniciens'!$F$5:$F$44,MATCH(O1839,'Techniciens'!$B$5:$B$44,0)),'Paramètres'!$AA$10))</f>
        <v/>
      </c>
      <c r="V1839" s="70">
        <f>IF($A1839="","",IF(OR(AC1839="Demandé",AC1839="Planifié",AC1839="Annulé"),0,N(T1839)*N(U1839)))</f>
        <v/>
      </c>
      <c r="W1839" s="70">
        <f>IF($A1839="","",SUMIFS('Mouvements stock'!$H$5:$H$3004,'Mouvements stock'!$I$5:$I$3004,$A1839,'Mouvements stock'!$C$5:$C$3004,"Sortie")-SUMIFS('Mouvements stock'!$H$5:$H$3004,'Mouvements stock'!$I$5:$I$3004,$A1839,'Mouvements stock'!$C$5:$C$3004,"Retour"))</f>
        <v/>
      </c>
      <c r="X1839" s="66" t="n"/>
      <c r="Y1839" s="66" t="n"/>
      <c r="Z1839" s="7" t="n"/>
      <c r="AA1839" s="70">
        <f>IF($A1839="","",N(V1839)+N(W1839)+N(X1839)+N(Y1839))</f>
        <v/>
      </c>
      <c r="AB1839" s="70">
        <f>IF($A1839="","",N(S1839)*'Paramètres'!$AA$9*IFERROR(INDEX('Paramètres'!$O$5:$O$7,MATCH(G1839,'Paramètres'!$N$5:$N$7,0)),0))</f>
        <v/>
      </c>
      <c r="AC1839" s="7" t="n"/>
      <c r="AD1839" s="69">
        <f>IF(OR($A1839="",Q1839=""),"",(Q1839-B1839)*24)</f>
        <v/>
      </c>
      <c r="AE1839" s="69">
        <f>IF(OR(Q1839="",R1839=""),"",(R1839-Q1839)*24)</f>
        <v/>
      </c>
      <c r="AF1839" s="77">
        <f>IF(OR($A1839="",B1839=""),"",YEAR(B1839))</f>
        <v/>
      </c>
      <c r="AG1839" s="77">
        <f>IF(OR($A1839="",B1839=""),"",MONTH(B1839))</f>
        <v/>
      </c>
    </row>
    <row r="1840">
      <c r="A1840" s="7" t="n"/>
      <c r="B1840" s="75" t="n"/>
      <c r="C1840" s="7" t="n"/>
      <c r="D1840" s="7" t="n"/>
      <c r="E1840" s="9">
        <f>IF(D1840="","",IFERROR(INDEX('Équipements'!$B$5:$B$304,MATCH(D1840,'Équipements'!$A$5:$A$304,0)),"Code inconnu"))</f>
        <v/>
      </c>
      <c r="F1840" s="9">
        <f>IF(D1840="","",IFERROR(INDEX('Équipements'!$D$5:$D$304,MATCH(D1840,'Équipements'!$A$5:$A$304,0)),""))</f>
        <v/>
      </c>
      <c r="G1840" s="9">
        <f>IF(D1840="","",IFERROR(INDEX('Équipements'!$K$5:$K$304,MATCH(D1840,'Équipements'!$A$5:$A$304,0)),""))</f>
        <v/>
      </c>
      <c r="H1840" s="7" t="n"/>
      <c r="I1840" s="7" t="n"/>
      <c r="J1840" s="7" t="n"/>
      <c r="K1840" s="7" t="n"/>
      <c r="L1840" s="7" t="n"/>
      <c r="M1840" s="7" t="n"/>
      <c r="N1840" s="7" t="n"/>
      <c r="O1840" s="7" t="n"/>
      <c r="P1840" s="65" t="n"/>
      <c r="Q1840" s="75" t="n"/>
      <c r="R1840" s="75" t="n"/>
      <c r="S1840" s="76" t="n"/>
      <c r="T1840" s="76" t="n"/>
      <c r="U1840" s="70">
        <f>IF($A1840="","",IFERROR(INDEX('Techniciens'!$F$5:$F$44,MATCH(O1840,'Techniciens'!$B$5:$B$44,0)),'Paramètres'!$AA$10))</f>
        <v/>
      </c>
      <c r="V1840" s="70">
        <f>IF($A1840="","",IF(OR(AC1840="Demandé",AC1840="Planifié",AC1840="Annulé"),0,N(T1840)*N(U1840)))</f>
        <v/>
      </c>
      <c r="W1840" s="70">
        <f>IF($A1840="","",SUMIFS('Mouvements stock'!$H$5:$H$3004,'Mouvements stock'!$I$5:$I$3004,$A1840,'Mouvements stock'!$C$5:$C$3004,"Sortie")-SUMIFS('Mouvements stock'!$H$5:$H$3004,'Mouvements stock'!$I$5:$I$3004,$A1840,'Mouvements stock'!$C$5:$C$3004,"Retour"))</f>
        <v/>
      </c>
      <c r="X1840" s="66" t="n"/>
      <c r="Y1840" s="66" t="n"/>
      <c r="Z1840" s="7" t="n"/>
      <c r="AA1840" s="70">
        <f>IF($A1840="","",N(V1840)+N(W1840)+N(X1840)+N(Y1840))</f>
        <v/>
      </c>
      <c r="AB1840" s="70">
        <f>IF($A1840="","",N(S1840)*'Paramètres'!$AA$9*IFERROR(INDEX('Paramètres'!$O$5:$O$7,MATCH(G1840,'Paramètres'!$N$5:$N$7,0)),0))</f>
        <v/>
      </c>
      <c r="AC1840" s="7" t="n"/>
      <c r="AD1840" s="69">
        <f>IF(OR($A1840="",Q1840=""),"",(Q1840-B1840)*24)</f>
        <v/>
      </c>
      <c r="AE1840" s="69">
        <f>IF(OR(Q1840="",R1840=""),"",(R1840-Q1840)*24)</f>
        <v/>
      </c>
      <c r="AF1840" s="77">
        <f>IF(OR($A1840="",B1840=""),"",YEAR(B1840))</f>
        <v/>
      </c>
      <c r="AG1840" s="77">
        <f>IF(OR($A1840="",B1840=""),"",MONTH(B1840))</f>
        <v/>
      </c>
    </row>
    <row r="1841">
      <c r="A1841" s="7" t="n"/>
      <c r="B1841" s="75" t="n"/>
      <c r="C1841" s="7" t="n"/>
      <c r="D1841" s="7" t="n"/>
      <c r="E1841" s="9">
        <f>IF(D1841="","",IFERROR(INDEX('Équipements'!$B$5:$B$304,MATCH(D1841,'Équipements'!$A$5:$A$304,0)),"Code inconnu"))</f>
        <v/>
      </c>
      <c r="F1841" s="9">
        <f>IF(D1841="","",IFERROR(INDEX('Équipements'!$D$5:$D$304,MATCH(D1841,'Équipements'!$A$5:$A$304,0)),""))</f>
        <v/>
      </c>
      <c r="G1841" s="9">
        <f>IF(D1841="","",IFERROR(INDEX('Équipements'!$K$5:$K$304,MATCH(D1841,'Équipements'!$A$5:$A$304,0)),""))</f>
        <v/>
      </c>
      <c r="H1841" s="7" t="n"/>
      <c r="I1841" s="7" t="n"/>
      <c r="J1841" s="7" t="n"/>
      <c r="K1841" s="7" t="n"/>
      <c r="L1841" s="7" t="n"/>
      <c r="M1841" s="7" t="n"/>
      <c r="N1841" s="7" t="n"/>
      <c r="O1841" s="7" t="n"/>
      <c r="P1841" s="65" t="n"/>
      <c r="Q1841" s="75" t="n"/>
      <c r="R1841" s="75" t="n"/>
      <c r="S1841" s="76" t="n"/>
      <c r="T1841" s="76" t="n"/>
      <c r="U1841" s="70">
        <f>IF($A1841="","",IFERROR(INDEX('Techniciens'!$F$5:$F$44,MATCH(O1841,'Techniciens'!$B$5:$B$44,0)),'Paramètres'!$AA$10))</f>
        <v/>
      </c>
      <c r="V1841" s="70">
        <f>IF($A1841="","",IF(OR(AC1841="Demandé",AC1841="Planifié",AC1841="Annulé"),0,N(T1841)*N(U1841)))</f>
        <v/>
      </c>
      <c r="W1841" s="70">
        <f>IF($A1841="","",SUMIFS('Mouvements stock'!$H$5:$H$3004,'Mouvements stock'!$I$5:$I$3004,$A1841,'Mouvements stock'!$C$5:$C$3004,"Sortie")-SUMIFS('Mouvements stock'!$H$5:$H$3004,'Mouvements stock'!$I$5:$I$3004,$A1841,'Mouvements stock'!$C$5:$C$3004,"Retour"))</f>
        <v/>
      </c>
      <c r="X1841" s="66" t="n"/>
      <c r="Y1841" s="66" t="n"/>
      <c r="Z1841" s="7" t="n"/>
      <c r="AA1841" s="70">
        <f>IF($A1841="","",N(V1841)+N(W1841)+N(X1841)+N(Y1841))</f>
        <v/>
      </c>
      <c r="AB1841" s="70">
        <f>IF($A1841="","",N(S1841)*'Paramètres'!$AA$9*IFERROR(INDEX('Paramètres'!$O$5:$O$7,MATCH(G1841,'Paramètres'!$N$5:$N$7,0)),0))</f>
        <v/>
      </c>
      <c r="AC1841" s="7" t="n"/>
      <c r="AD1841" s="69">
        <f>IF(OR($A1841="",Q1841=""),"",(Q1841-B1841)*24)</f>
        <v/>
      </c>
      <c r="AE1841" s="69">
        <f>IF(OR(Q1841="",R1841=""),"",(R1841-Q1841)*24)</f>
        <v/>
      </c>
      <c r="AF1841" s="77">
        <f>IF(OR($A1841="",B1841=""),"",YEAR(B1841))</f>
        <v/>
      </c>
      <c r="AG1841" s="77">
        <f>IF(OR($A1841="",B1841=""),"",MONTH(B1841))</f>
        <v/>
      </c>
    </row>
    <row r="1842">
      <c r="A1842" s="7" t="n"/>
      <c r="B1842" s="75" t="n"/>
      <c r="C1842" s="7" t="n"/>
      <c r="D1842" s="7" t="n"/>
      <c r="E1842" s="9">
        <f>IF(D1842="","",IFERROR(INDEX('Équipements'!$B$5:$B$304,MATCH(D1842,'Équipements'!$A$5:$A$304,0)),"Code inconnu"))</f>
        <v/>
      </c>
      <c r="F1842" s="9">
        <f>IF(D1842="","",IFERROR(INDEX('Équipements'!$D$5:$D$304,MATCH(D1842,'Équipements'!$A$5:$A$304,0)),""))</f>
        <v/>
      </c>
      <c r="G1842" s="9">
        <f>IF(D1842="","",IFERROR(INDEX('Équipements'!$K$5:$K$304,MATCH(D1842,'Équipements'!$A$5:$A$304,0)),""))</f>
        <v/>
      </c>
      <c r="H1842" s="7" t="n"/>
      <c r="I1842" s="7" t="n"/>
      <c r="J1842" s="7" t="n"/>
      <c r="K1842" s="7" t="n"/>
      <c r="L1842" s="7" t="n"/>
      <c r="M1842" s="7" t="n"/>
      <c r="N1842" s="7" t="n"/>
      <c r="O1842" s="7" t="n"/>
      <c r="P1842" s="65" t="n"/>
      <c r="Q1842" s="75" t="n"/>
      <c r="R1842" s="75" t="n"/>
      <c r="S1842" s="76" t="n"/>
      <c r="T1842" s="76" t="n"/>
      <c r="U1842" s="70">
        <f>IF($A1842="","",IFERROR(INDEX('Techniciens'!$F$5:$F$44,MATCH(O1842,'Techniciens'!$B$5:$B$44,0)),'Paramètres'!$AA$10))</f>
        <v/>
      </c>
      <c r="V1842" s="70">
        <f>IF($A1842="","",IF(OR(AC1842="Demandé",AC1842="Planifié",AC1842="Annulé"),0,N(T1842)*N(U1842)))</f>
        <v/>
      </c>
      <c r="W1842" s="70">
        <f>IF($A1842="","",SUMIFS('Mouvements stock'!$H$5:$H$3004,'Mouvements stock'!$I$5:$I$3004,$A1842,'Mouvements stock'!$C$5:$C$3004,"Sortie")-SUMIFS('Mouvements stock'!$H$5:$H$3004,'Mouvements stock'!$I$5:$I$3004,$A1842,'Mouvements stock'!$C$5:$C$3004,"Retour"))</f>
        <v/>
      </c>
      <c r="X1842" s="66" t="n"/>
      <c r="Y1842" s="66" t="n"/>
      <c r="Z1842" s="7" t="n"/>
      <c r="AA1842" s="70">
        <f>IF($A1842="","",N(V1842)+N(W1842)+N(X1842)+N(Y1842))</f>
        <v/>
      </c>
      <c r="AB1842" s="70">
        <f>IF($A1842="","",N(S1842)*'Paramètres'!$AA$9*IFERROR(INDEX('Paramètres'!$O$5:$O$7,MATCH(G1842,'Paramètres'!$N$5:$N$7,0)),0))</f>
        <v/>
      </c>
      <c r="AC1842" s="7" t="n"/>
      <c r="AD1842" s="69">
        <f>IF(OR($A1842="",Q1842=""),"",(Q1842-B1842)*24)</f>
        <v/>
      </c>
      <c r="AE1842" s="69">
        <f>IF(OR(Q1842="",R1842=""),"",(R1842-Q1842)*24)</f>
        <v/>
      </c>
      <c r="AF1842" s="77">
        <f>IF(OR($A1842="",B1842=""),"",YEAR(B1842))</f>
        <v/>
      </c>
      <c r="AG1842" s="77">
        <f>IF(OR($A1842="",B1842=""),"",MONTH(B1842))</f>
        <v/>
      </c>
    </row>
    <row r="1843">
      <c r="A1843" s="7" t="n"/>
      <c r="B1843" s="75" t="n"/>
      <c r="C1843" s="7" t="n"/>
      <c r="D1843" s="7" t="n"/>
      <c r="E1843" s="9">
        <f>IF(D1843="","",IFERROR(INDEX('Équipements'!$B$5:$B$304,MATCH(D1843,'Équipements'!$A$5:$A$304,0)),"Code inconnu"))</f>
        <v/>
      </c>
      <c r="F1843" s="9">
        <f>IF(D1843="","",IFERROR(INDEX('Équipements'!$D$5:$D$304,MATCH(D1843,'Équipements'!$A$5:$A$304,0)),""))</f>
        <v/>
      </c>
      <c r="G1843" s="9">
        <f>IF(D1843="","",IFERROR(INDEX('Équipements'!$K$5:$K$304,MATCH(D1843,'Équipements'!$A$5:$A$304,0)),""))</f>
        <v/>
      </c>
      <c r="H1843" s="7" t="n"/>
      <c r="I1843" s="7" t="n"/>
      <c r="J1843" s="7" t="n"/>
      <c r="K1843" s="7" t="n"/>
      <c r="L1843" s="7" t="n"/>
      <c r="M1843" s="7" t="n"/>
      <c r="N1843" s="7" t="n"/>
      <c r="O1843" s="7" t="n"/>
      <c r="P1843" s="65" t="n"/>
      <c r="Q1843" s="75" t="n"/>
      <c r="R1843" s="75" t="n"/>
      <c r="S1843" s="76" t="n"/>
      <c r="T1843" s="76" t="n"/>
      <c r="U1843" s="70">
        <f>IF($A1843="","",IFERROR(INDEX('Techniciens'!$F$5:$F$44,MATCH(O1843,'Techniciens'!$B$5:$B$44,0)),'Paramètres'!$AA$10))</f>
        <v/>
      </c>
      <c r="V1843" s="70">
        <f>IF($A1843="","",IF(OR(AC1843="Demandé",AC1843="Planifié",AC1843="Annulé"),0,N(T1843)*N(U1843)))</f>
        <v/>
      </c>
      <c r="W1843" s="70">
        <f>IF($A1843="","",SUMIFS('Mouvements stock'!$H$5:$H$3004,'Mouvements stock'!$I$5:$I$3004,$A1843,'Mouvements stock'!$C$5:$C$3004,"Sortie")-SUMIFS('Mouvements stock'!$H$5:$H$3004,'Mouvements stock'!$I$5:$I$3004,$A1843,'Mouvements stock'!$C$5:$C$3004,"Retour"))</f>
        <v/>
      </c>
      <c r="X1843" s="66" t="n"/>
      <c r="Y1843" s="66" t="n"/>
      <c r="Z1843" s="7" t="n"/>
      <c r="AA1843" s="70">
        <f>IF($A1843="","",N(V1843)+N(W1843)+N(X1843)+N(Y1843))</f>
        <v/>
      </c>
      <c r="AB1843" s="70">
        <f>IF($A1843="","",N(S1843)*'Paramètres'!$AA$9*IFERROR(INDEX('Paramètres'!$O$5:$O$7,MATCH(G1843,'Paramètres'!$N$5:$N$7,0)),0))</f>
        <v/>
      </c>
      <c r="AC1843" s="7" t="n"/>
      <c r="AD1843" s="69">
        <f>IF(OR($A1843="",Q1843=""),"",(Q1843-B1843)*24)</f>
        <v/>
      </c>
      <c r="AE1843" s="69">
        <f>IF(OR(Q1843="",R1843=""),"",(R1843-Q1843)*24)</f>
        <v/>
      </c>
      <c r="AF1843" s="77">
        <f>IF(OR($A1843="",B1843=""),"",YEAR(B1843))</f>
        <v/>
      </c>
      <c r="AG1843" s="77">
        <f>IF(OR($A1843="",B1843=""),"",MONTH(B1843))</f>
        <v/>
      </c>
    </row>
    <row r="1844">
      <c r="A1844" s="7" t="n"/>
      <c r="B1844" s="75" t="n"/>
      <c r="C1844" s="7" t="n"/>
      <c r="D1844" s="7" t="n"/>
      <c r="E1844" s="9">
        <f>IF(D1844="","",IFERROR(INDEX('Équipements'!$B$5:$B$304,MATCH(D1844,'Équipements'!$A$5:$A$304,0)),"Code inconnu"))</f>
        <v/>
      </c>
      <c r="F1844" s="9">
        <f>IF(D1844="","",IFERROR(INDEX('Équipements'!$D$5:$D$304,MATCH(D1844,'Équipements'!$A$5:$A$304,0)),""))</f>
        <v/>
      </c>
      <c r="G1844" s="9">
        <f>IF(D1844="","",IFERROR(INDEX('Équipements'!$K$5:$K$304,MATCH(D1844,'Équipements'!$A$5:$A$304,0)),""))</f>
        <v/>
      </c>
      <c r="H1844" s="7" t="n"/>
      <c r="I1844" s="7" t="n"/>
      <c r="J1844" s="7" t="n"/>
      <c r="K1844" s="7" t="n"/>
      <c r="L1844" s="7" t="n"/>
      <c r="M1844" s="7" t="n"/>
      <c r="N1844" s="7" t="n"/>
      <c r="O1844" s="7" t="n"/>
      <c r="P1844" s="65" t="n"/>
      <c r="Q1844" s="75" t="n"/>
      <c r="R1844" s="75" t="n"/>
      <c r="S1844" s="76" t="n"/>
      <c r="T1844" s="76" t="n"/>
      <c r="U1844" s="70">
        <f>IF($A1844="","",IFERROR(INDEX('Techniciens'!$F$5:$F$44,MATCH(O1844,'Techniciens'!$B$5:$B$44,0)),'Paramètres'!$AA$10))</f>
        <v/>
      </c>
      <c r="V1844" s="70">
        <f>IF($A1844="","",IF(OR(AC1844="Demandé",AC1844="Planifié",AC1844="Annulé"),0,N(T1844)*N(U1844)))</f>
        <v/>
      </c>
      <c r="W1844" s="70">
        <f>IF($A1844="","",SUMIFS('Mouvements stock'!$H$5:$H$3004,'Mouvements stock'!$I$5:$I$3004,$A1844,'Mouvements stock'!$C$5:$C$3004,"Sortie")-SUMIFS('Mouvements stock'!$H$5:$H$3004,'Mouvements stock'!$I$5:$I$3004,$A1844,'Mouvements stock'!$C$5:$C$3004,"Retour"))</f>
        <v/>
      </c>
      <c r="X1844" s="66" t="n"/>
      <c r="Y1844" s="66" t="n"/>
      <c r="Z1844" s="7" t="n"/>
      <c r="AA1844" s="70">
        <f>IF($A1844="","",N(V1844)+N(W1844)+N(X1844)+N(Y1844))</f>
        <v/>
      </c>
      <c r="AB1844" s="70">
        <f>IF($A1844="","",N(S1844)*'Paramètres'!$AA$9*IFERROR(INDEX('Paramètres'!$O$5:$O$7,MATCH(G1844,'Paramètres'!$N$5:$N$7,0)),0))</f>
        <v/>
      </c>
      <c r="AC1844" s="7" t="n"/>
      <c r="AD1844" s="69">
        <f>IF(OR($A1844="",Q1844=""),"",(Q1844-B1844)*24)</f>
        <v/>
      </c>
      <c r="AE1844" s="69">
        <f>IF(OR(Q1844="",R1844=""),"",(R1844-Q1844)*24)</f>
        <v/>
      </c>
      <c r="AF1844" s="77">
        <f>IF(OR($A1844="",B1844=""),"",YEAR(B1844))</f>
        <v/>
      </c>
      <c r="AG1844" s="77">
        <f>IF(OR($A1844="",B1844=""),"",MONTH(B1844))</f>
        <v/>
      </c>
    </row>
    <row r="1845">
      <c r="A1845" s="7" t="n"/>
      <c r="B1845" s="75" t="n"/>
      <c r="C1845" s="7" t="n"/>
      <c r="D1845" s="7" t="n"/>
      <c r="E1845" s="9">
        <f>IF(D1845="","",IFERROR(INDEX('Équipements'!$B$5:$B$304,MATCH(D1845,'Équipements'!$A$5:$A$304,0)),"Code inconnu"))</f>
        <v/>
      </c>
      <c r="F1845" s="9">
        <f>IF(D1845="","",IFERROR(INDEX('Équipements'!$D$5:$D$304,MATCH(D1845,'Équipements'!$A$5:$A$304,0)),""))</f>
        <v/>
      </c>
      <c r="G1845" s="9">
        <f>IF(D1845="","",IFERROR(INDEX('Équipements'!$K$5:$K$304,MATCH(D1845,'Équipements'!$A$5:$A$304,0)),""))</f>
        <v/>
      </c>
      <c r="H1845" s="7" t="n"/>
      <c r="I1845" s="7" t="n"/>
      <c r="J1845" s="7" t="n"/>
      <c r="K1845" s="7" t="n"/>
      <c r="L1845" s="7" t="n"/>
      <c r="M1845" s="7" t="n"/>
      <c r="N1845" s="7" t="n"/>
      <c r="O1845" s="7" t="n"/>
      <c r="P1845" s="65" t="n"/>
      <c r="Q1845" s="75" t="n"/>
      <c r="R1845" s="75" t="n"/>
      <c r="S1845" s="76" t="n"/>
      <c r="T1845" s="76" t="n"/>
      <c r="U1845" s="70">
        <f>IF($A1845="","",IFERROR(INDEX('Techniciens'!$F$5:$F$44,MATCH(O1845,'Techniciens'!$B$5:$B$44,0)),'Paramètres'!$AA$10))</f>
        <v/>
      </c>
      <c r="V1845" s="70">
        <f>IF($A1845="","",IF(OR(AC1845="Demandé",AC1845="Planifié",AC1845="Annulé"),0,N(T1845)*N(U1845)))</f>
        <v/>
      </c>
      <c r="W1845" s="70">
        <f>IF($A1845="","",SUMIFS('Mouvements stock'!$H$5:$H$3004,'Mouvements stock'!$I$5:$I$3004,$A1845,'Mouvements stock'!$C$5:$C$3004,"Sortie")-SUMIFS('Mouvements stock'!$H$5:$H$3004,'Mouvements stock'!$I$5:$I$3004,$A1845,'Mouvements stock'!$C$5:$C$3004,"Retour"))</f>
        <v/>
      </c>
      <c r="X1845" s="66" t="n"/>
      <c r="Y1845" s="66" t="n"/>
      <c r="Z1845" s="7" t="n"/>
      <c r="AA1845" s="70">
        <f>IF($A1845="","",N(V1845)+N(W1845)+N(X1845)+N(Y1845))</f>
        <v/>
      </c>
      <c r="AB1845" s="70">
        <f>IF($A1845="","",N(S1845)*'Paramètres'!$AA$9*IFERROR(INDEX('Paramètres'!$O$5:$O$7,MATCH(G1845,'Paramètres'!$N$5:$N$7,0)),0))</f>
        <v/>
      </c>
      <c r="AC1845" s="7" t="n"/>
      <c r="AD1845" s="69">
        <f>IF(OR($A1845="",Q1845=""),"",(Q1845-B1845)*24)</f>
        <v/>
      </c>
      <c r="AE1845" s="69">
        <f>IF(OR(Q1845="",R1845=""),"",(R1845-Q1845)*24)</f>
        <v/>
      </c>
      <c r="AF1845" s="77">
        <f>IF(OR($A1845="",B1845=""),"",YEAR(B1845))</f>
        <v/>
      </c>
      <c r="AG1845" s="77">
        <f>IF(OR($A1845="",B1845=""),"",MONTH(B1845))</f>
        <v/>
      </c>
    </row>
    <row r="1846">
      <c r="A1846" s="7" t="n"/>
      <c r="B1846" s="75" t="n"/>
      <c r="C1846" s="7" t="n"/>
      <c r="D1846" s="7" t="n"/>
      <c r="E1846" s="9">
        <f>IF(D1846="","",IFERROR(INDEX('Équipements'!$B$5:$B$304,MATCH(D1846,'Équipements'!$A$5:$A$304,0)),"Code inconnu"))</f>
        <v/>
      </c>
      <c r="F1846" s="9">
        <f>IF(D1846="","",IFERROR(INDEX('Équipements'!$D$5:$D$304,MATCH(D1846,'Équipements'!$A$5:$A$304,0)),""))</f>
        <v/>
      </c>
      <c r="G1846" s="9">
        <f>IF(D1846="","",IFERROR(INDEX('Équipements'!$K$5:$K$304,MATCH(D1846,'Équipements'!$A$5:$A$304,0)),""))</f>
        <v/>
      </c>
      <c r="H1846" s="7" t="n"/>
      <c r="I1846" s="7" t="n"/>
      <c r="J1846" s="7" t="n"/>
      <c r="K1846" s="7" t="n"/>
      <c r="L1846" s="7" t="n"/>
      <c r="M1846" s="7" t="n"/>
      <c r="N1846" s="7" t="n"/>
      <c r="O1846" s="7" t="n"/>
      <c r="P1846" s="65" t="n"/>
      <c r="Q1846" s="75" t="n"/>
      <c r="R1846" s="75" t="n"/>
      <c r="S1846" s="76" t="n"/>
      <c r="T1846" s="76" t="n"/>
      <c r="U1846" s="70">
        <f>IF($A1846="","",IFERROR(INDEX('Techniciens'!$F$5:$F$44,MATCH(O1846,'Techniciens'!$B$5:$B$44,0)),'Paramètres'!$AA$10))</f>
        <v/>
      </c>
      <c r="V1846" s="70">
        <f>IF($A1846="","",IF(OR(AC1846="Demandé",AC1846="Planifié",AC1846="Annulé"),0,N(T1846)*N(U1846)))</f>
        <v/>
      </c>
      <c r="W1846" s="70">
        <f>IF($A1846="","",SUMIFS('Mouvements stock'!$H$5:$H$3004,'Mouvements stock'!$I$5:$I$3004,$A1846,'Mouvements stock'!$C$5:$C$3004,"Sortie")-SUMIFS('Mouvements stock'!$H$5:$H$3004,'Mouvements stock'!$I$5:$I$3004,$A1846,'Mouvements stock'!$C$5:$C$3004,"Retour"))</f>
        <v/>
      </c>
      <c r="X1846" s="66" t="n"/>
      <c r="Y1846" s="66" t="n"/>
      <c r="Z1846" s="7" t="n"/>
      <c r="AA1846" s="70">
        <f>IF($A1846="","",N(V1846)+N(W1846)+N(X1846)+N(Y1846))</f>
        <v/>
      </c>
      <c r="AB1846" s="70">
        <f>IF($A1846="","",N(S1846)*'Paramètres'!$AA$9*IFERROR(INDEX('Paramètres'!$O$5:$O$7,MATCH(G1846,'Paramètres'!$N$5:$N$7,0)),0))</f>
        <v/>
      </c>
      <c r="AC1846" s="7" t="n"/>
      <c r="AD1846" s="69">
        <f>IF(OR($A1846="",Q1846=""),"",(Q1846-B1846)*24)</f>
        <v/>
      </c>
      <c r="AE1846" s="69">
        <f>IF(OR(Q1846="",R1846=""),"",(R1846-Q1846)*24)</f>
        <v/>
      </c>
      <c r="AF1846" s="77">
        <f>IF(OR($A1846="",B1846=""),"",YEAR(B1846))</f>
        <v/>
      </c>
      <c r="AG1846" s="77">
        <f>IF(OR($A1846="",B1846=""),"",MONTH(B1846))</f>
        <v/>
      </c>
    </row>
    <row r="1847">
      <c r="A1847" s="7" t="n"/>
      <c r="B1847" s="75" t="n"/>
      <c r="C1847" s="7" t="n"/>
      <c r="D1847" s="7" t="n"/>
      <c r="E1847" s="9">
        <f>IF(D1847="","",IFERROR(INDEX('Équipements'!$B$5:$B$304,MATCH(D1847,'Équipements'!$A$5:$A$304,0)),"Code inconnu"))</f>
        <v/>
      </c>
      <c r="F1847" s="9">
        <f>IF(D1847="","",IFERROR(INDEX('Équipements'!$D$5:$D$304,MATCH(D1847,'Équipements'!$A$5:$A$304,0)),""))</f>
        <v/>
      </c>
      <c r="G1847" s="9">
        <f>IF(D1847="","",IFERROR(INDEX('Équipements'!$K$5:$K$304,MATCH(D1847,'Équipements'!$A$5:$A$304,0)),""))</f>
        <v/>
      </c>
      <c r="H1847" s="7" t="n"/>
      <c r="I1847" s="7" t="n"/>
      <c r="J1847" s="7" t="n"/>
      <c r="K1847" s="7" t="n"/>
      <c r="L1847" s="7" t="n"/>
      <c r="M1847" s="7" t="n"/>
      <c r="N1847" s="7" t="n"/>
      <c r="O1847" s="7" t="n"/>
      <c r="P1847" s="65" t="n"/>
      <c r="Q1847" s="75" t="n"/>
      <c r="R1847" s="75" t="n"/>
      <c r="S1847" s="76" t="n"/>
      <c r="T1847" s="76" t="n"/>
      <c r="U1847" s="70">
        <f>IF($A1847="","",IFERROR(INDEX('Techniciens'!$F$5:$F$44,MATCH(O1847,'Techniciens'!$B$5:$B$44,0)),'Paramètres'!$AA$10))</f>
        <v/>
      </c>
      <c r="V1847" s="70">
        <f>IF($A1847="","",IF(OR(AC1847="Demandé",AC1847="Planifié",AC1847="Annulé"),0,N(T1847)*N(U1847)))</f>
        <v/>
      </c>
      <c r="W1847" s="70">
        <f>IF($A1847="","",SUMIFS('Mouvements stock'!$H$5:$H$3004,'Mouvements stock'!$I$5:$I$3004,$A1847,'Mouvements stock'!$C$5:$C$3004,"Sortie")-SUMIFS('Mouvements stock'!$H$5:$H$3004,'Mouvements stock'!$I$5:$I$3004,$A1847,'Mouvements stock'!$C$5:$C$3004,"Retour"))</f>
        <v/>
      </c>
      <c r="X1847" s="66" t="n"/>
      <c r="Y1847" s="66" t="n"/>
      <c r="Z1847" s="7" t="n"/>
      <c r="AA1847" s="70">
        <f>IF($A1847="","",N(V1847)+N(W1847)+N(X1847)+N(Y1847))</f>
        <v/>
      </c>
      <c r="AB1847" s="70">
        <f>IF($A1847="","",N(S1847)*'Paramètres'!$AA$9*IFERROR(INDEX('Paramètres'!$O$5:$O$7,MATCH(G1847,'Paramètres'!$N$5:$N$7,0)),0))</f>
        <v/>
      </c>
      <c r="AC1847" s="7" t="n"/>
      <c r="AD1847" s="69">
        <f>IF(OR($A1847="",Q1847=""),"",(Q1847-B1847)*24)</f>
        <v/>
      </c>
      <c r="AE1847" s="69">
        <f>IF(OR(Q1847="",R1847=""),"",(R1847-Q1847)*24)</f>
        <v/>
      </c>
      <c r="AF1847" s="77">
        <f>IF(OR($A1847="",B1847=""),"",YEAR(B1847))</f>
        <v/>
      </c>
      <c r="AG1847" s="77">
        <f>IF(OR($A1847="",B1847=""),"",MONTH(B1847))</f>
        <v/>
      </c>
    </row>
    <row r="1848">
      <c r="A1848" s="7" t="n"/>
      <c r="B1848" s="75" t="n"/>
      <c r="C1848" s="7" t="n"/>
      <c r="D1848" s="7" t="n"/>
      <c r="E1848" s="9">
        <f>IF(D1848="","",IFERROR(INDEX('Équipements'!$B$5:$B$304,MATCH(D1848,'Équipements'!$A$5:$A$304,0)),"Code inconnu"))</f>
        <v/>
      </c>
      <c r="F1848" s="9">
        <f>IF(D1848="","",IFERROR(INDEX('Équipements'!$D$5:$D$304,MATCH(D1848,'Équipements'!$A$5:$A$304,0)),""))</f>
        <v/>
      </c>
      <c r="G1848" s="9">
        <f>IF(D1848="","",IFERROR(INDEX('Équipements'!$K$5:$K$304,MATCH(D1848,'Équipements'!$A$5:$A$304,0)),""))</f>
        <v/>
      </c>
      <c r="H1848" s="7" t="n"/>
      <c r="I1848" s="7" t="n"/>
      <c r="J1848" s="7" t="n"/>
      <c r="K1848" s="7" t="n"/>
      <c r="L1848" s="7" t="n"/>
      <c r="M1848" s="7" t="n"/>
      <c r="N1848" s="7" t="n"/>
      <c r="O1848" s="7" t="n"/>
      <c r="P1848" s="65" t="n"/>
      <c r="Q1848" s="75" t="n"/>
      <c r="R1848" s="75" t="n"/>
      <c r="S1848" s="76" t="n"/>
      <c r="T1848" s="76" t="n"/>
      <c r="U1848" s="70">
        <f>IF($A1848="","",IFERROR(INDEX('Techniciens'!$F$5:$F$44,MATCH(O1848,'Techniciens'!$B$5:$B$44,0)),'Paramètres'!$AA$10))</f>
        <v/>
      </c>
      <c r="V1848" s="70">
        <f>IF($A1848="","",IF(OR(AC1848="Demandé",AC1848="Planifié",AC1848="Annulé"),0,N(T1848)*N(U1848)))</f>
        <v/>
      </c>
      <c r="W1848" s="70">
        <f>IF($A1848="","",SUMIFS('Mouvements stock'!$H$5:$H$3004,'Mouvements stock'!$I$5:$I$3004,$A1848,'Mouvements stock'!$C$5:$C$3004,"Sortie")-SUMIFS('Mouvements stock'!$H$5:$H$3004,'Mouvements stock'!$I$5:$I$3004,$A1848,'Mouvements stock'!$C$5:$C$3004,"Retour"))</f>
        <v/>
      </c>
      <c r="X1848" s="66" t="n"/>
      <c r="Y1848" s="66" t="n"/>
      <c r="Z1848" s="7" t="n"/>
      <c r="AA1848" s="70">
        <f>IF($A1848="","",N(V1848)+N(W1848)+N(X1848)+N(Y1848))</f>
        <v/>
      </c>
      <c r="AB1848" s="70">
        <f>IF($A1848="","",N(S1848)*'Paramètres'!$AA$9*IFERROR(INDEX('Paramètres'!$O$5:$O$7,MATCH(G1848,'Paramètres'!$N$5:$N$7,0)),0))</f>
        <v/>
      </c>
      <c r="AC1848" s="7" t="n"/>
      <c r="AD1848" s="69">
        <f>IF(OR($A1848="",Q1848=""),"",(Q1848-B1848)*24)</f>
        <v/>
      </c>
      <c r="AE1848" s="69">
        <f>IF(OR(Q1848="",R1848=""),"",(R1848-Q1848)*24)</f>
        <v/>
      </c>
      <c r="AF1848" s="77">
        <f>IF(OR($A1848="",B1848=""),"",YEAR(B1848))</f>
        <v/>
      </c>
      <c r="AG1848" s="77">
        <f>IF(OR($A1848="",B1848=""),"",MONTH(B1848))</f>
        <v/>
      </c>
    </row>
    <row r="1849">
      <c r="A1849" s="7" t="n"/>
      <c r="B1849" s="75" t="n"/>
      <c r="C1849" s="7" t="n"/>
      <c r="D1849" s="7" t="n"/>
      <c r="E1849" s="9">
        <f>IF(D1849="","",IFERROR(INDEX('Équipements'!$B$5:$B$304,MATCH(D1849,'Équipements'!$A$5:$A$304,0)),"Code inconnu"))</f>
        <v/>
      </c>
      <c r="F1849" s="9">
        <f>IF(D1849="","",IFERROR(INDEX('Équipements'!$D$5:$D$304,MATCH(D1849,'Équipements'!$A$5:$A$304,0)),""))</f>
        <v/>
      </c>
      <c r="G1849" s="9">
        <f>IF(D1849="","",IFERROR(INDEX('Équipements'!$K$5:$K$304,MATCH(D1849,'Équipements'!$A$5:$A$304,0)),""))</f>
        <v/>
      </c>
      <c r="H1849" s="7" t="n"/>
      <c r="I1849" s="7" t="n"/>
      <c r="J1849" s="7" t="n"/>
      <c r="K1849" s="7" t="n"/>
      <c r="L1849" s="7" t="n"/>
      <c r="M1849" s="7" t="n"/>
      <c r="N1849" s="7" t="n"/>
      <c r="O1849" s="7" t="n"/>
      <c r="P1849" s="65" t="n"/>
      <c r="Q1849" s="75" t="n"/>
      <c r="R1849" s="75" t="n"/>
      <c r="S1849" s="76" t="n"/>
      <c r="T1849" s="76" t="n"/>
      <c r="U1849" s="70">
        <f>IF($A1849="","",IFERROR(INDEX('Techniciens'!$F$5:$F$44,MATCH(O1849,'Techniciens'!$B$5:$B$44,0)),'Paramètres'!$AA$10))</f>
        <v/>
      </c>
      <c r="V1849" s="70">
        <f>IF($A1849="","",IF(OR(AC1849="Demandé",AC1849="Planifié",AC1849="Annulé"),0,N(T1849)*N(U1849)))</f>
        <v/>
      </c>
      <c r="W1849" s="70">
        <f>IF($A1849="","",SUMIFS('Mouvements stock'!$H$5:$H$3004,'Mouvements stock'!$I$5:$I$3004,$A1849,'Mouvements stock'!$C$5:$C$3004,"Sortie")-SUMIFS('Mouvements stock'!$H$5:$H$3004,'Mouvements stock'!$I$5:$I$3004,$A1849,'Mouvements stock'!$C$5:$C$3004,"Retour"))</f>
        <v/>
      </c>
      <c r="X1849" s="66" t="n"/>
      <c r="Y1849" s="66" t="n"/>
      <c r="Z1849" s="7" t="n"/>
      <c r="AA1849" s="70">
        <f>IF($A1849="","",N(V1849)+N(W1849)+N(X1849)+N(Y1849))</f>
        <v/>
      </c>
      <c r="AB1849" s="70">
        <f>IF($A1849="","",N(S1849)*'Paramètres'!$AA$9*IFERROR(INDEX('Paramètres'!$O$5:$O$7,MATCH(G1849,'Paramètres'!$N$5:$N$7,0)),0))</f>
        <v/>
      </c>
      <c r="AC1849" s="7" t="n"/>
      <c r="AD1849" s="69">
        <f>IF(OR($A1849="",Q1849=""),"",(Q1849-B1849)*24)</f>
        <v/>
      </c>
      <c r="AE1849" s="69">
        <f>IF(OR(Q1849="",R1849=""),"",(R1849-Q1849)*24)</f>
        <v/>
      </c>
      <c r="AF1849" s="77">
        <f>IF(OR($A1849="",B1849=""),"",YEAR(B1849))</f>
        <v/>
      </c>
      <c r="AG1849" s="77">
        <f>IF(OR($A1849="",B1849=""),"",MONTH(B1849))</f>
        <v/>
      </c>
    </row>
    <row r="1850">
      <c r="A1850" s="7" t="n"/>
      <c r="B1850" s="75" t="n"/>
      <c r="C1850" s="7" t="n"/>
      <c r="D1850" s="7" t="n"/>
      <c r="E1850" s="9">
        <f>IF(D1850="","",IFERROR(INDEX('Équipements'!$B$5:$B$304,MATCH(D1850,'Équipements'!$A$5:$A$304,0)),"Code inconnu"))</f>
        <v/>
      </c>
      <c r="F1850" s="9">
        <f>IF(D1850="","",IFERROR(INDEX('Équipements'!$D$5:$D$304,MATCH(D1850,'Équipements'!$A$5:$A$304,0)),""))</f>
        <v/>
      </c>
      <c r="G1850" s="9">
        <f>IF(D1850="","",IFERROR(INDEX('Équipements'!$K$5:$K$304,MATCH(D1850,'Équipements'!$A$5:$A$304,0)),""))</f>
        <v/>
      </c>
      <c r="H1850" s="7" t="n"/>
      <c r="I1850" s="7" t="n"/>
      <c r="J1850" s="7" t="n"/>
      <c r="K1850" s="7" t="n"/>
      <c r="L1850" s="7" t="n"/>
      <c r="M1850" s="7" t="n"/>
      <c r="N1850" s="7" t="n"/>
      <c r="O1850" s="7" t="n"/>
      <c r="P1850" s="65" t="n"/>
      <c r="Q1850" s="75" t="n"/>
      <c r="R1850" s="75" t="n"/>
      <c r="S1850" s="76" t="n"/>
      <c r="T1850" s="76" t="n"/>
      <c r="U1850" s="70">
        <f>IF($A1850="","",IFERROR(INDEX('Techniciens'!$F$5:$F$44,MATCH(O1850,'Techniciens'!$B$5:$B$44,0)),'Paramètres'!$AA$10))</f>
        <v/>
      </c>
      <c r="V1850" s="70">
        <f>IF($A1850="","",IF(OR(AC1850="Demandé",AC1850="Planifié",AC1850="Annulé"),0,N(T1850)*N(U1850)))</f>
        <v/>
      </c>
      <c r="W1850" s="70">
        <f>IF($A1850="","",SUMIFS('Mouvements stock'!$H$5:$H$3004,'Mouvements stock'!$I$5:$I$3004,$A1850,'Mouvements stock'!$C$5:$C$3004,"Sortie")-SUMIFS('Mouvements stock'!$H$5:$H$3004,'Mouvements stock'!$I$5:$I$3004,$A1850,'Mouvements stock'!$C$5:$C$3004,"Retour"))</f>
        <v/>
      </c>
      <c r="X1850" s="66" t="n"/>
      <c r="Y1850" s="66" t="n"/>
      <c r="Z1850" s="7" t="n"/>
      <c r="AA1850" s="70">
        <f>IF($A1850="","",N(V1850)+N(W1850)+N(X1850)+N(Y1850))</f>
        <v/>
      </c>
      <c r="AB1850" s="70">
        <f>IF($A1850="","",N(S1850)*'Paramètres'!$AA$9*IFERROR(INDEX('Paramètres'!$O$5:$O$7,MATCH(G1850,'Paramètres'!$N$5:$N$7,0)),0))</f>
        <v/>
      </c>
      <c r="AC1850" s="7" t="n"/>
      <c r="AD1850" s="69">
        <f>IF(OR($A1850="",Q1850=""),"",(Q1850-B1850)*24)</f>
        <v/>
      </c>
      <c r="AE1850" s="69">
        <f>IF(OR(Q1850="",R1850=""),"",(R1850-Q1850)*24)</f>
        <v/>
      </c>
      <c r="AF1850" s="77">
        <f>IF(OR($A1850="",B1850=""),"",YEAR(B1850))</f>
        <v/>
      </c>
      <c r="AG1850" s="77">
        <f>IF(OR($A1850="",B1850=""),"",MONTH(B1850))</f>
        <v/>
      </c>
    </row>
    <row r="1851">
      <c r="A1851" s="7" t="n"/>
      <c r="B1851" s="75" t="n"/>
      <c r="C1851" s="7" t="n"/>
      <c r="D1851" s="7" t="n"/>
      <c r="E1851" s="9">
        <f>IF(D1851="","",IFERROR(INDEX('Équipements'!$B$5:$B$304,MATCH(D1851,'Équipements'!$A$5:$A$304,0)),"Code inconnu"))</f>
        <v/>
      </c>
      <c r="F1851" s="9">
        <f>IF(D1851="","",IFERROR(INDEX('Équipements'!$D$5:$D$304,MATCH(D1851,'Équipements'!$A$5:$A$304,0)),""))</f>
        <v/>
      </c>
      <c r="G1851" s="9">
        <f>IF(D1851="","",IFERROR(INDEX('Équipements'!$K$5:$K$304,MATCH(D1851,'Équipements'!$A$5:$A$304,0)),""))</f>
        <v/>
      </c>
      <c r="H1851" s="7" t="n"/>
      <c r="I1851" s="7" t="n"/>
      <c r="J1851" s="7" t="n"/>
      <c r="K1851" s="7" t="n"/>
      <c r="L1851" s="7" t="n"/>
      <c r="M1851" s="7" t="n"/>
      <c r="N1851" s="7" t="n"/>
      <c r="O1851" s="7" t="n"/>
      <c r="P1851" s="65" t="n"/>
      <c r="Q1851" s="75" t="n"/>
      <c r="R1851" s="75" t="n"/>
      <c r="S1851" s="76" t="n"/>
      <c r="T1851" s="76" t="n"/>
      <c r="U1851" s="70">
        <f>IF($A1851="","",IFERROR(INDEX('Techniciens'!$F$5:$F$44,MATCH(O1851,'Techniciens'!$B$5:$B$44,0)),'Paramètres'!$AA$10))</f>
        <v/>
      </c>
      <c r="V1851" s="70">
        <f>IF($A1851="","",IF(OR(AC1851="Demandé",AC1851="Planifié",AC1851="Annulé"),0,N(T1851)*N(U1851)))</f>
        <v/>
      </c>
      <c r="W1851" s="70">
        <f>IF($A1851="","",SUMIFS('Mouvements stock'!$H$5:$H$3004,'Mouvements stock'!$I$5:$I$3004,$A1851,'Mouvements stock'!$C$5:$C$3004,"Sortie")-SUMIFS('Mouvements stock'!$H$5:$H$3004,'Mouvements stock'!$I$5:$I$3004,$A1851,'Mouvements stock'!$C$5:$C$3004,"Retour"))</f>
        <v/>
      </c>
      <c r="X1851" s="66" t="n"/>
      <c r="Y1851" s="66" t="n"/>
      <c r="Z1851" s="7" t="n"/>
      <c r="AA1851" s="70">
        <f>IF($A1851="","",N(V1851)+N(W1851)+N(X1851)+N(Y1851))</f>
        <v/>
      </c>
      <c r="AB1851" s="70">
        <f>IF($A1851="","",N(S1851)*'Paramètres'!$AA$9*IFERROR(INDEX('Paramètres'!$O$5:$O$7,MATCH(G1851,'Paramètres'!$N$5:$N$7,0)),0))</f>
        <v/>
      </c>
      <c r="AC1851" s="7" t="n"/>
      <c r="AD1851" s="69">
        <f>IF(OR($A1851="",Q1851=""),"",(Q1851-B1851)*24)</f>
        <v/>
      </c>
      <c r="AE1851" s="69">
        <f>IF(OR(Q1851="",R1851=""),"",(R1851-Q1851)*24)</f>
        <v/>
      </c>
      <c r="AF1851" s="77">
        <f>IF(OR($A1851="",B1851=""),"",YEAR(B1851))</f>
        <v/>
      </c>
      <c r="AG1851" s="77">
        <f>IF(OR($A1851="",B1851=""),"",MONTH(B1851))</f>
        <v/>
      </c>
    </row>
    <row r="1852">
      <c r="A1852" s="7" t="n"/>
      <c r="B1852" s="75" t="n"/>
      <c r="C1852" s="7" t="n"/>
      <c r="D1852" s="7" t="n"/>
      <c r="E1852" s="9">
        <f>IF(D1852="","",IFERROR(INDEX('Équipements'!$B$5:$B$304,MATCH(D1852,'Équipements'!$A$5:$A$304,0)),"Code inconnu"))</f>
        <v/>
      </c>
      <c r="F1852" s="9">
        <f>IF(D1852="","",IFERROR(INDEX('Équipements'!$D$5:$D$304,MATCH(D1852,'Équipements'!$A$5:$A$304,0)),""))</f>
        <v/>
      </c>
      <c r="G1852" s="9">
        <f>IF(D1852="","",IFERROR(INDEX('Équipements'!$K$5:$K$304,MATCH(D1852,'Équipements'!$A$5:$A$304,0)),""))</f>
        <v/>
      </c>
      <c r="H1852" s="7" t="n"/>
      <c r="I1852" s="7" t="n"/>
      <c r="J1852" s="7" t="n"/>
      <c r="K1852" s="7" t="n"/>
      <c r="L1852" s="7" t="n"/>
      <c r="M1852" s="7" t="n"/>
      <c r="N1852" s="7" t="n"/>
      <c r="O1852" s="7" t="n"/>
      <c r="P1852" s="65" t="n"/>
      <c r="Q1852" s="75" t="n"/>
      <c r="R1852" s="75" t="n"/>
      <c r="S1852" s="76" t="n"/>
      <c r="T1852" s="76" t="n"/>
      <c r="U1852" s="70">
        <f>IF($A1852="","",IFERROR(INDEX('Techniciens'!$F$5:$F$44,MATCH(O1852,'Techniciens'!$B$5:$B$44,0)),'Paramètres'!$AA$10))</f>
        <v/>
      </c>
      <c r="V1852" s="70">
        <f>IF($A1852="","",IF(OR(AC1852="Demandé",AC1852="Planifié",AC1852="Annulé"),0,N(T1852)*N(U1852)))</f>
        <v/>
      </c>
      <c r="W1852" s="70">
        <f>IF($A1852="","",SUMIFS('Mouvements stock'!$H$5:$H$3004,'Mouvements stock'!$I$5:$I$3004,$A1852,'Mouvements stock'!$C$5:$C$3004,"Sortie")-SUMIFS('Mouvements stock'!$H$5:$H$3004,'Mouvements stock'!$I$5:$I$3004,$A1852,'Mouvements stock'!$C$5:$C$3004,"Retour"))</f>
        <v/>
      </c>
      <c r="X1852" s="66" t="n"/>
      <c r="Y1852" s="66" t="n"/>
      <c r="Z1852" s="7" t="n"/>
      <c r="AA1852" s="70">
        <f>IF($A1852="","",N(V1852)+N(W1852)+N(X1852)+N(Y1852))</f>
        <v/>
      </c>
      <c r="AB1852" s="70">
        <f>IF($A1852="","",N(S1852)*'Paramètres'!$AA$9*IFERROR(INDEX('Paramètres'!$O$5:$O$7,MATCH(G1852,'Paramètres'!$N$5:$N$7,0)),0))</f>
        <v/>
      </c>
      <c r="AC1852" s="7" t="n"/>
      <c r="AD1852" s="69">
        <f>IF(OR($A1852="",Q1852=""),"",(Q1852-B1852)*24)</f>
        <v/>
      </c>
      <c r="AE1852" s="69">
        <f>IF(OR(Q1852="",R1852=""),"",(R1852-Q1852)*24)</f>
        <v/>
      </c>
      <c r="AF1852" s="77">
        <f>IF(OR($A1852="",B1852=""),"",YEAR(B1852))</f>
        <v/>
      </c>
      <c r="AG1852" s="77">
        <f>IF(OR($A1852="",B1852=""),"",MONTH(B1852))</f>
        <v/>
      </c>
    </row>
    <row r="1853">
      <c r="A1853" s="7" t="n"/>
      <c r="B1853" s="75" t="n"/>
      <c r="C1853" s="7" t="n"/>
      <c r="D1853" s="7" t="n"/>
      <c r="E1853" s="9">
        <f>IF(D1853="","",IFERROR(INDEX('Équipements'!$B$5:$B$304,MATCH(D1853,'Équipements'!$A$5:$A$304,0)),"Code inconnu"))</f>
        <v/>
      </c>
      <c r="F1853" s="9">
        <f>IF(D1853="","",IFERROR(INDEX('Équipements'!$D$5:$D$304,MATCH(D1853,'Équipements'!$A$5:$A$304,0)),""))</f>
        <v/>
      </c>
      <c r="G1853" s="9">
        <f>IF(D1853="","",IFERROR(INDEX('Équipements'!$K$5:$K$304,MATCH(D1853,'Équipements'!$A$5:$A$304,0)),""))</f>
        <v/>
      </c>
      <c r="H1853" s="7" t="n"/>
      <c r="I1853" s="7" t="n"/>
      <c r="J1853" s="7" t="n"/>
      <c r="K1853" s="7" t="n"/>
      <c r="L1853" s="7" t="n"/>
      <c r="M1853" s="7" t="n"/>
      <c r="N1853" s="7" t="n"/>
      <c r="O1853" s="7" t="n"/>
      <c r="P1853" s="65" t="n"/>
      <c r="Q1853" s="75" t="n"/>
      <c r="R1853" s="75" t="n"/>
      <c r="S1853" s="76" t="n"/>
      <c r="T1853" s="76" t="n"/>
      <c r="U1853" s="70">
        <f>IF($A1853="","",IFERROR(INDEX('Techniciens'!$F$5:$F$44,MATCH(O1853,'Techniciens'!$B$5:$B$44,0)),'Paramètres'!$AA$10))</f>
        <v/>
      </c>
      <c r="V1853" s="70">
        <f>IF($A1853="","",IF(OR(AC1853="Demandé",AC1853="Planifié",AC1853="Annulé"),0,N(T1853)*N(U1853)))</f>
        <v/>
      </c>
      <c r="W1853" s="70">
        <f>IF($A1853="","",SUMIFS('Mouvements stock'!$H$5:$H$3004,'Mouvements stock'!$I$5:$I$3004,$A1853,'Mouvements stock'!$C$5:$C$3004,"Sortie")-SUMIFS('Mouvements stock'!$H$5:$H$3004,'Mouvements stock'!$I$5:$I$3004,$A1853,'Mouvements stock'!$C$5:$C$3004,"Retour"))</f>
        <v/>
      </c>
      <c r="X1853" s="66" t="n"/>
      <c r="Y1853" s="66" t="n"/>
      <c r="Z1853" s="7" t="n"/>
      <c r="AA1853" s="70">
        <f>IF($A1853="","",N(V1853)+N(W1853)+N(X1853)+N(Y1853))</f>
        <v/>
      </c>
      <c r="AB1853" s="70">
        <f>IF($A1853="","",N(S1853)*'Paramètres'!$AA$9*IFERROR(INDEX('Paramètres'!$O$5:$O$7,MATCH(G1853,'Paramètres'!$N$5:$N$7,0)),0))</f>
        <v/>
      </c>
      <c r="AC1853" s="7" t="n"/>
      <c r="AD1853" s="69">
        <f>IF(OR($A1853="",Q1853=""),"",(Q1853-B1853)*24)</f>
        <v/>
      </c>
      <c r="AE1853" s="69">
        <f>IF(OR(Q1853="",R1853=""),"",(R1853-Q1853)*24)</f>
        <v/>
      </c>
      <c r="AF1853" s="77">
        <f>IF(OR($A1853="",B1853=""),"",YEAR(B1853))</f>
        <v/>
      </c>
      <c r="AG1853" s="77">
        <f>IF(OR($A1853="",B1853=""),"",MONTH(B1853))</f>
        <v/>
      </c>
    </row>
    <row r="1854">
      <c r="A1854" s="7" t="n"/>
      <c r="B1854" s="75" t="n"/>
      <c r="C1854" s="7" t="n"/>
      <c r="D1854" s="7" t="n"/>
      <c r="E1854" s="9">
        <f>IF(D1854="","",IFERROR(INDEX('Équipements'!$B$5:$B$304,MATCH(D1854,'Équipements'!$A$5:$A$304,0)),"Code inconnu"))</f>
        <v/>
      </c>
      <c r="F1854" s="9">
        <f>IF(D1854="","",IFERROR(INDEX('Équipements'!$D$5:$D$304,MATCH(D1854,'Équipements'!$A$5:$A$304,0)),""))</f>
        <v/>
      </c>
      <c r="G1854" s="9">
        <f>IF(D1854="","",IFERROR(INDEX('Équipements'!$K$5:$K$304,MATCH(D1854,'Équipements'!$A$5:$A$304,0)),""))</f>
        <v/>
      </c>
      <c r="H1854" s="7" t="n"/>
      <c r="I1854" s="7" t="n"/>
      <c r="J1854" s="7" t="n"/>
      <c r="K1854" s="7" t="n"/>
      <c r="L1854" s="7" t="n"/>
      <c r="M1854" s="7" t="n"/>
      <c r="N1854" s="7" t="n"/>
      <c r="O1854" s="7" t="n"/>
      <c r="P1854" s="65" t="n"/>
      <c r="Q1854" s="75" t="n"/>
      <c r="R1854" s="75" t="n"/>
      <c r="S1854" s="76" t="n"/>
      <c r="T1854" s="76" t="n"/>
      <c r="U1854" s="70">
        <f>IF($A1854="","",IFERROR(INDEX('Techniciens'!$F$5:$F$44,MATCH(O1854,'Techniciens'!$B$5:$B$44,0)),'Paramètres'!$AA$10))</f>
        <v/>
      </c>
      <c r="V1854" s="70">
        <f>IF($A1854="","",IF(OR(AC1854="Demandé",AC1854="Planifié",AC1854="Annulé"),0,N(T1854)*N(U1854)))</f>
        <v/>
      </c>
      <c r="W1854" s="70">
        <f>IF($A1854="","",SUMIFS('Mouvements stock'!$H$5:$H$3004,'Mouvements stock'!$I$5:$I$3004,$A1854,'Mouvements stock'!$C$5:$C$3004,"Sortie")-SUMIFS('Mouvements stock'!$H$5:$H$3004,'Mouvements stock'!$I$5:$I$3004,$A1854,'Mouvements stock'!$C$5:$C$3004,"Retour"))</f>
        <v/>
      </c>
      <c r="X1854" s="66" t="n"/>
      <c r="Y1854" s="66" t="n"/>
      <c r="Z1854" s="7" t="n"/>
      <c r="AA1854" s="70">
        <f>IF($A1854="","",N(V1854)+N(W1854)+N(X1854)+N(Y1854))</f>
        <v/>
      </c>
      <c r="AB1854" s="70">
        <f>IF($A1854="","",N(S1854)*'Paramètres'!$AA$9*IFERROR(INDEX('Paramètres'!$O$5:$O$7,MATCH(G1854,'Paramètres'!$N$5:$N$7,0)),0))</f>
        <v/>
      </c>
      <c r="AC1854" s="7" t="n"/>
      <c r="AD1854" s="69">
        <f>IF(OR($A1854="",Q1854=""),"",(Q1854-B1854)*24)</f>
        <v/>
      </c>
      <c r="AE1854" s="69">
        <f>IF(OR(Q1854="",R1854=""),"",(R1854-Q1854)*24)</f>
        <v/>
      </c>
      <c r="AF1854" s="77">
        <f>IF(OR($A1854="",B1854=""),"",YEAR(B1854))</f>
        <v/>
      </c>
      <c r="AG1854" s="77">
        <f>IF(OR($A1854="",B1854=""),"",MONTH(B1854))</f>
        <v/>
      </c>
    </row>
    <row r="1855">
      <c r="A1855" s="7" t="n"/>
      <c r="B1855" s="75" t="n"/>
      <c r="C1855" s="7" t="n"/>
      <c r="D1855" s="7" t="n"/>
      <c r="E1855" s="9">
        <f>IF(D1855="","",IFERROR(INDEX('Équipements'!$B$5:$B$304,MATCH(D1855,'Équipements'!$A$5:$A$304,0)),"Code inconnu"))</f>
        <v/>
      </c>
      <c r="F1855" s="9">
        <f>IF(D1855="","",IFERROR(INDEX('Équipements'!$D$5:$D$304,MATCH(D1855,'Équipements'!$A$5:$A$304,0)),""))</f>
        <v/>
      </c>
      <c r="G1855" s="9">
        <f>IF(D1855="","",IFERROR(INDEX('Équipements'!$K$5:$K$304,MATCH(D1855,'Équipements'!$A$5:$A$304,0)),""))</f>
        <v/>
      </c>
      <c r="H1855" s="7" t="n"/>
      <c r="I1855" s="7" t="n"/>
      <c r="J1855" s="7" t="n"/>
      <c r="K1855" s="7" t="n"/>
      <c r="L1855" s="7" t="n"/>
      <c r="M1855" s="7" t="n"/>
      <c r="N1855" s="7" t="n"/>
      <c r="O1855" s="7" t="n"/>
      <c r="P1855" s="65" t="n"/>
      <c r="Q1855" s="75" t="n"/>
      <c r="R1855" s="75" t="n"/>
      <c r="S1855" s="76" t="n"/>
      <c r="T1855" s="76" t="n"/>
      <c r="U1855" s="70">
        <f>IF($A1855="","",IFERROR(INDEX('Techniciens'!$F$5:$F$44,MATCH(O1855,'Techniciens'!$B$5:$B$44,0)),'Paramètres'!$AA$10))</f>
        <v/>
      </c>
      <c r="V1855" s="70">
        <f>IF($A1855="","",IF(OR(AC1855="Demandé",AC1855="Planifié",AC1855="Annulé"),0,N(T1855)*N(U1855)))</f>
        <v/>
      </c>
      <c r="W1855" s="70">
        <f>IF($A1855="","",SUMIFS('Mouvements stock'!$H$5:$H$3004,'Mouvements stock'!$I$5:$I$3004,$A1855,'Mouvements stock'!$C$5:$C$3004,"Sortie")-SUMIFS('Mouvements stock'!$H$5:$H$3004,'Mouvements stock'!$I$5:$I$3004,$A1855,'Mouvements stock'!$C$5:$C$3004,"Retour"))</f>
        <v/>
      </c>
      <c r="X1855" s="66" t="n"/>
      <c r="Y1855" s="66" t="n"/>
      <c r="Z1855" s="7" t="n"/>
      <c r="AA1855" s="70">
        <f>IF($A1855="","",N(V1855)+N(W1855)+N(X1855)+N(Y1855))</f>
        <v/>
      </c>
      <c r="AB1855" s="70">
        <f>IF($A1855="","",N(S1855)*'Paramètres'!$AA$9*IFERROR(INDEX('Paramètres'!$O$5:$O$7,MATCH(G1855,'Paramètres'!$N$5:$N$7,0)),0))</f>
        <v/>
      </c>
      <c r="AC1855" s="7" t="n"/>
      <c r="AD1855" s="69">
        <f>IF(OR($A1855="",Q1855=""),"",(Q1855-B1855)*24)</f>
        <v/>
      </c>
      <c r="AE1855" s="69">
        <f>IF(OR(Q1855="",R1855=""),"",(R1855-Q1855)*24)</f>
        <v/>
      </c>
      <c r="AF1855" s="77">
        <f>IF(OR($A1855="",B1855=""),"",YEAR(B1855))</f>
        <v/>
      </c>
      <c r="AG1855" s="77">
        <f>IF(OR($A1855="",B1855=""),"",MONTH(B1855))</f>
        <v/>
      </c>
    </row>
    <row r="1856">
      <c r="A1856" s="7" t="n"/>
      <c r="B1856" s="75" t="n"/>
      <c r="C1856" s="7" t="n"/>
      <c r="D1856" s="7" t="n"/>
      <c r="E1856" s="9">
        <f>IF(D1856="","",IFERROR(INDEX('Équipements'!$B$5:$B$304,MATCH(D1856,'Équipements'!$A$5:$A$304,0)),"Code inconnu"))</f>
        <v/>
      </c>
      <c r="F1856" s="9">
        <f>IF(D1856="","",IFERROR(INDEX('Équipements'!$D$5:$D$304,MATCH(D1856,'Équipements'!$A$5:$A$304,0)),""))</f>
        <v/>
      </c>
      <c r="G1856" s="9">
        <f>IF(D1856="","",IFERROR(INDEX('Équipements'!$K$5:$K$304,MATCH(D1856,'Équipements'!$A$5:$A$304,0)),""))</f>
        <v/>
      </c>
      <c r="H1856" s="7" t="n"/>
      <c r="I1856" s="7" t="n"/>
      <c r="J1856" s="7" t="n"/>
      <c r="K1856" s="7" t="n"/>
      <c r="L1856" s="7" t="n"/>
      <c r="M1856" s="7" t="n"/>
      <c r="N1856" s="7" t="n"/>
      <c r="O1856" s="7" t="n"/>
      <c r="P1856" s="65" t="n"/>
      <c r="Q1856" s="75" t="n"/>
      <c r="R1856" s="75" t="n"/>
      <c r="S1856" s="76" t="n"/>
      <c r="T1856" s="76" t="n"/>
      <c r="U1856" s="70">
        <f>IF($A1856="","",IFERROR(INDEX('Techniciens'!$F$5:$F$44,MATCH(O1856,'Techniciens'!$B$5:$B$44,0)),'Paramètres'!$AA$10))</f>
        <v/>
      </c>
      <c r="V1856" s="70">
        <f>IF($A1856="","",IF(OR(AC1856="Demandé",AC1856="Planifié",AC1856="Annulé"),0,N(T1856)*N(U1856)))</f>
        <v/>
      </c>
      <c r="W1856" s="70">
        <f>IF($A1856="","",SUMIFS('Mouvements stock'!$H$5:$H$3004,'Mouvements stock'!$I$5:$I$3004,$A1856,'Mouvements stock'!$C$5:$C$3004,"Sortie")-SUMIFS('Mouvements stock'!$H$5:$H$3004,'Mouvements stock'!$I$5:$I$3004,$A1856,'Mouvements stock'!$C$5:$C$3004,"Retour"))</f>
        <v/>
      </c>
      <c r="X1856" s="66" t="n"/>
      <c r="Y1856" s="66" t="n"/>
      <c r="Z1856" s="7" t="n"/>
      <c r="AA1856" s="70">
        <f>IF($A1856="","",N(V1856)+N(W1856)+N(X1856)+N(Y1856))</f>
        <v/>
      </c>
      <c r="AB1856" s="70">
        <f>IF($A1856="","",N(S1856)*'Paramètres'!$AA$9*IFERROR(INDEX('Paramètres'!$O$5:$O$7,MATCH(G1856,'Paramètres'!$N$5:$N$7,0)),0))</f>
        <v/>
      </c>
      <c r="AC1856" s="7" t="n"/>
      <c r="AD1856" s="69">
        <f>IF(OR($A1856="",Q1856=""),"",(Q1856-B1856)*24)</f>
        <v/>
      </c>
      <c r="AE1856" s="69">
        <f>IF(OR(Q1856="",R1856=""),"",(R1856-Q1856)*24)</f>
        <v/>
      </c>
      <c r="AF1856" s="77">
        <f>IF(OR($A1856="",B1856=""),"",YEAR(B1856))</f>
        <v/>
      </c>
      <c r="AG1856" s="77">
        <f>IF(OR($A1856="",B1856=""),"",MONTH(B1856))</f>
        <v/>
      </c>
    </row>
    <row r="1857">
      <c r="A1857" s="7" t="n"/>
      <c r="B1857" s="75" t="n"/>
      <c r="C1857" s="7" t="n"/>
      <c r="D1857" s="7" t="n"/>
      <c r="E1857" s="9">
        <f>IF(D1857="","",IFERROR(INDEX('Équipements'!$B$5:$B$304,MATCH(D1857,'Équipements'!$A$5:$A$304,0)),"Code inconnu"))</f>
        <v/>
      </c>
      <c r="F1857" s="9">
        <f>IF(D1857="","",IFERROR(INDEX('Équipements'!$D$5:$D$304,MATCH(D1857,'Équipements'!$A$5:$A$304,0)),""))</f>
        <v/>
      </c>
      <c r="G1857" s="9">
        <f>IF(D1857="","",IFERROR(INDEX('Équipements'!$K$5:$K$304,MATCH(D1857,'Équipements'!$A$5:$A$304,0)),""))</f>
        <v/>
      </c>
      <c r="H1857" s="7" t="n"/>
      <c r="I1857" s="7" t="n"/>
      <c r="J1857" s="7" t="n"/>
      <c r="K1857" s="7" t="n"/>
      <c r="L1857" s="7" t="n"/>
      <c r="M1857" s="7" t="n"/>
      <c r="N1857" s="7" t="n"/>
      <c r="O1857" s="7" t="n"/>
      <c r="P1857" s="65" t="n"/>
      <c r="Q1857" s="75" t="n"/>
      <c r="R1857" s="75" t="n"/>
      <c r="S1857" s="76" t="n"/>
      <c r="T1857" s="76" t="n"/>
      <c r="U1857" s="70">
        <f>IF($A1857="","",IFERROR(INDEX('Techniciens'!$F$5:$F$44,MATCH(O1857,'Techniciens'!$B$5:$B$44,0)),'Paramètres'!$AA$10))</f>
        <v/>
      </c>
      <c r="V1857" s="70">
        <f>IF($A1857="","",IF(OR(AC1857="Demandé",AC1857="Planifié",AC1857="Annulé"),0,N(T1857)*N(U1857)))</f>
        <v/>
      </c>
      <c r="W1857" s="70">
        <f>IF($A1857="","",SUMIFS('Mouvements stock'!$H$5:$H$3004,'Mouvements stock'!$I$5:$I$3004,$A1857,'Mouvements stock'!$C$5:$C$3004,"Sortie")-SUMIFS('Mouvements stock'!$H$5:$H$3004,'Mouvements stock'!$I$5:$I$3004,$A1857,'Mouvements stock'!$C$5:$C$3004,"Retour"))</f>
        <v/>
      </c>
      <c r="X1857" s="66" t="n"/>
      <c r="Y1857" s="66" t="n"/>
      <c r="Z1857" s="7" t="n"/>
      <c r="AA1857" s="70">
        <f>IF($A1857="","",N(V1857)+N(W1857)+N(X1857)+N(Y1857))</f>
        <v/>
      </c>
      <c r="AB1857" s="70">
        <f>IF($A1857="","",N(S1857)*'Paramètres'!$AA$9*IFERROR(INDEX('Paramètres'!$O$5:$O$7,MATCH(G1857,'Paramètres'!$N$5:$N$7,0)),0))</f>
        <v/>
      </c>
      <c r="AC1857" s="7" t="n"/>
      <c r="AD1857" s="69">
        <f>IF(OR($A1857="",Q1857=""),"",(Q1857-B1857)*24)</f>
        <v/>
      </c>
      <c r="AE1857" s="69">
        <f>IF(OR(Q1857="",R1857=""),"",(R1857-Q1857)*24)</f>
        <v/>
      </c>
      <c r="AF1857" s="77">
        <f>IF(OR($A1857="",B1857=""),"",YEAR(B1857))</f>
        <v/>
      </c>
      <c r="AG1857" s="77">
        <f>IF(OR($A1857="",B1857=""),"",MONTH(B1857))</f>
        <v/>
      </c>
    </row>
    <row r="1858">
      <c r="A1858" s="7" t="n"/>
      <c r="B1858" s="75" t="n"/>
      <c r="C1858" s="7" t="n"/>
      <c r="D1858" s="7" t="n"/>
      <c r="E1858" s="9">
        <f>IF(D1858="","",IFERROR(INDEX('Équipements'!$B$5:$B$304,MATCH(D1858,'Équipements'!$A$5:$A$304,0)),"Code inconnu"))</f>
        <v/>
      </c>
      <c r="F1858" s="9">
        <f>IF(D1858="","",IFERROR(INDEX('Équipements'!$D$5:$D$304,MATCH(D1858,'Équipements'!$A$5:$A$304,0)),""))</f>
        <v/>
      </c>
      <c r="G1858" s="9">
        <f>IF(D1858="","",IFERROR(INDEX('Équipements'!$K$5:$K$304,MATCH(D1858,'Équipements'!$A$5:$A$304,0)),""))</f>
        <v/>
      </c>
      <c r="H1858" s="7" t="n"/>
      <c r="I1858" s="7" t="n"/>
      <c r="J1858" s="7" t="n"/>
      <c r="K1858" s="7" t="n"/>
      <c r="L1858" s="7" t="n"/>
      <c r="M1858" s="7" t="n"/>
      <c r="N1858" s="7" t="n"/>
      <c r="O1858" s="7" t="n"/>
      <c r="P1858" s="65" t="n"/>
      <c r="Q1858" s="75" t="n"/>
      <c r="R1858" s="75" t="n"/>
      <c r="S1858" s="76" t="n"/>
      <c r="T1858" s="76" t="n"/>
      <c r="U1858" s="70">
        <f>IF($A1858="","",IFERROR(INDEX('Techniciens'!$F$5:$F$44,MATCH(O1858,'Techniciens'!$B$5:$B$44,0)),'Paramètres'!$AA$10))</f>
        <v/>
      </c>
      <c r="V1858" s="70">
        <f>IF($A1858="","",IF(OR(AC1858="Demandé",AC1858="Planifié",AC1858="Annulé"),0,N(T1858)*N(U1858)))</f>
        <v/>
      </c>
      <c r="W1858" s="70">
        <f>IF($A1858="","",SUMIFS('Mouvements stock'!$H$5:$H$3004,'Mouvements stock'!$I$5:$I$3004,$A1858,'Mouvements stock'!$C$5:$C$3004,"Sortie")-SUMIFS('Mouvements stock'!$H$5:$H$3004,'Mouvements stock'!$I$5:$I$3004,$A1858,'Mouvements stock'!$C$5:$C$3004,"Retour"))</f>
        <v/>
      </c>
      <c r="X1858" s="66" t="n"/>
      <c r="Y1858" s="66" t="n"/>
      <c r="Z1858" s="7" t="n"/>
      <c r="AA1858" s="70">
        <f>IF($A1858="","",N(V1858)+N(W1858)+N(X1858)+N(Y1858))</f>
        <v/>
      </c>
      <c r="AB1858" s="70">
        <f>IF($A1858="","",N(S1858)*'Paramètres'!$AA$9*IFERROR(INDEX('Paramètres'!$O$5:$O$7,MATCH(G1858,'Paramètres'!$N$5:$N$7,0)),0))</f>
        <v/>
      </c>
      <c r="AC1858" s="7" t="n"/>
      <c r="AD1858" s="69">
        <f>IF(OR($A1858="",Q1858=""),"",(Q1858-B1858)*24)</f>
        <v/>
      </c>
      <c r="AE1858" s="69">
        <f>IF(OR(Q1858="",R1858=""),"",(R1858-Q1858)*24)</f>
        <v/>
      </c>
      <c r="AF1858" s="77">
        <f>IF(OR($A1858="",B1858=""),"",YEAR(B1858))</f>
        <v/>
      </c>
      <c r="AG1858" s="77">
        <f>IF(OR($A1858="",B1858=""),"",MONTH(B1858))</f>
        <v/>
      </c>
    </row>
    <row r="1859">
      <c r="A1859" s="7" t="n"/>
      <c r="B1859" s="75" t="n"/>
      <c r="C1859" s="7" t="n"/>
      <c r="D1859" s="7" t="n"/>
      <c r="E1859" s="9">
        <f>IF(D1859="","",IFERROR(INDEX('Équipements'!$B$5:$B$304,MATCH(D1859,'Équipements'!$A$5:$A$304,0)),"Code inconnu"))</f>
        <v/>
      </c>
      <c r="F1859" s="9">
        <f>IF(D1859="","",IFERROR(INDEX('Équipements'!$D$5:$D$304,MATCH(D1859,'Équipements'!$A$5:$A$304,0)),""))</f>
        <v/>
      </c>
      <c r="G1859" s="9">
        <f>IF(D1859="","",IFERROR(INDEX('Équipements'!$K$5:$K$304,MATCH(D1859,'Équipements'!$A$5:$A$304,0)),""))</f>
        <v/>
      </c>
      <c r="H1859" s="7" t="n"/>
      <c r="I1859" s="7" t="n"/>
      <c r="J1859" s="7" t="n"/>
      <c r="K1859" s="7" t="n"/>
      <c r="L1859" s="7" t="n"/>
      <c r="M1859" s="7" t="n"/>
      <c r="N1859" s="7" t="n"/>
      <c r="O1859" s="7" t="n"/>
      <c r="P1859" s="65" t="n"/>
      <c r="Q1859" s="75" t="n"/>
      <c r="R1859" s="75" t="n"/>
      <c r="S1859" s="76" t="n"/>
      <c r="T1859" s="76" t="n"/>
      <c r="U1859" s="70">
        <f>IF($A1859="","",IFERROR(INDEX('Techniciens'!$F$5:$F$44,MATCH(O1859,'Techniciens'!$B$5:$B$44,0)),'Paramètres'!$AA$10))</f>
        <v/>
      </c>
      <c r="V1859" s="70">
        <f>IF($A1859="","",IF(OR(AC1859="Demandé",AC1859="Planifié",AC1859="Annulé"),0,N(T1859)*N(U1859)))</f>
        <v/>
      </c>
      <c r="W1859" s="70">
        <f>IF($A1859="","",SUMIFS('Mouvements stock'!$H$5:$H$3004,'Mouvements stock'!$I$5:$I$3004,$A1859,'Mouvements stock'!$C$5:$C$3004,"Sortie")-SUMIFS('Mouvements stock'!$H$5:$H$3004,'Mouvements stock'!$I$5:$I$3004,$A1859,'Mouvements stock'!$C$5:$C$3004,"Retour"))</f>
        <v/>
      </c>
      <c r="X1859" s="66" t="n"/>
      <c r="Y1859" s="66" t="n"/>
      <c r="Z1859" s="7" t="n"/>
      <c r="AA1859" s="70">
        <f>IF($A1859="","",N(V1859)+N(W1859)+N(X1859)+N(Y1859))</f>
        <v/>
      </c>
      <c r="AB1859" s="70">
        <f>IF($A1859="","",N(S1859)*'Paramètres'!$AA$9*IFERROR(INDEX('Paramètres'!$O$5:$O$7,MATCH(G1859,'Paramètres'!$N$5:$N$7,0)),0))</f>
        <v/>
      </c>
      <c r="AC1859" s="7" t="n"/>
      <c r="AD1859" s="69">
        <f>IF(OR($A1859="",Q1859=""),"",(Q1859-B1859)*24)</f>
        <v/>
      </c>
      <c r="AE1859" s="69">
        <f>IF(OR(Q1859="",R1859=""),"",(R1859-Q1859)*24)</f>
        <v/>
      </c>
      <c r="AF1859" s="77">
        <f>IF(OR($A1859="",B1859=""),"",YEAR(B1859))</f>
        <v/>
      </c>
      <c r="AG1859" s="77">
        <f>IF(OR($A1859="",B1859=""),"",MONTH(B1859))</f>
        <v/>
      </c>
    </row>
    <row r="1860">
      <c r="A1860" s="7" t="n"/>
      <c r="B1860" s="75" t="n"/>
      <c r="C1860" s="7" t="n"/>
      <c r="D1860" s="7" t="n"/>
      <c r="E1860" s="9">
        <f>IF(D1860="","",IFERROR(INDEX('Équipements'!$B$5:$B$304,MATCH(D1860,'Équipements'!$A$5:$A$304,0)),"Code inconnu"))</f>
        <v/>
      </c>
      <c r="F1860" s="9">
        <f>IF(D1860="","",IFERROR(INDEX('Équipements'!$D$5:$D$304,MATCH(D1860,'Équipements'!$A$5:$A$304,0)),""))</f>
        <v/>
      </c>
      <c r="G1860" s="9">
        <f>IF(D1860="","",IFERROR(INDEX('Équipements'!$K$5:$K$304,MATCH(D1860,'Équipements'!$A$5:$A$304,0)),""))</f>
        <v/>
      </c>
      <c r="H1860" s="7" t="n"/>
      <c r="I1860" s="7" t="n"/>
      <c r="J1860" s="7" t="n"/>
      <c r="K1860" s="7" t="n"/>
      <c r="L1860" s="7" t="n"/>
      <c r="M1860" s="7" t="n"/>
      <c r="N1860" s="7" t="n"/>
      <c r="O1860" s="7" t="n"/>
      <c r="P1860" s="65" t="n"/>
      <c r="Q1860" s="75" t="n"/>
      <c r="R1860" s="75" t="n"/>
      <c r="S1860" s="76" t="n"/>
      <c r="T1860" s="76" t="n"/>
      <c r="U1860" s="70">
        <f>IF($A1860="","",IFERROR(INDEX('Techniciens'!$F$5:$F$44,MATCH(O1860,'Techniciens'!$B$5:$B$44,0)),'Paramètres'!$AA$10))</f>
        <v/>
      </c>
      <c r="V1860" s="70">
        <f>IF($A1860="","",IF(OR(AC1860="Demandé",AC1860="Planifié",AC1860="Annulé"),0,N(T1860)*N(U1860)))</f>
        <v/>
      </c>
      <c r="W1860" s="70">
        <f>IF($A1860="","",SUMIFS('Mouvements stock'!$H$5:$H$3004,'Mouvements stock'!$I$5:$I$3004,$A1860,'Mouvements stock'!$C$5:$C$3004,"Sortie")-SUMIFS('Mouvements stock'!$H$5:$H$3004,'Mouvements stock'!$I$5:$I$3004,$A1860,'Mouvements stock'!$C$5:$C$3004,"Retour"))</f>
        <v/>
      </c>
      <c r="X1860" s="66" t="n"/>
      <c r="Y1860" s="66" t="n"/>
      <c r="Z1860" s="7" t="n"/>
      <c r="AA1860" s="70">
        <f>IF($A1860="","",N(V1860)+N(W1860)+N(X1860)+N(Y1860))</f>
        <v/>
      </c>
      <c r="AB1860" s="70">
        <f>IF($A1860="","",N(S1860)*'Paramètres'!$AA$9*IFERROR(INDEX('Paramètres'!$O$5:$O$7,MATCH(G1860,'Paramètres'!$N$5:$N$7,0)),0))</f>
        <v/>
      </c>
      <c r="AC1860" s="7" t="n"/>
      <c r="AD1860" s="69">
        <f>IF(OR($A1860="",Q1860=""),"",(Q1860-B1860)*24)</f>
        <v/>
      </c>
      <c r="AE1860" s="69">
        <f>IF(OR(Q1860="",R1860=""),"",(R1860-Q1860)*24)</f>
        <v/>
      </c>
      <c r="AF1860" s="77">
        <f>IF(OR($A1860="",B1860=""),"",YEAR(B1860))</f>
        <v/>
      </c>
      <c r="AG1860" s="77">
        <f>IF(OR($A1860="",B1860=""),"",MONTH(B1860))</f>
        <v/>
      </c>
    </row>
    <row r="1861">
      <c r="A1861" s="7" t="n"/>
      <c r="B1861" s="75" t="n"/>
      <c r="C1861" s="7" t="n"/>
      <c r="D1861" s="7" t="n"/>
      <c r="E1861" s="9">
        <f>IF(D1861="","",IFERROR(INDEX('Équipements'!$B$5:$B$304,MATCH(D1861,'Équipements'!$A$5:$A$304,0)),"Code inconnu"))</f>
        <v/>
      </c>
      <c r="F1861" s="9">
        <f>IF(D1861="","",IFERROR(INDEX('Équipements'!$D$5:$D$304,MATCH(D1861,'Équipements'!$A$5:$A$304,0)),""))</f>
        <v/>
      </c>
      <c r="G1861" s="9">
        <f>IF(D1861="","",IFERROR(INDEX('Équipements'!$K$5:$K$304,MATCH(D1861,'Équipements'!$A$5:$A$304,0)),""))</f>
        <v/>
      </c>
      <c r="H1861" s="7" t="n"/>
      <c r="I1861" s="7" t="n"/>
      <c r="J1861" s="7" t="n"/>
      <c r="K1861" s="7" t="n"/>
      <c r="L1861" s="7" t="n"/>
      <c r="M1861" s="7" t="n"/>
      <c r="N1861" s="7" t="n"/>
      <c r="O1861" s="7" t="n"/>
      <c r="P1861" s="65" t="n"/>
      <c r="Q1861" s="75" t="n"/>
      <c r="R1861" s="75" t="n"/>
      <c r="S1861" s="76" t="n"/>
      <c r="T1861" s="76" t="n"/>
      <c r="U1861" s="70">
        <f>IF($A1861="","",IFERROR(INDEX('Techniciens'!$F$5:$F$44,MATCH(O1861,'Techniciens'!$B$5:$B$44,0)),'Paramètres'!$AA$10))</f>
        <v/>
      </c>
      <c r="V1861" s="70">
        <f>IF($A1861="","",IF(OR(AC1861="Demandé",AC1861="Planifié",AC1861="Annulé"),0,N(T1861)*N(U1861)))</f>
        <v/>
      </c>
      <c r="W1861" s="70">
        <f>IF($A1861="","",SUMIFS('Mouvements stock'!$H$5:$H$3004,'Mouvements stock'!$I$5:$I$3004,$A1861,'Mouvements stock'!$C$5:$C$3004,"Sortie")-SUMIFS('Mouvements stock'!$H$5:$H$3004,'Mouvements stock'!$I$5:$I$3004,$A1861,'Mouvements stock'!$C$5:$C$3004,"Retour"))</f>
        <v/>
      </c>
      <c r="X1861" s="66" t="n"/>
      <c r="Y1861" s="66" t="n"/>
      <c r="Z1861" s="7" t="n"/>
      <c r="AA1861" s="70">
        <f>IF($A1861="","",N(V1861)+N(W1861)+N(X1861)+N(Y1861))</f>
        <v/>
      </c>
      <c r="AB1861" s="70">
        <f>IF($A1861="","",N(S1861)*'Paramètres'!$AA$9*IFERROR(INDEX('Paramètres'!$O$5:$O$7,MATCH(G1861,'Paramètres'!$N$5:$N$7,0)),0))</f>
        <v/>
      </c>
      <c r="AC1861" s="7" t="n"/>
      <c r="AD1861" s="69">
        <f>IF(OR($A1861="",Q1861=""),"",(Q1861-B1861)*24)</f>
        <v/>
      </c>
      <c r="AE1861" s="69">
        <f>IF(OR(Q1861="",R1861=""),"",(R1861-Q1861)*24)</f>
        <v/>
      </c>
      <c r="AF1861" s="77">
        <f>IF(OR($A1861="",B1861=""),"",YEAR(B1861))</f>
        <v/>
      </c>
      <c r="AG1861" s="77">
        <f>IF(OR($A1861="",B1861=""),"",MONTH(B1861))</f>
        <v/>
      </c>
    </row>
    <row r="1862">
      <c r="A1862" s="7" t="n"/>
      <c r="B1862" s="75" t="n"/>
      <c r="C1862" s="7" t="n"/>
      <c r="D1862" s="7" t="n"/>
      <c r="E1862" s="9">
        <f>IF(D1862="","",IFERROR(INDEX('Équipements'!$B$5:$B$304,MATCH(D1862,'Équipements'!$A$5:$A$304,0)),"Code inconnu"))</f>
        <v/>
      </c>
      <c r="F1862" s="9">
        <f>IF(D1862="","",IFERROR(INDEX('Équipements'!$D$5:$D$304,MATCH(D1862,'Équipements'!$A$5:$A$304,0)),""))</f>
        <v/>
      </c>
      <c r="G1862" s="9">
        <f>IF(D1862="","",IFERROR(INDEX('Équipements'!$K$5:$K$304,MATCH(D1862,'Équipements'!$A$5:$A$304,0)),""))</f>
        <v/>
      </c>
      <c r="H1862" s="7" t="n"/>
      <c r="I1862" s="7" t="n"/>
      <c r="J1862" s="7" t="n"/>
      <c r="K1862" s="7" t="n"/>
      <c r="L1862" s="7" t="n"/>
      <c r="M1862" s="7" t="n"/>
      <c r="N1862" s="7" t="n"/>
      <c r="O1862" s="7" t="n"/>
      <c r="P1862" s="65" t="n"/>
      <c r="Q1862" s="75" t="n"/>
      <c r="R1862" s="75" t="n"/>
      <c r="S1862" s="76" t="n"/>
      <c r="T1862" s="76" t="n"/>
      <c r="U1862" s="70">
        <f>IF($A1862="","",IFERROR(INDEX('Techniciens'!$F$5:$F$44,MATCH(O1862,'Techniciens'!$B$5:$B$44,0)),'Paramètres'!$AA$10))</f>
        <v/>
      </c>
      <c r="V1862" s="70">
        <f>IF($A1862="","",IF(OR(AC1862="Demandé",AC1862="Planifié",AC1862="Annulé"),0,N(T1862)*N(U1862)))</f>
        <v/>
      </c>
      <c r="W1862" s="70">
        <f>IF($A1862="","",SUMIFS('Mouvements stock'!$H$5:$H$3004,'Mouvements stock'!$I$5:$I$3004,$A1862,'Mouvements stock'!$C$5:$C$3004,"Sortie")-SUMIFS('Mouvements stock'!$H$5:$H$3004,'Mouvements stock'!$I$5:$I$3004,$A1862,'Mouvements stock'!$C$5:$C$3004,"Retour"))</f>
        <v/>
      </c>
      <c r="X1862" s="66" t="n"/>
      <c r="Y1862" s="66" t="n"/>
      <c r="Z1862" s="7" t="n"/>
      <c r="AA1862" s="70">
        <f>IF($A1862="","",N(V1862)+N(W1862)+N(X1862)+N(Y1862))</f>
        <v/>
      </c>
      <c r="AB1862" s="70">
        <f>IF($A1862="","",N(S1862)*'Paramètres'!$AA$9*IFERROR(INDEX('Paramètres'!$O$5:$O$7,MATCH(G1862,'Paramètres'!$N$5:$N$7,0)),0))</f>
        <v/>
      </c>
      <c r="AC1862" s="7" t="n"/>
      <c r="AD1862" s="69">
        <f>IF(OR($A1862="",Q1862=""),"",(Q1862-B1862)*24)</f>
        <v/>
      </c>
      <c r="AE1862" s="69">
        <f>IF(OR(Q1862="",R1862=""),"",(R1862-Q1862)*24)</f>
        <v/>
      </c>
      <c r="AF1862" s="77">
        <f>IF(OR($A1862="",B1862=""),"",YEAR(B1862))</f>
        <v/>
      </c>
      <c r="AG1862" s="77">
        <f>IF(OR($A1862="",B1862=""),"",MONTH(B1862))</f>
        <v/>
      </c>
    </row>
    <row r="1863">
      <c r="A1863" s="7" t="n"/>
      <c r="B1863" s="75" t="n"/>
      <c r="C1863" s="7" t="n"/>
      <c r="D1863" s="7" t="n"/>
      <c r="E1863" s="9">
        <f>IF(D1863="","",IFERROR(INDEX('Équipements'!$B$5:$B$304,MATCH(D1863,'Équipements'!$A$5:$A$304,0)),"Code inconnu"))</f>
        <v/>
      </c>
      <c r="F1863" s="9">
        <f>IF(D1863="","",IFERROR(INDEX('Équipements'!$D$5:$D$304,MATCH(D1863,'Équipements'!$A$5:$A$304,0)),""))</f>
        <v/>
      </c>
      <c r="G1863" s="9">
        <f>IF(D1863="","",IFERROR(INDEX('Équipements'!$K$5:$K$304,MATCH(D1863,'Équipements'!$A$5:$A$304,0)),""))</f>
        <v/>
      </c>
      <c r="H1863" s="7" t="n"/>
      <c r="I1863" s="7" t="n"/>
      <c r="J1863" s="7" t="n"/>
      <c r="K1863" s="7" t="n"/>
      <c r="L1863" s="7" t="n"/>
      <c r="M1863" s="7" t="n"/>
      <c r="N1863" s="7" t="n"/>
      <c r="O1863" s="7" t="n"/>
      <c r="P1863" s="65" t="n"/>
      <c r="Q1863" s="75" t="n"/>
      <c r="R1863" s="75" t="n"/>
      <c r="S1863" s="76" t="n"/>
      <c r="T1863" s="76" t="n"/>
      <c r="U1863" s="70">
        <f>IF($A1863="","",IFERROR(INDEX('Techniciens'!$F$5:$F$44,MATCH(O1863,'Techniciens'!$B$5:$B$44,0)),'Paramètres'!$AA$10))</f>
        <v/>
      </c>
      <c r="V1863" s="70">
        <f>IF($A1863="","",IF(OR(AC1863="Demandé",AC1863="Planifié",AC1863="Annulé"),0,N(T1863)*N(U1863)))</f>
        <v/>
      </c>
      <c r="W1863" s="70">
        <f>IF($A1863="","",SUMIFS('Mouvements stock'!$H$5:$H$3004,'Mouvements stock'!$I$5:$I$3004,$A1863,'Mouvements stock'!$C$5:$C$3004,"Sortie")-SUMIFS('Mouvements stock'!$H$5:$H$3004,'Mouvements stock'!$I$5:$I$3004,$A1863,'Mouvements stock'!$C$5:$C$3004,"Retour"))</f>
        <v/>
      </c>
      <c r="X1863" s="66" t="n"/>
      <c r="Y1863" s="66" t="n"/>
      <c r="Z1863" s="7" t="n"/>
      <c r="AA1863" s="70">
        <f>IF($A1863="","",N(V1863)+N(W1863)+N(X1863)+N(Y1863))</f>
        <v/>
      </c>
      <c r="AB1863" s="70">
        <f>IF($A1863="","",N(S1863)*'Paramètres'!$AA$9*IFERROR(INDEX('Paramètres'!$O$5:$O$7,MATCH(G1863,'Paramètres'!$N$5:$N$7,0)),0))</f>
        <v/>
      </c>
      <c r="AC1863" s="7" t="n"/>
      <c r="AD1863" s="69">
        <f>IF(OR($A1863="",Q1863=""),"",(Q1863-B1863)*24)</f>
        <v/>
      </c>
      <c r="AE1863" s="69">
        <f>IF(OR(Q1863="",R1863=""),"",(R1863-Q1863)*24)</f>
        <v/>
      </c>
      <c r="AF1863" s="77">
        <f>IF(OR($A1863="",B1863=""),"",YEAR(B1863))</f>
        <v/>
      </c>
      <c r="AG1863" s="77">
        <f>IF(OR($A1863="",B1863=""),"",MONTH(B1863))</f>
        <v/>
      </c>
    </row>
    <row r="1864">
      <c r="A1864" s="7" t="n"/>
      <c r="B1864" s="75" t="n"/>
      <c r="C1864" s="7" t="n"/>
      <c r="D1864" s="7" t="n"/>
      <c r="E1864" s="9">
        <f>IF(D1864="","",IFERROR(INDEX('Équipements'!$B$5:$B$304,MATCH(D1864,'Équipements'!$A$5:$A$304,0)),"Code inconnu"))</f>
        <v/>
      </c>
      <c r="F1864" s="9">
        <f>IF(D1864="","",IFERROR(INDEX('Équipements'!$D$5:$D$304,MATCH(D1864,'Équipements'!$A$5:$A$304,0)),""))</f>
        <v/>
      </c>
      <c r="G1864" s="9">
        <f>IF(D1864="","",IFERROR(INDEX('Équipements'!$K$5:$K$304,MATCH(D1864,'Équipements'!$A$5:$A$304,0)),""))</f>
        <v/>
      </c>
      <c r="H1864" s="7" t="n"/>
      <c r="I1864" s="7" t="n"/>
      <c r="J1864" s="7" t="n"/>
      <c r="K1864" s="7" t="n"/>
      <c r="L1864" s="7" t="n"/>
      <c r="M1864" s="7" t="n"/>
      <c r="N1864" s="7" t="n"/>
      <c r="O1864" s="7" t="n"/>
      <c r="P1864" s="65" t="n"/>
      <c r="Q1864" s="75" t="n"/>
      <c r="R1864" s="75" t="n"/>
      <c r="S1864" s="76" t="n"/>
      <c r="T1864" s="76" t="n"/>
      <c r="U1864" s="70">
        <f>IF($A1864="","",IFERROR(INDEX('Techniciens'!$F$5:$F$44,MATCH(O1864,'Techniciens'!$B$5:$B$44,0)),'Paramètres'!$AA$10))</f>
        <v/>
      </c>
      <c r="V1864" s="70">
        <f>IF($A1864="","",IF(OR(AC1864="Demandé",AC1864="Planifié",AC1864="Annulé"),0,N(T1864)*N(U1864)))</f>
        <v/>
      </c>
      <c r="W1864" s="70">
        <f>IF($A1864="","",SUMIFS('Mouvements stock'!$H$5:$H$3004,'Mouvements stock'!$I$5:$I$3004,$A1864,'Mouvements stock'!$C$5:$C$3004,"Sortie")-SUMIFS('Mouvements stock'!$H$5:$H$3004,'Mouvements stock'!$I$5:$I$3004,$A1864,'Mouvements stock'!$C$5:$C$3004,"Retour"))</f>
        <v/>
      </c>
      <c r="X1864" s="66" t="n"/>
      <c r="Y1864" s="66" t="n"/>
      <c r="Z1864" s="7" t="n"/>
      <c r="AA1864" s="70">
        <f>IF($A1864="","",N(V1864)+N(W1864)+N(X1864)+N(Y1864))</f>
        <v/>
      </c>
      <c r="AB1864" s="70">
        <f>IF($A1864="","",N(S1864)*'Paramètres'!$AA$9*IFERROR(INDEX('Paramètres'!$O$5:$O$7,MATCH(G1864,'Paramètres'!$N$5:$N$7,0)),0))</f>
        <v/>
      </c>
      <c r="AC1864" s="7" t="n"/>
      <c r="AD1864" s="69">
        <f>IF(OR($A1864="",Q1864=""),"",(Q1864-B1864)*24)</f>
        <v/>
      </c>
      <c r="AE1864" s="69">
        <f>IF(OR(Q1864="",R1864=""),"",(R1864-Q1864)*24)</f>
        <v/>
      </c>
      <c r="AF1864" s="77">
        <f>IF(OR($A1864="",B1864=""),"",YEAR(B1864))</f>
        <v/>
      </c>
      <c r="AG1864" s="77">
        <f>IF(OR($A1864="",B1864=""),"",MONTH(B1864))</f>
        <v/>
      </c>
    </row>
    <row r="1865">
      <c r="A1865" s="7" t="n"/>
      <c r="B1865" s="75" t="n"/>
      <c r="C1865" s="7" t="n"/>
      <c r="D1865" s="7" t="n"/>
      <c r="E1865" s="9">
        <f>IF(D1865="","",IFERROR(INDEX('Équipements'!$B$5:$B$304,MATCH(D1865,'Équipements'!$A$5:$A$304,0)),"Code inconnu"))</f>
        <v/>
      </c>
      <c r="F1865" s="9">
        <f>IF(D1865="","",IFERROR(INDEX('Équipements'!$D$5:$D$304,MATCH(D1865,'Équipements'!$A$5:$A$304,0)),""))</f>
        <v/>
      </c>
      <c r="G1865" s="9">
        <f>IF(D1865="","",IFERROR(INDEX('Équipements'!$K$5:$K$304,MATCH(D1865,'Équipements'!$A$5:$A$304,0)),""))</f>
        <v/>
      </c>
      <c r="H1865" s="7" t="n"/>
      <c r="I1865" s="7" t="n"/>
      <c r="J1865" s="7" t="n"/>
      <c r="K1865" s="7" t="n"/>
      <c r="L1865" s="7" t="n"/>
      <c r="M1865" s="7" t="n"/>
      <c r="N1865" s="7" t="n"/>
      <c r="O1865" s="7" t="n"/>
      <c r="P1865" s="65" t="n"/>
      <c r="Q1865" s="75" t="n"/>
      <c r="R1865" s="75" t="n"/>
      <c r="S1865" s="76" t="n"/>
      <c r="T1865" s="76" t="n"/>
      <c r="U1865" s="70">
        <f>IF($A1865="","",IFERROR(INDEX('Techniciens'!$F$5:$F$44,MATCH(O1865,'Techniciens'!$B$5:$B$44,0)),'Paramètres'!$AA$10))</f>
        <v/>
      </c>
      <c r="V1865" s="70">
        <f>IF($A1865="","",IF(OR(AC1865="Demandé",AC1865="Planifié",AC1865="Annulé"),0,N(T1865)*N(U1865)))</f>
        <v/>
      </c>
      <c r="W1865" s="70">
        <f>IF($A1865="","",SUMIFS('Mouvements stock'!$H$5:$H$3004,'Mouvements stock'!$I$5:$I$3004,$A1865,'Mouvements stock'!$C$5:$C$3004,"Sortie")-SUMIFS('Mouvements stock'!$H$5:$H$3004,'Mouvements stock'!$I$5:$I$3004,$A1865,'Mouvements stock'!$C$5:$C$3004,"Retour"))</f>
        <v/>
      </c>
      <c r="X1865" s="66" t="n"/>
      <c r="Y1865" s="66" t="n"/>
      <c r="Z1865" s="7" t="n"/>
      <c r="AA1865" s="70">
        <f>IF($A1865="","",N(V1865)+N(W1865)+N(X1865)+N(Y1865))</f>
        <v/>
      </c>
      <c r="AB1865" s="70">
        <f>IF($A1865="","",N(S1865)*'Paramètres'!$AA$9*IFERROR(INDEX('Paramètres'!$O$5:$O$7,MATCH(G1865,'Paramètres'!$N$5:$N$7,0)),0))</f>
        <v/>
      </c>
      <c r="AC1865" s="7" t="n"/>
      <c r="AD1865" s="69">
        <f>IF(OR($A1865="",Q1865=""),"",(Q1865-B1865)*24)</f>
        <v/>
      </c>
      <c r="AE1865" s="69">
        <f>IF(OR(Q1865="",R1865=""),"",(R1865-Q1865)*24)</f>
        <v/>
      </c>
      <c r="AF1865" s="77">
        <f>IF(OR($A1865="",B1865=""),"",YEAR(B1865))</f>
        <v/>
      </c>
      <c r="AG1865" s="77">
        <f>IF(OR($A1865="",B1865=""),"",MONTH(B1865))</f>
        <v/>
      </c>
    </row>
    <row r="1866">
      <c r="A1866" s="7" t="n"/>
      <c r="B1866" s="75" t="n"/>
      <c r="C1866" s="7" t="n"/>
      <c r="D1866" s="7" t="n"/>
      <c r="E1866" s="9">
        <f>IF(D1866="","",IFERROR(INDEX('Équipements'!$B$5:$B$304,MATCH(D1866,'Équipements'!$A$5:$A$304,0)),"Code inconnu"))</f>
        <v/>
      </c>
      <c r="F1866" s="9">
        <f>IF(D1866="","",IFERROR(INDEX('Équipements'!$D$5:$D$304,MATCH(D1866,'Équipements'!$A$5:$A$304,0)),""))</f>
        <v/>
      </c>
      <c r="G1866" s="9">
        <f>IF(D1866="","",IFERROR(INDEX('Équipements'!$K$5:$K$304,MATCH(D1866,'Équipements'!$A$5:$A$304,0)),""))</f>
        <v/>
      </c>
      <c r="H1866" s="7" t="n"/>
      <c r="I1866" s="7" t="n"/>
      <c r="J1866" s="7" t="n"/>
      <c r="K1866" s="7" t="n"/>
      <c r="L1866" s="7" t="n"/>
      <c r="M1866" s="7" t="n"/>
      <c r="N1866" s="7" t="n"/>
      <c r="O1866" s="7" t="n"/>
      <c r="P1866" s="65" t="n"/>
      <c r="Q1866" s="75" t="n"/>
      <c r="R1866" s="75" t="n"/>
      <c r="S1866" s="76" t="n"/>
      <c r="T1866" s="76" t="n"/>
      <c r="U1866" s="70">
        <f>IF($A1866="","",IFERROR(INDEX('Techniciens'!$F$5:$F$44,MATCH(O1866,'Techniciens'!$B$5:$B$44,0)),'Paramètres'!$AA$10))</f>
        <v/>
      </c>
      <c r="V1866" s="70">
        <f>IF($A1866="","",IF(OR(AC1866="Demandé",AC1866="Planifié",AC1866="Annulé"),0,N(T1866)*N(U1866)))</f>
        <v/>
      </c>
      <c r="W1866" s="70">
        <f>IF($A1866="","",SUMIFS('Mouvements stock'!$H$5:$H$3004,'Mouvements stock'!$I$5:$I$3004,$A1866,'Mouvements stock'!$C$5:$C$3004,"Sortie")-SUMIFS('Mouvements stock'!$H$5:$H$3004,'Mouvements stock'!$I$5:$I$3004,$A1866,'Mouvements stock'!$C$5:$C$3004,"Retour"))</f>
        <v/>
      </c>
      <c r="X1866" s="66" t="n"/>
      <c r="Y1866" s="66" t="n"/>
      <c r="Z1866" s="7" t="n"/>
      <c r="AA1866" s="70">
        <f>IF($A1866="","",N(V1866)+N(W1866)+N(X1866)+N(Y1866))</f>
        <v/>
      </c>
      <c r="AB1866" s="70">
        <f>IF($A1866="","",N(S1866)*'Paramètres'!$AA$9*IFERROR(INDEX('Paramètres'!$O$5:$O$7,MATCH(G1866,'Paramètres'!$N$5:$N$7,0)),0))</f>
        <v/>
      </c>
      <c r="AC1866" s="7" t="n"/>
      <c r="AD1866" s="69">
        <f>IF(OR($A1866="",Q1866=""),"",(Q1866-B1866)*24)</f>
        <v/>
      </c>
      <c r="AE1866" s="69">
        <f>IF(OR(Q1866="",R1866=""),"",(R1866-Q1866)*24)</f>
        <v/>
      </c>
      <c r="AF1866" s="77">
        <f>IF(OR($A1866="",B1866=""),"",YEAR(B1866))</f>
        <v/>
      </c>
      <c r="AG1866" s="77">
        <f>IF(OR($A1866="",B1866=""),"",MONTH(B1866))</f>
        <v/>
      </c>
    </row>
    <row r="1867">
      <c r="A1867" s="7" t="n"/>
      <c r="B1867" s="75" t="n"/>
      <c r="C1867" s="7" t="n"/>
      <c r="D1867" s="7" t="n"/>
      <c r="E1867" s="9">
        <f>IF(D1867="","",IFERROR(INDEX('Équipements'!$B$5:$B$304,MATCH(D1867,'Équipements'!$A$5:$A$304,0)),"Code inconnu"))</f>
        <v/>
      </c>
      <c r="F1867" s="9">
        <f>IF(D1867="","",IFERROR(INDEX('Équipements'!$D$5:$D$304,MATCH(D1867,'Équipements'!$A$5:$A$304,0)),""))</f>
        <v/>
      </c>
      <c r="G1867" s="9">
        <f>IF(D1867="","",IFERROR(INDEX('Équipements'!$K$5:$K$304,MATCH(D1867,'Équipements'!$A$5:$A$304,0)),""))</f>
        <v/>
      </c>
      <c r="H1867" s="7" t="n"/>
      <c r="I1867" s="7" t="n"/>
      <c r="J1867" s="7" t="n"/>
      <c r="K1867" s="7" t="n"/>
      <c r="L1867" s="7" t="n"/>
      <c r="M1867" s="7" t="n"/>
      <c r="N1867" s="7" t="n"/>
      <c r="O1867" s="7" t="n"/>
      <c r="P1867" s="65" t="n"/>
      <c r="Q1867" s="75" t="n"/>
      <c r="R1867" s="75" t="n"/>
      <c r="S1867" s="76" t="n"/>
      <c r="T1867" s="76" t="n"/>
      <c r="U1867" s="70">
        <f>IF($A1867="","",IFERROR(INDEX('Techniciens'!$F$5:$F$44,MATCH(O1867,'Techniciens'!$B$5:$B$44,0)),'Paramètres'!$AA$10))</f>
        <v/>
      </c>
      <c r="V1867" s="70">
        <f>IF($A1867="","",IF(OR(AC1867="Demandé",AC1867="Planifié",AC1867="Annulé"),0,N(T1867)*N(U1867)))</f>
        <v/>
      </c>
      <c r="W1867" s="70">
        <f>IF($A1867="","",SUMIFS('Mouvements stock'!$H$5:$H$3004,'Mouvements stock'!$I$5:$I$3004,$A1867,'Mouvements stock'!$C$5:$C$3004,"Sortie")-SUMIFS('Mouvements stock'!$H$5:$H$3004,'Mouvements stock'!$I$5:$I$3004,$A1867,'Mouvements stock'!$C$5:$C$3004,"Retour"))</f>
        <v/>
      </c>
      <c r="X1867" s="66" t="n"/>
      <c r="Y1867" s="66" t="n"/>
      <c r="Z1867" s="7" t="n"/>
      <c r="AA1867" s="70">
        <f>IF($A1867="","",N(V1867)+N(W1867)+N(X1867)+N(Y1867))</f>
        <v/>
      </c>
      <c r="AB1867" s="70">
        <f>IF($A1867="","",N(S1867)*'Paramètres'!$AA$9*IFERROR(INDEX('Paramètres'!$O$5:$O$7,MATCH(G1867,'Paramètres'!$N$5:$N$7,0)),0))</f>
        <v/>
      </c>
      <c r="AC1867" s="7" t="n"/>
      <c r="AD1867" s="69">
        <f>IF(OR($A1867="",Q1867=""),"",(Q1867-B1867)*24)</f>
        <v/>
      </c>
      <c r="AE1867" s="69">
        <f>IF(OR(Q1867="",R1867=""),"",(R1867-Q1867)*24)</f>
        <v/>
      </c>
      <c r="AF1867" s="77">
        <f>IF(OR($A1867="",B1867=""),"",YEAR(B1867))</f>
        <v/>
      </c>
      <c r="AG1867" s="77">
        <f>IF(OR($A1867="",B1867=""),"",MONTH(B1867))</f>
        <v/>
      </c>
    </row>
    <row r="1868">
      <c r="A1868" s="7" t="n"/>
      <c r="B1868" s="75" t="n"/>
      <c r="C1868" s="7" t="n"/>
      <c r="D1868" s="7" t="n"/>
      <c r="E1868" s="9">
        <f>IF(D1868="","",IFERROR(INDEX('Équipements'!$B$5:$B$304,MATCH(D1868,'Équipements'!$A$5:$A$304,0)),"Code inconnu"))</f>
        <v/>
      </c>
      <c r="F1868" s="9">
        <f>IF(D1868="","",IFERROR(INDEX('Équipements'!$D$5:$D$304,MATCH(D1868,'Équipements'!$A$5:$A$304,0)),""))</f>
        <v/>
      </c>
      <c r="G1868" s="9">
        <f>IF(D1868="","",IFERROR(INDEX('Équipements'!$K$5:$K$304,MATCH(D1868,'Équipements'!$A$5:$A$304,0)),""))</f>
        <v/>
      </c>
      <c r="H1868" s="7" t="n"/>
      <c r="I1868" s="7" t="n"/>
      <c r="J1868" s="7" t="n"/>
      <c r="K1868" s="7" t="n"/>
      <c r="L1868" s="7" t="n"/>
      <c r="M1868" s="7" t="n"/>
      <c r="N1868" s="7" t="n"/>
      <c r="O1868" s="7" t="n"/>
      <c r="P1868" s="65" t="n"/>
      <c r="Q1868" s="75" t="n"/>
      <c r="R1868" s="75" t="n"/>
      <c r="S1868" s="76" t="n"/>
      <c r="T1868" s="76" t="n"/>
      <c r="U1868" s="70">
        <f>IF($A1868="","",IFERROR(INDEX('Techniciens'!$F$5:$F$44,MATCH(O1868,'Techniciens'!$B$5:$B$44,0)),'Paramètres'!$AA$10))</f>
        <v/>
      </c>
      <c r="V1868" s="70">
        <f>IF($A1868="","",IF(OR(AC1868="Demandé",AC1868="Planifié",AC1868="Annulé"),0,N(T1868)*N(U1868)))</f>
        <v/>
      </c>
      <c r="W1868" s="70">
        <f>IF($A1868="","",SUMIFS('Mouvements stock'!$H$5:$H$3004,'Mouvements stock'!$I$5:$I$3004,$A1868,'Mouvements stock'!$C$5:$C$3004,"Sortie")-SUMIFS('Mouvements stock'!$H$5:$H$3004,'Mouvements stock'!$I$5:$I$3004,$A1868,'Mouvements stock'!$C$5:$C$3004,"Retour"))</f>
        <v/>
      </c>
      <c r="X1868" s="66" t="n"/>
      <c r="Y1868" s="66" t="n"/>
      <c r="Z1868" s="7" t="n"/>
      <c r="AA1868" s="70">
        <f>IF($A1868="","",N(V1868)+N(W1868)+N(X1868)+N(Y1868))</f>
        <v/>
      </c>
      <c r="AB1868" s="70">
        <f>IF($A1868="","",N(S1868)*'Paramètres'!$AA$9*IFERROR(INDEX('Paramètres'!$O$5:$O$7,MATCH(G1868,'Paramètres'!$N$5:$N$7,0)),0))</f>
        <v/>
      </c>
      <c r="AC1868" s="7" t="n"/>
      <c r="AD1868" s="69">
        <f>IF(OR($A1868="",Q1868=""),"",(Q1868-B1868)*24)</f>
        <v/>
      </c>
      <c r="AE1868" s="69">
        <f>IF(OR(Q1868="",R1868=""),"",(R1868-Q1868)*24)</f>
        <v/>
      </c>
      <c r="AF1868" s="77">
        <f>IF(OR($A1868="",B1868=""),"",YEAR(B1868))</f>
        <v/>
      </c>
      <c r="AG1868" s="77">
        <f>IF(OR($A1868="",B1868=""),"",MONTH(B1868))</f>
        <v/>
      </c>
    </row>
    <row r="1869">
      <c r="A1869" s="7" t="n"/>
      <c r="B1869" s="75" t="n"/>
      <c r="C1869" s="7" t="n"/>
      <c r="D1869" s="7" t="n"/>
      <c r="E1869" s="9">
        <f>IF(D1869="","",IFERROR(INDEX('Équipements'!$B$5:$B$304,MATCH(D1869,'Équipements'!$A$5:$A$304,0)),"Code inconnu"))</f>
        <v/>
      </c>
      <c r="F1869" s="9">
        <f>IF(D1869="","",IFERROR(INDEX('Équipements'!$D$5:$D$304,MATCH(D1869,'Équipements'!$A$5:$A$304,0)),""))</f>
        <v/>
      </c>
      <c r="G1869" s="9">
        <f>IF(D1869="","",IFERROR(INDEX('Équipements'!$K$5:$K$304,MATCH(D1869,'Équipements'!$A$5:$A$304,0)),""))</f>
        <v/>
      </c>
      <c r="H1869" s="7" t="n"/>
      <c r="I1869" s="7" t="n"/>
      <c r="J1869" s="7" t="n"/>
      <c r="K1869" s="7" t="n"/>
      <c r="L1869" s="7" t="n"/>
      <c r="M1869" s="7" t="n"/>
      <c r="N1869" s="7" t="n"/>
      <c r="O1869" s="7" t="n"/>
      <c r="P1869" s="65" t="n"/>
      <c r="Q1869" s="75" t="n"/>
      <c r="R1869" s="75" t="n"/>
      <c r="S1869" s="76" t="n"/>
      <c r="T1869" s="76" t="n"/>
      <c r="U1869" s="70">
        <f>IF($A1869="","",IFERROR(INDEX('Techniciens'!$F$5:$F$44,MATCH(O1869,'Techniciens'!$B$5:$B$44,0)),'Paramètres'!$AA$10))</f>
        <v/>
      </c>
      <c r="V1869" s="70">
        <f>IF($A1869="","",IF(OR(AC1869="Demandé",AC1869="Planifié",AC1869="Annulé"),0,N(T1869)*N(U1869)))</f>
        <v/>
      </c>
      <c r="W1869" s="70">
        <f>IF($A1869="","",SUMIFS('Mouvements stock'!$H$5:$H$3004,'Mouvements stock'!$I$5:$I$3004,$A1869,'Mouvements stock'!$C$5:$C$3004,"Sortie")-SUMIFS('Mouvements stock'!$H$5:$H$3004,'Mouvements stock'!$I$5:$I$3004,$A1869,'Mouvements stock'!$C$5:$C$3004,"Retour"))</f>
        <v/>
      </c>
      <c r="X1869" s="66" t="n"/>
      <c r="Y1869" s="66" t="n"/>
      <c r="Z1869" s="7" t="n"/>
      <c r="AA1869" s="70">
        <f>IF($A1869="","",N(V1869)+N(W1869)+N(X1869)+N(Y1869))</f>
        <v/>
      </c>
      <c r="AB1869" s="70">
        <f>IF($A1869="","",N(S1869)*'Paramètres'!$AA$9*IFERROR(INDEX('Paramètres'!$O$5:$O$7,MATCH(G1869,'Paramètres'!$N$5:$N$7,0)),0))</f>
        <v/>
      </c>
      <c r="AC1869" s="7" t="n"/>
      <c r="AD1869" s="69">
        <f>IF(OR($A1869="",Q1869=""),"",(Q1869-B1869)*24)</f>
        <v/>
      </c>
      <c r="AE1869" s="69">
        <f>IF(OR(Q1869="",R1869=""),"",(R1869-Q1869)*24)</f>
        <v/>
      </c>
      <c r="AF1869" s="77">
        <f>IF(OR($A1869="",B1869=""),"",YEAR(B1869))</f>
        <v/>
      </c>
      <c r="AG1869" s="77">
        <f>IF(OR($A1869="",B1869=""),"",MONTH(B1869))</f>
        <v/>
      </c>
    </row>
    <row r="1870">
      <c r="A1870" s="7" t="n"/>
      <c r="B1870" s="75" t="n"/>
      <c r="C1870" s="7" t="n"/>
      <c r="D1870" s="7" t="n"/>
      <c r="E1870" s="9">
        <f>IF(D1870="","",IFERROR(INDEX('Équipements'!$B$5:$B$304,MATCH(D1870,'Équipements'!$A$5:$A$304,0)),"Code inconnu"))</f>
        <v/>
      </c>
      <c r="F1870" s="9">
        <f>IF(D1870="","",IFERROR(INDEX('Équipements'!$D$5:$D$304,MATCH(D1870,'Équipements'!$A$5:$A$304,0)),""))</f>
        <v/>
      </c>
      <c r="G1870" s="9">
        <f>IF(D1870="","",IFERROR(INDEX('Équipements'!$K$5:$K$304,MATCH(D1870,'Équipements'!$A$5:$A$304,0)),""))</f>
        <v/>
      </c>
      <c r="H1870" s="7" t="n"/>
      <c r="I1870" s="7" t="n"/>
      <c r="J1870" s="7" t="n"/>
      <c r="K1870" s="7" t="n"/>
      <c r="L1870" s="7" t="n"/>
      <c r="M1870" s="7" t="n"/>
      <c r="N1870" s="7" t="n"/>
      <c r="O1870" s="7" t="n"/>
      <c r="P1870" s="65" t="n"/>
      <c r="Q1870" s="75" t="n"/>
      <c r="R1870" s="75" t="n"/>
      <c r="S1870" s="76" t="n"/>
      <c r="T1870" s="76" t="n"/>
      <c r="U1870" s="70">
        <f>IF($A1870="","",IFERROR(INDEX('Techniciens'!$F$5:$F$44,MATCH(O1870,'Techniciens'!$B$5:$B$44,0)),'Paramètres'!$AA$10))</f>
        <v/>
      </c>
      <c r="V1870" s="70">
        <f>IF($A1870="","",IF(OR(AC1870="Demandé",AC1870="Planifié",AC1870="Annulé"),0,N(T1870)*N(U1870)))</f>
        <v/>
      </c>
      <c r="W1870" s="70">
        <f>IF($A1870="","",SUMIFS('Mouvements stock'!$H$5:$H$3004,'Mouvements stock'!$I$5:$I$3004,$A1870,'Mouvements stock'!$C$5:$C$3004,"Sortie")-SUMIFS('Mouvements stock'!$H$5:$H$3004,'Mouvements stock'!$I$5:$I$3004,$A1870,'Mouvements stock'!$C$5:$C$3004,"Retour"))</f>
        <v/>
      </c>
      <c r="X1870" s="66" t="n"/>
      <c r="Y1870" s="66" t="n"/>
      <c r="Z1870" s="7" t="n"/>
      <c r="AA1870" s="70">
        <f>IF($A1870="","",N(V1870)+N(W1870)+N(X1870)+N(Y1870))</f>
        <v/>
      </c>
      <c r="AB1870" s="70">
        <f>IF($A1870="","",N(S1870)*'Paramètres'!$AA$9*IFERROR(INDEX('Paramètres'!$O$5:$O$7,MATCH(G1870,'Paramètres'!$N$5:$N$7,0)),0))</f>
        <v/>
      </c>
      <c r="AC1870" s="7" t="n"/>
      <c r="AD1870" s="69">
        <f>IF(OR($A1870="",Q1870=""),"",(Q1870-B1870)*24)</f>
        <v/>
      </c>
      <c r="AE1870" s="69">
        <f>IF(OR(Q1870="",R1870=""),"",(R1870-Q1870)*24)</f>
        <v/>
      </c>
      <c r="AF1870" s="77">
        <f>IF(OR($A1870="",B1870=""),"",YEAR(B1870))</f>
        <v/>
      </c>
      <c r="AG1870" s="77">
        <f>IF(OR($A1870="",B1870=""),"",MONTH(B1870))</f>
        <v/>
      </c>
    </row>
    <row r="1871">
      <c r="A1871" s="7" t="n"/>
      <c r="B1871" s="75" t="n"/>
      <c r="C1871" s="7" t="n"/>
      <c r="D1871" s="7" t="n"/>
      <c r="E1871" s="9">
        <f>IF(D1871="","",IFERROR(INDEX('Équipements'!$B$5:$B$304,MATCH(D1871,'Équipements'!$A$5:$A$304,0)),"Code inconnu"))</f>
        <v/>
      </c>
      <c r="F1871" s="9">
        <f>IF(D1871="","",IFERROR(INDEX('Équipements'!$D$5:$D$304,MATCH(D1871,'Équipements'!$A$5:$A$304,0)),""))</f>
        <v/>
      </c>
      <c r="G1871" s="9">
        <f>IF(D1871="","",IFERROR(INDEX('Équipements'!$K$5:$K$304,MATCH(D1871,'Équipements'!$A$5:$A$304,0)),""))</f>
        <v/>
      </c>
      <c r="H1871" s="7" t="n"/>
      <c r="I1871" s="7" t="n"/>
      <c r="J1871" s="7" t="n"/>
      <c r="K1871" s="7" t="n"/>
      <c r="L1871" s="7" t="n"/>
      <c r="M1871" s="7" t="n"/>
      <c r="N1871" s="7" t="n"/>
      <c r="O1871" s="7" t="n"/>
      <c r="P1871" s="65" t="n"/>
      <c r="Q1871" s="75" t="n"/>
      <c r="R1871" s="75" t="n"/>
      <c r="S1871" s="76" t="n"/>
      <c r="T1871" s="76" t="n"/>
      <c r="U1871" s="70">
        <f>IF($A1871="","",IFERROR(INDEX('Techniciens'!$F$5:$F$44,MATCH(O1871,'Techniciens'!$B$5:$B$44,0)),'Paramètres'!$AA$10))</f>
        <v/>
      </c>
      <c r="V1871" s="70">
        <f>IF($A1871="","",IF(OR(AC1871="Demandé",AC1871="Planifié",AC1871="Annulé"),0,N(T1871)*N(U1871)))</f>
        <v/>
      </c>
      <c r="W1871" s="70">
        <f>IF($A1871="","",SUMIFS('Mouvements stock'!$H$5:$H$3004,'Mouvements stock'!$I$5:$I$3004,$A1871,'Mouvements stock'!$C$5:$C$3004,"Sortie")-SUMIFS('Mouvements stock'!$H$5:$H$3004,'Mouvements stock'!$I$5:$I$3004,$A1871,'Mouvements stock'!$C$5:$C$3004,"Retour"))</f>
        <v/>
      </c>
      <c r="X1871" s="66" t="n"/>
      <c r="Y1871" s="66" t="n"/>
      <c r="Z1871" s="7" t="n"/>
      <c r="AA1871" s="70">
        <f>IF($A1871="","",N(V1871)+N(W1871)+N(X1871)+N(Y1871))</f>
        <v/>
      </c>
      <c r="AB1871" s="70">
        <f>IF($A1871="","",N(S1871)*'Paramètres'!$AA$9*IFERROR(INDEX('Paramètres'!$O$5:$O$7,MATCH(G1871,'Paramètres'!$N$5:$N$7,0)),0))</f>
        <v/>
      </c>
      <c r="AC1871" s="7" t="n"/>
      <c r="AD1871" s="69">
        <f>IF(OR($A1871="",Q1871=""),"",(Q1871-B1871)*24)</f>
        <v/>
      </c>
      <c r="AE1871" s="69">
        <f>IF(OR(Q1871="",R1871=""),"",(R1871-Q1871)*24)</f>
        <v/>
      </c>
      <c r="AF1871" s="77">
        <f>IF(OR($A1871="",B1871=""),"",YEAR(B1871))</f>
        <v/>
      </c>
      <c r="AG1871" s="77">
        <f>IF(OR($A1871="",B1871=""),"",MONTH(B1871))</f>
        <v/>
      </c>
    </row>
    <row r="1872">
      <c r="A1872" s="7" t="n"/>
      <c r="B1872" s="75" t="n"/>
      <c r="C1872" s="7" t="n"/>
      <c r="D1872" s="7" t="n"/>
      <c r="E1872" s="9">
        <f>IF(D1872="","",IFERROR(INDEX('Équipements'!$B$5:$B$304,MATCH(D1872,'Équipements'!$A$5:$A$304,0)),"Code inconnu"))</f>
        <v/>
      </c>
      <c r="F1872" s="9">
        <f>IF(D1872="","",IFERROR(INDEX('Équipements'!$D$5:$D$304,MATCH(D1872,'Équipements'!$A$5:$A$304,0)),""))</f>
        <v/>
      </c>
      <c r="G1872" s="9">
        <f>IF(D1872="","",IFERROR(INDEX('Équipements'!$K$5:$K$304,MATCH(D1872,'Équipements'!$A$5:$A$304,0)),""))</f>
        <v/>
      </c>
      <c r="H1872" s="7" t="n"/>
      <c r="I1872" s="7" t="n"/>
      <c r="J1872" s="7" t="n"/>
      <c r="K1872" s="7" t="n"/>
      <c r="L1872" s="7" t="n"/>
      <c r="M1872" s="7" t="n"/>
      <c r="N1872" s="7" t="n"/>
      <c r="O1872" s="7" t="n"/>
      <c r="P1872" s="65" t="n"/>
      <c r="Q1872" s="75" t="n"/>
      <c r="R1872" s="75" t="n"/>
      <c r="S1872" s="76" t="n"/>
      <c r="T1872" s="76" t="n"/>
      <c r="U1872" s="70">
        <f>IF($A1872="","",IFERROR(INDEX('Techniciens'!$F$5:$F$44,MATCH(O1872,'Techniciens'!$B$5:$B$44,0)),'Paramètres'!$AA$10))</f>
        <v/>
      </c>
      <c r="V1872" s="70">
        <f>IF($A1872="","",IF(OR(AC1872="Demandé",AC1872="Planifié",AC1872="Annulé"),0,N(T1872)*N(U1872)))</f>
        <v/>
      </c>
      <c r="W1872" s="70">
        <f>IF($A1872="","",SUMIFS('Mouvements stock'!$H$5:$H$3004,'Mouvements stock'!$I$5:$I$3004,$A1872,'Mouvements stock'!$C$5:$C$3004,"Sortie")-SUMIFS('Mouvements stock'!$H$5:$H$3004,'Mouvements stock'!$I$5:$I$3004,$A1872,'Mouvements stock'!$C$5:$C$3004,"Retour"))</f>
        <v/>
      </c>
      <c r="X1872" s="66" t="n"/>
      <c r="Y1872" s="66" t="n"/>
      <c r="Z1872" s="7" t="n"/>
      <c r="AA1872" s="70">
        <f>IF($A1872="","",N(V1872)+N(W1872)+N(X1872)+N(Y1872))</f>
        <v/>
      </c>
      <c r="AB1872" s="70">
        <f>IF($A1872="","",N(S1872)*'Paramètres'!$AA$9*IFERROR(INDEX('Paramètres'!$O$5:$O$7,MATCH(G1872,'Paramètres'!$N$5:$N$7,0)),0))</f>
        <v/>
      </c>
      <c r="AC1872" s="7" t="n"/>
      <c r="AD1872" s="69">
        <f>IF(OR($A1872="",Q1872=""),"",(Q1872-B1872)*24)</f>
        <v/>
      </c>
      <c r="AE1872" s="69">
        <f>IF(OR(Q1872="",R1872=""),"",(R1872-Q1872)*24)</f>
        <v/>
      </c>
      <c r="AF1872" s="77">
        <f>IF(OR($A1872="",B1872=""),"",YEAR(B1872))</f>
        <v/>
      </c>
      <c r="AG1872" s="77">
        <f>IF(OR($A1872="",B1872=""),"",MONTH(B1872))</f>
        <v/>
      </c>
    </row>
    <row r="1873">
      <c r="A1873" s="7" t="n"/>
      <c r="B1873" s="75" t="n"/>
      <c r="C1873" s="7" t="n"/>
      <c r="D1873" s="7" t="n"/>
      <c r="E1873" s="9">
        <f>IF(D1873="","",IFERROR(INDEX('Équipements'!$B$5:$B$304,MATCH(D1873,'Équipements'!$A$5:$A$304,0)),"Code inconnu"))</f>
        <v/>
      </c>
      <c r="F1873" s="9">
        <f>IF(D1873="","",IFERROR(INDEX('Équipements'!$D$5:$D$304,MATCH(D1873,'Équipements'!$A$5:$A$304,0)),""))</f>
        <v/>
      </c>
      <c r="G1873" s="9">
        <f>IF(D1873="","",IFERROR(INDEX('Équipements'!$K$5:$K$304,MATCH(D1873,'Équipements'!$A$5:$A$304,0)),""))</f>
        <v/>
      </c>
      <c r="H1873" s="7" t="n"/>
      <c r="I1873" s="7" t="n"/>
      <c r="J1873" s="7" t="n"/>
      <c r="K1873" s="7" t="n"/>
      <c r="L1873" s="7" t="n"/>
      <c r="M1873" s="7" t="n"/>
      <c r="N1873" s="7" t="n"/>
      <c r="O1873" s="7" t="n"/>
      <c r="P1873" s="65" t="n"/>
      <c r="Q1873" s="75" t="n"/>
      <c r="R1873" s="75" t="n"/>
      <c r="S1873" s="76" t="n"/>
      <c r="T1873" s="76" t="n"/>
      <c r="U1873" s="70">
        <f>IF($A1873="","",IFERROR(INDEX('Techniciens'!$F$5:$F$44,MATCH(O1873,'Techniciens'!$B$5:$B$44,0)),'Paramètres'!$AA$10))</f>
        <v/>
      </c>
      <c r="V1873" s="70">
        <f>IF($A1873="","",IF(OR(AC1873="Demandé",AC1873="Planifié",AC1873="Annulé"),0,N(T1873)*N(U1873)))</f>
        <v/>
      </c>
      <c r="W1873" s="70">
        <f>IF($A1873="","",SUMIFS('Mouvements stock'!$H$5:$H$3004,'Mouvements stock'!$I$5:$I$3004,$A1873,'Mouvements stock'!$C$5:$C$3004,"Sortie")-SUMIFS('Mouvements stock'!$H$5:$H$3004,'Mouvements stock'!$I$5:$I$3004,$A1873,'Mouvements stock'!$C$5:$C$3004,"Retour"))</f>
        <v/>
      </c>
      <c r="X1873" s="66" t="n"/>
      <c r="Y1873" s="66" t="n"/>
      <c r="Z1873" s="7" t="n"/>
      <c r="AA1873" s="70">
        <f>IF($A1873="","",N(V1873)+N(W1873)+N(X1873)+N(Y1873))</f>
        <v/>
      </c>
      <c r="AB1873" s="70">
        <f>IF($A1873="","",N(S1873)*'Paramètres'!$AA$9*IFERROR(INDEX('Paramètres'!$O$5:$O$7,MATCH(G1873,'Paramètres'!$N$5:$N$7,0)),0))</f>
        <v/>
      </c>
      <c r="AC1873" s="7" t="n"/>
      <c r="AD1873" s="69">
        <f>IF(OR($A1873="",Q1873=""),"",(Q1873-B1873)*24)</f>
        <v/>
      </c>
      <c r="AE1873" s="69">
        <f>IF(OR(Q1873="",R1873=""),"",(R1873-Q1873)*24)</f>
        <v/>
      </c>
      <c r="AF1873" s="77">
        <f>IF(OR($A1873="",B1873=""),"",YEAR(B1873))</f>
        <v/>
      </c>
      <c r="AG1873" s="77">
        <f>IF(OR($A1873="",B1873=""),"",MONTH(B1873))</f>
        <v/>
      </c>
    </row>
    <row r="1874">
      <c r="A1874" s="7" t="n"/>
      <c r="B1874" s="75" t="n"/>
      <c r="C1874" s="7" t="n"/>
      <c r="D1874" s="7" t="n"/>
      <c r="E1874" s="9">
        <f>IF(D1874="","",IFERROR(INDEX('Équipements'!$B$5:$B$304,MATCH(D1874,'Équipements'!$A$5:$A$304,0)),"Code inconnu"))</f>
        <v/>
      </c>
      <c r="F1874" s="9">
        <f>IF(D1874="","",IFERROR(INDEX('Équipements'!$D$5:$D$304,MATCH(D1874,'Équipements'!$A$5:$A$304,0)),""))</f>
        <v/>
      </c>
      <c r="G1874" s="9">
        <f>IF(D1874="","",IFERROR(INDEX('Équipements'!$K$5:$K$304,MATCH(D1874,'Équipements'!$A$5:$A$304,0)),""))</f>
        <v/>
      </c>
      <c r="H1874" s="7" t="n"/>
      <c r="I1874" s="7" t="n"/>
      <c r="J1874" s="7" t="n"/>
      <c r="K1874" s="7" t="n"/>
      <c r="L1874" s="7" t="n"/>
      <c r="M1874" s="7" t="n"/>
      <c r="N1874" s="7" t="n"/>
      <c r="O1874" s="7" t="n"/>
      <c r="P1874" s="65" t="n"/>
      <c r="Q1874" s="75" t="n"/>
      <c r="R1874" s="75" t="n"/>
      <c r="S1874" s="76" t="n"/>
      <c r="T1874" s="76" t="n"/>
      <c r="U1874" s="70">
        <f>IF($A1874="","",IFERROR(INDEX('Techniciens'!$F$5:$F$44,MATCH(O1874,'Techniciens'!$B$5:$B$44,0)),'Paramètres'!$AA$10))</f>
        <v/>
      </c>
      <c r="V1874" s="70">
        <f>IF($A1874="","",IF(OR(AC1874="Demandé",AC1874="Planifié",AC1874="Annulé"),0,N(T1874)*N(U1874)))</f>
        <v/>
      </c>
      <c r="W1874" s="70">
        <f>IF($A1874="","",SUMIFS('Mouvements stock'!$H$5:$H$3004,'Mouvements stock'!$I$5:$I$3004,$A1874,'Mouvements stock'!$C$5:$C$3004,"Sortie")-SUMIFS('Mouvements stock'!$H$5:$H$3004,'Mouvements stock'!$I$5:$I$3004,$A1874,'Mouvements stock'!$C$5:$C$3004,"Retour"))</f>
        <v/>
      </c>
      <c r="X1874" s="66" t="n"/>
      <c r="Y1874" s="66" t="n"/>
      <c r="Z1874" s="7" t="n"/>
      <c r="AA1874" s="70">
        <f>IF($A1874="","",N(V1874)+N(W1874)+N(X1874)+N(Y1874))</f>
        <v/>
      </c>
      <c r="AB1874" s="70">
        <f>IF($A1874="","",N(S1874)*'Paramètres'!$AA$9*IFERROR(INDEX('Paramètres'!$O$5:$O$7,MATCH(G1874,'Paramètres'!$N$5:$N$7,0)),0))</f>
        <v/>
      </c>
      <c r="AC1874" s="7" t="n"/>
      <c r="AD1874" s="69">
        <f>IF(OR($A1874="",Q1874=""),"",(Q1874-B1874)*24)</f>
        <v/>
      </c>
      <c r="AE1874" s="69">
        <f>IF(OR(Q1874="",R1874=""),"",(R1874-Q1874)*24)</f>
        <v/>
      </c>
      <c r="AF1874" s="77">
        <f>IF(OR($A1874="",B1874=""),"",YEAR(B1874))</f>
        <v/>
      </c>
      <c r="AG1874" s="77">
        <f>IF(OR($A1874="",B1874=""),"",MONTH(B1874))</f>
        <v/>
      </c>
    </row>
    <row r="1875">
      <c r="A1875" s="7" t="n"/>
      <c r="B1875" s="75" t="n"/>
      <c r="C1875" s="7" t="n"/>
      <c r="D1875" s="7" t="n"/>
      <c r="E1875" s="9">
        <f>IF(D1875="","",IFERROR(INDEX('Équipements'!$B$5:$B$304,MATCH(D1875,'Équipements'!$A$5:$A$304,0)),"Code inconnu"))</f>
        <v/>
      </c>
      <c r="F1875" s="9">
        <f>IF(D1875="","",IFERROR(INDEX('Équipements'!$D$5:$D$304,MATCH(D1875,'Équipements'!$A$5:$A$304,0)),""))</f>
        <v/>
      </c>
      <c r="G1875" s="9">
        <f>IF(D1875="","",IFERROR(INDEX('Équipements'!$K$5:$K$304,MATCH(D1875,'Équipements'!$A$5:$A$304,0)),""))</f>
        <v/>
      </c>
      <c r="H1875" s="7" t="n"/>
      <c r="I1875" s="7" t="n"/>
      <c r="J1875" s="7" t="n"/>
      <c r="K1875" s="7" t="n"/>
      <c r="L1875" s="7" t="n"/>
      <c r="M1875" s="7" t="n"/>
      <c r="N1875" s="7" t="n"/>
      <c r="O1875" s="7" t="n"/>
      <c r="P1875" s="65" t="n"/>
      <c r="Q1875" s="75" t="n"/>
      <c r="R1875" s="75" t="n"/>
      <c r="S1875" s="76" t="n"/>
      <c r="T1875" s="76" t="n"/>
      <c r="U1875" s="70">
        <f>IF($A1875="","",IFERROR(INDEX('Techniciens'!$F$5:$F$44,MATCH(O1875,'Techniciens'!$B$5:$B$44,0)),'Paramètres'!$AA$10))</f>
        <v/>
      </c>
      <c r="V1875" s="70">
        <f>IF($A1875="","",IF(OR(AC1875="Demandé",AC1875="Planifié",AC1875="Annulé"),0,N(T1875)*N(U1875)))</f>
        <v/>
      </c>
      <c r="W1875" s="70">
        <f>IF($A1875="","",SUMIFS('Mouvements stock'!$H$5:$H$3004,'Mouvements stock'!$I$5:$I$3004,$A1875,'Mouvements stock'!$C$5:$C$3004,"Sortie")-SUMIFS('Mouvements stock'!$H$5:$H$3004,'Mouvements stock'!$I$5:$I$3004,$A1875,'Mouvements stock'!$C$5:$C$3004,"Retour"))</f>
        <v/>
      </c>
      <c r="X1875" s="66" t="n"/>
      <c r="Y1875" s="66" t="n"/>
      <c r="Z1875" s="7" t="n"/>
      <c r="AA1875" s="70">
        <f>IF($A1875="","",N(V1875)+N(W1875)+N(X1875)+N(Y1875))</f>
        <v/>
      </c>
      <c r="AB1875" s="70">
        <f>IF($A1875="","",N(S1875)*'Paramètres'!$AA$9*IFERROR(INDEX('Paramètres'!$O$5:$O$7,MATCH(G1875,'Paramètres'!$N$5:$N$7,0)),0))</f>
        <v/>
      </c>
      <c r="AC1875" s="7" t="n"/>
      <c r="AD1875" s="69">
        <f>IF(OR($A1875="",Q1875=""),"",(Q1875-B1875)*24)</f>
        <v/>
      </c>
      <c r="AE1875" s="69">
        <f>IF(OR(Q1875="",R1875=""),"",(R1875-Q1875)*24)</f>
        <v/>
      </c>
      <c r="AF1875" s="77">
        <f>IF(OR($A1875="",B1875=""),"",YEAR(B1875))</f>
        <v/>
      </c>
      <c r="AG1875" s="77">
        <f>IF(OR($A1875="",B1875=""),"",MONTH(B1875))</f>
        <v/>
      </c>
    </row>
    <row r="1876">
      <c r="A1876" s="7" t="n"/>
      <c r="B1876" s="75" t="n"/>
      <c r="C1876" s="7" t="n"/>
      <c r="D1876" s="7" t="n"/>
      <c r="E1876" s="9">
        <f>IF(D1876="","",IFERROR(INDEX('Équipements'!$B$5:$B$304,MATCH(D1876,'Équipements'!$A$5:$A$304,0)),"Code inconnu"))</f>
        <v/>
      </c>
      <c r="F1876" s="9">
        <f>IF(D1876="","",IFERROR(INDEX('Équipements'!$D$5:$D$304,MATCH(D1876,'Équipements'!$A$5:$A$304,0)),""))</f>
        <v/>
      </c>
      <c r="G1876" s="9">
        <f>IF(D1876="","",IFERROR(INDEX('Équipements'!$K$5:$K$304,MATCH(D1876,'Équipements'!$A$5:$A$304,0)),""))</f>
        <v/>
      </c>
      <c r="H1876" s="7" t="n"/>
      <c r="I1876" s="7" t="n"/>
      <c r="J1876" s="7" t="n"/>
      <c r="K1876" s="7" t="n"/>
      <c r="L1876" s="7" t="n"/>
      <c r="M1876" s="7" t="n"/>
      <c r="N1876" s="7" t="n"/>
      <c r="O1876" s="7" t="n"/>
      <c r="P1876" s="65" t="n"/>
      <c r="Q1876" s="75" t="n"/>
      <c r="R1876" s="75" t="n"/>
      <c r="S1876" s="76" t="n"/>
      <c r="T1876" s="76" t="n"/>
      <c r="U1876" s="70">
        <f>IF($A1876="","",IFERROR(INDEX('Techniciens'!$F$5:$F$44,MATCH(O1876,'Techniciens'!$B$5:$B$44,0)),'Paramètres'!$AA$10))</f>
        <v/>
      </c>
      <c r="V1876" s="70">
        <f>IF($A1876="","",IF(OR(AC1876="Demandé",AC1876="Planifié",AC1876="Annulé"),0,N(T1876)*N(U1876)))</f>
        <v/>
      </c>
      <c r="W1876" s="70">
        <f>IF($A1876="","",SUMIFS('Mouvements stock'!$H$5:$H$3004,'Mouvements stock'!$I$5:$I$3004,$A1876,'Mouvements stock'!$C$5:$C$3004,"Sortie")-SUMIFS('Mouvements stock'!$H$5:$H$3004,'Mouvements stock'!$I$5:$I$3004,$A1876,'Mouvements stock'!$C$5:$C$3004,"Retour"))</f>
        <v/>
      </c>
      <c r="X1876" s="66" t="n"/>
      <c r="Y1876" s="66" t="n"/>
      <c r="Z1876" s="7" t="n"/>
      <c r="AA1876" s="70">
        <f>IF($A1876="","",N(V1876)+N(W1876)+N(X1876)+N(Y1876))</f>
        <v/>
      </c>
      <c r="AB1876" s="70">
        <f>IF($A1876="","",N(S1876)*'Paramètres'!$AA$9*IFERROR(INDEX('Paramètres'!$O$5:$O$7,MATCH(G1876,'Paramètres'!$N$5:$N$7,0)),0))</f>
        <v/>
      </c>
      <c r="AC1876" s="7" t="n"/>
      <c r="AD1876" s="69">
        <f>IF(OR($A1876="",Q1876=""),"",(Q1876-B1876)*24)</f>
        <v/>
      </c>
      <c r="AE1876" s="69">
        <f>IF(OR(Q1876="",R1876=""),"",(R1876-Q1876)*24)</f>
        <v/>
      </c>
      <c r="AF1876" s="77">
        <f>IF(OR($A1876="",B1876=""),"",YEAR(B1876))</f>
        <v/>
      </c>
      <c r="AG1876" s="77">
        <f>IF(OR($A1876="",B1876=""),"",MONTH(B1876))</f>
        <v/>
      </c>
    </row>
    <row r="1877">
      <c r="A1877" s="7" t="n"/>
      <c r="B1877" s="75" t="n"/>
      <c r="C1877" s="7" t="n"/>
      <c r="D1877" s="7" t="n"/>
      <c r="E1877" s="9">
        <f>IF(D1877="","",IFERROR(INDEX('Équipements'!$B$5:$B$304,MATCH(D1877,'Équipements'!$A$5:$A$304,0)),"Code inconnu"))</f>
        <v/>
      </c>
      <c r="F1877" s="9">
        <f>IF(D1877="","",IFERROR(INDEX('Équipements'!$D$5:$D$304,MATCH(D1877,'Équipements'!$A$5:$A$304,0)),""))</f>
        <v/>
      </c>
      <c r="G1877" s="9">
        <f>IF(D1877="","",IFERROR(INDEX('Équipements'!$K$5:$K$304,MATCH(D1877,'Équipements'!$A$5:$A$304,0)),""))</f>
        <v/>
      </c>
      <c r="H1877" s="7" t="n"/>
      <c r="I1877" s="7" t="n"/>
      <c r="J1877" s="7" t="n"/>
      <c r="K1877" s="7" t="n"/>
      <c r="L1877" s="7" t="n"/>
      <c r="M1877" s="7" t="n"/>
      <c r="N1877" s="7" t="n"/>
      <c r="O1877" s="7" t="n"/>
      <c r="P1877" s="65" t="n"/>
      <c r="Q1877" s="75" t="n"/>
      <c r="R1877" s="75" t="n"/>
      <c r="S1877" s="76" t="n"/>
      <c r="T1877" s="76" t="n"/>
      <c r="U1877" s="70">
        <f>IF($A1877="","",IFERROR(INDEX('Techniciens'!$F$5:$F$44,MATCH(O1877,'Techniciens'!$B$5:$B$44,0)),'Paramètres'!$AA$10))</f>
        <v/>
      </c>
      <c r="V1877" s="70">
        <f>IF($A1877="","",IF(OR(AC1877="Demandé",AC1877="Planifié",AC1877="Annulé"),0,N(T1877)*N(U1877)))</f>
        <v/>
      </c>
      <c r="W1877" s="70">
        <f>IF($A1877="","",SUMIFS('Mouvements stock'!$H$5:$H$3004,'Mouvements stock'!$I$5:$I$3004,$A1877,'Mouvements stock'!$C$5:$C$3004,"Sortie")-SUMIFS('Mouvements stock'!$H$5:$H$3004,'Mouvements stock'!$I$5:$I$3004,$A1877,'Mouvements stock'!$C$5:$C$3004,"Retour"))</f>
        <v/>
      </c>
      <c r="X1877" s="66" t="n"/>
      <c r="Y1877" s="66" t="n"/>
      <c r="Z1877" s="7" t="n"/>
      <c r="AA1877" s="70">
        <f>IF($A1877="","",N(V1877)+N(W1877)+N(X1877)+N(Y1877))</f>
        <v/>
      </c>
      <c r="AB1877" s="70">
        <f>IF($A1877="","",N(S1877)*'Paramètres'!$AA$9*IFERROR(INDEX('Paramètres'!$O$5:$O$7,MATCH(G1877,'Paramètres'!$N$5:$N$7,0)),0))</f>
        <v/>
      </c>
      <c r="AC1877" s="7" t="n"/>
      <c r="AD1877" s="69">
        <f>IF(OR($A1877="",Q1877=""),"",(Q1877-B1877)*24)</f>
        <v/>
      </c>
      <c r="AE1877" s="69">
        <f>IF(OR(Q1877="",R1877=""),"",(R1877-Q1877)*24)</f>
        <v/>
      </c>
      <c r="AF1877" s="77">
        <f>IF(OR($A1877="",B1877=""),"",YEAR(B1877))</f>
        <v/>
      </c>
      <c r="AG1877" s="77">
        <f>IF(OR($A1877="",B1877=""),"",MONTH(B1877))</f>
        <v/>
      </c>
    </row>
    <row r="1878">
      <c r="A1878" s="7" t="n"/>
      <c r="B1878" s="75" t="n"/>
      <c r="C1878" s="7" t="n"/>
      <c r="D1878" s="7" t="n"/>
      <c r="E1878" s="9">
        <f>IF(D1878="","",IFERROR(INDEX('Équipements'!$B$5:$B$304,MATCH(D1878,'Équipements'!$A$5:$A$304,0)),"Code inconnu"))</f>
        <v/>
      </c>
      <c r="F1878" s="9">
        <f>IF(D1878="","",IFERROR(INDEX('Équipements'!$D$5:$D$304,MATCH(D1878,'Équipements'!$A$5:$A$304,0)),""))</f>
        <v/>
      </c>
      <c r="G1878" s="9">
        <f>IF(D1878="","",IFERROR(INDEX('Équipements'!$K$5:$K$304,MATCH(D1878,'Équipements'!$A$5:$A$304,0)),""))</f>
        <v/>
      </c>
      <c r="H1878" s="7" t="n"/>
      <c r="I1878" s="7" t="n"/>
      <c r="J1878" s="7" t="n"/>
      <c r="K1878" s="7" t="n"/>
      <c r="L1878" s="7" t="n"/>
      <c r="M1878" s="7" t="n"/>
      <c r="N1878" s="7" t="n"/>
      <c r="O1878" s="7" t="n"/>
      <c r="P1878" s="65" t="n"/>
      <c r="Q1878" s="75" t="n"/>
      <c r="R1878" s="75" t="n"/>
      <c r="S1878" s="76" t="n"/>
      <c r="T1878" s="76" t="n"/>
      <c r="U1878" s="70">
        <f>IF($A1878="","",IFERROR(INDEX('Techniciens'!$F$5:$F$44,MATCH(O1878,'Techniciens'!$B$5:$B$44,0)),'Paramètres'!$AA$10))</f>
        <v/>
      </c>
      <c r="V1878" s="70">
        <f>IF($A1878="","",IF(OR(AC1878="Demandé",AC1878="Planifié",AC1878="Annulé"),0,N(T1878)*N(U1878)))</f>
        <v/>
      </c>
      <c r="W1878" s="70">
        <f>IF($A1878="","",SUMIFS('Mouvements stock'!$H$5:$H$3004,'Mouvements stock'!$I$5:$I$3004,$A1878,'Mouvements stock'!$C$5:$C$3004,"Sortie")-SUMIFS('Mouvements stock'!$H$5:$H$3004,'Mouvements stock'!$I$5:$I$3004,$A1878,'Mouvements stock'!$C$5:$C$3004,"Retour"))</f>
        <v/>
      </c>
      <c r="X1878" s="66" t="n"/>
      <c r="Y1878" s="66" t="n"/>
      <c r="Z1878" s="7" t="n"/>
      <c r="AA1878" s="70">
        <f>IF($A1878="","",N(V1878)+N(W1878)+N(X1878)+N(Y1878))</f>
        <v/>
      </c>
      <c r="AB1878" s="70">
        <f>IF($A1878="","",N(S1878)*'Paramètres'!$AA$9*IFERROR(INDEX('Paramètres'!$O$5:$O$7,MATCH(G1878,'Paramètres'!$N$5:$N$7,0)),0))</f>
        <v/>
      </c>
      <c r="AC1878" s="7" t="n"/>
      <c r="AD1878" s="69">
        <f>IF(OR($A1878="",Q1878=""),"",(Q1878-B1878)*24)</f>
        <v/>
      </c>
      <c r="AE1878" s="69">
        <f>IF(OR(Q1878="",R1878=""),"",(R1878-Q1878)*24)</f>
        <v/>
      </c>
      <c r="AF1878" s="77">
        <f>IF(OR($A1878="",B1878=""),"",YEAR(B1878))</f>
        <v/>
      </c>
      <c r="AG1878" s="77">
        <f>IF(OR($A1878="",B1878=""),"",MONTH(B1878))</f>
        <v/>
      </c>
    </row>
    <row r="1879">
      <c r="A1879" s="7" t="n"/>
      <c r="B1879" s="75" t="n"/>
      <c r="C1879" s="7" t="n"/>
      <c r="D1879" s="7" t="n"/>
      <c r="E1879" s="9">
        <f>IF(D1879="","",IFERROR(INDEX('Équipements'!$B$5:$B$304,MATCH(D1879,'Équipements'!$A$5:$A$304,0)),"Code inconnu"))</f>
        <v/>
      </c>
      <c r="F1879" s="9">
        <f>IF(D1879="","",IFERROR(INDEX('Équipements'!$D$5:$D$304,MATCH(D1879,'Équipements'!$A$5:$A$304,0)),""))</f>
        <v/>
      </c>
      <c r="G1879" s="9">
        <f>IF(D1879="","",IFERROR(INDEX('Équipements'!$K$5:$K$304,MATCH(D1879,'Équipements'!$A$5:$A$304,0)),""))</f>
        <v/>
      </c>
      <c r="H1879" s="7" t="n"/>
      <c r="I1879" s="7" t="n"/>
      <c r="J1879" s="7" t="n"/>
      <c r="K1879" s="7" t="n"/>
      <c r="L1879" s="7" t="n"/>
      <c r="M1879" s="7" t="n"/>
      <c r="N1879" s="7" t="n"/>
      <c r="O1879" s="7" t="n"/>
      <c r="P1879" s="65" t="n"/>
      <c r="Q1879" s="75" t="n"/>
      <c r="R1879" s="75" t="n"/>
      <c r="S1879" s="76" t="n"/>
      <c r="T1879" s="76" t="n"/>
      <c r="U1879" s="70">
        <f>IF($A1879="","",IFERROR(INDEX('Techniciens'!$F$5:$F$44,MATCH(O1879,'Techniciens'!$B$5:$B$44,0)),'Paramètres'!$AA$10))</f>
        <v/>
      </c>
      <c r="V1879" s="70">
        <f>IF($A1879="","",IF(OR(AC1879="Demandé",AC1879="Planifié",AC1879="Annulé"),0,N(T1879)*N(U1879)))</f>
        <v/>
      </c>
      <c r="W1879" s="70">
        <f>IF($A1879="","",SUMIFS('Mouvements stock'!$H$5:$H$3004,'Mouvements stock'!$I$5:$I$3004,$A1879,'Mouvements stock'!$C$5:$C$3004,"Sortie")-SUMIFS('Mouvements stock'!$H$5:$H$3004,'Mouvements stock'!$I$5:$I$3004,$A1879,'Mouvements stock'!$C$5:$C$3004,"Retour"))</f>
        <v/>
      </c>
      <c r="X1879" s="66" t="n"/>
      <c r="Y1879" s="66" t="n"/>
      <c r="Z1879" s="7" t="n"/>
      <c r="AA1879" s="70">
        <f>IF($A1879="","",N(V1879)+N(W1879)+N(X1879)+N(Y1879))</f>
        <v/>
      </c>
      <c r="AB1879" s="70">
        <f>IF($A1879="","",N(S1879)*'Paramètres'!$AA$9*IFERROR(INDEX('Paramètres'!$O$5:$O$7,MATCH(G1879,'Paramètres'!$N$5:$N$7,0)),0))</f>
        <v/>
      </c>
      <c r="AC1879" s="7" t="n"/>
      <c r="AD1879" s="69">
        <f>IF(OR($A1879="",Q1879=""),"",(Q1879-B1879)*24)</f>
        <v/>
      </c>
      <c r="AE1879" s="69">
        <f>IF(OR(Q1879="",R1879=""),"",(R1879-Q1879)*24)</f>
        <v/>
      </c>
      <c r="AF1879" s="77">
        <f>IF(OR($A1879="",B1879=""),"",YEAR(B1879))</f>
        <v/>
      </c>
      <c r="AG1879" s="77">
        <f>IF(OR($A1879="",B1879=""),"",MONTH(B1879))</f>
        <v/>
      </c>
    </row>
    <row r="1880">
      <c r="A1880" s="7" t="n"/>
      <c r="B1880" s="75" t="n"/>
      <c r="C1880" s="7" t="n"/>
      <c r="D1880" s="7" t="n"/>
      <c r="E1880" s="9">
        <f>IF(D1880="","",IFERROR(INDEX('Équipements'!$B$5:$B$304,MATCH(D1880,'Équipements'!$A$5:$A$304,0)),"Code inconnu"))</f>
        <v/>
      </c>
      <c r="F1880" s="9">
        <f>IF(D1880="","",IFERROR(INDEX('Équipements'!$D$5:$D$304,MATCH(D1880,'Équipements'!$A$5:$A$304,0)),""))</f>
        <v/>
      </c>
      <c r="G1880" s="9">
        <f>IF(D1880="","",IFERROR(INDEX('Équipements'!$K$5:$K$304,MATCH(D1880,'Équipements'!$A$5:$A$304,0)),""))</f>
        <v/>
      </c>
      <c r="H1880" s="7" t="n"/>
      <c r="I1880" s="7" t="n"/>
      <c r="J1880" s="7" t="n"/>
      <c r="K1880" s="7" t="n"/>
      <c r="L1880" s="7" t="n"/>
      <c r="M1880" s="7" t="n"/>
      <c r="N1880" s="7" t="n"/>
      <c r="O1880" s="7" t="n"/>
      <c r="P1880" s="65" t="n"/>
      <c r="Q1880" s="75" t="n"/>
      <c r="R1880" s="75" t="n"/>
      <c r="S1880" s="76" t="n"/>
      <c r="T1880" s="76" t="n"/>
      <c r="U1880" s="70">
        <f>IF($A1880="","",IFERROR(INDEX('Techniciens'!$F$5:$F$44,MATCH(O1880,'Techniciens'!$B$5:$B$44,0)),'Paramètres'!$AA$10))</f>
        <v/>
      </c>
      <c r="V1880" s="70">
        <f>IF($A1880="","",IF(OR(AC1880="Demandé",AC1880="Planifié",AC1880="Annulé"),0,N(T1880)*N(U1880)))</f>
        <v/>
      </c>
      <c r="W1880" s="70">
        <f>IF($A1880="","",SUMIFS('Mouvements stock'!$H$5:$H$3004,'Mouvements stock'!$I$5:$I$3004,$A1880,'Mouvements stock'!$C$5:$C$3004,"Sortie")-SUMIFS('Mouvements stock'!$H$5:$H$3004,'Mouvements stock'!$I$5:$I$3004,$A1880,'Mouvements stock'!$C$5:$C$3004,"Retour"))</f>
        <v/>
      </c>
      <c r="X1880" s="66" t="n"/>
      <c r="Y1880" s="66" t="n"/>
      <c r="Z1880" s="7" t="n"/>
      <c r="AA1880" s="70">
        <f>IF($A1880="","",N(V1880)+N(W1880)+N(X1880)+N(Y1880))</f>
        <v/>
      </c>
      <c r="AB1880" s="70">
        <f>IF($A1880="","",N(S1880)*'Paramètres'!$AA$9*IFERROR(INDEX('Paramètres'!$O$5:$O$7,MATCH(G1880,'Paramètres'!$N$5:$N$7,0)),0))</f>
        <v/>
      </c>
      <c r="AC1880" s="7" t="n"/>
      <c r="AD1880" s="69">
        <f>IF(OR($A1880="",Q1880=""),"",(Q1880-B1880)*24)</f>
        <v/>
      </c>
      <c r="AE1880" s="69">
        <f>IF(OR(Q1880="",R1880=""),"",(R1880-Q1880)*24)</f>
        <v/>
      </c>
      <c r="AF1880" s="77">
        <f>IF(OR($A1880="",B1880=""),"",YEAR(B1880))</f>
        <v/>
      </c>
      <c r="AG1880" s="77">
        <f>IF(OR($A1880="",B1880=""),"",MONTH(B1880))</f>
        <v/>
      </c>
    </row>
    <row r="1881">
      <c r="A1881" s="7" t="n"/>
      <c r="B1881" s="75" t="n"/>
      <c r="C1881" s="7" t="n"/>
      <c r="D1881" s="7" t="n"/>
      <c r="E1881" s="9">
        <f>IF(D1881="","",IFERROR(INDEX('Équipements'!$B$5:$B$304,MATCH(D1881,'Équipements'!$A$5:$A$304,0)),"Code inconnu"))</f>
        <v/>
      </c>
      <c r="F1881" s="9">
        <f>IF(D1881="","",IFERROR(INDEX('Équipements'!$D$5:$D$304,MATCH(D1881,'Équipements'!$A$5:$A$304,0)),""))</f>
        <v/>
      </c>
      <c r="G1881" s="9">
        <f>IF(D1881="","",IFERROR(INDEX('Équipements'!$K$5:$K$304,MATCH(D1881,'Équipements'!$A$5:$A$304,0)),""))</f>
        <v/>
      </c>
      <c r="H1881" s="7" t="n"/>
      <c r="I1881" s="7" t="n"/>
      <c r="J1881" s="7" t="n"/>
      <c r="K1881" s="7" t="n"/>
      <c r="L1881" s="7" t="n"/>
      <c r="M1881" s="7" t="n"/>
      <c r="N1881" s="7" t="n"/>
      <c r="O1881" s="7" t="n"/>
      <c r="P1881" s="65" t="n"/>
      <c r="Q1881" s="75" t="n"/>
      <c r="R1881" s="75" t="n"/>
      <c r="S1881" s="76" t="n"/>
      <c r="T1881" s="76" t="n"/>
      <c r="U1881" s="70">
        <f>IF($A1881="","",IFERROR(INDEX('Techniciens'!$F$5:$F$44,MATCH(O1881,'Techniciens'!$B$5:$B$44,0)),'Paramètres'!$AA$10))</f>
        <v/>
      </c>
      <c r="V1881" s="70">
        <f>IF($A1881="","",IF(OR(AC1881="Demandé",AC1881="Planifié",AC1881="Annulé"),0,N(T1881)*N(U1881)))</f>
        <v/>
      </c>
      <c r="W1881" s="70">
        <f>IF($A1881="","",SUMIFS('Mouvements stock'!$H$5:$H$3004,'Mouvements stock'!$I$5:$I$3004,$A1881,'Mouvements stock'!$C$5:$C$3004,"Sortie")-SUMIFS('Mouvements stock'!$H$5:$H$3004,'Mouvements stock'!$I$5:$I$3004,$A1881,'Mouvements stock'!$C$5:$C$3004,"Retour"))</f>
        <v/>
      </c>
      <c r="X1881" s="66" t="n"/>
      <c r="Y1881" s="66" t="n"/>
      <c r="Z1881" s="7" t="n"/>
      <c r="AA1881" s="70">
        <f>IF($A1881="","",N(V1881)+N(W1881)+N(X1881)+N(Y1881))</f>
        <v/>
      </c>
      <c r="AB1881" s="70">
        <f>IF($A1881="","",N(S1881)*'Paramètres'!$AA$9*IFERROR(INDEX('Paramètres'!$O$5:$O$7,MATCH(G1881,'Paramètres'!$N$5:$N$7,0)),0))</f>
        <v/>
      </c>
      <c r="AC1881" s="7" t="n"/>
      <c r="AD1881" s="69">
        <f>IF(OR($A1881="",Q1881=""),"",(Q1881-B1881)*24)</f>
        <v/>
      </c>
      <c r="AE1881" s="69">
        <f>IF(OR(Q1881="",R1881=""),"",(R1881-Q1881)*24)</f>
        <v/>
      </c>
      <c r="AF1881" s="77">
        <f>IF(OR($A1881="",B1881=""),"",YEAR(B1881))</f>
        <v/>
      </c>
      <c r="AG1881" s="77">
        <f>IF(OR($A1881="",B1881=""),"",MONTH(B1881))</f>
        <v/>
      </c>
    </row>
    <row r="1882">
      <c r="A1882" s="7" t="n"/>
      <c r="B1882" s="75" t="n"/>
      <c r="C1882" s="7" t="n"/>
      <c r="D1882" s="7" t="n"/>
      <c r="E1882" s="9">
        <f>IF(D1882="","",IFERROR(INDEX('Équipements'!$B$5:$B$304,MATCH(D1882,'Équipements'!$A$5:$A$304,0)),"Code inconnu"))</f>
        <v/>
      </c>
      <c r="F1882" s="9">
        <f>IF(D1882="","",IFERROR(INDEX('Équipements'!$D$5:$D$304,MATCH(D1882,'Équipements'!$A$5:$A$304,0)),""))</f>
        <v/>
      </c>
      <c r="G1882" s="9">
        <f>IF(D1882="","",IFERROR(INDEX('Équipements'!$K$5:$K$304,MATCH(D1882,'Équipements'!$A$5:$A$304,0)),""))</f>
        <v/>
      </c>
      <c r="H1882" s="7" t="n"/>
      <c r="I1882" s="7" t="n"/>
      <c r="J1882" s="7" t="n"/>
      <c r="K1882" s="7" t="n"/>
      <c r="L1882" s="7" t="n"/>
      <c r="M1882" s="7" t="n"/>
      <c r="N1882" s="7" t="n"/>
      <c r="O1882" s="7" t="n"/>
      <c r="P1882" s="65" t="n"/>
      <c r="Q1882" s="75" t="n"/>
      <c r="R1882" s="75" t="n"/>
      <c r="S1882" s="76" t="n"/>
      <c r="T1882" s="76" t="n"/>
      <c r="U1882" s="70">
        <f>IF($A1882="","",IFERROR(INDEX('Techniciens'!$F$5:$F$44,MATCH(O1882,'Techniciens'!$B$5:$B$44,0)),'Paramètres'!$AA$10))</f>
        <v/>
      </c>
      <c r="V1882" s="70">
        <f>IF($A1882="","",IF(OR(AC1882="Demandé",AC1882="Planifié",AC1882="Annulé"),0,N(T1882)*N(U1882)))</f>
        <v/>
      </c>
      <c r="W1882" s="70">
        <f>IF($A1882="","",SUMIFS('Mouvements stock'!$H$5:$H$3004,'Mouvements stock'!$I$5:$I$3004,$A1882,'Mouvements stock'!$C$5:$C$3004,"Sortie")-SUMIFS('Mouvements stock'!$H$5:$H$3004,'Mouvements stock'!$I$5:$I$3004,$A1882,'Mouvements stock'!$C$5:$C$3004,"Retour"))</f>
        <v/>
      </c>
      <c r="X1882" s="66" t="n"/>
      <c r="Y1882" s="66" t="n"/>
      <c r="Z1882" s="7" t="n"/>
      <c r="AA1882" s="70">
        <f>IF($A1882="","",N(V1882)+N(W1882)+N(X1882)+N(Y1882))</f>
        <v/>
      </c>
      <c r="AB1882" s="70">
        <f>IF($A1882="","",N(S1882)*'Paramètres'!$AA$9*IFERROR(INDEX('Paramètres'!$O$5:$O$7,MATCH(G1882,'Paramètres'!$N$5:$N$7,0)),0))</f>
        <v/>
      </c>
      <c r="AC1882" s="7" t="n"/>
      <c r="AD1882" s="69">
        <f>IF(OR($A1882="",Q1882=""),"",(Q1882-B1882)*24)</f>
        <v/>
      </c>
      <c r="AE1882" s="69">
        <f>IF(OR(Q1882="",R1882=""),"",(R1882-Q1882)*24)</f>
        <v/>
      </c>
      <c r="AF1882" s="77">
        <f>IF(OR($A1882="",B1882=""),"",YEAR(B1882))</f>
        <v/>
      </c>
      <c r="AG1882" s="77">
        <f>IF(OR($A1882="",B1882=""),"",MONTH(B1882))</f>
        <v/>
      </c>
    </row>
    <row r="1883">
      <c r="A1883" s="7" t="n"/>
      <c r="B1883" s="75" t="n"/>
      <c r="C1883" s="7" t="n"/>
      <c r="D1883" s="7" t="n"/>
      <c r="E1883" s="9">
        <f>IF(D1883="","",IFERROR(INDEX('Équipements'!$B$5:$B$304,MATCH(D1883,'Équipements'!$A$5:$A$304,0)),"Code inconnu"))</f>
        <v/>
      </c>
      <c r="F1883" s="9">
        <f>IF(D1883="","",IFERROR(INDEX('Équipements'!$D$5:$D$304,MATCH(D1883,'Équipements'!$A$5:$A$304,0)),""))</f>
        <v/>
      </c>
      <c r="G1883" s="9">
        <f>IF(D1883="","",IFERROR(INDEX('Équipements'!$K$5:$K$304,MATCH(D1883,'Équipements'!$A$5:$A$304,0)),""))</f>
        <v/>
      </c>
      <c r="H1883" s="7" t="n"/>
      <c r="I1883" s="7" t="n"/>
      <c r="J1883" s="7" t="n"/>
      <c r="K1883" s="7" t="n"/>
      <c r="L1883" s="7" t="n"/>
      <c r="M1883" s="7" t="n"/>
      <c r="N1883" s="7" t="n"/>
      <c r="O1883" s="7" t="n"/>
      <c r="P1883" s="65" t="n"/>
      <c r="Q1883" s="75" t="n"/>
      <c r="R1883" s="75" t="n"/>
      <c r="S1883" s="76" t="n"/>
      <c r="T1883" s="76" t="n"/>
      <c r="U1883" s="70">
        <f>IF($A1883="","",IFERROR(INDEX('Techniciens'!$F$5:$F$44,MATCH(O1883,'Techniciens'!$B$5:$B$44,0)),'Paramètres'!$AA$10))</f>
        <v/>
      </c>
      <c r="V1883" s="70">
        <f>IF($A1883="","",IF(OR(AC1883="Demandé",AC1883="Planifié",AC1883="Annulé"),0,N(T1883)*N(U1883)))</f>
        <v/>
      </c>
      <c r="W1883" s="70">
        <f>IF($A1883="","",SUMIFS('Mouvements stock'!$H$5:$H$3004,'Mouvements stock'!$I$5:$I$3004,$A1883,'Mouvements stock'!$C$5:$C$3004,"Sortie")-SUMIFS('Mouvements stock'!$H$5:$H$3004,'Mouvements stock'!$I$5:$I$3004,$A1883,'Mouvements stock'!$C$5:$C$3004,"Retour"))</f>
        <v/>
      </c>
      <c r="X1883" s="66" t="n"/>
      <c r="Y1883" s="66" t="n"/>
      <c r="Z1883" s="7" t="n"/>
      <c r="AA1883" s="70">
        <f>IF($A1883="","",N(V1883)+N(W1883)+N(X1883)+N(Y1883))</f>
        <v/>
      </c>
      <c r="AB1883" s="70">
        <f>IF($A1883="","",N(S1883)*'Paramètres'!$AA$9*IFERROR(INDEX('Paramètres'!$O$5:$O$7,MATCH(G1883,'Paramètres'!$N$5:$N$7,0)),0))</f>
        <v/>
      </c>
      <c r="AC1883" s="7" t="n"/>
      <c r="AD1883" s="69">
        <f>IF(OR($A1883="",Q1883=""),"",(Q1883-B1883)*24)</f>
        <v/>
      </c>
      <c r="AE1883" s="69">
        <f>IF(OR(Q1883="",R1883=""),"",(R1883-Q1883)*24)</f>
        <v/>
      </c>
      <c r="AF1883" s="77">
        <f>IF(OR($A1883="",B1883=""),"",YEAR(B1883))</f>
        <v/>
      </c>
      <c r="AG1883" s="77">
        <f>IF(OR($A1883="",B1883=""),"",MONTH(B1883))</f>
        <v/>
      </c>
    </row>
    <row r="1884">
      <c r="A1884" s="7" t="n"/>
      <c r="B1884" s="75" t="n"/>
      <c r="C1884" s="7" t="n"/>
      <c r="D1884" s="7" t="n"/>
      <c r="E1884" s="9">
        <f>IF(D1884="","",IFERROR(INDEX('Équipements'!$B$5:$B$304,MATCH(D1884,'Équipements'!$A$5:$A$304,0)),"Code inconnu"))</f>
        <v/>
      </c>
      <c r="F1884" s="9">
        <f>IF(D1884="","",IFERROR(INDEX('Équipements'!$D$5:$D$304,MATCH(D1884,'Équipements'!$A$5:$A$304,0)),""))</f>
        <v/>
      </c>
      <c r="G1884" s="9">
        <f>IF(D1884="","",IFERROR(INDEX('Équipements'!$K$5:$K$304,MATCH(D1884,'Équipements'!$A$5:$A$304,0)),""))</f>
        <v/>
      </c>
      <c r="H1884" s="7" t="n"/>
      <c r="I1884" s="7" t="n"/>
      <c r="J1884" s="7" t="n"/>
      <c r="K1884" s="7" t="n"/>
      <c r="L1884" s="7" t="n"/>
      <c r="M1884" s="7" t="n"/>
      <c r="N1884" s="7" t="n"/>
      <c r="O1884" s="7" t="n"/>
      <c r="P1884" s="65" t="n"/>
      <c r="Q1884" s="75" t="n"/>
      <c r="R1884" s="75" t="n"/>
      <c r="S1884" s="76" t="n"/>
      <c r="T1884" s="76" t="n"/>
      <c r="U1884" s="70">
        <f>IF($A1884="","",IFERROR(INDEX('Techniciens'!$F$5:$F$44,MATCH(O1884,'Techniciens'!$B$5:$B$44,0)),'Paramètres'!$AA$10))</f>
        <v/>
      </c>
      <c r="V1884" s="70">
        <f>IF($A1884="","",IF(OR(AC1884="Demandé",AC1884="Planifié",AC1884="Annulé"),0,N(T1884)*N(U1884)))</f>
        <v/>
      </c>
      <c r="W1884" s="70">
        <f>IF($A1884="","",SUMIFS('Mouvements stock'!$H$5:$H$3004,'Mouvements stock'!$I$5:$I$3004,$A1884,'Mouvements stock'!$C$5:$C$3004,"Sortie")-SUMIFS('Mouvements stock'!$H$5:$H$3004,'Mouvements stock'!$I$5:$I$3004,$A1884,'Mouvements stock'!$C$5:$C$3004,"Retour"))</f>
        <v/>
      </c>
      <c r="X1884" s="66" t="n"/>
      <c r="Y1884" s="66" t="n"/>
      <c r="Z1884" s="7" t="n"/>
      <c r="AA1884" s="70">
        <f>IF($A1884="","",N(V1884)+N(W1884)+N(X1884)+N(Y1884))</f>
        <v/>
      </c>
      <c r="AB1884" s="70">
        <f>IF($A1884="","",N(S1884)*'Paramètres'!$AA$9*IFERROR(INDEX('Paramètres'!$O$5:$O$7,MATCH(G1884,'Paramètres'!$N$5:$N$7,0)),0))</f>
        <v/>
      </c>
      <c r="AC1884" s="7" t="n"/>
      <c r="AD1884" s="69">
        <f>IF(OR($A1884="",Q1884=""),"",(Q1884-B1884)*24)</f>
        <v/>
      </c>
      <c r="AE1884" s="69">
        <f>IF(OR(Q1884="",R1884=""),"",(R1884-Q1884)*24)</f>
        <v/>
      </c>
      <c r="AF1884" s="77">
        <f>IF(OR($A1884="",B1884=""),"",YEAR(B1884))</f>
        <v/>
      </c>
      <c r="AG1884" s="77">
        <f>IF(OR($A1884="",B1884=""),"",MONTH(B1884))</f>
        <v/>
      </c>
    </row>
    <row r="1885">
      <c r="A1885" s="7" t="n"/>
      <c r="B1885" s="75" t="n"/>
      <c r="C1885" s="7" t="n"/>
      <c r="D1885" s="7" t="n"/>
      <c r="E1885" s="9">
        <f>IF(D1885="","",IFERROR(INDEX('Équipements'!$B$5:$B$304,MATCH(D1885,'Équipements'!$A$5:$A$304,0)),"Code inconnu"))</f>
        <v/>
      </c>
      <c r="F1885" s="9">
        <f>IF(D1885="","",IFERROR(INDEX('Équipements'!$D$5:$D$304,MATCH(D1885,'Équipements'!$A$5:$A$304,0)),""))</f>
        <v/>
      </c>
      <c r="G1885" s="9">
        <f>IF(D1885="","",IFERROR(INDEX('Équipements'!$K$5:$K$304,MATCH(D1885,'Équipements'!$A$5:$A$304,0)),""))</f>
        <v/>
      </c>
      <c r="H1885" s="7" t="n"/>
      <c r="I1885" s="7" t="n"/>
      <c r="J1885" s="7" t="n"/>
      <c r="K1885" s="7" t="n"/>
      <c r="L1885" s="7" t="n"/>
      <c r="M1885" s="7" t="n"/>
      <c r="N1885" s="7" t="n"/>
      <c r="O1885" s="7" t="n"/>
      <c r="P1885" s="65" t="n"/>
      <c r="Q1885" s="75" t="n"/>
      <c r="R1885" s="75" t="n"/>
      <c r="S1885" s="76" t="n"/>
      <c r="T1885" s="76" t="n"/>
      <c r="U1885" s="70">
        <f>IF($A1885="","",IFERROR(INDEX('Techniciens'!$F$5:$F$44,MATCH(O1885,'Techniciens'!$B$5:$B$44,0)),'Paramètres'!$AA$10))</f>
        <v/>
      </c>
      <c r="V1885" s="70">
        <f>IF($A1885="","",IF(OR(AC1885="Demandé",AC1885="Planifié",AC1885="Annulé"),0,N(T1885)*N(U1885)))</f>
        <v/>
      </c>
      <c r="W1885" s="70">
        <f>IF($A1885="","",SUMIFS('Mouvements stock'!$H$5:$H$3004,'Mouvements stock'!$I$5:$I$3004,$A1885,'Mouvements stock'!$C$5:$C$3004,"Sortie")-SUMIFS('Mouvements stock'!$H$5:$H$3004,'Mouvements stock'!$I$5:$I$3004,$A1885,'Mouvements stock'!$C$5:$C$3004,"Retour"))</f>
        <v/>
      </c>
      <c r="X1885" s="66" t="n"/>
      <c r="Y1885" s="66" t="n"/>
      <c r="Z1885" s="7" t="n"/>
      <c r="AA1885" s="70">
        <f>IF($A1885="","",N(V1885)+N(W1885)+N(X1885)+N(Y1885))</f>
        <v/>
      </c>
      <c r="AB1885" s="70">
        <f>IF($A1885="","",N(S1885)*'Paramètres'!$AA$9*IFERROR(INDEX('Paramètres'!$O$5:$O$7,MATCH(G1885,'Paramètres'!$N$5:$N$7,0)),0))</f>
        <v/>
      </c>
      <c r="AC1885" s="7" t="n"/>
      <c r="AD1885" s="69">
        <f>IF(OR($A1885="",Q1885=""),"",(Q1885-B1885)*24)</f>
        <v/>
      </c>
      <c r="AE1885" s="69">
        <f>IF(OR(Q1885="",R1885=""),"",(R1885-Q1885)*24)</f>
        <v/>
      </c>
      <c r="AF1885" s="77">
        <f>IF(OR($A1885="",B1885=""),"",YEAR(B1885))</f>
        <v/>
      </c>
      <c r="AG1885" s="77">
        <f>IF(OR($A1885="",B1885=""),"",MONTH(B1885))</f>
        <v/>
      </c>
    </row>
    <row r="1886">
      <c r="A1886" s="7" t="n"/>
      <c r="B1886" s="75" t="n"/>
      <c r="C1886" s="7" t="n"/>
      <c r="D1886" s="7" t="n"/>
      <c r="E1886" s="9">
        <f>IF(D1886="","",IFERROR(INDEX('Équipements'!$B$5:$B$304,MATCH(D1886,'Équipements'!$A$5:$A$304,0)),"Code inconnu"))</f>
        <v/>
      </c>
      <c r="F1886" s="9">
        <f>IF(D1886="","",IFERROR(INDEX('Équipements'!$D$5:$D$304,MATCH(D1886,'Équipements'!$A$5:$A$304,0)),""))</f>
        <v/>
      </c>
      <c r="G1886" s="9">
        <f>IF(D1886="","",IFERROR(INDEX('Équipements'!$K$5:$K$304,MATCH(D1886,'Équipements'!$A$5:$A$304,0)),""))</f>
        <v/>
      </c>
      <c r="H1886" s="7" t="n"/>
      <c r="I1886" s="7" t="n"/>
      <c r="J1886" s="7" t="n"/>
      <c r="K1886" s="7" t="n"/>
      <c r="L1886" s="7" t="n"/>
      <c r="M1886" s="7" t="n"/>
      <c r="N1886" s="7" t="n"/>
      <c r="O1886" s="7" t="n"/>
      <c r="P1886" s="65" t="n"/>
      <c r="Q1886" s="75" t="n"/>
      <c r="R1886" s="75" t="n"/>
      <c r="S1886" s="76" t="n"/>
      <c r="T1886" s="76" t="n"/>
      <c r="U1886" s="70">
        <f>IF($A1886="","",IFERROR(INDEX('Techniciens'!$F$5:$F$44,MATCH(O1886,'Techniciens'!$B$5:$B$44,0)),'Paramètres'!$AA$10))</f>
        <v/>
      </c>
      <c r="V1886" s="70">
        <f>IF($A1886="","",IF(OR(AC1886="Demandé",AC1886="Planifié",AC1886="Annulé"),0,N(T1886)*N(U1886)))</f>
        <v/>
      </c>
      <c r="W1886" s="70">
        <f>IF($A1886="","",SUMIFS('Mouvements stock'!$H$5:$H$3004,'Mouvements stock'!$I$5:$I$3004,$A1886,'Mouvements stock'!$C$5:$C$3004,"Sortie")-SUMIFS('Mouvements stock'!$H$5:$H$3004,'Mouvements stock'!$I$5:$I$3004,$A1886,'Mouvements stock'!$C$5:$C$3004,"Retour"))</f>
        <v/>
      </c>
      <c r="X1886" s="66" t="n"/>
      <c r="Y1886" s="66" t="n"/>
      <c r="Z1886" s="7" t="n"/>
      <c r="AA1886" s="70">
        <f>IF($A1886="","",N(V1886)+N(W1886)+N(X1886)+N(Y1886))</f>
        <v/>
      </c>
      <c r="AB1886" s="70">
        <f>IF($A1886="","",N(S1886)*'Paramètres'!$AA$9*IFERROR(INDEX('Paramètres'!$O$5:$O$7,MATCH(G1886,'Paramètres'!$N$5:$N$7,0)),0))</f>
        <v/>
      </c>
      <c r="AC1886" s="7" t="n"/>
      <c r="AD1886" s="69">
        <f>IF(OR($A1886="",Q1886=""),"",(Q1886-B1886)*24)</f>
        <v/>
      </c>
      <c r="AE1886" s="69">
        <f>IF(OR(Q1886="",R1886=""),"",(R1886-Q1886)*24)</f>
        <v/>
      </c>
      <c r="AF1886" s="77">
        <f>IF(OR($A1886="",B1886=""),"",YEAR(B1886))</f>
        <v/>
      </c>
      <c r="AG1886" s="77">
        <f>IF(OR($A1886="",B1886=""),"",MONTH(B1886))</f>
        <v/>
      </c>
    </row>
    <row r="1887">
      <c r="A1887" s="7" t="n"/>
      <c r="B1887" s="75" t="n"/>
      <c r="C1887" s="7" t="n"/>
      <c r="D1887" s="7" t="n"/>
      <c r="E1887" s="9">
        <f>IF(D1887="","",IFERROR(INDEX('Équipements'!$B$5:$B$304,MATCH(D1887,'Équipements'!$A$5:$A$304,0)),"Code inconnu"))</f>
        <v/>
      </c>
      <c r="F1887" s="9">
        <f>IF(D1887="","",IFERROR(INDEX('Équipements'!$D$5:$D$304,MATCH(D1887,'Équipements'!$A$5:$A$304,0)),""))</f>
        <v/>
      </c>
      <c r="G1887" s="9">
        <f>IF(D1887="","",IFERROR(INDEX('Équipements'!$K$5:$K$304,MATCH(D1887,'Équipements'!$A$5:$A$304,0)),""))</f>
        <v/>
      </c>
      <c r="H1887" s="7" t="n"/>
      <c r="I1887" s="7" t="n"/>
      <c r="J1887" s="7" t="n"/>
      <c r="K1887" s="7" t="n"/>
      <c r="L1887" s="7" t="n"/>
      <c r="M1887" s="7" t="n"/>
      <c r="N1887" s="7" t="n"/>
      <c r="O1887" s="7" t="n"/>
      <c r="P1887" s="65" t="n"/>
      <c r="Q1887" s="75" t="n"/>
      <c r="R1887" s="75" t="n"/>
      <c r="S1887" s="76" t="n"/>
      <c r="T1887" s="76" t="n"/>
      <c r="U1887" s="70">
        <f>IF($A1887="","",IFERROR(INDEX('Techniciens'!$F$5:$F$44,MATCH(O1887,'Techniciens'!$B$5:$B$44,0)),'Paramètres'!$AA$10))</f>
        <v/>
      </c>
      <c r="V1887" s="70">
        <f>IF($A1887="","",IF(OR(AC1887="Demandé",AC1887="Planifié",AC1887="Annulé"),0,N(T1887)*N(U1887)))</f>
        <v/>
      </c>
      <c r="W1887" s="70">
        <f>IF($A1887="","",SUMIFS('Mouvements stock'!$H$5:$H$3004,'Mouvements stock'!$I$5:$I$3004,$A1887,'Mouvements stock'!$C$5:$C$3004,"Sortie")-SUMIFS('Mouvements stock'!$H$5:$H$3004,'Mouvements stock'!$I$5:$I$3004,$A1887,'Mouvements stock'!$C$5:$C$3004,"Retour"))</f>
        <v/>
      </c>
      <c r="X1887" s="66" t="n"/>
      <c r="Y1887" s="66" t="n"/>
      <c r="Z1887" s="7" t="n"/>
      <c r="AA1887" s="70">
        <f>IF($A1887="","",N(V1887)+N(W1887)+N(X1887)+N(Y1887))</f>
        <v/>
      </c>
      <c r="AB1887" s="70">
        <f>IF($A1887="","",N(S1887)*'Paramètres'!$AA$9*IFERROR(INDEX('Paramètres'!$O$5:$O$7,MATCH(G1887,'Paramètres'!$N$5:$N$7,0)),0))</f>
        <v/>
      </c>
      <c r="AC1887" s="7" t="n"/>
      <c r="AD1887" s="69">
        <f>IF(OR($A1887="",Q1887=""),"",(Q1887-B1887)*24)</f>
        <v/>
      </c>
      <c r="AE1887" s="69">
        <f>IF(OR(Q1887="",R1887=""),"",(R1887-Q1887)*24)</f>
        <v/>
      </c>
      <c r="AF1887" s="77">
        <f>IF(OR($A1887="",B1887=""),"",YEAR(B1887))</f>
        <v/>
      </c>
      <c r="AG1887" s="77">
        <f>IF(OR($A1887="",B1887=""),"",MONTH(B1887))</f>
        <v/>
      </c>
    </row>
    <row r="1888">
      <c r="A1888" s="7" t="n"/>
      <c r="B1888" s="75" t="n"/>
      <c r="C1888" s="7" t="n"/>
      <c r="D1888" s="7" t="n"/>
      <c r="E1888" s="9">
        <f>IF(D1888="","",IFERROR(INDEX('Équipements'!$B$5:$B$304,MATCH(D1888,'Équipements'!$A$5:$A$304,0)),"Code inconnu"))</f>
        <v/>
      </c>
      <c r="F1888" s="9">
        <f>IF(D1888="","",IFERROR(INDEX('Équipements'!$D$5:$D$304,MATCH(D1888,'Équipements'!$A$5:$A$304,0)),""))</f>
        <v/>
      </c>
      <c r="G1888" s="9">
        <f>IF(D1888="","",IFERROR(INDEX('Équipements'!$K$5:$K$304,MATCH(D1888,'Équipements'!$A$5:$A$304,0)),""))</f>
        <v/>
      </c>
      <c r="H1888" s="7" t="n"/>
      <c r="I1888" s="7" t="n"/>
      <c r="J1888" s="7" t="n"/>
      <c r="K1888" s="7" t="n"/>
      <c r="L1888" s="7" t="n"/>
      <c r="M1888" s="7" t="n"/>
      <c r="N1888" s="7" t="n"/>
      <c r="O1888" s="7" t="n"/>
      <c r="P1888" s="65" t="n"/>
      <c r="Q1888" s="75" t="n"/>
      <c r="R1888" s="75" t="n"/>
      <c r="S1888" s="76" t="n"/>
      <c r="T1888" s="76" t="n"/>
      <c r="U1888" s="70">
        <f>IF($A1888="","",IFERROR(INDEX('Techniciens'!$F$5:$F$44,MATCH(O1888,'Techniciens'!$B$5:$B$44,0)),'Paramètres'!$AA$10))</f>
        <v/>
      </c>
      <c r="V1888" s="70">
        <f>IF($A1888="","",IF(OR(AC1888="Demandé",AC1888="Planifié",AC1888="Annulé"),0,N(T1888)*N(U1888)))</f>
        <v/>
      </c>
      <c r="W1888" s="70">
        <f>IF($A1888="","",SUMIFS('Mouvements stock'!$H$5:$H$3004,'Mouvements stock'!$I$5:$I$3004,$A1888,'Mouvements stock'!$C$5:$C$3004,"Sortie")-SUMIFS('Mouvements stock'!$H$5:$H$3004,'Mouvements stock'!$I$5:$I$3004,$A1888,'Mouvements stock'!$C$5:$C$3004,"Retour"))</f>
        <v/>
      </c>
      <c r="X1888" s="66" t="n"/>
      <c r="Y1888" s="66" t="n"/>
      <c r="Z1888" s="7" t="n"/>
      <c r="AA1888" s="70">
        <f>IF($A1888="","",N(V1888)+N(W1888)+N(X1888)+N(Y1888))</f>
        <v/>
      </c>
      <c r="AB1888" s="70">
        <f>IF($A1888="","",N(S1888)*'Paramètres'!$AA$9*IFERROR(INDEX('Paramètres'!$O$5:$O$7,MATCH(G1888,'Paramètres'!$N$5:$N$7,0)),0))</f>
        <v/>
      </c>
      <c r="AC1888" s="7" t="n"/>
      <c r="AD1888" s="69">
        <f>IF(OR($A1888="",Q1888=""),"",(Q1888-B1888)*24)</f>
        <v/>
      </c>
      <c r="AE1888" s="69">
        <f>IF(OR(Q1888="",R1888=""),"",(R1888-Q1888)*24)</f>
        <v/>
      </c>
      <c r="AF1888" s="77">
        <f>IF(OR($A1888="",B1888=""),"",YEAR(B1888))</f>
        <v/>
      </c>
      <c r="AG1888" s="77">
        <f>IF(OR($A1888="",B1888=""),"",MONTH(B1888))</f>
        <v/>
      </c>
    </row>
    <row r="1889">
      <c r="A1889" s="7" t="n"/>
      <c r="B1889" s="75" t="n"/>
      <c r="C1889" s="7" t="n"/>
      <c r="D1889" s="7" t="n"/>
      <c r="E1889" s="9">
        <f>IF(D1889="","",IFERROR(INDEX('Équipements'!$B$5:$B$304,MATCH(D1889,'Équipements'!$A$5:$A$304,0)),"Code inconnu"))</f>
        <v/>
      </c>
      <c r="F1889" s="9">
        <f>IF(D1889="","",IFERROR(INDEX('Équipements'!$D$5:$D$304,MATCH(D1889,'Équipements'!$A$5:$A$304,0)),""))</f>
        <v/>
      </c>
      <c r="G1889" s="9">
        <f>IF(D1889="","",IFERROR(INDEX('Équipements'!$K$5:$K$304,MATCH(D1889,'Équipements'!$A$5:$A$304,0)),""))</f>
        <v/>
      </c>
      <c r="H1889" s="7" t="n"/>
      <c r="I1889" s="7" t="n"/>
      <c r="J1889" s="7" t="n"/>
      <c r="K1889" s="7" t="n"/>
      <c r="L1889" s="7" t="n"/>
      <c r="M1889" s="7" t="n"/>
      <c r="N1889" s="7" t="n"/>
      <c r="O1889" s="7" t="n"/>
      <c r="P1889" s="65" t="n"/>
      <c r="Q1889" s="75" t="n"/>
      <c r="R1889" s="75" t="n"/>
      <c r="S1889" s="76" t="n"/>
      <c r="T1889" s="76" t="n"/>
      <c r="U1889" s="70">
        <f>IF($A1889="","",IFERROR(INDEX('Techniciens'!$F$5:$F$44,MATCH(O1889,'Techniciens'!$B$5:$B$44,0)),'Paramètres'!$AA$10))</f>
        <v/>
      </c>
      <c r="V1889" s="70">
        <f>IF($A1889="","",IF(OR(AC1889="Demandé",AC1889="Planifié",AC1889="Annulé"),0,N(T1889)*N(U1889)))</f>
        <v/>
      </c>
      <c r="W1889" s="70">
        <f>IF($A1889="","",SUMIFS('Mouvements stock'!$H$5:$H$3004,'Mouvements stock'!$I$5:$I$3004,$A1889,'Mouvements stock'!$C$5:$C$3004,"Sortie")-SUMIFS('Mouvements stock'!$H$5:$H$3004,'Mouvements stock'!$I$5:$I$3004,$A1889,'Mouvements stock'!$C$5:$C$3004,"Retour"))</f>
        <v/>
      </c>
      <c r="X1889" s="66" t="n"/>
      <c r="Y1889" s="66" t="n"/>
      <c r="Z1889" s="7" t="n"/>
      <c r="AA1889" s="70">
        <f>IF($A1889="","",N(V1889)+N(W1889)+N(X1889)+N(Y1889))</f>
        <v/>
      </c>
      <c r="AB1889" s="70">
        <f>IF($A1889="","",N(S1889)*'Paramètres'!$AA$9*IFERROR(INDEX('Paramètres'!$O$5:$O$7,MATCH(G1889,'Paramètres'!$N$5:$N$7,0)),0))</f>
        <v/>
      </c>
      <c r="AC1889" s="7" t="n"/>
      <c r="AD1889" s="69">
        <f>IF(OR($A1889="",Q1889=""),"",(Q1889-B1889)*24)</f>
        <v/>
      </c>
      <c r="AE1889" s="69">
        <f>IF(OR(Q1889="",R1889=""),"",(R1889-Q1889)*24)</f>
        <v/>
      </c>
      <c r="AF1889" s="77">
        <f>IF(OR($A1889="",B1889=""),"",YEAR(B1889))</f>
        <v/>
      </c>
      <c r="AG1889" s="77">
        <f>IF(OR($A1889="",B1889=""),"",MONTH(B1889))</f>
        <v/>
      </c>
    </row>
    <row r="1890">
      <c r="A1890" s="7" t="n"/>
      <c r="B1890" s="75" t="n"/>
      <c r="C1890" s="7" t="n"/>
      <c r="D1890" s="7" t="n"/>
      <c r="E1890" s="9">
        <f>IF(D1890="","",IFERROR(INDEX('Équipements'!$B$5:$B$304,MATCH(D1890,'Équipements'!$A$5:$A$304,0)),"Code inconnu"))</f>
        <v/>
      </c>
      <c r="F1890" s="9">
        <f>IF(D1890="","",IFERROR(INDEX('Équipements'!$D$5:$D$304,MATCH(D1890,'Équipements'!$A$5:$A$304,0)),""))</f>
        <v/>
      </c>
      <c r="G1890" s="9">
        <f>IF(D1890="","",IFERROR(INDEX('Équipements'!$K$5:$K$304,MATCH(D1890,'Équipements'!$A$5:$A$304,0)),""))</f>
        <v/>
      </c>
      <c r="H1890" s="7" t="n"/>
      <c r="I1890" s="7" t="n"/>
      <c r="J1890" s="7" t="n"/>
      <c r="K1890" s="7" t="n"/>
      <c r="L1890" s="7" t="n"/>
      <c r="M1890" s="7" t="n"/>
      <c r="N1890" s="7" t="n"/>
      <c r="O1890" s="7" t="n"/>
      <c r="P1890" s="65" t="n"/>
      <c r="Q1890" s="75" t="n"/>
      <c r="R1890" s="75" t="n"/>
      <c r="S1890" s="76" t="n"/>
      <c r="T1890" s="76" t="n"/>
      <c r="U1890" s="70">
        <f>IF($A1890="","",IFERROR(INDEX('Techniciens'!$F$5:$F$44,MATCH(O1890,'Techniciens'!$B$5:$B$44,0)),'Paramètres'!$AA$10))</f>
        <v/>
      </c>
      <c r="V1890" s="70">
        <f>IF($A1890="","",IF(OR(AC1890="Demandé",AC1890="Planifié",AC1890="Annulé"),0,N(T1890)*N(U1890)))</f>
        <v/>
      </c>
      <c r="W1890" s="70">
        <f>IF($A1890="","",SUMIFS('Mouvements stock'!$H$5:$H$3004,'Mouvements stock'!$I$5:$I$3004,$A1890,'Mouvements stock'!$C$5:$C$3004,"Sortie")-SUMIFS('Mouvements stock'!$H$5:$H$3004,'Mouvements stock'!$I$5:$I$3004,$A1890,'Mouvements stock'!$C$5:$C$3004,"Retour"))</f>
        <v/>
      </c>
      <c r="X1890" s="66" t="n"/>
      <c r="Y1890" s="66" t="n"/>
      <c r="Z1890" s="7" t="n"/>
      <c r="AA1890" s="70">
        <f>IF($A1890="","",N(V1890)+N(W1890)+N(X1890)+N(Y1890))</f>
        <v/>
      </c>
      <c r="AB1890" s="70">
        <f>IF($A1890="","",N(S1890)*'Paramètres'!$AA$9*IFERROR(INDEX('Paramètres'!$O$5:$O$7,MATCH(G1890,'Paramètres'!$N$5:$N$7,0)),0))</f>
        <v/>
      </c>
      <c r="AC1890" s="7" t="n"/>
      <c r="AD1890" s="69">
        <f>IF(OR($A1890="",Q1890=""),"",(Q1890-B1890)*24)</f>
        <v/>
      </c>
      <c r="AE1890" s="69">
        <f>IF(OR(Q1890="",R1890=""),"",(R1890-Q1890)*24)</f>
        <v/>
      </c>
      <c r="AF1890" s="77">
        <f>IF(OR($A1890="",B1890=""),"",YEAR(B1890))</f>
        <v/>
      </c>
      <c r="AG1890" s="77">
        <f>IF(OR($A1890="",B1890=""),"",MONTH(B1890))</f>
        <v/>
      </c>
    </row>
    <row r="1891">
      <c r="A1891" s="7" t="n"/>
      <c r="B1891" s="75" t="n"/>
      <c r="C1891" s="7" t="n"/>
      <c r="D1891" s="7" t="n"/>
      <c r="E1891" s="9">
        <f>IF(D1891="","",IFERROR(INDEX('Équipements'!$B$5:$B$304,MATCH(D1891,'Équipements'!$A$5:$A$304,0)),"Code inconnu"))</f>
        <v/>
      </c>
      <c r="F1891" s="9">
        <f>IF(D1891="","",IFERROR(INDEX('Équipements'!$D$5:$D$304,MATCH(D1891,'Équipements'!$A$5:$A$304,0)),""))</f>
        <v/>
      </c>
      <c r="G1891" s="9">
        <f>IF(D1891="","",IFERROR(INDEX('Équipements'!$K$5:$K$304,MATCH(D1891,'Équipements'!$A$5:$A$304,0)),""))</f>
        <v/>
      </c>
      <c r="H1891" s="7" t="n"/>
      <c r="I1891" s="7" t="n"/>
      <c r="J1891" s="7" t="n"/>
      <c r="K1891" s="7" t="n"/>
      <c r="L1891" s="7" t="n"/>
      <c r="M1891" s="7" t="n"/>
      <c r="N1891" s="7" t="n"/>
      <c r="O1891" s="7" t="n"/>
      <c r="P1891" s="65" t="n"/>
      <c r="Q1891" s="75" t="n"/>
      <c r="R1891" s="75" t="n"/>
      <c r="S1891" s="76" t="n"/>
      <c r="T1891" s="76" t="n"/>
      <c r="U1891" s="70">
        <f>IF($A1891="","",IFERROR(INDEX('Techniciens'!$F$5:$F$44,MATCH(O1891,'Techniciens'!$B$5:$B$44,0)),'Paramètres'!$AA$10))</f>
        <v/>
      </c>
      <c r="V1891" s="70">
        <f>IF($A1891="","",IF(OR(AC1891="Demandé",AC1891="Planifié",AC1891="Annulé"),0,N(T1891)*N(U1891)))</f>
        <v/>
      </c>
      <c r="W1891" s="70">
        <f>IF($A1891="","",SUMIFS('Mouvements stock'!$H$5:$H$3004,'Mouvements stock'!$I$5:$I$3004,$A1891,'Mouvements stock'!$C$5:$C$3004,"Sortie")-SUMIFS('Mouvements stock'!$H$5:$H$3004,'Mouvements stock'!$I$5:$I$3004,$A1891,'Mouvements stock'!$C$5:$C$3004,"Retour"))</f>
        <v/>
      </c>
      <c r="X1891" s="66" t="n"/>
      <c r="Y1891" s="66" t="n"/>
      <c r="Z1891" s="7" t="n"/>
      <c r="AA1891" s="70">
        <f>IF($A1891="","",N(V1891)+N(W1891)+N(X1891)+N(Y1891))</f>
        <v/>
      </c>
      <c r="AB1891" s="70">
        <f>IF($A1891="","",N(S1891)*'Paramètres'!$AA$9*IFERROR(INDEX('Paramètres'!$O$5:$O$7,MATCH(G1891,'Paramètres'!$N$5:$N$7,0)),0))</f>
        <v/>
      </c>
      <c r="AC1891" s="7" t="n"/>
      <c r="AD1891" s="69">
        <f>IF(OR($A1891="",Q1891=""),"",(Q1891-B1891)*24)</f>
        <v/>
      </c>
      <c r="AE1891" s="69">
        <f>IF(OR(Q1891="",R1891=""),"",(R1891-Q1891)*24)</f>
        <v/>
      </c>
      <c r="AF1891" s="77">
        <f>IF(OR($A1891="",B1891=""),"",YEAR(B1891))</f>
        <v/>
      </c>
      <c r="AG1891" s="77">
        <f>IF(OR($A1891="",B1891=""),"",MONTH(B1891))</f>
        <v/>
      </c>
    </row>
    <row r="1892">
      <c r="A1892" s="7" t="n"/>
      <c r="B1892" s="75" t="n"/>
      <c r="C1892" s="7" t="n"/>
      <c r="D1892" s="7" t="n"/>
      <c r="E1892" s="9">
        <f>IF(D1892="","",IFERROR(INDEX('Équipements'!$B$5:$B$304,MATCH(D1892,'Équipements'!$A$5:$A$304,0)),"Code inconnu"))</f>
        <v/>
      </c>
      <c r="F1892" s="9">
        <f>IF(D1892="","",IFERROR(INDEX('Équipements'!$D$5:$D$304,MATCH(D1892,'Équipements'!$A$5:$A$304,0)),""))</f>
        <v/>
      </c>
      <c r="G1892" s="9">
        <f>IF(D1892="","",IFERROR(INDEX('Équipements'!$K$5:$K$304,MATCH(D1892,'Équipements'!$A$5:$A$304,0)),""))</f>
        <v/>
      </c>
      <c r="H1892" s="7" t="n"/>
      <c r="I1892" s="7" t="n"/>
      <c r="J1892" s="7" t="n"/>
      <c r="K1892" s="7" t="n"/>
      <c r="L1892" s="7" t="n"/>
      <c r="M1892" s="7" t="n"/>
      <c r="N1892" s="7" t="n"/>
      <c r="O1892" s="7" t="n"/>
      <c r="P1892" s="65" t="n"/>
      <c r="Q1892" s="75" t="n"/>
      <c r="R1892" s="75" t="n"/>
      <c r="S1892" s="76" t="n"/>
      <c r="T1892" s="76" t="n"/>
      <c r="U1892" s="70">
        <f>IF($A1892="","",IFERROR(INDEX('Techniciens'!$F$5:$F$44,MATCH(O1892,'Techniciens'!$B$5:$B$44,0)),'Paramètres'!$AA$10))</f>
        <v/>
      </c>
      <c r="V1892" s="70">
        <f>IF($A1892="","",IF(OR(AC1892="Demandé",AC1892="Planifié",AC1892="Annulé"),0,N(T1892)*N(U1892)))</f>
        <v/>
      </c>
      <c r="W1892" s="70">
        <f>IF($A1892="","",SUMIFS('Mouvements stock'!$H$5:$H$3004,'Mouvements stock'!$I$5:$I$3004,$A1892,'Mouvements stock'!$C$5:$C$3004,"Sortie")-SUMIFS('Mouvements stock'!$H$5:$H$3004,'Mouvements stock'!$I$5:$I$3004,$A1892,'Mouvements stock'!$C$5:$C$3004,"Retour"))</f>
        <v/>
      </c>
      <c r="X1892" s="66" t="n"/>
      <c r="Y1892" s="66" t="n"/>
      <c r="Z1892" s="7" t="n"/>
      <c r="AA1892" s="70">
        <f>IF($A1892="","",N(V1892)+N(W1892)+N(X1892)+N(Y1892))</f>
        <v/>
      </c>
      <c r="AB1892" s="70">
        <f>IF($A1892="","",N(S1892)*'Paramètres'!$AA$9*IFERROR(INDEX('Paramètres'!$O$5:$O$7,MATCH(G1892,'Paramètres'!$N$5:$N$7,0)),0))</f>
        <v/>
      </c>
      <c r="AC1892" s="7" t="n"/>
      <c r="AD1892" s="69">
        <f>IF(OR($A1892="",Q1892=""),"",(Q1892-B1892)*24)</f>
        <v/>
      </c>
      <c r="AE1892" s="69">
        <f>IF(OR(Q1892="",R1892=""),"",(R1892-Q1892)*24)</f>
        <v/>
      </c>
      <c r="AF1892" s="77">
        <f>IF(OR($A1892="",B1892=""),"",YEAR(B1892))</f>
        <v/>
      </c>
      <c r="AG1892" s="77">
        <f>IF(OR($A1892="",B1892=""),"",MONTH(B1892))</f>
        <v/>
      </c>
    </row>
    <row r="1893">
      <c r="A1893" s="7" t="n"/>
      <c r="B1893" s="75" t="n"/>
      <c r="C1893" s="7" t="n"/>
      <c r="D1893" s="7" t="n"/>
      <c r="E1893" s="9">
        <f>IF(D1893="","",IFERROR(INDEX('Équipements'!$B$5:$B$304,MATCH(D1893,'Équipements'!$A$5:$A$304,0)),"Code inconnu"))</f>
        <v/>
      </c>
      <c r="F1893" s="9">
        <f>IF(D1893="","",IFERROR(INDEX('Équipements'!$D$5:$D$304,MATCH(D1893,'Équipements'!$A$5:$A$304,0)),""))</f>
        <v/>
      </c>
      <c r="G1893" s="9">
        <f>IF(D1893="","",IFERROR(INDEX('Équipements'!$K$5:$K$304,MATCH(D1893,'Équipements'!$A$5:$A$304,0)),""))</f>
        <v/>
      </c>
      <c r="H1893" s="7" t="n"/>
      <c r="I1893" s="7" t="n"/>
      <c r="J1893" s="7" t="n"/>
      <c r="K1893" s="7" t="n"/>
      <c r="L1893" s="7" t="n"/>
      <c r="M1893" s="7" t="n"/>
      <c r="N1893" s="7" t="n"/>
      <c r="O1893" s="7" t="n"/>
      <c r="P1893" s="65" t="n"/>
      <c r="Q1893" s="75" t="n"/>
      <c r="R1893" s="75" t="n"/>
      <c r="S1893" s="76" t="n"/>
      <c r="T1893" s="76" t="n"/>
      <c r="U1893" s="70">
        <f>IF($A1893="","",IFERROR(INDEX('Techniciens'!$F$5:$F$44,MATCH(O1893,'Techniciens'!$B$5:$B$44,0)),'Paramètres'!$AA$10))</f>
        <v/>
      </c>
      <c r="V1893" s="70">
        <f>IF($A1893="","",IF(OR(AC1893="Demandé",AC1893="Planifié",AC1893="Annulé"),0,N(T1893)*N(U1893)))</f>
        <v/>
      </c>
      <c r="W1893" s="70">
        <f>IF($A1893="","",SUMIFS('Mouvements stock'!$H$5:$H$3004,'Mouvements stock'!$I$5:$I$3004,$A1893,'Mouvements stock'!$C$5:$C$3004,"Sortie")-SUMIFS('Mouvements stock'!$H$5:$H$3004,'Mouvements stock'!$I$5:$I$3004,$A1893,'Mouvements stock'!$C$5:$C$3004,"Retour"))</f>
        <v/>
      </c>
      <c r="X1893" s="66" t="n"/>
      <c r="Y1893" s="66" t="n"/>
      <c r="Z1893" s="7" t="n"/>
      <c r="AA1893" s="70">
        <f>IF($A1893="","",N(V1893)+N(W1893)+N(X1893)+N(Y1893))</f>
        <v/>
      </c>
      <c r="AB1893" s="70">
        <f>IF($A1893="","",N(S1893)*'Paramètres'!$AA$9*IFERROR(INDEX('Paramètres'!$O$5:$O$7,MATCH(G1893,'Paramètres'!$N$5:$N$7,0)),0))</f>
        <v/>
      </c>
      <c r="AC1893" s="7" t="n"/>
      <c r="AD1893" s="69">
        <f>IF(OR($A1893="",Q1893=""),"",(Q1893-B1893)*24)</f>
        <v/>
      </c>
      <c r="AE1893" s="69">
        <f>IF(OR(Q1893="",R1893=""),"",(R1893-Q1893)*24)</f>
        <v/>
      </c>
      <c r="AF1893" s="77">
        <f>IF(OR($A1893="",B1893=""),"",YEAR(B1893))</f>
        <v/>
      </c>
      <c r="AG1893" s="77">
        <f>IF(OR($A1893="",B1893=""),"",MONTH(B1893))</f>
        <v/>
      </c>
    </row>
    <row r="1894">
      <c r="A1894" s="7" t="n"/>
      <c r="B1894" s="75" t="n"/>
      <c r="C1894" s="7" t="n"/>
      <c r="D1894" s="7" t="n"/>
      <c r="E1894" s="9">
        <f>IF(D1894="","",IFERROR(INDEX('Équipements'!$B$5:$B$304,MATCH(D1894,'Équipements'!$A$5:$A$304,0)),"Code inconnu"))</f>
        <v/>
      </c>
      <c r="F1894" s="9">
        <f>IF(D1894="","",IFERROR(INDEX('Équipements'!$D$5:$D$304,MATCH(D1894,'Équipements'!$A$5:$A$304,0)),""))</f>
        <v/>
      </c>
      <c r="G1894" s="9">
        <f>IF(D1894="","",IFERROR(INDEX('Équipements'!$K$5:$K$304,MATCH(D1894,'Équipements'!$A$5:$A$304,0)),""))</f>
        <v/>
      </c>
      <c r="H1894" s="7" t="n"/>
      <c r="I1894" s="7" t="n"/>
      <c r="J1894" s="7" t="n"/>
      <c r="K1894" s="7" t="n"/>
      <c r="L1894" s="7" t="n"/>
      <c r="M1894" s="7" t="n"/>
      <c r="N1894" s="7" t="n"/>
      <c r="O1894" s="7" t="n"/>
      <c r="P1894" s="65" t="n"/>
      <c r="Q1894" s="75" t="n"/>
      <c r="R1894" s="75" t="n"/>
      <c r="S1894" s="76" t="n"/>
      <c r="T1894" s="76" t="n"/>
      <c r="U1894" s="70">
        <f>IF($A1894="","",IFERROR(INDEX('Techniciens'!$F$5:$F$44,MATCH(O1894,'Techniciens'!$B$5:$B$44,0)),'Paramètres'!$AA$10))</f>
        <v/>
      </c>
      <c r="V1894" s="70">
        <f>IF($A1894="","",IF(OR(AC1894="Demandé",AC1894="Planifié",AC1894="Annulé"),0,N(T1894)*N(U1894)))</f>
        <v/>
      </c>
      <c r="W1894" s="70">
        <f>IF($A1894="","",SUMIFS('Mouvements stock'!$H$5:$H$3004,'Mouvements stock'!$I$5:$I$3004,$A1894,'Mouvements stock'!$C$5:$C$3004,"Sortie")-SUMIFS('Mouvements stock'!$H$5:$H$3004,'Mouvements stock'!$I$5:$I$3004,$A1894,'Mouvements stock'!$C$5:$C$3004,"Retour"))</f>
        <v/>
      </c>
      <c r="X1894" s="66" t="n"/>
      <c r="Y1894" s="66" t="n"/>
      <c r="Z1894" s="7" t="n"/>
      <c r="AA1894" s="70">
        <f>IF($A1894="","",N(V1894)+N(W1894)+N(X1894)+N(Y1894))</f>
        <v/>
      </c>
      <c r="AB1894" s="70">
        <f>IF($A1894="","",N(S1894)*'Paramètres'!$AA$9*IFERROR(INDEX('Paramètres'!$O$5:$O$7,MATCH(G1894,'Paramètres'!$N$5:$N$7,0)),0))</f>
        <v/>
      </c>
      <c r="AC1894" s="7" t="n"/>
      <c r="AD1894" s="69">
        <f>IF(OR($A1894="",Q1894=""),"",(Q1894-B1894)*24)</f>
        <v/>
      </c>
      <c r="AE1894" s="69">
        <f>IF(OR(Q1894="",R1894=""),"",(R1894-Q1894)*24)</f>
        <v/>
      </c>
      <c r="AF1894" s="77">
        <f>IF(OR($A1894="",B1894=""),"",YEAR(B1894))</f>
        <v/>
      </c>
      <c r="AG1894" s="77">
        <f>IF(OR($A1894="",B1894=""),"",MONTH(B1894))</f>
        <v/>
      </c>
    </row>
    <row r="1895">
      <c r="A1895" s="7" t="n"/>
      <c r="B1895" s="75" t="n"/>
      <c r="C1895" s="7" t="n"/>
      <c r="D1895" s="7" t="n"/>
      <c r="E1895" s="9">
        <f>IF(D1895="","",IFERROR(INDEX('Équipements'!$B$5:$B$304,MATCH(D1895,'Équipements'!$A$5:$A$304,0)),"Code inconnu"))</f>
        <v/>
      </c>
      <c r="F1895" s="9">
        <f>IF(D1895="","",IFERROR(INDEX('Équipements'!$D$5:$D$304,MATCH(D1895,'Équipements'!$A$5:$A$304,0)),""))</f>
        <v/>
      </c>
      <c r="G1895" s="9">
        <f>IF(D1895="","",IFERROR(INDEX('Équipements'!$K$5:$K$304,MATCH(D1895,'Équipements'!$A$5:$A$304,0)),""))</f>
        <v/>
      </c>
      <c r="H1895" s="7" t="n"/>
      <c r="I1895" s="7" t="n"/>
      <c r="J1895" s="7" t="n"/>
      <c r="K1895" s="7" t="n"/>
      <c r="L1895" s="7" t="n"/>
      <c r="M1895" s="7" t="n"/>
      <c r="N1895" s="7" t="n"/>
      <c r="O1895" s="7" t="n"/>
      <c r="P1895" s="65" t="n"/>
      <c r="Q1895" s="75" t="n"/>
      <c r="R1895" s="75" t="n"/>
      <c r="S1895" s="76" t="n"/>
      <c r="T1895" s="76" t="n"/>
      <c r="U1895" s="70">
        <f>IF($A1895="","",IFERROR(INDEX('Techniciens'!$F$5:$F$44,MATCH(O1895,'Techniciens'!$B$5:$B$44,0)),'Paramètres'!$AA$10))</f>
        <v/>
      </c>
      <c r="V1895" s="70">
        <f>IF($A1895="","",IF(OR(AC1895="Demandé",AC1895="Planifié",AC1895="Annulé"),0,N(T1895)*N(U1895)))</f>
        <v/>
      </c>
      <c r="W1895" s="70">
        <f>IF($A1895="","",SUMIFS('Mouvements stock'!$H$5:$H$3004,'Mouvements stock'!$I$5:$I$3004,$A1895,'Mouvements stock'!$C$5:$C$3004,"Sortie")-SUMIFS('Mouvements stock'!$H$5:$H$3004,'Mouvements stock'!$I$5:$I$3004,$A1895,'Mouvements stock'!$C$5:$C$3004,"Retour"))</f>
        <v/>
      </c>
      <c r="X1895" s="66" t="n"/>
      <c r="Y1895" s="66" t="n"/>
      <c r="Z1895" s="7" t="n"/>
      <c r="AA1895" s="70">
        <f>IF($A1895="","",N(V1895)+N(W1895)+N(X1895)+N(Y1895))</f>
        <v/>
      </c>
      <c r="AB1895" s="70">
        <f>IF($A1895="","",N(S1895)*'Paramètres'!$AA$9*IFERROR(INDEX('Paramètres'!$O$5:$O$7,MATCH(G1895,'Paramètres'!$N$5:$N$7,0)),0))</f>
        <v/>
      </c>
      <c r="AC1895" s="7" t="n"/>
      <c r="AD1895" s="69">
        <f>IF(OR($A1895="",Q1895=""),"",(Q1895-B1895)*24)</f>
        <v/>
      </c>
      <c r="AE1895" s="69">
        <f>IF(OR(Q1895="",R1895=""),"",(R1895-Q1895)*24)</f>
        <v/>
      </c>
      <c r="AF1895" s="77">
        <f>IF(OR($A1895="",B1895=""),"",YEAR(B1895))</f>
        <v/>
      </c>
      <c r="AG1895" s="77">
        <f>IF(OR($A1895="",B1895=""),"",MONTH(B1895))</f>
        <v/>
      </c>
    </row>
    <row r="1896">
      <c r="A1896" s="7" t="n"/>
      <c r="B1896" s="75" t="n"/>
      <c r="C1896" s="7" t="n"/>
      <c r="D1896" s="7" t="n"/>
      <c r="E1896" s="9">
        <f>IF(D1896="","",IFERROR(INDEX('Équipements'!$B$5:$B$304,MATCH(D1896,'Équipements'!$A$5:$A$304,0)),"Code inconnu"))</f>
        <v/>
      </c>
      <c r="F1896" s="9">
        <f>IF(D1896="","",IFERROR(INDEX('Équipements'!$D$5:$D$304,MATCH(D1896,'Équipements'!$A$5:$A$304,0)),""))</f>
        <v/>
      </c>
      <c r="G1896" s="9">
        <f>IF(D1896="","",IFERROR(INDEX('Équipements'!$K$5:$K$304,MATCH(D1896,'Équipements'!$A$5:$A$304,0)),""))</f>
        <v/>
      </c>
      <c r="H1896" s="7" t="n"/>
      <c r="I1896" s="7" t="n"/>
      <c r="J1896" s="7" t="n"/>
      <c r="K1896" s="7" t="n"/>
      <c r="L1896" s="7" t="n"/>
      <c r="M1896" s="7" t="n"/>
      <c r="N1896" s="7" t="n"/>
      <c r="O1896" s="7" t="n"/>
      <c r="P1896" s="65" t="n"/>
      <c r="Q1896" s="75" t="n"/>
      <c r="R1896" s="75" t="n"/>
      <c r="S1896" s="76" t="n"/>
      <c r="T1896" s="76" t="n"/>
      <c r="U1896" s="70">
        <f>IF($A1896="","",IFERROR(INDEX('Techniciens'!$F$5:$F$44,MATCH(O1896,'Techniciens'!$B$5:$B$44,0)),'Paramètres'!$AA$10))</f>
        <v/>
      </c>
      <c r="V1896" s="70">
        <f>IF($A1896="","",IF(OR(AC1896="Demandé",AC1896="Planifié",AC1896="Annulé"),0,N(T1896)*N(U1896)))</f>
        <v/>
      </c>
      <c r="W1896" s="70">
        <f>IF($A1896="","",SUMIFS('Mouvements stock'!$H$5:$H$3004,'Mouvements stock'!$I$5:$I$3004,$A1896,'Mouvements stock'!$C$5:$C$3004,"Sortie")-SUMIFS('Mouvements stock'!$H$5:$H$3004,'Mouvements stock'!$I$5:$I$3004,$A1896,'Mouvements stock'!$C$5:$C$3004,"Retour"))</f>
        <v/>
      </c>
      <c r="X1896" s="66" t="n"/>
      <c r="Y1896" s="66" t="n"/>
      <c r="Z1896" s="7" t="n"/>
      <c r="AA1896" s="70">
        <f>IF($A1896="","",N(V1896)+N(W1896)+N(X1896)+N(Y1896))</f>
        <v/>
      </c>
      <c r="AB1896" s="70">
        <f>IF($A1896="","",N(S1896)*'Paramètres'!$AA$9*IFERROR(INDEX('Paramètres'!$O$5:$O$7,MATCH(G1896,'Paramètres'!$N$5:$N$7,0)),0))</f>
        <v/>
      </c>
      <c r="AC1896" s="7" t="n"/>
      <c r="AD1896" s="69">
        <f>IF(OR($A1896="",Q1896=""),"",(Q1896-B1896)*24)</f>
        <v/>
      </c>
      <c r="AE1896" s="69">
        <f>IF(OR(Q1896="",R1896=""),"",(R1896-Q1896)*24)</f>
        <v/>
      </c>
      <c r="AF1896" s="77">
        <f>IF(OR($A1896="",B1896=""),"",YEAR(B1896))</f>
        <v/>
      </c>
      <c r="AG1896" s="77">
        <f>IF(OR($A1896="",B1896=""),"",MONTH(B1896))</f>
        <v/>
      </c>
    </row>
    <row r="1897">
      <c r="A1897" s="7" t="n"/>
      <c r="B1897" s="75" t="n"/>
      <c r="C1897" s="7" t="n"/>
      <c r="D1897" s="7" t="n"/>
      <c r="E1897" s="9">
        <f>IF(D1897="","",IFERROR(INDEX('Équipements'!$B$5:$B$304,MATCH(D1897,'Équipements'!$A$5:$A$304,0)),"Code inconnu"))</f>
        <v/>
      </c>
      <c r="F1897" s="9">
        <f>IF(D1897="","",IFERROR(INDEX('Équipements'!$D$5:$D$304,MATCH(D1897,'Équipements'!$A$5:$A$304,0)),""))</f>
        <v/>
      </c>
      <c r="G1897" s="9">
        <f>IF(D1897="","",IFERROR(INDEX('Équipements'!$K$5:$K$304,MATCH(D1897,'Équipements'!$A$5:$A$304,0)),""))</f>
        <v/>
      </c>
      <c r="H1897" s="7" t="n"/>
      <c r="I1897" s="7" t="n"/>
      <c r="J1897" s="7" t="n"/>
      <c r="K1897" s="7" t="n"/>
      <c r="L1897" s="7" t="n"/>
      <c r="M1897" s="7" t="n"/>
      <c r="N1897" s="7" t="n"/>
      <c r="O1897" s="7" t="n"/>
      <c r="P1897" s="65" t="n"/>
      <c r="Q1897" s="75" t="n"/>
      <c r="R1897" s="75" t="n"/>
      <c r="S1897" s="76" t="n"/>
      <c r="T1897" s="76" t="n"/>
      <c r="U1897" s="70">
        <f>IF($A1897="","",IFERROR(INDEX('Techniciens'!$F$5:$F$44,MATCH(O1897,'Techniciens'!$B$5:$B$44,0)),'Paramètres'!$AA$10))</f>
        <v/>
      </c>
      <c r="V1897" s="70">
        <f>IF($A1897="","",IF(OR(AC1897="Demandé",AC1897="Planifié",AC1897="Annulé"),0,N(T1897)*N(U1897)))</f>
        <v/>
      </c>
      <c r="W1897" s="70">
        <f>IF($A1897="","",SUMIFS('Mouvements stock'!$H$5:$H$3004,'Mouvements stock'!$I$5:$I$3004,$A1897,'Mouvements stock'!$C$5:$C$3004,"Sortie")-SUMIFS('Mouvements stock'!$H$5:$H$3004,'Mouvements stock'!$I$5:$I$3004,$A1897,'Mouvements stock'!$C$5:$C$3004,"Retour"))</f>
        <v/>
      </c>
      <c r="X1897" s="66" t="n"/>
      <c r="Y1897" s="66" t="n"/>
      <c r="Z1897" s="7" t="n"/>
      <c r="AA1897" s="70">
        <f>IF($A1897="","",N(V1897)+N(W1897)+N(X1897)+N(Y1897))</f>
        <v/>
      </c>
      <c r="AB1897" s="70">
        <f>IF($A1897="","",N(S1897)*'Paramètres'!$AA$9*IFERROR(INDEX('Paramètres'!$O$5:$O$7,MATCH(G1897,'Paramètres'!$N$5:$N$7,0)),0))</f>
        <v/>
      </c>
      <c r="AC1897" s="7" t="n"/>
      <c r="AD1897" s="69">
        <f>IF(OR($A1897="",Q1897=""),"",(Q1897-B1897)*24)</f>
        <v/>
      </c>
      <c r="AE1897" s="69">
        <f>IF(OR(Q1897="",R1897=""),"",(R1897-Q1897)*24)</f>
        <v/>
      </c>
      <c r="AF1897" s="77">
        <f>IF(OR($A1897="",B1897=""),"",YEAR(B1897))</f>
        <v/>
      </c>
      <c r="AG1897" s="77">
        <f>IF(OR($A1897="",B1897=""),"",MONTH(B1897))</f>
        <v/>
      </c>
    </row>
    <row r="1898">
      <c r="A1898" s="7" t="n"/>
      <c r="B1898" s="75" t="n"/>
      <c r="C1898" s="7" t="n"/>
      <c r="D1898" s="7" t="n"/>
      <c r="E1898" s="9">
        <f>IF(D1898="","",IFERROR(INDEX('Équipements'!$B$5:$B$304,MATCH(D1898,'Équipements'!$A$5:$A$304,0)),"Code inconnu"))</f>
        <v/>
      </c>
      <c r="F1898" s="9">
        <f>IF(D1898="","",IFERROR(INDEX('Équipements'!$D$5:$D$304,MATCH(D1898,'Équipements'!$A$5:$A$304,0)),""))</f>
        <v/>
      </c>
      <c r="G1898" s="9">
        <f>IF(D1898="","",IFERROR(INDEX('Équipements'!$K$5:$K$304,MATCH(D1898,'Équipements'!$A$5:$A$304,0)),""))</f>
        <v/>
      </c>
      <c r="H1898" s="7" t="n"/>
      <c r="I1898" s="7" t="n"/>
      <c r="J1898" s="7" t="n"/>
      <c r="K1898" s="7" t="n"/>
      <c r="L1898" s="7" t="n"/>
      <c r="M1898" s="7" t="n"/>
      <c r="N1898" s="7" t="n"/>
      <c r="O1898" s="7" t="n"/>
      <c r="P1898" s="65" t="n"/>
      <c r="Q1898" s="75" t="n"/>
      <c r="R1898" s="75" t="n"/>
      <c r="S1898" s="76" t="n"/>
      <c r="T1898" s="76" t="n"/>
      <c r="U1898" s="70">
        <f>IF($A1898="","",IFERROR(INDEX('Techniciens'!$F$5:$F$44,MATCH(O1898,'Techniciens'!$B$5:$B$44,0)),'Paramètres'!$AA$10))</f>
        <v/>
      </c>
      <c r="V1898" s="70">
        <f>IF($A1898="","",IF(OR(AC1898="Demandé",AC1898="Planifié",AC1898="Annulé"),0,N(T1898)*N(U1898)))</f>
        <v/>
      </c>
      <c r="W1898" s="70">
        <f>IF($A1898="","",SUMIFS('Mouvements stock'!$H$5:$H$3004,'Mouvements stock'!$I$5:$I$3004,$A1898,'Mouvements stock'!$C$5:$C$3004,"Sortie")-SUMIFS('Mouvements stock'!$H$5:$H$3004,'Mouvements stock'!$I$5:$I$3004,$A1898,'Mouvements stock'!$C$5:$C$3004,"Retour"))</f>
        <v/>
      </c>
      <c r="X1898" s="66" t="n"/>
      <c r="Y1898" s="66" t="n"/>
      <c r="Z1898" s="7" t="n"/>
      <c r="AA1898" s="70">
        <f>IF($A1898="","",N(V1898)+N(W1898)+N(X1898)+N(Y1898))</f>
        <v/>
      </c>
      <c r="AB1898" s="70">
        <f>IF($A1898="","",N(S1898)*'Paramètres'!$AA$9*IFERROR(INDEX('Paramètres'!$O$5:$O$7,MATCH(G1898,'Paramètres'!$N$5:$N$7,0)),0))</f>
        <v/>
      </c>
      <c r="AC1898" s="7" t="n"/>
      <c r="AD1898" s="69">
        <f>IF(OR($A1898="",Q1898=""),"",(Q1898-B1898)*24)</f>
        <v/>
      </c>
      <c r="AE1898" s="69">
        <f>IF(OR(Q1898="",R1898=""),"",(R1898-Q1898)*24)</f>
        <v/>
      </c>
      <c r="AF1898" s="77">
        <f>IF(OR($A1898="",B1898=""),"",YEAR(B1898))</f>
        <v/>
      </c>
      <c r="AG1898" s="77">
        <f>IF(OR($A1898="",B1898=""),"",MONTH(B1898))</f>
        <v/>
      </c>
    </row>
    <row r="1899">
      <c r="A1899" s="7" t="n"/>
      <c r="B1899" s="75" t="n"/>
      <c r="C1899" s="7" t="n"/>
      <c r="D1899" s="7" t="n"/>
      <c r="E1899" s="9">
        <f>IF(D1899="","",IFERROR(INDEX('Équipements'!$B$5:$B$304,MATCH(D1899,'Équipements'!$A$5:$A$304,0)),"Code inconnu"))</f>
        <v/>
      </c>
      <c r="F1899" s="9">
        <f>IF(D1899="","",IFERROR(INDEX('Équipements'!$D$5:$D$304,MATCH(D1899,'Équipements'!$A$5:$A$304,0)),""))</f>
        <v/>
      </c>
      <c r="G1899" s="9">
        <f>IF(D1899="","",IFERROR(INDEX('Équipements'!$K$5:$K$304,MATCH(D1899,'Équipements'!$A$5:$A$304,0)),""))</f>
        <v/>
      </c>
      <c r="H1899" s="7" t="n"/>
      <c r="I1899" s="7" t="n"/>
      <c r="J1899" s="7" t="n"/>
      <c r="K1899" s="7" t="n"/>
      <c r="L1899" s="7" t="n"/>
      <c r="M1899" s="7" t="n"/>
      <c r="N1899" s="7" t="n"/>
      <c r="O1899" s="7" t="n"/>
      <c r="P1899" s="65" t="n"/>
      <c r="Q1899" s="75" t="n"/>
      <c r="R1899" s="75" t="n"/>
      <c r="S1899" s="76" t="n"/>
      <c r="T1899" s="76" t="n"/>
      <c r="U1899" s="70">
        <f>IF($A1899="","",IFERROR(INDEX('Techniciens'!$F$5:$F$44,MATCH(O1899,'Techniciens'!$B$5:$B$44,0)),'Paramètres'!$AA$10))</f>
        <v/>
      </c>
      <c r="V1899" s="70">
        <f>IF($A1899="","",IF(OR(AC1899="Demandé",AC1899="Planifié",AC1899="Annulé"),0,N(T1899)*N(U1899)))</f>
        <v/>
      </c>
      <c r="W1899" s="70">
        <f>IF($A1899="","",SUMIFS('Mouvements stock'!$H$5:$H$3004,'Mouvements stock'!$I$5:$I$3004,$A1899,'Mouvements stock'!$C$5:$C$3004,"Sortie")-SUMIFS('Mouvements stock'!$H$5:$H$3004,'Mouvements stock'!$I$5:$I$3004,$A1899,'Mouvements stock'!$C$5:$C$3004,"Retour"))</f>
        <v/>
      </c>
      <c r="X1899" s="66" t="n"/>
      <c r="Y1899" s="66" t="n"/>
      <c r="Z1899" s="7" t="n"/>
      <c r="AA1899" s="70">
        <f>IF($A1899="","",N(V1899)+N(W1899)+N(X1899)+N(Y1899))</f>
        <v/>
      </c>
      <c r="AB1899" s="70">
        <f>IF($A1899="","",N(S1899)*'Paramètres'!$AA$9*IFERROR(INDEX('Paramètres'!$O$5:$O$7,MATCH(G1899,'Paramètres'!$N$5:$N$7,0)),0))</f>
        <v/>
      </c>
      <c r="AC1899" s="7" t="n"/>
      <c r="AD1899" s="69">
        <f>IF(OR($A1899="",Q1899=""),"",(Q1899-B1899)*24)</f>
        <v/>
      </c>
      <c r="AE1899" s="69">
        <f>IF(OR(Q1899="",R1899=""),"",(R1899-Q1899)*24)</f>
        <v/>
      </c>
      <c r="AF1899" s="77">
        <f>IF(OR($A1899="",B1899=""),"",YEAR(B1899))</f>
        <v/>
      </c>
      <c r="AG1899" s="77">
        <f>IF(OR($A1899="",B1899=""),"",MONTH(B1899))</f>
        <v/>
      </c>
    </row>
    <row r="1900">
      <c r="A1900" s="7" t="n"/>
      <c r="B1900" s="75" t="n"/>
      <c r="C1900" s="7" t="n"/>
      <c r="D1900" s="7" t="n"/>
      <c r="E1900" s="9">
        <f>IF(D1900="","",IFERROR(INDEX('Équipements'!$B$5:$B$304,MATCH(D1900,'Équipements'!$A$5:$A$304,0)),"Code inconnu"))</f>
        <v/>
      </c>
      <c r="F1900" s="9">
        <f>IF(D1900="","",IFERROR(INDEX('Équipements'!$D$5:$D$304,MATCH(D1900,'Équipements'!$A$5:$A$304,0)),""))</f>
        <v/>
      </c>
      <c r="G1900" s="9">
        <f>IF(D1900="","",IFERROR(INDEX('Équipements'!$K$5:$K$304,MATCH(D1900,'Équipements'!$A$5:$A$304,0)),""))</f>
        <v/>
      </c>
      <c r="H1900" s="7" t="n"/>
      <c r="I1900" s="7" t="n"/>
      <c r="J1900" s="7" t="n"/>
      <c r="K1900" s="7" t="n"/>
      <c r="L1900" s="7" t="n"/>
      <c r="M1900" s="7" t="n"/>
      <c r="N1900" s="7" t="n"/>
      <c r="O1900" s="7" t="n"/>
      <c r="P1900" s="65" t="n"/>
      <c r="Q1900" s="75" t="n"/>
      <c r="R1900" s="75" t="n"/>
      <c r="S1900" s="76" t="n"/>
      <c r="T1900" s="76" t="n"/>
      <c r="U1900" s="70">
        <f>IF($A1900="","",IFERROR(INDEX('Techniciens'!$F$5:$F$44,MATCH(O1900,'Techniciens'!$B$5:$B$44,0)),'Paramètres'!$AA$10))</f>
        <v/>
      </c>
      <c r="V1900" s="70">
        <f>IF($A1900="","",IF(OR(AC1900="Demandé",AC1900="Planifié",AC1900="Annulé"),0,N(T1900)*N(U1900)))</f>
        <v/>
      </c>
      <c r="W1900" s="70">
        <f>IF($A1900="","",SUMIFS('Mouvements stock'!$H$5:$H$3004,'Mouvements stock'!$I$5:$I$3004,$A1900,'Mouvements stock'!$C$5:$C$3004,"Sortie")-SUMIFS('Mouvements stock'!$H$5:$H$3004,'Mouvements stock'!$I$5:$I$3004,$A1900,'Mouvements stock'!$C$5:$C$3004,"Retour"))</f>
        <v/>
      </c>
      <c r="X1900" s="66" t="n"/>
      <c r="Y1900" s="66" t="n"/>
      <c r="Z1900" s="7" t="n"/>
      <c r="AA1900" s="70">
        <f>IF($A1900="","",N(V1900)+N(W1900)+N(X1900)+N(Y1900))</f>
        <v/>
      </c>
      <c r="AB1900" s="70">
        <f>IF($A1900="","",N(S1900)*'Paramètres'!$AA$9*IFERROR(INDEX('Paramètres'!$O$5:$O$7,MATCH(G1900,'Paramètres'!$N$5:$N$7,0)),0))</f>
        <v/>
      </c>
      <c r="AC1900" s="7" t="n"/>
      <c r="AD1900" s="69">
        <f>IF(OR($A1900="",Q1900=""),"",(Q1900-B1900)*24)</f>
        <v/>
      </c>
      <c r="AE1900" s="69">
        <f>IF(OR(Q1900="",R1900=""),"",(R1900-Q1900)*24)</f>
        <v/>
      </c>
      <c r="AF1900" s="77">
        <f>IF(OR($A1900="",B1900=""),"",YEAR(B1900))</f>
        <v/>
      </c>
      <c r="AG1900" s="77">
        <f>IF(OR($A1900="",B1900=""),"",MONTH(B1900))</f>
        <v/>
      </c>
    </row>
    <row r="1901">
      <c r="A1901" s="7" t="n"/>
      <c r="B1901" s="75" t="n"/>
      <c r="C1901" s="7" t="n"/>
      <c r="D1901" s="7" t="n"/>
      <c r="E1901" s="9">
        <f>IF(D1901="","",IFERROR(INDEX('Équipements'!$B$5:$B$304,MATCH(D1901,'Équipements'!$A$5:$A$304,0)),"Code inconnu"))</f>
        <v/>
      </c>
      <c r="F1901" s="9">
        <f>IF(D1901="","",IFERROR(INDEX('Équipements'!$D$5:$D$304,MATCH(D1901,'Équipements'!$A$5:$A$304,0)),""))</f>
        <v/>
      </c>
      <c r="G1901" s="9">
        <f>IF(D1901="","",IFERROR(INDEX('Équipements'!$K$5:$K$304,MATCH(D1901,'Équipements'!$A$5:$A$304,0)),""))</f>
        <v/>
      </c>
      <c r="H1901" s="7" t="n"/>
      <c r="I1901" s="7" t="n"/>
      <c r="J1901" s="7" t="n"/>
      <c r="K1901" s="7" t="n"/>
      <c r="L1901" s="7" t="n"/>
      <c r="M1901" s="7" t="n"/>
      <c r="N1901" s="7" t="n"/>
      <c r="O1901" s="7" t="n"/>
      <c r="P1901" s="65" t="n"/>
      <c r="Q1901" s="75" t="n"/>
      <c r="R1901" s="75" t="n"/>
      <c r="S1901" s="76" t="n"/>
      <c r="T1901" s="76" t="n"/>
      <c r="U1901" s="70">
        <f>IF($A1901="","",IFERROR(INDEX('Techniciens'!$F$5:$F$44,MATCH(O1901,'Techniciens'!$B$5:$B$44,0)),'Paramètres'!$AA$10))</f>
        <v/>
      </c>
      <c r="V1901" s="70">
        <f>IF($A1901="","",IF(OR(AC1901="Demandé",AC1901="Planifié",AC1901="Annulé"),0,N(T1901)*N(U1901)))</f>
        <v/>
      </c>
      <c r="W1901" s="70">
        <f>IF($A1901="","",SUMIFS('Mouvements stock'!$H$5:$H$3004,'Mouvements stock'!$I$5:$I$3004,$A1901,'Mouvements stock'!$C$5:$C$3004,"Sortie")-SUMIFS('Mouvements stock'!$H$5:$H$3004,'Mouvements stock'!$I$5:$I$3004,$A1901,'Mouvements stock'!$C$5:$C$3004,"Retour"))</f>
        <v/>
      </c>
      <c r="X1901" s="66" t="n"/>
      <c r="Y1901" s="66" t="n"/>
      <c r="Z1901" s="7" t="n"/>
      <c r="AA1901" s="70">
        <f>IF($A1901="","",N(V1901)+N(W1901)+N(X1901)+N(Y1901))</f>
        <v/>
      </c>
      <c r="AB1901" s="70">
        <f>IF($A1901="","",N(S1901)*'Paramètres'!$AA$9*IFERROR(INDEX('Paramètres'!$O$5:$O$7,MATCH(G1901,'Paramètres'!$N$5:$N$7,0)),0))</f>
        <v/>
      </c>
      <c r="AC1901" s="7" t="n"/>
      <c r="AD1901" s="69">
        <f>IF(OR($A1901="",Q1901=""),"",(Q1901-B1901)*24)</f>
        <v/>
      </c>
      <c r="AE1901" s="69">
        <f>IF(OR(Q1901="",R1901=""),"",(R1901-Q1901)*24)</f>
        <v/>
      </c>
      <c r="AF1901" s="77">
        <f>IF(OR($A1901="",B1901=""),"",YEAR(B1901))</f>
        <v/>
      </c>
      <c r="AG1901" s="77">
        <f>IF(OR($A1901="",B1901=""),"",MONTH(B1901))</f>
        <v/>
      </c>
    </row>
    <row r="1902">
      <c r="A1902" s="7" t="n"/>
      <c r="B1902" s="75" t="n"/>
      <c r="C1902" s="7" t="n"/>
      <c r="D1902" s="7" t="n"/>
      <c r="E1902" s="9">
        <f>IF(D1902="","",IFERROR(INDEX('Équipements'!$B$5:$B$304,MATCH(D1902,'Équipements'!$A$5:$A$304,0)),"Code inconnu"))</f>
        <v/>
      </c>
      <c r="F1902" s="9">
        <f>IF(D1902="","",IFERROR(INDEX('Équipements'!$D$5:$D$304,MATCH(D1902,'Équipements'!$A$5:$A$304,0)),""))</f>
        <v/>
      </c>
      <c r="G1902" s="9">
        <f>IF(D1902="","",IFERROR(INDEX('Équipements'!$K$5:$K$304,MATCH(D1902,'Équipements'!$A$5:$A$304,0)),""))</f>
        <v/>
      </c>
      <c r="H1902" s="7" t="n"/>
      <c r="I1902" s="7" t="n"/>
      <c r="J1902" s="7" t="n"/>
      <c r="K1902" s="7" t="n"/>
      <c r="L1902" s="7" t="n"/>
      <c r="M1902" s="7" t="n"/>
      <c r="N1902" s="7" t="n"/>
      <c r="O1902" s="7" t="n"/>
      <c r="P1902" s="65" t="n"/>
      <c r="Q1902" s="75" t="n"/>
      <c r="R1902" s="75" t="n"/>
      <c r="S1902" s="76" t="n"/>
      <c r="T1902" s="76" t="n"/>
      <c r="U1902" s="70">
        <f>IF($A1902="","",IFERROR(INDEX('Techniciens'!$F$5:$F$44,MATCH(O1902,'Techniciens'!$B$5:$B$44,0)),'Paramètres'!$AA$10))</f>
        <v/>
      </c>
      <c r="V1902" s="70">
        <f>IF($A1902="","",IF(OR(AC1902="Demandé",AC1902="Planifié",AC1902="Annulé"),0,N(T1902)*N(U1902)))</f>
        <v/>
      </c>
      <c r="W1902" s="70">
        <f>IF($A1902="","",SUMIFS('Mouvements stock'!$H$5:$H$3004,'Mouvements stock'!$I$5:$I$3004,$A1902,'Mouvements stock'!$C$5:$C$3004,"Sortie")-SUMIFS('Mouvements stock'!$H$5:$H$3004,'Mouvements stock'!$I$5:$I$3004,$A1902,'Mouvements stock'!$C$5:$C$3004,"Retour"))</f>
        <v/>
      </c>
      <c r="X1902" s="66" t="n"/>
      <c r="Y1902" s="66" t="n"/>
      <c r="Z1902" s="7" t="n"/>
      <c r="AA1902" s="70">
        <f>IF($A1902="","",N(V1902)+N(W1902)+N(X1902)+N(Y1902))</f>
        <v/>
      </c>
      <c r="AB1902" s="70">
        <f>IF($A1902="","",N(S1902)*'Paramètres'!$AA$9*IFERROR(INDEX('Paramètres'!$O$5:$O$7,MATCH(G1902,'Paramètres'!$N$5:$N$7,0)),0))</f>
        <v/>
      </c>
      <c r="AC1902" s="7" t="n"/>
      <c r="AD1902" s="69">
        <f>IF(OR($A1902="",Q1902=""),"",(Q1902-B1902)*24)</f>
        <v/>
      </c>
      <c r="AE1902" s="69">
        <f>IF(OR(Q1902="",R1902=""),"",(R1902-Q1902)*24)</f>
        <v/>
      </c>
      <c r="AF1902" s="77">
        <f>IF(OR($A1902="",B1902=""),"",YEAR(B1902))</f>
        <v/>
      </c>
      <c r="AG1902" s="77">
        <f>IF(OR($A1902="",B1902=""),"",MONTH(B1902))</f>
        <v/>
      </c>
    </row>
    <row r="1903">
      <c r="A1903" s="7" t="n"/>
      <c r="B1903" s="75" t="n"/>
      <c r="C1903" s="7" t="n"/>
      <c r="D1903" s="7" t="n"/>
      <c r="E1903" s="9">
        <f>IF(D1903="","",IFERROR(INDEX('Équipements'!$B$5:$B$304,MATCH(D1903,'Équipements'!$A$5:$A$304,0)),"Code inconnu"))</f>
        <v/>
      </c>
      <c r="F1903" s="9">
        <f>IF(D1903="","",IFERROR(INDEX('Équipements'!$D$5:$D$304,MATCH(D1903,'Équipements'!$A$5:$A$304,0)),""))</f>
        <v/>
      </c>
      <c r="G1903" s="9">
        <f>IF(D1903="","",IFERROR(INDEX('Équipements'!$K$5:$K$304,MATCH(D1903,'Équipements'!$A$5:$A$304,0)),""))</f>
        <v/>
      </c>
      <c r="H1903" s="7" t="n"/>
      <c r="I1903" s="7" t="n"/>
      <c r="J1903" s="7" t="n"/>
      <c r="K1903" s="7" t="n"/>
      <c r="L1903" s="7" t="n"/>
      <c r="M1903" s="7" t="n"/>
      <c r="N1903" s="7" t="n"/>
      <c r="O1903" s="7" t="n"/>
      <c r="P1903" s="65" t="n"/>
      <c r="Q1903" s="75" t="n"/>
      <c r="R1903" s="75" t="n"/>
      <c r="S1903" s="76" t="n"/>
      <c r="T1903" s="76" t="n"/>
      <c r="U1903" s="70">
        <f>IF($A1903="","",IFERROR(INDEX('Techniciens'!$F$5:$F$44,MATCH(O1903,'Techniciens'!$B$5:$B$44,0)),'Paramètres'!$AA$10))</f>
        <v/>
      </c>
      <c r="V1903" s="70">
        <f>IF($A1903="","",IF(OR(AC1903="Demandé",AC1903="Planifié",AC1903="Annulé"),0,N(T1903)*N(U1903)))</f>
        <v/>
      </c>
      <c r="W1903" s="70">
        <f>IF($A1903="","",SUMIFS('Mouvements stock'!$H$5:$H$3004,'Mouvements stock'!$I$5:$I$3004,$A1903,'Mouvements stock'!$C$5:$C$3004,"Sortie")-SUMIFS('Mouvements stock'!$H$5:$H$3004,'Mouvements stock'!$I$5:$I$3004,$A1903,'Mouvements stock'!$C$5:$C$3004,"Retour"))</f>
        <v/>
      </c>
      <c r="X1903" s="66" t="n"/>
      <c r="Y1903" s="66" t="n"/>
      <c r="Z1903" s="7" t="n"/>
      <c r="AA1903" s="70">
        <f>IF($A1903="","",N(V1903)+N(W1903)+N(X1903)+N(Y1903))</f>
        <v/>
      </c>
      <c r="AB1903" s="70">
        <f>IF($A1903="","",N(S1903)*'Paramètres'!$AA$9*IFERROR(INDEX('Paramètres'!$O$5:$O$7,MATCH(G1903,'Paramètres'!$N$5:$N$7,0)),0))</f>
        <v/>
      </c>
      <c r="AC1903" s="7" t="n"/>
      <c r="AD1903" s="69">
        <f>IF(OR($A1903="",Q1903=""),"",(Q1903-B1903)*24)</f>
        <v/>
      </c>
      <c r="AE1903" s="69">
        <f>IF(OR(Q1903="",R1903=""),"",(R1903-Q1903)*24)</f>
        <v/>
      </c>
      <c r="AF1903" s="77">
        <f>IF(OR($A1903="",B1903=""),"",YEAR(B1903))</f>
        <v/>
      </c>
      <c r="AG1903" s="77">
        <f>IF(OR($A1903="",B1903=""),"",MONTH(B1903))</f>
        <v/>
      </c>
    </row>
    <row r="1904">
      <c r="A1904" s="7" t="n"/>
      <c r="B1904" s="75" t="n"/>
      <c r="C1904" s="7" t="n"/>
      <c r="D1904" s="7" t="n"/>
      <c r="E1904" s="9">
        <f>IF(D1904="","",IFERROR(INDEX('Équipements'!$B$5:$B$304,MATCH(D1904,'Équipements'!$A$5:$A$304,0)),"Code inconnu"))</f>
        <v/>
      </c>
      <c r="F1904" s="9">
        <f>IF(D1904="","",IFERROR(INDEX('Équipements'!$D$5:$D$304,MATCH(D1904,'Équipements'!$A$5:$A$304,0)),""))</f>
        <v/>
      </c>
      <c r="G1904" s="9">
        <f>IF(D1904="","",IFERROR(INDEX('Équipements'!$K$5:$K$304,MATCH(D1904,'Équipements'!$A$5:$A$304,0)),""))</f>
        <v/>
      </c>
      <c r="H1904" s="7" t="n"/>
      <c r="I1904" s="7" t="n"/>
      <c r="J1904" s="7" t="n"/>
      <c r="K1904" s="7" t="n"/>
      <c r="L1904" s="7" t="n"/>
      <c r="M1904" s="7" t="n"/>
      <c r="N1904" s="7" t="n"/>
      <c r="O1904" s="7" t="n"/>
      <c r="P1904" s="65" t="n"/>
      <c r="Q1904" s="75" t="n"/>
      <c r="R1904" s="75" t="n"/>
      <c r="S1904" s="76" t="n"/>
      <c r="T1904" s="76" t="n"/>
      <c r="U1904" s="70">
        <f>IF($A1904="","",IFERROR(INDEX('Techniciens'!$F$5:$F$44,MATCH(O1904,'Techniciens'!$B$5:$B$44,0)),'Paramètres'!$AA$10))</f>
        <v/>
      </c>
      <c r="V1904" s="70">
        <f>IF($A1904="","",IF(OR(AC1904="Demandé",AC1904="Planifié",AC1904="Annulé"),0,N(T1904)*N(U1904)))</f>
        <v/>
      </c>
      <c r="W1904" s="70">
        <f>IF($A1904="","",SUMIFS('Mouvements stock'!$H$5:$H$3004,'Mouvements stock'!$I$5:$I$3004,$A1904,'Mouvements stock'!$C$5:$C$3004,"Sortie")-SUMIFS('Mouvements stock'!$H$5:$H$3004,'Mouvements stock'!$I$5:$I$3004,$A1904,'Mouvements stock'!$C$5:$C$3004,"Retour"))</f>
        <v/>
      </c>
      <c r="X1904" s="66" t="n"/>
      <c r="Y1904" s="66" t="n"/>
      <c r="Z1904" s="7" t="n"/>
      <c r="AA1904" s="70">
        <f>IF($A1904="","",N(V1904)+N(W1904)+N(X1904)+N(Y1904))</f>
        <v/>
      </c>
      <c r="AB1904" s="70">
        <f>IF($A1904="","",N(S1904)*'Paramètres'!$AA$9*IFERROR(INDEX('Paramètres'!$O$5:$O$7,MATCH(G1904,'Paramètres'!$N$5:$N$7,0)),0))</f>
        <v/>
      </c>
      <c r="AC1904" s="7" t="n"/>
      <c r="AD1904" s="69">
        <f>IF(OR($A1904="",Q1904=""),"",(Q1904-B1904)*24)</f>
        <v/>
      </c>
      <c r="AE1904" s="69">
        <f>IF(OR(Q1904="",R1904=""),"",(R1904-Q1904)*24)</f>
        <v/>
      </c>
      <c r="AF1904" s="77">
        <f>IF(OR($A1904="",B1904=""),"",YEAR(B1904))</f>
        <v/>
      </c>
      <c r="AG1904" s="77">
        <f>IF(OR($A1904="",B1904=""),"",MONTH(B1904))</f>
        <v/>
      </c>
    </row>
    <row r="1905">
      <c r="A1905" s="7" t="n"/>
      <c r="B1905" s="75" t="n"/>
      <c r="C1905" s="7" t="n"/>
      <c r="D1905" s="7" t="n"/>
      <c r="E1905" s="9">
        <f>IF(D1905="","",IFERROR(INDEX('Équipements'!$B$5:$B$304,MATCH(D1905,'Équipements'!$A$5:$A$304,0)),"Code inconnu"))</f>
        <v/>
      </c>
      <c r="F1905" s="9">
        <f>IF(D1905="","",IFERROR(INDEX('Équipements'!$D$5:$D$304,MATCH(D1905,'Équipements'!$A$5:$A$304,0)),""))</f>
        <v/>
      </c>
      <c r="G1905" s="9">
        <f>IF(D1905="","",IFERROR(INDEX('Équipements'!$K$5:$K$304,MATCH(D1905,'Équipements'!$A$5:$A$304,0)),""))</f>
        <v/>
      </c>
      <c r="H1905" s="7" t="n"/>
      <c r="I1905" s="7" t="n"/>
      <c r="J1905" s="7" t="n"/>
      <c r="K1905" s="7" t="n"/>
      <c r="L1905" s="7" t="n"/>
      <c r="M1905" s="7" t="n"/>
      <c r="N1905" s="7" t="n"/>
      <c r="O1905" s="7" t="n"/>
      <c r="P1905" s="65" t="n"/>
      <c r="Q1905" s="75" t="n"/>
      <c r="R1905" s="75" t="n"/>
      <c r="S1905" s="76" t="n"/>
      <c r="T1905" s="76" t="n"/>
      <c r="U1905" s="70">
        <f>IF($A1905="","",IFERROR(INDEX('Techniciens'!$F$5:$F$44,MATCH(O1905,'Techniciens'!$B$5:$B$44,0)),'Paramètres'!$AA$10))</f>
        <v/>
      </c>
      <c r="V1905" s="70">
        <f>IF($A1905="","",IF(OR(AC1905="Demandé",AC1905="Planifié",AC1905="Annulé"),0,N(T1905)*N(U1905)))</f>
        <v/>
      </c>
      <c r="W1905" s="70">
        <f>IF($A1905="","",SUMIFS('Mouvements stock'!$H$5:$H$3004,'Mouvements stock'!$I$5:$I$3004,$A1905,'Mouvements stock'!$C$5:$C$3004,"Sortie")-SUMIFS('Mouvements stock'!$H$5:$H$3004,'Mouvements stock'!$I$5:$I$3004,$A1905,'Mouvements stock'!$C$5:$C$3004,"Retour"))</f>
        <v/>
      </c>
      <c r="X1905" s="66" t="n"/>
      <c r="Y1905" s="66" t="n"/>
      <c r="Z1905" s="7" t="n"/>
      <c r="AA1905" s="70">
        <f>IF($A1905="","",N(V1905)+N(W1905)+N(X1905)+N(Y1905))</f>
        <v/>
      </c>
      <c r="AB1905" s="70">
        <f>IF($A1905="","",N(S1905)*'Paramètres'!$AA$9*IFERROR(INDEX('Paramètres'!$O$5:$O$7,MATCH(G1905,'Paramètres'!$N$5:$N$7,0)),0))</f>
        <v/>
      </c>
      <c r="AC1905" s="7" t="n"/>
      <c r="AD1905" s="69">
        <f>IF(OR($A1905="",Q1905=""),"",(Q1905-B1905)*24)</f>
        <v/>
      </c>
      <c r="AE1905" s="69">
        <f>IF(OR(Q1905="",R1905=""),"",(R1905-Q1905)*24)</f>
        <v/>
      </c>
      <c r="AF1905" s="77">
        <f>IF(OR($A1905="",B1905=""),"",YEAR(B1905))</f>
        <v/>
      </c>
      <c r="AG1905" s="77">
        <f>IF(OR($A1905="",B1905=""),"",MONTH(B1905))</f>
        <v/>
      </c>
    </row>
    <row r="1906">
      <c r="A1906" s="7" t="n"/>
      <c r="B1906" s="75" t="n"/>
      <c r="C1906" s="7" t="n"/>
      <c r="D1906" s="7" t="n"/>
      <c r="E1906" s="9">
        <f>IF(D1906="","",IFERROR(INDEX('Équipements'!$B$5:$B$304,MATCH(D1906,'Équipements'!$A$5:$A$304,0)),"Code inconnu"))</f>
        <v/>
      </c>
      <c r="F1906" s="9">
        <f>IF(D1906="","",IFERROR(INDEX('Équipements'!$D$5:$D$304,MATCH(D1906,'Équipements'!$A$5:$A$304,0)),""))</f>
        <v/>
      </c>
      <c r="G1906" s="9">
        <f>IF(D1906="","",IFERROR(INDEX('Équipements'!$K$5:$K$304,MATCH(D1906,'Équipements'!$A$5:$A$304,0)),""))</f>
        <v/>
      </c>
      <c r="H1906" s="7" t="n"/>
      <c r="I1906" s="7" t="n"/>
      <c r="J1906" s="7" t="n"/>
      <c r="K1906" s="7" t="n"/>
      <c r="L1906" s="7" t="n"/>
      <c r="M1906" s="7" t="n"/>
      <c r="N1906" s="7" t="n"/>
      <c r="O1906" s="7" t="n"/>
      <c r="P1906" s="65" t="n"/>
      <c r="Q1906" s="75" t="n"/>
      <c r="R1906" s="75" t="n"/>
      <c r="S1906" s="76" t="n"/>
      <c r="T1906" s="76" t="n"/>
      <c r="U1906" s="70">
        <f>IF($A1906="","",IFERROR(INDEX('Techniciens'!$F$5:$F$44,MATCH(O1906,'Techniciens'!$B$5:$B$44,0)),'Paramètres'!$AA$10))</f>
        <v/>
      </c>
      <c r="V1906" s="70">
        <f>IF($A1906="","",IF(OR(AC1906="Demandé",AC1906="Planifié",AC1906="Annulé"),0,N(T1906)*N(U1906)))</f>
        <v/>
      </c>
      <c r="W1906" s="70">
        <f>IF($A1906="","",SUMIFS('Mouvements stock'!$H$5:$H$3004,'Mouvements stock'!$I$5:$I$3004,$A1906,'Mouvements stock'!$C$5:$C$3004,"Sortie")-SUMIFS('Mouvements stock'!$H$5:$H$3004,'Mouvements stock'!$I$5:$I$3004,$A1906,'Mouvements stock'!$C$5:$C$3004,"Retour"))</f>
        <v/>
      </c>
      <c r="X1906" s="66" t="n"/>
      <c r="Y1906" s="66" t="n"/>
      <c r="Z1906" s="7" t="n"/>
      <c r="AA1906" s="70">
        <f>IF($A1906="","",N(V1906)+N(W1906)+N(X1906)+N(Y1906))</f>
        <v/>
      </c>
      <c r="AB1906" s="70">
        <f>IF($A1906="","",N(S1906)*'Paramètres'!$AA$9*IFERROR(INDEX('Paramètres'!$O$5:$O$7,MATCH(G1906,'Paramètres'!$N$5:$N$7,0)),0))</f>
        <v/>
      </c>
      <c r="AC1906" s="7" t="n"/>
      <c r="AD1906" s="69">
        <f>IF(OR($A1906="",Q1906=""),"",(Q1906-B1906)*24)</f>
        <v/>
      </c>
      <c r="AE1906" s="69">
        <f>IF(OR(Q1906="",R1906=""),"",(R1906-Q1906)*24)</f>
        <v/>
      </c>
      <c r="AF1906" s="77">
        <f>IF(OR($A1906="",B1906=""),"",YEAR(B1906))</f>
        <v/>
      </c>
      <c r="AG1906" s="77">
        <f>IF(OR($A1906="",B1906=""),"",MONTH(B1906))</f>
        <v/>
      </c>
    </row>
    <row r="1907">
      <c r="A1907" s="7" t="n"/>
      <c r="B1907" s="75" t="n"/>
      <c r="C1907" s="7" t="n"/>
      <c r="D1907" s="7" t="n"/>
      <c r="E1907" s="9">
        <f>IF(D1907="","",IFERROR(INDEX('Équipements'!$B$5:$B$304,MATCH(D1907,'Équipements'!$A$5:$A$304,0)),"Code inconnu"))</f>
        <v/>
      </c>
      <c r="F1907" s="9">
        <f>IF(D1907="","",IFERROR(INDEX('Équipements'!$D$5:$D$304,MATCH(D1907,'Équipements'!$A$5:$A$304,0)),""))</f>
        <v/>
      </c>
      <c r="G1907" s="9">
        <f>IF(D1907="","",IFERROR(INDEX('Équipements'!$K$5:$K$304,MATCH(D1907,'Équipements'!$A$5:$A$304,0)),""))</f>
        <v/>
      </c>
      <c r="H1907" s="7" t="n"/>
      <c r="I1907" s="7" t="n"/>
      <c r="J1907" s="7" t="n"/>
      <c r="K1907" s="7" t="n"/>
      <c r="L1907" s="7" t="n"/>
      <c r="M1907" s="7" t="n"/>
      <c r="N1907" s="7" t="n"/>
      <c r="O1907" s="7" t="n"/>
      <c r="P1907" s="65" t="n"/>
      <c r="Q1907" s="75" t="n"/>
      <c r="R1907" s="75" t="n"/>
      <c r="S1907" s="76" t="n"/>
      <c r="T1907" s="76" t="n"/>
      <c r="U1907" s="70">
        <f>IF($A1907="","",IFERROR(INDEX('Techniciens'!$F$5:$F$44,MATCH(O1907,'Techniciens'!$B$5:$B$44,0)),'Paramètres'!$AA$10))</f>
        <v/>
      </c>
      <c r="V1907" s="70">
        <f>IF($A1907="","",IF(OR(AC1907="Demandé",AC1907="Planifié",AC1907="Annulé"),0,N(T1907)*N(U1907)))</f>
        <v/>
      </c>
      <c r="W1907" s="70">
        <f>IF($A1907="","",SUMIFS('Mouvements stock'!$H$5:$H$3004,'Mouvements stock'!$I$5:$I$3004,$A1907,'Mouvements stock'!$C$5:$C$3004,"Sortie")-SUMIFS('Mouvements stock'!$H$5:$H$3004,'Mouvements stock'!$I$5:$I$3004,$A1907,'Mouvements stock'!$C$5:$C$3004,"Retour"))</f>
        <v/>
      </c>
      <c r="X1907" s="66" t="n"/>
      <c r="Y1907" s="66" t="n"/>
      <c r="Z1907" s="7" t="n"/>
      <c r="AA1907" s="70">
        <f>IF($A1907="","",N(V1907)+N(W1907)+N(X1907)+N(Y1907))</f>
        <v/>
      </c>
      <c r="AB1907" s="70">
        <f>IF($A1907="","",N(S1907)*'Paramètres'!$AA$9*IFERROR(INDEX('Paramètres'!$O$5:$O$7,MATCH(G1907,'Paramètres'!$N$5:$N$7,0)),0))</f>
        <v/>
      </c>
      <c r="AC1907" s="7" t="n"/>
      <c r="AD1907" s="69">
        <f>IF(OR($A1907="",Q1907=""),"",(Q1907-B1907)*24)</f>
        <v/>
      </c>
      <c r="AE1907" s="69">
        <f>IF(OR(Q1907="",R1907=""),"",(R1907-Q1907)*24)</f>
        <v/>
      </c>
      <c r="AF1907" s="77">
        <f>IF(OR($A1907="",B1907=""),"",YEAR(B1907))</f>
        <v/>
      </c>
      <c r="AG1907" s="77">
        <f>IF(OR($A1907="",B1907=""),"",MONTH(B1907))</f>
        <v/>
      </c>
    </row>
    <row r="1908">
      <c r="A1908" s="7" t="n"/>
      <c r="B1908" s="75" t="n"/>
      <c r="C1908" s="7" t="n"/>
      <c r="D1908" s="7" t="n"/>
      <c r="E1908" s="9">
        <f>IF(D1908="","",IFERROR(INDEX('Équipements'!$B$5:$B$304,MATCH(D1908,'Équipements'!$A$5:$A$304,0)),"Code inconnu"))</f>
        <v/>
      </c>
      <c r="F1908" s="9">
        <f>IF(D1908="","",IFERROR(INDEX('Équipements'!$D$5:$D$304,MATCH(D1908,'Équipements'!$A$5:$A$304,0)),""))</f>
        <v/>
      </c>
      <c r="G1908" s="9">
        <f>IF(D1908="","",IFERROR(INDEX('Équipements'!$K$5:$K$304,MATCH(D1908,'Équipements'!$A$5:$A$304,0)),""))</f>
        <v/>
      </c>
      <c r="H1908" s="7" t="n"/>
      <c r="I1908" s="7" t="n"/>
      <c r="J1908" s="7" t="n"/>
      <c r="K1908" s="7" t="n"/>
      <c r="L1908" s="7" t="n"/>
      <c r="M1908" s="7" t="n"/>
      <c r="N1908" s="7" t="n"/>
      <c r="O1908" s="7" t="n"/>
      <c r="P1908" s="65" t="n"/>
      <c r="Q1908" s="75" t="n"/>
      <c r="R1908" s="75" t="n"/>
      <c r="S1908" s="76" t="n"/>
      <c r="T1908" s="76" t="n"/>
      <c r="U1908" s="70">
        <f>IF($A1908="","",IFERROR(INDEX('Techniciens'!$F$5:$F$44,MATCH(O1908,'Techniciens'!$B$5:$B$44,0)),'Paramètres'!$AA$10))</f>
        <v/>
      </c>
      <c r="V1908" s="70">
        <f>IF($A1908="","",IF(OR(AC1908="Demandé",AC1908="Planifié",AC1908="Annulé"),0,N(T1908)*N(U1908)))</f>
        <v/>
      </c>
      <c r="W1908" s="70">
        <f>IF($A1908="","",SUMIFS('Mouvements stock'!$H$5:$H$3004,'Mouvements stock'!$I$5:$I$3004,$A1908,'Mouvements stock'!$C$5:$C$3004,"Sortie")-SUMIFS('Mouvements stock'!$H$5:$H$3004,'Mouvements stock'!$I$5:$I$3004,$A1908,'Mouvements stock'!$C$5:$C$3004,"Retour"))</f>
        <v/>
      </c>
      <c r="X1908" s="66" t="n"/>
      <c r="Y1908" s="66" t="n"/>
      <c r="Z1908" s="7" t="n"/>
      <c r="AA1908" s="70">
        <f>IF($A1908="","",N(V1908)+N(W1908)+N(X1908)+N(Y1908))</f>
        <v/>
      </c>
      <c r="AB1908" s="70">
        <f>IF($A1908="","",N(S1908)*'Paramètres'!$AA$9*IFERROR(INDEX('Paramètres'!$O$5:$O$7,MATCH(G1908,'Paramètres'!$N$5:$N$7,0)),0))</f>
        <v/>
      </c>
      <c r="AC1908" s="7" t="n"/>
      <c r="AD1908" s="69">
        <f>IF(OR($A1908="",Q1908=""),"",(Q1908-B1908)*24)</f>
        <v/>
      </c>
      <c r="AE1908" s="69">
        <f>IF(OR(Q1908="",R1908=""),"",(R1908-Q1908)*24)</f>
        <v/>
      </c>
      <c r="AF1908" s="77">
        <f>IF(OR($A1908="",B1908=""),"",YEAR(B1908))</f>
        <v/>
      </c>
      <c r="AG1908" s="77">
        <f>IF(OR($A1908="",B1908=""),"",MONTH(B1908))</f>
        <v/>
      </c>
    </row>
    <row r="1909">
      <c r="A1909" s="7" t="n"/>
      <c r="B1909" s="75" t="n"/>
      <c r="C1909" s="7" t="n"/>
      <c r="D1909" s="7" t="n"/>
      <c r="E1909" s="9">
        <f>IF(D1909="","",IFERROR(INDEX('Équipements'!$B$5:$B$304,MATCH(D1909,'Équipements'!$A$5:$A$304,0)),"Code inconnu"))</f>
        <v/>
      </c>
      <c r="F1909" s="9">
        <f>IF(D1909="","",IFERROR(INDEX('Équipements'!$D$5:$D$304,MATCH(D1909,'Équipements'!$A$5:$A$304,0)),""))</f>
        <v/>
      </c>
      <c r="G1909" s="9">
        <f>IF(D1909="","",IFERROR(INDEX('Équipements'!$K$5:$K$304,MATCH(D1909,'Équipements'!$A$5:$A$304,0)),""))</f>
        <v/>
      </c>
      <c r="H1909" s="7" t="n"/>
      <c r="I1909" s="7" t="n"/>
      <c r="J1909" s="7" t="n"/>
      <c r="K1909" s="7" t="n"/>
      <c r="L1909" s="7" t="n"/>
      <c r="M1909" s="7" t="n"/>
      <c r="N1909" s="7" t="n"/>
      <c r="O1909" s="7" t="n"/>
      <c r="P1909" s="65" t="n"/>
      <c r="Q1909" s="75" t="n"/>
      <c r="R1909" s="75" t="n"/>
      <c r="S1909" s="76" t="n"/>
      <c r="T1909" s="76" t="n"/>
      <c r="U1909" s="70">
        <f>IF($A1909="","",IFERROR(INDEX('Techniciens'!$F$5:$F$44,MATCH(O1909,'Techniciens'!$B$5:$B$44,0)),'Paramètres'!$AA$10))</f>
        <v/>
      </c>
      <c r="V1909" s="70">
        <f>IF($A1909="","",IF(OR(AC1909="Demandé",AC1909="Planifié",AC1909="Annulé"),0,N(T1909)*N(U1909)))</f>
        <v/>
      </c>
      <c r="W1909" s="70">
        <f>IF($A1909="","",SUMIFS('Mouvements stock'!$H$5:$H$3004,'Mouvements stock'!$I$5:$I$3004,$A1909,'Mouvements stock'!$C$5:$C$3004,"Sortie")-SUMIFS('Mouvements stock'!$H$5:$H$3004,'Mouvements stock'!$I$5:$I$3004,$A1909,'Mouvements stock'!$C$5:$C$3004,"Retour"))</f>
        <v/>
      </c>
      <c r="X1909" s="66" t="n"/>
      <c r="Y1909" s="66" t="n"/>
      <c r="Z1909" s="7" t="n"/>
      <c r="AA1909" s="70">
        <f>IF($A1909="","",N(V1909)+N(W1909)+N(X1909)+N(Y1909))</f>
        <v/>
      </c>
      <c r="AB1909" s="70">
        <f>IF($A1909="","",N(S1909)*'Paramètres'!$AA$9*IFERROR(INDEX('Paramètres'!$O$5:$O$7,MATCH(G1909,'Paramètres'!$N$5:$N$7,0)),0))</f>
        <v/>
      </c>
      <c r="AC1909" s="7" t="n"/>
      <c r="AD1909" s="69">
        <f>IF(OR($A1909="",Q1909=""),"",(Q1909-B1909)*24)</f>
        <v/>
      </c>
      <c r="AE1909" s="69">
        <f>IF(OR(Q1909="",R1909=""),"",(R1909-Q1909)*24)</f>
        <v/>
      </c>
      <c r="AF1909" s="77">
        <f>IF(OR($A1909="",B1909=""),"",YEAR(B1909))</f>
        <v/>
      </c>
      <c r="AG1909" s="77">
        <f>IF(OR($A1909="",B1909=""),"",MONTH(B1909))</f>
        <v/>
      </c>
    </row>
    <row r="1910">
      <c r="A1910" s="7" t="n"/>
      <c r="B1910" s="75" t="n"/>
      <c r="C1910" s="7" t="n"/>
      <c r="D1910" s="7" t="n"/>
      <c r="E1910" s="9">
        <f>IF(D1910="","",IFERROR(INDEX('Équipements'!$B$5:$B$304,MATCH(D1910,'Équipements'!$A$5:$A$304,0)),"Code inconnu"))</f>
        <v/>
      </c>
      <c r="F1910" s="9">
        <f>IF(D1910="","",IFERROR(INDEX('Équipements'!$D$5:$D$304,MATCH(D1910,'Équipements'!$A$5:$A$304,0)),""))</f>
        <v/>
      </c>
      <c r="G1910" s="9">
        <f>IF(D1910="","",IFERROR(INDEX('Équipements'!$K$5:$K$304,MATCH(D1910,'Équipements'!$A$5:$A$304,0)),""))</f>
        <v/>
      </c>
      <c r="H1910" s="7" t="n"/>
      <c r="I1910" s="7" t="n"/>
      <c r="J1910" s="7" t="n"/>
      <c r="K1910" s="7" t="n"/>
      <c r="L1910" s="7" t="n"/>
      <c r="M1910" s="7" t="n"/>
      <c r="N1910" s="7" t="n"/>
      <c r="O1910" s="7" t="n"/>
      <c r="P1910" s="65" t="n"/>
      <c r="Q1910" s="75" t="n"/>
      <c r="R1910" s="75" t="n"/>
      <c r="S1910" s="76" t="n"/>
      <c r="T1910" s="76" t="n"/>
      <c r="U1910" s="70">
        <f>IF($A1910="","",IFERROR(INDEX('Techniciens'!$F$5:$F$44,MATCH(O1910,'Techniciens'!$B$5:$B$44,0)),'Paramètres'!$AA$10))</f>
        <v/>
      </c>
      <c r="V1910" s="70">
        <f>IF($A1910="","",IF(OR(AC1910="Demandé",AC1910="Planifié",AC1910="Annulé"),0,N(T1910)*N(U1910)))</f>
        <v/>
      </c>
      <c r="W1910" s="70">
        <f>IF($A1910="","",SUMIFS('Mouvements stock'!$H$5:$H$3004,'Mouvements stock'!$I$5:$I$3004,$A1910,'Mouvements stock'!$C$5:$C$3004,"Sortie")-SUMIFS('Mouvements stock'!$H$5:$H$3004,'Mouvements stock'!$I$5:$I$3004,$A1910,'Mouvements stock'!$C$5:$C$3004,"Retour"))</f>
        <v/>
      </c>
      <c r="X1910" s="66" t="n"/>
      <c r="Y1910" s="66" t="n"/>
      <c r="Z1910" s="7" t="n"/>
      <c r="AA1910" s="70">
        <f>IF($A1910="","",N(V1910)+N(W1910)+N(X1910)+N(Y1910))</f>
        <v/>
      </c>
      <c r="AB1910" s="70">
        <f>IF($A1910="","",N(S1910)*'Paramètres'!$AA$9*IFERROR(INDEX('Paramètres'!$O$5:$O$7,MATCH(G1910,'Paramètres'!$N$5:$N$7,0)),0))</f>
        <v/>
      </c>
      <c r="AC1910" s="7" t="n"/>
      <c r="AD1910" s="69">
        <f>IF(OR($A1910="",Q1910=""),"",(Q1910-B1910)*24)</f>
        <v/>
      </c>
      <c r="AE1910" s="69">
        <f>IF(OR(Q1910="",R1910=""),"",(R1910-Q1910)*24)</f>
        <v/>
      </c>
      <c r="AF1910" s="77">
        <f>IF(OR($A1910="",B1910=""),"",YEAR(B1910))</f>
        <v/>
      </c>
      <c r="AG1910" s="77">
        <f>IF(OR($A1910="",B1910=""),"",MONTH(B1910))</f>
        <v/>
      </c>
    </row>
    <row r="1911">
      <c r="A1911" s="7" t="n"/>
      <c r="B1911" s="75" t="n"/>
      <c r="C1911" s="7" t="n"/>
      <c r="D1911" s="7" t="n"/>
      <c r="E1911" s="9">
        <f>IF(D1911="","",IFERROR(INDEX('Équipements'!$B$5:$B$304,MATCH(D1911,'Équipements'!$A$5:$A$304,0)),"Code inconnu"))</f>
        <v/>
      </c>
      <c r="F1911" s="9">
        <f>IF(D1911="","",IFERROR(INDEX('Équipements'!$D$5:$D$304,MATCH(D1911,'Équipements'!$A$5:$A$304,0)),""))</f>
        <v/>
      </c>
      <c r="G1911" s="9">
        <f>IF(D1911="","",IFERROR(INDEX('Équipements'!$K$5:$K$304,MATCH(D1911,'Équipements'!$A$5:$A$304,0)),""))</f>
        <v/>
      </c>
      <c r="H1911" s="7" t="n"/>
      <c r="I1911" s="7" t="n"/>
      <c r="J1911" s="7" t="n"/>
      <c r="K1911" s="7" t="n"/>
      <c r="L1911" s="7" t="n"/>
      <c r="M1911" s="7" t="n"/>
      <c r="N1911" s="7" t="n"/>
      <c r="O1911" s="7" t="n"/>
      <c r="P1911" s="65" t="n"/>
      <c r="Q1911" s="75" t="n"/>
      <c r="R1911" s="75" t="n"/>
      <c r="S1911" s="76" t="n"/>
      <c r="T1911" s="76" t="n"/>
      <c r="U1911" s="70">
        <f>IF($A1911="","",IFERROR(INDEX('Techniciens'!$F$5:$F$44,MATCH(O1911,'Techniciens'!$B$5:$B$44,0)),'Paramètres'!$AA$10))</f>
        <v/>
      </c>
      <c r="V1911" s="70">
        <f>IF($A1911="","",IF(OR(AC1911="Demandé",AC1911="Planifié",AC1911="Annulé"),0,N(T1911)*N(U1911)))</f>
        <v/>
      </c>
      <c r="W1911" s="70">
        <f>IF($A1911="","",SUMIFS('Mouvements stock'!$H$5:$H$3004,'Mouvements stock'!$I$5:$I$3004,$A1911,'Mouvements stock'!$C$5:$C$3004,"Sortie")-SUMIFS('Mouvements stock'!$H$5:$H$3004,'Mouvements stock'!$I$5:$I$3004,$A1911,'Mouvements stock'!$C$5:$C$3004,"Retour"))</f>
        <v/>
      </c>
      <c r="X1911" s="66" t="n"/>
      <c r="Y1911" s="66" t="n"/>
      <c r="Z1911" s="7" t="n"/>
      <c r="AA1911" s="70">
        <f>IF($A1911="","",N(V1911)+N(W1911)+N(X1911)+N(Y1911))</f>
        <v/>
      </c>
      <c r="AB1911" s="70">
        <f>IF($A1911="","",N(S1911)*'Paramètres'!$AA$9*IFERROR(INDEX('Paramètres'!$O$5:$O$7,MATCH(G1911,'Paramètres'!$N$5:$N$7,0)),0))</f>
        <v/>
      </c>
      <c r="AC1911" s="7" t="n"/>
      <c r="AD1911" s="69">
        <f>IF(OR($A1911="",Q1911=""),"",(Q1911-B1911)*24)</f>
        <v/>
      </c>
      <c r="AE1911" s="69">
        <f>IF(OR(Q1911="",R1911=""),"",(R1911-Q1911)*24)</f>
        <v/>
      </c>
      <c r="AF1911" s="77">
        <f>IF(OR($A1911="",B1911=""),"",YEAR(B1911))</f>
        <v/>
      </c>
      <c r="AG1911" s="77">
        <f>IF(OR($A1911="",B1911=""),"",MONTH(B1911))</f>
        <v/>
      </c>
    </row>
    <row r="1912">
      <c r="A1912" s="7" t="n"/>
      <c r="B1912" s="75" t="n"/>
      <c r="C1912" s="7" t="n"/>
      <c r="D1912" s="7" t="n"/>
      <c r="E1912" s="9">
        <f>IF(D1912="","",IFERROR(INDEX('Équipements'!$B$5:$B$304,MATCH(D1912,'Équipements'!$A$5:$A$304,0)),"Code inconnu"))</f>
        <v/>
      </c>
      <c r="F1912" s="9">
        <f>IF(D1912="","",IFERROR(INDEX('Équipements'!$D$5:$D$304,MATCH(D1912,'Équipements'!$A$5:$A$304,0)),""))</f>
        <v/>
      </c>
      <c r="G1912" s="9">
        <f>IF(D1912="","",IFERROR(INDEX('Équipements'!$K$5:$K$304,MATCH(D1912,'Équipements'!$A$5:$A$304,0)),""))</f>
        <v/>
      </c>
      <c r="H1912" s="7" t="n"/>
      <c r="I1912" s="7" t="n"/>
      <c r="J1912" s="7" t="n"/>
      <c r="K1912" s="7" t="n"/>
      <c r="L1912" s="7" t="n"/>
      <c r="M1912" s="7" t="n"/>
      <c r="N1912" s="7" t="n"/>
      <c r="O1912" s="7" t="n"/>
      <c r="P1912" s="65" t="n"/>
      <c r="Q1912" s="75" t="n"/>
      <c r="R1912" s="75" t="n"/>
      <c r="S1912" s="76" t="n"/>
      <c r="T1912" s="76" t="n"/>
      <c r="U1912" s="70">
        <f>IF($A1912="","",IFERROR(INDEX('Techniciens'!$F$5:$F$44,MATCH(O1912,'Techniciens'!$B$5:$B$44,0)),'Paramètres'!$AA$10))</f>
        <v/>
      </c>
      <c r="V1912" s="70">
        <f>IF($A1912="","",IF(OR(AC1912="Demandé",AC1912="Planifié",AC1912="Annulé"),0,N(T1912)*N(U1912)))</f>
        <v/>
      </c>
      <c r="W1912" s="70">
        <f>IF($A1912="","",SUMIFS('Mouvements stock'!$H$5:$H$3004,'Mouvements stock'!$I$5:$I$3004,$A1912,'Mouvements stock'!$C$5:$C$3004,"Sortie")-SUMIFS('Mouvements stock'!$H$5:$H$3004,'Mouvements stock'!$I$5:$I$3004,$A1912,'Mouvements stock'!$C$5:$C$3004,"Retour"))</f>
        <v/>
      </c>
      <c r="X1912" s="66" t="n"/>
      <c r="Y1912" s="66" t="n"/>
      <c r="Z1912" s="7" t="n"/>
      <c r="AA1912" s="70">
        <f>IF($A1912="","",N(V1912)+N(W1912)+N(X1912)+N(Y1912))</f>
        <v/>
      </c>
      <c r="AB1912" s="70">
        <f>IF($A1912="","",N(S1912)*'Paramètres'!$AA$9*IFERROR(INDEX('Paramètres'!$O$5:$O$7,MATCH(G1912,'Paramètres'!$N$5:$N$7,0)),0))</f>
        <v/>
      </c>
      <c r="AC1912" s="7" t="n"/>
      <c r="AD1912" s="69">
        <f>IF(OR($A1912="",Q1912=""),"",(Q1912-B1912)*24)</f>
        <v/>
      </c>
      <c r="AE1912" s="69">
        <f>IF(OR(Q1912="",R1912=""),"",(R1912-Q1912)*24)</f>
        <v/>
      </c>
      <c r="AF1912" s="77">
        <f>IF(OR($A1912="",B1912=""),"",YEAR(B1912))</f>
        <v/>
      </c>
      <c r="AG1912" s="77">
        <f>IF(OR($A1912="",B1912=""),"",MONTH(B1912))</f>
        <v/>
      </c>
    </row>
    <row r="1913">
      <c r="A1913" s="7" t="n"/>
      <c r="B1913" s="75" t="n"/>
      <c r="C1913" s="7" t="n"/>
      <c r="D1913" s="7" t="n"/>
      <c r="E1913" s="9">
        <f>IF(D1913="","",IFERROR(INDEX('Équipements'!$B$5:$B$304,MATCH(D1913,'Équipements'!$A$5:$A$304,0)),"Code inconnu"))</f>
        <v/>
      </c>
      <c r="F1913" s="9">
        <f>IF(D1913="","",IFERROR(INDEX('Équipements'!$D$5:$D$304,MATCH(D1913,'Équipements'!$A$5:$A$304,0)),""))</f>
        <v/>
      </c>
      <c r="G1913" s="9">
        <f>IF(D1913="","",IFERROR(INDEX('Équipements'!$K$5:$K$304,MATCH(D1913,'Équipements'!$A$5:$A$304,0)),""))</f>
        <v/>
      </c>
      <c r="H1913" s="7" t="n"/>
      <c r="I1913" s="7" t="n"/>
      <c r="J1913" s="7" t="n"/>
      <c r="K1913" s="7" t="n"/>
      <c r="L1913" s="7" t="n"/>
      <c r="M1913" s="7" t="n"/>
      <c r="N1913" s="7" t="n"/>
      <c r="O1913" s="7" t="n"/>
      <c r="P1913" s="65" t="n"/>
      <c r="Q1913" s="75" t="n"/>
      <c r="R1913" s="75" t="n"/>
      <c r="S1913" s="76" t="n"/>
      <c r="T1913" s="76" t="n"/>
      <c r="U1913" s="70">
        <f>IF($A1913="","",IFERROR(INDEX('Techniciens'!$F$5:$F$44,MATCH(O1913,'Techniciens'!$B$5:$B$44,0)),'Paramètres'!$AA$10))</f>
        <v/>
      </c>
      <c r="V1913" s="70">
        <f>IF($A1913="","",IF(OR(AC1913="Demandé",AC1913="Planifié",AC1913="Annulé"),0,N(T1913)*N(U1913)))</f>
        <v/>
      </c>
      <c r="W1913" s="70">
        <f>IF($A1913="","",SUMIFS('Mouvements stock'!$H$5:$H$3004,'Mouvements stock'!$I$5:$I$3004,$A1913,'Mouvements stock'!$C$5:$C$3004,"Sortie")-SUMIFS('Mouvements stock'!$H$5:$H$3004,'Mouvements stock'!$I$5:$I$3004,$A1913,'Mouvements stock'!$C$5:$C$3004,"Retour"))</f>
        <v/>
      </c>
      <c r="X1913" s="66" t="n"/>
      <c r="Y1913" s="66" t="n"/>
      <c r="Z1913" s="7" t="n"/>
      <c r="AA1913" s="70">
        <f>IF($A1913="","",N(V1913)+N(W1913)+N(X1913)+N(Y1913))</f>
        <v/>
      </c>
      <c r="AB1913" s="70">
        <f>IF($A1913="","",N(S1913)*'Paramètres'!$AA$9*IFERROR(INDEX('Paramètres'!$O$5:$O$7,MATCH(G1913,'Paramètres'!$N$5:$N$7,0)),0))</f>
        <v/>
      </c>
      <c r="AC1913" s="7" t="n"/>
      <c r="AD1913" s="69">
        <f>IF(OR($A1913="",Q1913=""),"",(Q1913-B1913)*24)</f>
        <v/>
      </c>
      <c r="AE1913" s="69">
        <f>IF(OR(Q1913="",R1913=""),"",(R1913-Q1913)*24)</f>
        <v/>
      </c>
      <c r="AF1913" s="77">
        <f>IF(OR($A1913="",B1913=""),"",YEAR(B1913))</f>
        <v/>
      </c>
      <c r="AG1913" s="77">
        <f>IF(OR($A1913="",B1913=""),"",MONTH(B1913))</f>
        <v/>
      </c>
    </row>
    <row r="1914">
      <c r="A1914" s="7" t="n"/>
      <c r="B1914" s="75" t="n"/>
      <c r="C1914" s="7" t="n"/>
      <c r="D1914" s="7" t="n"/>
      <c r="E1914" s="9">
        <f>IF(D1914="","",IFERROR(INDEX('Équipements'!$B$5:$B$304,MATCH(D1914,'Équipements'!$A$5:$A$304,0)),"Code inconnu"))</f>
        <v/>
      </c>
      <c r="F1914" s="9">
        <f>IF(D1914="","",IFERROR(INDEX('Équipements'!$D$5:$D$304,MATCH(D1914,'Équipements'!$A$5:$A$304,0)),""))</f>
        <v/>
      </c>
      <c r="G1914" s="9">
        <f>IF(D1914="","",IFERROR(INDEX('Équipements'!$K$5:$K$304,MATCH(D1914,'Équipements'!$A$5:$A$304,0)),""))</f>
        <v/>
      </c>
      <c r="H1914" s="7" t="n"/>
      <c r="I1914" s="7" t="n"/>
      <c r="J1914" s="7" t="n"/>
      <c r="K1914" s="7" t="n"/>
      <c r="L1914" s="7" t="n"/>
      <c r="M1914" s="7" t="n"/>
      <c r="N1914" s="7" t="n"/>
      <c r="O1914" s="7" t="n"/>
      <c r="P1914" s="65" t="n"/>
      <c r="Q1914" s="75" t="n"/>
      <c r="R1914" s="75" t="n"/>
      <c r="S1914" s="76" t="n"/>
      <c r="T1914" s="76" t="n"/>
      <c r="U1914" s="70">
        <f>IF($A1914="","",IFERROR(INDEX('Techniciens'!$F$5:$F$44,MATCH(O1914,'Techniciens'!$B$5:$B$44,0)),'Paramètres'!$AA$10))</f>
        <v/>
      </c>
      <c r="V1914" s="70">
        <f>IF($A1914="","",IF(OR(AC1914="Demandé",AC1914="Planifié",AC1914="Annulé"),0,N(T1914)*N(U1914)))</f>
        <v/>
      </c>
      <c r="W1914" s="70">
        <f>IF($A1914="","",SUMIFS('Mouvements stock'!$H$5:$H$3004,'Mouvements stock'!$I$5:$I$3004,$A1914,'Mouvements stock'!$C$5:$C$3004,"Sortie")-SUMIFS('Mouvements stock'!$H$5:$H$3004,'Mouvements stock'!$I$5:$I$3004,$A1914,'Mouvements stock'!$C$5:$C$3004,"Retour"))</f>
        <v/>
      </c>
      <c r="X1914" s="66" t="n"/>
      <c r="Y1914" s="66" t="n"/>
      <c r="Z1914" s="7" t="n"/>
      <c r="AA1914" s="70">
        <f>IF($A1914="","",N(V1914)+N(W1914)+N(X1914)+N(Y1914))</f>
        <v/>
      </c>
      <c r="AB1914" s="70">
        <f>IF($A1914="","",N(S1914)*'Paramètres'!$AA$9*IFERROR(INDEX('Paramètres'!$O$5:$O$7,MATCH(G1914,'Paramètres'!$N$5:$N$7,0)),0))</f>
        <v/>
      </c>
      <c r="AC1914" s="7" t="n"/>
      <c r="AD1914" s="69">
        <f>IF(OR($A1914="",Q1914=""),"",(Q1914-B1914)*24)</f>
        <v/>
      </c>
      <c r="AE1914" s="69">
        <f>IF(OR(Q1914="",R1914=""),"",(R1914-Q1914)*24)</f>
        <v/>
      </c>
      <c r="AF1914" s="77">
        <f>IF(OR($A1914="",B1914=""),"",YEAR(B1914))</f>
        <v/>
      </c>
      <c r="AG1914" s="77">
        <f>IF(OR($A1914="",B1914=""),"",MONTH(B1914))</f>
        <v/>
      </c>
    </row>
    <row r="1915">
      <c r="A1915" s="7" t="n"/>
      <c r="B1915" s="75" t="n"/>
      <c r="C1915" s="7" t="n"/>
      <c r="D1915" s="7" t="n"/>
      <c r="E1915" s="9">
        <f>IF(D1915="","",IFERROR(INDEX('Équipements'!$B$5:$B$304,MATCH(D1915,'Équipements'!$A$5:$A$304,0)),"Code inconnu"))</f>
        <v/>
      </c>
      <c r="F1915" s="9">
        <f>IF(D1915="","",IFERROR(INDEX('Équipements'!$D$5:$D$304,MATCH(D1915,'Équipements'!$A$5:$A$304,0)),""))</f>
        <v/>
      </c>
      <c r="G1915" s="9">
        <f>IF(D1915="","",IFERROR(INDEX('Équipements'!$K$5:$K$304,MATCH(D1915,'Équipements'!$A$5:$A$304,0)),""))</f>
        <v/>
      </c>
      <c r="H1915" s="7" t="n"/>
      <c r="I1915" s="7" t="n"/>
      <c r="J1915" s="7" t="n"/>
      <c r="K1915" s="7" t="n"/>
      <c r="L1915" s="7" t="n"/>
      <c r="M1915" s="7" t="n"/>
      <c r="N1915" s="7" t="n"/>
      <c r="O1915" s="7" t="n"/>
      <c r="P1915" s="65" t="n"/>
      <c r="Q1915" s="75" t="n"/>
      <c r="R1915" s="75" t="n"/>
      <c r="S1915" s="76" t="n"/>
      <c r="T1915" s="76" t="n"/>
      <c r="U1915" s="70">
        <f>IF($A1915="","",IFERROR(INDEX('Techniciens'!$F$5:$F$44,MATCH(O1915,'Techniciens'!$B$5:$B$44,0)),'Paramètres'!$AA$10))</f>
        <v/>
      </c>
      <c r="V1915" s="70">
        <f>IF($A1915="","",IF(OR(AC1915="Demandé",AC1915="Planifié",AC1915="Annulé"),0,N(T1915)*N(U1915)))</f>
        <v/>
      </c>
      <c r="W1915" s="70">
        <f>IF($A1915="","",SUMIFS('Mouvements stock'!$H$5:$H$3004,'Mouvements stock'!$I$5:$I$3004,$A1915,'Mouvements stock'!$C$5:$C$3004,"Sortie")-SUMIFS('Mouvements stock'!$H$5:$H$3004,'Mouvements stock'!$I$5:$I$3004,$A1915,'Mouvements stock'!$C$5:$C$3004,"Retour"))</f>
        <v/>
      </c>
      <c r="X1915" s="66" t="n"/>
      <c r="Y1915" s="66" t="n"/>
      <c r="Z1915" s="7" t="n"/>
      <c r="AA1915" s="70">
        <f>IF($A1915="","",N(V1915)+N(W1915)+N(X1915)+N(Y1915))</f>
        <v/>
      </c>
      <c r="AB1915" s="70">
        <f>IF($A1915="","",N(S1915)*'Paramètres'!$AA$9*IFERROR(INDEX('Paramètres'!$O$5:$O$7,MATCH(G1915,'Paramètres'!$N$5:$N$7,0)),0))</f>
        <v/>
      </c>
      <c r="AC1915" s="7" t="n"/>
      <c r="AD1915" s="69">
        <f>IF(OR($A1915="",Q1915=""),"",(Q1915-B1915)*24)</f>
        <v/>
      </c>
      <c r="AE1915" s="69">
        <f>IF(OR(Q1915="",R1915=""),"",(R1915-Q1915)*24)</f>
        <v/>
      </c>
      <c r="AF1915" s="77">
        <f>IF(OR($A1915="",B1915=""),"",YEAR(B1915))</f>
        <v/>
      </c>
      <c r="AG1915" s="77">
        <f>IF(OR($A1915="",B1915=""),"",MONTH(B1915))</f>
        <v/>
      </c>
    </row>
    <row r="1916">
      <c r="A1916" s="7" t="n"/>
      <c r="B1916" s="75" t="n"/>
      <c r="C1916" s="7" t="n"/>
      <c r="D1916" s="7" t="n"/>
      <c r="E1916" s="9">
        <f>IF(D1916="","",IFERROR(INDEX('Équipements'!$B$5:$B$304,MATCH(D1916,'Équipements'!$A$5:$A$304,0)),"Code inconnu"))</f>
        <v/>
      </c>
      <c r="F1916" s="9">
        <f>IF(D1916="","",IFERROR(INDEX('Équipements'!$D$5:$D$304,MATCH(D1916,'Équipements'!$A$5:$A$304,0)),""))</f>
        <v/>
      </c>
      <c r="G1916" s="9">
        <f>IF(D1916="","",IFERROR(INDEX('Équipements'!$K$5:$K$304,MATCH(D1916,'Équipements'!$A$5:$A$304,0)),""))</f>
        <v/>
      </c>
      <c r="H1916" s="7" t="n"/>
      <c r="I1916" s="7" t="n"/>
      <c r="J1916" s="7" t="n"/>
      <c r="K1916" s="7" t="n"/>
      <c r="L1916" s="7" t="n"/>
      <c r="M1916" s="7" t="n"/>
      <c r="N1916" s="7" t="n"/>
      <c r="O1916" s="7" t="n"/>
      <c r="P1916" s="65" t="n"/>
      <c r="Q1916" s="75" t="n"/>
      <c r="R1916" s="75" t="n"/>
      <c r="S1916" s="76" t="n"/>
      <c r="T1916" s="76" t="n"/>
      <c r="U1916" s="70">
        <f>IF($A1916="","",IFERROR(INDEX('Techniciens'!$F$5:$F$44,MATCH(O1916,'Techniciens'!$B$5:$B$44,0)),'Paramètres'!$AA$10))</f>
        <v/>
      </c>
      <c r="V1916" s="70">
        <f>IF($A1916="","",IF(OR(AC1916="Demandé",AC1916="Planifié",AC1916="Annulé"),0,N(T1916)*N(U1916)))</f>
        <v/>
      </c>
      <c r="W1916" s="70">
        <f>IF($A1916="","",SUMIFS('Mouvements stock'!$H$5:$H$3004,'Mouvements stock'!$I$5:$I$3004,$A1916,'Mouvements stock'!$C$5:$C$3004,"Sortie")-SUMIFS('Mouvements stock'!$H$5:$H$3004,'Mouvements stock'!$I$5:$I$3004,$A1916,'Mouvements stock'!$C$5:$C$3004,"Retour"))</f>
        <v/>
      </c>
      <c r="X1916" s="66" t="n"/>
      <c r="Y1916" s="66" t="n"/>
      <c r="Z1916" s="7" t="n"/>
      <c r="AA1916" s="70">
        <f>IF($A1916="","",N(V1916)+N(W1916)+N(X1916)+N(Y1916))</f>
        <v/>
      </c>
      <c r="AB1916" s="70">
        <f>IF($A1916="","",N(S1916)*'Paramètres'!$AA$9*IFERROR(INDEX('Paramètres'!$O$5:$O$7,MATCH(G1916,'Paramètres'!$N$5:$N$7,0)),0))</f>
        <v/>
      </c>
      <c r="AC1916" s="7" t="n"/>
      <c r="AD1916" s="69">
        <f>IF(OR($A1916="",Q1916=""),"",(Q1916-B1916)*24)</f>
        <v/>
      </c>
      <c r="AE1916" s="69">
        <f>IF(OR(Q1916="",R1916=""),"",(R1916-Q1916)*24)</f>
        <v/>
      </c>
      <c r="AF1916" s="77">
        <f>IF(OR($A1916="",B1916=""),"",YEAR(B1916))</f>
        <v/>
      </c>
      <c r="AG1916" s="77">
        <f>IF(OR($A1916="",B1916=""),"",MONTH(B1916))</f>
        <v/>
      </c>
    </row>
    <row r="1917">
      <c r="A1917" s="7" t="n"/>
      <c r="B1917" s="75" t="n"/>
      <c r="C1917" s="7" t="n"/>
      <c r="D1917" s="7" t="n"/>
      <c r="E1917" s="9">
        <f>IF(D1917="","",IFERROR(INDEX('Équipements'!$B$5:$B$304,MATCH(D1917,'Équipements'!$A$5:$A$304,0)),"Code inconnu"))</f>
        <v/>
      </c>
      <c r="F1917" s="9">
        <f>IF(D1917="","",IFERROR(INDEX('Équipements'!$D$5:$D$304,MATCH(D1917,'Équipements'!$A$5:$A$304,0)),""))</f>
        <v/>
      </c>
      <c r="G1917" s="9">
        <f>IF(D1917="","",IFERROR(INDEX('Équipements'!$K$5:$K$304,MATCH(D1917,'Équipements'!$A$5:$A$304,0)),""))</f>
        <v/>
      </c>
      <c r="H1917" s="7" t="n"/>
      <c r="I1917" s="7" t="n"/>
      <c r="J1917" s="7" t="n"/>
      <c r="K1917" s="7" t="n"/>
      <c r="L1917" s="7" t="n"/>
      <c r="M1917" s="7" t="n"/>
      <c r="N1917" s="7" t="n"/>
      <c r="O1917" s="7" t="n"/>
      <c r="P1917" s="65" t="n"/>
      <c r="Q1917" s="75" t="n"/>
      <c r="R1917" s="75" t="n"/>
      <c r="S1917" s="76" t="n"/>
      <c r="T1917" s="76" t="n"/>
      <c r="U1917" s="70">
        <f>IF($A1917="","",IFERROR(INDEX('Techniciens'!$F$5:$F$44,MATCH(O1917,'Techniciens'!$B$5:$B$44,0)),'Paramètres'!$AA$10))</f>
        <v/>
      </c>
      <c r="V1917" s="70">
        <f>IF($A1917="","",IF(OR(AC1917="Demandé",AC1917="Planifié",AC1917="Annulé"),0,N(T1917)*N(U1917)))</f>
        <v/>
      </c>
      <c r="W1917" s="70">
        <f>IF($A1917="","",SUMIFS('Mouvements stock'!$H$5:$H$3004,'Mouvements stock'!$I$5:$I$3004,$A1917,'Mouvements stock'!$C$5:$C$3004,"Sortie")-SUMIFS('Mouvements stock'!$H$5:$H$3004,'Mouvements stock'!$I$5:$I$3004,$A1917,'Mouvements stock'!$C$5:$C$3004,"Retour"))</f>
        <v/>
      </c>
      <c r="X1917" s="66" t="n"/>
      <c r="Y1917" s="66" t="n"/>
      <c r="Z1917" s="7" t="n"/>
      <c r="AA1917" s="70">
        <f>IF($A1917="","",N(V1917)+N(W1917)+N(X1917)+N(Y1917))</f>
        <v/>
      </c>
      <c r="AB1917" s="70">
        <f>IF($A1917="","",N(S1917)*'Paramètres'!$AA$9*IFERROR(INDEX('Paramètres'!$O$5:$O$7,MATCH(G1917,'Paramètres'!$N$5:$N$7,0)),0))</f>
        <v/>
      </c>
      <c r="AC1917" s="7" t="n"/>
      <c r="AD1917" s="69">
        <f>IF(OR($A1917="",Q1917=""),"",(Q1917-B1917)*24)</f>
        <v/>
      </c>
      <c r="AE1917" s="69">
        <f>IF(OR(Q1917="",R1917=""),"",(R1917-Q1917)*24)</f>
        <v/>
      </c>
      <c r="AF1917" s="77">
        <f>IF(OR($A1917="",B1917=""),"",YEAR(B1917))</f>
        <v/>
      </c>
      <c r="AG1917" s="77">
        <f>IF(OR($A1917="",B1917=""),"",MONTH(B1917))</f>
        <v/>
      </c>
    </row>
    <row r="1918">
      <c r="A1918" s="7" t="n"/>
      <c r="B1918" s="75" t="n"/>
      <c r="C1918" s="7" t="n"/>
      <c r="D1918" s="7" t="n"/>
      <c r="E1918" s="9">
        <f>IF(D1918="","",IFERROR(INDEX('Équipements'!$B$5:$B$304,MATCH(D1918,'Équipements'!$A$5:$A$304,0)),"Code inconnu"))</f>
        <v/>
      </c>
      <c r="F1918" s="9">
        <f>IF(D1918="","",IFERROR(INDEX('Équipements'!$D$5:$D$304,MATCH(D1918,'Équipements'!$A$5:$A$304,0)),""))</f>
        <v/>
      </c>
      <c r="G1918" s="9">
        <f>IF(D1918="","",IFERROR(INDEX('Équipements'!$K$5:$K$304,MATCH(D1918,'Équipements'!$A$5:$A$304,0)),""))</f>
        <v/>
      </c>
      <c r="H1918" s="7" t="n"/>
      <c r="I1918" s="7" t="n"/>
      <c r="J1918" s="7" t="n"/>
      <c r="K1918" s="7" t="n"/>
      <c r="L1918" s="7" t="n"/>
      <c r="M1918" s="7" t="n"/>
      <c r="N1918" s="7" t="n"/>
      <c r="O1918" s="7" t="n"/>
      <c r="P1918" s="65" t="n"/>
      <c r="Q1918" s="75" t="n"/>
      <c r="R1918" s="75" t="n"/>
      <c r="S1918" s="76" t="n"/>
      <c r="T1918" s="76" t="n"/>
      <c r="U1918" s="70">
        <f>IF($A1918="","",IFERROR(INDEX('Techniciens'!$F$5:$F$44,MATCH(O1918,'Techniciens'!$B$5:$B$44,0)),'Paramètres'!$AA$10))</f>
        <v/>
      </c>
      <c r="V1918" s="70">
        <f>IF($A1918="","",IF(OR(AC1918="Demandé",AC1918="Planifié",AC1918="Annulé"),0,N(T1918)*N(U1918)))</f>
        <v/>
      </c>
      <c r="W1918" s="70">
        <f>IF($A1918="","",SUMIFS('Mouvements stock'!$H$5:$H$3004,'Mouvements stock'!$I$5:$I$3004,$A1918,'Mouvements stock'!$C$5:$C$3004,"Sortie")-SUMIFS('Mouvements stock'!$H$5:$H$3004,'Mouvements stock'!$I$5:$I$3004,$A1918,'Mouvements stock'!$C$5:$C$3004,"Retour"))</f>
        <v/>
      </c>
      <c r="X1918" s="66" t="n"/>
      <c r="Y1918" s="66" t="n"/>
      <c r="Z1918" s="7" t="n"/>
      <c r="AA1918" s="70">
        <f>IF($A1918="","",N(V1918)+N(W1918)+N(X1918)+N(Y1918))</f>
        <v/>
      </c>
      <c r="AB1918" s="70">
        <f>IF($A1918="","",N(S1918)*'Paramètres'!$AA$9*IFERROR(INDEX('Paramètres'!$O$5:$O$7,MATCH(G1918,'Paramètres'!$N$5:$N$7,0)),0))</f>
        <v/>
      </c>
      <c r="AC1918" s="7" t="n"/>
      <c r="AD1918" s="69">
        <f>IF(OR($A1918="",Q1918=""),"",(Q1918-B1918)*24)</f>
        <v/>
      </c>
      <c r="AE1918" s="69">
        <f>IF(OR(Q1918="",R1918=""),"",(R1918-Q1918)*24)</f>
        <v/>
      </c>
      <c r="AF1918" s="77">
        <f>IF(OR($A1918="",B1918=""),"",YEAR(B1918))</f>
        <v/>
      </c>
      <c r="AG1918" s="77">
        <f>IF(OR($A1918="",B1918=""),"",MONTH(B1918))</f>
        <v/>
      </c>
    </row>
    <row r="1919">
      <c r="A1919" s="7" t="n"/>
      <c r="B1919" s="75" t="n"/>
      <c r="C1919" s="7" t="n"/>
      <c r="D1919" s="7" t="n"/>
      <c r="E1919" s="9">
        <f>IF(D1919="","",IFERROR(INDEX('Équipements'!$B$5:$B$304,MATCH(D1919,'Équipements'!$A$5:$A$304,0)),"Code inconnu"))</f>
        <v/>
      </c>
      <c r="F1919" s="9">
        <f>IF(D1919="","",IFERROR(INDEX('Équipements'!$D$5:$D$304,MATCH(D1919,'Équipements'!$A$5:$A$304,0)),""))</f>
        <v/>
      </c>
      <c r="G1919" s="9">
        <f>IF(D1919="","",IFERROR(INDEX('Équipements'!$K$5:$K$304,MATCH(D1919,'Équipements'!$A$5:$A$304,0)),""))</f>
        <v/>
      </c>
      <c r="H1919" s="7" t="n"/>
      <c r="I1919" s="7" t="n"/>
      <c r="J1919" s="7" t="n"/>
      <c r="K1919" s="7" t="n"/>
      <c r="L1919" s="7" t="n"/>
      <c r="M1919" s="7" t="n"/>
      <c r="N1919" s="7" t="n"/>
      <c r="O1919" s="7" t="n"/>
      <c r="P1919" s="65" t="n"/>
      <c r="Q1919" s="75" t="n"/>
      <c r="R1919" s="75" t="n"/>
      <c r="S1919" s="76" t="n"/>
      <c r="T1919" s="76" t="n"/>
      <c r="U1919" s="70">
        <f>IF($A1919="","",IFERROR(INDEX('Techniciens'!$F$5:$F$44,MATCH(O1919,'Techniciens'!$B$5:$B$44,0)),'Paramètres'!$AA$10))</f>
        <v/>
      </c>
      <c r="V1919" s="70">
        <f>IF($A1919="","",IF(OR(AC1919="Demandé",AC1919="Planifié",AC1919="Annulé"),0,N(T1919)*N(U1919)))</f>
        <v/>
      </c>
      <c r="W1919" s="70">
        <f>IF($A1919="","",SUMIFS('Mouvements stock'!$H$5:$H$3004,'Mouvements stock'!$I$5:$I$3004,$A1919,'Mouvements stock'!$C$5:$C$3004,"Sortie")-SUMIFS('Mouvements stock'!$H$5:$H$3004,'Mouvements stock'!$I$5:$I$3004,$A1919,'Mouvements stock'!$C$5:$C$3004,"Retour"))</f>
        <v/>
      </c>
      <c r="X1919" s="66" t="n"/>
      <c r="Y1919" s="66" t="n"/>
      <c r="Z1919" s="7" t="n"/>
      <c r="AA1919" s="70">
        <f>IF($A1919="","",N(V1919)+N(W1919)+N(X1919)+N(Y1919))</f>
        <v/>
      </c>
      <c r="AB1919" s="70">
        <f>IF($A1919="","",N(S1919)*'Paramètres'!$AA$9*IFERROR(INDEX('Paramètres'!$O$5:$O$7,MATCH(G1919,'Paramètres'!$N$5:$N$7,0)),0))</f>
        <v/>
      </c>
      <c r="AC1919" s="7" t="n"/>
      <c r="AD1919" s="69">
        <f>IF(OR($A1919="",Q1919=""),"",(Q1919-B1919)*24)</f>
        <v/>
      </c>
      <c r="AE1919" s="69">
        <f>IF(OR(Q1919="",R1919=""),"",(R1919-Q1919)*24)</f>
        <v/>
      </c>
      <c r="AF1919" s="77">
        <f>IF(OR($A1919="",B1919=""),"",YEAR(B1919))</f>
        <v/>
      </c>
      <c r="AG1919" s="77">
        <f>IF(OR($A1919="",B1919=""),"",MONTH(B1919))</f>
        <v/>
      </c>
    </row>
    <row r="1920">
      <c r="A1920" s="7" t="n"/>
      <c r="B1920" s="75" t="n"/>
      <c r="C1920" s="7" t="n"/>
      <c r="D1920" s="7" t="n"/>
      <c r="E1920" s="9">
        <f>IF(D1920="","",IFERROR(INDEX('Équipements'!$B$5:$B$304,MATCH(D1920,'Équipements'!$A$5:$A$304,0)),"Code inconnu"))</f>
        <v/>
      </c>
      <c r="F1920" s="9">
        <f>IF(D1920="","",IFERROR(INDEX('Équipements'!$D$5:$D$304,MATCH(D1920,'Équipements'!$A$5:$A$304,0)),""))</f>
        <v/>
      </c>
      <c r="G1920" s="9">
        <f>IF(D1920="","",IFERROR(INDEX('Équipements'!$K$5:$K$304,MATCH(D1920,'Équipements'!$A$5:$A$304,0)),""))</f>
        <v/>
      </c>
      <c r="H1920" s="7" t="n"/>
      <c r="I1920" s="7" t="n"/>
      <c r="J1920" s="7" t="n"/>
      <c r="K1920" s="7" t="n"/>
      <c r="L1920" s="7" t="n"/>
      <c r="M1920" s="7" t="n"/>
      <c r="N1920" s="7" t="n"/>
      <c r="O1920" s="7" t="n"/>
      <c r="P1920" s="65" t="n"/>
      <c r="Q1920" s="75" t="n"/>
      <c r="R1920" s="75" t="n"/>
      <c r="S1920" s="76" t="n"/>
      <c r="T1920" s="76" t="n"/>
      <c r="U1920" s="70">
        <f>IF($A1920="","",IFERROR(INDEX('Techniciens'!$F$5:$F$44,MATCH(O1920,'Techniciens'!$B$5:$B$44,0)),'Paramètres'!$AA$10))</f>
        <v/>
      </c>
      <c r="V1920" s="70">
        <f>IF($A1920="","",IF(OR(AC1920="Demandé",AC1920="Planifié",AC1920="Annulé"),0,N(T1920)*N(U1920)))</f>
        <v/>
      </c>
      <c r="W1920" s="70">
        <f>IF($A1920="","",SUMIFS('Mouvements stock'!$H$5:$H$3004,'Mouvements stock'!$I$5:$I$3004,$A1920,'Mouvements stock'!$C$5:$C$3004,"Sortie")-SUMIFS('Mouvements stock'!$H$5:$H$3004,'Mouvements stock'!$I$5:$I$3004,$A1920,'Mouvements stock'!$C$5:$C$3004,"Retour"))</f>
        <v/>
      </c>
      <c r="X1920" s="66" t="n"/>
      <c r="Y1920" s="66" t="n"/>
      <c r="Z1920" s="7" t="n"/>
      <c r="AA1920" s="70">
        <f>IF($A1920="","",N(V1920)+N(W1920)+N(X1920)+N(Y1920))</f>
        <v/>
      </c>
      <c r="AB1920" s="70">
        <f>IF($A1920="","",N(S1920)*'Paramètres'!$AA$9*IFERROR(INDEX('Paramètres'!$O$5:$O$7,MATCH(G1920,'Paramètres'!$N$5:$N$7,0)),0))</f>
        <v/>
      </c>
      <c r="AC1920" s="7" t="n"/>
      <c r="AD1920" s="69">
        <f>IF(OR($A1920="",Q1920=""),"",(Q1920-B1920)*24)</f>
        <v/>
      </c>
      <c r="AE1920" s="69">
        <f>IF(OR(Q1920="",R1920=""),"",(R1920-Q1920)*24)</f>
        <v/>
      </c>
      <c r="AF1920" s="77">
        <f>IF(OR($A1920="",B1920=""),"",YEAR(B1920))</f>
        <v/>
      </c>
      <c r="AG1920" s="77">
        <f>IF(OR($A1920="",B1920=""),"",MONTH(B1920))</f>
        <v/>
      </c>
    </row>
    <row r="1921">
      <c r="A1921" s="7" t="n"/>
      <c r="B1921" s="75" t="n"/>
      <c r="C1921" s="7" t="n"/>
      <c r="D1921" s="7" t="n"/>
      <c r="E1921" s="9">
        <f>IF(D1921="","",IFERROR(INDEX('Équipements'!$B$5:$B$304,MATCH(D1921,'Équipements'!$A$5:$A$304,0)),"Code inconnu"))</f>
        <v/>
      </c>
      <c r="F1921" s="9">
        <f>IF(D1921="","",IFERROR(INDEX('Équipements'!$D$5:$D$304,MATCH(D1921,'Équipements'!$A$5:$A$304,0)),""))</f>
        <v/>
      </c>
      <c r="G1921" s="9">
        <f>IF(D1921="","",IFERROR(INDEX('Équipements'!$K$5:$K$304,MATCH(D1921,'Équipements'!$A$5:$A$304,0)),""))</f>
        <v/>
      </c>
      <c r="H1921" s="7" t="n"/>
      <c r="I1921" s="7" t="n"/>
      <c r="J1921" s="7" t="n"/>
      <c r="K1921" s="7" t="n"/>
      <c r="L1921" s="7" t="n"/>
      <c r="M1921" s="7" t="n"/>
      <c r="N1921" s="7" t="n"/>
      <c r="O1921" s="7" t="n"/>
      <c r="P1921" s="65" t="n"/>
      <c r="Q1921" s="75" t="n"/>
      <c r="R1921" s="75" t="n"/>
      <c r="S1921" s="76" t="n"/>
      <c r="T1921" s="76" t="n"/>
      <c r="U1921" s="70">
        <f>IF($A1921="","",IFERROR(INDEX('Techniciens'!$F$5:$F$44,MATCH(O1921,'Techniciens'!$B$5:$B$44,0)),'Paramètres'!$AA$10))</f>
        <v/>
      </c>
      <c r="V1921" s="70">
        <f>IF($A1921="","",IF(OR(AC1921="Demandé",AC1921="Planifié",AC1921="Annulé"),0,N(T1921)*N(U1921)))</f>
        <v/>
      </c>
      <c r="W1921" s="70">
        <f>IF($A1921="","",SUMIFS('Mouvements stock'!$H$5:$H$3004,'Mouvements stock'!$I$5:$I$3004,$A1921,'Mouvements stock'!$C$5:$C$3004,"Sortie")-SUMIFS('Mouvements stock'!$H$5:$H$3004,'Mouvements stock'!$I$5:$I$3004,$A1921,'Mouvements stock'!$C$5:$C$3004,"Retour"))</f>
        <v/>
      </c>
      <c r="X1921" s="66" t="n"/>
      <c r="Y1921" s="66" t="n"/>
      <c r="Z1921" s="7" t="n"/>
      <c r="AA1921" s="70">
        <f>IF($A1921="","",N(V1921)+N(W1921)+N(X1921)+N(Y1921))</f>
        <v/>
      </c>
      <c r="AB1921" s="70">
        <f>IF($A1921="","",N(S1921)*'Paramètres'!$AA$9*IFERROR(INDEX('Paramètres'!$O$5:$O$7,MATCH(G1921,'Paramètres'!$N$5:$N$7,0)),0))</f>
        <v/>
      </c>
      <c r="AC1921" s="7" t="n"/>
      <c r="AD1921" s="69">
        <f>IF(OR($A1921="",Q1921=""),"",(Q1921-B1921)*24)</f>
        <v/>
      </c>
      <c r="AE1921" s="69">
        <f>IF(OR(Q1921="",R1921=""),"",(R1921-Q1921)*24)</f>
        <v/>
      </c>
      <c r="AF1921" s="77">
        <f>IF(OR($A1921="",B1921=""),"",YEAR(B1921))</f>
        <v/>
      </c>
      <c r="AG1921" s="77">
        <f>IF(OR($A1921="",B1921=""),"",MONTH(B1921))</f>
        <v/>
      </c>
    </row>
    <row r="1922">
      <c r="A1922" s="7" t="n"/>
      <c r="B1922" s="75" t="n"/>
      <c r="C1922" s="7" t="n"/>
      <c r="D1922" s="7" t="n"/>
      <c r="E1922" s="9">
        <f>IF(D1922="","",IFERROR(INDEX('Équipements'!$B$5:$B$304,MATCH(D1922,'Équipements'!$A$5:$A$304,0)),"Code inconnu"))</f>
        <v/>
      </c>
      <c r="F1922" s="9">
        <f>IF(D1922="","",IFERROR(INDEX('Équipements'!$D$5:$D$304,MATCH(D1922,'Équipements'!$A$5:$A$304,0)),""))</f>
        <v/>
      </c>
      <c r="G1922" s="9">
        <f>IF(D1922="","",IFERROR(INDEX('Équipements'!$K$5:$K$304,MATCH(D1922,'Équipements'!$A$5:$A$304,0)),""))</f>
        <v/>
      </c>
      <c r="H1922" s="7" t="n"/>
      <c r="I1922" s="7" t="n"/>
      <c r="J1922" s="7" t="n"/>
      <c r="K1922" s="7" t="n"/>
      <c r="L1922" s="7" t="n"/>
      <c r="M1922" s="7" t="n"/>
      <c r="N1922" s="7" t="n"/>
      <c r="O1922" s="7" t="n"/>
      <c r="P1922" s="65" t="n"/>
      <c r="Q1922" s="75" t="n"/>
      <c r="R1922" s="75" t="n"/>
      <c r="S1922" s="76" t="n"/>
      <c r="T1922" s="76" t="n"/>
      <c r="U1922" s="70">
        <f>IF($A1922="","",IFERROR(INDEX('Techniciens'!$F$5:$F$44,MATCH(O1922,'Techniciens'!$B$5:$B$44,0)),'Paramètres'!$AA$10))</f>
        <v/>
      </c>
      <c r="V1922" s="70">
        <f>IF($A1922="","",IF(OR(AC1922="Demandé",AC1922="Planifié",AC1922="Annulé"),0,N(T1922)*N(U1922)))</f>
        <v/>
      </c>
      <c r="W1922" s="70">
        <f>IF($A1922="","",SUMIFS('Mouvements stock'!$H$5:$H$3004,'Mouvements stock'!$I$5:$I$3004,$A1922,'Mouvements stock'!$C$5:$C$3004,"Sortie")-SUMIFS('Mouvements stock'!$H$5:$H$3004,'Mouvements stock'!$I$5:$I$3004,$A1922,'Mouvements stock'!$C$5:$C$3004,"Retour"))</f>
        <v/>
      </c>
      <c r="X1922" s="66" t="n"/>
      <c r="Y1922" s="66" t="n"/>
      <c r="Z1922" s="7" t="n"/>
      <c r="AA1922" s="70">
        <f>IF($A1922="","",N(V1922)+N(W1922)+N(X1922)+N(Y1922))</f>
        <v/>
      </c>
      <c r="AB1922" s="70">
        <f>IF($A1922="","",N(S1922)*'Paramètres'!$AA$9*IFERROR(INDEX('Paramètres'!$O$5:$O$7,MATCH(G1922,'Paramètres'!$N$5:$N$7,0)),0))</f>
        <v/>
      </c>
      <c r="AC1922" s="7" t="n"/>
      <c r="AD1922" s="69">
        <f>IF(OR($A1922="",Q1922=""),"",(Q1922-B1922)*24)</f>
        <v/>
      </c>
      <c r="AE1922" s="69">
        <f>IF(OR(Q1922="",R1922=""),"",(R1922-Q1922)*24)</f>
        <v/>
      </c>
      <c r="AF1922" s="77">
        <f>IF(OR($A1922="",B1922=""),"",YEAR(B1922))</f>
        <v/>
      </c>
      <c r="AG1922" s="77">
        <f>IF(OR($A1922="",B1922=""),"",MONTH(B1922))</f>
        <v/>
      </c>
    </row>
    <row r="1923">
      <c r="A1923" s="7" t="n"/>
      <c r="B1923" s="75" t="n"/>
      <c r="C1923" s="7" t="n"/>
      <c r="D1923" s="7" t="n"/>
      <c r="E1923" s="9">
        <f>IF(D1923="","",IFERROR(INDEX('Équipements'!$B$5:$B$304,MATCH(D1923,'Équipements'!$A$5:$A$304,0)),"Code inconnu"))</f>
        <v/>
      </c>
      <c r="F1923" s="9">
        <f>IF(D1923="","",IFERROR(INDEX('Équipements'!$D$5:$D$304,MATCH(D1923,'Équipements'!$A$5:$A$304,0)),""))</f>
        <v/>
      </c>
      <c r="G1923" s="9">
        <f>IF(D1923="","",IFERROR(INDEX('Équipements'!$K$5:$K$304,MATCH(D1923,'Équipements'!$A$5:$A$304,0)),""))</f>
        <v/>
      </c>
      <c r="H1923" s="7" t="n"/>
      <c r="I1923" s="7" t="n"/>
      <c r="J1923" s="7" t="n"/>
      <c r="K1923" s="7" t="n"/>
      <c r="L1923" s="7" t="n"/>
      <c r="M1923" s="7" t="n"/>
      <c r="N1923" s="7" t="n"/>
      <c r="O1923" s="7" t="n"/>
      <c r="P1923" s="65" t="n"/>
      <c r="Q1923" s="75" t="n"/>
      <c r="R1923" s="75" t="n"/>
      <c r="S1923" s="76" t="n"/>
      <c r="T1923" s="76" t="n"/>
      <c r="U1923" s="70">
        <f>IF($A1923="","",IFERROR(INDEX('Techniciens'!$F$5:$F$44,MATCH(O1923,'Techniciens'!$B$5:$B$44,0)),'Paramètres'!$AA$10))</f>
        <v/>
      </c>
      <c r="V1923" s="70">
        <f>IF($A1923="","",IF(OR(AC1923="Demandé",AC1923="Planifié",AC1923="Annulé"),0,N(T1923)*N(U1923)))</f>
        <v/>
      </c>
      <c r="W1923" s="70">
        <f>IF($A1923="","",SUMIFS('Mouvements stock'!$H$5:$H$3004,'Mouvements stock'!$I$5:$I$3004,$A1923,'Mouvements stock'!$C$5:$C$3004,"Sortie")-SUMIFS('Mouvements stock'!$H$5:$H$3004,'Mouvements stock'!$I$5:$I$3004,$A1923,'Mouvements stock'!$C$5:$C$3004,"Retour"))</f>
        <v/>
      </c>
      <c r="X1923" s="66" t="n"/>
      <c r="Y1923" s="66" t="n"/>
      <c r="Z1923" s="7" t="n"/>
      <c r="AA1923" s="70">
        <f>IF($A1923="","",N(V1923)+N(W1923)+N(X1923)+N(Y1923))</f>
        <v/>
      </c>
      <c r="AB1923" s="70">
        <f>IF($A1923="","",N(S1923)*'Paramètres'!$AA$9*IFERROR(INDEX('Paramètres'!$O$5:$O$7,MATCH(G1923,'Paramètres'!$N$5:$N$7,0)),0))</f>
        <v/>
      </c>
      <c r="AC1923" s="7" t="n"/>
      <c r="AD1923" s="69">
        <f>IF(OR($A1923="",Q1923=""),"",(Q1923-B1923)*24)</f>
        <v/>
      </c>
      <c r="AE1923" s="69">
        <f>IF(OR(Q1923="",R1923=""),"",(R1923-Q1923)*24)</f>
        <v/>
      </c>
      <c r="AF1923" s="77">
        <f>IF(OR($A1923="",B1923=""),"",YEAR(B1923))</f>
        <v/>
      </c>
      <c r="AG1923" s="77">
        <f>IF(OR($A1923="",B1923=""),"",MONTH(B1923))</f>
        <v/>
      </c>
    </row>
    <row r="1924">
      <c r="A1924" s="7" t="n"/>
      <c r="B1924" s="75" t="n"/>
      <c r="C1924" s="7" t="n"/>
      <c r="D1924" s="7" t="n"/>
      <c r="E1924" s="9">
        <f>IF(D1924="","",IFERROR(INDEX('Équipements'!$B$5:$B$304,MATCH(D1924,'Équipements'!$A$5:$A$304,0)),"Code inconnu"))</f>
        <v/>
      </c>
      <c r="F1924" s="9">
        <f>IF(D1924="","",IFERROR(INDEX('Équipements'!$D$5:$D$304,MATCH(D1924,'Équipements'!$A$5:$A$304,0)),""))</f>
        <v/>
      </c>
      <c r="G1924" s="9">
        <f>IF(D1924="","",IFERROR(INDEX('Équipements'!$K$5:$K$304,MATCH(D1924,'Équipements'!$A$5:$A$304,0)),""))</f>
        <v/>
      </c>
      <c r="H1924" s="7" t="n"/>
      <c r="I1924" s="7" t="n"/>
      <c r="J1924" s="7" t="n"/>
      <c r="K1924" s="7" t="n"/>
      <c r="L1924" s="7" t="n"/>
      <c r="M1924" s="7" t="n"/>
      <c r="N1924" s="7" t="n"/>
      <c r="O1924" s="7" t="n"/>
      <c r="P1924" s="65" t="n"/>
      <c r="Q1924" s="75" t="n"/>
      <c r="R1924" s="75" t="n"/>
      <c r="S1924" s="76" t="n"/>
      <c r="T1924" s="76" t="n"/>
      <c r="U1924" s="70">
        <f>IF($A1924="","",IFERROR(INDEX('Techniciens'!$F$5:$F$44,MATCH(O1924,'Techniciens'!$B$5:$B$44,0)),'Paramètres'!$AA$10))</f>
        <v/>
      </c>
      <c r="V1924" s="70">
        <f>IF($A1924="","",IF(OR(AC1924="Demandé",AC1924="Planifié",AC1924="Annulé"),0,N(T1924)*N(U1924)))</f>
        <v/>
      </c>
      <c r="W1924" s="70">
        <f>IF($A1924="","",SUMIFS('Mouvements stock'!$H$5:$H$3004,'Mouvements stock'!$I$5:$I$3004,$A1924,'Mouvements stock'!$C$5:$C$3004,"Sortie")-SUMIFS('Mouvements stock'!$H$5:$H$3004,'Mouvements stock'!$I$5:$I$3004,$A1924,'Mouvements stock'!$C$5:$C$3004,"Retour"))</f>
        <v/>
      </c>
      <c r="X1924" s="66" t="n"/>
      <c r="Y1924" s="66" t="n"/>
      <c r="Z1924" s="7" t="n"/>
      <c r="AA1924" s="70">
        <f>IF($A1924="","",N(V1924)+N(W1924)+N(X1924)+N(Y1924))</f>
        <v/>
      </c>
      <c r="AB1924" s="70">
        <f>IF($A1924="","",N(S1924)*'Paramètres'!$AA$9*IFERROR(INDEX('Paramètres'!$O$5:$O$7,MATCH(G1924,'Paramètres'!$N$5:$N$7,0)),0))</f>
        <v/>
      </c>
      <c r="AC1924" s="7" t="n"/>
      <c r="AD1924" s="69">
        <f>IF(OR($A1924="",Q1924=""),"",(Q1924-B1924)*24)</f>
        <v/>
      </c>
      <c r="AE1924" s="69">
        <f>IF(OR(Q1924="",R1924=""),"",(R1924-Q1924)*24)</f>
        <v/>
      </c>
      <c r="AF1924" s="77">
        <f>IF(OR($A1924="",B1924=""),"",YEAR(B1924))</f>
        <v/>
      </c>
      <c r="AG1924" s="77">
        <f>IF(OR($A1924="",B1924=""),"",MONTH(B1924))</f>
        <v/>
      </c>
    </row>
    <row r="1925">
      <c r="A1925" s="7" t="n"/>
      <c r="B1925" s="75" t="n"/>
      <c r="C1925" s="7" t="n"/>
      <c r="D1925" s="7" t="n"/>
      <c r="E1925" s="9">
        <f>IF(D1925="","",IFERROR(INDEX('Équipements'!$B$5:$B$304,MATCH(D1925,'Équipements'!$A$5:$A$304,0)),"Code inconnu"))</f>
        <v/>
      </c>
      <c r="F1925" s="9">
        <f>IF(D1925="","",IFERROR(INDEX('Équipements'!$D$5:$D$304,MATCH(D1925,'Équipements'!$A$5:$A$304,0)),""))</f>
        <v/>
      </c>
      <c r="G1925" s="9">
        <f>IF(D1925="","",IFERROR(INDEX('Équipements'!$K$5:$K$304,MATCH(D1925,'Équipements'!$A$5:$A$304,0)),""))</f>
        <v/>
      </c>
      <c r="H1925" s="7" t="n"/>
      <c r="I1925" s="7" t="n"/>
      <c r="J1925" s="7" t="n"/>
      <c r="K1925" s="7" t="n"/>
      <c r="L1925" s="7" t="n"/>
      <c r="M1925" s="7" t="n"/>
      <c r="N1925" s="7" t="n"/>
      <c r="O1925" s="7" t="n"/>
      <c r="P1925" s="65" t="n"/>
      <c r="Q1925" s="75" t="n"/>
      <c r="R1925" s="75" t="n"/>
      <c r="S1925" s="76" t="n"/>
      <c r="T1925" s="76" t="n"/>
      <c r="U1925" s="70">
        <f>IF($A1925="","",IFERROR(INDEX('Techniciens'!$F$5:$F$44,MATCH(O1925,'Techniciens'!$B$5:$B$44,0)),'Paramètres'!$AA$10))</f>
        <v/>
      </c>
      <c r="V1925" s="70">
        <f>IF($A1925="","",IF(OR(AC1925="Demandé",AC1925="Planifié",AC1925="Annulé"),0,N(T1925)*N(U1925)))</f>
        <v/>
      </c>
      <c r="W1925" s="70">
        <f>IF($A1925="","",SUMIFS('Mouvements stock'!$H$5:$H$3004,'Mouvements stock'!$I$5:$I$3004,$A1925,'Mouvements stock'!$C$5:$C$3004,"Sortie")-SUMIFS('Mouvements stock'!$H$5:$H$3004,'Mouvements stock'!$I$5:$I$3004,$A1925,'Mouvements stock'!$C$5:$C$3004,"Retour"))</f>
        <v/>
      </c>
      <c r="X1925" s="66" t="n"/>
      <c r="Y1925" s="66" t="n"/>
      <c r="Z1925" s="7" t="n"/>
      <c r="AA1925" s="70">
        <f>IF($A1925="","",N(V1925)+N(W1925)+N(X1925)+N(Y1925))</f>
        <v/>
      </c>
      <c r="AB1925" s="70">
        <f>IF($A1925="","",N(S1925)*'Paramètres'!$AA$9*IFERROR(INDEX('Paramètres'!$O$5:$O$7,MATCH(G1925,'Paramètres'!$N$5:$N$7,0)),0))</f>
        <v/>
      </c>
      <c r="AC1925" s="7" t="n"/>
      <c r="AD1925" s="69">
        <f>IF(OR($A1925="",Q1925=""),"",(Q1925-B1925)*24)</f>
        <v/>
      </c>
      <c r="AE1925" s="69">
        <f>IF(OR(Q1925="",R1925=""),"",(R1925-Q1925)*24)</f>
        <v/>
      </c>
      <c r="AF1925" s="77">
        <f>IF(OR($A1925="",B1925=""),"",YEAR(B1925))</f>
        <v/>
      </c>
      <c r="AG1925" s="77">
        <f>IF(OR($A1925="",B1925=""),"",MONTH(B1925))</f>
        <v/>
      </c>
    </row>
    <row r="1926">
      <c r="A1926" s="7" t="n"/>
      <c r="B1926" s="75" t="n"/>
      <c r="C1926" s="7" t="n"/>
      <c r="D1926" s="7" t="n"/>
      <c r="E1926" s="9">
        <f>IF(D1926="","",IFERROR(INDEX('Équipements'!$B$5:$B$304,MATCH(D1926,'Équipements'!$A$5:$A$304,0)),"Code inconnu"))</f>
        <v/>
      </c>
      <c r="F1926" s="9">
        <f>IF(D1926="","",IFERROR(INDEX('Équipements'!$D$5:$D$304,MATCH(D1926,'Équipements'!$A$5:$A$304,0)),""))</f>
        <v/>
      </c>
      <c r="G1926" s="9">
        <f>IF(D1926="","",IFERROR(INDEX('Équipements'!$K$5:$K$304,MATCH(D1926,'Équipements'!$A$5:$A$304,0)),""))</f>
        <v/>
      </c>
      <c r="H1926" s="7" t="n"/>
      <c r="I1926" s="7" t="n"/>
      <c r="J1926" s="7" t="n"/>
      <c r="K1926" s="7" t="n"/>
      <c r="L1926" s="7" t="n"/>
      <c r="M1926" s="7" t="n"/>
      <c r="N1926" s="7" t="n"/>
      <c r="O1926" s="7" t="n"/>
      <c r="P1926" s="65" t="n"/>
      <c r="Q1926" s="75" t="n"/>
      <c r="R1926" s="75" t="n"/>
      <c r="S1926" s="76" t="n"/>
      <c r="T1926" s="76" t="n"/>
      <c r="U1926" s="70">
        <f>IF($A1926="","",IFERROR(INDEX('Techniciens'!$F$5:$F$44,MATCH(O1926,'Techniciens'!$B$5:$B$44,0)),'Paramètres'!$AA$10))</f>
        <v/>
      </c>
      <c r="V1926" s="70">
        <f>IF($A1926="","",IF(OR(AC1926="Demandé",AC1926="Planifié",AC1926="Annulé"),0,N(T1926)*N(U1926)))</f>
        <v/>
      </c>
      <c r="W1926" s="70">
        <f>IF($A1926="","",SUMIFS('Mouvements stock'!$H$5:$H$3004,'Mouvements stock'!$I$5:$I$3004,$A1926,'Mouvements stock'!$C$5:$C$3004,"Sortie")-SUMIFS('Mouvements stock'!$H$5:$H$3004,'Mouvements stock'!$I$5:$I$3004,$A1926,'Mouvements stock'!$C$5:$C$3004,"Retour"))</f>
        <v/>
      </c>
      <c r="X1926" s="66" t="n"/>
      <c r="Y1926" s="66" t="n"/>
      <c r="Z1926" s="7" t="n"/>
      <c r="AA1926" s="70">
        <f>IF($A1926="","",N(V1926)+N(W1926)+N(X1926)+N(Y1926))</f>
        <v/>
      </c>
      <c r="AB1926" s="70">
        <f>IF($A1926="","",N(S1926)*'Paramètres'!$AA$9*IFERROR(INDEX('Paramètres'!$O$5:$O$7,MATCH(G1926,'Paramètres'!$N$5:$N$7,0)),0))</f>
        <v/>
      </c>
      <c r="AC1926" s="7" t="n"/>
      <c r="AD1926" s="69">
        <f>IF(OR($A1926="",Q1926=""),"",(Q1926-B1926)*24)</f>
        <v/>
      </c>
      <c r="AE1926" s="69">
        <f>IF(OR(Q1926="",R1926=""),"",(R1926-Q1926)*24)</f>
        <v/>
      </c>
      <c r="AF1926" s="77">
        <f>IF(OR($A1926="",B1926=""),"",YEAR(B1926))</f>
        <v/>
      </c>
      <c r="AG1926" s="77">
        <f>IF(OR($A1926="",B1926=""),"",MONTH(B1926))</f>
        <v/>
      </c>
    </row>
    <row r="1927">
      <c r="A1927" s="7" t="n"/>
      <c r="B1927" s="75" t="n"/>
      <c r="C1927" s="7" t="n"/>
      <c r="D1927" s="7" t="n"/>
      <c r="E1927" s="9">
        <f>IF(D1927="","",IFERROR(INDEX('Équipements'!$B$5:$B$304,MATCH(D1927,'Équipements'!$A$5:$A$304,0)),"Code inconnu"))</f>
        <v/>
      </c>
      <c r="F1927" s="9">
        <f>IF(D1927="","",IFERROR(INDEX('Équipements'!$D$5:$D$304,MATCH(D1927,'Équipements'!$A$5:$A$304,0)),""))</f>
        <v/>
      </c>
      <c r="G1927" s="9">
        <f>IF(D1927="","",IFERROR(INDEX('Équipements'!$K$5:$K$304,MATCH(D1927,'Équipements'!$A$5:$A$304,0)),""))</f>
        <v/>
      </c>
      <c r="H1927" s="7" t="n"/>
      <c r="I1927" s="7" t="n"/>
      <c r="J1927" s="7" t="n"/>
      <c r="K1927" s="7" t="n"/>
      <c r="L1927" s="7" t="n"/>
      <c r="M1927" s="7" t="n"/>
      <c r="N1927" s="7" t="n"/>
      <c r="O1927" s="7" t="n"/>
      <c r="P1927" s="65" t="n"/>
      <c r="Q1927" s="75" t="n"/>
      <c r="R1927" s="75" t="n"/>
      <c r="S1927" s="76" t="n"/>
      <c r="T1927" s="76" t="n"/>
      <c r="U1927" s="70">
        <f>IF($A1927="","",IFERROR(INDEX('Techniciens'!$F$5:$F$44,MATCH(O1927,'Techniciens'!$B$5:$B$44,0)),'Paramètres'!$AA$10))</f>
        <v/>
      </c>
      <c r="V1927" s="70">
        <f>IF($A1927="","",IF(OR(AC1927="Demandé",AC1927="Planifié",AC1927="Annulé"),0,N(T1927)*N(U1927)))</f>
        <v/>
      </c>
      <c r="W1927" s="70">
        <f>IF($A1927="","",SUMIFS('Mouvements stock'!$H$5:$H$3004,'Mouvements stock'!$I$5:$I$3004,$A1927,'Mouvements stock'!$C$5:$C$3004,"Sortie")-SUMIFS('Mouvements stock'!$H$5:$H$3004,'Mouvements stock'!$I$5:$I$3004,$A1927,'Mouvements stock'!$C$5:$C$3004,"Retour"))</f>
        <v/>
      </c>
      <c r="X1927" s="66" t="n"/>
      <c r="Y1927" s="66" t="n"/>
      <c r="Z1927" s="7" t="n"/>
      <c r="AA1927" s="70">
        <f>IF($A1927="","",N(V1927)+N(W1927)+N(X1927)+N(Y1927))</f>
        <v/>
      </c>
      <c r="AB1927" s="70">
        <f>IF($A1927="","",N(S1927)*'Paramètres'!$AA$9*IFERROR(INDEX('Paramètres'!$O$5:$O$7,MATCH(G1927,'Paramètres'!$N$5:$N$7,0)),0))</f>
        <v/>
      </c>
      <c r="AC1927" s="7" t="n"/>
      <c r="AD1927" s="69">
        <f>IF(OR($A1927="",Q1927=""),"",(Q1927-B1927)*24)</f>
        <v/>
      </c>
      <c r="AE1927" s="69">
        <f>IF(OR(Q1927="",R1927=""),"",(R1927-Q1927)*24)</f>
        <v/>
      </c>
      <c r="AF1927" s="77">
        <f>IF(OR($A1927="",B1927=""),"",YEAR(B1927))</f>
        <v/>
      </c>
      <c r="AG1927" s="77">
        <f>IF(OR($A1927="",B1927=""),"",MONTH(B1927))</f>
        <v/>
      </c>
    </row>
    <row r="1928">
      <c r="A1928" s="7" t="n"/>
      <c r="B1928" s="75" t="n"/>
      <c r="C1928" s="7" t="n"/>
      <c r="D1928" s="7" t="n"/>
      <c r="E1928" s="9">
        <f>IF(D1928="","",IFERROR(INDEX('Équipements'!$B$5:$B$304,MATCH(D1928,'Équipements'!$A$5:$A$304,0)),"Code inconnu"))</f>
        <v/>
      </c>
      <c r="F1928" s="9">
        <f>IF(D1928="","",IFERROR(INDEX('Équipements'!$D$5:$D$304,MATCH(D1928,'Équipements'!$A$5:$A$304,0)),""))</f>
        <v/>
      </c>
      <c r="G1928" s="9">
        <f>IF(D1928="","",IFERROR(INDEX('Équipements'!$K$5:$K$304,MATCH(D1928,'Équipements'!$A$5:$A$304,0)),""))</f>
        <v/>
      </c>
      <c r="H1928" s="7" t="n"/>
      <c r="I1928" s="7" t="n"/>
      <c r="J1928" s="7" t="n"/>
      <c r="K1928" s="7" t="n"/>
      <c r="L1928" s="7" t="n"/>
      <c r="M1928" s="7" t="n"/>
      <c r="N1928" s="7" t="n"/>
      <c r="O1928" s="7" t="n"/>
      <c r="P1928" s="65" t="n"/>
      <c r="Q1928" s="75" t="n"/>
      <c r="R1928" s="75" t="n"/>
      <c r="S1928" s="76" t="n"/>
      <c r="T1928" s="76" t="n"/>
      <c r="U1928" s="70">
        <f>IF($A1928="","",IFERROR(INDEX('Techniciens'!$F$5:$F$44,MATCH(O1928,'Techniciens'!$B$5:$B$44,0)),'Paramètres'!$AA$10))</f>
        <v/>
      </c>
      <c r="V1928" s="70">
        <f>IF($A1928="","",IF(OR(AC1928="Demandé",AC1928="Planifié",AC1928="Annulé"),0,N(T1928)*N(U1928)))</f>
        <v/>
      </c>
      <c r="W1928" s="70">
        <f>IF($A1928="","",SUMIFS('Mouvements stock'!$H$5:$H$3004,'Mouvements stock'!$I$5:$I$3004,$A1928,'Mouvements stock'!$C$5:$C$3004,"Sortie")-SUMIFS('Mouvements stock'!$H$5:$H$3004,'Mouvements stock'!$I$5:$I$3004,$A1928,'Mouvements stock'!$C$5:$C$3004,"Retour"))</f>
        <v/>
      </c>
      <c r="X1928" s="66" t="n"/>
      <c r="Y1928" s="66" t="n"/>
      <c r="Z1928" s="7" t="n"/>
      <c r="AA1928" s="70">
        <f>IF($A1928="","",N(V1928)+N(W1928)+N(X1928)+N(Y1928))</f>
        <v/>
      </c>
      <c r="AB1928" s="70">
        <f>IF($A1928="","",N(S1928)*'Paramètres'!$AA$9*IFERROR(INDEX('Paramètres'!$O$5:$O$7,MATCH(G1928,'Paramètres'!$N$5:$N$7,0)),0))</f>
        <v/>
      </c>
      <c r="AC1928" s="7" t="n"/>
      <c r="AD1928" s="69">
        <f>IF(OR($A1928="",Q1928=""),"",(Q1928-B1928)*24)</f>
        <v/>
      </c>
      <c r="AE1928" s="69">
        <f>IF(OR(Q1928="",R1928=""),"",(R1928-Q1928)*24)</f>
        <v/>
      </c>
      <c r="AF1928" s="77">
        <f>IF(OR($A1928="",B1928=""),"",YEAR(B1928))</f>
        <v/>
      </c>
      <c r="AG1928" s="77">
        <f>IF(OR($A1928="",B1928=""),"",MONTH(B1928))</f>
        <v/>
      </c>
    </row>
    <row r="1929">
      <c r="A1929" s="7" t="n"/>
      <c r="B1929" s="75" t="n"/>
      <c r="C1929" s="7" t="n"/>
      <c r="D1929" s="7" t="n"/>
      <c r="E1929" s="9">
        <f>IF(D1929="","",IFERROR(INDEX('Équipements'!$B$5:$B$304,MATCH(D1929,'Équipements'!$A$5:$A$304,0)),"Code inconnu"))</f>
        <v/>
      </c>
      <c r="F1929" s="9">
        <f>IF(D1929="","",IFERROR(INDEX('Équipements'!$D$5:$D$304,MATCH(D1929,'Équipements'!$A$5:$A$304,0)),""))</f>
        <v/>
      </c>
      <c r="G1929" s="9">
        <f>IF(D1929="","",IFERROR(INDEX('Équipements'!$K$5:$K$304,MATCH(D1929,'Équipements'!$A$5:$A$304,0)),""))</f>
        <v/>
      </c>
      <c r="H1929" s="7" t="n"/>
      <c r="I1929" s="7" t="n"/>
      <c r="J1929" s="7" t="n"/>
      <c r="K1929" s="7" t="n"/>
      <c r="L1929" s="7" t="n"/>
      <c r="M1929" s="7" t="n"/>
      <c r="N1929" s="7" t="n"/>
      <c r="O1929" s="7" t="n"/>
      <c r="P1929" s="65" t="n"/>
      <c r="Q1929" s="75" t="n"/>
      <c r="R1929" s="75" t="n"/>
      <c r="S1929" s="76" t="n"/>
      <c r="T1929" s="76" t="n"/>
      <c r="U1929" s="70">
        <f>IF($A1929="","",IFERROR(INDEX('Techniciens'!$F$5:$F$44,MATCH(O1929,'Techniciens'!$B$5:$B$44,0)),'Paramètres'!$AA$10))</f>
        <v/>
      </c>
      <c r="V1929" s="70">
        <f>IF($A1929="","",IF(OR(AC1929="Demandé",AC1929="Planifié",AC1929="Annulé"),0,N(T1929)*N(U1929)))</f>
        <v/>
      </c>
      <c r="W1929" s="70">
        <f>IF($A1929="","",SUMIFS('Mouvements stock'!$H$5:$H$3004,'Mouvements stock'!$I$5:$I$3004,$A1929,'Mouvements stock'!$C$5:$C$3004,"Sortie")-SUMIFS('Mouvements stock'!$H$5:$H$3004,'Mouvements stock'!$I$5:$I$3004,$A1929,'Mouvements stock'!$C$5:$C$3004,"Retour"))</f>
        <v/>
      </c>
      <c r="X1929" s="66" t="n"/>
      <c r="Y1929" s="66" t="n"/>
      <c r="Z1929" s="7" t="n"/>
      <c r="AA1929" s="70">
        <f>IF($A1929="","",N(V1929)+N(W1929)+N(X1929)+N(Y1929))</f>
        <v/>
      </c>
      <c r="AB1929" s="70">
        <f>IF($A1929="","",N(S1929)*'Paramètres'!$AA$9*IFERROR(INDEX('Paramètres'!$O$5:$O$7,MATCH(G1929,'Paramètres'!$N$5:$N$7,0)),0))</f>
        <v/>
      </c>
      <c r="AC1929" s="7" t="n"/>
      <c r="AD1929" s="69">
        <f>IF(OR($A1929="",Q1929=""),"",(Q1929-B1929)*24)</f>
        <v/>
      </c>
      <c r="AE1929" s="69">
        <f>IF(OR(Q1929="",R1929=""),"",(R1929-Q1929)*24)</f>
        <v/>
      </c>
      <c r="AF1929" s="77">
        <f>IF(OR($A1929="",B1929=""),"",YEAR(B1929))</f>
        <v/>
      </c>
      <c r="AG1929" s="77">
        <f>IF(OR($A1929="",B1929=""),"",MONTH(B1929))</f>
        <v/>
      </c>
    </row>
    <row r="1930">
      <c r="A1930" s="7" t="n"/>
      <c r="B1930" s="75" t="n"/>
      <c r="C1930" s="7" t="n"/>
      <c r="D1930" s="7" t="n"/>
      <c r="E1930" s="9">
        <f>IF(D1930="","",IFERROR(INDEX('Équipements'!$B$5:$B$304,MATCH(D1930,'Équipements'!$A$5:$A$304,0)),"Code inconnu"))</f>
        <v/>
      </c>
      <c r="F1930" s="9">
        <f>IF(D1930="","",IFERROR(INDEX('Équipements'!$D$5:$D$304,MATCH(D1930,'Équipements'!$A$5:$A$304,0)),""))</f>
        <v/>
      </c>
      <c r="G1930" s="9">
        <f>IF(D1930="","",IFERROR(INDEX('Équipements'!$K$5:$K$304,MATCH(D1930,'Équipements'!$A$5:$A$304,0)),""))</f>
        <v/>
      </c>
      <c r="H1930" s="7" t="n"/>
      <c r="I1930" s="7" t="n"/>
      <c r="J1930" s="7" t="n"/>
      <c r="K1930" s="7" t="n"/>
      <c r="L1930" s="7" t="n"/>
      <c r="M1930" s="7" t="n"/>
      <c r="N1930" s="7" t="n"/>
      <c r="O1930" s="7" t="n"/>
      <c r="P1930" s="65" t="n"/>
      <c r="Q1930" s="75" t="n"/>
      <c r="R1930" s="75" t="n"/>
      <c r="S1930" s="76" t="n"/>
      <c r="T1930" s="76" t="n"/>
      <c r="U1930" s="70">
        <f>IF($A1930="","",IFERROR(INDEX('Techniciens'!$F$5:$F$44,MATCH(O1930,'Techniciens'!$B$5:$B$44,0)),'Paramètres'!$AA$10))</f>
        <v/>
      </c>
      <c r="V1930" s="70">
        <f>IF($A1930="","",IF(OR(AC1930="Demandé",AC1930="Planifié",AC1930="Annulé"),0,N(T1930)*N(U1930)))</f>
        <v/>
      </c>
      <c r="W1930" s="70">
        <f>IF($A1930="","",SUMIFS('Mouvements stock'!$H$5:$H$3004,'Mouvements stock'!$I$5:$I$3004,$A1930,'Mouvements stock'!$C$5:$C$3004,"Sortie")-SUMIFS('Mouvements stock'!$H$5:$H$3004,'Mouvements stock'!$I$5:$I$3004,$A1930,'Mouvements stock'!$C$5:$C$3004,"Retour"))</f>
        <v/>
      </c>
      <c r="X1930" s="66" t="n"/>
      <c r="Y1930" s="66" t="n"/>
      <c r="Z1930" s="7" t="n"/>
      <c r="AA1930" s="70">
        <f>IF($A1930="","",N(V1930)+N(W1930)+N(X1930)+N(Y1930))</f>
        <v/>
      </c>
      <c r="AB1930" s="70">
        <f>IF($A1930="","",N(S1930)*'Paramètres'!$AA$9*IFERROR(INDEX('Paramètres'!$O$5:$O$7,MATCH(G1930,'Paramètres'!$N$5:$N$7,0)),0))</f>
        <v/>
      </c>
      <c r="AC1930" s="7" t="n"/>
      <c r="AD1930" s="69">
        <f>IF(OR($A1930="",Q1930=""),"",(Q1930-B1930)*24)</f>
        <v/>
      </c>
      <c r="AE1930" s="69">
        <f>IF(OR(Q1930="",R1930=""),"",(R1930-Q1930)*24)</f>
        <v/>
      </c>
      <c r="AF1930" s="77">
        <f>IF(OR($A1930="",B1930=""),"",YEAR(B1930))</f>
        <v/>
      </c>
      <c r="AG1930" s="77">
        <f>IF(OR($A1930="",B1930=""),"",MONTH(B1930))</f>
        <v/>
      </c>
    </row>
    <row r="1931">
      <c r="A1931" s="7" t="n"/>
      <c r="B1931" s="75" t="n"/>
      <c r="C1931" s="7" t="n"/>
      <c r="D1931" s="7" t="n"/>
      <c r="E1931" s="9">
        <f>IF(D1931="","",IFERROR(INDEX('Équipements'!$B$5:$B$304,MATCH(D1931,'Équipements'!$A$5:$A$304,0)),"Code inconnu"))</f>
        <v/>
      </c>
      <c r="F1931" s="9">
        <f>IF(D1931="","",IFERROR(INDEX('Équipements'!$D$5:$D$304,MATCH(D1931,'Équipements'!$A$5:$A$304,0)),""))</f>
        <v/>
      </c>
      <c r="G1931" s="9">
        <f>IF(D1931="","",IFERROR(INDEX('Équipements'!$K$5:$K$304,MATCH(D1931,'Équipements'!$A$5:$A$304,0)),""))</f>
        <v/>
      </c>
      <c r="H1931" s="7" t="n"/>
      <c r="I1931" s="7" t="n"/>
      <c r="J1931" s="7" t="n"/>
      <c r="K1931" s="7" t="n"/>
      <c r="L1931" s="7" t="n"/>
      <c r="M1931" s="7" t="n"/>
      <c r="N1931" s="7" t="n"/>
      <c r="O1931" s="7" t="n"/>
      <c r="P1931" s="65" t="n"/>
      <c r="Q1931" s="75" t="n"/>
      <c r="R1931" s="75" t="n"/>
      <c r="S1931" s="76" t="n"/>
      <c r="T1931" s="76" t="n"/>
      <c r="U1931" s="70">
        <f>IF($A1931="","",IFERROR(INDEX('Techniciens'!$F$5:$F$44,MATCH(O1931,'Techniciens'!$B$5:$B$44,0)),'Paramètres'!$AA$10))</f>
        <v/>
      </c>
      <c r="V1931" s="70">
        <f>IF($A1931="","",IF(OR(AC1931="Demandé",AC1931="Planifié",AC1931="Annulé"),0,N(T1931)*N(U1931)))</f>
        <v/>
      </c>
      <c r="W1931" s="70">
        <f>IF($A1931="","",SUMIFS('Mouvements stock'!$H$5:$H$3004,'Mouvements stock'!$I$5:$I$3004,$A1931,'Mouvements stock'!$C$5:$C$3004,"Sortie")-SUMIFS('Mouvements stock'!$H$5:$H$3004,'Mouvements stock'!$I$5:$I$3004,$A1931,'Mouvements stock'!$C$5:$C$3004,"Retour"))</f>
        <v/>
      </c>
      <c r="X1931" s="66" t="n"/>
      <c r="Y1931" s="66" t="n"/>
      <c r="Z1931" s="7" t="n"/>
      <c r="AA1931" s="70">
        <f>IF($A1931="","",N(V1931)+N(W1931)+N(X1931)+N(Y1931))</f>
        <v/>
      </c>
      <c r="AB1931" s="70">
        <f>IF($A1931="","",N(S1931)*'Paramètres'!$AA$9*IFERROR(INDEX('Paramètres'!$O$5:$O$7,MATCH(G1931,'Paramètres'!$N$5:$N$7,0)),0))</f>
        <v/>
      </c>
      <c r="AC1931" s="7" t="n"/>
      <c r="AD1931" s="69">
        <f>IF(OR($A1931="",Q1931=""),"",(Q1931-B1931)*24)</f>
        <v/>
      </c>
      <c r="AE1931" s="69">
        <f>IF(OR(Q1931="",R1931=""),"",(R1931-Q1931)*24)</f>
        <v/>
      </c>
      <c r="AF1931" s="77">
        <f>IF(OR($A1931="",B1931=""),"",YEAR(B1931))</f>
        <v/>
      </c>
      <c r="AG1931" s="77">
        <f>IF(OR($A1931="",B1931=""),"",MONTH(B1931))</f>
        <v/>
      </c>
    </row>
    <row r="1932">
      <c r="A1932" s="7" t="n"/>
      <c r="B1932" s="75" t="n"/>
      <c r="C1932" s="7" t="n"/>
      <c r="D1932" s="7" t="n"/>
      <c r="E1932" s="9">
        <f>IF(D1932="","",IFERROR(INDEX('Équipements'!$B$5:$B$304,MATCH(D1932,'Équipements'!$A$5:$A$304,0)),"Code inconnu"))</f>
        <v/>
      </c>
      <c r="F1932" s="9">
        <f>IF(D1932="","",IFERROR(INDEX('Équipements'!$D$5:$D$304,MATCH(D1932,'Équipements'!$A$5:$A$304,0)),""))</f>
        <v/>
      </c>
      <c r="G1932" s="9">
        <f>IF(D1932="","",IFERROR(INDEX('Équipements'!$K$5:$K$304,MATCH(D1932,'Équipements'!$A$5:$A$304,0)),""))</f>
        <v/>
      </c>
      <c r="H1932" s="7" t="n"/>
      <c r="I1932" s="7" t="n"/>
      <c r="J1932" s="7" t="n"/>
      <c r="K1932" s="7" t="n"/>
      <c r="L1932" s="7" t="n"/>
      <c r="M1932" s="7" t="n"/>
      <c r="N1932" s="7" t="n"/>
      <c r="O1932" s="7" t="n"/>
      <c r="P1932" s="65" t="n"/>
      <c r="Q1932" s="75" t="n"/>
      <c r="R1932" s="75" t="n"/>
      <c r="S1932" s="76" t="n"/>
      <c r="T1932" s="76" t="n"/>
      <c r="U1932" s="70">
        <f>IF($A1932="","",IFERROR(INDEX('Techniciens'!$F$5:$F$44,MATCH(O1932,'Techniciens'!$B$5:$B$44,0)),'Paramètres'!$AA$10))</f>
        <v/>
      </c>
      <c r="V1932" s="70">
        <f>IF($A1932="","",IF(OR(AC1932="Demandé",AC1932="Planifié",AC1932="Annulé"),0,N(T1932)*N(U1932)))</f>
        <v/>
      </c>
      <c r="W1932" s="70">
        <f>IF($A1932="","",SUMIFS('Mouvements stock'!$H$5:$H$3004,'Mouvements stock'!$I$5:$I$3004,$A1932,'Mouvements stock'!$C$5:$C$3004,"Sortie")-SUMIFS('Mouvements stock'!$H$5:$H$3004,'Mouvements stock'!$I$5:$I$3004,$A1932,'Mouvements stock'!$C$5:$C$3004,"Retour"))</f>
        <v/>
      </c>
      <c r="X1932" s="66" t="n"/>
      <c r="Y1932" s="66" t="n"/>
      <c r="Z1932" s="7" t="n"/>
      <c r="AA1932" s="70">
        <f>IF($A1932="","",N(V1932)+N(W1932)+N(X1932)+N(Y1932))</f>
        <v/>
      </c>
      <c r="AB1932" s="70">
        <f>IF($A1932="","",N(S1932)*'Paramètres'!$AA$9*IFERROR(INDEX('Paramètres'!$O$5:$O$7,MATCH(G1932,'Paramètres'!$N$5:$N$7,0)),0))</f>
        <v/>
      </c>
      <c r="AC1932" s="7" t="n"/>
      <c r="AD1932" s="69">
        <f>IF(OR($A1932="",Q1932=""),"",(Q1932-B1932)*24)</f>
        <v/>
      </c>
      <c r="AE1932" s="69">
        <f>IF(OR(Q1932="",R1932=""),"",(R1932-Q1932)*24)</f>
        <v/>
      </c>
      <c r="AF1932" s="77">
        <f>IF(OR($A1932="",B1932=""),"",YEAR(B1932))</f>
        <v/>
      </c>
      <c r="AG1932" s="77">
        <f>IF(OR($A1932="",B1932=""),"",MONTH(B1932))</f>
        <v/>
      </c>
    </row>
    <row r="1933">
      <c r="A1933" s="7" t="n"/>
      <c r="B1933" s="75" t="n"/>
      <c r="C1933" s="7" t="n"/>
      <c r="D1933" s="7" t="n"/>
      <c r="E1933" s="9">
        <f>IF(D1933="","",IFERROR(INDEX('Équipements'!$B$5:$B$304,MATCH(D1933,'Équipements'!$A$5:$A$304,0)),"Code inconnu"))</f>
        <v/>
      </c>
      <c r="F1933" s="9">
        <f>IF(D1933="","",IFERROR(INDEX('Équipements'!$D$5:$D$304,MATCH(D1933,'Équipements'!$A$5:$A$304,0)),""))</f>
        <v/>
      </c>
      <c r="G1933" s="9">
        <f>IF(D1933="","",IFERROR(INDEX('Équipements'!$K$5:$K$304,MATCH(D1933,'Équipements'!$A$5:$A$304,0)),""))</f>
        <v/>
      </c>
      <c r="H1933" s="7" t="n"/>
      <c r="I1933" s="7" t="n"/>
      <c r="J1933" s="7" t="n"/>
      <c r="K1933" s="7" t="n"/>
      <c r="L1933" s="7" t="n"/>
      <c r="M1933" s="7" t="n"/>
      <c r="N1933" s="7" t="n"/>
      <c r="O1933" s="7" t="n"/>
      <c r="P1933" s="65" t="n"/>
      <c r="Q1933" s="75" t="n"/>
      <c r="R1933" s="75" t="n"/>
      <c r="S1933" s="76" t="n"/>
      <c r="T1933" s="76" t="n"/>
      <c r="U1933" s="70">
        <f>IF($A1933="","",IFERROR(INDEX('Techniciens'!$F$5:$F$44,MATCH(O1933,'Techniciens'!$B$5:$B$44,0)),'Paramètres'!$AA$10))</f>
        <v/>
      </c>
      <c r="V1933" s="70">
        <f>IF($A1933="","",IF(OR(AC1933="Demandé",AC1933="Planifié",AC1933="Annulé"),0,N(T1933)*N(U1933)))</f>
        <v/>
      </c>
      <c r="W1933" s="70">
        <f>IF($A1933="","",SUMIFS('Mouvements stock'!$H$5:$H$3004,'Mouvements stock'!$I$5:$I$3004,$A1933,'Mouvements stock'!$C$5:$C$3004,"Sortie")-SUMIFS('Mouvements stock'!$H$5:$H$3004,'Mouvements stock'!$I$5:$I$3004,$A1933,'Mouvements stock'!$C$5:$C$3004,"Retour"))</f>
        <v/>
      </c>
      <c r="X1933" s="66" t="n"/>
      <c r="Y1933" s="66" t="n"/>
      <c r="Z1933" s="7" t="n"/>
      <c r="AA1933" s="70">
        <f>IF($A1933="","",N(V1933)+N(W1933)+N(X1933)+N(Y1933))</f>
        <v/>
      </c>
      <c r="AB1933" s="70">
        <f>IF($A1933="","",N(S1933)*'Paramètres'!$AA$9*IFERROR(INDEX('Paramètres'!$O$5:$O$7,MATCH(G1933,'Paramètres'!$N$5:$N$7,0)),0))</f>
        <v/>
      </c>
      <c r="AC1933" s="7" t="n"/>
      <c r="AD1933" s="69">
        <f>IF(OR($A1933="",Q1933=""),"",(Q1933-B1933)*24)</f>
        <v/>
      </c>
      <c r="AE1933" s="69">
        <f>IF(OR(Q1933="",R1933=""),"",(R1933-Q1933)*24)</f>
        <v/>
      </c>
      <c r="AF1933" s="77">
        <f>IF(OR($A1933="",B1933=""),"",YEAR(B1933))</f>
        <v/>
      </c>
      <c r="AG1933" s="77">
        <f>IF(OR($A1933="",B1933=""),"",MONTH(B1933))</f>
        <v/>
      </c>
    </row>
    <row r="1934">
      <c r="A1934" s="7" t="n"/>
      <c r="B1934" s="75" t="n"/>
      <c r="C1934" s="7" t="n"/>
      <c r="D1934" s="7" t="n"/>
      <c r="E1934" s="9">
        <f>IF(D1934="","",IFERROR(INDEX('Équipements'!$B$5:$B$304,MATCH(D1934,'Équipements'!$A$5:$A$304,0)),"Code inconnu"))</f>
        <v/>
      </c>
      <c r="F1934" s="9">
        <f>IF(D1934="","",IFERROR(INDEX('Équipements'!$D$5:$D$304,MATCH(D1934,'Équipements'!$A$5:$A$304,0)),""))</f>
        <v/>
      </c>
      <c r="G1934" s="9">
        <f>IF(D1934="","",IFERROR(INDEX('Équipements'!$K$5:$K$304,MATCH(D1934,'Équipements'!$A$5:$A$304,0)),""))</f>
        <v/>
      </c>
      <c r="H1934" s="7" t="n"/>
      <c r="I1934" s="7" t="n"/>
      <c r="J1934" s="7" t="n"/>
      <c r="K1934" s="7" t="n"/>
      <c r="L1934" s="7" t="n"/>
      <c r="M1934" s="7" t="n"/>
      <c r="N1934" s="7" t="n"/>
      <c r="O1934" s="7" t="n"/>
      <c r="P1934" s="65" t="n"/>
      <c r="Q1934" s="75" t="n"/>
      <c r="R1934" s="75" t="n"/>
      <c r="S1934" s="76" t="n"/>
      <c r="T1934" s="76" t="n"/>
      <c r="U1934" s="70">
        <f>IF($A1934="","",IFERROR(INDEX('Techniciens'!$F$5:$F$44,MATCH(O1934,'Techniciens'!$B$5:$B$44,0)),'Paramètres'!$AA$10))</f>
        <v/>
      </c>
      <c r="V1934" s="70">
        <f>IF($A1934="","",IF(OR(AC1934="Demandé",AC1934="Planifié",AC1934="Annulé"),0,N(T1934)*N(U1934)))</f>
        <v/>
      </c>
      <c r="W1934" s="70">
        <f>IF($A1934="","",SUMIFS('Mouvements stock'!$H$5:$H$3004,'Mouvements stock'!$I$5:$I$3004,$A1934,'Mouvements stock'!$C$5:$C$3004,"Sortie")-SUMIFS('Mouvements stock'!$H$5:$H$3004,'Mouvements stock'!$I$5:$I$3004,$A1934,'Mouvements stock'!$C$5:$C$3004,"Retour"))</f>
        <v/>
      </c>
      <c r="X1934" s="66" t="n"/>
      <c r="Y1934" s="66" t="n"/>
      <c r="Z1934" s="7" t="n"/>
      <c r="AA1934" s="70">
        <f>IF($A1934="","",N(V1934)+N(W1934)+N(X1934)+N(Y1934))</f>
        <v/>
      </c>
      <c r="AB1934" s="70">
        <f>IF($A1934="","",N(S1934)*'Paramètres'!$AA$9*IFERROR(INDEX('Paramètres'!$O$5:$O$7,MATCH(G1934,'Paramètres'!$N$5:$N$7,0)),0))</f>
        <v/>
      </c>
      <c r="AC1934" s="7" t="n"/>
      <c r="AD1934" s="69">
        <f>IF(OR($A1934="",Q1934=""),"",(Q1934-B1934)*24)</f>
        <v/>
      </c>
      <c r="AE1934" s="69">
        <f>IF(OR(Q1934="",R1934=""),"",(R1934-Q1934)*24)</f>
        <v/>
      </c>
      <c r="AF1934" s="77">
        <f>IF(OR($A1934="",B1934=""),"",YEAR(B1934))</f>
        <v/>
      </c>
      <c r="AG1934" s="77">
        <f>IF(OR($A1934="",B1934=""),"",MONTH(B1934))</f>
        <v/>
      </c>
    </row>
    <row r="1935">
      <c r="A1935" s="7" t="n"/>
      <c r="B1935" s="75" t="n"/>
      <c r="C1935" s="7" t="n"/>
      <c r="D1935" s="7" t="n"/>
      <c r="E1935" s="9">
        <f>IF(D1935="","",IFERROR(INDEX('Équipements'!$B$5:$B$304,MATCH(D1935,'Équipements'!$A$5:$A$304,0)),"Code inconnu"))</f>
        <v/>
      </c>
      <c r="F1935" s="9">
        <f>IF(D1935="","",IFERROR(INDEX('Équipements'!$D$5:$D$304,MATCH(D1935,'Équipements'!$A$5:$A$304,0)),""))</f>
        <v/>
      </c>
      <c r="G1935" s="9">
        <f>IF(D1935="","",IFERROR(INDEX('Équipements'!$K$5:$K$304,MATCH(D1935,'Équipements'!$A$5:$A$304,0)),""))</f>
        <v/>
      </c>
      <c r="H1935" s="7" t="n"/>
      <c r="I1935" s="7" t="n"/>
      <c r="J1935" s="7" t="n"/>
      <c r="K1935" s="7" t="n"/>
      <c r="L1935" s="7" t="n"/>
      <c r="M1935" s="7" t="n"/>
      <c r="N1935" s="7" t="n"/>
      <c r="O1935" s="7" t="n"/>
      <c r="P1935" s="65" t="n"/>
      <c r="Q1935" s="75" t="n"/>
      <c r="R1935" s="75" t="n"/>
      <c r="S1935" s="76" t="n"/>
      <c r="T1935" s="76" t="n"/>
      <c r="U1935" s="70">
        <f>IF($A1935="","",IFERROR(INDEX('Techniciens'!$F$5:$F$44,MATCH(O1935,'Techniciens'!$B$5:$B$44,0)),'Paramètres'!$AA$10))</f>
        <v/>
      </c>
      <c r="V1935" s="70">
        <f>IF($A1935="","",IF(OR(AC1935="Demandé",AC1935="Planifié",AC1935="Annulé"),0,N(T1935)*N(U1935)))</f>
        <v/>
      </c>
      <c r="W1935" s="70">
        <f>IF($A1935="","",SUMIFS('Mouvements stock'!$H$5:$H$3004,'Mouvements stock'!$I$5:$I$3004,$A1935,'Mouvements stock'!$C$5:$C$3004,"Sortie")-SUMIFS('Mouvements stock'!$H$5:$H$3004,'Mouvements stock'!$I$5:$I$3004,$A1935,'Mouvements stock'!$C$5:$C$3004,"Retour"))</f>
        <v/>
      </c>
      <c r="X1935" s="66" t="n"/>
      <c r="Y1935" s="66" t="n"/>
      <c r="Z1935" s="7" t="n"/>
      <c r="AA1935" s="70">
        <f>IF($A1935="","",N(V1935)+N(W1935)+N(X1935)+N(Y1935))</f>
        <v/>
      </c>
      <c r="AB1935" s="70">
        <f>IF($A1935="","",N(S1935)*'Paramètres'!$AA$9*IFERROR(INDEX('Paramètres'!$O$5:$O$7,MATCH(G1935,'Paramètres'!$N$5:$N$7,0)),0))</f>
        <v/>
      </c>
      <c r="AC1935" s="7" t="n"/>
      <c r="AD1935" s="69">
        <f>IF(OR($A1935="",Q1935=""),"",(Q1935-B1935)*24)</f>
        <v/>
      </c>
      <c r="AE1935" s="69">
        <f>IF(OR(Q1935="",R1935=""),"",(R1935-Q1935)*24)</f>
        <v/>
      </c>
      <c r="AF1935" s="77">
        <f>IF(OR($A1935="",B1935=""),"",YEAR(B1935))</f>
        <v/>
      </c>
      <c r="AG1935" s="77">
        <f>IF(OR($A1935="",B1935=""),"",MONTH(B1935))</f>
        <v/>
      </c>
    </row>
    <row r="1936">
      <c r="A1936" s="7" t="n"/>
      <c r="B1936" s="75" t="n"/>
      <c r="C1936" s="7" t="n"/>
      <c r="D1936" s="7" t="n"/>
      <c r="E1936" s="9">
        <f>IF(D1936="","",IFERROR(INDEX('Équipements'!$B$5:$B$304,MATCH(D1936,'Équipements'!$A$5:$A$304,0)),"Code inconnu"))</f>
        <v/>
      </c>
      <c r="F1936" s="9">
        <f>IF(D1936="","",IFERROR(INDEX('Équipements'!$D$5:$D$304,MATCH(D1936,'Équipements'!$A$5:$A$304,0)),""))</f>
        <v/>
      </c>
      <c r="G1936" s="9">
        <f>IF(D1936="","",IFERROR(INDEX('Équipements'!$K$5:$K$304,MATCH(D1936,'Équipements'!$A$5:$A$304,0)),""))</f>
        <v/>
      </c>
      <c r="H1936" s="7" t="n"/>
      <c r="I1936" s="7" t="n"/>
      <c r="J1936" s="7" t="n"/>
      <c r="K1936" s="7" t="n"/>
      <c r="L1936" s="7" t="n"/>
      <c r="M1936" s="7" t="n"/>
      <c r="N1936" s="7" t="n"/>
      <c r="O1936" s="7" t="n"/>
      <c r="P1936" s="65" t="n"/>
      <c r="Q1936" s="75" t="n"/>
      <c r="R1936" s="75" t="n"/>
      <c r="S1936" s="76" t="n"/>
      <c r="T1936" s="76" t="n"/>
      <c r="U1936" s="70">
        <f>IF($A1936="","",IFERROR(INDEX('Techniciens'!$F$5:$F$44,MATCH(O1936,'Techniciens'!$B$5:$B$44,0)),'Paramètres'!$AA$10))</f>
        <v/>
      </c>
      <c r="V1936" s="70">
        <f>IF($A1936="","",IF(OR(AC1936="Demandé",AC1936="Planifié",AC1936="Annulé"),0,N(T1936)*N(U1936)))</f>
        <v/>
      </c>
      <c r="W1936" s="70">
        <f>IF($A1936="","",SUMIFS('Mouvements stock'!$H$5:$H$3004,'Mouvements stock'!$I$5:$I$3004,$A1936,'Mouvements stock'!$C$5:$C$3004,"Sortie")-SUMIFS('Mouvements stock'!$H$5:$H$3004,'Mouvements stock'!$I$5:$I$3004,$A1936,'Mouvements stock'!$C$5:$C$3004,"Retour"))</f>
        <v/>
      </c>
      <c r="X1936" s="66" t="n"/>
      <c r="Y1936" s="66" t="n"/>
      <c r="Z1936" s="7" t="n"/>
      <c r="AA1936" s="70">
        <f>IF($A1936="","",N(V1936)+N(W1936)+N(X1936)+N(Y1936))</f>
        <v/>
      </c>
      <c r="AB1936" s="70">
        <f>IF($A1936="","",N(S1936)*'Paramètres'!$AA$9*IFERROR(INDEX('Paramètres'!$O$5:$O$7,MATCH(G1936,'Paramètres'!$N$5:$N$7,0)),0))</f>
        <v/>
      </c>
      <c r="AC1936" s="7" t="n"/>
      <c r="AD1936" s="69">
        <f>IF(OR($A1936="",Q1936=""),"",(Q1936-B1936)*24)</f>
        <v/>
      </c>
      <c r="AE1936" s="69">
        <f>IF(OR(Q1936="",R1936=""),"",(R1936-Q1936)*24)</f>
        <v/>
      </c>
      <c r="AF1936" s="77">
        <f>IF(OR($A1936="",B1936=""),"",YEAR(B1936))</f>
        <v/>
      </c>
      <c r="AG1936" s="77">
        <f>IF(OR($A1936="",B1936=""),"",MONTH(B1936))</f>
        <v/>
      </c>
    </row>
    <row r="1937">
      <c r="A1937" s="7" t="n"/>
      <c r="B1937" s="75" t="n"/>
      <c r="C1937" s="7" t="n"/>
      <c r="D1937" s="7" t="n"/>
      <c r="E1937" s="9">
        <f>IF(D1937="","",IFERROR(INDEX('Équipements'!$B$5:$B$304,MATCH(D1937,'Équipements'!$A$5:$A$304,0)),"Code inconnu"))</f>
        <v/>
      </c>
      <c r="F1937" s="9">
        <f>IF(D1937="","",IFERROR(INDEX('Équipements'!$D$5:$D$304,MATCH(D1937,'Équipements'!$A$5:$A$304,0)),""))</f>
        <v/>
      </c>
      <c r="G1937" s="9">
        <f>IF(D1937="","",IFERROR(INDEX('Équipements'!$K$5:$K$304,MATCH(D1937,'Équipements'!$A$5:$A$304,0)),""))</f>
        <v/>
      </c>
      <c r="H1937" s="7" t="n"/>
      <c r="I1937" s="7" t="n"/>
      <c r="J1937" s="7" t="n"/>
      <c r="K1937" s="7" t="n"/>
      <c r="L1937" s="7" t="n"/>
      <c r="M1937" s="7" t="n"/>
      <c r="N1937" s="7" t="n"/>
      <c r="O1937" s="7" t="n"/>
      <c r="P1937" s="65" t="n"/>
      <c r="Q1937" s="75" t="n"/>
      <c r="R1937" s="75" t="n"/>
      <c r="S1937" s="76" t="n"/>
      <c r="T1937" s="76" t="n"/>
      <c r="U1937" s="70">
        <f>IF($A1937="","",IFERROR(INDEX('Techniciens'!$F$5:$F$44,MATCH(O1937,'Techniciens'!$B$5:$B$44,0)),'Paramètres'!$AA$10))</f>
        <v/>
      </c>
      <c r="V1937" s="70">
        <f>IF($A1937="","",IF(OR(AC1937="Demandé",AC1937="Planifié",AC1937="Annulé"),0,N(T1937)*N(U1937)))</f>
        <v/>
      </c>
      <c r="W1937" s="70">
        <f>IF($A1937="","",SUMIFS('Mouvements stock'!$H$5:$H$3004,'Mouvements stock'!$I$5:$I$3004,$A1937,'Mouvements stock'!$C$5:$C$3004,"Sortie")-SUMIFS('Mouvements stock'!$H$5:$H$3004,'Mouvements stock'!$I$5:$I$3004,$A1937,'Mouvements stock'!$C$5:$C$3004,"Retour"))</f>
        <v/>
      </c>
      <c r="X1937" s="66" t="n"/>
      <c r="Y1937" s="66" t="n"/>
      <c r="Z1937" s="7" t="n"/>
      <c r="AA1937" s="70">
        <f>IF($A1937="","",N(V1937)+N(W1937)+N(X1937)+N(Y1937))</f>
        <v/>
      </c>
      <c r="AB1937" s="70">
        <f>IF($A1937="","",N(S1937)*'Paramètres'!$AA$9*IFERROR(INDEX('Paramètres'!$O$5:$O$7,MATCH(G1937,'Paramètres'!$N$5:$N$7,0)),0))</f>
        <v/>
      </c>
      <c r="AC1937" s="7" t="n"/>
      <c r="AD1937" s="69">
        <f>IF(OR($A1937="",Q1937=""),"",(Q1937-B1937)*24)</f>
        <v/>
      </c>
      <c r="AE1937" s="69">
        <f>IF(OR(Q1937="",R1937=""),"",(R1937-Q1937)*24)</f>
        <v/>
      </c>
      <c r="AF1937" s="77">
        <f>IF(OR($A1937="",B1937=""),"",YEAR(B1937))</f>
        <v/>
      </c>
      <c r="AG1937" s="77">
        <f>IF(OR($A1937="",B1937=""),"",MONTH(B1937))</f>
        <v/>
      </c>
    </row>
    <row r="1938">
      <c r="A1938" s="7" t="n"/>
      <c r="B1938" s="75" t="n"/>
      <c r="C1938" s="7" t="n"/>
      <c r="D1938" s="7" t="n"/>
      <c r="E1938" s="9">
        <f>IF(D1938="","",IFERROR(INDEX('Équipements'!$B$5:$B$304,MATCH(D1938,'Équipements'!$A$5:$A$304,0)),"Code inconnu"))</f>
        <v/>
      </c>
      <c r="F1938" s="9">
        <f>IF(D1938="","",IFERROR(INDEX('Équipements'!$D$5:$D$304,MATCH(D1938,'Équipements'!$A$5:$A$304,0)),""))</f>
        <v/>
      </c>
      <c r="G1938" s="9">
        <f>IF(D1938="","",IFERROR(INDEX('Équipements'!$K$5:$K$304,MATCH(D1938,'Équipements'!$A$5:$A$304,0)),""))</f>
        <v/>
      </c>
      <c r="H1938" s="7" t="n"/>
      <c r="I1938" s="7" t="n"/>
      <c r="J1938" s="7" t="n"/>
      <c r="K1938" s="7" t="n"/>
      <c r="L1938" s="7" t="n"/>
      <c r="M1938" s="7" t="n"/>
      <c r="N1938" s="7" t="n"/>
      <c r="O1938" s="7" t="n"/>
      <c r="P1938" s="65" t="n"/>
      <c r="Q1938" s="75" t="n"/>
      <c r="R1938" s="75" t="n"/>
      <c r="S1938" s="76" t="n"/>
      <c r="T1938" s="76" t="n"/>
      <c r="U1938" s="70">
        <f>IF($A1938="","",IFERROR(INDEX('Techniciens'!$F$5:$F$44,MATCH(O1938,'Techniciens'!$B$5:$B$44,0)),'Paramètres'!$AA$10))</f>
        <v/>
      </c>
      <c r="V1938" s="70">
        <f>IF($A1938="","",IF(OR(AC1938="Demandé",AC1938="Planifié",AC1938="Annulé"),0,N(T1938)*N(U1938)))</f>
        <v/>
      </c>
      <c r="W1938" s="70">
        <f>IF($A1938="","",SUMIFS('Mouvements stock'!$H$5:$H$3004,'Mouvements stock'!$I$5:$I$3004,$A1938,'Mouvements stock'!$C$5:$C$3004,"Sortie")-SUMIFS('Mouvements stock'!$H$5:$H$3004,'Mouvements stock'!$I$5:$I$3004,$A1938,'Mouvements stock'!$C$5:$C$3004,"Retour"))</f>
        <v/>
      </c>
      <c r="X1938" s="66" t="n"/>
      <c r="Y1938" s="66" t="n"/>
      <c r="Z1938" s="7" t="n"/>
      <c r="AA1938" s="70">
        <f>IF($A1938="","",N(V1938)+N(W1938)+N(X1938)+N(Y1938))</f>
        <v/>
      </c>
      <c r="AB1938" s="70">
        <f>IF($A1938="","",N(S1938)*'Paramètres'!$AA$9*IFERROR(INDEX('Paramètres'!$O$5:$O$7,MATCH(G1938,'Paramètres'!$N$5:$N$7,0)),0))</f>
        <v/>
      </c>
      <c r="AC1938" s="7" t="n"/>
      <c r="AD1938" s="69">
        <f>IF(OR($A1938="",Q1938=""),"",(Q1938-B1938)*24)</f>
        <v/>
      </c>
      <c r="AE1938" s="69">
        <f>IF(OR(Q1938="",R1938=""),"",(R1938-Q1938)*24)</f>
        <v/>
      </c>
      <c r="AF1938" s="77">
        <f>IF(OR($A1938="",B1938=""),"",YEAR(B1938))</f>
        <v/>
      </c>
      <c r="AG1938" s="77">
        <f>IF(OR($A1938="",B1938=""),"",MONTH(B1938))</f>
        <v/>
      </c>
    </row>
    <row r="1939">
      <c r="A1939" s="7" t="n"/>
      <c r="B1939" s="75" t="n"/>
      <c r="C1939" s="7" t="n"/>
      <c r="D1939" s="7" t="n"/>
      <c r="E1939" s="9">
        <f>IF(D1939="","",IFERROR(INDEX('Équipements'!$B$5:$B$304,MATCH(D1939,'Équipements'!$A$5:$A$304,0)),"Code inconnu"))</f>
        <v/>
      </c>
      <c r="F1939" s="9">
        <f>IF(D1939="","",IFERROR(INDEX('Équipements'!$D$5:$D$304,MATCH(D1939,'Équipements'!$A$5:$A$304,0)),""))</f>
        <v/>
      </c>
      <c r="G1939" s="9">
        <f>IF(D1939="","",IFERROR(INDEX('Équipements'!$K$5:$K$304,MATCH(D1939,'Équipements'!$A$5:$A$304,0)),""))</f>
        <v/>
      </c>
      <c r="H1939" s="7" t="n"/>
      <c r="I1939" s="7" t="n"/>
      <c r="J1939" s="7" t="n"/>
      <c r="K1939" s="7" t="n"/>
      <c r="L1939" s="7" t="n"/>
      <c r="M1939" s="7" t="n"/>
      <c r="N1939" s="7" t="n"/>
      <c r="O1939" s="7" t="n"/>
      <c r="P1939" s="65" t="n"/>
      <c r="Q1939" s="75" t="n"/>
      <c r="R1939" s="75" t="n"/>
      <c r="S1939" s="76" t="n"/>
      <c r="T1939" s="76" t="n"/>
      <c r="U1939" s="70">
        <f>IF($A1939="","",IFERROR(INDEX('Techniciens'!$F$5:$F$44,MATCH(O1939,'Techniciens'!$B$5:$B$44,0)),'Paramètres'!$AA$10))</f>
        <v/>
      </c>
      <c r="V1939" s="70">
        <f>IF($A1939="","",IF(OR(AC1939="Demandé",AC1939="Planifié",AC1939="Annulé"),0,N(T1939)*N(U1939)))</f>
        <v/>
      </c>
      <c r="W1939" s="70">
        <f>IF($A1939="","",SUMIFS('Mouvements stock'!$H$5:$H$3004,'Mouvements stock'!$I$5:$I$3004,$A1939,'Mouvements stock'!$C$5:$C$3004,"Sortie")-SUMIFS('Mouvements stock'!$H$5:$H$3004,'Mouvements stock'!$I$5:$I$3004,$A1939,'Mouvements stock'!$C$5:$C$3004,"Retour"))</f>
        <v/>
      </c>
      <c r="X1939" s="66" t="n"/>
      <c r="Y1939" s="66" t="n"/>
      <c r="Z1939" s="7" t="n"/>
      <c r="AA1939" s="70">
        <f>IF($A1939="","",N(V1939)+N(W1939)+N(X1939)+N(Y1939))</f>
        <v/>
      </c>
      <c r="AB1939" s="70">
        <f>IF($A1939="","",N(S1939)*'Paramètres'!$AA$9*IFERROR(INDEX('Paramètres'!$O$5:$O$7,MATCH(G1939,'Paramètres'!$N$5:$N$7,0)),0))</f>
        <v/>
      </c>
      <c r="AC1939" s="7" t="n"/>
      <c r="AD1939" s="69">
        <f>IF(OR($A1939="",Q1939=""),"",(Q1939-B1939)*24)</f>
        <v/>
      </c>
      <c r="AE1939" s="69">
        <f>IF(OR(Q1939="",R1939=""),"",(R1939-Q1939)*24)</f>
        <v/>
      </c>
      <c r="AF1939" s="77">
        <f>IF(OR($A1939="",B1939=""),"",YEAR(B1939))</f>
        <v/>
      </c>
      <c r="AG1939" s="77">
        <f>IF(OR($A1939="",B1939=""),"",MONTH(B1939))</f>
        <v/>
      </c>
    </row>
    <row r="1940">
      <c r="A1940" s="7" t="n"/>
      <c r="B1940" s="75" t="n"/>
      <c r="C1940" s="7" t="n"/>
      <c r="D1940" s="7" t="n"/>
      <c r="E1940" s="9">
        <f>IF(D1940="","",IFERROR(INDEX('Équipements'!$B$5:$B$304,MATCH(D1940,'Équipements'!$A$5:$A$304,0)),"Code inconnu"))</f>
        <v/>
      </c>
      <c r="F1940" s="9">
        <f>IF(D1940="","",IFERROR(INDEX('Équipements'!$D$5:$D$304,MATCH(D1940,'Équipements'!$A$5:$A$304,0)),""))</f>
        <v/>
      </c>
      <c r="G1940" s="9">
        <f>IF(D1940="","",IFERROR(INDEX('Équipements'!$K$5:$K$304,MATCH(D1940,'Équipements'!$A$5:$A$304,0)),""))</f>
        <v/>
      </c>
      <c r="H1940" s="7" t="n"/>
      <c r="I1940" s="7" t="n"/>
      <c r="J1940" s="7" t="n"/>
      <c r="K1940" s="7" t="n"/>
      <c r="L1940" s="7" t="n"/>
      <c r="M1940" s="7" t="n"/>
      <c r="N1940" s="7" t="n"/>
      <c r="O1940" s="7" t="n"/>
      <c r="P1940" s="65" t="n"/>
      <c r="Q1940" s="75" t="n"/>
      <c r="R1940" s="75" t="n"/>
      <c r="S1940" s="76" t="n"/>
      <c r="T1940" s="76" t="n"/>
      <c r="U1940" s="70">
        <f>IF($A1940="","",IFERROR(INDEX('Techniciens'!$F$5:$F$44,MATCH(O1940,'Techniciens'!$B$5:$B$44,0)),'Paramètres'!$AA$10))</f>
        <v/>
      </c>
      <c r="V1940" s="70">
        <f>IF($A1940="","",IF(OR(AC1940="Demandé",AC1940="Planifié",AC1940="Annulé"),0,N(T1940)*N(U1940)))</f>
        <v/>
      </c>
      <c r="W1940" s="70">
        <f>IF($A1940="","",SUMIFS('Mouvements stock'!$H$5:$H$3004,'Mouvements stock'!$I$5:$I$3004,$A1940,'Mouvements stock'!$C$5:$C$3004,"Sortie")-SUMIFS('Mouvements stock'!$H$5:$H$3004,'Mouvements stock'!$I$5:$I$3004,$A1940,'Mouvements stock'!$C$5:$C$3004,"Retour"))</f>
        <v/>
      </c>
      <c r="X1940" s="66" t="n"/>
      <c r="Y1940" s="66" t="n"/>
      <c r="Z1940" s="7" t="n"/>
      <c r="AA1940" s="70">
        <f>IF($A1940="","",N(V1940)+N(W1940)+N(X1940)+N(Y1940))</f>
        <v/>
      </c>
      <c r="AB1940" s="70">
        <f>IF($A1940="","",N(S1940)*'Paramètres'!$AA$9*IFERROR(INDEX('Paramètres'!$O$5:$O$7,MATCH(G1940,'Paramètres'!$N$5:$N$7,0)),0))</f>
        <v/>
      </c>
      <c r="AC1940" s="7" t="n"/>
      <c r="AD1940" s="69">
        <f>IF(OR($A1940="",Q1940=""),"",(Q1940-B1940)*24)</f>
        <v/>
      </c>
      <c r="AE1940" s="69">
        <f>IF(OR(Q1940="",R1940=""),"",(R1940-Q1940)*24)</f>
        <v/>
      </c>
      <c r="AF1940" s="77">
        <f>IF(OR($A1940="",B1940=""),"",YEAR(B1940))</f>
        <v/>
      </c>
      <c r="AG1940" s="77">
        <f>IF(OR($A1940="",B1940=""),"",MONTH(B1940))</f>
        <v/>
      </c>
    </row>
    <row r="1941">
      <c r="A1941" s="7" t="n"/>
      <c r="B1941" s="75" t="n"/>
      <c r="C1941" s="7" t="n"/>
      <c r="D1941" s="7" t="n"/>
      <c r="E1941" s="9">
        <f>IF(D1941="","",IFERROR(INDEX('Équipements'!$B$5:$B$304,MATCH(D1941,'Équipements'!$A$5:$A$304,0)),"Code inconnu"))</f>
        <v/>
      </c>
      <c r="F1941" s="9">
        <f>IF(D1941="","",IFERROR(INDEX('Équipements'!$D$5:$D$304,MATCH(D1941,'Équipements'!$A$5:$A$304,0)),""))</f>
        <v/>
      </c>
      <c r="G1941" s="9">
        <f>IF(D1941="","",IFERROR(INDEX('Équipements'!$K$5:$K$304,MATCH(D1941,'Équipements'!$A$5:$A$304,0)),""))</f>
        <v/>
      </c>
      <c r="H1941" s="7" t="n"/>
      <c r="I1941" s="7" t="n"/>
      <c r="J1941" s="7" t="n"/>
      <c r="K1941" s="7" t="n"/>
      <c r="L1941" s="7" t="n"/>
      <c r="M1941" s="7" t="n"/>
      <c r="N1941" s="7" t="n"/>
      <c r="O1941" s="7" t="n"/>
      <c r="P1941" s="65" t="n"/>
      <c r="Q1941" s="75" t="n"/>
      <c r="R1941" s="75" t="n"/>
      <c r="S1941" s="76" t="n"/>
      <c r="T1941" s="76" t="n"/>
      <c r="U1941" s="70">
        <f>IF($A1941="","",IFERROR(INDEX('Techniciens'!$F$5:$F$44,MATCH(O1941,'Techniciens'!$B$5:$B$44,0)),'Paramètres'!$AA$10))</f>
        <v/>
      </c>
      <c r="V1941" s="70">
        <f>IF($A1941="","",IF(OR(AC1941="Demandé",AC1941="Planifié",AC1941="Annulé"),0,N(T1941)*N(U1941)))</f>
        <v/>
      </c>
      <c r="W1941" s="70">
        <f>IF($A1941="","",SUMIFS('Mouvements stock'!$H$5:$H$3004,'Mouvements stock'!$I$5:$I$3004,$A1941,'Mouvements stock'!$C$5:$C$3004,"Sortie")-SUMIFS('Mouvements stock'!$H$5:$H$3004,'Mouvements stock'!$I$5:$I$3004,$A1941,'Mouvements stock'!$C$5:$C$3004,"Retour"))</f>
        <v/>
      </c>
      <c r="X1941" s="66" t="n"/>
      <c r="Y1941" s="66" t="n"/>
      <c r="Z1941" s="7" t="n"/>
      <c r="AA1941" s="70">
        <f>IF($A1941="","",N(V1941)+N(W1941)+N(X1941)+N(Y1941))</f>
        <v/>
      </c>
      <c r="AB1941" s="70">
        <f>IF($A1941="","",N(S1941)*'Paramètres'!$AA$9*IFERROR(INDEX('Paramètres'!$O$5:$O$7,MATCH(G1941,'Paramètres'!$N$5:$N$7,0)),0))</f>
        <v/>
      </c>
      <c r="AC1941" s="7" t="n"/>
      <c r="AD1941" s="69">
        <f>IF(OR($A1941="",Q1941=""),"",(Q1941-B1941)*24)</f>
        <v/>
      </c>
      <c r="AE1941" s="69">
        <f>IF(OR(Q1941="",R1941=""),"",(R1941-Q1941)*24)</f>
        <v/>
      </c>
      <c r="AF1941" s="77">
        <f>IF(OR($A1941="",B1941=""),"",YEAR(B1941))</f>
        <v/>
      </c>
      <c r="AG1941" s="77">
        <f>IF(OR($A1941="",B1941=""),"",MONTH(B1941))</f>
        <v/>
      </c>
    </row>
    <row r="1942">
      <c r="A1942" s="7" t="n"/>
      <c r="B1942" s="75" t="n"/>
      <c r="C1942" s="7" t="n"/>
      <c r="D1942" s="7" t="n"/>
      <c r="E1942" s="9">
        <f>IF(D1942="","",IFERROR(INDEX('Équipements'!$B$5:$B$304,MATCH(D1942,'Équipements'!$A$5:$A$304,0)),"Code inconnu"))</f>
        <v/>
      </c>
      <c r="F1942" s="9">
        <f>IF(D1942="","",IFERROR(INDEX('Équipements'!$D$5:$D$304,MATCH(D1942,'Équipements'!$A$5:$A$304,0)),""))</f>
        <v/>
      </c>
      <c r="G1942" s="9">
        <f>IF(D1942="","",IFERROR(INDEX('Équipements'!$K$5:$K$304,MATCH(D1942,'Équipements'!$A$5:$A$304,0)),""))</f>
        <v/>
      </c>
      <c r="H1942" s="7" t="n"/>
      <c r="I1942" s="7" t="n"/>
      <c r="J1942" s="7" t="n"/>
      <c r="K1942" s="7" t="n"/>
      <c r="L1942" s="7" t="n"/>
      <c r="M1942" s="7" t="n"/>
      <c r="N1942" s="7" t="n"/>
      <c r="O1942" s="7" t="n"/>
      <c r="P1942" s="65" t="n"/>
      <c r="Q1942" s="75" t="n"/>
      <c r="R1942" s="75" t="n"/>
      <c r="S1942" s="76" t="n"/>
      <c r="T1942" s="76" t="n"/>
      <c r="U1942" s="70">
        <f>IF($A1942="","",IFERROR(INDEX('Techniciens'!$F$5:$F$44,MATCH(O1942,'Techniciens'!$B$5:$B$44,0)),'Paramètres'!$AA$10))</f>
        <v/>
      </c>
      <c r="V1942" s="70">
        <f>IF($A1942="","",IF(OR(AC1942="Demandé",AC1942="Planifié",AC1942="Annulé"),0,N(T1942)*N(U1942)))</f>
        <v/>
      </c>
      <c r="W1942" s="70">
        <f>IF($A1942="","",SUMIFS('Mouvements stock'!$H$5:$H$3004,'Mouvements stock'!$I$5:$I$3004,$A1942,'Mouvements stock'!$C$5:$C$3004,"Sortie")-SUMIFS('Mouvements stock'!$H$5:$H$3004,'Mouvements stock'!$I$5:$I$3004,$A1942,'Mouvements stock'!$C$5:$C$3004,"Retour"))</f>
        <v/>
      </c>
      <c r="X1942" s="66" t="n"/>
      <c r="Y1942" s="66" t="n"/>
      <c r="Z1942" s="7" t="n"/>
      <c r="AA1942" s="70">
        <f>IF($A1942="","",N(V1942)+N(W1942)+N(X1942)+N(Y1942))</f>
        <v/>
      </c>
      <c r="AB1942" s="70">
        <f>IF($A1942="","",N(S1942)*'Paramètres'!$AA$9*IFERROR(INDEX('Paramètres'!$O$5:$O$7,MATCH(G1942,'Paramètres'!$N$5:$N$7,0)),0))</f>
        <v/>
      </c>
      <c r="AC1942" s="7" t="n"/>
      <c r="AD1942" s="69">
        <f>IF(OR($A1942="",Q1942=""),"",(Q1942-B1942)*24)</f>
        <v/>
      </c>
      <c r="AE1942" s="69">
        <f>IF(OR(Q1942="",R1942=""),"",(R1942-Q1942)*24)</f>
        <v/>
      </c>
      <c r="AF1942" s="77">
        <f>IF(OR($A1942="",B1942=""),"",YEAR(B1942))</f>
        <v/>
      </c>
      <c r="AG1942" s="77">
        <f>IF(OR($A1942="",B1942=""),"",MONTH(B1942))</f>
        <v/>
      </c>
    </row>
    <row r="1943">
      <c r="A1943" s="7" t="n"/>
      <c r="B1943" s="75" t="n"/>
      <c r="C1943" s="7" t="n"/>
      <c r="D1943" s="7" t="n"/>
      <c r="E1943" s="9">
        <f>IF(D1943="","",IFERROR(INDEX('Équipements'!$B$5:$B$304,MATCH(D1943,'Équipements'!$A$5:$A$304,0)),"Code inconnu"))</f>
        <v/>
      </c>
      <c r="F1943" s="9">
        <f>IF(D1943="","",IFERROR(INDEX('Équipements'!$D$5:$D$304,MATCH(D1943,'Équipements'!$A$5:$A$304,0)),""))</f>
        <v/>
      </c>
      <c r="G1943" s="9">
        <f>IF(D1943="","",IFERROR(INDEX('Équipements'!$K$5:$K$304,MATCH(D1943,'Équipements'!$A$5:$A$304,0)),""))</f>
        <v/>
      </c>
      <c r="H1943" s="7" t="n"/>
      <c r="I1943" s="7" t="n"/>
      <c r="J1943" s="7" t="n"/>
      <c r="K1943" s="7" t="n"/>
      <c r="L1943" s="7" t="n"/>
      <c r="M1943" s="7" t="n"/>
      <c r="N1943" s="7" t="n"/>
      <c r="O1943" s="7" t="n"/>
      <c r="P1943" s="65" t="n"/>
      <c r="Q1943" s="75" t="n"/>
      <c r="R1943" s="75" t="n"/>
      <c r="S1943" s="76" t="n"/>
      <c r="T1943" s="76" t="n"/>
      <c r="U1943" s="70">
        <f>IF($A1943="","",IFERROR(INDEX('Techniciens'!$F$5:$F$44,MATCH(O1943,'Techniciens'!$B$5:$B$44,0)),'Paramètres'!$AA$10))</f>
        <v/>
      </c>
      <c r="V1943" s="70">
        <f>IF($A1943="","",IF(OR(AC1943="Demandé",AC1943="Planifié",AC1943="Annulé"),0,N(T1943)*N(U1943)))</f>
        <v/>
      </c>
      <c r="W1943" s="70">
        <f>IF($A1943="","",SUMIFS('Mouvements stock'!$H$5:$H$3004,'Mouvements stock'!$I$5:$I$3004,$A1943,'Mouvements stock'!$C$5:$C$3004,"Sortie")-SUMIFS('Mouvements stock'!$H$5:$H$3004,'Mouvements stock'!$I$5:$I$3004,$A1943,'Mouvements stock'!$C$5:$C$3004,"Retour"))</f>
        <v/>
      </c>
      <c r="X1943" s="66" t="n"/>
      <c r="Y1943" s="66" t="n"/>
      <c r="Z1943" s="7" t="n"/>
      <c r="AA1943" s="70">
        <f>IF($A1943="","",N(V1943)+N(W1943)+N(X1943)+N(Y1943))</f>
        <v/>
      </c>
      <c r="AB1943" s="70">
        <f>IF($A1943="","",N(S1943)*'Paramètres'!$AA$9*IFERROR(INDEX('Paramètres'!$O$5:$O$7,MATCH(G1943,'Paramètres'!$N$5:$N$7,0)),0))</f>
        <v/>
      </c>
      <c r="AC1943" s="7" t="n"/>
      <c r="AD1943" s="69">
        <f>IF(OR($A1943="",Q1943=""),"",(Q1943-B1943)*24)</f>
        <v/>
      </c>
      <c r="AE1943" s="69">
        <f>IF(OR(Q1943="",R1943=""),"",(R1943-Q1943)*24)</f>
        <v/>
      </c>
      <c r="AF1943" s="77">
        <f>IF(OR($A1943="",B1943=""),"",YEAR(B1943))</f>
        <v/>
      </c>
      <c r="AG1943" s="77">
        <f>IF(OR($A1943="",B1943=""),"",MONTH(B1943))</f>
        <v/>
      </c>
    </row>
    <row r="1944">
      <c r="A1944" s="7" t="n"/>
      <c r="B1944" s="75" t="n"/>
      <c r="C1944" s="7" t="n"/>
      <c r="D1944" s="7" t="n"/>
      <c r="E1944" s="9">
        <f>IF(D1944="","",IFERROR(INDEX('Équipements'!$B$5:$B$304,MATCH(D1944,'Équipements'!$A$5:$A$304,0)),"Code inconnu"))</f>
        <v/>
      </c>
      <c r="F1944" s="9">
        <f>IF(D1944="","",IFERROR(INDEX('Équipements'!$D$5:$D$304,MATCH(D1944,'Équipements'!$A$5:$A$304,0)),""))</f>
        <v/>
      </c>
      <c r="G1944" s="9">
        <f>IF(D1944="","",IFERROR(INDEX('Équipements'!$K$5:$K$304,MATCH(D1944,'Équipements'!$A$5:$A$304,0)),""))</f>
        <v/>
      </c>
      <c r="H1944" s="7" t="n"/>
      <c r="I1944" s="7" t="n"/>
      <c r="J1944" s="7" t="n"/>
      <c r="K1944" s="7" t="n"/>
      <c r="L1944" s="7" t="n"/>
      <c r="M1944" s="7" t="n"/>
      <c r="N1944" s="7" t="n"/>
      <c r="O1944" s="7" t="n"/>
      <c r="P1944" s="65" t="n"/>
      <c r="Q1944" s="75" t="n"/>
      <c r="R1944" s="75" t="n"/>
      <c r="S1944" s="76" t="n"/>
      <c r="T1944" s="76" t="n"/>
      <c r="U1944" s="70">
        <f>IF($A1944="","",IFERROR(INDEX('Techniciens'!$F$5:$F$44,MATCH(O1944,'Techniciens'!$B$5:$B$44,0)),'Paramètres'!$AA$10))</f>
        <v/>
      </c>
      <c r="V1944" s="70">
        <f>IF($A1944="","",IF(OR(AC1944="Demandé",AC1944="Planifié",AC1944="Annulé"),0,N(T1944)*N(U1944)))</f>
        <v/>
      </c>
      <c r="W1944" s="70">
        <f>IF($A1944="","",SUMIFS('Mouvements stock'!$H$5:$H$3004,'Mouvements stock'!$I$5:$I$3004,$A1944,'Mouvements stock'!$C$5:$C$3004,"Sortie")-SUMIFS('Mouvements stock'!$H$5:$H$3004,'Mouvements stock'!$I$5:$I$3004,$A1944,'Mouvements stock'!$C$5:$C$3004,"Retour"))</f>
        <v/>
      </c>
      <c r="X1944" s="66" t="n"/>
      <c r="Y1944" s="66" t="n"/>
      <c r="Z1944" s="7" t="n"/>
      <c r="AA1944" s="70">
        <f>IF($A1944="","",N(V1944)+N(W1944)+N(X1944)+N(Y1944))</f>
        <v/>
      </c>
      <c r="AB1944" s="70">
        <f>IF($A1944="","",N(S1944)*'Paramètres'!$AA$9*IFERROR(INDEX('Paramètres'!$O$5:$O$7,MATCH(G1944,'Paramètres'!$N$5:$N$7,0)),0))</f>
        <v/>
      </c>
      <c r="AC1944" s="7" t="n"/>
      <c r="AD1944" s="69">
        <f>IF(OR($A1944="",Q1944=""),"",(Q1944-B1944)*24)</f>
        <v/>
      </c>
      <c r="AE1944" s="69">
        <f>IF(OR(Q1944="",R1944=""),"",(R1944-Q1944)*24)</f>
        <v/>
      </c>
      <c r="AF1944" s="77">
        <f>IF(OR($A1944="",B1944=""),"",YEAR(B1944))</f>
        <v/>
      </c>
      <c r="AG1944" s="77">
        <f>IF(OR($A1944="",B1944=""),"",MONTH(B1944))</f>
        <v/>
      </c>
    </row>
    <row r="1945">
      <c r="A1945" s="7" t="n"/>
      <c r="B1945" s="75" t="n"/>
      <c r="C1945" s="7" t="n"/>
      <c r="D1945" s="7" t="n"/>
      <c r="E1945" s="9">
        <f>IF(D1945="","",IFERROR(INDEX('Équipements'!$B$5:$B$304,MATCH(D1945,'Équipements'!$A$5:$A$304,0)),"Code inconnu"))</f>
        <v/>
      </c>
      <c r="F1945" s="9">
        <f>IF(D1945="","",IFERROR(INDEX('Équipements'!$D$5:$D$304,MATCH(D1945,'Équipements'!$A$5:$A$304,0)),""))</f>
        <v/>
      </c>
      <c r="G1945" s="9">
        <f>IF(D1945="","",IFERROR(INDEX('Équipements'!$K$5:$K$304,MATCH(D1945,'Équipements'!$A$5:$A$304,0)),""))</f>
        <v/>
      </c>
      <c r="H1945" s="7" t="n"/>
      <c r="I1945" s="7" t="n"/>
      <c r="J1945" s="7" t="n"/>
      <c r="K1945" s="7" t="n"/>
      <c r="L1945" s="7" t="n"/>
      <c r="M1945" s="7" t="n"/>
      <c r="N1945" s="7" t="n"/>
      <c r="O1945" s="7" t="n"/>
      <c r="P1945" s="65" t="n"/>
      <c r="Q1945" s="75" t="n"/>
      <c r="R1945" s="75" t="n"/>
      <c r="S1945" s="76" t="n"/>
      <c r="T1945" s="76" t="n"/>
      <c r="U1945" s="70">
        <f>IF($A1945="","",IFERROR(INDEX('Techniciens'!$F$5:$F$44,MATCH(O1945,'Techniciens'!$B$5:$B$44,0)),'Paramètres'!$AA$10))</f>
        <v/>
      </c>
      <c r="V1945" s="70">
        <f>IF($A1945="","",IF(OR(AC1945="Demandé",AC1945="Planifié",AC1945="Annulé"),0,N(T1945)*N(U1945)))</f>
        <v/>
      </c>
      <c r="W1945" s="70">
        <f>IF($A1945="","",SUMIFS('Mouvements stock'!$H$5:$H$3004,'Mouvements stock'!$I$5:$I$3004,$A1945,'Mouvements stock'!$C$5:$C$3004,"Sortie")-SUMIFS('Mouvements stock'!$H$5:$H$3004,'Mouvements stock'!$I$5:$I$3004,$A1945,'Mouvements stock'!$C$5:$C$3004,"Retour"))</f>
        <v/>
      </c>
      <c r="X1945" s="66" t="n"/>
      <c r="Y1945" s="66" t="n"/>
      <c r="Z1945" s="7" t="n"/>
      <c r="AA1945" s="70">
        <f>IF($A1945="","",N(V1945)+N(W1945)+N(X1945)+N(Y1945))</f>
        <v/>
      </c>
      <c r="AB1945" s="70">
        <f>IF($A1945="","",N(S1945)*'Paramètres'!$AA$9*IFERROR(INDEX('Paramètres'!$O$5:$O$7,MATCH(G1945,'Paramètres'!$N$5:$N$7,0)),0))</f>
        <v/>
      </c>
      <c r="AC1945" s="7" t="n"/>
      <c r="AD1945" s="69">
        <f>IF(OR($A1945="",Q1945=""),"",(Q1945-B1945)*24)</f>
        <v/>
      </c>
      <c r="AE1945" s="69">
        <f>IF(OR(Q1945="",R1945=""),"",(R1945-Q1945)*24)</f>
        <v/>
      </c>
      <c r="AF1945" s="77">
        <f>IF(OR($A1945="",B1945=""),"",YEAR(B1945))</f>
        <v/>
      </c>
      <c r="AG1945" s="77">
        <f>IF(OR($A1945="",B1945=""),"",MONTH(B1945))</f>
        <v/>
      </c>
    </row>
    <row r="1946">
      <c r="A1946" s="7" t="n"/>
      <c r="B1946" s="75" t="n"/>
      <c r="C1946" s="7" t="n"/>
      <c r="D1946" s="7" t="n"/>
      <c r="E1946" s="9">
        <f>IF(D1946="","",IFERROR(INDEX('Équipements'!$B$5:$B$304,MATCH(D1946,'Équipements'!$A$5:$A$304,0)),"Code inconnu"))</f>
        <v/>
      </c>
      <c r="F1946" s="9">
        <f>IF(D1946="","",IFERROR(INDEX('Équipements'!$D$5:$D$304,MATCH(D1946,'Équipements'!$A$5:$A$304,0)),""))</f>
        <v/>
      </c>
      <c r="G1946" s="9">
        <f>IF(D1946="","",IFERROR(INDEX('Équipements'!$K$5:$K$304,MATCH(D1946,'Équipements'!$A$5:$A$304,0)),""))</f>
        <v/>
      </c>
      <c r="H1946" s="7" t="n"/>
      <c r="I1946" s="7" t="n"/>
      <c r="J1946" s="7" t="n"/>
      <c r="K1946" s="7" t="n"/>
      <c r="L1946" s="7" t="n"/>
      <c r="M1946" s="7" t="n"/>
      <c r="N1946" s="7" t="n"/>
      <c r="O1946" s="7" t="n"/>
      <c r="P1946" s="65" t="n"/>
      <c r="Q1946" s="75" t="n"/>
      <c r="R1946" s="75" t="n"/>
      <c r="S1946" s="76" t="n"/>
      <c r="T1946" s="76" t="n"/>
      <c r="U1946" s="70">
        <f>IF($A1946="","",IFERROR(INDEX('Techniciens'!$F$5:$F$44,MATCH(O1946,'Techniciens'!$B$5:$B$44,0)),'Paramètres'!$AA$10))</f>
        <v/>
      </c>
      <c r="V1946" s="70">
        <f>IF($A1946="","",IF(OR(AC1946="Demandé",AC1946="Planifié",AC1946="Annulé"),0,N(T1946)*N(U1946)))</f>
        <v/>
      </c>
      <c r="W1946" s="70">
        <f>IF($A1946="","",SUMIFS('Mouvements stock'!$H$5:$H$3004,'Mouvements stock'!$I$5:$I$3004,$A1946,'Mouvements stock'!$C$5:$C$3004,"Sortie")-SUMIFS('Mouvements stock'!$H$5:$H$3004,'Mouvements stock'!$I$5:$I$3004,$A1946,'Mouvements stock'!$C$5:$C$3004,"Retour"))</f>
        <v/>
      </c>
      <c r="X1946" s="66" t="n"/>
      <c r="Y1946" s="66" t="n"/>
      <c r="Z1946" s="7" t="n"/>
      <c r="AA1946" s="70">
        <f>IF($A1946="","",N(V1946)+N(W1946)+N(X1946)+N(Y1946))</f>
        <v/>
      </c>
      <c r="AB1946" s="70">
        <f>IF($A1946="","",N(S1946)*'Paramètres'!$AA$9*IFERROR(INDEX('Paramètres'!$O$5:$O$7,MATCH(G1946,'Paramètres'!$N$5:$N$7,0)),0))</f>
        <v/>
      </c>
      <c r="AC1946" s="7" t="n"/>
      <c r="AD1946" s="69">
        <f>IF(OR($A1946="",Q1946=""),"",(Q1946-B1946)*24)</f>
        <v/>
      </c>
      <c r="AE1946" s="69">
        <f>IF(OR(Q1946="",R1946=""),"",(R1946-Q1946)*24)</f>
        <v/>
      </c>
      <c r="AF1946" s="77">
        <f>IF(OR($A1946="",B1946=""),"",YEAR(B1946))</f>
        <v/>
      </c>
      <c r="AG1946" s="77">
        <f>IF(OR($A1946="",B1946=""),"",MONTH(B1946))</f>
        <v/>
      </c>
    </row>
    <row r="1947">
      <c r="A1947" s="7" t="n"/>
      <c r="B1947" s="75" t="n"/>
      <c r="C1947" s="7" t="n"/>
      <c r="D1947" s="7" t="n"/>
      <c r="E1947" s="9">
        <f>IF(D1947="","",IFERROR(INDEX('Équipements'!$B$5:$B$304,MATCH(D1947,'Équipements'!$A$5:$A$304,0)),"Code inconnu"))</f>
        <v/>
      </c>
      <c r="F1947" s="9">
        <f>IF(D1947="","",IFERROR(INDEX('Équipements'!$D$5:$D$304,MATCH(D1947,'Équipements'!$A$5:$A$304,0)),""))</f>
        <v/>
      </c>
      <c r="G1947" s="9">
        <f>IF(D1947="","",IFERROR(INDEX('Équipements'!$K$5:$K$304,MATCH(D1947,'Équipements'!$A$5:$A$304,0)),""))</f>
        <v/>
      </c>
      <c r="H1947" s="7" t="n"/>
      <c r="I1947" s="7" t="n"/>
      <c r="J1947" s="7" t="n"/>
      <c r="K1947" s="7" t="n"/>
      <c r="L1947" s="7" t="n"/>
      <c r="M1947" s="7" t="n"/>
      <c r="N1947" s="7" t="n"/>
      <c r="O1947" s="7" t="n"/>
      <c r="P1947" s="65" t="n"/>
      <c r="Q1947" s="75" t="n"/>
      <c r="R1947" s="75" t="n"/>
      <c r="S1947" s="76" t="n"/>
      <c r="T1947" s="76" t="n"/>
      <c r="U1947" s="70">
        <f>IF($A1947="","",IFERROR(INDEX('Techniciens'!$F$5:$F$44,MATCH(O1947,'Techniciens'!$B$5:$B$44,0)),'Paramètres'!$AA$10))</f>
        <v/>
      </c>
      <c r="V1947" s="70">
        <f>IF($A1947="","",IF(OR(AC1947="Demandé",AC1947="Planifié",AC1947="Annulé"),0,N(T1947)*N(U1947)))</f>
        <v/>
      </c>
      <c r="W1947" s="70">
        <f>IF($A1947="","",SUMIFS('Mouvements stock'!$H$5:$H$3004,'Mouvements stock'!$I$5:$I$3004,$A1947,'Mouvements stock'!$C$5:$C$3004,"Sortie")-SUMIFS('Mouvements stock'!$H$5:$H$3004,'Mouvements stock'!$I$5:$I$3004,$A1947,'Mouvements stock'!$C$5:$C$3004,"Retour"))</f>
        <v/>
      </c>
      <c r="X1947" s="66" t="n"/>
      <c r="Y1947" s="66" t="n"/>
      <c r="Z1947" s="7" t="n"/>
      <c r="AA1947" s="70">
        <f>IF($A1947="","",N(V1947)+N(W1947)+N(X1947)+N(Y1947))</f>
        <v/>
      </c>
      <c r="AB1947" s="70">
        <f>IF($A1947="","",N(S1947)*'Paramètres'!$AA$9*IFERROR(INDEX('Paramètres'!$O$5:$O$7,MATCH(G1947,'Paramètres'!$N$5:$N$7,0)),0))</f>
        <v/>
      </c>
      <c r="AC1947" s="7" t="n"/>
      <c r="AD1947" s="69">
        <f>IF(OR($A1947="",Q1947=""),"",(Q1947-B1947)*24)</f>
        <v/>
      </c>
      <c r="AE1947" s="69">
        <f>IF(OR(Q1947="",R1947=""),"",(R1947-Q1947)*24)</f>
        <v/>
      </c>
      <c r="AF1947" s="77">
        <f>IF(OR($A1947="",B1947=""),"",YEAR(B1947))</f>
        <v/>
      </c>
      <c r="AG1947" s="77">
        <f>IF(OR($A1947="",B1947=""),"",MONTH(B1947))</f>
        <v/>
      </c>
    </row>
    <row r="1948">
      <c r="A1948" s="7" t="n"/>
      <c r="B1948" s="75" t="n"/>
      <c r="C1948" s="7" t="n"/>
      <c r="D1948" s="7" t="n"/>
      <c r="E1948" s="9">
        <f>IF(D1948="","",IFERROR(INDEX('Équipements'!$B$5:$B$304,MATCH(D1948,'Équipements'!$A$5:$A$304,0)),"Code inconnu"))</f>
        <v/>
      </c>
      <c r="F1948" s="9">
        <f>IF(D1948="","",IFERROR(INDEX('Équipements'!$D$5:$D$304,MATCH(D1948,'Équipements'!$A$5:$A$304,0)),""))</f>
        <v/>
      </c>
      <c r="G1948" s="9">
        <f>IF(D1948="","",IFERROR(INDEX('Équipements'!$K$5:$K$304,MATCH(D1948,'Équipements'!$A$5:$A$304,0)),""))</f>
        <v/>
      </c>
      <c r="H1948" s="7" t="n"/>
      <c r="I1948" s="7" t="n"/>
      <c r="J1948" s="7" t="n"/>
      <c r="K1948" s="7" t="n"/>
      <c r="L1948" s="7" t="n"/>
      <c r="M1948" s="7" t="n"/>
      <c r="N1948" s="7" t="n"/>
      <c r="O1948" s="7" t="n"/>
      <c r="P1948" s="65" t="n"/>
      <c r="Q1948" s="75" t="n"/>
      <c r="R1948" s="75" t="n"/>
      <c r="S1948" s="76" t="n"/>
      <c r="T1948" s="76" t="n"/>
      <c r="U1948" s="70">
        <f>IF($A1948="","",IFERROR(INDEX('Techniciens'!$F$5:$F$44,MATCH(O1948,'Techniciens'!$B$5:$B$44,0)),'Paramètres'!$AA$10))</f>
        <v/>
      </c>
      <c r="V1948" s="70">
        <f>IF($A1948="","",IF(OR(AC1948="Demandé",AC1948="Planifié",AC1948="Annulé"),0,N(T1948)*N(U1948)))</f>
        <v/>
      </c>
      <c r="W1948" s="70">
        <f>IF($A1948="","",SUMIFS('Mouvements stock'!$H$5:$H$3004,'Mouvements stock'!$I$5:$I$3004,$A1948,'Mouvements stock'!$C$5:$C$3004,"Sortie")-SUMIFS('Mouvements stock'!$H$5:$H$3004,'Mouvements stock'!$I$5:$I$3004,$A1948,'Mouvements stock'!$C$5:$C$3004,"Retour"))</f>
        <v/>
      </c>
      <c r="X1948" s="66" t="n"/>
      <c r="Y1948" s="66" t="n"/>
      <c r="Z1948" s="7" t="n"/>
      <c r="AA1948" s="70">
        <f>IF($A1948="","",N(V1948)+N(W1948)+N(X1948)+N(Y1948))</f>
        <v/>
      </c>
      <c r="AB1948" s="70">
        <f>IF($A1948="","",N(S1948)*'Paramètres'!$AA$9*IFERROR(INDEX('Paramètres'!$O$5:$O$7,MATCH(G1948,'Paramètres'!$N$5:$N$7,0)),0))</f>
        <v/>
      </c>
      <c r="AC1948" s="7" t="n"/>
      <c r="AD1948" s="69">
        <f>IF(OR($A1948="",Q1948=""),"",(Q1948-B1948)*24)</f>
        <v/>
      </c>
      <c r="AE1948" s="69">
        <f>IF(OR(Q1948="",R1948=""),"",(R1948-Q1948)*24)</f>
        <v/>
      </c>
      <c r="AF1948" s="77">
        <f>IF(OR($A1948="",B1948=""),"",YEAR(B1948))</f>
        <v/>
      </c>
      <c r="AG1948" s="77">
        <f>IF(OR($A1948="",B1948=""),"",MONTH(B1948))</f>
        <v/>
      </c>
    </row>
    <row r="1949">
      <c r="A1949" s="7" t="n"/>
      <c r="B1949" s="75" t="n"/>
      <c r="C1949" s="7" t="n"/>
      <c r="D1949" s="7" t="n"/>
      <c r="E1949" s="9">
        <f>IF(D1949="","",IFERROR(INDEX('Équipements'!$B$5:$B$304,MATCH(D1949,'Équipements'!$A$5:$A$304,0)),"Code inconnu"))</f>
        <v/>
      </c>
      <c r="F1949" s="9">
        <f>IF(D1949="","",IFERROR(INDEX('Équipements'!$D$5:$D$304,MATCH(D1949,'Équipements'!$A$5:$A$304,0)),""))</f>
        <v/>
      </c>
      <c r="G1949" s="9">
        <f>IF(D1949="","",IFERROR(INDEX('Équipements'!$K$5:$K$304,MATCH(D1949,'Équipements'!$A$5:$A$304,0)),""))</f>
        <v/>
      </c>
      <c r="H1949" s="7" t="n"/>
      <c r="I1949" s="7" t="n"/>
      <c r="J1949" s="7" t="n"/>
      <c r="K1949" s="7" t="n"/>
      <c r="L1949" s="7" t="n"/>
      <c r="M1949" s="7" t="n"/>
      <c r="N1949" s="7" t="n"/>
      <c r="O1949" s="7" t="n"/>
      <c r="P1949" s="65" t="n"/>
      <c r="Q1949" s="75" t="n"/>
      <c r="R1949" s="75" t="n"/>
      <c r="S1949" s="76" t="n"/>
      <c r="T1949" s="76" t="n"/>
      <c r="U1949" s="70">
        <f>IF($A1949="","",IFERROR(INDEX('Techniciens'!$F$5:$F$44,MATCH(O1949,'Techniciens'!$B$5:$B$44,0)),'Paramètres'!$AA$10))</f>
        <v/>
      </c>
      <c r="V1949" s="70">
        <f>IF($A1949="","",IF(OR(AC1949="Demandé",AC1949="Planifié",AC1949="Annulé"),0,N(T1949)*N(U1949)))</f>
        <v/>
      </c>
      <c r="W1949" s="70">
        <f>IF($A1949="","",SUMIFS('Mouvements stock'!$H$5:$H$3004,'Mouvements stock'!$I$5:$I$3004,$A1949,'Mouvements stock'!$C$5:$C$3004,"Sortie")-SUMIFS('Mouvements stock'!$H$5:$H$3004,'Mouvements stock'!$I$5:$I$3004,$A1949,'Mouvements stock'!$C$5:$C$3004,"Retour"))</f>
        <v/>
      </c>
      <c r="X1949" s="66" t="n"/>
      <c r="Y1949" s="66" t="n"/>
      <c r="Z1949" s="7" t="n"/>
      <c r="AA1949" s="70">
        <f>IF($A1949="","",N(V1949)+N(W1949)+N(X1949)+N(Y1949))</f>
        <v/>
      </c>
      <c r="AB1949" s="70">
        <f>IF($A1949="","",N(S1949)*'Paramètres'!$AA$9*IFERROR(INDEX('Paramètres'!$O$5:$O$7,MATCH(G1949,'Paramètres'!$N$5:$N$7,0)),0))</f>
        <v/>
      </c>
      <c r="AC1949" s="7" t="n"/>
      <c r="AD1949" s="69">
        <f>IF(OR($A1949="",Q1949=""),"",(Q1949-B1949)*24)</f>
        <v/>
      </c>
      <c r="AE1949" s="69">
        <f>IF(OR(Q1949="",R1949=""),"",(R1949-Q1949)*24)</f>
        <v/>
      </c>
      <c r="AF1949" s="77">
        <f>IF(OR($A1949="",B1949=""),"",YEAR(B1949))</f>
        <v/>
      </c>
      <c r="AG1949" s="77">
        <f>IF(OR($A1949="",B1949=""),"",MONTH(B1949))</f>
        <v/>
      </c>
    </row>
    <row r="1950">
      <c r="A1950" s="7" t="n"/>
      <c r="B1950" s="75" t="n"/>
      <c r="C1950" s="7" t="n"/>
      <c r="D1950" s="7" t="n"/>
      <c r="E1950" s="9">
        <f>IF(D1950="","",IFERROR(INDEX('Équipements'!$B$5:$B$304,MATCH(D1950,'Équipements'!$A$5:$A$304,0)),"Code inconnu"))</f>
        <v/>
      </c>
      <c r="F1950" s="9">
        <f>IF(D1950="","",IFERROR(INDEX('Équipements'!$D$5:$D$304,MATCH(D1950,'Équipements'!$A$5:$A$304,0)),""))</f>
        <v/>
      </c>
      <c r="G1950" s="9">
        <f>IF(D1950="","",IFERROR(INDEX('Équipements'!$K$5:$K$304,MATCH(D1950,'Équipements'!$A$5:$A$304,0)),""))</f>
        <v/>
      </c>
      <c r="H1950" s="7" t="n"/>
      <c r="I1950" s="7" t="n"/>
      <c r="J1950" s="7" t="n"/>
      <c r="K1950" s="7" t="n"/>
      <c r="L1950" s="7" t="n"/>
      <c r="M1950" s="7" t="n"/>
      <c r="N1950" s="7" t="n"/>
      <c r="O1950" s="7" t="n"/>
      <c r="P1950" s="65" t="n"/>
      <c r="Q1950" s="75" t="n"/>
      <c r="R1950" s="75" t="n"/>
      <c r="S1950" s="76" t="n"/>
      <c r="T1950" s="76" t="n"/>
      <c r="U1950" s="70">
        <f>IF($A1950="","",IFERROR(INDEX('Techniciens'!$F$5:$F$44,MATCH(O1950,'Techniciens'!$B$5:$B$44,0)),'Paramètres'!$AA$10))</f>
        <v/>
      </c>
      <c r="V1950" s="70">
        <f>IF($A1950="","",IF(OR(AC1950="Demandé",AC1950="Planifié",AC1950="Annulé"),0,N(T1950)*N(U1950)))</f>
        <v/>
      </c>
      <c r="W1950" s="70">
        <f>IF($A1950="","",SUMIFS('Mouvements stock'!$H$5:$H$3004,'Mouvements stock'!$I$5:$I$3004,$A1950,'Mouvements stock'!$C$5:$C$3004,"Sortie")-SUMIFS('Mouvements stock'!$H$5:$H$3004,'Mouvements stock'!$I$5:$I$3004,$A1950,'Mouvements stock'!$C$5:$C$3004,"Retour"))</f>
        <v/>
      </c>
      <c r="X1950" s="66" t="n"/>
      <c r="Y1950" s="66" t="n"/>
      <c r="Z1950" s="7" t="n"/>
      <c r="AA1950" s="70">
        <f>IF($A1950="","",N(V1950)+N(W1950)+N(X1950)+N(Y1950))</f>
        <v/>
      </c>
      <c r="AB1950" s="70">
        <f>IF($A1950="","",N(S1950)*'Paramètres'!$AA$9*IFERROR(INDEX('Paramètres'!$O$5:$O$7,MATCH(G1950,'Paramètres'!$N$5:$N$7,0)),0))</f>
        <v/>
      </c>
      <c r="AC1950" s="7" t="n"/>
      <c r="AD1950" s="69">
        <f>IF(OR($A1950="",Q1950=""),"",(Q1950-B1950)*24)</f>
        <v/>
      </c>
      <c r="AE1950" s="69">
        <f>IF(OR(Q1950="",R1950=""),"",(R1950-Q1950)*24)</f>
        <v/>
      </c>
      <c r="AF1950" s="77">
        <f>IF(OR($A1950="",B1950=""),"",YEAR(B1950))</f>
        <v/>
      </c>
      <c r="AG1950" s="77">
        <f>IF(OR($A1950="",B1950=""),"",MONTH(B1950))</f>
        <v/>
      </c>
    </row>
    <row r="1951">
      <c r="A1951" s="7" t="n"/>
      <c r="B1951" s="75" t="n"/>
      <c r="C1951" s="7" t="n"/>
      <c r="D1951" s="7" t="n"/>
      <c r="E1951" s="9">
        <f>IF(D1951="","",IFERROR(INDEX('Équipements'!$B$5:$B$304,MATCH(D1951,'Équipements'!$A$5:$A$304,0)),"Code inconnu"))</f>
        <v/>
      </c>
      <c r="F1951" s="9">
        <f>IF(D1951="","",IFERROR(INDEX('Équipements'!$D$5:$D$304,MATCH(D1951,'Équipements'!$A$5:$A$304,0)),""))</f>
        <v/>
      </c>
      <c r="G1951" s="9">
        <f>IF(D1951="","",IFERROR(INDEX('Équipements'!$K$5:$K$304,MATCH(D1951,'Équipements'!$A$5:$A$304,0)),""))</f>
        <v/>
      </c>
      <c r="H1951" s="7" t="n"/>
      <c r="I1951" s="7" t="n"/>
      <c r="J1951" s="7" t="n"/>
      <c r="K1951" s="7" t="n"/>
      <c r="L1951" s="7" t="n"/>
      <c r="M1951" s="7" t="n"/>
      <c r="N1951" s="7" t="n"/>
      <c r="O1951" s="7" t="n"/>
      <c r="P1951" s="65" t="n"/>
      <c r="Q1951" s="75" t="n"/>
      <c r="R1951" s="75" t="n"/>
      <c r="S1951" s="76" t="n"/>
      <c r="T1951" s="76" t="n"/>
      <c r="U1951" s="70">
        <f>IF($A1951="","",IFERROR(INDEX('Techniciens'!$F$5:$F$44,MATCH(O1951,'Techniciens'!$B$5:$B$44,0)),'Paramètres'!$AA$10))</f>
        <v/>
      </c>
      <c r="V1951" s="70">
        <f>IF($A1951="","",IF(OR(AC1951="Demandé",AC1951="Planifié",AC1951="Annulé"),0,N(T1951)*N(U1951)))</f>
        <v/>
      </c>
      <c r="W1951" s="70">
        <f>IF($A1951="","",SUMIFS('Mouvements stock'!$H$5:$H$3004,'Mouvements stock'!$I$5:$I$3004,$A1951,'Mouvements stock'!$C$5:$C$3004,"Sortie")-SUMIFS('Mouvements stock'!$H$5:$H$3004,'Mouvements stock'!$I$5:$I$3004,$A1951,'Mouvements stock'!$C$5:$C$3004,"Retour"))</f>
        <v/>
      </c>
      <c r="X1951" s="66" t="n"/>
      <c r="Y1951" s="66" t="n"/>
      <c r="Z1951" s="7" t="n"/>
      <c r="AA1951" s="70">
        <f>IF($A1951="","",N(V1951)+N(W1951)+N(X1951)+N(Y1951))</f>
        <v/>
      </c>
      <c r="AB1951" s="70">
        <f>IF($A1951="","",N(S1951)*'Paramètres'!$AA$9*IFERROR(INDEX('Paramètres'!$O$5:$O$7,MATCH(G1951,'Paramètres'!$N$5:$N$7,0)),0))</f>
        <v/>
      </c>
      <c r="AC1951" s="7" t="n"/>
      <c r="AD1951" s="69">
        <f>IF(OR($A1951="",Q1951=""),"",(Q1951-B1951)*24)</f>
        <v/>
      </c>
      <c r="AE1951" s="69">
        <f>IF(OR(Q1951="",R1951=""),"",(R1951-Q1951)*24)</f>
        <v/>
      </c>
      <c r="AF1951" s="77">
        <f>IF(OR($A1951="",B1951=""),"",YEAR(B1951))</f>
        <v/>
      </c>
      <c r="AG1951" s="77">
        <f>IF(OR($A1951="",B1951=""),"",MONTH(B1951))</f>
        <v/>
      </c>
    </row>
    <row r="1952">
      <c r="A1952" s="7" t="n"/>
      <c r="B1952" s="75" t="n"/>
      <c r="C1952" s="7" t="n"/>
      <c r="D1952" s="7" t="n"/>
      <c r="E1952" s="9">
        <f>IF(D1952="","",IFERROR(INDEX('Équipements'!$B$5:$B$304,MATCH(D1952,'Équipements'!$A$5:$A$304,0)),"Code inconnu"))</f>
        <v/>
      </c>
      <c r="F1952" s="9">
        <f>IF(D1952="","",IFERROR(INDEX('Équipements'!$D$5:$D$304,MATCH(D1952,'Équipements'!$A$5:$A$304,0)),""))</f>
        <v/>
      </c>
      <c r="G1952" s="9">
        <f>IF(D1952="","",IFERROR(INDEX('Équipements'!$K$5:$K$304,MATCH(D1952,'Équipements'!$A$5:$A$304,0)),""))</f>
        <v/>
      </c>
      <c r="H1952" s="7" t="n"/>
      <c r="I1952" s="7" t="n"/>
      <c r="J1952" s="7" t="n"/>
      <c r="K1952" s="7" t="n"/>
      <c r="L1952" s="7" t="n"/>
      <c r="M1952" s="7" t="n"/>
      <c r="N1952" s="7" t="n"/>
      <c r="O1952" s="7" t="n"/>
      <c r="P1952" s="65" t="n"/>
      <c r="Q1952" s="75" t="n"/>
      <c r="R1952" s="75" t="n"/>
      <c r="S1952" s="76" t="n"/>
      <c r="T1952" s="76" t="n"/>
      <c r="U1952" s="70">
        <f>IF($A1952="","",IFERROR(INDEX('Techniciens'!$F$5:$F$44,MATCH(O1952,'Techniciens'!$B$5:$B$44,0)),'Paramètres'!$AA$10))</f>
        <v/>
      </c>
      <c r="V1952" s="70">
        <f>IF($A1952="","",IF(OR(AC1952="Demandé",AC1952="Planifié",AC1952="Annulé"),0,N(T1952)*N(U1952)))</f>
        <v/>
      </c>
      <c r="W1952" s="70">
        <f>IF($A1952="","",SUMIFS('Mouvements stock'!$H$5:$H$3004,'Mouvements stock'!$I$5:$I$3004,$A1952,'Mouvements stock'!$C$5:$C$3004,"Sortie")-SUMIFS('Mouvements stock'!$H$5:$H$3004,'Mouvements stock'!$I$5:$I$3004,$A1952,'Mouvements stock'!$C$5:$C$3004,"Retour"))</f>
        <v/>
      </c>
      <c r="X1952" s="66" t="n"/>
      <c r="Y1952" s="66" t="n"/>
      <c r="Z1952" s="7" t="n"/>
      <c r="AA1952" s="70">
        <f>IF($A1952="","",N(V1952)+N(W1952)+N(X1952)+N(Y1952))</f>
        <v/>
      </c>
      <c r="AB1952" s="70">
        <f>IF($A1952="","",N(S1952)*'Paramètres'!$AA$9*IFERROR(INDEX('Paramètres'!$O$5:$O$7,MATCH(G1952,'Paramètres'!$N$5:$N$7,0)),0))</f>
        <v/>
      </c>
      <c r="AC1952" s="7" t="n"/>
      <c r="AD1952" s="69">
        <f>IF(OR($A1952="",Q1952=""),"",(Q1952-B1952)*24)</f>
        <v/>
      </c>
      <c r="AE1952" s="69">
        <f>IF(OR(Q1952="",R1952=""),"",(R1952-Q1952)*24)</f>
        <v/>
      </c>
      <c r="AF1952" s="77">
        <f>IF(OR($A1952="",B1952=""),"",YEAR(B1952))</f>
        <v/>
      </c>
      <c r="AG1952" s="77">
        <f>IF(OR($A1952="",B1952=""),"",MONTH(B1952))</f>
        <v/>
      </c>
    </row>
    <row r="1953">
      <c r="A1953" s="7" t="n"/>
      <c r="B1953" s="75" t="n"/>
      <c r="C1953" s="7" t="n"/>
      <c r="D1953" s="7" t="n"/>
      <c r="E1953" s="9">
        <f>IF(D1953="","",IFERROR(INDEX('Équipements'!$B$5:$B$304,MATCH(D1953,'Équipements'!$A$5:$A$304,0)),"Code inconnu"))</f>
        <v/>
      </c>
      <c r="F1953" s="9">
        <f>IF(D1953="","",IFERROR(INDEX('Équipements'!$D$5:$D$304,MATCH(D1953,'Équipements'!$A$5:$A$304,0)),""))</f>
        <v/>
      </c>
      <c r="G1953" s="9">
        <f>IF(D1953="","",IFERROR(INDEX('Équipements'!$K$5:$K$304,MATCH(D1953,'Équipements'!$A$5:$A$304,0)),""))</f>
        <v/>
      </c>
      <c r="H1953" s="7" t="n"/>
      <c r="I1953" s="7" t="n"/>
      <c r="J1953" s="7" t="n"/>
      <c r="K1953" s="7" t="n"/>
      <c r="L1953" s="7" t="n"/>
      <c r="M1953" s="7" t="n"/>
      <c r="N1953" s="7" t="n"/>
      <c r="O1953" s="7" t="n"/>
      <c r="P1953" s="65" t="n"/>
      <c r="Q1953" s="75" t="n"/>
      <c r="R1953" s="75" t="n"/>
      <c r="S1953" s="76" t="n"/>
      <c r="T1953" s="76" t="n"/>
      <c r="U1953" s="70">
        <f>IF($A1953="","",IFERROR(INDEX('Techniciens'!$F$5:$F$44,MATCH(O1953,'Techniciens'!$B$5:$B$44,0)),'Paramètres'!$AA$10))</f>
        <v/>
      </c>
      <c r="V1953" s="70">
        <f>IF($A1953="","",IF(OR(AC1953="Demandé",AC1953="Planifié",AC1953="Annulé"),0,N(T1953)*N(U1953)))</f>
        <v/>
      </c>
      <c r="W1953" s="70">
        <f>IF($A1953="","",SUMIFS('Mouvements stock'!$H$5:$H$3004,'Mouvements stock'!$I$5:$I$3004,$A1953,'Mouvements stock'!$C$5:$C$3004,"Sortie")-SUMIFS('Mouvements stock'!$H$5:$H$3004,'Mouvements stock'!$I$5:$I$3004,$A1953,'Mouvements stock'!$C$5:$C$3004,"Retour"))</f>
        <v/>
      </c>
      <c r="X1953" s="66" t="n"/>
      <c r="Y1953" s="66" t="n"/>
      <c r="Z1953" s="7" t="n"/>
      <c r="AA1953" s="70">
        <f>IF($A1953="","",N(V1953)+N(W1953)+N(X1953)+N(Y1953))</f>
        <v/>
      </c>
      <c r="AB1953" s="70">
        <f>IF($A1953="","",N(S1953)*'Paramètres'!$AA$9*IFERROR(INDEX('Paramètres'!$O$5:$O$7,MATCH(G1953,'Paramètres'!$N$5:$N$7,0)),0))</f>
        <v/>
      </c>
      <c r="AC1953" s="7" t="n"/>
      <c r="AD1953" s="69">
        <f>IF(OR($A1953="",Q1953=""),"",(Q1953-B1953)*24)</f>
        <v/>
      </c>
      <c r="AE1953" s="69">
        <f>IF(OR(Q1953="",R1953=""),"",(R1953-Q1953)*24)</f>
        <v/>
      </c>
      <c r="AF1953" s="77">
        <f>IF(OR($A1953="",B1953=""),"",YEAR(B1953))</f>
        <v/>
      </c>
      <c r="AG1953" s="77">
        <f>IF(OR($A1953="",B1953=""),"",MONTH(B1953))</f>
        <v/>
      </c>
    </row>
    <row r="1954">
      <c r="A1954" s="7" t="n"/>
      <c r="B1954" s="75" t="n"/>
      <c r="C1954" s="7" t="n"/>
      <c r="D1954" s="7" t="n"/>
      <c r="E1954" s="9">
        <f>IF(D1954="","",IFERROR(INDEX('Équipements'!$B$5:$B$304,MATCH(D1954,'Équipements'!$A$5:$A$304,0)),"Code inconnu"))</f>
        <v/>
      </c>
      <c r="F1954" s="9">
        <f>IF(D1954="","",IFERROR(INDEX('Équipements'!$D$5:$D$304,MATCH(D1954,'Équipements'!$A$5:$A$304,0)),""))</f>
        <v/>
      </c>
      <c r="G1954" s="9">
        <f>IF(D1954="","",IFERROR(INDEX('Équipements'!$K$5:$K$304,MATCH(D1954,'Équipements'!$A$5:$A$304,0)),""))</f>
        <v/>
      </c>
      <c r="H1954" s="7" t="n"/>
      <c r="I1954" s="7" t="n"/>
      <c r="J1954" s="7" t="n"/>
      <c r="K1954" s="7" t="n"/>
      <c r="L1954" s="7" t="n"/>
      <c r="M1954" s="7" t="n"/>
      <c r="N1954" s="7" t="n"/>
      <c r="O1954" s="7" t="n"/>
      <c r="P1954" s="65" t="n"/>
      <c r="Q1954" s="75" t="n"/>
      <c r="R1954" s="75" t="n"/>
      <c r="S1954" s="76" t="n"/>
      <c r="T1954" s="76" t="n"/>
      <c r="U1954" s="70">
        <f>IF($A1954="","",IFERROR(INDEX('Techniciens'!$F$5:$F$44,MATCH(O1954,'Techniciens'!$B$5:$B$44,0)),'Paramètres'!$AA$10))</f>
        <v/>
      </c>
      <c r="V1954" s="70">
        <f>IF($A1954="","",IF(OR(AC1954="Demandé",AC1954="Planifié",AC1954="Annulé"),0,N(T1954)*N(U1954)))</f>
        <v/>
      </c>
      <c r="W1954" s="70">
        <f>IF($A1954="","",SUMIFS('Mouvements stock'!$H$5:$H$3004,'Mouvements stock'!$I$5:$I$3004,$A1954,'Mouvements stock'!$C$5:$C$3004,"Sortie")-SUMIFS('Mouvements stock'!$H$5:$H$3004,'Mouvements stock'!$I$5:$I$3004,$A1954,'Mouvements stock'!$C$5:$C$3004,"Retour"))</f>
        <v/>
      </c>
      <c r="X1954" s="66" t="n"/>
      <c r="Y1954" s="66" t="n"/>
      <c r="Z1954" s="7" t="n"/>
      <c r="AA1954" s="70">
        <f>IF($A1954="","",N(V1954)+N(W1954)+N(X1954)+N(Y1954))</f>
        <v/>
      </c>
      <c r="AB1954" s="70">
        <f>IF($A1954="","",N(S1954)*'Paramètres'!$AA$9*IFERROR(INDEX('Paramètres'!$O$5:$O$7,MATCH(G1954,'Paramètres'!$N$5:$N$7,0)),0))</f>
        <v/>
      </c>
      <c r="AC1954" s="7" t="n"/>
      <c r="AD1954" s="69">
        <f>IF(OR($A1954="",Q1954=""),"",(Q1954-B1954)*24)</f>
        <v/>
      </c>
      <c r="AE1954" s="69">
        <f>IF(OR(Q1954="",R1954=""),"",(R1954-Q1954)*24)</f>
        <v/>
      </c>
      <c r="AF1954" s="77">
        <f>IF(OR($A1954="",B1954=""),"",YEAR(B1954))</f>
        <v/>
      </c>
      <c r="AG1954" s="77">
        <f>IF(OR($A1954="",B1954=""),"",MONTH(B1954))</f>
        <v/>
      </c>
    </row>
    <row r="1955">
      <c r="A1955" s="7" t="n"/>
      <c r="B1955" s="75" t="n"/>
      <c r="C1955" s="7" t="n"/>
      <c r="D1955" s="7" t="n"/>
      <c r="E1955" s="9">
        <f>IF(D1955="","",IFERROR(INDEX('Équipements'!$B$5:$B$304,MATCH(D1955,'Équipements'!$A$5:$A$304,0)),"Code inconnu"))</f>
        <v/>
      </c>
      <c r="F1955" s="9">
        <f>IF(D1955="","",IFERROR(INDEX('Équipements'!$D$5:$D$304,MATCH(D1955,'Équipements'!$A$5:$A$304,0)),""))</f>
        <v/>
      </c>
      <c r="G1955" s="9">
        <f>IF(D1955="","",IFERROR(INDEX('Équipements'!$K$5:$K$304,MATCH(D1955,'Équipements'!$A$5:$A$304,0)),""))</f>
        <v/>
      </c>
      <c r="H1955" s="7" t="n"/>
      <c r="I1955" s="7" t="n"/>
      <c r="J1955" s="7" t="n"/>
      <c r="K1955" s="7" t="n"/>
      <c r="L1955" s="7" t="n"/>
      <c r="M1955" s="7" t="n"/>
      <c r="N1955" s="7" t="n"/>
      <c r="O1955" s="7" t="n"/>
      <c r="P1955" s="65" t="n"/>
      <c r="Q1955" s="75" t="n"/>
      <c r="R1955" s="75" t="n"/>
      <c r="S1955" s="76" t="n"/>
      <c r="T1955" s="76" t="n"/>
      <c r="U1955" s="70">
        <f>IF($A1955="","",IFERROR(INDEX('Techniciens'!$F$5:$F$44,MATCH(O1955,'Techniciens'!$B$5:$B$44,0)),'Paramètres'!$AA$10))</f>
        <v/>
      </c>
      <c r="V1955" s="70">
        <f>IF($A1955="","",IF(OR(AC1955="Demandé",AC1955="Planifié",AC1955="Annulé"),0,N(T1955)*N(U1955)))</f>
        <v/>
      </c>
      <c r="W1955" s="70">
        <f>IF($A1955="","",SUMIFS('Mouvements stock'!$H$5:$H$3004,'Mouvements stock'!$I$5:$I$3004,$A1955,'Mouvements stock'!$C$5:$C$3004,"Sortie")-SUMIFS('Mouvements stock'!$H$5:$H$3004,'Mouvements stock'!$I$5:$I$3004,$A1955,'Mouvements stock'!$C$5:$C$3004,"Retour"))</f>
        <v/>
      </c>
      <c r="X1955" s="66" t="n"/>
      <c r="Y1955" s="66" t="n"/>
      <c r="Z1955" s="7" t="n"/>
      <c r="AA1955" s="70">
        <f>IF($A1955="","",N(V1955)+N(W1955)+N(X1955)+N(Y1955))</f>
        <v/>
      </c>
      <c r="AB1955" s="70">
        <f>IF($A1955="","",N(S1955)*'Paramètres'!$AA$9*IFERROR(INDEX('Paramètres'!$O$5:$O$7,MATCH(G1955,'Paramètres'!$N$5:$N$7,0)),0))</f>
        <v/>
      </c>
      <c r="AC1955" s="7" t="n"/>
      <c r="AD1955" s="69">
        <f>IF(OR($A1955="",Q1955=""),"",(Q1955-B1955)*24)</f>
        <v/>
      </c>
      <c r="AE1955" s="69">
        <f>IF(OR(Q1955="",R1955=""),"",(R1955-Q1955)*24)</f>
        <v/>
      </c>
      <c r="AF1955" s="77">
        <f>IF(OR($A1955="",B1955=""),"",YEAR(B1955))</f>
        <v/>
      </c>
      <c r="AG1955" s="77">
        <f>IF(OR($A1955="",B1955=""),"",MONTH(B1955))</f>
        <v/>
      </c>
    </row>
    <row r="1956">
      <c r="A1956" s="7" t="n"/>
      <c r="B1956" s="75" t="n"/>
      <c r="C1956" s="7" t="n"/>
      <c r="D1956" s="7" t="n"/>
      <c r="E1956" s="9">
        <f>IF(D1956="","",IFERROR(INDEX('Équipements'!$B$5:$B$304,MATCH(D1956,'Équipements'!$A$5:$A$304,0)),"Code inconnu"))</f>
        <v/>
      </c>
      <c r="F1956" s="9">
        <f>IF(D1956="","",IFERROR(INDEX('Équipements'!$D$5:$D$304,MATCH(D1956,'Équipements'!$A$5:$A$304,0)),""))</f>
        <v/>
      </c>
      <c r="G1956" s="9">
        <f>IF(D1956="","",IFERROR(INDEX('Équipements'!$K$5:$K$304,MATCH(D1956,'Équipements'!$A$5:$A$304,0)),""))</f>
        <v/>
      </c>
      <c r="H1956" s="7" t="n"/>
      <c r="I1956" s="7" t="n"/>
      <c r="J1956" s="7" t="n"/>
      <c r="K1956" s="7" t="n"/>
      <c r="L1956" s="7" t="n"/>
      <c r="M1956" s="7" t="n"/>
      <c r="N1956" s="7" t="n"/>
      <c r="O1956" s="7" t="n"/>
      <c r="P1956" s="65" t="n"/>
      <c r="Q1956" s="75" t="n"/>
      <c r="R1956" s="75" t="n"/>
      <c r="S1956" s="76" t="n"/>
      <c r="T1956" s="76" t="n"/>
      <c r="U1956" s="70">
        <f>IF($A1956="","",IFERROR(INDEX('Techniciens'!$F$5:$F$44,MATCH(O1956,'Techniciens'!$B$5:$B$44,0)),'Paramètres'!$AA$10))</f>
        <v/>
      </c>
      <c r="V1956" s="70">
        <f>IF($A1956="","",IF(OR(AC1956="Demandé",AC1956="Planifié",AC1956="Annulé"),0,N(T1956)*N(U1956)))</f>
        <v/>
      </c>
      <c r="W1956" s="70">
        <f>IF($A1956="","",SUMIFS('Mouvements stock'!$H$5:$H$3004,'Mouvements stock'!$I$5:$I$3004,$A1956,'Mouvements stock'!$C$5:$C$3004,"Sortie")-SUMIFS('Mouvements stock'!$H$5:$H$3004,'Mouvements stock'!$I$5:$I$3004,$A1956,'Mouvements stock'!$C$5:$C$3004,"Retour"))</f>
        <v/>
      </c>
      <c r="X1956" s="66" t="n"/>
      <c r="Y1956" s="66" t="n"/>
      <c r="Z1956" s="7" t="n"/>
      <c r="AA1956" s="70">
        <f>IF($A1956="","",N(V1956)+N(W1956)+N(X1956)+N(Y1956))</f>
        <v/>
      </c>
      <c r="AB1956" s="70">
        <f>IF($A1956="","",N(S1956)*'Paramètres'!$AA$9*IFERROR(INDEX('Paramètres'!$O$5:$O$7,MATCH(G1956,'Paramètres'!$N$5:$N$7,0)),0))</f>
        <v/>
      </c>
      <c r="AC1956" s="7" t="n"/>
      <c r="AD1956" s="69">
        <f>IF(OR($A1956="",Q1956=""),"",(Q1956-B1956)*24)</f>
        <v/>
      </c>
      <c r="AE1956" s="69">
        <f>IF(OR(Q1956="",R1956=""),"",(R1956-Q1956)*24)</f>
        <v/>
      </c>
      <c r="AF1956" s="77">
        <f>IF(OR($A1956="",B1956=""),"",YEAR(B1956))</f>
        <v/>
      </c>
      <c r="AG1956" s="77">
        <f>IF(OR($A1956="",B1956=""),"",MONTH(B1956))</f>
        <v/>
      </c>
    </row>
    <row r="1957">
      <c r="A1957" s="7" t="n"/>
      <c r="B1957" s="75" t="n"/>
      <c r="C1957" s="7" t="n"/>
      <c r="D1957" s="7" t="n"/>
      <c r="E1957" s="9">
        <f>IF(D1957="","",IFERROR(INDEX('Équipements'!$B$5:$B$304,MATCH(D1957,'Équipements'!$A$5:$A$304,0)),"Code inconnu"))</f>
        <v/>
      </c>
      <c r="F1957" s="9">
        <f>IF(D1957="","",IFERROR(INDEX('Équipements'!$D$5:$D$304,MATCH(D1957,'Équipements'!$A$5:$A$304,0)),""))</f>
        <v/>
      </c>
      <c r="G1957" s="9">
        <f>IF(D1957="","",IFERROR(INDEX('Équipements'!$K$5:$K$304,MATCH(D1957,'Équipements'!$A$5:$A$304,0)),""))</f>
        <v/>
      </c>
      <c r="H1957" s="7" t="n"/>
      <c r="I1957" s="7" t="n"/>
      <c r="J1957" s="7" t="n"/>
      <c r="K1957" s="7" t="n"/>
      <c r="L1957" s="7" t="n"/>
      <c r="M1957" s="7" t="n"/>
      <c r="N1957" s="7" t="n"/>
      <c r="O1957" s="7" t="n"/>
      <c r="P1957" s="65" t="n"/>
      <c r="Q1957" s="75" t="n"/>
      <c r="R1957" s="75" t="n"/>
      <c r="S1957" s="76" t="n"/>
      <c r="T1957" s="76" t="n"/>
      <c r="U1957" s="70">
        <f>IF($A1957="","",IFERROR(INDEX('Techniciens'!$F$5:$F$44,MATCH(O1957,'Techniciens'!$B$5:$B$44,0)),'Paramètres'!$AA$10))</f>
        <v/>
      </c>
      <c r="V1957" s="70">
        <f>IF($A1957="","",IF(OR(AC1957="Demandé",AC1957="Planifié",AC1957="Annulé"),0,N(T1957)*N(U1957)))</f>
        <v/>
      </c>
      <c r="W1957" s="70">
        <f>IF($A1957="","",SUMIFS('Mouvements stock'!$H$5:$H$3004,'Mouvements stock'!$I$5:$I$3004,$A1957,'Mouvements stock'!$C$5:$C$3004,"Sortie")-SUMIFS('Mouvements stock'!$H$5:$H$3004,'Mouvements stock'!$I$5:$I$3004,$A1957,'Mouvements stock'!$C$5:$C$3004,"Retour"))</f>
        <v/>
      </c>
      <c r="X1957" s="66" t="n"/>
      <c r="Y1957" s="66" t="n"/>
      <c r="Z1957" s="7" t="n"/>
      <c r="AA1957" s="70">
        <f>IF($A1957="","",N(V1957)+N(W1957)+N(X1957)+N(Y1957))</f>
        <v/>
      </c>
      <c r="AB1957" s="70">
        <f>IF($A1957="","",N(S1957)*'Paramètres'!$AA$9*IFERROR(INDEX('Paramètres'!$O$5:$O$7,MATCH(G1957,'Paramètres'!$N$5:$N$7,0)),0))</f>
        <v/>
      </c>
      <c r="AC1957" s="7" t="n"/>
      <c r="AD1957" s="69">
        <f>IF(OR($A1957="",Q1957=""),"",(Q1957-B1957)*24)</f>
        <v/>
      </c>
      <c r="AE1957" s="69">
        <f>IF(OR(Q1957="",R1957=""),"",(R1957-Q1957)*24)</f>
        <v/>
      </c>
      <c r="AF1957" s="77">
        <f>IF(OR($A1957="",B1957=""),"",YEAR(B1957))</f>
        <v/>
      </c>
      <c r="AG1957" s="77">
        <f>IF(OR($A1957="",B1957=""),"",MONTH(B1957))</f>
        <v/>
      </c>
    </row>
    <row r="1958">
      <c r="A1958" s="7" t="n"/>
      <c r="B1958" s="75" t="n"/>
      <c r="C1958" s="7" t="n"/>
      <c r="D1958" s="7" t="n"/>
      <c r="E1958" s="9">
        <f>IF(D1958="","",IFERROR(INDEX('Équipements'!$B$5:$B$304,MATCH(D1958,'Équipements'!$A$5:$A$304,0)),"Code inconnu"))</f>
        <v/>
      </c>
      <c r="F1958" s="9">
        <f>IF(D1958="","",IFERROR(INDEX('Équipements'!$D$5:$D$304,MATCH(D1958,'Équipements'!$A$5:$A$304,0)),""))</f>
        <v/>
      </c>
      <c r="G1958" s="9">
        <f>IF(D1958="","",IFERROR(INDEX('Équipements'!$K$5:$K$304,MATCH(D1958,'Équipements'!$A$5:$A$304,0)),""))</f>
        <v/>
      </c>
      <c r="H1958" s="7" t="n"/>
      <c r="I1958" s="7" t="n"/>
      <c r="J1958" s="7" t="n"/>
      <c r="K1958" s="7" t="n"/>
      <c r="L1958" s="7" t="n"/>
      <c r="M1958" s="7" t="n"/>
      <c r="N1958" s="7" t="n"/>
      <c r="O1958" s="7" t="n"/>
      <c r="P1958" s="65" t="n"/>
      <c r="Q1958" s="75" t="n"/>
      <c r="R1958" s="75" t="n"/>
      <c r="S1958" s="76" t="n"/>
      <c r="T1958" s="76" t="n"/>
      <c r="U1958" s="70">
        <f>IF($A1958="","",IFERROR(INDEX('Techniciens'!$F$5:$F$44,MATCH(O1958,'Techniciens'!$B$5:$B$44,0)),'Paramètres'!$AA$10))</f>
        <v/>
      </c>
      <c r="V1958" s="70">
        <f>IF($A1958="","",IF(OR(AC1958="Demandé",AC1958="Planifié",AC1958="Annulé"),0,N(T1958)*N(U1958)))</f>
        <v/>
      </c>
      <c r="W1958" s="70">
        <f>IF($A1958="","",SUMIFS('Mouvements stock'!$H$5:$H$3004,'Mouvements stock'!$I$5:$I$3004,$A1958,'Mouvements stock'!$C$5:$C$3004,"Sortie")-SUMIFS('Mouvements stock'!$H$5:$H$3004,'Mouvements stock'!$I$5:$I$3004,$A1958,'Mouvements stock'!$C$5:$C$3004,"Retour"))</f>
        <v/>
      </c>
      <c r="X1958" s="66" t="n"/>
      <c r="Y1958" s="66" t="n"/>
      <c r="Z1958" s="7" t="n"/>
      <c r="AA1958" s="70">
        <f>IF($A1958="","",N(V1958)+N(W1958)+N(X1958)+N(Y1958))</f>
        <v/>
      </c>
      <c r="AB1958" s="70">
        <f>IF($A1958="","",N(S1958)*'Paramètres'!$AA$9*IFERROR(INDEX('Paramètres'!$O$5:$O$7,MATCH(G1958,'Paramètres'!$N$5:$N$7,0)),0))</f>
        <v/>
      </c>
      <c r="AC1958" s="7" t="n"/>
      <c r="AD1958" s="69">
        <f>IF(OR($A1958="",Q1958=""),"",(Q1958-B1958)*24)</f>
        <v/>
      </c>
      <c r="AE1958" s="69">
        <f>IF(OR(Q1958="",R1958=""),"",(R1958-Q1958)*24)</f>
        <v/>
      </c>
      <c r="AF1958" s="77">
        <f>IF(OR($A1958="",B1958=""),"",YEAR(B1958))</f>
        <v/>
      </c>
      <c r="AG1958" s="77">
        <f>IF(OR($A1958="",B1958=""),"",MONTH(B1958))</f>
        <v/>
      </c>
    </row>
    <row r="1959">
      <c r="A1959" s="7" t="n"/>
      <c r="B1959" s="75" t="n"/>
      <c r="C1959" s="7" t="n"/>
      <c r="D1959" s="7" t="n"/>
      <c r="E1959" s="9">
        <f>IF(D1959="","",IFERROR(INDEX('Équipements'!$B$5:$B$304,MATCH(D1959,'Équipements'!$A$5:$A$304,0)),"Code inconnu"))</f>
        <v/>
      </c>
      <c r="F1959" s="9">
        <f>IF(D1959="","",IFERROR(INDEX('Équipements'!$D$5:$D$304,MATCH(D1959,'Équipements'!$A$5:$A$304,0)),""))</f>
        <v/>
      </c>
      <c r="G1959" s="9">
        <f>IF(D1959="","",IFERROR(INDEX('Équipements'!$K$5:$K$304,MATCH(D1959,'Équipements'!$A$5:$A$304,0)),""))</f>
        <v/>
      </c>
      <c r="H1959" s="7" t="n"/>
      <c r="I1959" s="7" t="n"/>
      <c r="J1959" s="7" t="n"/>
      <c r="K1959" s="7" t="n"/>
      <c r="L1959" s="7" t="n"/>
      <c r="M1959" s="7" t="n"/>
      <c r="N1959" s="7" t="n"/>
      <c r="O1959" s="7" t="n"/>
      <c r="P1959" s="65" t="n"/>
      <c r="Q1959" s="75" t="n"/>
      <c r="R1959" s="75" t="n"/>
      <c r="S1959" s="76" t="n"/>
      <c r="T1959" s="76" t="n"/>
      <c r="U1959" s="70">
        <f>IF($A1959="","",IFERROR(INDEX('Techniciens'!$F$5:$F$44,MATCH(O1959,'Techniciens'!$B$5:$B$44,0)),'Paramètres'!$AA$10))</f>
        <v/>
      </c>
      <c r="V1959" s="70">
        <f>IF($A1959="","",IF(OR(AC1959="Demandé",AC1959="Planifié",AC1959="Annulé"),0,N(T1959)*N(U1959)))</f>
        <v/>
      </c>
      <c r="W1959" s="70">
        <f>IF($A1959="","",SUMIFS('Mouvements stock'!$H$5:$H$3004,'Mouvements stock'!$I$5:$I$3004,$A1959,'Mouvements stock'!$C$5:$C$3004,"Sortie")-SUMIFS('Mouvements stock'!$H$5:$H$3004,'Mouvements stock'!$I$5:$I$3004,$A1959,'Mouvements stock'!$C$5:$C$3004,"Retour"))</f>
        <v/>
      </c>
      <c r="X1959" s="66" t="n"/>
      <c r="Y1959" s="66" t="n"/>
      <c r="Z1959" s="7" t="n"/>
      <c r="AA1959" s="70">
        <f>IF($A1959="","",N(V1959)+N(W1959)+N(X1959)+N(Y1959))</f>
        <v/>
      </c>
      <c r="AB1959" s="70">
        <f>IF($A1959="","",N(S1959)*'Paramètres'!$AA$9*IFERROR(INDEX('Paramètres'!$O$5:$O$7,MATCH(G1959,'Paramètres'!$N$5:$N$7,0)),0))</f>
        <v/>
      </c>
      <c r="AC1959" s="7" t="n"/>
      <c r="AD1959" s="69">
        <f>IF(OR($A1959="",Q1959=""),"",(Q1959-B1959)*24)</f>
        <v/>
      </c>
      <c r="AE1959" s="69">
        <f>IF(OR(Q1959="",R1959=""),"",(R1959-Q1959)*24)</f>
        <v/>
      </c>
      <c r="AF1959" s="77">
        <f>IF(OR($A1959="",B1959=""),"",YEAR(B1959))</f>
        <v/>
      </c>
      <c r="AG1959" s="77">
        <f>IF(OR($A1959="",B1959=""),"",MONTH(B1959))</f>
        <v/>
      </c>
    </row>
    <row r="1960">
      <c r="A1960" s="7" t="n"/>
      <c r="B1960" s="75" t="n"/>
      <c r="C1960" s="7" t="n"/>
      <c r="D1960" s="7" t="n"/>
      <c r="E1960" s="9">
        <f>IF(D1960="","",IFERROR(INDEX('Équipements'!$B$5:$B$304,MATCH(D1960,'Équipements'!$A$5:$A$304,0)),"Code inconnu"))</f>
        <v/>
      </c>
      <c r="F1960" s="9">
        <f>IF(D1960="","",IFERROR(INDEX('Équipements'!$D$5:$D$304,MATCH(D1960,'Équipements'!$A$5:$A$304,0)),""))</f>
        <v/>
      </c>
      <c r="G1960" s="9">
        <f>IF(D1960="","",IFERROR(INDEX('Équipements'!$K$5:$K$304,MATCH(D1960,'Équipements'!$A$5:$A$304,0)),""))</f>
        <v/>
      </c>
      <c r="H1960" s="7" t="n"/>
      <c r="I1960" s="7" t="n"/>
      <c r="J1960" s="7" t="n"/>
      <c r="K1960" s="7" t="n"/>
      <c r="L1960" s="7" t="n"/>
      <c r="M1960" s="7" t="n"/>
      <c r="N1960" s="7" t="n"/>
      <c r="O1960" s="7" t="n"/>
      <c r="P1960" s="65" t="n"/>
      <c r="Q1960" s="75" t="n"/>
      <c r="R1960" s="75" t="n"/>
      <c r="S1960" s="76" t="n"/>
      <c r="T1960" s="76" t="n"/>
      <c r="U1960" s="70">
        <f>IF($A1960="","",IFERROR(INDEX('Techniciens'!$F$5:$F$44,MATCH(O1960,'Techniciens'!$B$5:$B$44,0)),'Paramètres'!$AA$10))</f>
        <v/>
      </c>
      <c r="V1960" s="70">
        <f>IF($A1960="","",IF(OR(AC1960="Demandé",AC1960="Planifié",AC1960="Annulé"),0,N(T1960)*N(U1960)))</f>
        <v/>
      </c>
      <c r="W1960" s="70">
        <f>IF($A1960="","",SUMIFS('Mouvements stock'!$H$5:$H$3004,'Mouvements stock'!$I$5:$I$3004,$A1960,'Mouvements stock'!$C$5:$C$3004,"Sortie")-SUMIFS('Mouvements stock'!$H$5:$H$3004,'Mouvements stock'!$I$5:$I$3004,$A1960,'Mouvements stock'!$C$5:$C$3004,"Retour"))</f>
        <v/>
      </c>
      <c r="X1960" s="66" t="n"/>
      <c r="Y1960" s="66" t="n"/>
      <c r="Z1960" s="7" t="n"/>
      <c r="AA1960" s="70">
        <f>IF($A1960="","",N(V1960)+N(W1960)+N(X1960)+N(Y1960))</f>
        <v/>
      </c>
      <c r="AB1960" s="70">
        <f>IF($A1960="","",N(S1960)*'Paramètres'!$AA$9*IFERROR(INDEX('Paramètres'!$O$5:$O$7,MATCH(G1960,'Paramètres'!$N$5:$N$7,0)),0))</f>
        <v/>
      </c>
      <c r="AC1960" s="7" t="n"/>
      <c r="AD1960" s="69">
        <f>IF(OR($A1960="",Q1960=""),"",(Q1960-B1960)*24)</f>
        <v/>
      </c>
      <c r="AE1960" s="69">
        <f>IF(OR(Q1960="",R1960=""),"",(R1960-Q1960)*24)</f>
        <v/>
      </c>
      <c r="AF1960" s="77">
        <f>IF(OR($A1960="",B1960=""),"",YEAR(B1960))</f>
        <v/>
      </c>
      <c r="AG1960" s="77">
        <f>IF(OR($A1960="",B1960=""),"",MONTH(B1960))</f>
        <v/>
      </c>
    </row>
    <row r="1961">
      <c r="A1961" s="7" t="n"/>
      <c r="B1961" s="75" t="n"/>
      <c r="C1961" s="7" t="n"/>
      <c r="D1961" s="7" t="n"/>
      <c r="E1961" s="9">
        <f>IF(D1961="","",IFERROR(INDEX('Équipements'!$B$5:$B$304,MATCH(D1961,'Équipements'!$A$5:$A$304,0)),"Code inconnu"))</f>
        <v/>
      </c>
      <c r="F1961" s="9">
        <f>IF(D1961="","",IFERROR(INDEX('Équipements'!$D$5:$D$304,MATCH(D1961,'Équipements'!$A$5:$A$304,0)),""))</f>
        <v/>
      </c>
      <c r="G1961" s="9">
        <f>IF(D1961="","",IFERROR(INDEX('Équipements'!$K$5:$K$304,MATCH(D1961,'Équipements'!$A$5:$A$304,0)),""))</f>
        <v/>
      </c>
      <c r="H1961" s="7" t="n"/>
      <c r="I1961" s="7" t="n"/>
      <c r="J1961" s="7" t="n"/>
      <c r="K1961" s="7" t="n"/>
      <c r="L1961" s="7" t="n"/>
      <c r="M1961" s="7" t="n"/>
      <c r="N1961" s="7" t="n"/>
      <c r="O1961" s="7" t="n"/>
      <c r="P1961" s="65" t="n"/>
      <c r="Q1961" s="75" t="n"/>
      <c r="R1961" s="75" t="n"/>
      <c r="S1961" s="76" t="n"/>
      <c r="T1961" s="76" t="n"/>
      <c r="U1961" s="70">
        <f>IF($A1961="","",IFERROR(INDEX('Techniciens'!$F$5:$F$44,MATCH(O1961,'Techniciens'!$B$5:$B$44,0)),'Paramètres'!$AA$10))</f>
        <v/>
      </c>
      <c r="V1961" s="70">
        <f>IF($A1961="","",IF(OR(AC1961="Demandé",AC1961="Planifié",AC1961="Annulé"),0,N(T1961)*N(U1961)))</f>
        <v/>
      </c>
      <c r="W1961" s="70">
        <f>IF($A1961="","",SUMIFS('Mouvements stock'!$H$5:$H$3004,'Mouvements stock'!$I$5:$I$3004,$A1961,'Mouvements stock'!$C$5:$C$3004,"Sortie")-SUMIFS('Mouvements stock'!$H$5:$H$3004,'Mouvements stock'!$I$5:$I$3004,$A1961,'Mouvements stock'!$C$5:$C$3004,"Retour"))</f>
        <v/>
      </c>
      <c r="X1961" s="66" t="n"/>
      <c r="Y1961" s="66" t="n"/>
      <c r="Z1961" s="7" t="n"/>
      <c r="AA1961" s="70">
        <f>IF($A1961="","",N(V1961)+N(W1961)+N(X1961)+N(Y1961))</f>
        <v/>
      </c>
      <c r="AB1961" s="70">
        <f>IF($A1961="","",N(S1961)*'Paramètres'!$AA$9*IFERROR(INDEX('Paramètres'!$O$5:$O$7,MATCH(G1961,'Paramètres'!$N$5:$N$7,0)),0))</f>
        <v/>
      </c>
      <c r="AC1961" s="7" t="n"/>
      <c r="AD1961" s="69">
        <f>IF(OR($A1961="",Q1961=""),"",(Q1961-B1961)*24)</f>
        <v/>
      </c>
      <c r="AE1961" s="69">
        <f>IF(OR(Q1961="",R1961=""),"",(R1961-Q1961)*24)</f>
        <v/>
      </c>
      <c r="AF1961" s="77">
        <f>IF(OR($A1961="",B1961=""),"",YEAR(B1961))</f>
        <v/>
      </c>
      <c r="AG1961" s="77">
        <f>IF(OR($A1961="",B1961=""),"",MONTH(B1961))</f>
        <v/>
      </c>
    </row>
    <row r="1962">
      <c r="A1962" s="7" t="n"/>
      <c r="B1962" s="75" t="n"/>
      <c r="C1962" s="7" t="n"/>
      <c r="D1962" s="7" t="n"/>
      <c r="E1962" s="9">
        <f>IF(D1962="","",IFERROR(INDEX('Équipements'!$B$5:$B$304,MATCH(D1962,'Équipements'!$A$5:$A$304,0)),"Code inconnu"))</f>
        <v/>
      </c>
      <c r="F1962" s="9">
        <f>IF(D1962="","",IFERROR(INDEX('Équipements'!$D$5:$D$304,MATCH(D1962,'Équipements'!$A$5:$A$304,0)),""))</f>
        <v/>
      </c>
      <c r="G1962" s="9">
        <f>IF(D1962="","",IFERROR(INDEX('Équipements'!$K$5:$K$304,MATCH(D1962,'Équipements'!$A$5:$A$304,0)),""))</f>
        <v/>
      </c>
      <c r="H1962" s="7" t="n"/>
      <c r="I1962" s="7" t="n"/>
      <c r="J1962" s="7" t="n"/>
      <c r="K1962" s="7" t="n"/>
      <c r="L1962" s="7" t="n"/>
      <c r="M1962" s="7" t="n"/>
      <c r="N1962" s="7" t="n"/>
      <c r="O1962" s="7" t="n"/>
      <c r="P1962" s="65" t="n"/>
      <c r="Q1962" s="75" t="n"/>
      <c r="R1962" s="75" t="n"/>
      <c r="S1962" s="76" t="n"/>
      <c r="T1962" s="76" t="n"/>
      <c r="U1962" s="70">
        <f>IF($A1962="","",IFERROR(INDEX('Techniciens'!$F$5:$F$44,MATCH(O1962,'Techniciens'!$B$5:$B$44,0)),'Paramètres'!$AA$10))</f>
        <v/>
      </c>
      <c r="V1962" s="70">
        <f>IF($A1962="","",IF(OR(AC1962="Demandé",AC1962="Planifié",AC1962="Annulé"),0,N(T1962)*N(U1962)))</f>
        <v/>
      </c>
      <c r="W1962" s="70">
        <f>IF($A1962="","",SUMIFS('Mouvements stock'!$H$5:$H$3004,'Mouvements stock'!$I$5:$I$3004,$A1962,'Mouvements stock'!$C$5:$C$3004,"Sortie")-SUMIFS('Mouvements stock'!$H$5:$H$3004,'Mouvements stock'!$I$5:$I$3004,$A1962,'Mouvements stock'!$C$5:$C$3004,"Retour"))</f>
        <v/>
      </c>
      <c r="X1962" s="66" t="n"/>
      <c r="Y1962" s="66" t="n"/>
      <c r="Z1962" s="7" t="n"/>
      <c r="AA1962" s="70">
        <f>IF($A1962="","",N(V1962)+N(W1962)+N(X1962)+N(Y1962))</f>
        <v/>
      </c>
      <c r="AB1962" s="70">
        <f>IF($A1962="","",N(S1962)*'Paramètres'!$AA$9*IFERROR(INDEX('Paramètres'!$O$5:$O$7,MATCH(G1962,'Paramètres'!$N$5:$N$7,0)),0))</f>
        <v/>
      </c>
      <c r="AC1962" s="7" t="n"/>
      <c r="AD1962" s="69">
        <f>IF(OR($A1962="",Q1962=""),"",(Q1962-B1962)*24)</f>
        <v/>
      </c>
      <c r="AE1962" s="69">
        <f>IF(OR(Q1962="",R1962=""),"",(R1962-Q1962)*24)</f>
        <v/>
      </c>
      <c r="AF1962" s="77">
        <f>IF(OR($A1962="",B1962=""),"",YEAR(B1962))</f>
        <v/>
      </c>
      <c r="AG1962" s="77">
        <f>IF(OR($A1962="",B1962=""),"",MONTH(B1962))</f>
        <v/>
      </c>
    </row>
    <row r="1963">
      <c r="A1963" s="7" t="n"/>
      <c r="B1963" s="75" t="n"/>
      <c r="C1963" s="7" t="n"/>
      <c r="D1963" s="7" t="n"/>
      <c r="E1963" s="9">
        <f>IF(D1963="","",IFERROR(INDEX('Équipements'!$B$5:$B$304,MATCH(D1963,'Équipements'!$A$5:$A$304,0)),"Code inconnu"))</f>
        <v/>
      </c>
      <c r="F1963" s="9">
        <f>IF(D1963="","",IFERROR(INDEX('Équipements'!$D$5:$D$304,MATCH(D1963,'Équipements'!$A$5:$A$304,0)),""))</f>
        <v/>
      </c>
      <c r="G1963" s="9">
        <f>IF(D1963="","",IFERROR(INDEX('Équipements'!$K$5:$K$304,MATCH(D1963,'Équipements'!$A$5:$A$304,0)),""))</f>
        <v/>
      </c>
      <c r="H1963" s="7" t="n"/>
      <c r="I1963" s="7" t="n"/>
      <c r="J1963" s="7" t="n"/>
      <c r="K1963" s="7" t="n"/>
      <c r="L1963" s="7" t="n"/>
      <c r="M1963" s="7" t="n"/>
      <c r="N1963" s="7" t="n"/>
      <c r="O1963" s="7" t="n"/>
      <c r="P1963" s="65" t="n"/>
      <c r="Q1963" s="75" t="n"/>
      <c r="R1963" s="75" t="n"/>
      <c r="S1963" s="76" t="n"/>
      <c r="T1963" s="76" t="n"/>
      <c r="U1963" s="70">
        <f>IF($A1963="","",IFERROR(INDEX('Techniciens'!$F$5:$F$44,MATCH(O1963,'Techniciens'!$B$5:$B$44,0)),'Paramètres'!$AA$10))</f>
        <v/>
      </c>
      <c r="V1963" s="70">
        <f>IF($A1963="","",IF(OR(AC1963="Demandé",AC1963="Planifié",AC1963="Annulé"),0,N(T1963)*N(U1963)))</f>
        <v/>
      </c>
      <c r="W1963" s="70">
        <f>IF($A1963="","",SUMIFS('Mouvements stock'!$H$5:$H$3004,'Mouvements stock'!$I$5:$I$3004,$A1963,'Mouvements stock'!$C$5:$C$3004,"Sortie")-SUMIFS('Mouvements stock'!$H$5:$H$3004,'Mouvements stock'!$I$5:$I$3004,$A1963,'Mouvements stock'!$C$5:$C$3004,"Retour"))</f>
        <v/>
      </c>
      <c r="X1963" s="66" t="n"/>
      <c r="Y1963" s="66" t="n"/>
      <c r="Z1963" s="7" t="n"/>
      <c r="AA1963" s="70">
        <f>IF($A1963="","",N(V1963)+N(W1963)+N(X1963)+N(Y1963))</f>
        <v/>
      </c>
      <c r="AB1963" s="70">
        <f>IF($A1963="","",N(S1963)*'Paramètres'!$AA$9*IFERROR(INDEX('Paramètres'!$O$5:$O$7,MATCH(G1963,'Paramètres'!$N$5:$N$7,0)),0))</f>
        <v/>
      </c>
      <c r="AC1963" s="7" t="n"/>
      <c r="AD1963" s="69">
        <f>IF(OR($A1963="",Q1963=""),"",(Q1963-B1963)*24)</f>
        <v/>
      </c>
      <c r="AE1963" s="69">
        <f>IF(OR(Q1963="",R1963=""),"",(R1963-Q1963)*24)</f>
        <v/>
      </c>
      <c r="AF1963" s="77">
        <f>IF(OR($A1963="",B1963=""),"",YEAR(B1963))</f>
        <v/>
      </c>
      <c r="AG1963" s="77">
        <f>IF(OR($A1963="",B1963=""),"",MONTH(B1963))</f>
        <v/>
      </c>
    </row>
    <row r="1964">
      <c r="A1964" s="7" t="n"/>
      <c r="B1964" s="75" t="n"/>
      <c r="C1964" s="7" t="n"/>
      <c r="D1964" s="7" t="n"/>
      <c r="E1964" s="9">
        <f>IF(D1964="","",IFERROR(INDEX('Équipements'!$B$5:$B$304,MATCH(D1964,'Équipements'!$A$5:$A$304,0)),"Code inconnu"))</f>
        <v/>
      </c>
      <c r="F1964" s="9">
        <f>IF(D1964="","",IFERROR(INDEX('Équipements'!$D$5:$D$304,MATCH(D1964,'Équipements'!$A$5:$A$304,0)),""))</f>
        <v/>
      </c>
      <c r="G1964" s="9">
        <f>IF(D1964="","",IFERROR(INDEX('Équipements'!$K$5:$K$304,MATCH(D1964,'Équipements'!$A$5:$A$304,0)),""))</f>
        <v/>
      </c>
      <c r="H1964" s="7" t="n"/>
      <c r="I1964" s="7" t="n"/>
      <c r="J1964" s="7" t="n"/>
      <c r="K1964" s="7" t="n"/>
      <c r="L1964" s="7" t="n"/>
      <c r="M1964" s="7" t="n"/>
      <c r="N1964" s="7" t="n"/>
      <c r="O1964" s="7" t="n"/>
      <c r="P1964" s="65" t="n"/>
      <c r="Q1964" s="75" t="n"/>
      <c r="R1964" s="75" t="n"/>
      <c r="S1964" s="76" t="n"/>
      <c r="T1964" s="76" t="n"/>
      <c r="U1964" s="70">
        <f>IF($A1964="","",IFERROR(INDEX('Techniciens'!$F$5:$F$44,MATCH(O1964,'Techniciens'!$B$5:$B$44,0)),'Paramètres'!$AA$10))</f>
        <v/>
      </c>
      <c r="V1964" s="70">
        <f>IF($A1964="","",IF(OR(AC1964="Demandé",AC1964="Planifié",AC1964="Annulé"),0,N(T1964)*N(U1964)))</f>
        <v/>
      </c>
      <c r="W1964" s="70">
        <f>IF($A1964="","",SUMIFS('Mouvements stock'!$H$5:$H$3004,'Mouvements stock'!$I$5:$I$3004,$A1964,'Mouvements stock'!$C$5:$C$3004,"Sortie")-SUMIFS('Mouvements stock'!$H$5:$H$3004,'Mouvements stock'!$I$5:$I$3004,$A1964,'Mouvements stock'!$C$5:$C$3004,"Retour"))</f>
        <v/>
      </c>
      <c r="X1964" s="66" t="n"/>
      <c r="Y1964" s="66" t="n"/>
      <c r="Z1964" s="7" t="n"/>
      <c r="AA1964" s="70">
        <f>IF($A1964="","",N(V1964)+N(W1964)+N(X1964)+N(Y1964))</f>
        <v/>
      </c>
      <c r="AB1964" s="70">
        <f>IF($A1964="","",N(S1964)*'Paramètres'!$AA$9*IFERROR(INDEX('Paramètres'!$O$5:$O$7,MATCH(G1964,'Paramètres'!$N$5:$N$7,0)),0))</f>
        <v/>
      </c>
      <c r="AC1964" s="7" t="n"/>
      <c r="AD1964" s="69">
        <f>IF(OR($A1964="",Q1964=""),"",(Q1964-B1964)*24)</f>
        <v/>
      </c>
      <c r="AE1964" s="69">
        <f>IF(OR(Q1964="",R1964=""),"",(R1964-Q1964)*24)</f>
        <v/>
      </c>
      <c r="AF1964" s="77">
        <f>IF(OR($A1964="",B1964=""),"",YEAR(B1964))</f>
        <v/>
      </c>
      <c r="AG1964" s="77">
        <f>IF(OR($A1964="",B1964=""),"",MONTH(B1964))</f>
        <v/>
      </c>
    </row>
    <row r="1965">
      <c r="A1965" s="7" t="n"/>
      <c r="B1965" s="75" t="n"/>
      <c r="C1965" s="7" t="n"/>
      <c r="D1965" s="7" t="n"/>
      <c r="E1965" s="9">
        <f>IF(D1965="","",IFERROR(INDEX('Équipements'!$B$5:$B$304,MATCH(D1965,'Équipements'!$A$5:$A$304,0)),"Code inconnu"))</f>
        <v/>
      </c>
      <c r="F1965" s="9">
        <f>IF(D1965="","",IFERROR(INDEX('Équipements'!$D$5:$D$304,MATCH(D1965,'Équipements'!$A$5:$A$304,0)),""))</f>
        <v/>
      </c>
      <c r="G1965" s="9">
        <f>IF(D1965="","",IFERROR(INDEX('Équipements'!$K$5:$K$304,MATCH(D1965,'Équipements'!$A$5:$A$304,0)),""))</f>
        <v/>
      </c>
      <c r="H1965" s="7" t="n"/>
      <c r="I1965" s="7" t="n"/>
      <c r="J1965" s="7" t="n"/>
      <c r="K1965" s="7" t="n"/>
      <c r="L1965" s="7" t="n"/>
      <c r="M1965" s="7" t="n"/>
      <c r="N1965" s="7" t="n"/>
      <c r="O1965" s="7" t="n"/>
      <c r="P1965" s="65" t="n"/>
      <c r="Q1965" s="75" t="n"/>
      <c r="R1965" s="75" t="n"/>
      <c r="S1965" s="76" t="n"/>
      <c r="T1965" s="76" t="n"/>
      <c r="U1965" s="70">
        <f>IF($A1965="","",IFERROR(INDEX('Techniciens'!$F$5:$F$44,MATCH(O1965,'Techniciens'!$B$5:$B$44,0)),'Paramètres'!$AA$10))</f>
        <v/>
      </c>
      <c r="V1965" s="70">
        <f>IF($A1965="","",IF(OR(AC1965="Demandé",AC1965="Planifié",AC1965="Annulé"),0,N(T1965)*N(U1965)))</f>
        <v/>
      </c>
      <c r="W1965" s="70">
        <f>IF($A1965="","",SUMIFS('Mouvements stock'!$H$5:$H$3004,'Mouvements stock'!$I$5:$I$3004,$A1965,'Mouvements stock'!$C$5:$C$3004,"Sortie")-SUMIFS('Mouvements stock'!$H$5:$H$3004,'Mouvements stock'!$I$5:$I$3004,$A1965,'Mouvements stock'!$C$5:$C$3004,"Retour"))</f>
        <v/>
      </c>
      <c r="X1965" s="66" t="n"/>
      <c r="Y1965" s="66" t="n"/>
      <c r="Z1965" s="7" t="n"/>
      <c r="AA1965" s="70">
        <f>IF($A1965="","",N(V1965)+N(W1965)+N(X1965)+N(Y1965))</f>
        <v/>
      </c>
      <c r="AB1965" s="70">
        <f>IF($A1965="","",N(S1965)*'Paramètres'!$AA$9*IFERROR(INDEX('Paramètres'!$O$5:$O$7,MATCH(G1965,'Paramètres'!$N$5:$N$7,0)),0))</f>
        <v/>
      </c>
      <c r="AC1965" s="7" t="n"/>
      <c r="AD1965" s="69">
        <f>IF(OR($A1965="",Q1965=""),"",(Q1965-B1965)*24)</f>
        <v/>
      </c>
      <c r="AE1965" s="69">
        <f>IF(OR(Q1965="",R1965=""),"",(R1965-Q1965)*24)</f>
        <v/>
      </c>
      <c r="AF1965" s="77">
        <f>IF(OR($A1965="",B1965=""),"",YEAR(B1965))</f>
        <v/>
      </c>
      <c r="AG1965" s="77">
        <f>IF(OR($A1965="",B1965=""),"",MONTH(B1965))</f>
        <v/>
      </c>
    </row>
    <row r="1966">
      <c r="A1966" s="7" t="n"/>
      <c r="B1966" s="75" t="n"/>
      <c r="C1966" s="7" t="n"/>
      <c r="D1966" s="7" t="n"/>
      <c r="E1966" s="9">
        <f>IF(D1966="","",IFERROR(INDEX('Équipements'!$B$5:$B$304,MATCH(D1966,'Équipements'!$A$5:$A$304,0)),"Code inconnu"))</f>
        <v/>
      </c>
      <c r="F1966" s="9">
        <f>IF(D1966="","",IFERROR(INDEX('Équipements'!$D$5:$D$304,MATCH(D1966,'Équipements'!$A$5:$A$304,0)),""))</f>
        <v/>
      </c>
      <c r="G1966" s="9">
        <f>IF(D1966="","",IFERROR(INDEX('Équipements'!$K$5:$K$304,MATCH(D1966,'Équipements'!$A$5:$A$304,0)),""))</f>
        <v/>
      </c>
      <c r="H1966" s="7" t="n"/>
      <c r="I1966" s="7" t="n"/>
      <c r="J1966" s="7" t="n"/>
      <c r="K1966" s="7" t="n"/>
      <c r="L1966" s="7" t="n"/>
      <c r="M1966" s="7" t="n"/>
      <c r="N1966" s="7" t="n"/>
      <c r="O1966" s="7" t="n"/>
      <c r="P1966" s="65" t="n"/>
      <c r="Q1966" s="75" t="n"/>
      <c r="R1966" s="75" t="n"/>
      <c r="S1966" s="76" t="n"/>
      <c r="T1966" s="76" t="n"/>
      <c r="U1966" s="70">
        <f>IF($A1966="","",IFERROR(INDEX('Techniciens'!$F$5:$F$44,MATCH(O1966,'Techniciens'!$B$5:$B$44,0)),'Paramètres'!$AA$10))</f>
        <v/>
      </c>
      <c r="V1966" s="70">
        <f>IF($A1966="","",IF(OR(AC1966="Demandé",AC1966="Planifié",AC1966="Annulé"),0,N(T1966)*N(U1966)))</f>
        <v/>
      </c>
      <c r="W1966" s="70">
        <f>IF($A1966="","",SUMIFS('Mouvements stock'!$H$5:$H$3004,'Mouvements stock'!$I$5:$I$3004,$A1966,'Mouvements stock'!$C$5:$C$3004,"Sortie")-SUMIFS('Mouvements stock'!$H$5:$H$3004,'Mouvements stock'!$I$5:$I$3004,$A1966,'Mouvements stock'!$C$5:$C$3004,"Retour"))</f>
        <v/>
      </c>
      <c r="X1966" s="66" t="n"/>
      <c r="Y1966" s="66" t="n"/>
      <c r="Z1966" s="7" t="n"/>
      <c r="AA1966" s="70">
        <f>IF($A1966="","",N(V1966)+N(W1966)+N(X1966)+N(Y1966))</f>
        <v/>
      </c>
      <c r="AB1966" s="70">
        <f>IF($A1966="","",N(S1966)*'Paramètres'!$AA$9*IFERROR(INDEX('Paramètres'!$O$5:$O$7,MATCH(G1966,'Paramètres'!$N$5:$N$7,0)),0))</f>
        <v/>
      </c>
      <c r="AC1966" s="7" t="n"/>
      <c r="AD1966" s="69">
        <f>IF(OR($A1966="",Q1966=""),"",(Q1966-B1966)*24)</f>
        <v/>
      </c>
      <c r="AE1966" s="69">
        <f>IF(OR(Q1966="",R1966=""),"",(R1966-Q1966)*24)</f>
        <v/>
      </c>
      <c r="AF1966" s="77">
        <f>IF(OR($A1966="",B1966=""),"",YEAR(B1966))</f>
        <v/>
      </c>
      <c r="AG1966" s="77">
        <f>IF(OR($A1966="",B1966=""),"",MONTH(B1966))</f>
        <v/>
      </c>
    </row>
    <row r="1967">
      <c r="A1967" s="7" t="n"/>
      <c r="B1967" s="75" t="n"/>
      <c r="C1967" s="7" t="n"/>
      <c r="D1967" s="7" t="n"/>
      <c r="E1967" s="9">
        <f>IF(D1967="","",IFERROR(INDEX('Équipements'!$B$5:$B$304,MATCH(D1967,'Équipements'!$A$5:$A$304,0)),"Code inconnu"))</f>
        <v/>
      </c>
      <c r="F1967" s="9">
        <f>IF(D1967="","",IFERROR(INDEX('Équipements'!$D$5:$D$304,MATCH(D1967,'Équipements'!$A$5:$A$304,0)),""))</f>
        <v/>
      </c>
      <c r="G1967" s="9">
        <f>IF(D1967="","",IFERROR(INDEX('Équipements'!$K$5:$K$304,MATCH(D1967,'Équipements'!$A$5:$A$304,0)),""))</f>
        <v/>
      </c>
      <c r="H1967" s="7" t="n"/>
      <c r="I1967" s="7" t="n"/>
      <c r="J1967" s="7" t="n"/>
      <c r="K1967" s="7" t="n"/>
      <c r="L1967" s="7" t="n"/>
      <c r="M1967" s="7" t="n"/>
      <c r="N1967" s="7" t="n"/>
      <c r="O1967" s="7" t="n"/>
      <c r="P1967" s="65" t="n"/>
      <c r="Q1967" s="75" t="n"/>
      <c r="R1967" s="75" t="n"/>
      <c r="S1967" s="76" t="n"/>
      <c r="T1967" s="76" t="n"/>
      <c r="U1967" s="70">
        <f>IF($A1967="","",IFERROR(INDEX('Techniciens'!$F$5:$F$44,MATCH(O1967,'Techniciens'!$B$5:$B$44,0)),'Paramètres'!$AA$10))</f>
        <v/>
      </c>
      <c r="V1967" s="70">
        <f>IF($A1967="","",IF(OR(AC1967="Demandé",AC1967="Planifié",AC1967="Annulé"),0,N(T1967)*N(U1967)))</f>
        <v/>
      </c>
      <c r="W1967" s="70">
        <f>IF($A1967="","",SUMIFS('Mouvements stock'!$H$5:$H$3004,'Mouvements stock'!$I$5:$I$3004,$A1967,'Mouvements stock'!$C$5:$C$3004,"Sortie")-SUMIFS('Mouvements stock'!$H$5:$H$3004,'Mouvements stock'!$I$5:$I$3004,$A1967,'Mouvements stock'!$C$5:$C$3004,"Retour"))</f>
        <v/>
      </c>
      <c r="X1967" s="66" t="n"/>
      <c r="Y1967" s="66" t="n"/>
      <c r="Z1967" s="7" t="n"/>
      <c r="AA1967" s="70">
        <f>IF($A1967="","",N(V1967)+N(W1967)+N(X1967)+N(Y1967))</f>
        <v/>
      </c>
      <c r="AB1967" s="70">
        <f>IF($A1967="","",N(S1967)*'Paramètres'!$AA$9*IFERROR(INDEX('Paramètres'!$O$5:$O$7,MATCH(G1967,'Paramètres'!$N$5:$N$7,0)),0))</f>
        <v/>
      </c>
      <c r="AC1967" s="7" t="n"/>
      <c r="AD1967" s="69">
        <f>IF(OR($A1967="",Q1967=""),"",(Q1967-B1967)*24)</f>
        <v/>
      </c>
      <c r="AE1967" s="69">
        <f>IF(OR(Q1967="",R1967=""),"",(R1967-Q1967)*24)</f>
        <v/>
      </c>
      <c r="AF1967" s="77">
        <f>IF(OR($A1967="",B1967=""),"",YEAR(B1967))</f>
        <v/>
      </c>
      <c r="AG1967" s="77">
        <f>IF(OR($A1967="",B1967=""),"",MONTH(B1967))</f>
        <v/>
      </c>
    </row>
    <row r="1968">
      <c r="A1968" s="7" t="n"/>
      <c r="B1968" s="75" t="n"/>
      <c r="C1968" s="7" t="n"/>
      <c r="D1968" s="7" t="n"/>
      <c r="E1968" s="9">
        <f>IF(D1968="","",IFERROR(INDEX('Équipements'!$B$5:$B$304,MATCH(D1968,'Équipements'!$A$5:$A$304,0)),"Code inconnu"))</f>
        <v/>
      </c>
      <c r="F1968" s="9">
        <f>IF(D1968="","",IFERROR(INDEX('Équipements'!$D$5:$D$304,MATCH(D1968,'Équipements'!$A$5:$A$304,0)),""))</f>
        <v/>
      </c>
      <c r="G1968" s="9">
        <f>IF(D1968="","",IFERROR(INDEX('Équipements'!$K$5:$K$304,MATCH(D1968,'Équipements'!$A$5:$A$304,0)),""))</f>
        <v/>
      </c>
      <c r="H1968" s="7" t="n"/>
      <c r="I1968" s="7" t="n"/>
      <c r="J1968" s="7" t="n"/>
      <c r="K1968" s="7" t="n"/>
      <c r="L1968" s="7" t="n"/>
      <c r="M1968" s="7" t="n"/>
      <c r="N1968" s="7" t="n"/>
      <c r="O1968" s="7" t="n"/>
      <c r="P1968" s="65" t="n"/>
      <c r="Q1968" s="75" t="n"/>
      <c r="R1968" s="75" t="n"/>
      <c r="S1968" s="76" t="n"/>
      <c r="T1968" s="76" t="n"/>
      <c r="U1968" s="70">
        <f>IF($A1968="","",IFERROR(INDEX('Techniciens'!$F$5:$F$44,MATCH(O1968,'Techniciens'!$B$5:$B$44,0)),'Paramètres'!$AA$10))</f>
        <v/>
      </c>
      <c r="V1968" s="70">
        <f>IF($A1968="","",IF(OR(AC1968="Demandé",AC1968="Planifié",AC1968="Annulé"),0,N(T1968)*N(U1968)))</f>
        <v/>
      </c>
      <c r="W1968" s="70">
        <f>IF($A1968="","",SUMIFS('Mouvements stock'!$H$5:$H$3004,'Mouvements stock'!$I$5:$I$3004,$A1968,'Mouvements stock'!$C$5:$C$3004,"Sortie")-SUMIFS('Mouvements stock'!$H$5:$H$3004,'Mouvements stock'!$I$5:$I$3004,$A1968,'Mouvements stock'!$C$5:$C$3004,"Retour"))</f>
        <v/>
      </c>
      <c r="X1968" s="66" t="n"/>
      <c r="Y1968" s="66" t="n"/>
      <c r="Z1968" s="7" t="n"/>
      <c r="AA1968" s="70">
        <f>IF($A1968="","",N(V1968)+N(W1968)+N(X1968)+N(Y1968))</f>
        <v/>
      </c>
      <c r="AB1968" s="70">
        <f>IF($A1968="","",N(S1968)*'Paramètres'!$AA$9*IFERROR(INDEX('Paramètres'!$O$5:$O$7,MATCH(G1968,'Paramètres'!$N$5:$N$7,0)),0))</f>
        <v/>
      </c>
      <c r="AC1968" s="7" t="n"/>
      <c r="AD1968" s="69">
        <f>IF(OR($A1968="",Q1968=""),"",(Q1968-B1968)*24)</f>
        <v/>
      </c>
      <c r="AE1968" s="69">
        <f>IF(OR(Q1968="",R1968=""),"",(R1968-Q1968)*24)</f>
        <v/>
      </c>
      <c r="AF1968" s="77">
        <f>IF(OR($A1968="",B1968=""),"",YEAR(B1968))</f>
        <v/>
      </c>
      <c r="AG1968" s="77">
        <f>IF(OR($A1968="",B1968=""),"",MONTH(B1968))</f>
        <v/>
      </c>
    </row>
    <row r="1969">
      <c r="A1969" s="7" t="n"/>
      <c r="B1969" s="75" t="n"/>
      <c r="C1969" s="7" t="n"/>
      <c r="D1969" s="7" t="n"/>
      <c r="E1969" s="9">
        <f>IF(D1969="","",IFERROR(INDEX('Équipements'!$B$5:$B$304,MATCH(D1969,'Équipements'!$A$5:$A$304,0)),"Code inconnu"))</f>
        <v/>
      </c>
      <c r="F1969" s="9">
        <f>IF(D1969="","",IFERROR(INDEX('Équipements'!$D$5:$D$304,MATCH(D1969,'Équipements'!$A$5:$A$304,0)),""))</f>
        <v/>
      </c>
      <c r="G1969" s="9">
        <f>IF(D1969="","",IFERROR(INDEX('Équipements'!$K$5:$K$304,MATCH(D1969,'Équipements'!$A$5:$A$304,0)),""))</f>
        <v/>
      </c>
      <c r="H1969" s="7" t="n"/>
      <c r="I1969" s="7" t="n"/>
      <c r="J1969" s="7" t="n"/>
      <c r="K1969" s="7" t="n"/>
      <c r="L1969" s="7" t="n"/>
      <c r="M1969" s="7" t="n"/>
      <c r="N1969" s="7" t="n"/>
      <c r="O1969" s="7" t="n"/>
      <c r="P1969" s="65" t="n"/>
      <c r="Q1969" s="75" t="n"/>
      <c r="R1969" s="75" t="n"/>
      <c r="S1969" s="76" t="n"/>
      <c r="T1969" s="76" t="n"/>
      <c r="U1969" s="70">
        <f>IF($A1969="","",IFERROR(INDEX('Techniciens'!$F$5:$F$44,MATCH(O1969,'Techniciens'!$B$5:$B$44,0)),'Paramètres'!$AA$10))</f>
        <v/>
      </c>
      <c r="V1969" s="70">
        <f>IF($A1969="","",IF(OR(AC1969="Demandé",AC1969="Planifié",AC1969="Annulé"),0,N(T1969)*N(U1969)))</f>
        <v/>
      </c>
      <c r="W1969" s="70">
        <f>IF($A1969="","",SUMIFS('Mouvements stock'!$H$5:$H$3004,'Mouvements stock'!$I$5:$I$3004,$A1969,'Mouvements stock'!$C$5:$C$3004,"Sortie")-SUMIFS('Mouvements stock'!$H$5:$H$3004,'Mouvements stock'!$I$5:$I$3004,$A1969,'Mouvements stock'!$C$5:$C$3004,"Retour"))</f>
        <v/>
      </c>
      <c r="X1969" s="66" t="n"/>
      <c r="Y1969" s="66" t="n"/>
      <c r="Z1969" s="7" t="n"/>
      <c r="AA1969" s="70">
        <f>IF($A1969="","",N(V1969)+N(W1969)+N(X1969)+N(Y1969))</f>
        <v/>
      </c>
      <c r="AB1969" s="70">
        <f>IF($A1969="","",N(S1969)*'Paramètres'!$AA$9*IFERROR(INDEX('Paramètres'!$O$5:$O$7,MATCH(G1969,'Paramètres'!$N$5:$N$7,0)),0))</f>
        <v/>
      </c>
      <c r="AC1969" s="7" t="n"/>
      <c r="AD1969" s="69">
        <f>IF(OR($A1969="",Q1969=""),"",(Q1969-B1969)*24)</f>
        <v/>
      </c>
      <c r="AE1969" s="69">
        <f>IF(OR(Q1969="",R1969=""),"",(R1969-Q1969)*24)</f>
        <v/>
      </c>
      <c r="AF1969" s="77">
        <f>IF(OR($A1969="",B1969=""),"",YEAR(B1969))</f>
        <v/>
      </c>
      <c r="AG1969" s="77">
        <f>IF(OR($A1969="",B1969=""),"",MONTH(B1969))</f>
        <v/>
      </c>
    </row>
    <row r="1970">
      <c r="A1970" s="7" t="n"/>
      <c r="B1970" s="75" t="n"/>
      <c r="C1970" s="7" t="n"/>
      <c r="D1970" s="7" t="n"/>
      <c r="E1970" s="9">
        <f>IF(D1970="","",IFERROR(INDEX('Équipements'!$B$5:$B$304,MATCH(D1970,'Équipements'!$A$5:$A$304,0)),"Code inconnu"))</f>
        <v/>
      </c>
      <c r="F1970" s="9">
        <f>IF(D1970="","",IFERROR(INDEX('Équipements'!$D$5:$D$304,MATCH(D1970,'Équipements'!$A$5:$A$304,0)),""))</f>
        <v/>
      </c>
      <c r="G1970" s="9">
        <f>IF(D1970="","",IFERROR(INDEX('Équipements'!$K$5:$K$304,MATCH(D1970,'Équipements'!$A$5:$A$304,0)),""))</f>
        <v/>
      </c>
      <c r="H1970" s="7" t="n"/>
      <c r="I1970" s="7" t="n"/>
      <c r="J1970" s="7" t="n"/>
      <c r="K1970" s="7" t="n"/>
      <c r="L1970" s="7" t="n"/>
      <c r="M1970" s="7" t="n"/>
      <c r="N1970" s="7" t="n"/>
      <c r="O1970" s="7" t="n"/>
      <c r="P1970" s="65" t="n"/>
      <c r="Q1970" s="75" t="n"/>
      <c r="R1970" s="75" t="n"/>
      <c r="S1970" s="76" t="n"/>
      <c r="T1970" s="76" t="n"/>
      <c r="U1970" s="70">
        <f>IF($A1970="","",IFERROR(INDEX('Techniciens'!$F$5:$F$44,MATCH(O1970,'Techniciens'!$B$5:$B$44,0)),'Paramètres'!$AA$10))</f>
        <v/>
      </c>
      <c r="V1970" s="70">
        <f>IF($A1970="","",IF(OR(AC1970="Demandé",AC1970="Planifié",AC1970="Annulé"),0,N(T1970)*N(U1970)))</f>
        <v/>
      </c>
      <c r="W1970" s="70">
        <f>IF($A1970="","",SUMIFS('Mouvements stock'!$H$5:$H$3004,'Mouvements stock'!$I$5:$I$3004,$A1970,'Mouvements stock'!$C$5:$C$3004,"Sortie")-SUMIFS('Mouvements stock'!$H$5:$H$3004,'Mouvements stock'!$I$5:$I$3004,$A1970,'Mouvements stock'!$C$5:$C$3004,"Retour"))</f>
        <v/>
      </c>
      <c r="X1970" s="66" t="n"/>
      <c r="Y1970" s="66" t="n"/>
      <c r="Z1970" s="7" t="n"/>
      <c r="AA1970" s="70">
        <f>IF($A1970="","",N(V1970)+N(W1970)+N(X1970)+N(Y1970))</f>
        <v/>
      </c>
      <c r="AB1970" s="70">
        <f>IF($A1970="","",N(S1970)*'Paramètres'!$AA$9*IFERROR(INDEX('Paramètres'!$O$5:$O$7,MATCH(G1970,'Paramètres'!$N$5:$N$7,0)),0))</f>
        <v/>
      </c>
      <c r="AC1970" s="7" t="n"/>
      <c r="AD1970" s="69">
        <f>IF(OR($A1970="",Q1970=""),"",(Q1970-B1970)*24)</f>
        <v/>
      </c>
      <c r="AE1970" s="69">
        <f>IF(OR(Q1970="",R1970=""),"",(R1970-Q1970)*24)</f>
        <v/>
      </c>
      <c r="AF1970" s="77">
        <f>IF(OR($A1970="",B1970=""),"",YEAR(B1970))</f>
        <v/>
      </c>
      <c r="AG1970" s="77">
        <f>IF(OR($A1970="",B1970=""),"",MONTH(B1970))</f>
        <v/>
      </c>
    </row>
    <row r="1971">
      <c r="A1971" s="7" t="n"/>
      <c r="B1971" s="75" t="n"/>
      <c r="C1971" s="7" t="n"/>
      <c r="D1971" s="7" t="n"/>
      <c r="E1971" s="9">
        <f>IF(D1971="","",IFERROR(INDEX('Équipements'!$B$5:$B$304,MATCH(D1971,'Équipements'!$A$5:$A$304,0)),"Code inconnu"))</f>
        <v/>
      </c>
      <c r="F1971" s="9">
        <f>IF(D1971="","",IFERROR(INDEX('Équipements'!$D$5:$D$304,MATCH(D1971,'Équipements'!$A$5:$A$304,0)),""))</f>
        <v/>
      </c>
      <c r="G1971" s="9">
        <f>IF(D1971="","",IFERROR(INDEX('Équipements'!$K$5:$K$304,MATCH(D1971,'Équipements'!$A$5:$A$304,0)),""))</f>
        <v/>
      </c>
      <c r="H1971" s="7" t="n"/>
      <c r="I1971" s="7" t="n"/>
      <c r="J1971" s="7" t="n"/>
      <c r="K1971" s="7" t="n"/>
      <c r="L1971" s="7" t="n"/>
      <c r="M1971" s="7" t="n"/>
      <c r="N1971" s="7" t="n"/>
      <c r="O1971" s="7" t="n"/>
      <c r="P1971" s="65" t="n"/>
      <c r="Q1971" s="75" t="n"/>
      <c r="R1971" s="75" t="n"/>
      <c r="S1971" s="76" t="n"/>
      <c r="T1971" s="76" t="n"/>
      <c r="U1971" s="70">
        <f>IF($A1971="","",IFERROR(INDEX('Techniciens'!$F$5:$F$44,MATCH(O1971,'Techniciens'!$B$5:$B$44,0)),'Paramètres'!$AA$10))</f>
        <v/>
      </c>
      <c r="V1971" s="70">
        <f>IF($A1971="","",IF(OR(AC1971="Demandé",AC1971="Planifié",AC1971="Annulé"),0,N(T1971)*N(U1971)))</f>
        <v/>
      </c>
      <c r="W1971" s="70">
        <f>IF($A1971="","",SUMIFS('Mouvements stock'!$H$5:$H$3004,'Mouvements stock'!$I$5:$I$3004,$A1971,'Mouvements stock'!$C$5:$C$3004,"Sortie")-SUMIFS('Mouvements stock'!$H$5:$H$3004,'Mouvements stock'!$I$5:$I$3004,$A1971,'Mouvements stock'!$C$5:$C$3004,"Retour"))</f>
        <v/>
      </c>
      <c r="X1971" s="66" t="n"/>
      <c r="Y1971" s="66" t="n"/>
      <c r="Z1971" s="7" t="n"/>
      <c r="AA1971" s="70">
        <f>IF($A1971="","",N(V1971)+N(W1971)+N(X1971)+N(Y1971))</f>
        <v/>
      </c>
      <c r="AB1971" s="70">
        <f>IF($A1971="","",N(S1971)*'Paramètres'!$AA$9*IFERROR(INDEX('Paramètres'!$O$5:$O$7,MATCH(G1971,'Paramètres'!$N$5:$N$7,0)),0))</f>
        <v/>
      </c>
      <c r="AC1971" s="7" t="n"/>
      <c r="AD1971" s="69">
        <f>IF(OR($A1971="",Q1971=""),"",(Q1971-B1971)*24)</f>
        <v/>
      </c>
      <c r="AE1971" s="69">
        <f>IF(OR(Q1971="",R1971=""),"",(R1971-Q1971)*24)</f>
        <v/>
      </c>
      <c r="AF1971" s="77">
        <f>IF(OR($A1971="",B1971=""),"",YEAR(B1971))</f>
        <v/>
      </c>
      <c r="AG1971" s="77">
        <f>IF(OR($A1971="",B1971=""),"",MONTH(B1971))</f>
        <v/>
      </c>
    </row>
    <row r="1972">
      <c r="A1972" s="7" t="n"/>
      <c r="B1972" s="75" t="n"/>
      <c r="C1972" s="7" t="n"/>
      <c r="D1972" s="7" t="n"/>
      <c r="E1972" s="9">
        <f>IF(D1972="","",IFERROR(INDEX('Équipements'!$B$5:$B$304,MATCH(D1972,'Équipements'!$A$5:$A$304,0)),"Code inconnu"))</f>
        <v/>
      </c>
      <c r="F1972" s="9">
        <f>IF(D1972="","",IFERROR(INDEX('Équipements'!$D$5:$D$304,MATCH(D1972,'Équipements'!$A$5:$A$304,0)),""))</f>
        <v/>
      </c>
      <c r="G1972" s="9">
        <f>IF(D1972="","",IFERROR(INDEX('Équipements'!$K$5:$K$304,MATCH(D1972,'Équipements'!$A$5:$A$304,0)),""))</f>
        <v/>
      </c>
      <c r="H1972" s="7" t="n"/>
      <c r="I1972" s="7" t="n"/>
      <c r="J1972" s="7" t="n"/>
      <c r="K1972" s="7" t="n"/>
      <c r="L1972" s="7" t="n"/>
      <c r="M1972" s="7" t="n"/>
      <c r="N1972" s="7" t="n"/>
      <c r="O1972" s="7" t="n"/>
      <c r="P1972" s="65" t="n"/>
      <c r="Q1972" s="75" t="n"/>
      <c r="R1972" s="75" t="n"/>
      <c r="S1972" s="76" t="n"/>
      <c r="T1972" s="76" t="n"/>
      <c r="U1972" s="70">
        <f>IF($A1972="","",IFERROR(INDEX('Techniciens'!$F$5:$F$44,MATCH(O1972,'Techniciens'!$B$5:$B$44,0)),'Paramètres'!$AA$10))</f>
        <v/>
      </c>
      <c r="V1972" s="70">
        <f>IF($A1972="","",IF(OR(AC1972="Demandé",AC1972="Planifié",AC1972="Annulé"),0,N(T1972)*N(U1972)))</f>
        <v/>
      </c>
      <c r="W1972" s="70">
        <f>IF($A1972="","",SUMIFS('Mouvements stock'!$H$5:$H$3004,'Mouvements stock'!$I$5:$I$3004,$A1972,'Mouvements stock'!$C$5:$C$3004,"Sortie")-SUMIFS('Mouvements stock'!$H$5:$H$3004,'Mouvements stock'!$I$5:$I$3004,$A1972,'Mouvements stock'!$C$5:$C$3004,"Retour"))</f>
        <v/>
      </c>
      <c r="X1972" s="66" t="n"/>
      <c r="Y1972" s="66" t="n"/>
      <c r="Z1972" s="7" t="n"/>
      <c r="AA1972" s="70">
        <f>IF($A1972="","",N(V1972)+N(W1972)+N(X1972)+N(Y1972))</f>
        <v/>
      </c>
      <c r="AB1972" s="70">
        <f>IF($A1972="","",N(S1972)*'Paramètres'!$AA$9*IFERROR(INDEX('Paramètres'!$O$5:$O$7,MATCH(G1972,'Paramètres'!$N$5:$N$7,0)),0))</f>
        <v/>
      </c>
      <c r="AC1972" s="7" t="n"/>
      <c r="AD1972" s="69">
        <f>IF(OR($A1972="",Q1972=""),"",(Q1972-B1972)*24)</f>
        <v/>
      </c>
      <c r="AE1972" s="69">
        <f>IF(OR(Q1972="",R1972=""),"",(R1972-Q1972)*24)</f>
        <v/>
      </c>
      <c r="AF1972" s="77">
        <f>IF(OR($A1972="",B1972=""),"",YEAR(B1972))</f>
        <v/>
      </c>
      <c r="AG1972" s="77">
        <f>IF(OR($A1972="",B1972=""),"",MONTH(B1972))</f>
        <v/>
      </c>
    </row>
    <row r="1973">
      <c r="A1973" s="7" t="n"/>
      <c r="B1973" s="75" t="n"/>
      <c r="C1973" s="7" t="n"/>
      <c r="D1973" s="7" t="n"/>
      <c r="E1973" s="9">
        <f>IF(D1973="","",IFERROR(INDEX('Équipements'!$B$5:$B$304,MATCH(D1973,'Équipements'!$A$5:$A$304,0)),"Code inconnu"))</f>
        <v/>
      </c>
      <c r="F1973" s="9">
        <f>IF(D1973="","",IFERROR(INDEX('Équipements'!$D$5:$D$304,MATCH(D1973,'Équipements'!$A$5:$A$304,0)),""))</f>
        <v/>
      </c>
      <c r="G1973" s="9">
        <f>IF(D1973="","",IFERROR(INDEX('Équipements'!$K$5:$K$304,MATCH(D1973,'Équipements'!$A$5:$A$304,0)),""))</f>
        <v/>
      </c>
      <c r="H1973" s="7" t="n"/>
      <c r="I1973" s="7" t="n"/>
      <c r="J1973" s="7" t="n"/>
      <c r="K1973" s="7" t="n"/>
      <c r="L1973" s="7" t="n"/>
      <c r="M1973" s="7" t="n"/>
      <c r="N1973" s="7" t="n"/>
      <c r="O1973" s="7" t="n"/>
      <c r="P1973" s="65" t="n"/>
      <c r="Q1973" s="75" t="n"/>
      <c r="R1973" s="75" t="n"/>
      <c r="S1973" s="76" t="n"/>
      <c r="T1973" s="76" t="n"/>
      <c r="U1973" s="70">
        <f>IF($A1973="","",IFERROR(INDEX('Techniciens'!$F$5:$F$44,MATCH(O1973,'Techniciens'!$B$5:$B$44,0)),'Paramètres'!$AA$10))</f>
        <v/>
      </c>
      <c r="V1973" s="70">
        <f>IF($A1973="","",IF(OR(AC1973="Demandé",AC1973="Planifié",AC1973="Annulé"),0,N(T1973)*N(U1973)))</f>
        <v/>
      </c>
      <c r="W1973" s="70">
        <f>IF($A1973="","",SUMIFS('Mouvements stock'!$H$5:$H$3004,'Mouvements stock'!$I$5:$I$3004,$A1973,'Mouvements stock'!$C$5:$C$3004,"Sortie")-SUMIFS('Mouvements stock'!$H$5:$H$3004,'Mouvements stock'!$I$5:$I$3004,$A1973,'Mouvements stock'!$C$5:$C$3004,"Retour"))</f>
        <v/>
      </c>
      <c r="X1973" s="66" t="n"/>
      <c r="Y1973" s="66" t="n"/>
      <c r="Z1973" s="7" t="n"/>
      <c r="AA1973" s="70">
        <f>IF($A1973="","",N(V1973)+N(W1973)+N(X1973)+N(Y1973))</f>
        <v/>
      </c>
      <c r="AB1973" s="70">
        <f>IF($A1973="","",N(S1973)*'Paramètres'!$AA$9*IFERROR(INDEX('Paramètres'!$O$5:$O$7,MATCH(G1973,'Paramètres'!$N$5:$N$7,0)),0))</f>
        <v/>
      </c>
      <c r="AC1973" s="7" t="n"/>
      <c r="AD1973" s="69">
        <f>IF(OR($A1973="",Q1973=""),"",(Q1973-B1973)*24)</f>
        <v/>
      </c>
      <c r="AE1973" s="69">
        <f>IF(OR(Q1973="",R1973=""),"",(R1973-Q1973)*24)</f>
        <v/>
      </c>
      <c r="AF1973" s="77">
        <f>IF(OR($A1973="",B1973=""),"",YEAR(B1973))</f>
        <v/>
      </c>
      <c r="AG1973" s="77">
        <f>IF(OR($A1973="",B1973=""),"",MONTH(B1973))</f>
        <v/>
      </c>
    </row>
    <row r="1974">
      <c r="A1974" s="7" t="n"/>
      <c r="B1974" s="75" t="n"/>
      <c r="C1974" s="7" t="n"/>
      <c r="D1974" s="7" t="n"/>
      <c r="E1974" s="9">
        <f>IF(D1974="","",IFERROR(INDEX('Équipements'!$B$5:$B$304,MATCH(D1974,'Équipements'!$A$5:$A$304,0)),"Code inconnu"))</f>
        <v/>
      </c>
      <c r="F1974" s="9">
        <f>IF(D1974="","",IFERROR(INDEX('Équipements'!$D$5:$D$304,MATCH(D1974,'Équipements'!$A$5:$A$304,0)),""))</f>
        <v/>
      </c>
      <c r="G1974" s="9">
        <f>IF(D1974="","",IFERROR(INDEX('Équipements'!$K$5:$K$304,MATCH(D1974,'Équipements'!$A$5:$A$304,0)),""))</f>
        <v/>
      </c>
      <c r="H1974" s="7" t="n"/>
      <c r="I1974" s="7" t="n"/>
      <c r="J1974" s="7" t="n"/>
      <c r="K1974" s="7" t="n"/>
      <c r="L1974" s="7" t="n"/>
      <c r="M1974" s="7" t="n"/>
      <c r="N1974" s="7" t="n"/>
      <c r="O1974" s="7" t="n"/>
      <c r="P1974" s="65" t="n"/>
      <c r="Q1974" s="75" t="n"/>
      <c r="R1974" s="75" t="n"/>
      <c r="S1974" s="76" t="n"/>
      <c r="T1974" s="76" t="n"/>
      <c r="U1974" s="70">
        <f>IF($A1974="","",IFERROR(INDEX('Techniciens'!$F$5:$F$44,MATCH(O1974,'Techniciens'!$B$5:$B$44,0)),'Paramètres'!$AA$10))</f>
        <v/>
      </c>
      <c r="V1974" s="70">
        <f>IF($A1974="","",IF(OR(AC1974="Demandé",AC1974="Planifié",AC1974="Annulé"),0,N(T1974)*N(U1974)))</f>
        <v/>
      </c>
      <c r="W1974" s="70">
        <f>IF($A1974="","",SUMIFS('Mouvements stock'!$H$5:$H$3004,'Mouvements stock'!$I$5:$I$3004,$A1974,'Mouvements stock'!$C$5:$C$3004,"Sortie")-SUMIFS('Mouvements stock'!$H$5:$H$3004,'Mouvements stock'!$I$5:$I$3004,$A1974,'Mouvements stock'!$C$5:$C$3004,"Retour"))</f>
        <v/>
      </c>
      <c r="X1974" s="66" t="n"/>
      <c r="Y1974" s="66" t="n"/>
      <c r="Z1974" s="7" t="n"/>
      <c r="AA1974" s="70">
        <f>IF($A1974="","",N(V1974)+N(W1974)+N(X1974)+N(Y1974))</f>
        <v/>
      </c>
      <c r="AB1974" s="70">
        <f>IF($A1974="","",N(S1974)*'Paramètres'!$AA$9*IFERROR(INDEX('Paramètres'!$O$5:$O$7,MATCH(G1974,'Paramètres'!$N$5:$N$7,0)),0))</f>
        <v/>
      </c>
      <c r="AC1974" s="7" t="n"/>
      <c r="AD1974" s="69">
        <f>IF(OR($A1974="",Q1974=""),"",(Q1974-B1974)*24)</f>
        <v/>
      </c>
      <c r="AE1974" s="69">
        <f>IF(OR(Q1974="",R1974=""),"",(R1974-Q1974)*24)</f>
        <v/>
      </c>
      <c r="AF1974" s="77">
        <f>IF(OR($A1974="",B1974=""),"",YEAR(B1974))</f>
        <v/>
      </c>
      <c r="AG1974" s="77">
        <f>IF(OR($A1974="",B1974=""),"",MONTH(B1974))</f>
        <v/>
      </c>
    </row>
    <row r="1975">
      <c r="A1975" s="7" t="n"/>
      <c r="B1975" s="75" t="n"/>
      <c r="C1975" s="7" t="n"/>
      <c r="D1975" s="7" t="n"/>
      <c r="E1975" s="9">
        <f>IF(D1975="","",IFERROR(INDEX('Équipements'!$B$5:$B$304,MATCH(D1975,'Équipements'!$A$5:$A$304,0)),"Code inconnu"))</f>
        <v/>
      </c>
      <c r="F1975" s="9">
        <f>IF(D1975="","",IFERROR(INDEX('Équipements'!$D$5:$D$304,MATCH(D1975,'Équipements'!$A$5:$A$304,0)),""))</f>
        <v/>
      </c>
      <c r="G1975" s="9">
        <f>IF(D1975="","",IFERROR(INDEX('Équipements'!$K$5:$K$304,MATCH(D1975,'Équipements'!$A$5:$A$304,0)),""))</f>
        <v/>
      </c>
      <c r="H1975" s="7" t="n"/>
      <c r="I1975" s="7" t="n"/>
      <c r="J1975" s="7" t="n"/>
      <c r="K1975" s="7" t="n"/>
      <c r="L1975" s="7" t="n"/>
      <c r="M1975" s="7" t="n"/>
      <c r="N1975" s="7" t="n"/>
      <c r="O1975" s="7" t="n"/>
      <c r="P1975" s="65" t="n"/>
      <c r="Q1975" s="75" t="n"/>
      <c r="R1975" s="75" t="n"/>
      <c r="S1975" s="76" t="n"/>
      <c r="T1975" s="76" t="n"/>
      <c r="U1975" s="70">
        <f>IF($A1975="","",IFERROR(INDEX('Techniciens'!$F$5:$F$44,MATCH(O1975,'Techniciens'!$B$5:$B$44,0)),'Paramètres'!$AA$10))</f>
        <v/>
      </c>
      <c r="V1975" s="70">
        <f>IF($A1975="","",IF(OR(AC1975="Demandé",AC1975="Planifié",AC1975="Annulé"),0,N(T1975)*N(U1975)))</f>
        <v/>
      </c>
      <c r="W1975" s="70">
        <f>IF($A1975="","",SUMIFS('Mouvements stock'!$H$5:$H$3004,'Mouvements stock'!$I$5:$I$3004,$A1975,'Mouvements stock'!$C$5:$C$3004,"Sortie")-SUMIFS('Mouvements stock'!$H$5:$H$3004,'Mouvements stock'!$I$5:$I$3004,$A1975,'Mouvements stock'!$C$5:$C$3004,"Retour"))</f>
        <v/>
      </c>
      <c r="X1975" s="66" t="n"/>
      <c r="Y1975" s="66" t="n"/>
      <c r="Z1975" s="7" t="n"/>
      <c r="AA1975" s="70">
        <f>IF($A1975="","",N(V1975)+N(W1975)+N(X1975)+N(Y1975))</f>
        <v/>
      </c>
      <c r="AB1975" s="70">
        <f>IF($A1975="","",N(S1975)*'Paramètres'!$AA$9*IFERROR(INDEX('Paramètres'!$O$5:$O$7,MATCH(G1975,'Paramètres'!$N$5:$N$7,0)),0))</f>
        <v/>
      </c>
      <c r="AC1975" s="7" t="n"/>
      <c r="AD1975" s="69">
        <f>IF(OR($A1975="",Q1975=""),"",(Q1975-B1975)*24)</f>
        <v/>
      </c>
      <c r="AE1975" s="69">
        <f>IF(OR(Q1975="",R1975=""),"",(R1975-Q1975)*24)</f>
        <v/>
      </c>
      <c r="AF1975" s="77">
        <f>IF(OR($A1975="",B1975=""),"",YEAR(B1975))</f>
        <v/>
      </c>
      <c r="AG1975" s="77">
        <f>IF(OR($A1975="",B1975=""),"",MONTH(B1975))</f>
        <v/>
      </c>
    </row>
    <row r="1976">
      <c r="A1976" s="7" t="n"/>
      <c r="B1976" s="75" t="n"/>
      <c r="C1976" s="7" t="n"/>
      <c r="D1976" s="7" t="n"/>
      <c r="E1976" s="9">
        <f>IF(D1976="","",IFERROR(INDEX('Équipements'!$B$5:$B$304,MATCH(D1976,'Équipements'!$A$5:$A$304,0)),"Code inconnu"))</f>
        <v/>
      </c>
      <c r="F1976" s="9">
        <f>IF(D1976="","",IFERROR(INDEX('Équipements'!$D$5:$D$304,MATCH(D1976,'Équipements'!$A$5:$A$304,0)),""))</f>
        <v/>
      </c>
      <c r="G1976" s="9">
        <f>IF(D1976="","",IFERROR(INDEX('Équipements'!$K$5:$K$304,MATCH(D1976,'Équipements'!$A$5:$A$304,0)),""))</f>
        <v/>
      </c>
      <c r="H1976" s="7" t="n"/>
      <c r="I1976" s="7" t="n"/>
      <c r="J1976" s="7" t="n"/>
      <c r="K1976" s="7" t="n"/>
      <c r="L1976" s="7" t="n"/>
      <c r="M1976" s="7" t="n"/>
      <c r="N1976" s="7" t="n"/>
      <c r="O1976" s="7" t="n"/>
      <c r="P1976" s="65" t="n"/>
      <c r="Q1976" s="75" t="n"/>
      <c r="R1976" s="75" t="n"/>
      <c r="S1976" s="76" t="n"/>
      <c r="T1976" s="76" t="n"/>
      <c r="U1976" s="70">
        <f>IF($A1976="","",IFERROR(INDEX('Techniciens'!$F$5:$F$44,MATCH(O1976,'Techniciens'!$B$5:$B$44,0)),'Paramètres'!$AA$10))</f>
        <v/>
      </c>
      <c r="V1976" s="70">
        <f>IF($A1976="","",IF(OR(AC1976="Demandé",AC1976="Planifié",AC1976="Annulé"),0,N(T1976)*N(U1976)))</f>
        <v/>
      </c>
      <c r="W1976" s="70">
        <f>IF($A1976="","",SUMIFS('Mouvements stock'!$H$5:$H$3004,'Mouvements stock'!$I$5:$I$3004,$A1976,'Mouvements stock'!$C$5:$C$3004,"Sortie")-SUMIFS('Mouvements stock'!$H$5:$H$3004,'Mouvements stock'!$I$5:$I$3004,$A1976,'Mouvements stock'!$C$5:$C$3004,"Retour"))</f>
        <v/>
      </c>
      <c r="X1976" s="66" t="n"/>
      <c r="Y1976" s="66" t="n"/>
      <c r="Z1976" s="7" t="n"/>
      <c r="AA1976" s="70">
        <f>IF($A1976="","",N(V1976)+N(W1976)+N(X1976)+N(Y1976))</f>
        <v/>
      </c>
      <c r="AB1976" s="70">
        <f>IF($A1976="","",N(S1976)*'Paramètres'!$AA$9*IFERROR(INDEX('Paramètres'!$O$5:$O$7,MATCH(G1976,'Paramètres'!$N$5:$N$7,0)),0))</f>
        <v/>
      </c>
      <c r="AC1976" s="7" t="n"/>
      <c r="AD1976" s="69">
        <f>IF(OR($A1976="",Q1976=""),"",(Q1976-B1976)*24)</f>
        <v/>
      </c>
      <c r="AE1976" s="69">
        <f>IF(OR(Q1976="",R1976=""),"",(R1976-Q1976)*24)</f>
        <v/>
      </c>
      <c r="AF1976" s="77">
        <f>IF(OR($A1976="",B1976=""),"",YEAR(B1976))</f>
        <v/>
      </c>
      <c r="AG1976" s="77">
        <f>IF(OR($A1976="",B1976=""),"",MONTH(B1976))</f>
        <v/>
      </c>
    </row>
    <row r="1977">
      <c r="A1977" s="7" t="n"/>
      <c r="B1977" s="75" t="n"/>
      <c r="C1977" s="7" t="n"/>
      <c r="D1977" s="7" t="n"/>
      <c r="E1977" s="9">
        <f>IF(D1977="","",IFERROR(INDEX('Équipements'!$B$5:$B$304,MATCH(D1977,'Équipements'!$A$5:$A$304,0)),"Code inconnu"))</f>
        <v/>
      </c>
      <c r="F1977" s="9">
        <f>IF(D1977="","",IFERROR(INDEX('Équipements'!$D$5:$D$304,MATCH(D1977,'Équipements'!$A$5:$A$304,0)),""))</f>
        <v/>
      </c>
      <c r="G1977" s="9">
        <f>IF(D1977="","",IFERROR(INDEX('Équipements'!$K$5:$K$304,MATCH(D1977,'Équipements'!$A$5:$A$304,0)),""))</f>
        <v/>
      </c>
      <c r="H1977" s="7" t="n"/>
      <c r="I1977" s="7" t="n"/>
      <c r="J1977" s="7" t="n"/>
      <c r="K1977" s="7" t="n"/>
      <c r="L1977" s="7" t="n"/>
      <c r="M1977" s="7" t="n"/>
      <c r="N1977" s="7" t="n"/>
      <c r="O1977" s="7" t="n"/>
      <c r="P1977" s="65" t="n"/>
      <c r="Q1977" s="75" t="n"/>
      <c r="R1977" s="75" t="n"/>
      <c r="S1977" s="76" t="n"/>
      <c r="T1977" s="76" t="n"/>
      <c r="U1977" s="70">
        <f>IF($A1977="","",IFERROR(INDEX('Techniciens'!$F$5:$F$44,MATCH(O1977,'Techniciens'!$B$5:$B$44,0)),'Paramètres'!$AA$10))</f>
        <v/>
      </c>
      <c r="V1977" s="70">
        <f>IF($A1977="","",IF(OR(AC1977="Demandé",AC1977="Planifié",AC1977="Annulé"),0,N(T1977)*N(U1977)))</f>
        <v/>
      </c>
      <c r="W1977" s="70">
        <f>IF($A1977="","",SUMIFS('Mouvements stock'!$H$5:$H$3004,'Mouvements stock'!$I$5:$I$3004,$A1977,'Mouvements stock'!$C$5:$C$3004,"Sortie")-SUMIFS('Mouvements stock'!$H$5:$H$3004,'Mouvements stock'!$I$5:$I$3004,$A1977,'Mouvements stock'!$C$5:$C$3004,"Retour"))</f>
        <v/>
      </c>
      <c r="X1977" s="66" t="n"/>
      <c r="Y1977" s="66" t="n"/>
      <c r="Z1977" s="7" t="n"/>
      <c r="AA1977" s="70">
        <f>IF($A1977="","",N(V1977)+N(W1977)+N(X1977)+N(Y1977))</f>
        <v/>
      </c>
      <c r="AB1977" s="70">
        <f>IF($A1977="","",N(S1977)*'Paramètres'!$AA$9*IFERROR(INDEX('Paramètres'!$O$5:$O$7,MATCH(G1977,'Paramètres'!$N$5:$N$7,0)),0))</f>
        <v/>
      </c>
      <c r="AC1977" s="7" t="n"/>
      <c r="AD1977" s="69">
        <f>IF(OR($A1977="",Q1977=""),"",(Q1977-B1977)*24)</f>
        <v/>
      </c>
      <c r="AE1977" s="69">
        <f>IF(OR(Q1977="",R1977=""),"",(R1977-Q1977)*24)</f>
        <v/>
      </c>
      <c r="AF1977" s="77">
        <f>IF(OR($A1977="",B1977=""),"",YEAR(B1977))</f>
        <v/>
      </c>
      <c r="AG1977" s="77">
        <f>IF(OR($A1977="",B1977=""),"",MONTH(B1977))</f>
        <v/>
      </c>
    </row>
    <row r="1978">
      <c r="A1978" s="7" t="n"/>
      <c r="B1978" s="75" t="n"/>
      <c r="C1978" s="7" t="n"/>
      <c r="D1978" s="7" t="n"/>
      <c r="E1978" s="9">
        <f>IF(D1978="","",IFERROR(INDEX('Équipements'!$B$5:$B$304,MATCH(D1978,'Équipements'!$A$5:$A$304,0)),"Code inconnu"))</f>
        <v/>
      </c>
      <c r="F1978" s="9">
        <f>IF(D1978="","",IFERROR(INDEX('Équipements'!$D$5:$D$304,MATCH(D1978,'Équipements'!$A$5:$A$304,0)),""))</f>
        <v/>
      </c>
      <c r="G1978" s="9">
        <f>IF(D1978="","",IFERROR(INDEX('Équipements'!$K$5:$K$304,MATCH(D1978,'Équipements'!$A$5:$A$304,0)),""))</f>
        <v/>
      </c>
      <c r="H1978" s="7" t="n"/>
      <c r="I1978" s="7" t="n"/>
      <c r="J1978" s="7" t="n"/>
      <c r="K1978" s="7" t="n"/>
      <c r="L1978" s="7" t="n"/>
      <c r="M1978" s="7" t="n"/>
      <c r="N1978" s="7" t="n"/>
      <c r="O1978" s="7" t="n"/>
      <c r="P1978" s="65" t="n"/>
      <c r="Q1978" s="75" t="n"/>
      <c r="R1978" s="75" t="n"/>
      <c r="S1978" s="76" t="n"/>
      <c r="T1978" s="76" t="n"/>
      <c r="U1978" s="70">
        <f>IF($A1978="","",IFERROR(INDEX('Techniciens'!$F$5:$F$44,MATCH(O1978,'Techniciens'!$B$5:$B$44,0)),'Paramètres'!$AA$10))</f>
        <v/>
      </c>
      <c r="V1978" s="70">
        <f>IF($A1978="","",IF(OR(AC1978="Demandé",AC1978="Planifié",AC1978="Annulé"),0,N(T1978)*N(U1978)))</f>
        <v/>
      </c>
      <c r="W1978" s="70">
        <f>IF($A1978="","",SUMIFS('Mouvements stock'!$H$5:$H$3004,'Mouvements stock'!$I$5:$I$3004,$A1978,'Mouvements stock'!$C$5:$C$3004,"Sortie")-SUMIFS('Mouvements stock'!$H$5:$H$3004,'Mouvements stock'!$I$5:$I$3004,$A1978,'Mouvements stock'!$C$5:$C$3004,"Retour"))</f>
        <v/>
      </c>
      <c r="X1978" s="66" t="n"/>
      <c r="Y1978" s="66" t="n"/>
      <c r="Z1978" s="7" t="n"/>
      <c r="AA1978" s="70">
        <f>IF($A1978="","",N(V1978)+N(W1978)+N(X1978)+N(Y1978))</f>
        <v/>
      </c>
      <c r="AB1978" s="70">
        <f>IF($A1978="","",N(S1978)*'Paramètres'!$AA$9*IFERROR(INDEX('Paramètres'!$O$5:$O$7,MATCH(G1978,'Paramètres'!$N$5:$N$7,0)),0))</f>
        <v/>
      </c>
      <c r="AC1978" s="7" t="n"/>
      <c r="AD1978" s="69">
        <f>IF(OR($A1978="",Q1978=""),"",(Q1978-B1978)*24)</f>
        <v/>
      </c>
      <c r="AE1978" s="69">
        <f>IF(OR(Q1978="",R1978=""),"",(R1978-Q1978)*24)</f>
        <v/>
      </c>
      <c r="AF1978" s="77">
        <f>IF(OR($A1978="",B1978=""),"",YEAR(B1978))</f>
        <v/>
      </c>
      <c r="AG1978" s="77">
        <f>IF(OR($A1978="",B1978=""),"",MONTH(B1978))</f>
        <v/>
      </c>
    </row>
    <row r="1979">
      <c r="A1979" s="7" t="n"/>
      <c r="B1979" s="75" t="n"/>
      <c r="C1979" s="7" t="n"/>
      <c r="D1979" s="7" t="n"/>
      <c r="E1979" s="9">
        <f>IF(D1979="","",IFERROR(INDEX('Équipements'!$B$5:$B$304,MATCH(D1979,'Équipements'!$A$5:$A$304,0)),"Code inconnu"))</f>
        <v/>
      </c>
      <c r="F1979" s="9">
        <f>IF(D1979="","",IFERROR(INDEX('Équipements'!$D$5:$D$304,MATCH(D1979,'Équipements'!$A$5:$A$304,0)),""))</f>
        <v/>
      </c>
      <c r="G1979" s="9">
        <f>IF(D1979="","",IFERROR(INDEX('Équipements'!$K$5:$K$304,MATCH(D1979,'Équipements'!$A$5:$A$304,0)),""))</f>
        <v/>
      </c>
      <c r="H1979" s="7" t="n"/>
      <c r="I1979" s="7" t="n"/>
      <c r="J1979" s="7" t="n"/>
      <c r="K1979" s="7" t="n"/>
      <c r="L1979" s="7" t="n"/>
      <c r="M1979" s="7" t="n"/>
      <c r="N1979" s="7" t="n"/>
      <c r="O1979" s="7" t="n"/>
      <c r="P1979" s="65" t="n"/>
      <c r="Q1979" s="75" t="n"/>
      <c r="R1979" s="75" t="n"/>
      <c r="S1979" s="76" t="n"/>
      <c r="T1979" s="76" t="n"/>
      <c r="U1979" s="70">
        <f>IF($A1979="","",IFERROR(INDEX('Techniciens'!$F$5:$F$44,MATCH(O1979,'Techniciens'!$B$5:$B$44,0)),'Paramètres'!$AA$10))</f>
        <v/>
      </c>
      <c r="V1979" s="70">
        <f>IF($A1979="","",IF(OR(AC1979="Demandé",AC1979="Planifié",AC1979="Annulé"),0,N(T1979)*N(U1979)))</f>
        <v/>
      </c>
      <c r="W1979" s="70">
        <f>IF($A1979="","",SUMIFS('Mouvements stock'!$H$5:$H$3004,'Mouvements stock'!$I$5:$I$3004,$A1979,'Mouvements stock'!$C$5:$C$3004,"Sortie")-SUMIFS('Mouvements stock'!$H$5:$H$3004,'Mouvements stock'!$I$5:$I$3004,$A1979,'Mouvements stock'!$C$5:$C$3004,"Retour"))</f>
        <v/>
      </c>
      <c r="X1979" s="66" t="n"/>
      <c r="Y1979" s="66" t="n"/>
      <c r="Z1979" s="7" t="n"/>
      <c r="AA1979" s="70">
        <f>IF($A1979="","",N(V1979)+N(W1979)+N(X1979)+N(Y1979))</f>
        <v/>
      </c>
      <c r="AB1979" s="70">
        <f>IF($A1979="","",N(S1979)*'Paramètres'!$AA$9*IFERROR(INDEX('Paramètres'!$O$5:$O$7,MATCH(G1979,'Paramètres'!$N$5:$N$7,0)),0))</f>
        <v/>
      </c>
      <c r="AC1979" s="7" t="n"/>
      <c r="AD1979" s="69">
        <f>IF(OR($A1979="",Q1979=""),"",(Q1979-B1979)*24)</f>
        <v/>
      </c>
      <c r="AE1979" s="69">
        <f>IF(OR(Q1979="",R1979=""),"",(R1979-Q1979)*24)</f>
        <v/>
      </c>
      <c r="AF1979" s="77">
        <f>IF(OR($A1979="",B1979=""),"",YEAR(B1979))</f>
        <v/>
      </c>
      <c r="AG1979" s="77">
        <f>IF(OR($A1979="",B1979=""),"",MONTH(B1979))</f>
        <v/>
      </c>
    </row>
    <row r="1980">
      <c r="A1980" s="7" t="n"/>
      <c r="B1980" s="75" t="n"/>
      <c r="C1980" s="7" t="n"/>
      <c r="D1980" s="7" t="n"/>
      <c r="E1980" s="9">
        <f>IF(D1980="","",IFERROR(INDEX('Équipements'!$B$5:$B$304,MATCH(D1980,'Équipements'!$A$5:$A$304,0)),"Code inconnu"))</f>
        <v/>
      </c>
      <c r="F1980" s="9">
        <f>IF(D1980="","",IFERROR(INDEX('Équipements'!$D$5:$D$304,MATCH(D1980,'Équipements'!$A$5:$A$304,0)),""))</f>
        <v/>
      </c>
      <c r="G1980" s="9">
        <f>IF(D1980="","",IFERROR(INDEX('Équipements'!$K$5:$K$304,MATCH(D1980,'Équipements'!$A$5:$A$304,0)),""))</f>
        <v/>
      </c>
      <c r="H1980" s="7" t="n"/>
      <c r="I1980" s="7" t="n"/>
      <c r="J1980" s="7" t="n"/>
      <c r="K1980" s="7" t="n"/>
      <c r="L1980" s="7" t="n"/>
      <c r="M1980" s="7" t="n"/>
      <c r="N1980" s="7" t="n"/>
      <c r="O1980" s="7" t="n"/>
      <c r="P1980" s="65" t="n"/>
      <c r="Q1980" s="75" t="n"/>
      <c r="R1980" s="75" t="n"/>
      <c r="S1980" s="76" t="n"/>
      <c r="T1980" s="76" t="n"/>
      <c r="U1980" s="70">
        <f>IF($A1980="","",IFERROR(INDEX('Techniciens'!$F$5:$F$44,MATCH(O1980,'Techniciens'!$B$5:$B$44,0)),'Paramètres'!$AA$10))</f>
        <v/>
      </c>
      <c r="V1980" s="70">
        <f>IF($A1980="","",IF(OR(AC1980="Demandé",AC1980="Planifié",AC1980="Annulé"),0,N(T1980)*N(U1980)))</f>
        <v/>
      </c>
      <c r="W1980" s="70">
        <f>IF($A1980="","",SUMIFS('Mouvements stock'!$H$5:$H$3004,'Mouvements stock'!$I$5:$I$3004,$A1980,'Mouvements stock'!$C$5:$C$3004,"Sortie")-SUMIFS('Mouvements stock'!$H$5:$H$3004,'Mouvements stock'!$I$5:$I$3004,$A1980,'Mouvements stock'!$C$5:$C$3004,"Retour"))</f>
        <v/>
      </c>
      <c r="X1980" s="66" t="n"/>
      <c r="Y1980" s="66" t="n"/>
      <c r="Z1980" s="7" t="n"/>
      <c r="AA1980" s="70">
        <f>IF($A1980="","",N(V1980)+N(W1980)+N(X1980)+N(Y1980))</f>
        <v/>
      </c>
      <c r="AB1980" s="70">
        <f>IF($A1980="","",N(S1980)*'Paramètres'!$AA$9*IFERROR(INDEX('Paramètres'!$O$5:$O$7,MATCH(G1980,'Paramètres'!$N$5:$N$7,0)),0))</f>
        <v/>
      </c>
      <c r="AC1980" s="7" t="n"/>
      <c r="AD1980" s="69">
        <f>IF(OR($A1980="",Q1980=""),"",(Q1980-B1980)*24)</f>
        <v/>
      </c>
      <c r="AE1980" s="69">
        <f>IF(OR(Q1980="",R1980=""),"",(R1980-Q1980)*24)</f>
        <v/>
      </c>
      <c r="AF1980" s="77">
        <f>IF(OR($A1980="",B1980=""),"",YEAR(B1980))</f>
        <v/>
      </c>
      <c r="AG1980" s="77">
        <f>IF(OR($A1980="",B1980=""),"",MONTH(B1980))</f>
        <v/>
      </c>
    </row>
    <row r="1981">
      <c r="A1981" s="7" t="n"/>
      <c r="B1981" s="75" t="n"/>
      <c r="C1981" s="7" t="n"/>
      <c r="D1981" s="7" t="n"/>
      <c r="E1981" s="9">
        <f>IF(D1981="","",IFERROR(INDEX('Équipements'!$B$5:$B$304,MATCH(D1981,'Équipements'!$A$5:$A$304,0)),"Code inconnu"))</f>
        <v/>
      </c>
      <c r="F1981" s="9">
        <f>IF(D1981="","",IFERROR(INDEX('Équipements'!$D$5:$D$304,MATCH(D1981,'Équipements'!$A$5:$A$304,0)),""))</f>
        <v/>
      </c>
      <c r="G1981" s="9">
        <f>IF(D1981="","",IFERROR(INDEX('Équipements'!$K$5:$K$304,MATCH(D1981,'Équipements'!$A$5:$A$304,0)),""))</f>
        <v/>
      </c>
      <c r="H1981" s="7" t="n"/>
      <c r="I1981" s="7" t="n"/>
      <c r="J1981" s="7" t="n"/>
      <c r="K1981" s="7" t="n"/>
      <c r="L1981" s="7" t="n"/>
      <c r="M1981" s="7" t="n"/>
      <c r="N1981" s="7" t="n"/>
      <c r="O1981" s="7" t="n"/>
      <c r="P1981" s="65" t="n"/>
      <c r="Q1981" s="75" t="n"/>
      <c r="R1981" s="75" t="n"/>
      <c r="S1981" s="76" t="n"/>
      <c r="T1981" s="76" t="n"/>
      <c r="U1981" s="70">
        <f>IF($A1981="","",IFERROR(INDEX('Techniciens'!$F$5:$F$44,MATCH(O1981,'Techniciens'!$B$5:$B$44,0)),'Paramètres'!$AA$10))</f>
        <v/>
      </c>
      <c r="V1981" s="70">
        <f>IF($A1981="","",IF(OR(AC1981="Demandé",AC1981="Planifié",AC1981="Annulé"),0,N(T1981)*N(U1981)))</f>
        <v/>
      </c>
      <c r="W1981" s="70">
        <f>IF($A1981="","",SUMIFS('Mouvements stock'!$H$5:$H$3004,'Mouvements stock'!$I$5:$I$3004,$A1981,'Mouvements stock'!$C$5:$C$3004,"Sortie")-SUMIFS('Mouvements stock'!$H$5:$H$3004,'Mouvements stock'!$I$5:$I$3004,$A1981,'Mouvements stock'!$C$5:$C$3004,"Retour"))</f>
        <v/>
      </c>
      <c r="X1981" s="66" t="n"/>
      <c r="Y1981" s="66" t="n"/>
      <c r="Z1981" s="7" t="n"/>
      <c r="AA1981" s="70">
        <f>IF($A1981="","",N(V1981)+N(W1981)+N(X1981)+N(Y1981))</f>
        <v/>
      </c>
      <c r="AB1981" s="70">
        <f>IF($A1981="","",N(S1981)*'Paramètres'!$AA$9*IFERROR(INDEX('Paramètres'!$O$5:$O$7,MATCH(G1981,'Paramètres'!$N$5:$N$7,0)),0))</f>
        <v/>
      </c>
      <c r="AC1981" s="7" t="n"/>
      <c r="AD1981" s="69">
        <f>IF(OR($A1981="",Q1981=""),"",(Q1981-B1981)*24)</f>
        <v/>
      </c>
      <c r="AE1981" s="69">
        <f>IF(OR(Q1981="",R1981=""),"",(R1981-Q1981)*24)</f>
        <v/>
      </c>
      <c r="AF1981" s="77">
        <f>IF(OR($A1981="",B1981=""),"",YEAR(B1981))</f>
        <v/>
      </c>
      <c r="AG1981" s="77">
        <f>IF(OR($A1981="",B1981=""),"",MONTH(B1981))</f>
        <v/>
      </c>
    </row>
    <row r="1982">
      <c r="A1982" s="7" t="n"/>
      <c r="B1982" s="75" t="n"/>
      <c r="C1982" s="7" t="n"/>
      <c r="D1982" s="7" t="n"/>
      <c r="E1982" s="9">
        <f>IF(D1982="","",IFERROR(INDEX('Équipements'!$B$5:$B$304,MATCH(D1982,'Équipements'!$A$5:$A$304,0)),"Code inconnu"))</f>
        <v/>
      </c>
      <c r="F1982" s="9">
        <f>IF(D1982="","",IFERROR(INDEX('Équipements'!$D$5:$D$304,MATCH(D1982,'Équipements'!$A$5:$A$304,0)),""))</f>
        <v/>
      </c>
      <c r="G1982" s="9">
        <f>IF(D1982="","",IFERROR(INDEX('Équipements'!$K$5:$K$304,MATCH(D1982,'Équipements'!$A$5:$A$304,0)),""))</f>
        <v/>
      </c>
      <c r="H1982" s="7" t="n"/>
      <c r="I1982" s="7" t="n"/>
      <c r="J1982" s="7" t="n"/>
      <c r="K1982" s="7" t="n"/>
      <c r="L1982" s="7" t="n"/>
      <c r="M1982" s="7" t="n"/>
      <c r="N1982" s="7" t="n"/>
      <c r="O1982" s="7" t="n"/>
      <c r="P1982" s="65" t="n"/>
      <c r="Q1982" s="75" t="n"/>
      <c r="R1982" s="75" t="n"/>
      <c r="S1982" s="76" t="n"/>
      <c r="T1982" s="76" t="n"/>
      <c r="U1982" s="70">
        <f>IF($A1982="","",IFERROR(INDEX('Techniciens'!$F$5:$F$44,MATCH(O1982,'Techniciens'!$B$5:$B$44,0)),'Paramètres'!$AA$10))</f>
        <v/>
      </c>
      <c r="V1982" s="70">
        <f>IF($A1982="","",IF(OR(AC1982="Demandé",AC1982="Planifié",AC1982="Annulé"),0,N(T1982)*N(U1982)))</f>
        <v/>
      </c>
      <c r="W1982" s="70">
        <f>IF($A1982="","",SUMIFS('Mouvements stock'!$H$5:$H$3004,'Mouvements stock'!$I$5:$I$3004,$A1982,'Mouvements stock'!$C$5:$C$3004,"Sortie")-SUMIFS('Mouvements stock'!$H$5:$H$3004,'Mouvements stock'!$I$5:$I$3004,$A1982,'Mouvements stock'!$C$5:$C$3004,"Retour"))</f>
        <v/>
      </c>
      <c r="X1982" s="66" t="n"/>
      <c r="Y1982" s="66" t="n"/>
      <c r="Z1982" s="7" t="n"/>
      <c r="AA1982" s="70">
        <f>IF($A1982="","",N(V1982)+N(W1982)+N(X1982)+N(Y1982))</f>
        <v/>
      </c>
      <c r="AB1982" s="70">
        <f>IF($A1982="","",N(S1982)*'Paramètres'!$AA$9*IFERROR(INDEX('Paramètres'!$O$5:$O$7,MATCH(G1982,'Paramètres'!$N$5:$N$7,0)),0))</f>
        <v/>
      </c>
      <c r="AC1982" s="7" t="n"/>
      <c r="AD1982" s="69">
        <f>IF(OR($A1982="",Q1982=""),"",(Q1982-B1982)*24)</f>
        <v/>
      </c>
      <c r="AE1982" s="69">
        <f>IF(OR(Q1982="",R1982=""),"",(R1982-Q1982)*24)</f>
        <v/>
      </c>
      <c r="AF1982" s="77">
        <f>IF(OR($A1982="",B1982=""),"",YEAR(B1982))</f>
        <v/>
      </c>
      <c r="AG1982" s="77">
        <f>IF(OR($A1982="",B1982=""),"",MONTH(B1982))</f>
        <v/>
      </c>
    </row>
    <row r="1983">
      <c r="A1983" s="7" t="n"/>
      <c r="B1983" s="75" t="n"/>
      <c r="C1983" s="7" t="n"/>
      <c r="D1983" s="7" t="n"/>
      <c r="E1983" s="9">
        <f>IF(D1983="","",IFERROR(INDEX('Équipements'!$B$5:$B$304,MATCH(D1983,'Équipements'!$A$5:$A$304,0)),"Code inconnu"))</f>
        <v/>
      </c>
      <c r="F1983" s="9">
        <f>IF(D1983="","",IFERROR(INDEX('Équipements'!$D$5:$D$304,MATCH(D1983,'Équipements'!$A$5:$A$304,0)),""))</f>
        <v/>
      </c>
      <c r="G1983" s="9">
        <f>IF(D1983="","",IFERROR(INDEX('Équipements'!$K$5:$K$304,MATCH(D1983,'Équipements'!$A$5:$A$304,0)),""))</f>
        <v/>
      </c>
      <c r="H1983" s="7" t="n"/>
      <c r="I1983" s="7" t="n"/>
      <c r="J1983" s="7" t="n"/>
      <c r="K1983" s="7" t="n"/>
      <c r="L1983" s="7" t="n"/>
      <c r="M1983" s="7" t="n"/>
      <c r="N1983" s="7" t="n"/>
      <c r="O1983" s="7" t="n"/>
      <c r="P1983" s="65" t="n"/>
      <c r="Q1983" s="75" t="n"/>
      <c r="R1983" s="75" t="n"/>
      <c r="S1983" s="76" t="n"/>
      <c r="T1983" s="76" t="n"/>
      <c r="U1983" s="70">
        <f>IF($A1983="","",IFERROR(INDEX('Techniciens'!$F$5:$F$44,MATCH(O1983,'Techniciens'!$B$5:$B$44,0)),'Paramètres'!$AA$10))</f>
        <v/>
      </c>
      <c r="V1983" s="70">
        <f>IF($A1983="","",IF(OR(AC1983="Demandé",AC1983="Planifié",AC1983="Annulé"),0,N(T1983)*N(U1983)))</f>
        <v/>
      </c>
      <c r="W1983" s="70">
        <f>IF($A1983="","",SUMIFS('Mouvements stock'!$H$5:$H$3004,'Mouvements stock'!$I$5:$I$3004,$A1983,'Mouvements stock'!$C$5:$C$3004,"Sortie")-SUMIFS('Mouvements stock'!$H$5:$H$3004,'Mouvements stock'!$I$5:$I$3004,$A1983,'Mouvements stock'!$C$5:$C$3004,"Retour"))</f>
        <v/>
      </c>
      <c r="X1983" s="66" t="n"/>
      <c r="Y1983" s="66" t="n"/>
      <c r="Z1983" s="7" t="n"/>
      <c r="AA1983" s="70">
        <f>IF($A1983="","",N(V1983)+N(W1983)+N(X1983)+N(Y1983))</f>
        <v/>
      </c>
      <c r="AB1983" s="70">
        <f>IF($A1983="","",N(S1983)*'Paramètres'!$AA$9*IFERROR(INDEX('Paramètres'!$O$5:$O$7,MATCH(G1983,'Paramètres'!$N$5:$N$7,0)),0))</f>
        <v/>
      </c>
      <c r="AC1983" s="7" t="n"/>
      <c r="AD1983" s="69">
        <f>IF(OR($A1983="",Q1983=""),"",(Q1983-B1983)*24)</f>
        <v/>
      </c>
      <c r="AE1983" s="69">
        <f>IF(OR(Q1983="",R1983=""),"",(R1983-Q1983)*24)</f>
        <v/>
      </c>
      <c r="AF1983" s="77">
        <f>IF(OR($A1983="",B1983=""),"",YEAR(B1983))</f>
        <v/>
      </c>
      <c r="AG1983" s="77">
        <f>IF(OR($A1983="",B1983=""),"",MONTH(B1983))</f>
        <v/>
      </c>
    </row>
    <row r="1984">
      <c r="A1984" s="7" t="n"/>
      <c r="B1984" s="75" t="n"/>
      <c r="C1984" s="7" t="n"/>
      <c r="D1984" s="7" t="n"/>
      <c r="E1984" s="9">
        <f>IF(D1984="","",IFERROR(INDEX('Équipements'!$B$5:$B$304,MATCH(D1984,'Équipements'!$A$5:$A$304,0)),"Code inconnu"))</f>
        <v/>
      </c>
      <c r="F1984" s="9">
        <f>IF(D1984="","",IFERROR(INDEX('Équipements'!$D$5:$D$304,MATCH(D1984,'Équipements'!$A$5:$A$304,0)),""))</f>
        <v/>
      </c>
      <c r="G1984" s="9">
        <f>IF(D1984="","",IFERROR(INDEX('Équipements'!$K$5:$K$304,MATCH(D1984,'Équipements'!$A$5:$A$304,0)),""))</f>
        <v/>
      </c>
      <c r="H1984" s="7" t="n"/>
      <c r="I1984" s="7" t="n"/>
      <c r="J1984" s="7" t="n"/>
      <c r="K1984" s="7" t="n"/>
      <c r="L1984" s="7" t="n"/>
      <c r="M1984" s="7" t="n"/>
      <c r="N1984" s="7" t="n"/>
      <c r="O1984" s="7" t="n"/>
      <c r="P1984" s="65" t="n"/>
      <c r="Q1984" s="75" t="n"/>
      <c r="R1984" s="75" t="n"/>
      <c r="S1984" s="76" t="n"/>
      <c r="T1984" s="76" t="n"/>
      <c r="U1984" s="70">
        <f>IF($A1984="","",IFERROR(INDEX('Techniciens'!$F$5:$F$44,MATCH(O1984,'Techniciens'!$B$5:$B$44,0)),'Paramètres'!$AA$10))</f>
        <v/>
      </c>
      <c r="V1984" s="70">
        <f>IF($A1984="","",IF(OR(AC1984="Demandé",AC1984="Planifié",AC1984="Annulé"),0,N(T1984)*N(U1984)))</f>
        <v/>
      </c>
      <c r="W1984" s="70">
        <f>IF($A1984="","",SUMIFS('Mouvements stock'!$H$5:$H$3004,'Mouvements stock'!$I$5:$I$3004,$A1984,'Mouvements stock'!$C$5:$C$3004,"Sortie")-SUMIFS('Mouvements stock'!$H$5:$H$3004,'Mouvements stock'!$I$5:$I$3004,$A1984,'Mouvements stock'!$C$5:$C$3004,"Retour"))</f>
        <v/>
      </c>
      <c r="X1984" s="66" t="n"/>
      <c r="Y1984" s="66" t="n"/>
      <c r="Z1984" s="7" t="n"/>
      <c r="AA1984" s="70">
        <f>IF($A1984="","",N(V1984)+N(W1984)+N(X1984)+N(Y1984))</f>
        <v/>
      </c>
      <c r="AB1984" s="70">
        <f>IF($A1984="","",N(S1984)*'Paramètres'!$AA$9*IFERROR(INDEX('Paramètres'!$O$5:$O$7,MATCH(G1984,'Paramètres'!$N$5:$N$7,0)),0))</f>
        <v/>
      </c>
      <c r="AC1984" s="7" t="n"/>
      <c r="AD1984" s="69">
        <f>IF(OR($A1984="",Q1984=""),"",(Q1984-B1984)*24)</f>
        <v/>
      </c>
      <c r="AE1984" s="69">
        <f>IF(OR(Q1984="",R1984=""),"",(R1984-Q1984)*24)</f>
        <v/>
      </c>
      <c r="AF1984" s="77">
        <f>IF(OR($A1984="",B1984=""),"",YEAR(B1984))</f>
        <v/>
      </c>
      <c r="AG1984" s="77">
        <f>IF(OR($A1984="",B1984=""),"",MONTH(B1984))</f>
        <v/>
      </c>
    </row>
    <row r="1985">
      <c r="A1985" s="7" t="n"/>
      <c r="B1985" s="75" t="n"/>
      <c r="C1985" s="7" t="n"/>
      <c r="D1985" s="7" t="n"/>
      <c r="E1985" s="9">
        <f>IF(D1985="","",IFERROR(INDEX('Équipements'!$B$5:$B$304,MATCH(D1985,'Équipements'!$A$5:$A$304,0)),"Code inconnu"))</f>
        <v/>
      </c>
      <c r="F1985" s="9">
        <f>IF(D1985="","",IFERROR(INDEX('Équipements'!$D$5:$D$304,MATCH(D1985,'Équipements'!$A$5:$A$304,0)),""))</f>
        <v/>
      </c>
      <c r="G1985" s="9">
        <f>IF(D1985="","",IFERROR(INDEX('Équipements'!$K$5:$K$304,MATCH(D1985,'Équipements'!$A$5:$A$304,0)),""))</f>
        <v/>
      </c>
      <c r="H1985" s="7" t="n"/>
      <c r="I1985" s="7" t="n"/>
      <c r="J1985" s="7" t="n"/>
      <c r="K1985" s="7" t="n"/>
      <c r="L1985" s="7" t="n"/>
      <c r="M1985" s="7" t="n"/>
      <c r="N1985" s="7" t="n"/>
      <c r="O1985" s="7" t="n"/>
      <c r="P1985" s="65" t="n"/>
      <c r="Q1985" s="75" t="n"/>
      <c r="R1985" s="75" t="n"/>
      <c r="S1985" s="76" t="n"/>
      <c r="T1985" s="76" t="n"/>
      <c r="U1985" s="70">
        <f>IF($A1985="","",IFERROR(INDEX('Techniciens'!$F$5:$F$44,MATCH(O1985,'Techniciens'!$B$5:$B$44,0)),'Paramètres'!$AA$10))</f>
        <v/>
      </c>
      <c r="V1985" s="70">
        <f>IF($A1985="","",IF(OR(AC1985="Demandé",AC1985="Planifié",AC1985="Annulé"),0,N(T1985)*N(U1985)))</f>
        <v/>
      </c>
      <c r="W1985" s="70">
        <f>IF($A1985="","",SUMIFS('Mouvements stock'!$H$5:$H$3004,'Mouvements stock'!$I$5:$I$3004,$A1985,'Mouvements stock'!$C$5:$C$3004,"Sortie")-SUMIFS('Mouvements stock'!$H$5:$H$3004,'Mouvements stock'!$I$5:$I$3004,$A1985,'Mouvements stock'!$C$5:$C$3004,"Retour"))</f>
        <v/>
      </c>
      <c r="X1985" s="66" t="n"/>
      <c r="Y1985" s="66" t="n"/>
      <c r="Z1985" s="7" t="n"/>
      <c r="AA1985" s="70">
        <f>IF($A1985="","",N(V1985)+N(W1985)+N(X1985)+N(Y1985))</f>
        <v/>
      </c>
      <c r="AB1985" s="70">
        <f>IF($A1985="","",N(S1985)*'Paramètres'!$AA$9*IFERROR(INDEX('Paramètres'!$O$5:$O$7,MATCH(G1985,'Paramètres'!$N$5:$N$7,0)),0))</f>
        <v/>
      </c>
      <c r="AC1985" s="7" t="n"/>
      <c r="AD1985" s="69">
        <f>IF(OR($A1985="",Q1985=""),"",(Q1985-B1985)*24)</f>
        <v/>
      </c>
      <c r="AE1985" s="69">
        <f>IF(OR(Q1985="",R1985=""),"",(R1985-Q1985)*24)</f>
        <v/>
      </c>
      <c r="AF1985" s="77">
        <f>IF(OR($A1985="",B1985=""),"",YEAR(B1985))</f>
        <v/>
      </c>
      <c r="AG1985" s="77">
        <f>IF(OR($A1985="",B1985=""),"",MONTH(B1985))</f>
        <v/>
      </c>
    </row>
    <row r="1986">
      <c r="A1986" s="7" t="n"/>
      <c r="B1986" s="75" t="n"/>
      <c r="C1986" s="7" t="n"/>
      <c r="D1986" s="7" t="n"/>
      <c r="E1986" s="9">
        <f>IF(D1986="","",IFERROR(INDEX('Équipements'!$B$5:$B$304,MATCH(D1986,'Équipements'!$A$5:$A$304,0)),"Code inconnu"))</f>
        <v/>
      </c>
      <c r="F1986" s="9">
        <f>IF(D1986="","",IFERROR(INDEX('Équipements'!$D$5:$D$304,MATCH(D1986,'Équipements'!$A$5:$A$304,0)),""))</f>
        <v/>
      </c>
      <c r="G1986" s="9">
        <f>IF(D1986="","",IFERROR(INDEX('Équipements'!$K$5:$K$304,MATCH(D1986,'Équipements'!$A$5:$A$304,0)),""))</f>
        <v/>
      </c>
      <c r="H1986" s="7" t="n"/>
      <c r="I1986" s="7" t="n"/>
      <c r="J1986" s="7" t="n"/>
      <c r="K1986" s="7" t="n"/>
      <c r="L1986" s="7" t="n"/>
      <c r="M1986" s="7" t="n"/>
      <c r="N1986" s="7" t="n"/>
      <c r="O1986" s="7" t="n"/>
      <c r="P1986" s="65" t="n"/>
      <c r="Q1986" s="75" t="n"/>
      <c r="R1986" s="75" t="n"/>
      <c r="S1986" s="76" t="n"/>
      <c r="T1986" s="76" t="n"/>
      <c r="U1986" s="70">
        <f>IF($A1986="","",IFERROR(INDEX('Techniciens'!$F$5:$F$44,MATCH(O1986,'Techniciens'!$B$5:$B$44,0)),'Paramètres'!$AA$10))</f>
        <v/>
      </c>
      <c r="V1986" s="70">
        <f>IF($A1986="","",IF(OR(AC1986="Demandé",AC1986="Planifié",AC1986="Annulé"),0,N(T1986)*N(U1986)))</f>
        <v/>
      </c>
      <c r="W1986" s="70">
        <f>IF($A1986="","",SUMIFS('Mouvements stock'!$H$5:$H$3004,'Mouvements stock'!$I$5:$I$3004,$A1986,'Mouvements stock'!$C$5:$C$3004,"Sortie")-SUMIFS('Mouvements stock'!$H$5:$H$3004,'Mouvements stock'!$I$5:$I$3004,$A1986,'Mouvements stock'!$C$5:$C$3004,"Retour"))</f>
        <v/>
      </c>
      <c r="X1986" s="66" t="n"/>
      <c r="Y1986" s="66" t="n"/>
      <c r="Z1986" s="7" t="n"/>
      <c r="AA1986" s="70">
        <f>IF($A1986="","",N(V1986)+N(W1986)+N(X1986)+N(Y1986))</f>
        <v/>
      </c>
      <c r="AB1986" s="70">
        <f>IF($A1986="","",N(S1986)*'Paramètres'!$AA$9*IFERROR(INDEX('Paramètres'!$O$5:$O$7,MATCH(G1986,'Paramètres'!$N$5:$N$7,0)),0))</f>
        <v/>
      </c>
      <c r="AC1986" s="7" t="n"/>
      <c r="AD1986" s="69">
        <f>IF(OR($A1986="",Q1986=""),"",(Q1986-B1986)*24)</f>
        <v/>
      </c>
      <c r="AE1986" s="69">
        <f>IF(OR(Q1986="",R1986=""),"",(R1986-Q1986)*24)</f>
        <v/>
      </c>
      <c r="AF1986" s="77">
        <f>IF(OR($A1986="",B1986=""),"",YEAR(B1986))</f>
        <v/>
      </c>
      <c r="AG1986" s="77">
        <f>IF(OR($A1986="",B1986=""),"",MONTH(B1986))</f>
        <v/>
      </c>
    </row>
    <row r="1987">
      <c r="A1987" s="7" t="n"/>
      <c r="B1987" s="75" t="n"/>
      <c r="C1987" s="7" t="n"/>
      <c r="D1987" s="7" t="n"/>
      <c r="E1987" s="9">
        <f>IF(D1987="","",IFERROR(INDEX('Équipements'!$B$5:$B$304,MATCH(D1987,'Équipements'!$A$5:$A$304,0)),"Code inconnu"))</f>
        <v/>
      </c>
      <c r="F1987" s="9">
        <f>IF(D1987="","",IFERROR(INDEX('Équipements'!$D$5:$D$304,MATCH(D1987,'Équipements'!$A$5:$A$304,0)),""))</f>
        <v/>
      </c>
      <c r="G1987" s="9">
        <f>IF(D1987="","",IFERROR(INDEX('Équipements'!$K$5:$K$304,MATCH(D1987,'Équipements'!$A$5:$A$304,0)),""))</f>
        <v/>
      </c>
      <c r="H1987" s="7" t="n"/>
      <c r="I1987" s="7" t="n"/>
      <c r="J1987" s="7" t="n"/>
      <c r="K1987" s="7" t="n"/>
      <c r="L1987" s="7" t="n"/>
      <c r="M1987" s="7" t="n"/>
      <c r="N1987" s="7" t="n"/>
      <c r="O1987" s="7" t="n"/>
      <c r="P1987" s="65" t="n"/>
      <c r="Q1987" s="75" t="n"/>
      <c r="R1987" s="75" t="n"/>
      <c r="S1987" s="76" t="n"/>
      <c r="T1987" s="76" t="n"/>
      <c r="U1987" s="70">
        <f>IF($A1987="","",IFERROR(INDEX('Techniciens'!$F$5:$F$44,MATCH(O1987,'Techniciens'!$B$5:$B$44,0)),'Paramètres'!$AA$10))</f>
        <v/>
      </c>
      <c r="V1987" s="70">
        <f>IF($A1987="","",IF(OR(AC1987="Demandé",AC1987="Planifié",AC1987="Annulé"),0,N(T1987)*N(U1987)))</f>
        <v/>
      </c>
      <c r="W1987" s="70">
        <f>IF($A1987="","",SUMIFS('Mouvements stock'!$H$5:$H$3004,'Mouvements stock'!$I$5:$I$3004,$A1987,'Mouvements stock'!$C$5:$C$3004,"Sortie")-SUMIFS('Mouvements stock'!$H$5:$H$3004,'Mouvements stock'!$I$5:$I$3004,$A1987,'Mouvements stock'!$C$5:$C$3004,"Retour"))</f>
        <v/>
      </c>
      <c r="X1987" s="66" t="n"/>
      <c r="Y1987" s="66" t="n"/>
      <c r="Z1987" s="7" t="n"/>
      <c r="AA1987" s="70">
        <f>IF($A1987="","",N(V1987)+N(W1987)+N(X1987)+N(Y1987))</f>
        <v/>
      </c>
      <c r="AB1987" s="70">
        <f>IF($A1987="","",N(S1987)*'Paramètres'!$AA$9*IFERROR(INDEX('Paramètres'!$O$5:$O$7,MATCH(G1987,'Paramètres'!$N$5:$N$7,0)),0))</f>
        <v/>
      </c>
      <c r="AC1987" s="7" t="n"/>
      <c r="AD1987" s="69">
        <f>IF(OR($A1987="",Q1987=""),"",(Q1987-B1987)*24)</f>
        <v/>
      </c>
      <c r="AE1987" s="69">
        <f>IF(OR(Q1987="",R1987=""),"",(R1987-Q1987)*24)</f>
        <v/>
      </c>
      <c r="AF1987" s="77">
        <f>IF(OR($A1987="",B1987=""),"",YEAR(B1987))</f>
        <v/>
      </c>
      <c r="AG1987" s="77">
        <f>IF(OR($A1987="",B1987=""),"",MONTH(B1987))</f>
        <v/>
      </c>
    </row>
    <row r="1988">
      <c r="A1988" s="7" t="n"/>
      <c r="B1988" s="75" t="n"/>
      <c r="C1988" s="7" t="n"/>
      <c r="D1988" s="7" t="n"/>
      <c r="E1988" s="9">
        <f>IF(D1988="","",IFERROR(INDEX('Équipements'!$B$5:$B$304,MATCH(D1988,'Équipements'!$A$5:$A$304,0)),"Code inconnu"))</f>
        <v/>
      </c>
      <c r="F1988" s="9">
        <f>IF(D1988="","",IFERROR(INDEX('Équipements'!$D$5:$D$304,MATCH(D1988,'Équipements'!$A$5:$A$304,0)),""))</f>
        <v/>
      </c>
      <c r="G1988" s="9">
        <f>IF(D1988="","",IFERROR(INDEX('Équipements'!$K$5:$K$304,MATCH(D1988,'Équipements'!$A$5:$A$304,0)),""))</f>
        <v/>
      </c>
      <c r="H1988" s="7" t="n"/>
      <c r="I1988" s="7" t="n"/>
      <c r="J1988" s="7" t="n"/>
      <c r="K1988" s="7" t="n"/>
      <c r="L1988" s="7" t="n"/>
      <c r="M1988" s="7" t="n"/>
      <c r="N1988" s="7" t="n"/>
      <c r="O1988" s="7" t="n"/>
      <c r="P1988" s="65" t="n"/>
      <c r="Q1988" s="75" t="n"/>
      <c r="R1988" s="75" t="n"/>
      <c r="S1988" s="76" t="n"/>
      <c r="T1988" s="76" t="n"/>
      <c r="U1988" s="70">
        <f>IF($A1988="","",IFERROR(INDEX('Techniciens'!$F$5:$F$44,MATCH(O1988,'Techniciens'!$B$5:$B$44,0)),'Paramètres'!$AA$10))</f>
        <v/>
      </c>
      <c r="V1988" s="70">
        <f>IF($A1988="","",IF(OR(AC1988="Demandé",AC1988="Planifié",AC1988="Annulé"),0,N(T1988)*N(U1988)))</f>
        <v/>
      </c>
      <c r="W1988" s="70">
        <f>IF($A1988="","",SUMIFS('Mouvements stock'!$H$5:$H$3004,'Mouvements stock'!$I$5:$I$3004,$A1988,'Mouvements stock'!$C$5:$C$3004,"Sortie")-SUMIFS('Mouvements stock'!$H$5:$H$3004,'Mouvements stock'!$I$5:$I$3004,$A1988,'Mouvements stock'!$C$5:$C$3004,"Retour"))</f>
        <v/>
      </c>
      <c r="X1988" s="66" t="n"/>
      <c r="Y1988" s="66" t="n"/>
      <c r="Z1988" s="7" t="n"/>
      <c r="AA1988" s="70">
        <f>IF($A1988="","",N(V1988)+N(W1988)+N(X1988)+N(Y1988))</f>
        <v/>
      </c>
      <c r="AB1988" s="70">
        <f>IF($A1988="","",N(S1988)*'Paramètres'!$AA$9*IFERROR(INDEX('Paramètres'!$O$5:$O$7,MATCH(G1988,'Paramètres'!$N$5:$N$7,0)),0))</f>
        <v/>
      </c>
      <c r="AC1988" s="7" t="n"/>
      <c r="AD1988" s="69">
        <f>IF(OR($A1988="",Q1988=""),"",(Q1988-B1988)*24)</f>
        <v/>
      </c>
      <c r="AE1988" s="69">
        <f>IF(OR(Q1988="",R1988=""),"",(R1988-Q1988)*24)</f>
        <v/>
      </c>
      <c r="AF1988" s="77">
        <f>IF(OR($A1988="",B1988=""),"",YEAR(B1988))</f>
        <v/>
      </c>
      <c r="AG1988" s="77">
        <f>IF(OR($A1988="",B1988=""),"",MONTH(B1988))</f>
        <v/>
      </c>
    </row>
    <row r="1989">
      <c r="A1989" s="7" t="n"/>
      <c r="B1989" s="75" t="n"/>
      <c r="C1989" s="7" t="n"/>
      <c r="D1989" s="7" t="n"/>
      <c r="E1989" s="9">
        <f>IF(D1989="","",IFERROR(INDEX('Équipements'!$B$5:$B$304,MATCH(D1989,'Équipements'!$A$5:$A$304,0)),"Code inconnu"))</f>
        <v/>
      </c>
      <c r="F1989" s="9">
        <f>IF(D1989="","",IFERROR(INDEX('Équipements'!$D$5:$D$304,MATCH(D1989,'Équipements'!$A$5:$A$304,0)),""))</f>
        <v/>
      </c>
      <c r="G1989" s="9">
        <f>IF(D1989="","",IFERROR(INDEX('Équipements'!$K$5:$K$304,MATCH(D1989,'Équipements'!$A$5:$A$304,0)),""))</f>
        <v/>
      </c>
      <c r="H1989" s="7" t="n"/>
      <c r="I1989" s="7" t="n"/>
      <c r="J1989" s="7" t="n"/>
      <c r="K1989" s="7" t="n"/>
      <c r="L1989" s="7" t="n"/>
      <c r="M1989" s="7" t="n"/>
      <c r="N1989" s="7" t="n"/>
      <c r="O1989" s="7" t="n"/>
      <c r="P1989" s="65" t="n"/>
      <c r="Q1989" s="75" t="n"/>
      <c r="R1989" s="75" t="n"/>
      <c r="S1989" s="76" t="n"/>
      <c r="T1989" s="76" t="n"/>
      <c r="U1989" s="70">
        <f>IF($A1989="","",IFERROR(INDEX('Techniciens'!$F$5:$F$44,MATCH(O1989,'Techniciens'!$B$5:$B$44,0)),'Paramètres'!$AA$10))</f>
        <v/>
      </c>
      <c r="V1989" s="70">
        <f>IF($A1989="","",IF(OR(AC1989="Demandé",AC1989="Planifié",AC1989="Annulé"),0,N(T1989)*N(U1989)))</f>
        <v/>
      </c>
      <c r="W1989" s="70">
        <f>IF($A1989="","",SUMIFS('Mouvements stock'!$H$5:$H$3004,'Mouvements stock'!$I$5:$I$3004,$A1989,'Mouvements stock'!$C$5:$C$3004,"Sortie")-SUMIFS('Mouvements stock'!$H$5:$H$3004,'Mouvements stock'!$I$5:$I$3004,$A1989,'Mouvements stock'!$C$5:$C$3004,"Retour"))</f>
        <v/>
      </c>
      <c r="X1989" s="66" t="n"/>
      <c r="Y1989" s="66" t="n"/>
      <c r="Z1989" s="7" t="n"/>
      <c r="AA1989" s="70">
        <f>IF($A1989="","",N(V1989)+N(W1989)+N(X1989)+N(Y1989))</f>
        <v/>
      </c>
      <c r="AB1989" s="70">
        <f>IF($A1989="","",N(S1989)*'Paramètres'!$AA$9*IFERROR(INDEX('Paramètres'!$O$5:$O$7,MATCH(G1989,'Paramètres'!$N$5:$N$7,0)),0))</f>
        <v/>
      </c>
      <c r="AC1989" s="7" t="n"/>
      <c r="AD1989" s="69">
        <f>IF(OR($A1989="",Q1989=""),"",(Q1989-B1989)*24)</f>
        <v/>
      </c>
      <c r="AE1989" s="69">
        <f>IF(OR(Q1989="",R1989=""),"",(R1989-Q1989)*24)</f>
        <v/>
      </c>
      <c r="AF1989" s="77">
        <f>IF(OR($A1989="",B1989=""),"",YEAR(B1989))</f>
        <v/>
      </c>
      <c r="AG1989" s="77">
        <f>IF(OR($A1989="",B1989=""),"",MONTH(B1989))</f>
        <v/>
      </c>
    </row>
    <row r="1990">
      <c r="A1990" s="7" t="n"/>
      <c r="B1990" s="75" t="n"/>
      <c r="C1990" s="7" t="n"/>
      <c r="D1990" s="7" t="n"/>
      <c r="E1990" s="9">
        <f>IF(D1990="","",IFERROR(INDEX('Équipements'!$B$5:$B$304,MATCH(D1990,'Équipements'!$A$5:$A$304,0)),"Code inconnu"))</f>
        <v/>
      </c>
      <c r="F1990" s="9">
        <f>IF(D1990="","",IFERROR(INDEX('Équipements'!$D$5:$D$304,MATCH(D1990,'Équipements'!$A$5:$A$304,0)),""))</f>
        <v/>
      </c>
      <c r="G1990" s="9">
        <f>IF(D1990="","",IFERROR(INDEX('Équipements'!$K$5:$K$304,MATCH(D1990,'Équipements'!$A$5:$A$304,0)),""))</f>
        <v/>
      </c>
      <c r="H1990" s="7" t="n"/>
      <c r="I1990" s="7" t="n"/>
      <c r="J1990" s="7" t="n"/>
      <c r="K1990" s="7" t="n"/>
      <c r="L1990" s="7" t="n"/>
      <c r="M1990" s="7" t="n"/>
      <c r="N1990" s="7" t="n"/>
      <c r="O1990" s="7" t="n"/>
      <c r="P1990" s="65" t="n"/>
      <c r="Q1990" s="75" t="n"/>
      <c r="R1990" s="75" t="n"/>
      <c r="S1990" s="76" t="n"/>
      <c r="T1990" s="76" t="n"/>
      <c r="U1990" s="70">
        <f>IF($A1990="","",IFERROR(INDEX('Techniciens'!$F$5:$F$44,MATCH(O1990,'Techniciens'!$B$5:$B$44,0)),'Paramètres'!$AA$10))</f>
        <v/>
      </c>
      <c r="V1990" s="70">
        <f>IF($A1990="","",IF(OR(AC1990="Demandé",AC1990="Planifié",AC1990="Annulé"),0,N(T1990)*N(U1990)))</f>
        <v/>
      </c>
      <c r="W1990" s="70">
        <f>IF($A1990="","",SUMIFS('Mouvements stock'!$H$5:$H$3004,'Mouvements stock'!$I$5:$I$3004,$A1990,'Mouvements stock'!$C$5:$C$3004,"Sortie")-SUMIFS('Mouvements stock'!$H$5:$H$3004,'Mouvements stock'!$I$5:$I$3004,$A1990,'Mouvements stock'!$C$5:$C$3004,"Retour"))</f>
        <v/>
      </c>
      <c r="X1990" s="66" t="n"/>
      <c r="Y1990" s="66" t="n"/>
      <c r="Z1990" s="7" t="n"/>
      <c r="AA1990" s="70">
        <f>IF($A1990="","",N(V1990)+N(W1990)+N(X1990)+N(Y1990))</f>
        <v/>
      </c>
      <c r="AB1990" s="70">
        <f>IF($A1990="","",N(S1990)*'Paramètres'!$AA$9*IFERROR(INDEX('Paramètres'!$O$5:$O$7,MATCH(G1990,'Paramètres'!$N$5:$N$7,0)),0))</f>
        <v/>
      </c>
      <c r="AC1990" s="7" t="n"/>
      <c r="AD1990" s="69">
        <f>IF(OR($A1990="",Q1990=""),"",(Q1990-B1990)*24)</f>
        <v/>
      </c>
      <c r="AE1990" s="69">
        <f>IF(OR(Q1990="",R1990=""),"",(R1990-Q1990)*24)</f>
        <v/>
      </c>
      <c r="AF1990" s="77">
        <f>IF(OR($A1990="",B1990=""),"",YEAR(B1990))</f>
        <v/>
      </c>
      <c r="AG1990" s="77">
        <f>IF(OR($A1990="",B1990=""),"",MONTH(B1990))</f>
        <v/>
      </c>
    </row>
    <row r="1991">
      <c r="A1991" s="7" t="n"/>
      <c r="B1991" s="75" t="n"/>
      <c r="C1991" s="7" t="n"/>
      <c r="D1991" s="7" t="n"/>
      <c r="E1991" s="9">
        <f>IF(D1991="","",IFERROR(INDEX('Équipements'!$B$5:$B$304,MATCH(D1991,'Équipements'!$A$5:$A$304,0)),"Code inconnu"))</f>
        <v/>
      </c>
      <c r="F1991" s="9">
        <f>IF(D1991="","",IFERROR(INDEX('Équipements'!$D$5:$D$304,MATCH(D1991,'Équipements'!$A$5:$A$304,0)),""))</f>
        <v/>
      </c>
      <c r="G1991" s="9">
        <f>IF(D1991="","",IFERROR(INDEX('Équipements'!$K$5:$K$304,MATCH(D1991,'Équipements'!$A$5:$A$304,0)),""))</f>
        <v/>
      </c>
      <c r="H1991" s="7" t="n"/>
      <c r="I1991" s="7" t="n"/>
      <c r="J1991" s="7" t="n"/>
      <c r="K1991" s="7" t="n"/>
      <c r="L1991" s="7" t="n"/>
      <c r="M1991" s="7" t="n"/>
      <c r="N1991" s="7" t="n"/>
      <c r="O1991" s="7" t="n"/>
      <c r="P1991" s="65" t="n"/>
      <c r="Q1991" s="75" t="n"/>
      <c r="R1991" s="75" t="n"/>
      <c r="S1991" s="76" t="n"/>
      <c r="T1991" s="76" t="n"/>
      <c r="U1991" s="70">
        <f>IF($A1991="","",IFERROR(INDEX('Techniciens'!$F$5:$F$44,MATCH(O1991,'Techniciens'!$B$5:$B$44,0)),'Paramètres'!$AA$10))</f>
        <v/>
      </c>
      <c r="V1991" s="70">
        <f>IF($A1991="","",IF(OR(AC1991="Demandé",AC1991="Planifié",AC1991="Annulé"),0,N(T1991)*N(U1991)))</f>
        <v/>
      </c>
      <c r="W1991" s="70">
        <f>IF($A1991="","",SUMIFS('Mouvements stock'!$H$5:$H$3004,'Mouvements stock'!$I$5:$I$3004,$A1991,'Mouvements stock'!$C$5:$C$3004,"Sortie")-SUMIFS('Mouvements stock'!$H$5:$H$3004,'Mouvements stock'!$I$5:$I$3004,$A1991,'Mouvements stock'!$C$5:$C$3004,"Retour"))</f>
        <v/>
      </c>
      <c r="X1991" s="66" t="n"/>
      <c r="Y1991" s="66" t="n"/>
      <c r="Z1991" s="7" t="n"/>
      <c r="AA1991" s="70">
        <f>IF($A1991="","",N(V1991)+N(W1991)+N(X1991)+N(Y1991))</f>
        <v/>
      </c>
      <c r="AB1991" s="70">
        <f>IF($A1991="","",N(S1991)*'Paramètres'!$AA$9*IFERROR(INDEX('Paramètres'!$O$5:$O$7,MATCH(G1991,'Paramètres'!$N$5:$N$7,0)),0))</f>
        <v/>
      </c>
      <c r="AC1991" s="7" t="n"/>
      <c r="AD1991" s="69">
        <f>IF(OR($A1991="",Q1991=""),"",(Q1991-B1991)*24)</f>
        <v/>
      </c>
      <c r="AE1991" s="69">
        <f>IF(OR(Q1991="",R1991=""),"",(R1991-Q1991)*24)</f>
        <v/>
      </c>
      <c r="AF1991" s="77">
        <f>IF(OR($A1991="",B1991=""),"",YEAR(B1991))</f>
        <v/>
      </c>
      <c r="AG1991" s="77">
        <f>IF(OR($A1991="",B1991=""),"",MONTH(B1991))</f>
        <v/>
      </c>
    </row>
    <row r="1992">
      <c r="A1992" s="7" t="n"/>
      <c r="B1992" s="75" t="n"/>
      <c r="C1992" s="7" t="n"/>
      <c r="D1992" s="7" t="n"/>
      <c r="E1992" s="9">
        <f>IF(D1992="","",IFERROR(INDEX('Équipements'!$B$5:$B$304,MATCH(D1992,'Équipements'!$A$5:$A$304,0)),"Code inconnu"))</f>
        <v/>
      </c>
      <c r="F1992" s="9">
        <f>IF(D1992="","",IFERROR(INDEX('Équipements'!$D$5:$D$304,MATCH(D1992,'Équipements'!$A$5:$A$304,0)),""))</f>
        <v/>
      </c>
      <c r="G1992" s="9">
        <f>IF(D1992="","",IFERROR(INDEX('Équipements'!$K$5:$K$304,MATCH(D1992,'Équipements'!$A$5:$A$304,0)),""))</f>
        <v/>
      </c>
      <c r="H1992" s="7" t="n"/>
      <c r="I1992" s="7" t="n"/>
      <c r="J1992" s="7" t="n"/>
      <c r="K1992" s="7" t="n"/>
      <c r="L1992" s="7" t="n"/>
      <c r="M1992" s="7" t="n"/>
      <c r="N1992" s="7" t="n"/>
      <c r="O1992" s="7" t="n"/>
      <c r="P1992" s="65" t="n"/>
      <c r="Q1992" s="75" t="n"/>
      <c r="R1992" s="75" t="n"/>
      <c r="S1992" s="76" t="n"/>
      <c r="T1992" s="76" t="n"/>
      <c r="U1992" s="70">
        <f>IF($A1992="","",IFERROR(INDEX('Techniciens'!$F$5:$F$44,MATCH(O1992,'Techniciens'!$B$5:$B$44,0)),'Paramètres'!$AA$10))</f>
        <v/>
      </c>
      <c r="V1992" s="70">
        <f>IF($A1992="","",IF(OR(AC1992="Demandé",AC1992="Planifié",AC1992="Annulé"),0,N(T1992)*N(U1992)))</f>
        <v/>
      </c>
      <c r="W1992" s="70">
        <f>IF($A1992="","",SUMIFS('Mouvements stock'!$H$5:$H$3004,'Mouvements stock'!$I$5:$I$3004,$A1992,'Mouvements stock'!$C$5:$C$3004,"Sortie")-SUMIFS('Mouvements stock'!$H$5:$H$3004,'Mouvements stock'!$I$5:$I$3004,$A1992,'Mouvements stock'!$C$5:$C$3004,"Retour"))</f>
        <v/>
      </c>
      <c r="X1992" s="66" t="n"/>
      <c r="Y1992" s="66" t="n"/>
      <c r="Z1992" s="7" t="n"/>
      <c r="AA1992" s="70">
        <f>IF($A1992="","",N(V1992)+N(W1992)+N(X1992)+N(Y1992))</f>
        <v/>
      </c>
      <c r="AB1992" s="70">
        <f>IF($A1992="","",N(S1992)*'Paramètres'!$AA$9*IFERROR(INDEX('Paramètres'!$O$5:$O$7,MATCH(G1992,'Paramètres'!$N$5:$N$7,0)),0))</f>
        <v/>
      </c>
      <c r="AC1992" s="7" t="n"/>
      <c r="AD1992" s="69">
        <f>IF(OR($A1992="",Q1992=""),"",(Q1992-B1992)*24)</f>
        <v/>
      </c>
      <c r="AE1992" s="69">
        <f>IF(OR(Q1992="",R1992=""),"",(R1992-Q1992)*24)</f>
        <v/>
      </c>
      <c r="AF1992" s="77">
        <f>IF(OR($A1992="",B1992=""),"",YEAR(B1992))</f>
        <v/>
      </c>
      <c r="AG1992" s="77">
        <f>IF(OR($A1992="",B1992=""),"",MONTH(B1992))</f>
        <v/>
      </c>
    </row>
    <row r="1993">
      <c r="A1993" s="7" t="n"/>
      <c r="B1993" s="75" t="n"/>
      <c r="C1993" s="7" t="n"/>
      <c r="D1993" s="7" t="n"/>
      <c r="E1993" s="9">
        <f>IF(D1993="","",IFERROR(INDEX('Équipements'!$B$5:$B$304,MATCH(D1993,'Équipements'!$A$5:$A$304,0)),"Code inconnu"))</f>
        <v/>
      </c>
      <c r="F1993" s="9">
        <f>IF(D1993="","",IFERROR(INDEX('Équipements'!$D$5:$D$304,MATCH(D1993,'Équipements'!$A$5:$A$304,0)),""))</f>
        <v/>
      </c>
      <c r="G1993" s="9">
        <f>IF(D1993="","",IFERROR(INDEX('Équipements'!$K$5:$K$304,MATCH(D1993,'Équipements'!$A$5:$A$304,0)),""))</f>
        <v/>
      </c>
      <c r="H1993" s="7" t="n"/>
      <c r="I1993" s="7" t="n"/>
      <c r="J1993" s="7" t="n"/>
      <c r="K1993" s="7" t="n"/>
      <c r="L1993" s="7" t="n"/>
      <c r="M1993" s="7" t="n"/>
      <c r="N1993" s="7" t="n"/>
      <c r="O1993" s="7" t="n"/>
      <c r="P1993" s="65" t="n"/>
      <c r="Q1993" s="75" t="n"/>
      <c r="R1993" s="75" t="n"/>
      <c r="S1993" s="76" t="n"/>
      <c r="T1993" s="76" t="n"/>
      <c r="U1993" s="70">
        <f>IF($A1993="","",IFERROR(INDEX('Techniciens'!$F$5:$F$44,MATCH(O1993,'Techniciens'!$B$5:$B$44,0)),'Paramètres'!$AA$10))</f>
        <v/>
      </c>
      <c r="V1993" s="70">
        <f>IF($A1993="","",IF(OR(AC1993="Demandé",AC1993="Planifié",AC1993="Annulé"),0,N(T1993)*N(U1993)))</f>
        <v/>
      </c>
      <c r="W1993" s="70">
        <f>IF($A1993="","",SUMIFS('Mouvements stock'!$H$5:$H$3004,'Mouvements stock'!$I$5:$I$3004,$A1993,'Mouvements stock'!$C$5:$C$3004,"Sortie")-SUMIFS('Mouvements stock'!$H$5:$H$3004,'Mouvements stock'!$I$5:$I$3004,$A1993,'Mouvements stock'!$C$5:$C$3004,"Retour"))</f>
        <v/>
      </c>
      <c r="X1993" s="66" t="n"/>
      <c r="Y1993" s="66" t="n"/>
      <c r="Z1993" s="7" t="n"/>
      <c r="AA1993" s="70">
        <f>IF($A1993="","",N(V1993)+N(W1993)+N(X1993)+N(Y1993))</f>
        <v/>
      </c>
      <c r="AB1993" s="70">
        <f>IF($A1993="","",N(S1993)*'Paramètres'!$AA$9*IFERROR(INDEX('Paramètres'!$O$5:$O$7,MATCH(G1993,'Paramètres'!$N$5:$N$7,0)),0))</f>
        <v/>
      </c>
      <c r="AC1993" s="7" t="n"/>
      <c r="AD1993" s="69">
        <f>IF(OR($A1993="",Q1993=""),"",(Q1993-B1993)*24)</f>
        <v/>
      </c>
      <c r="AE1993" s="69">
        <f>IF(OR(Q1993="",R1993=""),"",(R1993-Q1993)*24)</f>
        <v/>
      </c>
      <c r="AF1993" s="77">
        <f>IF(OR($A1993="",B1993=""),"",YEAR(B1993))</f>
        <v/>
      </c>
      <c r="AG1993" s="77">
        <f>IF(OR($A1993="",B1993=""),"",MONTH(B1993))</f>
        <v/>
      </c>
    </row>
    <row r="1994">
      <c r="A1994" s="7" t="n"/>
      <c r="B1994" s="75" t="n"/>
      <c r="C1994" s="7" t="n"/>
      <c r="D1994" s="7" t="n"/>
      <c r="E1994" s="9">
        <f>IF(D1994="","",IFERROR(INDEX('Équipements'!$B$5:$B$304,MATCH(D1994,'Équipements'!$A$5:$A$304,0)),"Code inconnu"))</f>
        <v/>
      </c>
      <c r="F1994" s="9">
        <f>IF(D1994="","",IFERROR(INDEX('Équipements'!$D$5:$D$304,MATCH(D1994,'Équipements'!$A$5:$A$304,0)),""))</f>
        <v/>
      </c>
      <c r="G1994" s="9">
        <f>IF(D1994="","",IFERROR(INDEX('Équipements'!$K$5:$K$304,MATCH(D1994,'Équipements'!$A$5:$A$304,0)),""))</f>
        <v/>
      </c>
      <c r="H1994" s="7" t="n"/>
      <c r="I1994" s="7" t="n"/>
      <c r="J1994" s="7" t="n"/>
      <c r="K1994" s="7" t="n"/>
      <c r="L1994" s="7" t="n"/>
      <c r="M1994" s="7" t="n"/>
      <c r="N1994" s="7" t="n"/>
      <c r="O1994" s="7" t="n"/>
      <c r="P1994" s="65" t="n"/>
      <c r="Q1994" s="75" t="n"/>
      <c r="R1994" s="75" t="n"/>
      <c r="S1994" s="76" t="n"/>
      <c r="T1994" s="76" t="n"/>
      <c r="U1994" s="70">
        <f>IF($A1994="","",IFERROR(INDEX('Techniciens'!$F$5:$F$44,MATCH(O1994,'Techniciens'!$B$5:$B$44,0)),'Paramètres'!$AA$10))</f>
        <v/>
      </c>
      <c r="V1994" s="70">
        <f>IF($A1994="","",IF(OR(AC1994="Demandé",AC1994="Planifié",AC1994="Annulé"),0,N(T1994)*N(U1994)))</f>
        <v/>
      </c>
      <c r="W1994" s="70">
        <f>IF($A1994="","",SUMIFS('Mouvements stock'!$H$5:$H$3004,'Mouvements stock'!$I$5:$I$3004,$A1994,'Mouvements stock'!$C$5:$C$3004,"Sortie")-SUMIFS('Mouvements stock'!$H$5:$H$3004,'Mouvements stock'!$I$5:$I$3004,$A1994,'Mouvements stock'!$C$5:$C$3004,"Retour"))</f>
        <v/>
      </c>
      <c r="X1994" s="66" t="n"/>
      <c r="Y1994" s="66" t="n"/>
      <c r="Z1994" s="7" t="n"/>
      <c r="AA1994" s="70">
        <f>IF($A1994="","",N(V1994)+N(W1994)+N(X1994)+N(Y1994))</f>
        <v/>
      </c>
      <c r="AB1994" s="70">
        <f>IF($A1994="","",N(S1994)*'Paramètres'!$AA$9*IFERROR(INDEX('Paramètres'!$O$5:$O$7,MATCH(G1994,'Paramètres'!$N$5:$N$7,0)),0))</f>
        <v/>
      </c>
      <c r="AC1994" s="7" t="n"/>
      <c r="AD1994" s="69">
        <f>IF(OR($A1994="",Q1994=""),"",(Q1994-B1994)*24)</f>
        <v/>
      </c>
      <c r="AE1994" s="69">
        <f>IF(OR(Q1994="",R1994=""),"",(R1994-Q1994)*24)</f>
        <v/>
      </c>
      <c r="AF1994" s="77">
        <f>IF(OR($A1994="",B1994=""),"",YEAR(B1994))</f>
        <v/>
      </c>
      <c r="AG1994" s="77">
        <f>IF(OR($A1994="",B1994=""),"",MONTH(B1994))</f>
        <v/>
      </c>
    </row>
    <row r="1995">
      <c r="A1995" s="7" t="n"/>
      <c r="B1995" s="75" t="n"/>
      <c r="C1995" s="7" t="n"/>
      <c r="D1995" s="7" t="n"/>
      <c r="E1995" s="9">
        <f>IF(D1995="","",IFERROR(INDEX('Équipements'!$B$5:$B$304,MATCH(D1995,'Équipements'!$A$5:$A$304,0)),"Code inconnu"))</f>
        <v/>
      </c>
      <c r="F1995" s="9">
        <f>IF(D1995="","",IFERROR(INDEX('Équipements'!$D$5:$D$304,MATCH(D1995,'Équipements'!$A$5:$A$304,0)),""))</f>
        <v/>
      </c>
      <c r="G1995" s="9">
        <f>IF(D1995="","",IFERROR(INDEX('Équipements'!$K$5:$K$304,MATCH(D1995,'Équipements'!$A$5:$A$304,0)),""))</f>
        <v/>
      </c>
      <c r="H1995" s="7" t="n"/>
      <c r="I1995" s="7" t="n"/>
      <c r="J1995" s="7" t="n"/>
      <c r="K1995" s="7" t="n"/>
      <c r="L1995" s="7" t="n"/>
      <c r="M1995" s="7" t="n"/>
      <c r="N1995" s="7" t="n"/>
      <c r="O1995" s="7" t="n"/>
      <c r="P1995" s="65" t="n"/>
      <c r="Q1995" s="75" t="n"/>
      <c r="R1995" s="75" t="n"/>
      <c r="S1995" s="76" t="n"/>
      <c r="T1995" s="76" t="n"/>
      <c r="U1995" s="70">
        <f>IF($A1995="","",IFERROR(INDEX('Techniciens'!$F$5:$F$44,MATCH(O1995,'Techniciens'!$B$5:$B$44,0)),'Paramètres'!$AA$10))</f>
        <v/>
      </c>
      <c r="V1995" s="70">
        <f>IF($A1995="","",IF(OR(AC1995="Demandé",AC1995="Planifié",AC1995="Annulé"),0,N(T1995)*N(U1995)))</f>
        <v/>
      </c>
      <c r="W1995" s="70">
        <f>IF($A1995="","",SUMIFS('Mouvements stock'!$H$5:$H$3004,'Mouvements stock'!$I$5:$I$3004,$A1995,'Mouvements stock'!$C$5:$C$3004,"Sortie")-SUMIFS('Mouvements stock'!$H$5:$H$3004,'Mouvements stock'!$I$5:$I$3004,$A1995,'Mouvements stock'!$C$5:$C$3004,"Retour"))</f>
        <v/>
      </c>
      <c r="X1995" s="66" t="n"/>
      <c r="Y1995" s="66" t="n"/>
      <c r="Z1995" s="7" t="n"/>
      <c r="AA1995" s="70">
        <f>IF($A1995="","",N(V1995)+N(W1995)+N(X1995)+N(Y1995))</f>
        <v/>
      </c>
      <c r="AB1995" s="70">
        <f>IF($A1995="","",N(S1995)*'Paramètres'!$AA$9*IFERROR(INDEX('Paramètres'!$O$5:$O$7,MATCH(G1995,'Paramètres'!$N$5:$N$7,0)),0))</f>
        <v/>
      </c>
      <c r="AC1995" s="7" t="n"/>
      <c r="AD1995" s="69">
        <f>IF(OR($A1995="",Q1995=""),"",(Q1995-B1995)*24)</f>
        <v/>
      </c>
      <c r="AE1995" s="69">
        <f>IF(OR(Q1995="",R1995=""),"",(R1995-Q1995)*24)</f>
        <v/>
      </c>
      <c r="AF1995" s="77">
        <f>IF(OR($A1995="",B1995=""),"",YEAR(B1995))</f>
        <v/>
      </c>
      <c r="AG1995" s="77">
        <f>IF(OR($A1995="",B1995=""),"",MONTH(B1995))</f>
        <v/>
      </c>
    </row>
    <row r="1996">
      <c r="A1996" s="7" t="n"/>
      <c r="B1996" s="75" t="n"/>
      <c r="C1996" s="7" t="n"/>
      <c r="D1996" s="7" t="n"/>
      <c r="E1996" s="9">
        <f>IF(D1996="","",IFERROR(INDEX('Équipements'!$B$5:$B$304,MATCH(D1996,'Équipements'!$A$5:$A$304,0)),"Code inconnu"))</f>
        <v/>
      </c>
      <c r="F1996" s="9">
        <f>IF(D1996="","",IFERROR(INDEX('Équipements'!$D$5:$D$304,MATCH(D1996,'Équipements'!$A$5:$A$304,0)),""))</f>
        <v/>
      </c>
      <c r="G1996" s="9">
        <f>IF(D1996="","",IFERROR(INDEX('Équipements'!$K$5:$K$304,MATCH(D1996,'Équipements'!$A$5:$A$304,0)),""))</f>
        <v/>
      </c>
      <c r="H1996" s="7" t="n"/>
      <c r="I1996" s="7" t="n"/>
      <c r="J1996" s="7" t="n"/>
      <c r="K1996" s="7" t="n"/>
      <c r="L1996" s="7" t="n"/>
      <c r="M1996" s="7" t="n"/>
      <c r="N1996" s="7" t="n"/>
      <c r="O1996" s="7" t="n"/>
      <c r="P1996" s="65" t="n"/>
      <c r="Q1996" s="75" t="n"/>
      <c r="R1996" s="75" t="n"/>
      <c r="S1996" s="76" t="n"/>
      <c r="T1996" s="76" t="n"/>
      <c r="U1996" s="70">
        <f>IF($A1996="","",IFERROR(INDEX('Techniciens'!$F$5:$F$44,MATCH(O1996,'Techniciens'!$B$5:$B$44,0)),'Paramètres'!$AA$10))</f>
        <v/>
      </c>
      <c r="V1996" s="70">
        <f>IF($A1996="","",IF(OR(AC1996="Demandé",AC1996="Planifié",AC1996="Annulé"),0,N(T1996)*N(U1996)))</f>
        <v/>
      </c>
      <c r="W1996" s="70">
        <f>IF($A1996="","",SUMIFS('Mouvements stock'!$H$5:$H$3004,'Mouvements stock'!$I$5:$I$3004,$A1996,'Mouvements stock'!$C$5:$C$3004,"Sortie")-SUMIFS('Mouvements stock'!$H$5:$H$3004,'Mouvements stock'!$I$5:$I$3004,$A1996,'Mouvements stock'!$C$5:$C$3004,"Retour"))</f>
        <v/>
      </c>
      <c r="X1996" s="66" t="n"/>
      <c r="Y1996" s="66" t="n"/>
      <c r="Z1996" s="7" t="n"/>
      <c r="AA1996" s="70">
        <f>IF($A1996="","",N(V1996)+N(W1996)+N(X1996)+N(Y1996))</f>
        <v/>
      </c>
      <c r="AB1996" s="70">
        <f>IF($A1996="","",N(S1996)*'Paramètres'!$AA$9*IFERROR(INDEX('Paramètres'!$O$5:$O$7,MATCH(G1996,'Paramètres'!$N$5:$N$7,0)),0))</f>
        <v/>
      </c>
      <c r="AC1996" s="7" t="n"/>
      <c r="AD1996" s="69">
        <f>IF(OR($A1996="",Q1996=""),"",(Q1996-B1996)*24)</f>
        <v/>
      </c>
      <c r="AE1996" s="69">
        <f>IF(OR(Q1996="",R1996=""),"",(R1996-Q1996)*24)</f>
        <v/>
      </c>
      <c r="AF1996" s="77">
        <f>IF(OR($A1996="",B1996=""),"",YEAR(B1996))</f>
        <v/>
      </c>
      <c r="AG1996" s="77">
        <f>IF(OR($A1996="",B1996=""),"",MONTH(B1996))</f>
        <v/>
      </c>
    </row>
    <row r="1997">
      <c r="A1997" s="7" t="n"/>
      <c r="B1997" s="75" t="n"/>
      <c r="C1997" s="7" t="n"/>
      <c r="D1997" s="7" t="n"/>
      <c r="E1997" s="9">
        <f>IF(D1997="","",IFERROR(INDEX('Équipements'!$B$5:$B$304,MATCH(D1997,'Équipements'!$A$5:$A$304,0)),"Code inconnu"))</f>
        <v/>
      </c>
      <c r="F1997" s="9">
        <f>IF(D1997="","",IFERROR(INDEX('Équipements'!$D$5:$D$304,MATCH(D1997,'Équipements'!$A$5:$A$304,0)),""))</f>
        <v/>
      </c>
      <c r="G1997" s="9">
        <f>IF(D1997="","",IFERROR(INDEX('Équipements'!$K$5:$K$304,MATCH(D1997,'Équipements'!$A$5:$A$304,0)),""))</f>
        <v/>
      </c>
      <c r="H1997" s="7" t="n"/>
      <c r="I1997" s="7" t="n"/>
      <c r="J1997" s="7" t="n"/>
      <c r="K1997" s="7" t="n"/>
      <c r="L1997" s="7" t="n"/>
      <c r="M1997" s="7" t="n"/>
      <c r="N1997" s="7" t="n"/>
      <c r="O1997" s="7" t="n"/>
      <c r="P1997" s="65" t="n"/>
      <c r="Q1997" s="75" t="n"/>
      <c r="R1997" s="75" t="n"/>
      <c r="S1997" s="76" t="n"/>
      <c r="T1997" s="76" t="n"/>
      <c r="U1997" s="70">
        <f>IF($A1997="","",IFERROR(INDEX('Techniciens'!$F$5:$F$44,MATCH(O1997,'Techniciens'!$B$5:$B$44,0)),'Paramètres'!$AA$10))</f>
        <v/>
      </c>
      <c r="V1997" s="70">
        <f>IF($A1997="","",IF(OR(AC1997="Demandé",AC1997="Planifié",AC1997="Annulé"),0,N(T1997)*N(U1997)))</f>
        <v/>
      </c>
      <c r="W1997" s="70">
        <f>IF($A1997="","",SUMIFS('Mouvements stock'!$H$5:$H$3004,'Mouvements stock'!$I$5:$I$3004,$A1997,'Mouvements stock'!$C$5:$C$3004,"Sortie")-SUMIFS('Mouvements stock'!$H$5:$H$3004,'Mouvements stock'!$I$5:$I$3004,$A1997,'Mouvements stock'!$C$5:$C$3004,"Retour"))</f>
        <v/>
      </c>
      <c r="X1997" s="66" t="n"/>
      <c r="Y1997" s="66" t="n"/>
      <c r="Z1997" s="7" t="n"/>
      <c r="AA1997" s="70">
        <f>IF($A1997="","",N(V1997)+N(W1997)+N(X1997)+N(Y1997))</f>
        <v/>
      </c>
      <c r="AB1997" s="70">
        <f>IF($A1997="","",N(S1997)*'Paramètres'!$AA$9*IFERROR(INDEX('Paramètres'!$O$5:$O$7,MATCH(G1997,'Paramètres'!$N$5:$N$7,0)),0))</f>
        <v/>
      </c>
      <c r="AC1997" s="7" t="n"/>
      <c r="AD1997" s="69">
        <f>IF(OR($A1997="",Q1997=""),"",(Q1997-B1997)*24)</f>
        <v/>
      </c>
      <c r="AE1997" s="69">
        <f>IF(OR(Q1997="",R1997=""),"",(R1997-Q1997)*24)</f>
        <v/>
      </c>
      <c r="AF1997" s="77">
        <f>IF(OR($A1997="",B1997=""),"",YEAR(B1997))</f>
        <v/>
      </c>
      <c r="AG1997" s="77">
        <f>IF(OR($A1997="",B1997=""),"",MONTH(B1997))</f>
        <v/>
      </c>
    </row>
    <row r="1998">
      <c r="A1998" s="7" t="n"/>
      <c r="B1998" s="75" t="n"/>
      <c r="C1998" s="7" t="n"/>
      <c r="D1998" s="7" t="n"/>
      <c r="E1998" s="9">
        <f>IF(D1998="","",IFERROR(INDEX('Équipements'!$B$5:$B$304,MATCH(D1998,'Équipements'!$A$5:$A$304,0)),"Code inconnu"))</f>
        <v/>
      </c>
      <c r="F1998" s="9">
        <f>IF(D1998="","",IFERROR(INDEX('Équipements'!$D$5:$D$304,MATCH(D1998,'Équipements'!$A$5:$A$304,0)),""))</f>
        <v/>
      </c>
      <c r="G1998" s="9">
        <f>IF(D1998="","",IFERROR(INDEX('Équipements'!$K$5:$K$304,MATCH(D1998,'Équipements'!$A$5:$A$304,0)),""))</f>
        <v/>
      </c>
      <c r="H1998" s="7" t="n"/>
      <c r="I1998" s="7" t="n"/>
      <c r="J1998" s="7" t="n"/>
      <c r="K1998" s="7" t="n"/>
      <c r="L1998" s="7" t="n"/>
      <c r="M1998" s="7" t="n"/>
      <c r="N1998" s="7" t="n"/>
      <c r="O1998" s="7" t="n"/>
      <c r="P1998" s="65" t="n"/>
      <c r="Q1998" s="75" t="n"/>
      <c r="R1998" s="75" t="n"/>
      <c r="S1998" s="76" t="n"/>
      <c r="T1998" s="76" t="n"/>
      <c r="U1998" s="70">
        <f>IF($A1998="","",IFERROR(INDEX('Techniciens'!$F$5:$F$44,MATCH(O1998,'Techniciens'!$B$5:$B$44,0)),'Paramètres'!$AA$10))</f>
        <v/>
      </c>
      <c r="V1998" s="70">
        <f>IF($A1998="","",IF(OR(AC1998="Demandé",AC1998="Planifié",AC1998="Annulé"),0,N(T1998)*N(U1998)))</f>
        <v/>
      </c>
      <c r="W1998" s="70">
        <f>IF($A1998="","",SUMIFS('Mouvements stock'!$H$5:$H$3004,'Mouvements stock'!$I$5:$I$3004,$A1998,'Mouvements stock'!$C$5:$C$3004,"Sortie")-SUMIFS('Mouvements stock'!$H$5:$H$3004,'Mouvements stock'!$I$5:$I$3004,$A1998,'Mouvements stock'!$C$5:$C$3004,"Retour"))</f>
        <v/>
      </c>
      <c r="X1998" s="66" t="n"/>
      <c r="Y1998" s="66" t="n"/>
      <c r="Z1998" s="7" t="n"/>
      <c r="AA1998" s="70">
        <f>IF($A1998="","",N(V1998)+N(W1998)+N(X1998)+N(Y1998))</f>
        <v/>
      </c>
      <c r="AB1998" s="70">
        <f>IF($A1998="","",N(S1998)*'Paramètres'!$AA$9*IFERROR(INDEX('Paramètres'!$O$5:$O$7,MATCH(G1998,'Paramètres'!$N$5:$N$7,0)),0))</f>
        <v/>
      </c>
      <c r="AC1998" s="7" t="n"/>
      <c r="AD1998" s="69">
        <f>IF(OR($A1998="",Q1998=""),"",(Q1998-B1998)*24)</f>
        <v/>
      </c>
      <c r="AE1998" s="69">
        <f>IF(OR(Q1998="",R1998=""),"",(R1998-Q1998)*24)</f>
        <v/>
      </c>
      <c r="AF1998" s="77">
        <f>IF(OR($A1998="",B1998=""),"",YEAR(B1998))</f>
        <v/>
      </c>
      <c r="AG1998" s="77">
        <f>IF(OR($A1998="",B1998=""),"",MONTH(B1998))</f>
        <v/>
      </c>
    </row>
    <row r="1999">
      <c r="A1999" s="7" t="n"/>
      <c r="B1999" s="75" t="n"/>
      <c r="C1999" s="7" t="n"/>
      <c r="D1999" s="7" t="n"/>
      <c r="E1999" s="9">
        <f>IF(D1999="","",IFERROR(INDEX('Équipements'!$B$5:$B$304,MATCH(D1999,'Équipements'!$A$5:$A$304,0)),"Code inconnu"))</f>
        <v/>
      </c>
      <c r="F1999" s="9">
        <f>IF(D1999="","",IFERROR(INDEX('Équipements'!$D$5:$D$304,MATCH(D1999,'Équipements'!$A$5:$A$304,0)),""))</f>
        <v/>
      </c>
      <c r="G1999" s="9">
        <f>IF(D1999="","",IFERROR(INDEX('Équipements'!$K$5:$K$304,MATCH(D1999,'Équipements'!$A$5:$A$304,0)),""))</f>
        <v/>
      </c>
      <c r="H1999" s="7" t="n"/>
      <c r="I1999" s="7" t="n"/>
      <c r="J1999" s="7" t="n"/>
      <c r="K1999" s="7" t="n"/>
      <c r="L1999" s="7" t="n"/>
      <c r="M1999" s="7" t="n"/>
      <c r="N1999" s="7" t="n"/>
      <c r="O1999" s="7" t="n"/>
      <c r="P1999" s="65" t="n"/>
      <c r="Q1999" s="75" t="n"/>
      <c r="R1999" s="75" t="n"/>
      <c r="S1999" s="76" t="n"/>
      <c r="T1999" s="76" t="n"/>
      <c r="U1999" s="70">
        <f>IF($A1999="","",IFERROR(INDEX('Techniciens'!$F$5:$F$44,MATCH(O1999,'Techniciens'!$B$5:$B$44,0)),'Paramètres'!$AA$10))</f>
        <v/>
      </c>
      <c r="V1999" s="70">
        <f>IF($A1999="","",IF(OR(AC1999="Demandé",AC1999="Planifié",AC1999="Annulé"),0,N(T1999)*N(U1999)))</f>
        <v/>
      </c>
      <c r="W1999" s="70">
        <f>IF($A1999="","",SUMIFS('Mouvements stock'!$H$5:$H$3004,'Mouvements stock'!$I$5:$I$3004,$A1999,'Mouvements stock'!$C$5:$C$3004,"Sortie")-SUMIFS('Mouvements stock'!$H$5:$H$3004,'Mouvements stock'!$I$5:$I$3004,$A1999,'Mouvements stock'!$C$5:$C$3004,"Retour"))</f>
        <v/>
      </c>
      <c r="X1999" s="66" t="n"/>
      <c r="Y1999" s="66" t="n"/>
      <c r="Z1999" s="7" t="n"/>
      <c r="AA1999" s="70">
        <f>IF($A1999="","",N(V1999)+N(W1999)+N(X1999)+N(Y1999))</f>
        <v/>
      </c>
      <c r="AB1999" s="70">
        <f>IF($A1999="","",N(S1999)*'Paramètres'!$AA$9*IFERROR(INDEX('Paramètres'!$O$5:$O$7,MATCH(G1999,'Paramètres'!$N$5:$N$7,0)),0))</f>
        <v/>
      </c>
      <c r="AC1999" s="7" t="n"/>
      <c r="AD1999" s="69">
        <f>IF(OR($A1999="",Q1999=""),"",(Q1999-B1999)*24)</f>
        <v/>
      </c>
      <c r="AE1999" s="69">
        <f>IF(OR(Q1999="",R1999=""),"",(R1999-Q1999)*24)</f>
        <v/>
      </c>
      <c r="AF1999" s="77">
        <f>IF(OR($A1999="",B1999=""),"",YEAR(B1999))</f>
        <v/>
      </c>
      <c r="AG1999" s="77">
        <f>IF(OR($A1999="",B1999=""),"",MONTH(B1999))</f>
        <v/>
      </c>
    </row>
    <row r="2000">
      <c r="A2000" s="7" t="n"/>
      <c r="B2000" s="75" t="n"/>
      <c r="C2000" s="7" t="n"/>
      <c r="D2000" s="7" t="n"/>
      <c r="E2000" s="9">
        <f>IF(D2000="","",IFERROR(INDEX('Équipements'!$B$5:$B$304,MATCH(D2000,'Équipements'!$A$5:$A$304,0)),"Code inconnu"))</f>
        <v/>
      </c>
      <c r="F2000" s="9">
        <f>IF(D2000="","",IFERROR(INDEX('Équipements'!$D$5:$D$304,MATCH(D2000,'Équipements'!$A$5:$A$304,0)),""))</f>
        <v/>
      </c>
      <c r="G2000" s="9">
        <f>IF(D2000="","",IFERROR(INDEX('Équipements'!$K$5:$K$304,MATCH(D2000,'Équipements'!$A$5:$A$304,0)),""))</f>
        <v/>
      </c>
      <c r="H2000" s="7" t="n"/>
      <c r="I2000" s="7" t="n"/>
      <c r="J2000" s="7" t="n"/>
      <c r="K2000" s="7" t="n"/>
      <c r="L2000" s="7" t="n"/>
      <c r="M2000" s="7" t="n"/>
      <c r="N2000" s="7" t="n"/>
      <c r="O2000" s="7" t="n"/>
      <c r="P2000" s="65" t="n"/>
      <c r="Q2000" s="75" t="n"/>
      <c r="R2000" s="75" t="n"/>
      <c r="S2000" s="76" t="n"/>
      <c r="T2000" s="76" t="n"/>
      <c r="U2000" s="70">
        <f>IF($A2000="","",IFERROR(INDEX('Techniciens'!$F$5:$F$44,MATCH(O2000,'Techniciens'!$B$5:$B$44,0)),'Paramètres'!$AA$10))</f>
        <v/>
      </c>
      <c r="V2000" s="70">
        <f>IF($A2000="","",IF(OR(AC2000="Demandé",AC2000="Planifié",AC2000="Annulé"),0,N(T2000)*N(U2000)))</f>
        <v/>
      </c>
      <c r="W2000" s="70">
        <f>IF($A2000="","",SUMIFS('Mouvements stock'!$H$5:$H$3004,'Mouvements stock'!$I$5:$I$3004,$A2000,'Mouvements stock'!$C$5:$C$3004,"Sortie")-SUMIFS('Mouvements stock'!$H$5:$H$3004,'Mouvements stock'!$I$5:$I$3004,$A2000,'Mouvements stock'!$C$5:$C$3004,"Retour"))</f>
        <v/>
      </c>
      <c r="X2000" s="66" t="n"/>
      <c r="Y2000" s="66" t="n"/>
      <c r="Z2000" s="7" t="n"/>
      <c r="AA2000" s="70">
        <f>IF($A2000="","",N(V2000)+N(W2000)+N(X2000)+N(Y2000))</f>
        <v/>
      </c>
      <c r="AB2000" s="70">
        <f>IF($A2000="","",N(S2000)*'Paramètres'!$AA$9*IFERROR(INDEX('Paramètres'!$O$5:$O$7,MATCH(G2000,'Paramètres'!$N$5:$N$7,0)),0))</f>
        <v/>
      </c>
      <c r="AC2000" s="7" t="n"/>
      <c r="AD2000" s="69">
        <f>IF(OR($A2000="",Q2000=""),"",(Q2000-B2000)*24)</f>
        <v/>
      </c>
      <c r="AE2000" s="69">
        <f>IF(OR(Q2000="",R2000=""),"",(R2000-Q2000)*24)</f>
        <v/>
      </c>
      <c r="AF2000" s="77">
        <f>IF(OR($A2000="",B2000=""),"",YEAR(B2000))</f>
        <v/>
      </c>
      <c r="AG2000" s="77">
        <f>IF(OR($A2000="",B2000=""),"",MONTH(B2000))</f>
        <v/>
      </c>
    </row>
    <row r="2001">
      <c r="A2001" s="7" t="n"/>
      <c r="B2001" s="75" t="n"/>
      <c r="C2001" s="7" t="n"/>
      <c r="D2001" s="7" t="n"/>
      <c r="E2001" s="9">
        <f>IF(D2001="","",IFERROR(INDEX('Équipements'!$B$5:$B$304,MATCH(D2001,'Équipements'!$A$5:$A$304,0)),"Code inconnu"))</f>
        <v/>
      </c>
      <c r="F2001" s="9">
        <f>IF(D2001="","",IFERROR(INDEX('Équipements'!$D$5:$D$304,MATCH(D2001,'Équipements'!$A$5:$A$304,0)),""))</f>
        <v/>
      </c>
      <c r="G2001" s="9">
        <f>IF(D2001="","",IFERROR(INDEX('Équipements'!$K$5:$K$304,MATCH(D2001,'Équipements'!$A$5:$A$304,0)),""))</f>
        <v/>
      </c>
      <c r="H2001" s="7" t="n"/>
      <c r="I2001" s="7" t="n"/>
      <c r="J2001" s="7" t="n"/>
      <c r="K2001" s="7" t="n"/>
      <c r="L2001" s="7" t="n"/>
      <c r="M2001" s="7" t="n"/>
      <c r="N2001" s="7" t="n"/>
      <c r="O2001" s="7" t="n"/>
      <c r="P2001" s="65" t="n"/>
      <c r="Q2001" s="75" t="n"/>
      <c r="R2001" s="75" t="n"/>
      <c r="S2001" s="76" t="n"/>
      <c r="T2001" s="76" t="n"/>
      <c r="U2001" s="70">
        <f>IF($A2001="","",IFERROR(INDEX('Techniciens'!$F$5:$F$44,MATCH(O2001,'Techniciens'!$B$5:$B$44,0)),'Paramètres'!$AA$10))</f>
        <v/>
      </c>
      <c r="V2001" s="70">
        <f>IF($A2001="","",IF(OR(AC2001="Demandé",AC2001="Planifié",AC2001="Annulé"),0,N(T2001)*N(U2001)))</f>
        <v/>
      </c>
      <c r="W2001" s="70">
        <f>IF($A2001="","",SUMIFS('Mouvements stock'!$H$5:$H$3004,'Mouvements stock'!$I$5:$I$3004,$A2001,'Mouvements stock'!$C$5:$C$3004,"Sortie")-SUMIFS('Mouvements stock'!$H$5:$H$3004,'Mouvements stock'!$I$5:$I$3004,$A2001,'Mouvements stock'!$C$5:$C$3004,"Retour"))</f>
        <v/>
      </c>
      <c r="X2001" s="66" t="n"/>
      <c r="Y2001" s="66" t="n"/>
      <c r="Z2001" s="7" t="n"/>
      <c r="AA2001" s="70">
        <f>IF($A2001="","",N(V2001)+N(W2001)+N(X2001)+N(Y2001))</f>
        <v/>
      </c>
      <c r="AB2001" s="70">
        <f>IF($A2001="","",N(S2001)*'Paramètres'!$AA$9*IFERROR(INDEX('Paramètres'!$O$5:$O$7,MATCH(G2001,'Paramètres'!$N$5:$N$7,0)),0))</f>
        <v/>
      </c>
      <c r="AC2001" s="7" t="n"/>
      <c r="AD2001" s="69">
        <f>IF(OR($A2001="",Q2001=""),"",(Q2001-B2001)*24)</f>
        <v/>
      </c>
      <c r="AE2001" s="69">
        <f>IF(OR(Q2001="",R2001=""),"",(R2001-Q2001)*24)</f>
        <v/>
      </c>
      <c r="AF2001" s="77">
        <f>IF(OR($A2001="",B2001=""),"",YEAR(B2001))</f>
        <v/>
      </c>
      <c r="AG2001" s="77">
        <f>IF(OR($A2001="",B2001=""),"",MONTH(B2001))</f>
        <v/>
      </c>
    </row>
    <row r="2002">
      <c r="A2002" s="7" t="n"/>
      <c r="B2002" s="75" t="n"/>
      <c r="C2002" s="7" t="n"/>
      <c r="D2002" s="7" t="n"/>
      <c r="E2002" s="9">
        <f>IF(D2002="","",IFERROR(INDEX('Équipements'!$B$5:$B$304,MATCH(D2002,'Équipements'!$A$5:$A$304,0)),"Code inconnu"))</f>
        <v/>
      </c>
      <c r="F2002" s="9">
        <f>IF(D2002="","",IFERROR(INDEX('Équipements'!$D$5:$D$304,MATCH(D2002,'Équipements'!$A$5:$A$304,0)),""))</f>
        <v/>
      </c>
      <c r="G2002" s="9">
        <f>IF(D2002="","",IFERROR(INDEX('Équipements'!$K$5:$K$304,MATCH(D2002,'Équipements'!$A$5:$A$304,0)),""))</f>
        <v/>
      </c>
      <c r="H2002" s="7" t="n"/>
      <c r="I2002" s="7" t="n"/>
      <c r="J2002" s="7" t="n"/>
      <c r="K2002" s="7" t="n"/>
      <c r="L2002" s="7" t="n"/>
      <c r="M2002" s="7" t="n"/>
      <c r="N2002" s="7" t="n"/>
      <c r="O2002" s="7" t="n"/>
      <c r="P2002" s="65" t="n"/>
      <c r="Q2002" s="75" t="n"/>
      <c r="R2002" s="75" t="n"/>
      <c r="S2002" s="76" t="n"/>
      <c r="T2002" s="76" t="n"/>
      <c r="U2002" s="70">
        <f>IF($A2002="","",IFERROR(INDEX('Techniciens'!$F$5:$F$44,MATCH(O2002,'Techniciens'!$B$5:$B$44,0)),'Paramètres'!$AA$10))</f>
        <v/>
      </c>
      <c r="V2002" s="70">
        <f>IF($A2002="","",IF(OR(AC2002="Demandé",AC2002="Planifié",AC2002="Annulé"),0,N(T2002)*N(U2002)))</f>
        <v/>
      </c>
      <c r="W2002" s="70">
        <f>IF($A2002="","",SUMIFS('Mouvements stock'!$H$5:$H$3004,'Mouvements stock'!$I$5:$I$3004,$A2002,'Mouvements stock'!$C$5:$C$3004,"Sortie")-SUMIFS('Mouvements stock'!$H$5:$H$3004,'Mouvements stock'!$I$5:$I$3004,$A2002,'Mouvements stock'!$C$5:$C$3004,"Retour"))</f>
        <v/>
      </c>
      <c r="X2002" s="66" t="n"/>
      <c r="Y2002" s="66" t="n"/>
      <c r="Z2002" s="7" t="n"/>
      <c r="AA2002" s="70">
        <f>IF($A2002="","",N(V2002)+N(W2002)+N(X2002)+N(Y2002))</f>
        <v/>
      </c>
      <c r="AB2002" s="70">
        <f>IF($A2002="","",N(S2002)*'Paramètres'!$AA$9*IFERROR(INDEX('Paramètres'!$O$5:$O$7,MATCH(G2002,'Paramètres'!$N$5:$N$7,0)),0))</f>
        <v/>
      </c>
      <c r="AC2002" s="7" t="n"/>
      <c r="AD2002" s="69">
        <f>IF(OR($A2002="",Q2002=""),"",(Q2002-B2002)*24)</f>
        <v/>
      </c>
      <c r="AE2002" s="69">
        <f>IF(OR(Q2002="",R2002=""),"",(R2002-Q2002)*24)</f>
        <v/>
      </c>
      <c r="AF2002" s="77">
        <f>IF(OR($A2002="",B2002=""),"",YEAR(B2002))</f>
        <v/>
      </c>
      <c r="AG2002" s="77">
        <f>IF(OR($A2002="",B2002=""),"",MONTH(B2002))</f>
        <v/>
      </c>
    </row>
    <row r="2003">
      <c r="A2003" s="7" t="n"/>
      <c r="B2003" s="75" t="n"/>
      <c r="C2003" s="7" t="n"/>
      <c r="D2003" s="7" t="n"/>
      <c r="E2003" s="9">
        <f>IF(D2003="","",IFERROR(INDEX('Équipements'!$B$5:$B$304,MATCH(D2003,'Équipements'!$A$5:$A$304,0)),"Code inconnu"))</f>
        <v/>
      </c>
      <c r="F2003" s="9">
        <f>IF(D2003="","",IFERROR(INDEX('Équipements'!$D$5:$D$304,MATCH(D2003,'Équipements'!$A$5:$A$304,0)),""))</f>
        <v/>
      </c>
      <c r="G2003" s="9">
        <f>IF(D2003="","",IFERROR(INDEX('Équipements'!$K$5:$K$304,MATCH(D2003,'Équipements'!$A$5:$A$304,0)),""))</f>
        <v/>
      </c>
      <c r="H2003" s="7" t="n"/>
      <c r="I2003" s="7" t="n"/>
      <c r="J2003" s="7" t="n"/>
      <c r="K2003" s="7" t="n"/>
      <c r="L2003" s="7" t="n"/>
      <c r="M2003" s="7" t="n"/>
      <c r="N2003" s="7" t="n"/>
      <c r="O2003" s="7" t="n"/>
      <c r="P2003" s="65" t="n"/>
      <c r="Q2003" s="75" t="n"/>
      <c r="R2003" s="75" t="n"/>
      <c r="S2003" s="76" t="n"/>
      <c r="T2003" s="76" t="n"/>
      <c r="U2003" s="70">
        <f>IF($A2003="","",IFERROR(INDEX('Techniciens'!$F$5:$F$44,MATCH(O2003,'Techniciens'!$B$5:$B$44,0)),'Paramètres'!$AA$10))</f>
        <v/>
      </c>
      <c r="V2003" s="70">
        <f>IF($A2003="","",IF(OR(AC2003="Demandé",AC2003="Planifié",AC2003="Annulé"),0,N(T2003)*N(U2003)))</f>
        <v/>
      </c>
      <c r="W2003" s="70">
        <f>IF($A2003="","",SUMIFS('Mouvements stock'!$H$5:$H$3004,'Mouvements stock'!$I$5:$I$3004,$A2003,'Mouvements stock'!$C$5:$C$3004,"Sortie")-SUMIFS('Mouvements stock'!$H$5:$H$3004,'Mouvements stock'!$I$5:$I$3004,$A2003,'Mouvements stock'!$C$5:$C$3004,"Retour"))</f>
        <v/>
      </c>
      <c r="X2003" s="66" t="n"/>
      <c r="Y2003" s="66" t="n"/>
      <c r="Z2003" s="7" t="n"/>
      <c r="AA2003" s="70">
        <f>IF($A2003="","",N(V2003)+N(W2003)+N(X2003)+N(Y2003))</f>
        <v/>
      </c>
      <c r="AB2003" s="70">
        <f>IF($A2003="","",N(S2003)*'Paramètres'!$AA$9*IFERROR(INDEX('Paramètres'!$O$5:$O$7,MATCH(G2003,'Paramètres'!$N$5:$N$7,0)),0))</f>
        <v/>
      </c>
      <c r="AC2003" s="7" t="n"/>
      <c r="AD2003" s="69">
        <f>IF(OR($A2003="",Q2003=""),"",(Q2003-B2003)*24)</f>
        <v/>
      </c>
      <c r="AE2003" s="69">
        <f>IF(OR(Q2003="",R2003=""),"",(R2003-Q2003)*24)</f>
        <v/>
      </c>
      <c r="AF2003" s="77">
        <f>IF(OR($A2003="",B2003=""),"",YEAR(B2003))</f>
        <v/>
      </c>
      <c r="AG2003" s="77">
        <f>IF(OR($A2003="",B2003=""),"",MONTH(B2003))</f>
        <v/>
      </c>
    </row>
    <row r="2004">
      <c r="A2004" s="7" t="n"/>
      <c r="B2004" s="75" t="n"/>
      <c r="C2004" s="7" t="n"/>
      <c r="D2004" s="7" t="n"/>
      <c r="E2004" s="9">
        <f>IF(D2004="","",IFERROR(INDEX('Équipements'!$B$5:$B$304,MATCH(D2004,'Équipements'!$A$5:$A$304,0)),"Code inconnu"))</f>
        <v/>
      </c>
      <c r="F2004" s="9">
        <f>IF(D2004="","",IFERROR(INDEX('Équipements'!$D$5:$D$304,MATCH(D2004,'Équipements'!$A$5:$A$304,0)),""))</f>
        <v/>
      </c>
      <c r="G2004" s="9">
        <f>IF(D2004="","",IFERROR(INDEX('Équipements'!$K$5:$K$304,MATCH(D2004,'Équipements'!$A$5:$A$304,0)),""))</f>
        <v/>
      </c>
      <c r="H2004" s="7" t="n"/>
      <c r="I2004" s="7" t="n"/>
      <c r="J2004" s="7" t="n"/>
      <c r="K2004" s="7" t="n"/>
      <c r="L2004" s="7" t="n"/>
      <c r="M2004" s="7" t="n"/>
      <c r="N2004" s="7" t="n"/>
      <c r="O2004" s="7" t="n"/>
      <c r="P2004" s="65" t="n"/>
      <c r="Q2004" s="75" t="n"/>
      <c r="R2004" s="75" t="n"/>
      <c r="S2004" s="76" t="n"/>
      <c r="T2004" s="76" t="n"/>
      <c r="U2004" s="70">
        <f>IF($A2004="","",IFERROR(INDEX('Techniciens'!$F$5:$F$44,MATCH(O2004,'Techniciens'!$B$5:$B$44,0)),'Paramètres'!$AA$10))</f>
        <v/>
      </c>
      <c r="V2004" s="70">
        <f>IF($A2004="","",IF(OR(AC2004="Demandé",AC2004="Planifié",AC2004="Annulé"),0,N(T2004)*N(U2004)))</f>
        <v/>
      </c>
      <c r="W2004" s="70">
        <f>IF($A2004="","",SUMIFS('Mouvements stock'!$H$5:$H$3004,'Mouvements stock'!$I$5:$I$3004,$A2004,'Mouvements stock'!$C$5:$C$3004,"Sortie")-SUMIFS('Mouvements stock'!$H$5:$H$3004,'Mouvements stock'!$I$5:$I$3004,$A2004,'Mouvements stock'!$C$5:$C$3004,"Retour"))</f>
        <v/>
      </c>
      <c r="X2004" s="66" t="n"/>
      <c r="Y2004" s="66" t="n"/>
      <c r="Z2004" s="7" t="n"/>
      <c r="AA2004" s="70">
        <f>IF($A2004="","",N(V2004)+N(W2004)+N(X2004)+N(Y2004))</f>
        <v/>
      </c>
      <c r="AB2004" s="70">
        <f>IF($A2004="","",N(S2004)*'Paramètres'!$AA$9*IFERROR(INDEX('Paramètres'!$O$5:$O$7,MATCH(G2004,'Paramètres'!$N$5:$N$7,0)),0))</f>
        <v/>
      </c>
      <c r="AC2004" s="7" t="n"/>
      <c r="AD2004" s="69">
        <f>IF(OR($A2004="",Q2004=""),"",(Q2004-B2004)*24)</f>
        <v/>
      </c>
      <c r="AE2004" s="69">
        <f>IF(OR(Q2004="",R2004=""),"",(R2004-Q2004)*24)</f>
        <v/>
      </c>
      <c r="AF2004" s="77">
        <f>IF(OR($A2004="",B2004=""),"",YEAR(B2004))</f>
        <v/>
      </c>
      <c r="AG2004" s="77">
        <f>IF(OR($A2004="",B2004=""),"",MONTH(B2004))</f>
        <v/>
      </c>
    </row>
    <row r="2005">
      <c r="A2005" s="7" t="n"/>
      <c r="B2005" s="75" t="n"/>
      <c r="C2005" s="7" t="n"/>
      <c r="D2005" s="7" t="n"/>
      <c r="E2005" s="9">
        <f>IF(D2005="","",IFERROR(INDEX('Équipements'!$B$5:$B$304,MATCH(D2005,'Équipements'!$A$5:$A$304,0)),"Code inconnu"))</f>
        <v/>
      </c>
      <c r="F2005" s="9">
        <f>IF(D2005="","",IFERROR(INDEX('Équipements'!$D$5:$D$304,MATCH(D2005,'Équipements'!$A$5:$A$304,0)),""))</f>
        <v/>
      </c>
      <c r="G2005" s="9">
        <f>IF(D2005="","",IFERROR(INDEX('Équipements'!$K$5:$K$304,MATCH(D2005,'Équipements'!$A$5:$A$304,0)),""))</f>
        <v/>
      </c>
      <c r="H2005" s="7" t="n"/>
      <c r="I2005" s="7" t="n"/>
      <c r="J2005" s="7" t="n"/>
      <c r="K2005" s="7" t="n"/>
      <c r="L2005" s="7" t="n"/>
      <c r="M2005" s="7" t="n"/>
      <c r="N2005" s="7" t="n"/>
      <c r="O2005" s="7" t="n"/>
      <c r="P2005" s="65" t="n"/>
      <c r="Q2005" s="75" t="n"/>
      <c r="R2005" s="75" t="n"/>
      <c r="S2005" s="76" t="n"/>
      <c r="T2005" s="76" t="n"/>
      <c r="U2005" s="70">
        <f>IF($A2005="","",IFERROR(INDEX('Techniciens'!$F$5:$F$44,MATCH(O2005,'Techniciens'!$B$5:$B$44,0)),'Paramètres'!$AA$10))</f>
        <v/>
      </c>
      <c r="V2005" s="70">
        <f>IF($A2005="","",IF(OR(AC2005="Demandé",AC2005="Planifié",AC2005="Annulé"),0,N(T2005)*N(U2005)))</f>
        <v/>
      </c>
      <c r="W2005" s="70">
        <f>IF($A2005="","",SUMIFS('Mouvements stock'!$H$5:$H$3004,'Mouvements stock'!$I$5:$I$3004,$A2005,'Mouvements stock'!$C$5:$C$3004,"Sortie")-SUMIFS('Mouvements stock'!$H$5:$H$3004,'Mouvements stock'!$I$5:$I$3004,$A2005,'Mouvements stock'!$C$5:$C$3004,"Retour"))</f>
        <v/>
      </c>
      <c r="X2005" s="66" t="n"/>
      <c r="Y2005" s="66" t="n"/>
      <c r="Z2005" s="7" t="n"/>
      <c r="AA2005" s="70">
        <f>IF($A2005="","",N(V2005)+N(W2005)+N(X2005)+N(Y2005))</f>
        <v/>
      </c>
      <c r="AB2005" s="70">
        <f>IF($A2005="","",N(S2005)*'Paramètres'!$AA$9*IFERROR(INDEX('Paramètres'!$O$5:$O$7,MATCH(G2005,'Paramètres'!$N$5:$N$7,0)),0))</f>
        <v/>
      </c>
      <c r="AC2005" s="7" t="n"/>
      <c r="AD2005" s="69">
        <f>IF(OR($A2005="",Q2005=""),"",(Q2005-B2005)*24)</f>
        <v/>
      </c>
      <c r="AE2005" s="69">
        <f>IF(OR(Q2005="",R2005=""),"",(R2005-Q2005)*24)</f>
        <v/>
      </c>
      <c r="AF2005" s="77">
        <f>IF(OR($A2005="",B2005=""),"",YEAR(B2005))</f>
        <v/>
      </c>
      <c r="AG2005" s="77">
        <f>IF(OR($A2005="",B2005=""),"",MONTH(B2005))</f>
        <v/>
      </c>
    </row>
    <row r="2006">
      <c r="A2006" s="7" t="n"/>
      <c r="B2006" s="75" t="n"/>
      <c r="C2006" s="7" t="n"/>
      <c r="D2006" s="7" t="n"/>
      <c r="E2006" s="9">
        <f>IF(D2006="","",IFERROR(INDEX('Équipements'!$B$5:$B$304,MATCH(D2006,'Équipements'!$A$5:$A$304,0)),"Code inconnu"))</f>
        <v/>
      </c>
      <c r="F2006" s="9">
        <f>IF(D2006="","",IFERROR(INDEX('Équipements'!$D$5:$D$304,MATCH(D2006,'Équipements'!$A$5:$A$304,0)),""))</f>
        <v/>
      </c>
      <c r="G2006" s="9">
        <f>IF(D2006="","",IFERROR(INDEX('Équipements'!$K$5:$K$304,MATCH(D2006,'Équipements'!$A$5:$A$304,0)),""))</f>
        <v/>
      </c>
      <c r="H2006" s="7" t="n"/>
      <c r="I2006" s="7" t="n"/>
      <c r="J2006" s="7" t="n"/>
      <c r="K2006" s="7" t="n"/>
      <c r="L2006" s="7" t="n"/>
      <c r="M2006" s="7" t="n"/>
      <c r="N2006" s="7" t="n"/>
      <c r="O2006" s="7" t="n"/>
      <c r="P2006" s="65" t="n"/>
      <c r="Q2006" s="75" t="n"/>
      <c r="R2006" s="75" t="n"/>
      <c r="S2006" s="76" t="n"/>
      <c r="T2006" s="76" t="n"/>
      <c r="U2006" s="70">
        <f>IF($A2006="","",IFERROR(INDEX('Techniciens'!$F$5:$F$44,MATCH(O2006,'Techniciens'!$B$5:$B$44,0)),'Paramètres'!$AA$10))</f>
        <v/>
      </c>
      <c r="V2006" s="70">
        <f>IF($A2006="","",IF(OR(AC2006="Demandé",AC2006="Planifié",AC2006="Annulé"),0,N(T2006)*N(U2006)))</f>
        <v/>
      </c>
      <c r="W2006" s="70">
        <f>IF($A2006="","",SUMIFS('Mouvements stock'!$H$5:$H$3004,'Mouvements stock'!$I$5:$I$3004,$A2006,'Mouvements stock'!$C$5:$C$3004,"Sortie")-SUMIFS('Mouvements stock'!$H$5:$H$3004,'Mouvements stock'!$I$5:$I$3004,$A2006,'Mouvements stock'!$C$5:$C$3004,"Retour"))</f>
        <v/>
      </c>
      <c r="X2006" s="66" t="n"/>
      <c r="Y2006" s="66" t="n"/>
      <c r="Z2006" s="7" t="n"/>
      <c r="AA2006" s="70">
        <f>IF($A2006="","",N(V2006)+N(W2006)+N(X2006)+N(Y2006))</f>
        <v/>
      </c>
      <c r="AB2006" s="70">
        <f>IF($A2006="","",N(S2006)*'Paramètres'!$AA$9*IFERROR(INDEX('Paramètres'!$O$5:$O$7,MATCH(G2006,'Paramètres'!$N$5:$N$7,0)),0))</f>
        <v/>
      </c>
      <c r="AC2006" s="7" t="n"/>
      <c r="AD2006" s="69">
        <f>IF(OR($A2006="",Q2006=""),"",(Q2006-B2006)*24)</f>
        <v/>
      </c>
      <c r="AE2006" s="69">
        <f>IF(OR(Q2006="",R2006=""),"",(R2006-Q2006)*24)</f>
        <v/>
      </c>
      <c r="AF2006" s="77">
        <f>IF(OR($A2006="",B2006=""),"",YEAR(B2006))</f>
        <v/>
      </c>
      <c r="AG2006" s="77">
        <f>IF(OR($A2006="",B2006=""),"",MONTH(B2006))</f>
        <v/>
      </c>
    </row>
    <row r="2007">
      <c r="A2007" s="7" t="n"/>
      <c r="B2007" s="75" t="n"/>
      <c r="C2007" s="7" t="n"/>
      <c r="D2007" s="7" t="n"/>
      <c r="E2007" s="9">
        <f>IF(D2007="","",IFERROR(INDEX('Équipements'!$B$5:$B$304,MATCH(D2007,'Équipements'!$A$5:$A$304,0)),"Code inconnu"))</f>
        <v/>
      </c>
      <c r="F2007" s="9">
        <f>IF(D2007="","",IFERROR(INDEX('Équipements'!$D$5:$D$304,MATCH(D2007,'Équipements'!$A$5:$A$304,0)),""))</f>
        <v/>
      </c>
      <c r="G2007" s="9">
        <f>IF(D2007="","",IFERROR(INDEX('Équipements'!$K$5:$K$304,MATCH(D2007,'Équipements'!$A$5:$A$304,0)),""))</f>
        <v/>
      </c>
      <c r="H2007" s="7" t="n"/>
      <c r="I2007" s="7" t="n"/>
      <c r="J2007" s="7" t="n"/>
      <c r="K2007" s="7" t="n"/>
      <c r="L2007" s="7" t="n"/>
      <c r="M2007" s="7" t="n"/>
      <c r="N2007" s="7" t="n"/>
      <c r="O2007" s="7" t="n"/>
      <c r="P2007" s="65" t="n"/>
      <c r="Q2007" s="75" t="n"/>
      <c r="R2007" s="75" t="n"/>
      <c r="S2007" s="76" t="n"/>
      <c r="T2007" s="76" t="n"/>
      <c r="U2007" s="70">
        <f>IF($A2007="","",IFERROR(INDEX('Techniciens'!$F$5:$F$44,MATCH(O2007,'Techniciens'!$B$5:$B$44,0)),'Paramètres'!$AA$10))</f>
        <v/>
      </c>
      <c r="V2007" s="70">
        <f>IF($A2007="","",IF(OR(AC2007="Demandé",AC2007="Planifié",AC2007="Annulé"),0,N(T2007)*N(U2007)))</f>
        <v/>
      </c>
      <c r="W2007" s="70">
        <f>IF($A2007="","",SUMIFS('Mouvements stock'!$H$5:$H$3004,'Mouvements stock'!$I$5:$I$3004,$A2007,'Mouvements stock'!$C$5:$C$3004,"Sortie")-SUMIFS('Mouvements stock'!$H$5:$H$3004,'Mouvements stock'!$I$5:$I$3004,$A2007,'Mouvements stock'!$C$5:$C$3004,"Retour"))</f>
        <v/>
      </c>
      <c r="X2007" s="66" t="n"/>
      <c r="Y2007" s="66" t="n"/>
      <c r="Z2007" s="7" t="n"/>
      <c r="AA2007" s="70">
        <f>IF($A2007="","",N(V2007)+N(W2007)+N(X2007)+N(Y2007))</f>
        <v/>
      </c>
      <c r="AB2007" s="70">
        <f>IF($A2007="","",N(S2007)*'Paramètres'!$AA$9*IFERROR(INDEX('Paramètres'!$O$5:$O$7,MATCH(G2007,'Paramètres'!$N$5:$N$7,0)),0))</f>
        <v/>
      </c>
      <c r="AC2007" s="7" t="n"/>
      <c r="AD2007" s="69">
        <f>IF(OR($A2007="",Q2007=""),"",(Q2007-B2007)*24)</f>
        <v/>
      </c>
      <c r="AE2007" s="69">
        <f>IF(OR(Q2007="",R2007=""),"",(R2007-Q2007)*24)</f>
        <v/>
      </c>
      <c r="AF2007" s="77">
        <f>IF(OR($A2007="",B2007=""),"",YEAR(B2007))</f>
        <v/>
      </c>
      <c r="AG2007" s="77">
        <f>IF(OR($A2007="",B2007=""),"",MONTH(B2007))</f>
        <v/>
      </c>
    </row>
    <row r="2008">
      <c r="A2008" s="7" t="n"/>
      <c r="B2008" s="75" t="n"/>
      <c r="C2008" s="7" t="n"/>
      <c r="D2008" s="7" t="n"/>
      <c r="E2008" s="9">
        <f>IF(D2008="","",IFERROR(INDEX('Équipements'!$B$5:$B$304,MATCH(D2008,'Équipements'!$A$5:$A$304,0)),"Code inconnu"))</f>
        <v/>
      </c>
      <c r="F2008" s="9">
        <f>IF(D2008="","",IFERROR(INDEX('Équipements'!$D$5:$D$304,MATCH(D2008,'Équipements'!$A$5:$A$304,0)),""))</f>
        <v/>
      </c>
      <c r="G2008" s="9">
        <f>IF(D2008="","",IFERROR(INDEX('Équipements'!$K$5:$K$304,MATCH(D2008,'Équipements'!$A$5:$A$304,0)),""))</f>
        <v/>
      </c>
      <c r="H2008" s="7" t="n"/>
      <c r="I2008" s="7" t="n"/>
      <c r="J2008" s="7" t="n"/>
      <c r="K2008" s="7" t="n"/>
      <c r="L2008" s="7" t="n"/>
      <c r="M2008" s="7" t="n"/>
      <c r="N2008" s="7" t="n"/>
      <c r="O2008" s="7" t="n"/>
      <c r="P2008" s="65" t="n"/>
      <c r="Q2008" s="75" t="n"/>
      <c r="R2008" s="75" t="n"/>
      <c r="S2008" s="76" t="n"/>
      <c r="T2008" s="76" t="n"/>
      <c r="U2008" s="70">
        <f>IF($A2008="","",IFERROR(INDEX('Techniciens'!$F$5:$F$44,MATCH(O2008,'Techniciens'!$B$5:$B$44,0)),'Paramètres'!$AA$10))</f>
        <v/>
      </c>
      <c r="V2008" s="70">
        <f>IF($A2008="","",IF(OR(AC2008="Demandé",AC2008="Planifié",AC2008="Annulé"),0,N(T2008)*N(U2008)))</f>
        <v/>
      </c>
      <c r="W2008" s="70">
        <f>IF($A2008="","",SUMIFS('Mouvements stock'!$H$5:$H$3004,'Mouvements stock'!$I$5:$I$3004,$A2008,'Mouvements stock'!$C$5:$C$3004,"Sortie")-SUMIFS('Mouvements stock'!$H$5:$H$3004,'Mouvements stock'!$I$5:$I$3004,$A2008,'Mouvements stock'!$C$5:$C$3004,"Retour"))</f>
        <v/>
      </c>
      <c r="X2008" s="66" t="n"/>
      <c r="Y2008" s="66" t="n"/>
      <c r="Z2008" s="7" t="n"/>
      <c r="AA2008" s="70">
        <f>IF($A2008="","",N(V2008)+N(W2008)+N(X2008)+N(Y2008))</f>
        <v/>
      </c>
      <c r="AB2008" s="70">
        <f>IF($A2008="","",N(S2008)*'Paramètres'!$AA$9*IFERROR(INDEX('Paramètres'!$O$5:$O$7,MATCH(G2008,'Paramètres'!$N$5:$N$7,0)),0))</f>
        <v/>
      </c>
      <c r="AC2008" s="7" t="n"/>
      <c r="AD2008" s="69">
        <f>IF(OR($A2008="",Q2008=""),"",(Q2008-B2008)*24)</f>
        <v/>
      </c>
      <c r="AE2008" s="69">
        <f>IF(OR(Q2008="",R2008=""),"",(R2008-Q2008)*24)</f>
        <v/>
      </c>
      <c r="AF2008" s="77">
        <f>IF(OR($A2008="",B2008=""),"",YEAR(B2008))</f>
        <v/>
      </c>
      <c r="AG2008" s="77">
        <f>IF(OR($A2008="",B2008=""),"",MONTH(B2008))</f>
        <v/>
      </c>
    </row>
    <row r="2009">
      <c r="A2009" s="7" t="n"/>
      <c r="B2009" s="75" t="n"/>
      <c r="C2009" s="7" t="n"/>
      <c r="D2009" s="7" t="n"/>
      <c r="E2009" s="9">
        <f>IF(D2009="","",IFERROR(INDEX('Équipements'!$B$5:$B$304,MATCH(D2009,'Équipements'!$A$5:$A$304,0)),"Code inconnu"))</f>
        <v/>
      </c>
      <c r="F2009" s="9">
        <f>IF(D2009="","",IFERROR(INDEX('Équipements'!$D$5:$D$304,MATCH(D2009,'Équipements'!$A$5:$A$304,0)),""))</f>
        <v/>
      </c>
      <c r="G2009" s="9">
        <f>IF(D2009="","",IFERROR(INDEX('Équipements'!$K$5:$K$304,MATCH(D2009,'Équipements'!$A$5:$A$304,0)),""))</f>
        <v/>
      </c>
      <c r="H2009" s="7" t="n"/>
      <c r="I2009" s="7" t="n"/>
      <c r="J2009" s="7" t="n"/>
      <c r="K2009" s="7" t="n"/>
      <c r="L2009" s="7" t="n"/>
      <c r="M2009" s="7" t="n"/>
      <c r="N2009" s="7" t="n"/>
      <c r="O2009" s="7" t="n"/>
      <c r="P2009" s="65" t="n"/>
      <c r="Q2009" s="75" t="n"/>
      <c r="R2009" s="75" t="n"/>
      <c r="S2009" s="76" t="n"/>
      <c r="T2009" s="76" t="n"/>
      <c r="U2009" s="70">
        <f>IF($A2009="","",IFERROR(INDEX('Techniciens'!$F$5:$F$44,MATCH(O2009,'Techniciens'!$B$5:$B$44,0)),'Paramètres'!$AA$10))</f>
        <v/>
      </c>
      <c r="V2009" s="70">
        <f>IF($A2009="","",IF(OR(AC2009="Demandé",AC2009="Planifié",AC2009="Annulé"),0,N(T2009)*N(U2009)))</f>
        <v/>
      </c>
      <c r="W2009" s="70">
        <f>IF($A2009="","",SUMIFS('Mouvements stock'!$H$5:$H$3004,'Mouvements stock'!$I$5:$I$3004,$A2009,'Mouvements stock'!$C$5:$C$3004,"Sortie")-SUMIFS('Mouvements stock'!$H$5:$H$3004,'Mouvements stock'!$I$5:$I$3004,$A2009,'Mouvements stock'!$C$5:$C$3004,"Retour"))</f>
        <v/>
      </c>
      <c r="X2009" s="66" t="n"/>
      <c r="Y2009" s="66" t="n"/>
      <c r="Z2009" s="7" t="n"/>
      <c r="AA2009" s="70">
        <f>IF($A2009="","",N(V2009)+N(W2009)+N(X2009)+N(Y2009))</f>
        <v/>
      </c>
      <c r="AB2009" s="70">
        <f>IF($A2009="","",N(S2009)*'Paramètres'!$AA$9*IFERROR(INDEX('Paramètres'!$O$5:$O$7,MATCH(G2009,'Paramètres'!$N$5:$N$7,0)),0))</f>
        <v/>
      </c>
      <c r="AC2009" s="7" t="n"/>
      <c r="AD2009" s="69">
        <f>IF(OR($A2009="",Q2009=""),"",(Q2009-B2009)*24)</f>
        <v/>
      </c>
      <c r="AE2009" s="69">
        <f>IF(OR(Q2009="",R2009=""),"",(R2009-Q2009)*24)</f>
        <v/>
      </c>
      <c r="AF2009" s="77">
        <f>IF(OR($A2009="",B2009=""),"",YEAR(B2009))</f>
        <v/>
      </c>
      <c r="AG2009" s="77">
        <f>IF(OR($A2009="",B2009=""),"",MONTH(B2009))</f>
        <v/>
      </c>
    </row>
    <row r="2010">
      <c r="A2010" s="7" t="n"/>
      <c r="B2010" s="75" t="n"/>
      <c r="C2010" s="7" t="n"/>
      <c r="D2010" s="7" t="n"/>
      <c r="E2010" s="9">
        <f>IF(D2010="","",IFERROR(INDEX('Équipements'!$B$5:$B$304,MATCH(D2010,'Équipements'!$A$5:$A$304,0)),"Code inconnu"))</f>
        <v/>
      </c>
      <c r="F2010" s="9">
        <f>IF(D2010="","",IFERROR(INDEX('Équipements'!$D$5:$D$304,MATCH(D2010,'Équipements'!$A$5:$A$304,0)),""))</f>
        <v/>
      </c>
      <c r="G2010" s="9">
        <f>IF(D2010="","",IFERROR(INDEX('Équipements'!$K$5:$K$304,MATCH(D2010,'Équipements'!$A$5:$A$304,0)),""))</f>
        <v/>
      </c>
      <c r="H2010" s="7" t="n"/>
      <c r="I2010" s="7" t="n"/>
      <c r="J2010" s="7" t="n"/>
      <c r="K2010" s="7" t="n"/>
      <c r="L2010" s="7" t="n"/>
      <c r="M2010" s="7" t="n"/>
      <c r="N2010" s="7" t="n"/>
      <c r="O2010" s="7" t="n"/>
      <c r="P2010" s="65" t="n"/>
      <c r="Q2010" s="75" t="n"/>
      <c r="R2010" s="75" t="n"/>
      <c r="S2010" s="76" t="n"/>
      <c r="T2010" s="76" t="n"/>
      <c r="U2010" s="70">
        <f>IF($A2010="","",IFERROR(INDEX('Techniciens'!$F$5:$F$44,MATCH(O2010,'Techniciens'!$B$5:$B$44,0)),'Paramètres'!$AA$10))</f>
        <v/>
      </c>
      <c r="V2010" s="70">
        <f>IF($A2010="","",IF(OR(AC2010="Demandé",AC2010="Planifié",AC2010="Annulé"),0,N(T2010)*N(U2010)))</f>
        <v/>
      </c>
      <c r="W2010" s="70">
        <f>IF($A2010="","",SUMIFS('Mouvements stock'!$H$5:$H$3004,'Mouvements stock'!$I$5:$I$3004,$A2010,'Mouvements stock'!$C$5:$C$3004,"Sortie")-SUMIFS('Mouvements stock'!$H$5:$H$3004,'Mouvements stock'!$I$5:$I$3004,$A2010,'Mouvements stock'!$C$5:$C$3004,"Retour"))</f>
        <v/>
      </c>
      <c r="X2010" s="66" t="n"/>
      <c r="Y2010" s="66" t="n"/>
      <c r="Z2010" s="7" t="n"/>
      <c r="AA2010" s="70">
        <f>IF($A2010="","",N(V2010)+N(W2010)+N(X2010)+N(Y2010))</f>
        <v/>
      </c>
      <c r="AB2010" s="70">
        <f>IF($A2010="","",N(S2010)*'Paramètres'!$AA$9*IFERROR(INDEX('Paramètres'!$O$5:$O$7,MATCH(G2010,'Paramètres'!$N$5:$N$7,0)),0))</f>
        <v/>
      </c>
      <c r="AC2010" s="7" t="n"/>
      <c r="AD2010" s="69">
        <f>IF(OR($A2010="",Q2010=""),"",(Q2010-B2010)*24)</f>
        <v/>
      </c>
      <c r="AE2010" s="69">
        <f>IF(OR(Q2010="",R2010=""),"",(R2010-Q2010)*24)</f>
        <v/>
      </c>
      <c r="AF2010" s="77">
        <f>IF(OR($A2010="",B2010=""),"",YEAR(B2010))</f>
        <v/>
      </c>
      <c r="AG2010" s="77">
        <f>IF(OR($A2010="",B2010=""),"",MONTH(B2010))</f>
        <v/>
      </c>
    </row>
    <row r="2011">
      <c r="A2011" s="7" t="n"/>
      <c r="B2011" s="75" t="n"/>
      <c r="C2011" s="7" t="n"/>
      <c r="D2011" s="7" t="n"/>
      <c r="E2011" s="9">
        <f>IF(D2011="","",IFERROR(INDEX('Équipements'!$B$5:$B$304,MATCH(D2011,'Équipements'!$A$5:$A$304,0)),"Code inconnu"))</f>
        <v/>
      </c>
      <c r="F2011" s="9">
        <f>IF(D2011="","",IFERROR(INDEX('Équipements'!$D$5:$D$304,MATCH(D2011,'Équipements'!$A$5:$A$304,0)),""))</f>
        <v/>
      </c>
      <c r="G2011" s="9">
        <f>IF(D2011="","",IFERROR(INDEX('Équipements'!$K$5:$K$304,MATCH(D2011,'Équipements'!$A$5:$A$304,0)),""))</f>
        <v/>
      </c>
      <c r="H2011" s="7" t="n"/>
      <c r="I2011" s="7" t="n"/>
      <c r="J2011" s="7" t="n"/>
      <c r="K2011" s="7" t="n"/>
      <c r="L2011" s="7" t="n"/>
      <c r="M2011" s="7" t="n"/>
      <c r="N2011" s="7" t="n"/>
      <c r="O2011" s="7" t="n"/>
      <c r="P2011" s="65" t="n"/>
      <c r="Q2011" s="75" t="n"/>
      <c r="R2011" s="75" t="n"/>
      <c r="S2011" s="76" t="n"/>
      <c r="T2011" s="76" t="n"/>
      <c r="U2011" s="70">
        <f>IF($A2011="","",IFERROR(INDEX('Techniciens'!$F$5:$F$44,MATCH(O2011,'Techniciens'!$B$5:$B$44,0)),'Paramètres'!$AA$10))</f>
        <v/>
      </c>
      <c r="V2011" s="70">
        <f>IF($A2011="","",IF(OR(AC2011="Demandé",AC2011="Planifié",AC2011="Annulé"),0,N(T2011)*N(U2011)))</f>
        <v/>
      </c>
      <c r="W2011" s="70">
        <f>IF($A2011="","",SUMIFS('Mouvements stock'!$H$5:$H$3004,'Mouvements stock'!$I$5:$I$3004,$A2011,'Mouvements stock'!$C$5:$C$3004,"Sortie")-SUMIFS('Mouvements stock'!$H$5:$H$3004,'Mouvements stock'!$I$5:$I$3004,$A2011,'Mouvements stock'!$C$5:$C$3004,"Retour"))</f>
        <v/>
      </c>
      <c r="X2011" s="66" t="n"/>
      <c r="Y2011" s="66" t="n"/>
      <c r="Z2011" s="7" t="n"/>
      <c r="AA2011" s="70">
        <f>IF($A2011="","",N(V2011)+N(W2011)+N(X2011)+N(Y2011))</f>
        <v/>
      </c>
      <c r="AB2011" s="70">
        <f>IF($A2011="","",N(S2011)*'Paramètres'!$AA$9*IFERROR(INDEX('Paramètres'!$O$5:$O$7,MATCH(G2011,'Paramètres'!$N$5:$N$7,0)),0))</f>
        <v/>
      </c>
      <c r="AC2011" s="7" t="n"/>
      <c r="AD2011" s="69">
        <f>IF(OR($A2011="",Q2011=""),"",(Q2011-B2011)*24)</f>
        <v/>
      </c>
      <c r="AE2011" s="69">
        <f>IF(OR(Q2011="",R2011=""),"",(R2011-Q2011)*24)</f>
        <v/>
      </c>
      <c r="AF2011" s="77">
        <f>IF(OR($A2011="",B2011=""),"",YEAR(B2011))</f>
        <v/>
      </c>
      <c r="AG2011" s="77">
        <f>IF(OR($A2011="",B2011=""),"",MONTH(B2011))</f>
        <v/>
      </c>
    </row>
    <row r="2012">
      <c r="A2012" s="7" t="n"/>
      <c r="B2012" s="75" t="n"/>
      <c r="C2012" s="7" t="n"/>
      <c r="D2012" s="7" t="n"/>
      <c r="E2012" s="9">
        <f>IF(D2012="","",IFERROR(INDEX('Équipements'!$B$5:$B$304,MATCH(D2012,'Équipements'!$A$5:$A$304,0)),"Code inconnu"))</f>
        <v/>
      </c>
      <c r="F2012" s="9">
        <f>IF(D2012="","",IFERROR(INDEX('Équipements'!$D$5:$D$304,MATCH(D2012,'Équipements'!$A$5:$A$304,0)),""))</f>
        <v/>
      </c>
      <c r="G2012" s="9">
        <f>IF(D2012="","",IFERROR(INDEX('Équipements'!$K$5:$K$304,MATCH(D2012,'Équipements'!$A$5:$A$304,0)),""))</f>
        <v/>
      </c>
      <c r="H2012" s="7" t="n"/>
      <c r="I2012" s="7" t="n"/>
      <c r="J2012" s="7" t="n"/>
      <c r="K2012" s="7" t="n"/>
      <c r="L2012" s="7" t="n"/>
      <c r="M2012" s="7" t="n"/>
      <c r="N2012" s="7" t="n"/>
      <c r="O2012" s="7" t="n"/>
      <c r="P2012" s="65" t="n"/>
      <c r="Q2012" s="75" t="n"/>
      <c r="R2012" s="75" t="n"/>
      <c r="S2012" s="76" t="n"/>
      <c r="T2012" s="76" t="n"/>
      <c r="U2012" s="70">
        <f>IF($A2012="","",IFERROR(INDEX('Techniciens'!$F$5:$F$44,MATCH(O2012,'Techniciens'!$B$5:$B$44,0)),'Paramètres'!$AA$10))</f>
        <v/>
      </c>
      <c r="V2012" s="70">
        <f>IF($A2012="","",IF(OR(AC2012="Demandé",AC2012="Planifié",AC2012="Annulé"),0,N(T2012)*N(U2012)))</f>
        <v/>
      </c>
      <c r="W2012" s="70">
        <f>IF($A2012="","",SUMIFS('Mouvements stock'!$H$5:$H$3004,'Mouvements stock'!$I$5:$I$3004,$A2012,'Mouvements stock'!$C$5:$C$3004,"Sortie")-SUMIFS('Mouvements stock'!$H$5:$H$3004,'Mouvements stock'!$I$5:$I$3004,$A2012,'Mouvements stock'!$C$5:$C$3004,"Retour"))</f>
        <v/>
      </c>
      <c r="X2012" s="66" t="n"/>
      <c r="Y2012" s="66" t="n"/>
      <c r="Z2012" s="7" t="n"/>
      <c r="AA2012" s="70">
        <f>IF($A2012="","",N(V2012)+N(W2012)+N(X2012)+N(Y2012))</f>
        <v/>
      </c>
      <c r="AB2012" s="70">
        <f>IF($A2012="","",N(S2012)*'Paramètres'!$AA$9*IFERROR(INDEX('Paramètres'!$O$5:$O$7,MATCH(G2012,'Paramètres'!$N$5:$N$7,0)),0))</f>
        <v/>
      </c>
      <c r="AC2012" s="7" t="n"/>
      <c r="AD2012" s="69">
        <f>IF(OR($A2012="",Q2012=""),"",(Q2012-B2012)*24)</f>
        <v/>
      </c>
      <c r="AE2012" s="69">
        <f>IF(OR(Q2012="",R2012=""),"",(R2012-Q2012)*24)</f>
        <v/>
      </c>
      <c r="AF2012" s="77">
        <f>IF(OR($A2012="",B2012=""),"",YEAR(B2012))</f>
        <v/>
      </c>
      <c r="AG2012" s="77">
        <f>IF(OR($A2012="",B2012=""),"",MONTH(B2012))</f>
        <v/>
      </c>
    </row>
    <row r="2013">
      <c r="A2013" s="7" t="n"/>
      <c r="B2013" s="75" t="n"/>
      <c r="C2013" s="7" t="n"/>
      <c r="D2013" s="7" t="n"/>
      <c r="E2013" s="9">
        <f>IF(D2013="","",IFERROR(INDEX('Équipements'!$B$5:$B$304,MATCH(D2013,'Équipements'!$A$5:$A$304,0)),"Code inconnu"))</f>
        <v/>
      </c>
      <c r="F2013" s="9">
        <f>IF(D2013="","",IFERROR(INDEX('Équipements'!$D$5:$D$304,MATCH(D2013,'Équipements'!$A$5:$A$304,0)),""))</f>
        <v/>
      </c>
      <c r="G2013" s="9">
        <f>IF(D2013="","",IFERROR(INDEX('Équipements'!$K$5:$K$304,MATCH(D2013,'Équipements'!$A$5:$A$304,0)),""))</f>
        <v/>
      </c>
      <c r="H2013" s="7" t="n"/>
      <c r="I2013" s="7" t="n"/>
      <c r="J2013" s="7" t="n"/>
      <c r="K2013" s="7" t="n"/>
      <c r="L2013" s="7" t="n"/>
      <c r="M2013" s="7" t="n"/>
      <c r="N2013" s="7" t="n"/>
      <c r="O2013" s="7" t="n"/>
      <c r="P2013" s="65" t="n"/>
      <c r="Q2013" s="75" t="n"/>
      <c r="R2013" s="75" t="n"/>
      <c r="S2013" s="76" t="n"/>
      <c r="T2013" s="76" t="n"/>
      <c r="U2013" s="70">
        <f>IF($A2013="","",IFERROR(INDEX('Techniciens'!$F$5:$F$44,MATCH(O2013,'Techniciens'!$B$5:$B$44,0)),'Paramètres'!$AA$10))</f>
        <v/>
      </c>
      <c r="V2013" s="70">
        <f>IF($A2013="","",IF(OR(AC2013="Demandé",AC2013="Planifié",AC2013="Annulé"),0,N(T2013)*N(U2013)))</f>
        <v/>
      </c>
      <c r="W2013" s="70">
        <f>IF($A2013="","",SUMIFS('Mouvements stock'!$H$5:$H$3004,'Mouvements stock'!$I$5:$I$3004,$A2013,'Mouvements stock'!$C$5:$C$3004,"Sortie")-SUMIFS('Mouvements stock'!$H$5:$H$3004,'Mouvements stock'!$I$5:$I$3004,$A2013,'Mouvements stock'!$C$5:$C$3004,"Retour"))</f>
        <v/>
      </c>
      <c r="X2013" s="66" t="n"/>
      <c r="Y2013" s="66" t="n"/>
      <c r="Z2013" s="7" t="n"/>
      <c r="AA2013" s="70">
        <f>IF($A2013="","",N(V2013)+N(W2013)+N(X2013)+N(Y2013))</f>
        <v/>
      </c>
      <c r="AB2013" s="70">
        <f>IF($A2013="","",N(S2013)*'Paramètres'!$AA$9*IFERROR(INDEX('Paramètres'!$O$5:$O$7,MATCH(G2013,'Paramètres'!$N$5:$N$7,0)),0))</f>
        <v/>
      </c>
      <c r="AC2013" s="7" t="n"/>
      <c r="AD2013" s="69">
        <f>IF(OR($A2013="",Q2013=""),"",(Q2013-B2013)*24)</f>
        <v/>
      </c>
      <c r="AE2013" s="69">
        <f>IF(OR(Q2013="",R2013=""),"",(R2013-Q2013)*24)</f>
        <v/>
      </c>
      <c r="AF2013" s="77">
        <f>IF(OR($A2013="",B2013=""),"",YEAR(B2013))</f>
        <v/>
      </c>
      <c r="AG2013" s="77">
        <f>IF(OR($A2013="",B2013=""),"",MONTH(B2013))</f>
        <v/>
      </c>
    </row>
    <row r="2014">
      <c r="A2014" s="7" t="n"/>
      <c r="B2014" s="75" t="n"/>
      <c r="C2014" s="7" t="n"/>
      <c r="D2014" s="7" t="n"/>
      <c r="E2014" s="9">
        <f>IF(D2014="","",IFERROR(INDEX('Équipements'!$B$5:$B$304,MATCH(D2014,'Équipements'!$A$5:$A$304,0)),"Code inconnu"))</f>
        <v/>
      </c>
      <c r="F2014" s="9">
        <f>IF(D2014="","",IFERROR(INDEX('Équipements'!$D$5:$D$304,MATCH(D2014,'Équipements'!$A$5:$A$304,0)),""))</f>
        <v/>
      </c>
      <c r="G2014" s="9">
        <f>IF(D2014="","",IFERROR(INDEX('Équipements'!$K$5:$K$304,MATCH(D2014,'Équipements'!$A$5:$A$304,0)),""))</f>
        <v/>
      </c>
      <c r="H2014" s="7" t="n"/>
      <c r="I2014" s="7" t="n"/>
      <c r="J2014" s="7" t="n"/>
      <c r="K2014" s="7" t="n"/>
      <c r="L2014" s="7" t="n"/>
      <c r="M2014" s="7" t="n"/>
      <c r="N2014" s="7" t="n"/>
      <c r="O2014" s="7" t="n"/>
      <c r="P2014" s="65" t="n"/>
      <c r="Q2014" s="75" t="n"/>
      <c r="R2014" s="75" t="n"/>
      <c r="S2014" s="76" t="n"/>
      <c r="T2014" s="76" t="n"/>
      <c r="U2014" s="70">
        <f>IF($A2014="","",IFERROR(INDEX('Techniciens'!$F$5:$F$44,MATCH(O2014,'Techniciens'!$B$5:$B$44,0)),'Paramètres'!$AA$10))</f>
        <v/>
      </c>
      <c r="V2014" s="70">
        <f>IF($A2014="","",IF(OR(AC2014="Demandé",AC2014="Planifié",AC2014="Annulé"),0,N(T2014)*N(U2014)))</f>
        <v/>
      </c>
      <c r="W2014" s="70">
        <f>IF($A2014="","",SUMIFS('Mouvements stock'!$H$5:$H$3004,'Mouvements stock'!$I$5:$I$3004,$A2014,'Mouvements stock'!$C$5:$C$3004,"Sortie")-SUMIFS('Mouvements stock'!$H$5:$H$3004,'Mouvements stock'!$I$5:$I$3004,$A2014,'Mouvements stock'!$C$5:$C$3004,"Retour"))</f>
        <v/>
      </c>
      <c r="X2014" s="66" t="n"/>
      <c r="Y2014" s="66" t="n"/>
      <c r="Z2014" s="7" t="n"/>
      <c r="AA2014" s="70">
        <f>IF($A2014="","",N(V2014)+N(W2014)+N(X2014)+N(Y2014))</f>
        <v/>
      </c>
      <c r="AB2014" s="70">
        <f>IF($A2014="","",N(S2014)*'Paramètres'!$AA$9*IFERROR(INDEX('Paramètres'!$O$5:$O$7,MATCH(G2014,'Paramètres'!$N$5:$N$7,0)),0))</f>
        <v/>
      </c>
      <c r="AC2014" s="7" t="n"/>
      <c r="AD2014" s="69">
        <f>IF(OR($A2014="",Q2014=""),"",(Q2014-B2014)*24)</f>
        <v/>
      </c>
      <c r="AE2014" s="69">
        <f>IF(OR(Q2014="",R2014=""),"",(R2014-Q2014)*24)</f>
        <v/>
      </c>
      <c r="AF2014" s="77">
        <f>IF(OR($A2014="",B2014=""),"",YEAR(B2014))</f>
        <v/>
      </c>
      <c r="AG2014" s="77">
        <f>IF(OR($A2014="",B2014=""),"",MONTH(B2014))</f>
        <v/>
      </c>
    </row>
    <row r="2015">
      <c r="A2015" s="7" t="n"/>
      <c r="B2015" s="75" t="n"/>
      <c r="C2015" s="7" t="n"/>
      <c r="D2015" s="7" t="n"/>
      <c r="E2015" s="9">
        <f>IF(D2015="","",IFERROR(INDEX('Équipements'!$B$5:$B$304,MATCH(D2015,'Équipements'!$A$5:$A$304,0)),"Code inconnu"))</f>
        <v/>
      </c>
      <c r="F2015" s="9">
        <f>IF(D2015="","",IFERROR(INDEX('Équipements'!$D$5:$D$304,MATCH(D2015,'Équipements'!$A$5:$A$304,0)),""))</f>
        <v/>
      </c>
      <c r="G2015" s="9">
        <f>IF(D2015="","",IFERROR(INDEX('Équipements'!$K$5:$K$304,MATCH(D2015,'Équipements'!$A$5:$A$304,0)),""))</f>
        <v/>
      </c>
      <c r="H2015" s="7" t="n"/>
      <c r="I2015" s="7" t="n"/>
      <c r="J2015" s="7" t="n"/>
      <c r="K2015" s="7" t="n"/>
      <c r="L2015" s="7" t="n"/>
      <c r="M2015" s="7" t="n"/>
      <c r="N2015" s="7" t="n"/>
      <c r="O2015" s="7" t="n"/>
      <c r="P2015" s="65" t="n"/>
      <c r="Q2015" s="75" t="n"/>
      <c r="R2015" s="75" t="n"/>
      <c r="S2015" s="76" t="n"/>
      <c r="T2015" s="76" t="n"/>
      <c r="U2015" s="70">
        <f>IF($A2015="","",IFERROR(INDEX('Techniciens'!$F$5:$F$44,MATCH(O2015,'Techniciens'!$B$5:$B$44,0)),'Paramètres'!$AA$10))</f>
        <v/>
      </c>
      <c r="V2015" s="70">
        <f>IF($A2015="","",IF(OR(AC2015="Demandé",AC2015="Planifié",AC2015="Annulé"),0,N(T2015)*N(U2015)))</f>
        <v/>
      </c>
      <c r="W2015" s="70">
        <f>IF($A2015="","",SUMIFS('Mouvements stock'!$H$5:$H$3004,'Mouvements stock'!$I$5:$I$3004,$A2015,'Mouvements stock'!$C$5:$C$3004,"Sortie")-SUMIFS('Mouvements stock'!$H$5:$H$3004,'Mouvements stock'!$I$5:$I$3004,$A2015,'Mouvements stock'!$C$5:$C$3004,"Retour"))</f>
        <v/>
      </c>
      <c r="X2015" s="66" t="n"/>
      <c r="Y2015" s="66" t="n"/>
      <c r="Z2015" s="7" t="n"/>
      <c r="AA2015" s="70">
        <f>IF($A2015="","",N(V2015)+N(W2015)+N(X2015)+N(Y2015))</f>
        <v/>
      </c>
      <c r="AB2015" s="70">
        <f>IF($A2015="","",N(S2015)*'Paramètres'!$AA$9*IFERROR(INDEX('Paramètres'!$O$5:$O$7,MATCH(G2015,'Paramètres'!$N$5:$N$7,0)),0))</f>
        <v/>
      </c>
      <c r="AC2015" s="7" t="n"/>
      <c r="AD2015" s="69">
        <f>IF(OR($A2015="",Q2015=""),"",(Q2015-B2015)*24)</f>
        <v/>
      </c>
      <c r="AE2015" s="69">
        <f>IF(OR(Q2015="",R2015=""),"",(R2015-Q2015)*24)</f>
        <v/>
      </c>
      <c r="AF2015" s="77">
        <f>IF(OR($A2015="",B2015=""),"",YEAR(B2015))</f>
        <v/>
      </c>
      <c r="AG2015" s="77">
        <f>IF(OR($A2015="",B2015=""),"",MONTH(B2015))</f>
        <v/>
      </c>
    </row>
    <row r="2016">
      <c r="A2016" s="7" t="n"/>
      <c r="B2016" s="75" t="n"/>
      <c r="C2016" s="7" t="n"/>
      <c r="D2016" s="7" t="n"/>
      <c r="E2016" s="9">
        <f>IF(D2016="","",IFERROR(INDEX('Équipements'!$B$5:$B$304,MATCH(D2016,'Équipements'!$A$5:$A$304,0)),"Code inconnu"))</f>
        <v/>
      </c>
      <c r="F2016" s="9">
        <f>IF(D2016="","",IFERROR(INDEX('Équipements'!$D$5:$D$304,MATCH(D2016,'Équipements'!$A$5:$A$304,0)),""))</f>
        <v/>
      </c>
      <c r="G2016" s="9">
        <f>IF(D2016="","",IFERROR(INDEX('Équipements'!$K$5:$K$304,MATCH(D2016,'Équipements'!$A$5:$A$304,0)),""))</f>
        <v/>
      </c>
      <c r="H2016" s="7" t="n"/>
      <c r="I2016" s="7" t="n"/>
      <c r="J2016" s="7" t="n"/>
      <c r="K2016" s="7" t="n"/>
      <c r="L2016" s="7" t="n"/>
      <c r="M2016" s="7" t="n"/>
      <c r="N2016" s="7" t="n"/>
      <c r="O2016" s="7" t="n"/>
      <c r="P2016" s="65" t="n"/>
      <c r="Q2016" s="75" t="n"/>
      <c r="R2016" s="75" t="n"/>
      <c r="S2016" s="76" t="n"/>
      <c r="T2016" s="76" t="n"/>
      <c r="U2016" s="70">
        <f>IF($A2016="","",IFERROR(INDEX('Techniciens'!$F$5:$F$44,MATCH(O2016,'Techniciens'!$B$5:$B$44,0)),'Paramètres'!$AA$10))</f>
        <v/>
      </c>
      <c r="V2016" s="70">
        <f>IF($A2016="","",IF(OR(AC2016="Demandé",AC2016="Planifié",AC2016="Annulé"),0,N(T2016)*N(U2016)))</f>
        <v/>
      </c>
      <c r="W2016" s="70">
        <f>IF($A2016="","",SUMIFS('Mouvements stock'!$H$5:$H$3004,'Mouvements stock'!$I$5:$I$3004,$A2016,'Mouvements stock'!$C$5:$C$3004,"Sortie")-SUMIFS('Mouvements stock'!$H$5:$H$3004,'Mouvements stock'!$I$5:$I$3004,$A2016,'Mouvements stock'!$C$5:$C$3004,"Retour"))</f>
        <v/>
      </c>
      <c r="X2016" s="66" t="n"/>
      <c r="Y2016" s="66" t="n"/>
      <c r="Z2016" s="7" t="n"/>
      <c r="AA2016" s="70">
        <f>IF($A2016="","",N(V2016)+N(W2016)+N(X2016)+N(Y2016))</f>
        <v/>
      </c>
      <c r="AB2016" s="70">
        <f>IF($A2016="","",N(S2016)*'Paramètres'!$AA$9*IFERROR(INDEX('Paramètres'!$O$5:$O$7,MATCH(G2016,'Paramètres'!$N$5:$N$7,0)),0))</f>
        <v/>
      </c>
      <c r="AC2016" s="7" t="n"/>
      <c r="AD2016" s="69">
        <f>IF(OR($A2016="",Q2016=""),"",(Q2016-B2016)*24)</f>
        <v/>
      </c>
      <c r="AE2016" s="69">
        <f>IF(OR(Q2016="",R2016=""),"",(R2016-Q2016)*24)</f>
        <v/>
      </c>
      <c r="AF2016" s="77">
        <f>IF(OR($A2016="",B2016=""),"",YEAR(B2016))</f>
        <v/>
      </c>
      <c r="AG2016" s="77">
        <f>IF(OR($A2016="",B2016=""),"",MONTH(B2016))</f>
        <v/>
      </c>
    </row>
    <row r="2017">
      <c r="A2017" s="7" t="n"/>
      <c r="B2017" s="75" t="n"/>
      <c r="C2017" s="7" t="n"/>
      <c r="D2017" s="7" t="n"/>
      <c r="E2017" s="9">
        <f>IF(D2017="","",IFERROR(INDEX('Équipements'!$B$5:$B$304,MATCH(D2017,'Équipements'!$A$5:$A$304,0)),"Code inconnu"))</f>
        <v/>
      </c>
      <c r="F2017" s="9">
        <f>IF(D2017="","",IFERROR(INDEX('Équipements'!$D$5:$D$304,MATCH(D2017,'Équipements'!$A$5:$A$304,0)),""))</f>
        <v/>
      </c>
      <c r="G2017" s="9">
        <f>IF(D2017="","",IFERROR(INDEX('Équipements'!$K$5:$K$304,MATCH(D2017,'Équipements'!$A$5:$A$304,0)),""))</f>
        <v/>
      </c>
      <c r="H2017" s="7" t="n"/>
      <c r="I2017" s="7" t="n"/>
      <c r="J2017" s="7" t="n"/>
      <c r="K2017" s="7" t="n"/>
      <c r="L2017" s="7" t="n"/>
      <c r="M2017" s="7" t="n"/>
      <c r="N2017" s="7" t="n"/>
      <c r="O2017" s="7" t="n"/>
      <c r="P2017" s="65" t="n"/>
      <c r="Q2017" s="75" t="n"/>
      <c r="R2017" s="75" t="n"/>
      <c r="S2017" s="76" t="n"/>
      <c r="T2017" s="76" t="n"/>
      <c r="U2017" s="70">
        <f>IF($A2017="","",IFERROR(INDEX('Techniciens'!$F$5:$F$44,MATCH(O2017,'Techniciens'!$B$5:$B$44,0)),'Paramètres'!$AA$10))</f>
        <v/>
      </c>
      <c r="V2017" s="70">
        <f>IF($A2017="","",IF(OR(AC2017="Demandé",AC2017="Planifié",AC2017="Annulé"),0,N(T2017)*N(U2017)))</f>
        <v/>
      </c>
      <c r="W2017" s="70">
        <f>IF($A2017="","",SUMIFS('Mouvements stock'!$H$5:$H$3004,'Mouvements stock'!$I$5:$I$3004,$A2017,'Mouvements stock'!$C$5:$C$3004,"Sortie")-SUMIFS('Mouvements stock'!$H$5:$H$3004,'Mouvements stock'!$I$5:$I$3004,$A2017,'Mouvements stock'!$C$5:$C$3004,"Retour"))</f>
        <v/>
      </c>
      <c r="X2017" s="66" t="n"/>
      <c r="Y2017" s="66" t="n"/>
      <c r="Z2017" s="7" t="n"/>
      <c r="AA2017" s="70">
        <f>IF($A2017="","",N(V2017)+N(W2017)+N(X2017)+N(Y2017))</f>
        <v/>
      </c>
      <c r="AB2017" s="70">
        <f>IF($A2017="","",N(S2017)*'Paramètres'!$AA$9*IFERROR(INDEX('Paramètres'!$O$5:$O$7,MATCH(G2017,'Paramètres'!$N$5:$N$7,0)),0))</f>
        <v/>
      </c>
      <c r="AC2017" s="7" t="n"/>
      <c r="AD2017" s="69">
        <f>IF(OR($A2017="",Q2017=""),"",(Q2017-B2017)*24)</f>
        <v/>
      </c>
      <c r="AE2017" s="69">
        <f>IF(OR(Q2017="",R2017=""),"",(R2017-Q2017)*24)</f>
        <v/>
      </c>
      <c r="AF2017" s="77">
        <f>IF(OR($A2017="",B2017=""),"",YEAR(B2017))</f>
        <v/>
      </c>
      <c r="AG2017" s="77">
        <f>IF(OR($A2017="",B2017=""),"",MONTH(B2017))</f>
        <v/>
      </c>
    </row>
    <row r="2018">
      <c r="A2018" s="7" t="n"/>
      <c r="B2018" s="75" t="n"/>
      <c r="C2018" s="7" t="n"/>
      <c r="D2018" s="7" t="n"/>
      <c r="E2018" s="9">
        <f>IF(D2018="","",IFERROR(INDEX('Équipements'!$B$5:$B$304,MATCH(D2018,'Équipements'!$A$5:$A$304,0)),"Code inconnu"))</f>
        <v/>
      </c>
      <c r="F2018" s="9">
        <f>IF(D2018="","",IFERROR(INDEX('Équipements'!$D$5:$D$304,MATCH(D2018,'Équipements'!$A$5:$A$304,0)),""))</f>
        <v/>
      </c>
      <c r="G2018" s="9">
        <f>IF(D2018="","",IFERROR(INDEX('Équipements'!$K$5:$K$304,MATCH(D2018,'Équipements'!$A$5:$A$304,0)),""))</f>
        <v/>
      </c>
      <c r="H2018" s="7" t="n"/>
      <c r="I2018" s="7" t="n"/>
      <c r="J2018" s="7" t="n"/>
      <c r="K2018" s="7" t="n"/>
      <c r="L2018" s="7" t="n"/>
      <c r="M2018" s="7" t="n"/>
      <c r="N2018" s="7" t="n"/>
      <c r="O2018" s="7" t="n"/>
      <c r="P2018" s="65" t="n"/>
      <c r="Q2018" s="75" t="n"/>
      <c r="R2018" s="75" t="n"/>
      <c r="S2018" s="76" t="n"/>
      <c r="T2018" s="76" t="n"/>
      <c r="U2018" s="70">
        <f>IF($A2018="","",IFERROR(INDEX('Techniciens'!$F$5:$F$44,MATCH(O2018,'Techniciens'!$B$5:$B$44,0)),'Paramètres'!$AA$10))</f>
        <v/>
      </c>
      <c r="V2018" s="70">
        <f>IF($A2018="","",IF(OR(AC2018="Demandé",AC2018="Planifié",AC2018="Annulé"),0,N(T2018)*N(U2018)))</f>
        <v/>
      </c>
      <c r="W2018" s="70">
        <f>IF($A2018="","",SUMIFS('Mouvements stock'!$H$5:$H$3004,'Mouvements stock'!$I$5:$I$3004,$A2018,'Mouvements stock'!$C$5:$C$3004,"Sortie")-SUMIFS('Mouvements stock'!$H$5:$H$3004,'Mouvements stock'!$I$5:$I$3004,$A2018,'Mouvements stock'!$C$5:$C$3004,"Retour"))</f>
        <v/>
      </c>
      <c r="X2018" s="66" t="n"/>
      <c r="Y2018" s="66" t="n"/>
      <c r="Z2018" s="7" t="n"/>
      <c r="AA2018" s="70">
        <f>IF($A2018="","",N(V2018)+N(W2018)+N(X2018)+N(Y2018))</f>
        <v/>
      </c>
      <c r="AB2018" s="70">
        <f>IF($A2018="","",N(S2018)*'Paramètres'!$AA$9*IFERROR(INDEX('Paramètres'!$O$5:$O$7,MATCH(G2018,'Paramètres'!$N$5:$N$7,0)),0))</f>
        <v/>
      </c>
      <c r="AC2018" s="7" t="n"/>
      <c r="AD2018" s="69">
        <f>IF(OR($A2018="",Q2018=""),"",(Q2018-B2018)*24)</f>
        <v/>
      </c>
      <c r="AE2018" s="69">
        <f>IF(OR(Q2018="",R2018=""),"",(R2018-Q2018)*24)</f>
        <v/>
      </c>
      <c r="AF2018" s="77">
        <f>IF(OR($A2018="",B2018=""),"",YEAR(B2018))</f>
        <v/>
      </c>
      <c r="AG2018" s="77">
        <f>IF(OR($A2018="",B2018=""),"",MONTH(B2018))</f>
        <v/>
      </c>
    </row>
    <row r="2019">
      <c r="A2019" s="7" t="n"/>
      <c r="B2019" s="75" t="n"/>
      <c r="C2019" s="7" t="n"/>
      <c r="D2019" s="7" t="n"/>
      <c r="E2019" s="9">
        <f>IF(D2019="","",IFERROR(INDEX('Équipements'!$B$5:$B$304,MATCH(D2019,'Équipements'!$A$5:$A$304,0)),"Code inconnu"))</f>
        <v/>
      </c>
      <c r="F2019" s="9">
        <f>IF(D2019="","",IFERROR(INDEX('Équipements'!$D$5:$D$304,MATCH(D2019,'Équipements'!$A$5:$A$304,0)),""))</f>
        <v/>
      </c>
      <c r="G2019" s="9">
        <f>IF(D2019="","",IFERROR(INDEX('Équipements'!$K$5:$K$304,MATCH(D2019,'Équipements'!$A$5:$A$304,0)),""))</f>
        <v/>
      </c>
      <c r="H2019" s="7" t="n"/>
      <c r="I2019" s="7" t="n"/>
      <c r="J2019" s="7" t="n"/>
      <c r="K2019" s="7" t="n"/>
      <c r="L2019" s="7" t="n"/>
      <c r="M2019" s="7" t="n"/>
      <c r="N2019" s="7" t="n"/>
      <c r="O2019" s="7" t="n"/>
      <c r="P2019" s="65" t="n"/>
      <c r="Q2019" s="75" t="n"/>
      <c r="R2019" s="75" t="n"/>
      <c r="S2019" s="76" t="n"/>
      <c r="T2019" s="76" t="n"/>
      <c r="U2019" s="70">
        <f>IF($A2019="","",IFERROR(INDEX('Techniciens'!$F$5:$F$44,MATCH(O2019,'Techniciens'!$B$5:$B$44,0)),'Paramètres'!$AA$10))</f>
        <v/>
      </c>
      <c r="V2019" s="70">
        <f>IF($A2019="","",IF(OR(AC2019="Demandé",AC2019="Planifié",AC2019="Annulé"),0,N(T2019)*N(U2019)))</f>
        <v/>
      </c>
      <c r="W2019" s="70">
        <f>IF($A2019="","",SUMIFS('Mouvements stock'!$H$5:$H$3004,'Mouvements stock'!$I$5:$I$3004,$A2019,'Mouvements stock'!$C$5:$C$3004,"Sortie")-SUMIFS('Mouvements stock'!$H$5:$H$3004,'Mouvements stock'!$I$5:$I$3004,$A2019,'Mouvements stock'!$C$5:$C$3004,"Retour"))</f>
        <v/>
      </c>
      <c r="X2019" s="66" t="n"/>
      <c r="Y2019" s="66" t="n"/>
      <c r="Z2019" s="7" t="n"/>
      <c r="AA2019" s="70">
        <f>IF($A2019="","",N(V2019)+N(W2019)+N(X2019)+N(Y2019))</f>
        <v/>
      </c>
      <c r="AB2019" s="70">
        <f>IF($A2019="","",N(S2019)*'Paramètres'!$AA$9*IFERROR(INDEX('Paramètres'!$O$5:$O$7,MATCH(G2019,'Paramètres'!$N$5:$N$7,0)),0))</f>
        <v/>
      </c>
      <c r="AC2019" s="7" t="n"/>
      <c r="AD2019" s="69">
        <f>IF(OR($A2019="",Q2019=""),"",(Q2019-B2019)*24)</f>
        <v/>
      </c>
      <c r="AE2019" s="69">
        <f>IF(OR(Q2019="",R2019=""),"",(R2019-Q2019)*24)</f>
        <v/>
      </c>
      <c r="AF2019" s="77">
        <f>IF(OR($A2019="",B2019=""),"",YEAR(B2019))</f>
        <v/>
      </c>
      <c r="AG2019" s="77">
        <f>IF(OR($A2019="",B2019=""),"",MONTH(B2019))</f>
        <v/>
      </c>
    </row>
    <row r="2020">
      <c r="A2020" s="7" t="n"/>
      <c r="B2020" s="75" t="n"/>
      <c r="C2020" s="7" t="n"/>
      <c r="D2020" s="7" t="n"/>
      <c r="E2020" s="9">
        <f>IF(D2020="","",IFERROR(INDEX('Équipements'!$B$5:$B$304,MATCH(D2020,'Équipements'!$A$5:$A$304,0)),"Code inconnu"))</f>
        <v/>
      </c>
      <c r="F2020" s="9">
        <f>IF(D2020="","",IFERROR(INDEX('Équipements'!$D$5:$D$304,MATCH(D2020,'Équipements'!$A$5:$A$304,0)),""))</f>
        <v/>
      </c>
      <c r="G2020" s="9">
        <f>IF(D2020="","",IFERROR(INDEX('Équipements'!$K$5:$K$304,MATCH(D2020,'Équipements'!$A$5:$A$304,0)),""))</f>
        <v/>
      </c>
      <c r="H2020" s="7" t="n"/>
      <c r="I2020" s="7" t="n"/>
      <c r="J2020" s="7" t="n"/>
      <c r="K2020" s="7" t="n"/>
      <c r="L2020" s="7" t="n"/>
      <c r="M2020" s="7" t="n"/>
      <c r="N2020" s="7" t="n"/>
      <c r="O2020" s="7" t="n"/>
      <c r="P2020" s="65" t="n"/>
      <c r="Q2020" s="75" t="n"/>
      <c r="R2020" s="75" t="n"/>
      <c r="S2020" s="76" t="n"/>
      <c r="T2020" s="76" t="n"/>
      <c r="U2020" s="70">
        <f>IF($A2020="","",IFERROR(INDEX('Techniciens'!$F$5:$F$44,MATCH(O2020,'Techniciens'!$B$5:$B$44,0)),'Paramètres'!$AA$10))</f>
        <v/>
      </c>
      <c r="V2020" s="70">
        <f>IF($A2020="","",IF(OR(AC2020="Demandé",AC2020="Planifié",AC2020="Annulé"),0,N(T2020)*N(U2020)))</f>
        <v/>
      </c>
      <c r="W2020" s="70">
        <f>IF($A2020="","",SUMIFS('Mouvements stock'!$H$5:$H$3004,'Mouvements stock'!$I$5:$I$3004,$A2020,'Mouvements stock'!$C$5:$C$3004,"Sortie")-SUMIFS('Mouvements stock'!$H$5:$H$3004,'Mouvements stock'!$I$5:$I$3004,$A2020,'Mouvements stock'!$C$5:$C$3004,"Retour"))</f>
        <v/>
      </c>
      <c r="X2020" s="66" t="n"/>
      <c r="Y2020" s="66" t="n"/>
      <c r="Z2020" s="7" t="n"/>
      <c r="AA2020" s="70">
        <f>IF($A2020="","",N(V2020)+N(W2020)+N(X2020)+N(Y2020))</f>
        <v/>
      </c>
      <c r="AB2020" s="70">
        <f>IF($A2020="","",N(S2020)*'Paramètres'!$AA$9*IFERROR(INDEX('Paramètres'!$O$5:$O$7,MATCH(G2020,'Paramètres'!$N$5:$N$7,0)),0))</f>
        <v/>
      </c>
      <c r="AC2020" s="7" t="n"/>
      <c r="AD2020" s="69">
        <f>IF(OR($A2020="",Q2020=""),"",(Q2020-B2020)*24)</f>
        <v/>
      </c>
      <c r="AE2020" s="69">
        <f>IF(OR(Q2020="",R2020=""),"",(R2020-Q2020)*24)</f>
        <v/>
      </c>
      <c r="AF2020" s="77">
        <f>IF(OR($A2020="",B2020=""),"",YEAR(B2020))</f>
        <v/>
      </c>
      <c r="AG2020" s="77">
        <f>IF(OR($A2020="",B2020=""),"",MONTH(B2020))</f>
        <v/>
      </c>
    </row>
    <row r="2021">
      <c r="A2021" s="7" t="n"/>
      <c r="B2021" s="75" t="n"/>
      <c r="C2021" s="7" t="n"/>
      <c r="D2021" s="7" t="n"/>
      <c r="E2021" s="9">
        <f>IF(D2021="","",IFERROR(INDEX('Équipements'!$B$5:$B$304,MATCH(D2021,'Équipements'!$A$5:$A$304,0)),"Code inconnu"))</f>
        <v/>
      </c>
      <c r="F2021" s="9">
        <f>IF(D2021="","",IFERROR(INDEX('Équipements'!$D$5:$D$304,MATCH(D2021,'Équipements'!$A$5:$A$304,0)),""))</f>
        <v/>
      </c>
      <c r="G2021" s="9">
        <f>IF(D2021="","",IFERROR(INDEX('Équipements'!$K$5:$K$304,MATCH(D2021,'Équipements'!$A$5:$A$304,0)),""))</f>
        <v/>
      </c>
      <c r="H2021" s="7" t="n"/>
      <c r="I2021" s="7" t="n"/>
      <c r="J2021" s="7" t="n"/>
      <c r="K2021" s="7" t="n"/>
      <c r="L2021" s="7" t="n"/>
      <c r="M2021" s="7" t="n"/>
      <c r="N2021" s="7" t="n"/>
      <c r="O2021" s="7" t="n"/>
      <c r="P2021" s="65" t="n"/>
      <c r="Q2021" s="75" t="n"/>
      <c r="R2021" s="75" t="n"/>
      <c r="S2021" s="76" t="n"/>
      <c r="T2021" s="76" t="n"/>
      <c r="U2021" s="70">
        <f>IF($A2021="","",IFERROR(INDEX('Techniciens'!$F$5:$F$44,MATCH(O2021,'Techniciens'!$B$5:$B$44,0)),'Paramètres'!$AA$10))</f>
        <v/>
      </c>
      <c r="V2021" s="70">
        <f>IF($A2021="","",IF(OR(AC2021="Demandé",AC2021="Planifié",AC2021="Annulé"),0,N(T2021)*N(U2021)))</f>
        <v/>
      </c>
      <c r="W2021" s="70">
        <f>IF($A2021="","",SUMIFS('Mouvements stock'!$H$5:$H$3004,'Mouvements stock'!$I$5:$I$3004,$A2021,'Mouvements stock'!$C$5:$C$3004,"Sortie")-SUMIFS('Mouvements stock'!$H$5:$H$3004,'Mouvements stock'!$I$5:$I$3004,$A2021,'Mouvements stock'!$C$5:$C$3004,"Retour"))</f>
        <v/>
      </c>
      <c r="X2021" s="66" t="n"/>
      <c r="Y2021" s="66" t="n"/>
      <c r="Z2021" s="7" t="n"/>
      <c r="AA2021" s="70">
        <f>IF($A2021="","",N(V2021)+N(W2021)+N(X2021)+N(Y2021))</f>
        <v/>
      </c>
      <c r="AB2021" s="70">
        <f>IF($A2021="","",N(S2021)*'Paramètres'!$AA$9*IFERROR(INDEX('Paramètres'!$O$5:$O$7,MATCH(G2021,'Paramètres'!$N$5:$N$7,0)),0))</f>
        <v/>
      </c>
      <c r="AC2021" s="7" t="n"/>
      <c r="AD2021" s="69">
        <f>IF(OR($A2021="",Q2021=""),"",(Q2021-B2021)*24)</f>
        <v/>
      </c>
      <c r="AE2021" s="69">
        <f>IF(OR(Q2021="",R2021=""),"",(R2021-Q2021)*24)</f>
        <v/>
      </c>
      <c r="AF2021" s="77">
        <f>IF(OR($A2021="",B2021=""),"",YEAR(B2021))</f>
        <v/>
      </c>
      <c r="AG2021" s="77">
        <f>IF(OR($A2021="",B2021=""),"",MONTH(B2021))</f>
        <v/>
      </c>
    </row>
    <row r="2022">
      <c r="A2022" s="7" t="n"/>
      <c r="B2022" s="75" t="n"/>
      <c r="C2022" s="7" t="n"/>
      <c r="D2022" s="7" t="n"/>
      <c r="E2022" s="9">
        <f>IF(D2022="","",IFERROR(INDEX('Équipements'!$B$5:$B$304,MATCH(D2022,'Équipements'!$A$5:$A$304,0)),"Code inconnu"))</f>
        <v/>
      </c>
      <c r="F2022" s="9">
        <f>IF(D2022="","",IFERROR(INDEX('Équipements'!$D$5:$D$304,MATCH(D2022,'Équipements'!$A$5:$A$304,0)),""))</f>
        <v/>
      </c>
      <c r="G2022" s="9">
        <f>IF(D2022="","",IFERROR(INDEX('Équipements'!$K$5:$K$304,MATCH(D2022,'Équipements'!$A$5:$A$304,0)),""))</f>
        <v/>
      </c>
      <c r="H2022" s="7" t="n"/>
      <c r="I2022" s="7" t="n"/>
      <c r="J2022" s="7" t="n"/>
      <c r="K2022" s="7" t="n"/>
      <c r="L2022" s="7" t="n"/>
      <c r="M2022" s="7" t="n"/>
      <c r="N2022" s="7" t="n"/>
      <c r="O2022" s="7" t="n"/>
      <c r="P2022" s="65" t="n"/>
      <c r="Q2022" s="75" t="n"/>
      <c r="R2022" s="75" t="n"/>
      <c r="S2022" s="76" t="n"/>
      <c r="T2022" s="76" t="n"/>
      <c r="U2022" s="70">
        <f>IF($A2022="","",IFERROR(INDEX('Techniciens'!$F$5:$F$44,MATCH(O2022,'Techniciens'!$B$5:$B$44,0)),'Paramètres'!$AA$10))</f>
        <v/>
      </c>
      <c r="V2022" s="70">
        <f>IF($A2022="","",IF(OR(AC2022="Demandé",AC2022="Planifié",AC2022="Annulé"),0,N(T2022)*N(U2022)))</f>
        <v/>
      </c>
      <c r="W2022" s="70">
        <f>IF($A2022="","",SUMIFS('Mouvements stock'!$H$5:$H$3004,'Mouvements stock'!$I$5:$I$3004,$A2022,'Mouvements stock'!$C$5:$C$3004,"Sortie")-SUMIFS('Mouvements stock'!$H$5:$H$3004,'Mouvements stock'!$I$5:$I$3004,$A2022,'Mouvements stock'!$C$5:$C$3004,"Retour"))</f>
        <v/>
      </c>
      <c r="X2022" s="66" t="n"/>
      <c r="Y2022" s="66" t="n"/>
      <c r="Z2022" s="7" t="n"/>
      <c r="AA2022" s="70">
        <f>IF($A2022="","",N(V2022)+N(W2022)+N(X2022)+N(Y2022))</f>
        <v/>
      </c>
      <c r="AB2022" s="70">
        <f>IF($A2022="","",N(S2022)*'Paramètres'!$AA$9*IFERROR(INDEX('Paramètres'!$O$5:$O$7,MATCH(G2022,'Paramètres'!$N$5:$N$7,0)),0))</f>
        <v/>
      </c>
      <c r="AC2022" s="7" t="n"/>
      <c r="AD2022" s="69">
        <f>IF(OR($A2022="",Q2022=""),"",(Q2022-B2022)*24)</f>
        <v/>
      </c>
      <c r="AE2022" s="69">
        <f>IF(OR(Q2022="",R2022=""),"",(R2022-Q2022)*24)</f>
        <v/>
      </c>
      <c r="AF2022" s="77">
        <f>IF(OR($A2022="",B2022=""),"",YEAR(B2022))</f>
        <v/>
      </c>
      <c r="AG2022" s="77">
        <f>IF(OR($A2022="",B2022=""),"",MONTH(B2022))</f>
        <v/>
      </c>
    </row>
    <row r="2023">
      <c r="A2023" s="7" t="n"/>
      <c r="B2023" s="75" t="n"/>
      <c r="C2023" s="7" t="n"/>
      <c r="D2023" s="7" t="n"/>
      <c r="E2023" s="9">
        <f>IF(D2023="","",IFERROR(INDEX('Équipements'!$B$5:$B$304,MATCH(D2023,'Équipements'!$A$5:$A$304,0)),"Code inconnu"))</f>
        <v/>
      </c>
      <c r="F2023" s="9">
        <f>IF(D2023="","",IFERROR(INDEX('Équipements'!$D$5:$D$304,MATCH(D2023,'Équipements'!$A$5:$A$304,0)),""))</f>
        <v/>
      </c>
      <c r="G2023" s="9">
        <f>IF(D2023="","",IFERROR(INDEX('Équipements'!$K$5:$K$304,MATCH(D2023,'Équipements'!$A$5:$A$304,0)),""))</f>
        <v/>
      </c>
      <c r="H2023" s="7" t="n"/>
      <c r="I2023" s="7" t="n"/>
      <c r="J2023" s="7" t="n"/>
      <c r="K2023" s="7" t="n"/>
      <c r="L2023" s="7" t="n"/>
      <c r="M2023" s="7" t="n"/>
      <c r="N2023" s="7" t="n"/>
      <c r="O2023" s="7" t="n"/>
      <c r="P2023" s="65" t="n"/>
      <c r="Q2023" s="75" t="n"/>
      <c r="R2023" s="75" t="n"/>
      <c r="S2023" s="76" t="n"/>
      <c r="T2023" s="76" t="n"/>
      <c r="U2023" s="70">
        <f>IF($A2023="","",IFERROR(INDEX('Techniciens'!$F$5:$F$44,MATCH(O2023,'Techniciens'!$B$5:$B$44,0)),'Paramètres'!$AA$10))</f>
        <v/>
      </c>
      <c r="V2023" s="70">
        <f>IF($A2023="","",IF(OR(AC2023="Demandé",AC2023="Planifié",AC2023="Annulé"),0,N(T2023)*N(U2023)))</f>
        <v/>
      </c>
      <c r="W2023" s="70">
        <f>IF($A2023="","",SUMIFS('Mouvements stock'!$H$5:$H$3004,'Mouvements stock'!$I$5:$I$3004,$A2023,'Mouvements stock'!$C$5:$C$3004,"Sortie")-SUMIFS('Mouvements stock'!$H$5:$H$3004,'Mouvements stock'!$I$5:$I$3004,$A2023,'Mouvements stock'!$C$5:$C$3004,"Retour"))</f>
        <v/>
      </c>
      <c r="X2023" s="66" t="n"/>
      <c r="Y2023" s="66" t="n"/>
      <c r="Z2023" s="7" t="n"/>
      <c r="AA2023" s="70">
        <f>IF($A2023="","",N(V2023)+N(W2023)+N(X2023)+N(Y2023))</f>
        <v/>
      </c>
      <c r="AB2023" s="70">
        <f>IF($A2023="","",N(S2023)*'Paramètres'!$AA$9*IFERROR(INDEX('Paramètres'!$O$5:$O$7,MATCH(G2023,'Paramètres'!$N$5:$N$7,0)),0))</f>
        <v/>
      </c>
      <c r="AC2023" s="7" t="n"/>
      <c r="AD2023" s="69">
        <f>IF(OR($A2023="",Q2023=""),"",(Q2023-B2023)*24)</f>
        <v/>
      </c>
      <c r="AE2023" s="69">
        <f>IF(OR(Q2023="",R2023=""),"",(R2023-Q2023)*24)</f>
        <v/>
      </c>
      <c r="AF2023" s="77">
        <f>IF(OR($A2023="",B2023=""),"",YEAR(B2023))</f>
        <v/>
      </c>
      <c r="AG2023" s="77">
        <f>IF(OR($A2023="",B2023=""),"",MONTH(B2023))</f>
        <v/>
      </c>
    </row>
    <row r="2024">
      <c r="A2024" s="7" t="n"/>
      <c r="B2024" s="75" t="n"/>
      <c r="C2024" s="7" t="n"/>
      <c r="D2024" s="7" t="n"/>
      <c r="E2024" s="9">
        <f>IF(D2024="","",IFERROR(INDEX('Équipements'!$B$5:$B$304,MATCH(D2024,'Équipements'!$A$5:$A$304,0)),"Code inconnu"))</f>
        <v/>
      </c>
      <c r="F2024" s="9">
        <f>IF(D2024="","",IFERROR(INDEX('Équipements'!$D$5:$D$304,MATCH(D2024,'Équipements'!$A$5:$A$304,0)),""))</f>
        <v/>
      </c>
      <c r="G2024" s="9">
        <f>IF(D2024="","",IFERROR(INDEX('Équipements'!$K$5:$K$304,MATCH(D2024,'Équipements'!$A$5:$A$304,0)),""))</f>
        <v/>
      </c>
      <c r="H2024" s="7" t="n"/>
      <c r="I2024" s="7" t="n"/>
      <c r="J2024" s="7" t="n"/>
      <c r="K2024" s="7" t="n"/>
      <c r="L2024" s="7" t="n"/>
      <c r="M2024" s="7" t="n"/>
      <c r="N2024" s="7" t="n"/>
      <c r="O2024" s="7" t="n"/>
      <c r="P2024" s="65" t="n"/>
      <c r="Q2024" s="75" t="n"/>
      <c r="R2024" s="75" t="n"/>
      <c r="S2024" s="76" t="n"/>
      <c r="T2024" s="76" t="n"/>
      <c r="U2024" s="70">
        <f>IF($A2024="","",IFERROR(INDEX('Techniciens'!$F$5:$F$44,MATCH(O2024,'Techniciens'!$B$5:$B$44,0)),'Paramètres'!$AA$10))</f>
        <v/>
      </c>
      <c r="V2024" s="70">
        <f>IF($A2024="","",IF(OR(AC2024="Demandé",AC2024="Planifié",AC2024="Annulé"),0,N(T2024)*N(U2024)))</f>
        <v/>
      </c>
      <c r="W2024" s="70">
        <f>IF($A2024="","",SUMIFS('Mouvements stock'!$H$5:$H$3004,'Mouvements stock'!$I$5:$I$3004,$A2024,'Mouvements stock'!$C$5:$C$3004,"Sortie")-SUMIFS('Mouvements stock'!$H$5:$H$3004,'Mouvements stock'!$I$5:$I$3004,$A2024,'Mouvements stock'!$C$5:$C$3004,"Retour"))</f>
        <v/>
      </c>
      <c r="X2024" s="66" t="n"/>
      <c r="Y2024" s="66" t="n"/>
      <c r="Z2024" s="7" t="n"/>
      <c r="AA2024" s="70">
        <f>IF($A2024="","",N(V2024)+N(W2024)+N(X2024)+N(Y2024))</f>
        <v/>
      </c>
      <c r="AB2024" s="70">
        <f>IF($A2024="","",N(S2024)*'Paramètres'!$AA$9*IFERROR(INDEX('Paramètres'!$O$5:$O$7,MATCH(G2024,'Paramètres'!$N$5:$N$7,0)),0))</f>
        <v/>
      </c>
      <c r="AC2024" s="7" t="n"/>
      <c r="AD2024" s="69">
        <f>IF(OR($A2024="",Q2024=""),"",(Q2024-B2024)*24)</f>
        <v/>
      </c>
      <c r="AE2024" s="69">
        <f>IF(OR(Q2024="",R2024=""),"",(R2024-Q2024)*24)</f>
        <v/>
      </c>
      <c r="AF2024" s="77">
        <f>IF(OR($A2024="",B2024=""),"",YEAR(B2024))</f>
        <v/>
      </c>
      <c r="AG2024" s="77">
        <f>IF(OR($A2024="",B2024=""),"",MONTH(B2024))</f>
        <v/>
      </c>
    </row>
    <row r="2025">
      <c r="A2025" s="7" t="n"/>
      <c r="B2025" s="75" t="n"/>
      <c r="C2025" s="7" t="n"/>
      <c r="D2025" s="7" t="n"/>
      <c r="E2025" s="9">
        <f>IF(D2025="","",IFERROR(INDEX('Équipements'!$B$5:$B$304,MATCH(D2025,'Équipements'!$A$5:$A$304,0)),"Code inconnu"))</f>
        <v/>
      </c>
      <c r="F2025" s="9">
        <f>IF(D2025="","",IFERROR(INDEX('Équipements'!$D$5:$D$304,MATCH(D2025,'Équipements'!$A$5:$A$304,0)),""))</f>
        <v/>
      </c>
      <c r="G2025" s="9">
        <f>IF(D2025="","",IFERROR(INDEX('Équipements'!$K$5:$K$304,MATCH(D2025,'Équipements'!$A$5:$A$304,0)),""))</f>
        <v/>
      </c>
      <c r="H2025" s="7" t="n"/>
      <c r="I2025" s="7" t="n"/>
      <c r="J2025" s="7" t="n"/>
      <c r="K2025" s="7" t="n"/>
      <c r="L2025" s="7" t="n"/>
      <c r="M2025" s="7" t="n"/>
      <c r="N2025" s="7" t="n"/>
      <c r="O2025" s="7" t="n"/>
      <c r="P2025" s="65" t="n"/>
      <c r="Q2025" s="75" t="n"/>
      <c r="R2025" s="75" t="n"/>
      <c r="S2025" s="76" t="n"/>
      <c r="T2025" s="76" t="n"/>
      <c r="U2025" s="70">
        <f>IF($A2025="","",IFERROR(INDEX('Techniciens'!$F$5:$F$44,MATCH(O2025,'Techniciens'!$B$5:$B$44,0)),'Paramètres'!$AA$10))</f>
        <v/>
      </c>
      <c r="V2025" s="70">
        <f>IF($A2025="","",IF(OR(AC2025="Demandé",AC2025="Planifié",AC2025="Annulé"),0,N(T2025)*N(U2025)))</f>
        <v/>
      </c>
      <c r="W2025" s="70">
        <f>IF($A2025="","",SUMIFS('Mouvements stock'!$H$5:$H$3004,'Mouvements stock'!$I$5:$I$3004,$A2025,'Mouvements stock'!$C$5:$C$3004,"Sortie")-SUMIFS('Mouvements stock'!$H$5:$H$3004,'Mouvements stock'!$I$5:$I$3004,$A2025,'Mouvements stock'!$C$5:$C$3004,"Retour"))</f>
        <v/>
      </c>
      <c r="X2025" s="66" t="n"/>
      <c r="Y2025" s="66" t="n"/>
      <c r="Z2025" s="7" t="n"/>
      <c r="AA2025" s="70">
        <f>IF($A2025="","",N(V2025)+N(W2025)+N(X2025)+N(Y2025))</f>
        <v/>
      </c>
      <c r="AB2025" s="70">
        <f>IF($A2025="","",N(S2025)*'Paramètres'!$AA$9*IFERROR(INDEX('Paramètres'!$O$5:$O$7,MATCH(G2025,'Paramètres'!$N$5:$N$7,0)),0))</f>
        <v/>
      </c>
      <c r="AC2025" s="7" t="n"/>
      <c r="AD2025" s="69">
        <f>IF(OR($A2025="",Q2025=""),"",(Q2025-B2025)*24)</f>
        <v/>
      </c>
      <c r="AE2025" s="69">
        <f>IF(OR(Q2025="",R2025=""),"",(R2025-Q2025)*24)</f>
        <v/>
      </c>
      <c r="AF2025" s="77">
        <f>IF(OR($A2025="",B2025=""),"",YEAR(B2025))</f>
        <v/>
      </c>
      <c r="AG2025" s="77">
        <f>IF(OR($A2025="",B2025=""),"",MONTH(B2025))</f>
        <v/>
      </c>
    </row>
    <row r="2026">
      <c r="A2026" s="7" t="n"/>
      <c r="B2026" s="75" t="n"/>
      <c r="C2026" s="7" t="n"/>
      <c r="D2026" s="7" t="n"/>
      <c r="E2026" s="9">
        <f>IF(D2026="","",IFERROR(INDEX('Équipements'!$B$5:$B$304,MATCH(D2026,'Équipements'!$A$5:$A$304,0)),"Code inconnu"))</f>
        <v/>
      </c>
      <c r="F2026" s="9">
        <f>IF(D2026="","",IFERROR(INDEX('Équipements'!$D$5:$D$304,MATCH(D2026,'Équipements'!$A$5:$A$304,0)),""))</f>
        <v/>
      </c>
      <c r="G2026" s="9">
        <f>IF(D2026="","",IFERROR(INDEX('Équipements'!$K$5:$K$304,MATCH(D2026,'Équipements'!$A$5:$A$304,0)),""))</f>
        <v/>
      </c>
      <c r="H2026" s="7" t="n"/>
      <c r="I2026" s="7" t="n"/>
      <c r="J2026" s="7" t="n"/>
      <c r="K2026" s="7" t="n"/>
      <c r="L2026" s="7" t="n"/>
      <c r="M2026" s="7" t="n"/>
      <c r="N2026" s="7" t="n"/>
      <c r="O2026" s="7" t="n"/>
      <c r="P2026" s="65" t="n"/>
      <c r="Q2026" s="75" t="n"/>
      <c r="R2026" s="75" t="n"/>
      <c r="S2026" s="76" t="n"/>
      <c r="T2026" s="76" t="n"/>
      <c r="U2026" s="70">
        <f>IF($A2026="","",IFERROR(INDEX('Techniciens'!$F$5:$F$44,MATCH(O2026,'Techniciens'!$B$5:$B$44,0)),'Paramètres'!$AA$10))</f>
        <v/>
      </c>
      <c r="V2026" s="70">
        <f>IF($A2026="","",IF(OR(AC2026="Demandé",AC2026="Planifié",AC2026="Annulé"),0,N(T2026)*N(U2026)))</f>
        <v/>
      </c>
      <c r="W2026" s="70">
        <f>IF($A2026="","",SUMIFS('Mouvements stock'!$H$5:$H$3004,'Mouvements stock'!$I$5:$I$3004,$A2026,'Mouvements stock'!$C$5:$C$3004,"Sortie")-SUMIFS('Mouvements stock'!$H$5:$H$3004,'Mouvements stock'!$I$5:$I$3004,$A2026,'Mouvements stock'!$C$5:$C$3004,"Retour"))</f>
        <v/>
      </c>
      <c r="X2026" s="66" t="n"/>
      <c r="Y2026" s="66" t="n"/>
      <c r="Z2026" s="7" t="n"/>
      <c r="AA2026" s="70">
        <f>IF($A2026="","",N(V2026)+N(W2026)+N(X2026)+N(Y2026))</f>
        <v/>
      </c>
      <c r="AB2026" s="70">
        <f>IF($A2026="","",N(S2026)*'Paramètres'!$AA$9*IFERROR(INDEX('Paramètres'!$O$5:$O$7,MATCH(G2026,'Paramètres'!$N$5:$N$7,0)),0))</f>
        <v/>
      </c>
      <c r="AC2026" s="7" t="n"/>
      <c r="AD2026" s="69">
        <f>IF(OR($A2026="",Q2026=""),"",(Q2026-B2026)*24)</f>
        <v/>
      </c>
      <c r="AE2026" s="69">
        <f>IF(OR(Q2026="",R2026=""),"",(R2026-Q2026)*24)</f>
        <v/>
      </c>
      <c r="AF2026" s="77">
        <f>IF(OR($A2026="",B2026=""),"",YEAR(B2026))</f>
        <v/>
      </c>
      <c r="AG2026" s="77">
        <f>IF(OR($A2026="",B2026=""),"",MONTH(B2026))</f>
        <v/>
      </c>
    </row>
    <row r="2027">
      <c r="A2027" s="7" t="n"/>
      <c r="B2027" s="75" t="n"/>
      <c r="C2027" s="7" t="n"/>
      <c r="D2027" s="7" t="n"/>
      <c r="E2027" s="9">
        <f>IF(D2027="","",IFERROR(INDEX('Équipements'!$B$5:$B$304,MATCH(D2027,'Équipements'!$A$5:$A$304,0)),"Code inconnu"))</f>
        <v/>
      </c>
      <c r="F2027" s="9">
        <f>IF(D2027="","",IFERROR(INDEX('Équipements'!$D$5:$D$304,MATCH(D2027,'Équipements'!$A$5:$A$304,0)),""))</f>
        <v/>
      </c>
      <c r="G2027" s="9">
        <f>IF(D2027="","",IFERROR(INDEX('Équipements'!$K$5:$K$304,MATCH(D2027,'Équipements'!$A$5:$A$304,0)),""))</f>
        <v/>
      </c>
      <c r="H2027" s="7" t="n"/>
      <c r="I2027" s="7" t="n"/>
      <c r="J2027" s="7" t="n"/>
      <c r="K2027" s="7" t="n"/>
      <c r="L2027" s="7" t="n"/>
      <c r="M2027" s="7" t="n"/>
      <c r="N2027" s="7" t="n"/>
      <c r="O2027" s="7" t="n"/>
      <c r="P2027" s="65" t="n"/>
      <c r="Q2027" s="75" t="n"/>
      <c r="R2027" s="75" t="n"/>
      <c r="S2027" s="76" t="n"/>
      <c r="T2027" s="76" t="n"/>
      <c r="U2027" s="70">
        <f>IF($A2027="","",IFERROR(INDEX('Techniciens'!$F$5:$F$44,MATCH(O2027,'Techniciens'!$B$5:$B$44,0)),'Paramètres'!$AA$10))</f>
        <v/>
      </c>
      <c r="V2027" s="70">
        <f>IF($A2027="","",IF(OR(AC2027="Demandé",AC2027="Planifié",AC2027="Annulé"),0,N(T2027)*N(U2027)))</f>
        <v/>
      </c>
      <c r="W2027" s="70">
        <f>IF($A2027="","",SUMIFS('Mouvements stock'!$H$5:$H$3004,'Mouvements stock'!$I$5:$I$3004,$A2027,'Mouvements stock'!$C$5:$C$3004,"Sortie")-SUMIFS('Mouvements stock'!$H$5:$H$3004,'Mouvements stock'!$I$5:$I$3004,$A2027,'Mouvements stock'!$C$5:$C$3004,"Retour"))</f>
        <v/>
      </c>
      <c r="X2027" s="66" t="n"/>
      <c r="Y2027" s="66" t="n"/>
      <c r="Z2027" s="7" t="n"/>
      <c r="AA2027" s="70">
        <f>IF($A2027="","",N(V2027)+N(W2027)+N(X2027)+N(Y2027))</f>
        <v/>
      </c>
      <c r="AB2027" s="70">
        <f>IF($A2027="","",N(S2027)*'Paramètres'!$AA$9*IFERROR(INDEX('Paramètres'!$O$5:$O$7,MATCH(G2027,'Paramètres'!$N$5:$N$7,0)),0))</f>
        <v/>
      </c>
      <c r="AC2027" s="7" t="n"/>
      <c r="AD2027" s="69">
        <f>IF(OR($A2027="",Q2027=""),"",(Q2027-B2027)*24)</f>
        <v/>
      </c>
      <c r="AE2027" s="69">
        <f>IF(OR(Q2027="",R2027=""),"",(R2027-Q2027)*24)</f>
        <v/>
      </c>
      <c r="AF2027" s="77">
        <f>IF(OR($A2027="",B2027=""),"",YEAR(B2027))</f>
        <v/>
      </c>
      <c r="AG2027" s="77">
        <f>IF(OR($A2027="",B2027=""),"",MONTH(B2027))</f>
        <v/>
      </c>
    </row>
    <row r="2028">
      <c r="A2028" s="7" t="n"/>
      <c r="B2028" s="75" t="n"/>
      <c r="C2028" s="7" t="n"/>
      <c r="D2028" s="7" t="n"/>
      <c r="E2028" s="9">
        <f>IF(D2028="","",IFERROR(INDEX('Équipements'!$B$5:$B$304,MATCH(D2028,'Équipements'!$A$5:$A$304,0)),"Code inconnu"))</f>
        <v/>
      </c>
      <c r="F2028" s="9">
        <f>IF(D2028="","",IFERROR(INDEX('Équipements'!$D$5:$D$304,MATCH(D2028,'Équipements'!$A$5:$A$304,0)),""))</f>
        <v/>
      </c>
      <c r="G2028" s="9">
        <f>IF(D2028="","",IFERROR(INDEX('Équipements'!$K$5:$K$304,MATCH(D2028,'Équipements'!$A$5:$A$304,0)),""))</f>
        <v/>
      </c>
      <c r="H2028" s="7" t="n"/>
      <c r="I2028" s="7" t="n"/>
      <c r="J2028" s="7" t="n"/>
      <c r="K2028" s="7" t="n"/>
      <c r="L2028" s="7" t="n"/>
      <c r="M2028" s="7" t="n"/>
      <c r="N2028" s="7" t="n"/>
      <c r="O2028" s="7" t="n"/>
      <c r="P2028" s="65" t="n"/>
      <c r="Q2028" s="75" t="n"/>
      <c r="R2028" s="75" t="n"/>
      <c r="S2028" s="76" t="n"/>
      <c r="T2028" s="76" t="n"/>
      <c r="U2028" s="70">
        <f>IF($A2028="","",IFERROR(INDEX('Techniciens'!$F$5:$F$44,MATCH(O2028,'Techniciens'!$B$5:$B$44,0)),'Paramètres'!$AA$10))</f>
        <v/>
      </c>
      <c r="V2028" s="70">
        <f>IF($A2028="","",IF(OR(AC2028="Demandé",AC2028="Planifié",AC2028="Annulé"),0,N(T2028)*N(U2028)))</f>
        <v/>
      </c>
      <c r="W2028" s="70">
        <f>IF($A2028="","",SUMIFS('Mouvements stock'!$H$5:$H$3004,'Mouvements stock'!$I$5:$I$3004,$A2028,'Mouvements stock'!$C$5:$C$3004,"Sortie")-SUMIFS('Mouvements stock'!$H$5:$H$3004,'Mouvements stock'!$I$5:$I$3004,$A2028,'Mouvements stock'!$C$5:$C$3004,"Retour"))</f>
        <v/>
      </c>
      <c r="X2028" s="66" t="n"/>
      <c r="Y2028" s="66" t="n"/>
      <c r="Z2028" s="7" t="n"/>
      <c r="AA2028" s="70">
        <f>IF($A2028="","",N(V2028)+N(W2028)+N(X2028)+N(Y2028))</f>
        <v/>
      </c>
      <c r="AB2028" s="70">
        <f>IF($A2028="","",N(S2028)*'Paramètres'!$AA$9*IFERROR(INDEX('Paramètres'!$O$5:$O$7,MATCH(G2028,'Paramètres'!$N$5:$N$7,0)),0))</f>
        <v/>
      </c>
      <c r="AC2028" s="7" t="n"/>
      <c r="AD2028" s="69">
        <f>IF(OR($A2028="",Q2028=""),"",(Q2028-B2028)*24)</f>
        <v/>
      </c>
      <c r="AE2028" s="69">
        <f>IF(OR(Q2028="",R2028=""),"",(R2028-Q2028)*24)</f>
        <v/>
      </c>
      <c r="AF2028" s="77">
        <f>IF(OR($A2028="",B2028=""),"",YEAR(B2028))</f>
        <v/>
      </c>
      <c r="AG2028" s="77">
        <f>IF(OR($A2028="",B2028=""),"",MONTH(B2028))</f>
        <v/>
      </c>
    </row>
    <row r="2029">
      <c r="A2029" s="7" t="n"/>
      <c r="B2029" s="75" t="n"/>
      <c r="C2029" s="7" t="n"/>
      <c r="D2029" s="7" t="n"/>
      <c r="E2029" s="9">
        <f>IF(D2029="","",IFERROR(INDEX('Équipements'!$B$5:$B$304,MATCH(D2029,'Équipements'!$A$5:$A$304,0)),"Code inconnu"))</f>
        <v/>
      </c>
      <c r="F2029" s="9">
        <f>IF(D2029="","",IFERROR(INDEX('Équipements'!$D$5:$D$304,MATCH(D2029,'Équipements'!$A$5:$A$304,0)),""))</f>
        <v/>
      </c>
      <c r="G2029" s="9">
        <f>IF(D2029="","",IFERROR(INDEX('Équipements'!$K$5:$K$304,MATCH(D2029,'Équipements'!$A$5:$A$304,0)),""))</f>
        <v/>
      </c>
      <c r="H2029" s="7" t="n"/>
      <c r="I2029" s="7" t="n"/>
      <c r="J2029" s="7" t="n"/>
      <c r="K2029" s="7" t="n"/>
      <c r="L2029" s="7" t="n"/>
      <c r="M2029" s="7" t="n"/>
      <c r="N2029" s="7" t="n"/>
      <c r="O2029" s="7" t="n"/>
      <c r="P2029" s="65" t="n"/>
      <c r="Q2029" s="75" t="n"/>
      <c r="R2029" s="75" t="n"/>
      <c r="S2029" s="76" t="n"/>
      <c r="T2029" s="76" t="n"/>
      <c r="U2029" s="70">
        <f>IF($A2029="","",IFERROR(INDEX('Techniciens'!$F$5:$F$44,MATCH(O2029,'Techniciens'!$B$5:$B$44,0)),'Paramètres'!$AA$10))</f>
        <v/>
      </c>
      <c r="V2029" s="70">
        <f>IF($A2029="","",IF(OR(AC2029="Demandé",AC2029="Planifié",AC2029="Annulé"),0,N(T2029)*N(U2029)))</f>
        <v/>
      </c>
      <c r="W2029" s="70">
        <f>IF($A2029="","",SUMIFS('Mouvements stock'!$H$5:$H$3004,'Mouvements stock'!$I$5:$I$3004,$A2029,'Mouvements stock'!$C$5:$C$3004,"Sortie")-SUMIFS('Mouvements stock'!$H$5:$H$3004,'Mouvements stock'!$I$5:$I$3004,$A2029,'Mouvements stock'!$C$5:$C$3004,"Retour"))</f>
        <v/>
      </c>
      <c r="X2029" s="66" t="n"/>
      <c r="Y2029" s="66" t="n"/>
      <c r="Z2029" s="7" t="n"/>
      <c r="AA2029" s="70">
        <f>IF($A2029="","",N(V2029)+N(W2029)+N(X2029)+N(Y2029))</f>
        <v/>
      </c>
      <c r="AB2029" s="70">
        <f>IF($A2029="","",N(S2029)*'Paramètres'!$AA$9*IFERROR(INDEX('Paramètres'!$O$5:$O$7,MATCH(G2029,'Paramètres'!$N$5:$N$7,0)),0))</f>
        <v/>
      </c>
      <c r="AC2029" s="7" t="n"/>
      <c r="AD2029" s="69">
        <f>IF(OR($A2029="",Q2029=""),"",(Q2029-B2029)*24)</f>
        <v/>
      </c>
      <c r="AE2029" s="69">
        <f>IF(OR(Q2029="",R2029=""),"",(R2029-Q2029)*24)</f>
        <v/>
      </c>
      <c r="AF2029" s="77">
        <f>IF(OR($A2029="",B2029=""),"",YEAR(B2029))</f>
        <v/>
      </c>
      <c r="AG2029" s="77">
        <f>IF(OR($A2029="",B2029=""),"",MONTH(B2029))</f>
        <v/>
      </c>
    </row>
    <row r="2030">
      <c r="A2030" s="7" t="n"/>
      <c r="B2030" s="75" t="n"/>
      <c r="C2030" s="7" t="n"/>
      <c r="D2030" s="7" t="n"/>
      <c r="E2030" s="9">
        <f>IF(D2030="","",IFERROR(INDEX('Équipements'!$B$5:$B$304,MATCH(D2030,'Équipements'!$A$5:$A$304,0)),"Code inconnu"))</f>
        <v/>
      </c>
      <c r="F2030" s="9">
        <f>IF(D2030="","",IFERROR(INDEX('Équipements'!$D$5:$D$304,MATCH(D2030,'Équipements'!$A$5:$A$304,0)),""))</f>
        <v/>
      </c>
      <c r="G2030" s="9">
        <f>IF(D2030="","",IFERROR(INDEX('Équipements'!$K$5:$K$304,MATCH(D2030,'Équipements'!$A$5:$A$304,0)),""))</f>
        <v/>
      </c>
      <c r="H2030" s="7" t="n"/>
      <c r="I2030" s="7" t="n"/>
      <c r="J2030" s="7" t="n"/>
      <c r="K2030" s="7" t="n"/>
      <c r="L2030" s="7" t="n"/>
      <c r="M2030" s="7" t="n"/>
      <c r="N2030" s="7" t="n"/>
      <c r="O2030" s="7" t="n"/>
      <c r="P2030" s="65" t="n"/>
      <c r="Q2030" s="75" t="n"/>
      <c r="R2030" s="75" t="n"/>
      <c r="S2030" s="76" t="n"/>
      <c r="T2030" s="76" t="n"/>
      <c r="U2030" s="70">
        <f>IF($A2030="","",IFERROR(INDEX('Techniciens'!$F$5:$F$44,MATCH(O2030,'Techniciens'!$B$5:$B$44,0)),'Paramètres'!$AA$10))</f>
        <v/>
      </c>
      <c r="V2030" s="70">
        <f>IF($A2030="","",IF(OR(AC2030="Demandé",AC2030="Planifié",AC2030="Annulé"),0,N(T2030)*N(U2030)))</f>
        <v/>
      </c>
      <c r="W2030" s="70">
        <f>IF($A2030="","",SUMIFS('Mouvements stock'!$H$5:$H$3004,'Mouvements stock'!$I$5:$I$3004,$A2030,'Mouvements stock'!$C$5:$C$3004,"Sortie")-SUMIFS('Mouvements stock'!$H$5:$H$3004,'Mouvements stock'!$I$5:$I$3004,$A2030,'Mouvements stock'!$C$5:$C$3004,"Retour"))</f>
        <v/>
      </c>
      <c r="X2030" s="66" t="n"/>
      <c r="Y2030" s="66" t="n"/>
      <c r="Z2030" s="7" t="n"/>
      <c r="AA2030" s="70">
        <f>IF($A2030="","",N(V2030)+N(W2030)+N(X2030)+N(Y2030))</f>
        <v/>
      </c>
      <c r="AB2030" s="70">
        <f>IF($A2030="","",N(S2030)*'Paramètres'!$AA$9*IFERROR(INDEX('Paramètres'!$O$5:$O$7,MATCH(G2030,'Paramètres'!$N$5:$N$7,0)),0))</f>
        <v/>
      </c>
      <c r="AC2030" s="7" t="n"/>
      <c r="AD2030" s="69">
        <f>IF(OR($A2030="",Q2030=""),"",(Q2030-B2030)*24)</f>
        <v/>
      </c>
      <c r="AE2030" s="69">
        <f>IF(OR(Q2030="",R2030=""),"",(R2030-Q2030)*24)</f>
        <v/>
      </c>
      <c r="AF2030" s="77">
        <f>IF(OR($A2030="",B2030=""),"",YEAR(B2030))</f>
        <v/>
      </c>
      <c r="AG2030" s="77">
        <f>IF(OR($A2030="",B2030=""),"",MONTH(B2030))</f>
        <v/>
      </c>
    </row>
    <row r="2031">
      <c r="A2031" s="7" t="n"/>
      <c r="B2031" s="75" t="n"/>
      <c r="C2031" s="7" t="n"/>
      <c r="D2031" s="7" t="n"/>
      <c r="E2031" s="9">
        <f>IF(D2031="","",IFERROR(INDEX('Équipements'!$B$5:$B$304,MATCH(D2031,'Équipements'!$A$5:$A$304,0)),"Code inconnu"))</f>
        <v/>
      </c>
      <c r="F2031" s="9">
        <f>IF(D2031="","",IFERROR(INDEX('Équipements'!$D$5:$D$304,MATCH(D2031,'Équipements'!$A$5:$A$304,0)),""))</f>
        <v/>
      </c>
      <c r="G2031" s="9">
        <f>IF(D2031="","",IFERROR(INDEX('Équipements'!$K$5:$K$304,MATCH(D2031,'Équipements'!$A$5:$A$304,0)),""))</f>
        <v/>
      </c>
      <c r="H2031" s="7" t="n"/>
      <c r="I2031" s="7" t="n"/>
      <c r="J2031" s="7" t="n"/>
      <c r="K2031" s="7" t="n"/>
      <c r="L2031" s="7" t="n"/>
      <c r="M2031" s="7" t="n"/>
      <c r="N2031" s="7" t="n"/>
      <c r="O2031" s="7" t="n"/>
      <c r="P2031" s="65" t="n"/>
      <c r="Q2031" s="75" t="n"/>
      <c r="R2031" s="75" t="n"/>
      <c r="S2031" s="76" t="n"/>
      <c r="T2031" s="76" t="n"/>
      <c r="U2031" s="70">
        <f>IF($A2031="","",IFERROR(INDEX('Techniciens'!$F$5:$F$44,MATCH(O2031,'Techniciens'!$B$5:$B$44,0)),'Paramètres'!$AA$10))</f>
        <v/>
      </c>
      <c r="V2031" s="70">
        <f>IF($A2031="","",IF(OR(AC2031="Demandé",AC2031="Planifié",AC2031="Annulé"),0,N(T2031)*N(U2031)))</f>
        <v/>
      </c>
      <c r="W2031" s="70">
        <f>IF($A2031="","",SUMIFS('Mouvements stock'!$H$5:$H$3004,'Mouvements stock'!$I$5:$I$3004,$A2031,'Mouvements stock'!$C$5:$C$3004,"Sortie")-SUMIFS('Mouvements stock'!$H$5:$H$3004,'Mouvements stock'!$I$5:$I$3004,$A2031,'Mouvements stock'!$C$5:$C$3004,"Retour"))</f>
        <v/>
      </c>
      <c r="X2031" s="66" t="n"/>
      <c r="Y2031" s="66" t="n"/>
      <c r="Z2031" s="7" t="n"/>
      <c r="AA2031" s="70">
        <f>IF($A2031="","",N(V2031)+N(W2031)+N(X2031)+N(Y2031))</f>
        <v/>
      </c>
      <c r="AB2031" s="70">
        <f>IF($A2031="","",N(S2031)*'Paramètres'!$AA$9*IFERROR(INDEX('Paramètres'!$O$5:$O$7,MATCH(G2031,'Paramètres'!$N$5:$N$7,0)),0))</f>
        <v/>
      </c>
      <c r="AC2031" s="7" t="n"/>
      <c r="AD2031" s="69">
        <f>IF(OR($A2031="",Q2031=""),"",(Q2031-B2031)*24)</f>
        <v/>
      </c>
      <c r="AE2031" s="69">
        <f>IF(OR(Q2031="",R2031=""),"",(R2031-Q2031)*24)</f>
        <v/>
      </c>
      <c r="AF2031" s="77">
        <f>IF(OR($A2031="",B2031=""),"",YEAR(B2031))</f>
        <v/>
      </c>
      <c r="AG2031" s="77">
        <f>IF(OR($A2031="",B2031=""),"",MONTH(B2031))</f>
        <v/>
      </c>
    </row>
    <row r="2032">
      <c r="A2032" s="7" t="n"/>
      <c r="B2032" s="75" t="n"/>
      <c r="C2032" s="7" t="n"/>
      <c r="D2032" s="7" t="n"/>
      <c r="E2032" s="9">
        <f>IF(D2032="","",IFERROR(INDEX('Équipements'!$B$5:$B$304,MATCH(D2032,'Équipements'!$A$5:$A$304,0)),"Code inconnu"))</f>
        <v/>
      </c>
      <c r="F2032" s="9">
        <f>IF(D2032="","",IFERROR(INDEX('Équipements'!$D$5:$D$304,MATCH(D2032,'Équipements'!$A$5:$A$304,0)),""))</f>
        <v/>
      </c>
      <c r="G2032" s="9">
        <f>IF(D2032="","",IFERROR(INDEX('Équipements'!$K$5:$K$304,MATCH(D2032,'Équipements'!$A$5:$A$304,0)),""))</f>
        <v/>
      </c>
      <c r="H2032" s="7" t="n"/>
      <c r="I2032" s="7" t="n"/>
      <c r="J2032" s="7" t="n"/>
      <c r="K2032" s="7" t="n"/>
      <c r="L2032" s="7" t="n"/>
      <c r="M2032" s="7" t="n"/>
      <c r="N2032" s="7" t="n"/>
      <c r="O2032" s="7" t="n"/>
      <c r="P2032" s="65" t="n"/>
      <c r="Q2032" s="75" t="n"/>
      <c r="R2032" s="75" t="n"/>
      <c r="S2032" s="76" t="n"/>
      <c r="T2032" s="76" t="n"/>
      <c r="U2032" s="70">
        <f>IF($A2032="","",IFERROR(INDEX('Techniciens'!$F$5:$F$44,MATCH(O2032,'Techniciens'!$B$5:$B$44,0)),'Paramètres'!$AA$10))</f>
        <v/>
      </c>
      <c r="V2032" s="70">
        <f>IF($A2032="","",IF(OR(AC2032="Demandé",AC2032="Planifié",AC2032="Annulé"),0,N(T2032)*N(U2032)))</f>
        <v/>
      </c>
      <c r="W2032" s="70">
        <f>IF($A2032="","",SUMIFS('Mouvements stock'!$H$5:$H$3004,'Mouvements stock'!$I$5:$I$3004,$A2032,'Mouvements stock'!$C$5:$C$3004,"Sortie")-SUMIFS('Mouvements stock'!$H$5:$H$3004,'Mouvements stock'!$I$5:$I$3004,$A2032,'Mouvements stock'!$C$5:$C$3004,"Retour"))</f>
        <v/>
      </c>
      <c r="X2032" s="66" t="n"/>
      <c r="Y2032" s="66" t="n"/>
      <c r="Z2032" s="7" t="n"/>
      <c r="AA2032" s="70">
        <f>IF($A2032="","",N(V2032)+N(W2032)+N(X2032)+N(Y2032))</f>
        <v/>
      </c>
      <c r="AB2032" s="70">
        <f>IF($A2032="","",N(S2032)*'Paramètres'!$AA$9*IFERROR(INDEX('Paramètres'!$O$5:$O$7,MATCH(G2032,'Paramètres'!$N$5:$N$7,0)),0))</f>
        <v/>
      </c>
      <c r="AC2032" s="7" t="n"/>
      <c r="AD2032" s="69">
        <f>IF(OR($A2032="",Q2032=""),"",(Q2032-B2032)*24)</f>
        <v/>
      </c>
      <c r="AE2032" s="69">
        <f>IF(OR(Q2032="",R2032=""),"",(R2032-Q2032)*24)</f>
        <v/>
      </c>
      <c r="AF2032" s="77">
        <f>IF(OR($A2032="",B2032=""),"",YEAR(B2032))</f>
        <v/>
      </c>
      <c r="AG2032" s="77">
        <f>IF(OR($A2032="",B2032=""),"",MONTH(B2032))</f>
        <v/>
      </c>
    </row>
    <row r="2033">
      <c r="A2033" s="7" t="n"/>
      <c r="B2033" s="75" t="n"/>
      <c r="C2033" s="7" t="n"/>
      <c r="D2033" s="7" t="n"/>
      <c r="E2033" s="9">
        <f>IF(D2033="","",IFERROR(INDEX('Équipements'!$B$5:$B$304,MATCH(D2033,'Équipements'!$A$5:$A$304,0)),"Code inconnu"))</f>
        <v/>
      </c>
      <c r="F2033" s="9">
        <f>IF(D2033="","",IFERROR(INDEX('Équipements'!$D$5:$D$304,MATCH(D2033,'Équipements'!$A$5:$A$304,0)),""))</f>
        <v/>
      </c>
      <c r="G2033" s="9">
        <f>IF(D2033="","",IFERROR(INDEX('Équipements'!$K$5:$K$304,MATCH(D2033,'Équipements'!$A$5:$A$304,0)),""))</f>
        <v/>
      </c>
      <c r="H2033" s="7" t="n"/>
      <c r="I2033" s="7" t="n"/>
      <c r="J2033" s="7" t="n"/>
      <c r="K2033" s="7" t="n"/>
      <c r="L2033" s="7" t="n"/>
      <c r="M2033" s="7" t="n"/>
      <c r="N2033" s="7" t="n"/>
      <c r="O2033" s="7" t="n"/>
      <c r="P2033" s="65" t="n"/>
      <c r="Q2033" s="75" t="n"/>
      <c r="R2033" s="75" t="n"/>
      <c r="S2033" s="76" t="n"/>
      <c r="T2033" s="76" t="n"/>
      <c r="U2033" s="70">
        <f>IF($A2033="","",IFERROR(INDEX('Techniciens'!$F$5:$F$44,MATCH(O2033,'Techniciens'!$B$5:$B$44,0)),'Paramètres'!$AA$10))</f>
        <v/>
      </c>
      <c r="V2033" s="70">
        <f>IF($A2033="","",IF(OR(AC2033="Demandé",AC2033="Planifié",AC2033="Annulé"),0,N(T2033)*N(U2033)))</f>
        <v/>
      </c>
      <c r="W2033" s="70">
        <f>IF($A2033="","",SUMIFS('Mouvements stock'!$H$5:$H$3004,'Mouvements stock'!$I$5:$I$3004,$A2033,'Mouvements stock'!$C$5:$C$3004,"Sortie")-SUMIFS('Mouvements stock'!$H$5:$H$3004,'Mouvements stock'!$I$5:$I$3004,$A2033,'Mouvements stock'!$C$5:$C$3004,"Retour"))</f>
        <v/>
      </c>
      <c r="X2033" s="66" t="n"/>
      <c r="Y2033" s="66" t="n"/>
      <c r="Z2033" s="7" t="n"/>
      <c r="AA2033" s="70">
        <f>IF($A2033="","",N(V2033)+N(W2033)+N(X2033)+N(Y2033))</f>
        <v/>
      </c>
      <c r="AB2033" s="70">
        <f>IF($A2033="","",N(S2033)*'Paramètres'!$AA$9*IFERROR(INDEX('Paramètres'!$O$5:$O$7,MATCH(G2033,'Paramètres'!$N$5:$N$7,0)),0))</f>
        <v/>
      </c>
      <c r="AC2033" s="7" t="n"/>
      <c r="AD2033" s="69">
        <f>IF(OR($A2033="",Q2033=""),"",(Q2033-B2033)*24)</f>
        <v/>
      </c>
      <c r="AE2033" s="69">
        <f>IF(OR(Q2033="",R2033=""),"",(R2033-Q2033)*24)</f>
        <v/>
      </c>
      <c r="AF2033" s="77">
        <f>IF(OR($A2033="",B2033=""),"",YEAR(B2033))</f>
        <v/>
      </c>
      <c r="AG2033" s="77">
        <f>IF(OR($A2033="",B2033=""),"",MONTH(B2033))</f>
        <v/>
      </c>
    </row>
    <row r="2034">
      <c r="A2034" s="7" t="n"/>
      <c r="B2034" s="75" t="n"/>
      <c r="C2034" s="7" t="n"/>
      <c r="D2034" s="7" t="n"/>
      <c r="E2034" s="9">
        <f>IF(D2034="","",IFERROR(INDEX('Équipements'!$B$5:$B$304,MATCH(D2034,'Équipements'!$A$5:$A$304,0)),"Code inconnu"))</f>
        <v/>
      </c>
      <c r="F2034" s="9">
        <f>IF(D2034="","",IFERROR(INDEX('Équipements'!$D$5:$D$304,MATCH(D2034,'Équipements'!$A$5:$A$304,0)),""))</f>
        <v/>
      </c>
      <c r="G2034" s="9">
        <f>IF(D2034="","",IFERROR(INDEX('Équipements'!$K$5:$K$304,MATCH(D2034,'Équipements'!$A$5:$A$304,0)),""))</f>
        <v/>
      </c>
      <c r="H2034" s="7" t="n"/>
      <c r="I2034" s="7" t="n"/>
      <c r="J2034" s="7" t="n"/>
      <c r="K2034" s="7" t="n"/>
      <c r="L2034" s="7" t="n"/>
      <c r="M2034" s="7" t="n"/>
      <c r="N2034" s="7" t="n"/>
      <c r="O2034" s="7" t="n"/>
      <c r="P2034" s="65" t="n"/>
      <c r="Q2034" s="75" t="n"/>
      <c r="R2034" s="75" t="n"/>
      <c r="S2034" s="76" t="n"/>
      <c r="T2034" s="76" t="n"/>
      <c r="U2034" s="70">
        <f>IF($A2034="","",IFERROR(INDEX('Techniciens'!$F$5:$F$44,MATCH(O2034,'Techniciens'!$B$5:$B$44,0)),'Paramètres'!$AA$10))</f>
        <v/>
      </c>
      <c r="V2034" s="70">
        <f>IF($A2034="","",IF(OR(AC2034="Demandé",AC2034="Planifié",AC2034="Annulé"),0,N(T2034)*N(U2034)))</f>
        <v/>
      </c>
      <c r="W2034" s="70">
        <f>IF($A2034="","",SUMIFS('Mouvements stock'!$H$5:$H$3004,'Mouvements stock'!$I$5:$I$3004,$A2034,'Mouvements stock'!$C$5:$C$3004,"Sortie")-SUMIFS('Mouvements stock'!$H$5:$H$3004,'Mouvements stock'!$I$5:$I$3004,$A2034,'Mouvements stock'!$C$5:$C$3004,"Retour"))</f>
        <v/>
      </c>
      <c r="X2034" s="66" t="n"/>
      <c r="Y2034" s="66" t="n"/>
      <c r="Z2034" s="7" t="n"/>
      <c r="AA2034" s="70">
        <f>IF($A2034="","",N(V2034)+N(W2034)+N(X2034)+N(Y2034))</f>
        <v/>
      </c>
      <c r="AB2034" s="70">
        <f>IF($A2034="","",N(S2034)*'Paramètres'!$AA$9*IFERROR(INDEX('Paramètres'!$O$5:$O$7,MATCH(G2034,'Paramètres'!$N$5:$N$7,0)),0))</f>
        <v/>
      </c>
      <c r="AC2034" s="7" t="n"/>
      <c r="AD2034" s="69">
        <f>IF(OR($A2034="",Q2034=""),"",(Q2034-B2034)*24)</f>
        <v/>
      </c>
      <c r="AE2034" s="69">
        <f>IF(OR(Q2034="",R2034=""),"",(R2034-Q2034)*24)</f>
        <v/>
      </c>
      <c r="AF2034" s="77">
        <f>IF(OR($A2034="",B2034=""),"",YEAR(B2034))</f>
        <v/>
      </c>
      <c r="AG2034" s="77">
        <f>IF(OR($A2034="",B2034=""),"",MONTH(B2034))</f>
        <v/>
      </c>
    </row>
    <row r="2035">
      <c r="A2035" s="7" t="n"/>
      <c r="B2035" s="75" t="n"/>
      <c r="C2035" s="7" t="n"/>
      <c r="D2035" s="7" t="n"/>
      <c r="E2035" s="9">
        <f>IF(D2035="","",IFERROR(INDEX('Équipements'!$B$5:$B$304,MATCH(D2035,'Équipements'!$A$5:$A$304,0)),"Code inconnu"))</f>
        <v/>
      </c>
      <c r="F2035" s="9">
        <f>IF(D2035="","",IFERROR(INDEX('Équipements'!$D$5:$D$304,MATCH(D2035,'Équipements'!$A$5:$A$304,0)),""))</f>
        <v/>
      </c>
      <c r="G2035" s="9">
        <f>IF(D2035="","",IFERROR(INDEX('Équipements'!$K$5:$K$304,MATCH(D2035,'Équipements'!$A$5:$A$304,0)),""))</f>
        <v/>
      </c>
      <c r="H2035" s="7" t="n"/>
      <c r="I2035" s="7" t="n"/>
      <c r="J2035" s="7" t="n"/>
      <c r="K2035" s="7" t="n"/>
      <c r="L2035" s="7" t="n"/>
      <c r="M2035" s="7" t="n"/>
      <c r="N2035" s="7" t="n"/>
      <c r="O2035" s="7" t="n"/>
      <c r="P2035" s="65" t="n"/>
      <c r="Q2035" s="75" t="n"/>
      <c r="R2035" s="75" t="n"/>
      <c r="S2035" s="76" t="n"/>
      <c r="T2035" s="76" t="n"/>
      <c r="U2035" s="70">
        <f>IF($A2035="","",IFERROR(INDEX('Techniciens'!$F$5:$F$44,MATCH(O2035,'Techniciens'!$B$5:$B$44,0)),'Paramètres'!$AA$10))</f>
        <v/>
      </c>
      <c r="V2035" s="70">
        <f>IF($A2035="","",IF(OR(AC2035="Demandé",AC2035="Planifié",AC2035="Annulé"),0,N(T2035)*N(U2035)))</f>
        <v/>
      </c>
      <c r="W2035" s="70">
        <f>IF($A2035="","",SUMIFS('Mouvements stock'!$H$5:$H$3004,'Mouvements stock'!$I$5:$I$3004,$A2035,'Mouvements stock'!$C$5:$C$3004,"Sortie")-SUMIFS('Mouvements stock'!$H$5:$H$3004,'Mouvements stock'!$I$5:$I$3004,$A2035,'Mouvements stock'!$C$5:$C$3004,"Retour"))</f>
        <v/>
      </c>
      <c r="X2035" s="66" t="n"/>
      <c r="Y2035" s="66" t="n"/>
      <c r="Z2035" s="7" t="n"/>
      <c r="AA2035" s="70">
        <f>IF($A2035="","",N(V2035)+N(W2035)+N(X2035)+N(Y2035))</f>
        <v/>
      </c>
      <c r="AB2035" s="70">
        <f>IF($A2035="","",N(S2035)*'Paramètres'!$AA$9*IFERROR(INDEX('Paramètres'!$O$5:$O$7,MATCH(G2035,'Paramètres'!$N$5:$N$7,0)),0))</f>
        <v/>
      </c>
      <c r="AC2035" s="7" t="n"/>
      <c r="AD2035" s="69">
        <f>IF(OR($A2035="",Q2035=""),"",(Q2035-B2035)*24)</f>
        <v/>
      </c>
      <c r="AE2035" s="69">
        <f>IF(OR(Q2035="",R2035=""),"",(R2035-Q2035)*24)</f>
        <v/>
      </c>
      <c r="AF2035" s="77">
        <f>IF(OR($A2035="",B2035=""),"",YEAR(B2035))</f>
        <v/>
      </c>
      <c r="AG2035" s="77">
        <f>IF(OR($A2035="",B2035=""),"",MONTH(B2035))</f>
        <v/>
      </c>
    </row>
    <row r="2036">
      <c r="A2036" s="7" t="n"/>
      <c r="B2036" s="75" t="n"/>
      <c r="C2036" s="7" t="n"/>
      <c r="D2036" s="7" t="n"/>
      <c r="E2036" s="9">
        <f>IF(D2036="","",IFERROR(INDEX('Équipements'!$B$5:$B$304,MATCH(D2036,'Équipements'!$A$5:$A$304,0)),"Code inconnu"))</f>
        <v/>
      </c>
      <c r="F2036" s="9">
        <f>IF(D2036="","",IFERROR(INDEX('Équipements'!$D$5:$D$304,MATCH(D2036,'Équipements'!$A$5:$A$304,0)),""))</f>
        <v/>
      </c>
      <c r="G2036" s="9">
        <f>IF(D2036="","",IFERROR(INDEX('Équipements'!$K$5:$K$304,MATCH(D2036,'Équipements'!$A$5:$A$304,0)),""))</f>
        <v/>
      </c>
      <c r="H2036" s="7" t="n"/>
      <c r="I2036" s="7" t="n"/>
      <c r="J2036" s="7" t="n"/>
      <c r="K2036" s="7" t="n"/>
      <c r="L2036" s="7" t="n"/>
      <c r="M2036" s="7" t="n"/>
      <c r="N2036" s="7" t="n"/>
      <c r="O2036" s="7" t="n"/>
      <c r="P2036" s="65" t="n"/>
      <c r="Q2036" s="75" t="n"/>
      <c r="R2036" s="75" t="n"/>
      <c r="S2036" s="76" t="n"/>
      <c r="T2036" s="76" t="n"/>
      <c r="U2036" s="70">
        <f>IF($A2036="","",IFERROR(INDEX('Techniciens'!$F$5:$F$44,MATCH(O2036,'Techniciens'!$B$5:$B$44,0)),'Paramètres'!$AA$10))</f>
        <v/>
      </c>
      <c r="V2036" s="70">
        <f>IF($A2036="","",IF(OR(AC2036="Demandé",AC2036="Planifié",AC2036="Annulé"),0,N(T2036)*N(U2036)))</f>
        <v/>
      </c>
      <c r="W2036" s="70">
        <f>IF($A2036="","",SUMIFS('Mouvements stock'!$H$5:$H$3004,'Mouvements stock'!$I$5:$I$3004,$A2036,'Mouvements stock'!$C$5:$C$3004,"Sortie")-SUMIFS('Mouvements stock'!$H$5:$H$3004,'Mouvements stock'!$I$5:$I$3004,$A2036,'Mouvements stock'!$C$5:$C$3004,"Retour"))</f>
        <v/>
      </c>
      <c r="X2036" s="66" t="n"/>
      <c r="Y2036" s="66" t="n"/>
      <c r="Z2036" s="7" t="n"/>
      <c r="AA2036" s="70">
        <f>IF($A2036="","",N(V2036)+N(W2036)+N(X2036)+N(Y2036))</f>
        <v/>
      </c>
      <c r="AB2036" s="70">
        <f>IF($A2036="","",N(S2036)*'Paramètres'!$AA$9*IFERROR(INDEX('Paramètres'!$O$5:$O$7,MATCH(G2036,'Paramètres'!$N$5:$N$7,0)),0))</f>
        <v/>
      </c>
      <c r="AC2036" s="7" t="n"/>
      <c r="AD2036" s="69">
        <f>IF(OR($A2036="",Q2036=""),"",(Q2036-B2036)*24)</f>
        <v/>
      </c>
      <c r="AE2036" s="69">
        <f>IF(OR(Q2036="",R2036=""),"",(R2036-Q2036)*24)</f>
        <v/>
      </c>
      <c r="AF2036" s="77">
        <f>IF(OR($A2036="",B2036=""),"",YEAR(B2036))</f>
        <v/>
      </c>
      <c r="AG2036" s="77">
        <f>IF(OR($A2036="",B2036=""),"",MONTH(B2036))</f>
        <v/>
      </c>
    </row>
    <row r="2037">
      <c r="A2037" s="7" t="n"/>
      <c r="B2037" s="75" t="n"/>
      <c r="C2037" s="7" t="n"/>
      <c r="D2037" s="7" t="n"/>
      <c r="E2037" s="9">
        <f>IF(D2037="","",IFERROR(INDEX('Équipements'!$B$5:$B$304,MATCH(D2037,'Équipements'!$A$5:$A$304,0)),"Code inconnu"))</f>
        <v/>
      </c>
      <c r="F2037" s="9">
        <f>IF(D2037="","",IFERROR(INDEX('Équipements'!$D$5:$D$304,MATCH(D2037,'Équipements'!$A$5:$A$304,0)),""))</f>
        <v/>
      </c>
      <c r="G2037" s="9">
        <f>IF(D2037="","",IFERROR(INDEX('Équipements'!$K$5:$K$304,MATCH(D2037,'Équipements'!$A$5:$A$304,0)),""))</f>
        <v/>
      </c>
      <c r="H2037" s="7" t="n"/>
      <c r="I2037" s="7" t="n"/>
      <c r="J2037" s="7" t="n"/>
      <c r="K2037" s="7" t="n"/>
      <c r="L2037" s="7" t="n"/>
      <c r="M2037" s="7" t="n"/>
      <c r="N2037" s="7" t="n"/>
      <c r="O2037" s="7" t="n"/>
      <c r="P2037" s="65" t="n"/>
      <c r="Q2037" s="75" t="n"/>
      <c r="R2037" s="75" t="n"/>
      <c r="S2037" s="76" t="n"/>
      <c r="T2037" s="76" t="n"/>
      <c r="U2037" s="70">
        <f>IF($A2037="","",IFERROR(INDEX('Techniciens'!$F$5:$F$44,MATCH(O2037,'Techniciens'!$B$5:$B$44,0)),'Paramètres'!$AA$10))</f>
        <v/>
      </c>
      <c r="V2037" s="70">
        <f>IF($A2037="","",IF(OR(AC2037="Demandé",AC2037="Planifié",AC2037="Annulé"),0,N(T2037)*N(U2037)))</f>
        <v/>
      </c>
      <c r="W2037" s="70">
        <f>IF($A2037="","",SUMIFS('Mouvements stock'!$H$5:$H$3004,'Mouvements stock'!$I$5:$I$3004,$A2037,'Mouvements stock'!$C$5:$C$3004,"Sortie")-SUMIFS('Mouvements stock'!$H$5:$H$3004,'Mouvements stock'!$I$5:$I$3004,$A2037,'Mouvements stock'!$C$5:$C$3004,"Retour"))</f>
        <v/>
      </c>
      <c r="X2037" s="66" t="n"/>
      <c r="Y2037" s="66" t="n"/>
      <c r="Z2037" s="7" t="n"/>
      <c r="AA2037" s="70">
        <f>IF($A2037="","",N(V2037)+N(W2037)+N(X2037)+N(Y2037))</f>
        <v/>
      </c>
      <c r="AB2037" s="70">
        <f>IF($A2037="","",N(S2037)*'Paramètres'!$AA$9*IFERROR(INDEX('Paramètres'!$O$5:$O$7,MATCH(G2037,'Paramètres'!$N$5:$N$7,0)),0))</f>
        <v/>
      </c>
      <c r="AC2037" s="7" t="n"/>
      <c r="AD2037" s="69">
        <f>IF(OR($A2037="",Q2037=""),"",(Q2037-B2037)*24)</f>
        <v/>
      </c>
      <c r="AE2037" s="69">
        <f>IF(OR(Q2037="",R2037=""),"",(R2037-Q2037)*24)</f>
        <v/>
      </c>
      <c r="AF2037" s="77">
        <f>IF(OR($A2037="",B2037=""),"",YEAR(B2037))</f>
        <v/>
      </c>
      <c r="AG2037" s="77">
        <f>IF(OR($A2037="",B2037=""),"",MONTH(B2037))</f>
        <v/>
      </c>
    </row>
    <row r="2038">
      <c r="A2038" s="7" t="n"/>
      <c r="B2038" s="75" t="n"/>
      <c r="C2038" s="7" t="n"/>
      <c r="D2038" s="7" t="n"/>
      <c r="E2038" s="9">
        <f>IF(D2038="","",IFERROR(INDEX('Équipements'!$B$5:$B$304,MATCH(D2038,'Équipements'!$A$5:$A$304,0)),"Code inconnu"))</f>
        <v/>
      </c>
      <c r="F2038" s="9">
        <f>IF(D2038="","",IFERROR(INDEX('Équipements'!$D$5:$D$304,MATCH(D2038,'Équipements'!$A$5:$A$304,0)),""))</f>
        <v/>
      </c>
      <c r="G2038" s="9">
        <f>IF(D2038="","",IFERROR(INDEX('Équipements'!$K$5:$K$304,MATCH(D2038,'Équipements'!$A$5:$A$304,0)),""))</f>
        <v/>
      </c>
      <c r="H2038" s="7" t="n"/>
      <c r="I2038" s="7" t="n"/>
      <c r="J2038" s="7" t="n"/>
      <c r="K2038" s="7" t="n"/>
      <c r="L2038" s="7" t="n"/>
      <c r="M2038" s="7" t="n"/>
      <c r="N2038" s="7" t="n"/>
      <c r="O2038" s="7" t="n"/>
      <c r="P2038" s="65" t="n"/>
      <c r="Q2038" s="75" t="n"/>
      <c r="R2038" s="75" t="n"/>
      <c r="S2038" s="76" t="n"/>
      <c r="T2038" s="76" t="n"/>
      <c r="U2038" s="70">
        <f>IF($A2038="","",IFERROR(INDEX('Techniciens'!$F$5:$F$44,MATCH(O2038,'Techniciens'!$B$5:$B$44,0)),'Paramètres'!$AA$10))</f>
        <v/>
      </c>
      <c r="V2038" s="70">
        <f>IF($A2038="","",IF(OR(AC2038="Demandé",AC2038="Planifié",AC2038="Annulé"),0,N(T2038)*N(U2038)))</f>
        <v/>
      </c>
      <c r="W2038" s="70">
        <f>IF($A2038="","",SUMIFS('Mouvements stock'!$H$5:$H$3004,'Mouvements stock'!$I$5:$I$3004,$A2038,'Mouvements stock'!$C$5:$C$3004,"Sortie")-SUMIFS('Mouvements stock'!$H$5:$H$3004,'Mouvements stock'!$I$5:$I$3004,$A2038,'Mouvements stock'!$C$5:$C$3004,"Retour"))</f>
        <v/>
      </c>
      <c r="X2038" s="66" t="n"/>
      <c r="Y2038" s="66" t="n"/>
      <c r="Z2038" s="7" t="n"/>
      <c r="AA2038" s="70">
        <f>IF($A2038="","",N(V2038)+N(W2038)+N(X2038)+N(Y2038))</f>
        <v/>
      </c>
      <c r="AB2038" s="70">
        <f>IF($A2038="","",N(S2038)*'Paramètres'!$AA$9*IFERROR(INDEX('Paramètres'!$O$5:$O$7,MATCH(G2038,'Paramètres'!$N$5:$N$7,0)),0))</f>
        <v/>
      </c>
      <c r="AC2038" s="7" t="n"/>
      <c r="AD2038" s="69">
        <f>IF(OR($A2038="",Q2038=""),"",(Q2038-B2038)*24)</f>
        <v/>
      </c>
      <c r="AE2038" s="69">
        <f>IF(OR(Q2038="",R2038=""),"",(R2038-Q2038)*24)</f>
        <v/>
      </c>
      <c r="AF2038" s="77">
        <f>IF(OR($A2038="",B2038=""),"",YEAR(B2038))</f>
        <v/>
      </c>
      <c r="AG2038" s="77">
        <f>IF(OR($A2038="",B2038=""),"",MONTH(B2038))</f>
        <v/>
      </c>
    </row>
    <row r="2039">
      <c r="A2039" s="7" t="n"/>
      <c r="B2039" s="75" t="n"/>
      <c r="C2039" s="7" t="n"/>
      <c r="D2039" s="7" t="n"/>
      <c r="E2039" s="9">
        <f>IF(D2039="","",IFERROR(INDEX('Équipements'!$B$5:$B$304,MATCH(D2039,'Équipements'!$A$5:$A$304,0)),"Code inconnu"))</f>
        <v/>
      </c>
      <c r="F2039" s="9">
        <f>IF(D2039="","",IFERROR(INDEX('Équipements'!$D$5:$D$304,MATCH(D2039,'Équipements'!$A$5:$A$304,0)),""))</f>
        <v/>
      </c>
      <c r="G2039" s="9">
        <f>IF(D2039="","",IFERROR(INDEX('Équipements'!$K$5:$K$304,MATCH(D2039,'Équipements'!$A$5:$A$304,0)),""))</f>
        <v/>
      </c>
      <c r="H2039" s="7" t="n"/>
      <c r="I2039" s="7" t="n"/>
      <c r="J2039" s="7" t="n"/>
      <c r="K2039" s="7" t="n"/>
      <c r="L2039" s="7" t="n"/>
      <c r="M2039" s="7" t="n"/>
      <c r="N2039" s="7" t="n"/>
      <c r="O2039" s="7" t="n"/>
      <c r="P2039" s="65" t="n"/>
      <c r="Q2039" s="75" t="n"/>
      <c r="R2039" s="75" t="n"/>
      <c r="S2039" s="76" t="n"/>
      <c r="T2039" s="76" t="n"/>
      <c r="U2039" s="70">
        <f>IF($A2039="","",IFERROR(INDEX('Techniciens'!$F$5:$F$44,MATCH(O2039,'Techniciens'!$B$5:$B$44,0)),'Paramètres'!$AA$10))</f>
        <v/>
      </c>
      <c r="V2039" s="70">
        <f>IF($A2039="","",IF(OR(AC2039="Demandé",AC2039="Planifié",AC2039="Annulé"),0,N(T2039)*N(U2039)))</f>
        <v/>
      </c>
      <c r="W2039" s="70">
        <f>IF($A2039="","",SUMIFS('Mouvements stock'!$H$5:$H$3004,'Mouvements stock'!$I$5:$I$3004,$A2039,'Mouvements stock'!$C$5:$C$3004,"Sortie")-SUMIFS('Mouvements stock'!$H$5:$H$3004,'Mouvements stock'!$I$5:$I$3004,$A2039,'Mouvements stock'!$C$5:$C$3004,"Retour"))</f>
        <v/>
      </c>
      <c r="X2039" s="66" t="n"/>
      <c r="Y2039" s="66" t="n"/>
      <c r="Z2039" s="7" t="n"/>
      <c r="AA2039" s="70">
        <f>IF($A2039="","",N(V2039)+N(W2039)+N(X2039)+N(Y2039))</f>
        <v/>
      </c>
      <c r="AB2039" s="70">
        <f>IF($A2039="","",N(S2039)*'Paramètres'!$AA$9*IFERROR(INDEX('Paramètres'!$O$5:$O$7,MATCH(G2039,'Paramètres'!$N$5:$N$7,0)),0))</f>
        <v/>
      </c>
      <c r="AC2039" s="7" t="n"/>
      <c r="AD2039" s="69">
        <f>IF(OR($A2039="",Q2039=""),"",(Q2039-B2039)*24)</f>
        <v/>
      </c>
      <c r="AE2039" s="69">
        <f>IF(OR(Q2039="",R2039=""),"",(R2039-Q2039)*24)</f>
        <v/>
      </c>
      <c r="AF2039" s="77">
        <f>IF(OR($A2039="",B2039=""),"",YEAR(B2039))</f>
        <v/>
      </c>
      <c r="AG2039" s="77">
        <f>IF(OR($A2039="",B2039=""),"",MONTH(B2039))</f>
        <v/>
      </c>
    </row>
    <row r="2040">
      <c r="A2040" s="7" t="n"/>
      <c r="B2040" s="75" t="n"/>
      <c r="C2040" s="7" t="n"/>
      <c r="D2040" s="7" t="n"/>
      <c r="E2040" s="9">
        <f>IF(D2040="","",IFERROR(INDEX('Équipements'!$B$5:$B$304,MATCH(D2040,'Équipements'!$A$5:$A$304,0)),"Code inconnu"))</f>
        <v/>
      </c>
      <c r="F2040" s="9">
        <f>IF(D2040="","",IFERROR(INDEX('Équipements'!$D$5:$D$304,MATCH(D2040,'Équipements'!$A$5:$A$304,0)),""))</f>
        <v/>
      </c>
      <c r="G2040" s="9">
        <f>IF(D2040="","",IFERROR(INDEX('Équipements'!$K$5:$K$304,MATCH(D2040,'Équipements'!$A$5:$A$304,0)),""))</f>
        <v/>
      </c>
      <c r="H2040" s="7" t="n"/>
      <c r="I2040" s="7" t="n"/>
      <c r="J2040" s="7" t="n"/>
      <c r="K2040" s="7" t="n"/>
      <c r="L2040" s="7" t="n"/>
      <c r="M2040" s="7" t="n"/>
      <c r="N2040" s="7" t="n"/>
      <c r="O2040" s="7" t="n"/>
      <c r="P2040" s="65" t="n"/>
      <c r="Q2040" s="75" t="n"/>
      <c r="R2040" s="75" t="n"/>
      <c r="S2040" s="76" t="n"/>
      <c r="T2040" s="76" t="n"/>
      <c r="U2040" s="70">
        <f>IF($A2040="","",IFERROR(INDEX('Techniciens'!$F$5:$F$44,MATCH(O2040,'Techniciens'!$B$5:$B$44,0)),'Paramètres'!$AA$10))</f>
        <v/>
      </c>
      <c r="V2040" s="70">
        <f>IF($A2040="","",IF(OR(AC2040="Demandé",AC2040="Planifié",AC2040="Annulé"),0,N(T2040)*N(U2040)))</f>
        <v/>
      </c>
      <c r="W2040" s="70">
        <f>IF($A2040="","",SUMIFS('Mouvements stock'!$H$5:$H$3004,'Mouvements stock'!$I$5:$I$3004,$A2040,'Mouvements stock'!$C$5:$C$3004,"Sortie")-SUMIFS('Mouvements stock'!$H$5:$H$3004,'Mouvements stock'!$I$5:$I$3004,$A2040,'Mouvements stock'!$C$5:$C$3004,"Retour"))</f>
        <v/>
      </c>
      <c r="X2040" s="66" t="n"/>
      <c r="Y2040" s="66" t="n"/>
      <c r="Z2040" s="7" t="n"/>
      <c r="AA2040" s="70">
        <f>IF($A2040="","",N(V2040)+N(W2040)+N(X2040)+N(Y2040))</f>
        <v/>
      </c>
      <c r="AB2040" s="70">
        <f>IF($A2040="","",N(S2040)*'Paramètres'!$AA$9*IFERROR(INDEX('Paramètres'!$O$5:$O$7,MATCH(G2040,'Paramètres'!$N$5:$N$7,0)),0))</f>
        <v/>
      </c>
      <c r="AC2040" s="7" t="n"/>
      <c r="AD2040" s="69">
        <f>IF(OR($A2040="",Q2040=""),"",(Q2040-B2040)*24)</f>
        <v/>
      </c>
      <c r="AE2040" s="69">
        <f>IF(OR(Q2040="",R2040=""),"",(R2040-Q2040)*24)</f>
        <v/>
      </c>
      <c r="AF2040" s="77">
        <f>IF(OR($A2040="",B2040=""),"",YEAR(B2040))</f>
        <v/>
      </c>
      <c r="AG2040" s="77">
        <f>IF(OR($A2040="",B2040=""),"",MONTH(B2040))</f>
        <v/>
      </c>
    </row>
    <row r="2041">
      <c r="A2041" s="7" t="n"/>
      <c r="B2041" s="75" t="n"/>
      <c r="C2041" s="7" t="n"/>
      <c r="D2041" s="7" t="n"/>
      <c r="E2041" s="9">
        <f>IF(D2041="","",IFERROR(INDEX('Équipements'!$B$5:$B$304,MATCH(D2041,'Équipements'!$A$5:$A$304,0)),"Code inconnu"))</f>
        <v/>
      </c>
      <c r="F2041" s="9">
        <f>IF(D2041="","",IFERROR(INDEX('Équipements'!$D$5:$D$304,MATCH(D2041,'Équipements'!$A$5:$A$304,0)),""))</f>
        <v/>
      </c>
      <c r="G2041" s="9">
        <f>IF(D2041="","",IFERROR(INDEX('Équipements'!$K$5:$K$304,MATCH(D2041,'Équipements'!$A$5:$A$304,0)),""))</f>
        <v/>
      </c>
      <c r="H2041" s="7" t="n"/>
      <c r="I2041" s="7" t="n"/>
      <c r="J2041" s="7" t="n"/>
      <c r="K2041" s="7" t="n"/>
      <c r="L2041" s="7" t="n"/>
      <c r="M2041" s="7" t="n"/>
      <c r="N2041" s="7" t="n"/>
      <c r="O2041" s="7" t="n"/>
      <c r="P2041" s="65" t="n"/>
      <c r="Q2041" s="75" t="n"/>
      <c r="R2041" s="75" t="n"/>
      <c r="S2041" s="76" t="n"/>
      <c r="T2041" s="76" t="n"/>
      <c r="U2041" s="70">
        <f>IF($A2041="","",IFERROR(INDEX('Techniciens'!$F$5:$F$44,MATCH(O2041,'Techniciens'!$B$5:$B$44,0)),'Paramètres'!$AA$10))</f>
        <v/>
      </c>
      <c r="V2041" s="70">
        <f>IF($A2041="","",IF(OR(AC2041="Demandé",AC2041="Planifié",AC2041="Annulé"),0,N(T2041)*N(U2041)))</f>
        <v/>
      </c>
      <c r="W2041" s="70">
        <f>IF($A2041="","",SUMIFS('Mouvements stock'!$H$5:$H$3004,'Mouvements stock'!$I$5:$I$3004,$A2041,'Mouvements stock'!$C$5:$C$3004,"Sortie")-SUMIFS('Mouvements stock'!$H$5:$H$3004,'Mouvements stock'!$I$5:$I$3004,$A2041,'Mouvements stock'!$C$5:$C$3004,"Retour"))</f>
        <v/>
      </c>
      <c r="X2041" s="66" t="n"/>
      <c r="Y2041" s="66" t="n"/>
      <c r="Z2041" s="7" t="n"/>
      <c r="AA2041" s="70">
        <f>IF($A2041="","",N(V2041)+N(W2041)+N(X2041)+N(Y2041))</f>
        <v/>
      </c>
      <c r="AB2041" s="70">
        <f>IF($A2041="","",N(S2041)*'Paramètres'!$AA$9*IFERROR(INDEX('Paramètres'!$O$5:$O$7,MATCH(G2041,'Paramètres'!$N$5:$N$7,0)),0))</f>
        <v/>
      </c>
      <c r="AC2041" s="7" t="n"/>
      <c r="AD2041" s="69">
        <f>IF(OR($A2041="",Q2041=""),"",(Q2041-B2041)*24)</f>
        <v/>
      </c>
      <c r="AE2041" s="69">
        <f>IF(OR(Q2041="",R2041=""),"",(R2041-Q2041)*24)</f>
        <v/>
      </c>
      <c r="AF2041" s="77">
        <f>IF(OR($A2041="",B2041=""),"",YEAR(B2041))</f>
        <v/>
      </c>
      <c r="AG2041" s="77">
        <f>IF(OR($A2041="",B2041=""),"",MONTH(B2041))</f>
        <v/>
      </c>
    </row>
    <row r="2042">
      <c r="A2042" s="7" t="n"/>
      <c r="B2042" s="75" t="n"/>
      <c r="C2042" s="7" t="n"/>
      <c r="D2042" s="7" t="n"/>
      <c r="E2042" s="9">
        <f>IF(D2042="","",IFERROR(INDEX('Équipements'!$B$5:$B$304,MATCH(D2042,'Équipements'!$A$5:$A$304,0)),"Code inconnu"))</f>
        <v/>
      </c>
      <c r="F2042" s="9">
        <f>IF(D2042="","",IFERROR(INDEX('Équipements'!$D$5:$D$304,MATCH(D2042,'Équipements'!$A$5:$A$304,0)),""))</f>
        <v/>
      </c>
      <c r="G2042" s="9">
        <f>IF(D2042="","",IFERROR(INDEX('Équipements'!$K$5:$K$304,MATCH(D2042,'Équipements'!$A$5:$A$304,0)),""))</f>
        <v/>
      </c>
      <c r="H2042" s="7" t="n"/>
      <c r="I2042" s="7" t="n"/>
      <c r="J2042" s="7" t="n"/>
      <c r="K2042" s="7" t="n"/>
      <c r="L2042" s="7" t="n"/>
      <c r="M2042" s="7" t="n"/>
      <c r="N2042" s="7" t="n"/>
      <c r="O2042" s="7" t="n"/>
      <c r="P2042" s="65" t="n"/>
      <c r="Q2042" s="75" t="n"/>
      <c r="R2042" s="75" t="n"/>
      <c r="S2042" s="76" t="n"/>
      <c r="T2042" s="76" t="n"/>
      <c r="U2042" s="70">
        <f>IF($A2042="","",IFERROR(INDEX('Techniciens'!$F$5:$F$44,MATCH(O2042,'Techniciens'!$B$5:$B$44,0)),'Paramètres'!$AA$10))</f>
        <v/>
      </c>
      <c r="V2042" s="70">
        <f>IF($A2042="","",IF(OR(AC2042="Demandé",AC2042="Planifié",AC2042="Annulé"),0,N(T2042)*N(U2042)))</f>
        <v/>
      </c>
      <c r="W2042" s="70">
        <f>IF($A2042="","",SUMIFS('Mouvements stock'!$H$5:$H$3004,'Mouvements stock'!$I$5:$I$3004,$A2042,'Mouvements stock'!$C$5:$C$3004,"Sortie")-SUMIFS('Mouvements stock'!$H$5:$H$3004,'Mouvements stock'!$I$5:$I$3004,$A2042,'Mouvements stock'!$C$5:$C$3004,"Retour"))</f>
        <v/>
      </c>
      <c r="X2042" s="66" t="n"/>
      <c r="Y2042" s="66" t="n"/>
      <c r="Z2042" s="7" t="n"/>
      <c r="AA2042" s="70">
        <f>IF($A2042="","",N(V2042)+N(W2042)+N(X2042)+N(Y2042))</f>
        <v/>
      </c>
      <c r="AB2042" s="70">
        <f>IF($A2042="","",N(S2042)*'Paramètres'!$AA$9*IFERROR(INDEX('Paramètres'!$O$5:$O$7,MATCH(G2042,'Paramètres'!$N$5:$N$7,0)),0))</f>
        <v/>
      </c>
      <c r="AC2042" s="7" t="n"/>
      <c r="AD2042" s="69">
        <f>IF(OR($A2042="",Q2042=""),"",(Q2042-B2042)*24)</f>
        <v/>
      </c>
      <c r="AE2042" s="69">
        <f>IF(OR(Q2042="",R2042=""),"",(R2042-Q2042)*24)</f>
        <v/>
      </c>
      <c r="AF2042" s="77">
        <f>IF(OR($A2042="",B2042=""),"",YEAR(B2042))</f>
        <v/>
      </c>
      <c r="AG2042" s="77">
        <f>IF(OR($A2042="",B2042=""),"",MONTH(B2042))</f>
        <v/>
      </c>
    </row>
    <row r="2043">
      <c r="A2043" s="7" t="n"/>
      <c r="B2043" s="75" t="n"/>
      <c r="C2043" s="7" t="n"/>
      <c r="D2043" s="7" t="n"/>
      <c r="E2043" s="9">
        <f>IF(D2043="","",IFERROR(INDEX('Équipements'!$B$5:$B$304,MATCH(D2043,'Équipements'!$A$5:$A$304,0)),"Code inconnu"))</f>
        <v/>
      </c>
      <c r="F2043" s="9">
        <f>IF(D2043="","",IFERROR(INDEX('Équipements'!$D$5:$D$304,MATCH(D2043,'Équipements'!$A$5:$A$304,0)),""))</f>
        <v/>
      </c>
      <c r="G2043" s="9">
        <f>IF(D2043="","",IFERROR(INDEX('Équipements'!$K$5:$K$304,MATCH(D2043,'Équipements'!$A$5:$A$304,0)),""))</f>
        <v/>
      </c>
      <c r="H2043" s="7" t="n"/>
      <c r="I2043" s="7" t="n"/>
      <c r="J2043" s="7" t="n"/>
      <c r="K2043" s="7" t="n"/>
      <c r="L2043" s="7" t="n"/>
      <c r="M2043" s="7" t="n"/>
      <c r="N2043" s="7" t="n"/>
      <c r="O2043" s="7" t="n"/>
      <c r="P2043" s="65" t="n"/>
      <c r="Q2043" s="75" t="n"/>
      <c r="R2043" s="75" t="n"/>
      <c r="S2043" s="76" t="n"/>
      <c r="T2043" s="76" t="n"/>
      <c r="U2043" s="70">
        <f>IF($A2043="","",IFERROR(INDEX('Techniciens'!$F$5:$F$44,MATCH(O2043,'Techniciens'!$B$5:$B$44,0)),'Paramètres'!$AA$10))</f>
        <v/>
      </c>
      <c r="V2043" s="70">
        <f>IF($A2043="","",IF(OR(AC2043="Demandé",AC2043="Planifié",AC2043="Annulé"),0,N(T2043)*N(U2043)))</f>
        <v/>
      </c>
      <c r="W2043" s="70">
        <f>IF($A2043="","",SUMIFS('Mouvements stock'!$H$5:$H$3004,'Mouvements stock'!$I$5:$I$3004,$A2043,'Mouvements stock'!$C$5:$C$3004,"Sortie")-SUMIFS('Mouvements stock'!$H$5:$H$3004,'Mouvements stock'!$I$5:$I$3004,$A2043,'Mouvements stock'!$C$5:$C$3004,"Retour"))</f>
        <v/>
      </c>
      <c r="X2043" s="66" t="n"/>
      <c r="Y2043" s="66" t="n"/>
      <c r="Z2043" s="7" t="n"/>
      <c r="AA2043" s="70">
        <f>IF($A2043="","",N(V2043)+N(W2043)+N(X2043)+N(Y2043))</f>
        <v/>
      </c>
      <c r="AB2043" s="70">
        <f>IF($A2043="","",N(S2043)*'Paramètres'!$AA$9*IFERROR(INDEX('Paramètres'!$O$5:$O$7,MATCH(G2043,'Paramètres'!$N$5:$N$7,0)),0))</f>
        <v/>
      </c>
      <c r="AC2043" s="7" t="n"/>
      <c r="AD2043" s="69">
        <f>IF(OR($A2043="",Q2043=""),"",(Q2043-B2043)*24)</f>
        <v/>
      </c>
      <c r="AE2043" s="69">
        <f>IF(OR(Q2043="",R2043=""),"",(R2043-Q2043)*24)</f>
        <v/>
      </c>
      <c r="AF2043" s="77">
        <f>IF(OR($A2043="",B2043=""),"",YEAR(B2043))</f>
        <v/>
      </c>
      <c r="AG2043" s="77">
        <f>IF(OR($A2043="",B2043=""),"",MONTH(B2043))</f>
        <v/>
      </c>
    </row>
    <row r="2044">
      <c r="A2044" s="7" t="n"/>
      <c r="B2044" s="75" t="n"/>
      <c r="C2044" s="7" t="n"/>
      <c r="D2044" s="7" t="n"/>
      <c r="E2044" s="9">
        <f>IF(D2044="","",IFERROR(INDEX('Équipements'!$B$5:$B$304,MATCH(D2044,'Équipements'!$A$5:$A$304,0)),"Code inconnu"))</f>
        <v/>
      </c>
      <c r="F2044" s="9">
        <f>IF(D2044="","",IFERROR(INDEX('Équipements'!$D$5:$D$304,MATCH(D2044,'Équipements'!$A$5:$A$304,0)),""))</f>
        <v/>
      </c>
      <c r="G2044" s="9">
        <f>IF(D2044="","",IFERROR(INDEX('Équipements'!$K$5:$K$304,MATCH(D2044,'Équipements'!$A$5:$A$304,0)),""))</f>
        <v/>
      </c>
      <c r="H2044" s="7" t="n"/>
      <c r="I2044" s="7" t="n"/>
      <c r="J2044" s="7" t="n"/>
      <c r="K2044" s="7" t="n"/>
      <c r="L2044" s="7" t="n"/>
      <c r="M2044" s="7" t="n"/>
      <c r="N2044" s="7" t="n"/>
      <c r="O2044" s="7" t="n"/>
      <c r="P2044" s="65" t="n"/>
      <c r="Q2044" s="75" t="n"/>
      <c r="R2044" s="75" t="n"/>
      <c r="S2044" s="76" t="n"/>
      <c r="T2044" s="76" t="n"/>
      <c r="U2044" s="70">
        <f>IF($A2044="","",IFERROR(INDEX('Techniciens'!$F$5:$F$44,MATCH(O2044,'Techniciens'!$B$5:$B$44,0)),'Paramètres'!$AA$10))</f>
        <v/>
      </c>
      <c r="V2044" s="70">
        <f>IF($A2044="","",IF(OR(AC2044="Demandé",AC2044="Planifié",AC2044="Annulé"),0,N(T2044)*N(U2044)))</f>
        <v/>
      </c>
      <c r="W2044" s="70">
        <f>IF($A2044="","",SUMIFS('Mouvements stock'!$H$5:$H$3004,'Mouvements stock'!$I$5:$I$3004,$A2044,'Mouvements stock'!$C$5:$C$3004,"Sortie")-SUMIFS('Mouvements stock'!$H$5:$H$3004,'Mouvements stock'!$I$5:$I$3004,$A2044,'Mouvements stock'!$C$5:$C$3004,"Retour"))</f>
        <v/>
      </c>
      <c r="X2044" s="66" t="n"/>
      <c r="Y2044" s="66" t="n"/>
      <c r="Z2044" s="7" t="n"/>
      <c r="AA2044" s="70">
        <f>IF($A2044="","",N(V2044)+N(W2044)+N(X2044)+N(Y2044))</f>
        <v/>
      </c>
      <c r="AB2044" s="70">
        <f>IF($A2044="","",N(S2044)*'Paramètres'!$AA$9*IFERROR(INDEX('Paramètres'!$O$5:$O$7,MATCH(G2044,'Paramètres'!$N$5:$N$7,0)),0))</f>
        <v/>
      </c>
      <c r="AC2044" s="7" t="n"/>
      <c r="AD2044" s="69">
        <f>IF(OR($A2044="",Q2044=""),"",(Q2044-B2044)*24)</f>
        <v/>
      </c>
      <c r="AE2044" s="69">
        <f>IF(OR(Q2044="",R2044=""),"",(R2044-Q2044)*24)</f>
        <v/>
      </c>
      <c r="AF2044" s="77">
        <f>IF(OR($A2044="",B2044=""),"",YEAR(B2044))</f>
        <v/>
      </c>
      <c r="AG2044" s="77">
        <f>IF(OR($A2044="",B2044=""),"",MONTH(B2044))</f>
        <v/>
      </c>
    </row>
    <row r="2045">
      <c r="A2045" s="7" t="n"/>
      <c r="B2045" s="75" t="n"/>
      <c r="C2045" s="7" t="n"/>
      <c r="D2045" s="7" t="n"/>
      <c r="E2045" s="9">
        <f>IF(D2045="","",IFERROR(INDEX('Équipements'!$B$5:$B$304,MATCH(D2045,'Équipements'!$A$5:$A$304,0)),"Code inconnu"))</f>
        <v/>
      </c>
      <c r="F2045" s="9">
        <f>IF(D2045="","",IFERROR(INDEX('Équipements'!$D$5:$D$304,MATCH(D2045,'Équipements'!$A$5:$A$304,0)),""))</f>
        <v/>
      </c>
      <c r="G2045" s="9">
        <f>IF(D2045="","",IFERROR(INDEX('Équipements'!$K$5:$K$304,MATCH(D2045,'Équipements'!$A$5:$A$304,0)),""))</f>
        <v/>
      </c>
      <c r="H2045" s="7" t="n"/>
      <c r="I2045" s="7" t="n"/>
      <c r="J2045" s="7" t="n"/>
      <c r="K2045" s="7" t="n"/>
      <c r="L2045" s="7" t="n"/>
      <c r="M2045" s="7" t="n"/>
      <c r="N2045" s="7" t="n"/>
      <c r="O2045" s="7" t="n"/>
      <c r="P2045" s="65" t="n"/>
      <c r="Q2045" s="75" t="n"/>
      <c r="R2045" s="75" t="n"/>
      <c r="S2045" s="76" t="n"/>
      <c r="T2045" s="76" t="n"/>
      <c r="U2045" s="70">
        <f>IF($A2045="","",IFERROR(INDEX('Techniciens'!$F$5:$F$44,MATCH(O2045,'Techniciens'!$B$5:$B$44,0)),'Paramètres'!$AA$10))</f>
        <v/>
      </c>
      <c r="V2045" s="70">
        <f>IF($A2045="","",IF(OR(AC2045="Demandé",AC2045="Planifié",AC2045="Annulé"),0,N(T2045)*N(U2045)))</f>
        <v/>
      </c>
      <c r="W2045" s="70">
        <f>IF($A2045="","",SUMIFS('Mouvements stock'!$H$5:$H$3004,'Mouvements stock'!$I$5:$I$3004,$A2045,'Mouvements stock'!$C$5:$C$3004,"Sortie")-SUMIFS('Mouvements stock'!$H$5:$H$3004,'Mouvements stock'!$I$5:$I$3004,$A2045,'Mouvements stock'!$C$5:$C$3004,"Retour"))</f>
        <v/>
      </c>
      <c r="X2045" s="66" t="n"/>
      <c r="Y2045" s="66" t="n"/>
      <c r="Z2045" s="7" t="n"/>
      <c r="AA2045" s="70">
        <f>IF($A2045="","",N(V2045)+N(W2045)+N(X2045)+N(Y2045))</f>
        <v/>
      </c>
      <c r="AB2045" s="70">
        <f>IF($A2045="","",N(S2045)*'Paramètres'!$AA$9*IFERROR(INDEX('Paramètres'!$O$5:$O$7,MATCH(G2045,'Paramètres'!$N$5:$N$7,0)),0))</f>
        <v/>
      </c>
      <c r="AC2045" s="7" t="n"/>
      <c r="AD2045" s="69">
        <f>IF(OR($A2045="",Q2045=""),"",(Q2045-B2045)*24)</f>
        <v/>
      </c>
      <c r="AE2045" s="69">
        <f>IF(OR(Q2045="",R2045=""),"",(R2045-Q2045)*24)</f>
        <v/>
      </c>
      <c r="AF2045" s="77">
        <f>IF(OR($A2045="",B2045=""),"",YEAR(B2045))</f>
        <v/>
      </c>
      <c r="AG2045" s="77">
        <f>IF(OR($A2045="",B2045=""),"",MONTH(B2045))</f>
        <v/>
      </c>
    </row>
    <row r="2046">
      <c r="A2046" s="7" t="n"/>
      <c r="B2046" s="75" t="n"/>
      <c r="C2046" s="7" t="n"/>
      <c r="D2046" s="7" t="n"/>
      <c r="E2046" s="9">
        <f>IF(D2046="","",IFERROR(INDEX('Équipements'!$B$5:$B$304,MATCH(D2046,'Équipements'!$A$5:$A$304,0)),"Code inconnu"))</f>
        <v/>
      </c>
      <c r="F2046" s="9">
        <f>IF(D2046="","",IFERROR(INDEX('Équipements'!$D$5:$D$304,MATCH(D2046,'Équipements'!$A$5:$A$304,0)),""))</f>
        <v/>
      </c>
      <c r="G2046" s="9">
        <f>IF(D2046="","",IFERROR(INDEX('Équipements'!$K$5:$K$304,MATCH(D2046,'Équipements'!$A$5:$A$304,0)),""))</f>
        <v/>
      </c>
      <c r="H2046" s="7" t="n"/>
      <c r="I2046" s="7" t="n"/>
      <c r="J2046" s="7" t="n"/>
      <c r="K2046" s="7" t="n"/>
      <c r="L2046" s="7" t="n"/>
      <c r="M2046" s="7" t="n"/>
      <c r="N2046" s="7" t="n"/>
      <c r="O2046" s="7" t="n"/>
      <c r="P2046" s="65" t="n"/>
      <c r="Q2046" s="75" t="n"/>
      <c r="R2046" s="75" t="n"/>
      <c r="S2046" s="76" t="n"/>
      <c r="T2046" s="76" t="n"/>
      <c r="U2046" s="70">
        <f>IF($A2046="","",IFERROR(INDEX('Techniciens'!$F$5:$F$44,MATCH(O2046,'Techniciens'!$B$5:$B$44,0)),'Paramètres'!$AA$10))</f>
        <v/>
      </c>
      <c r="V2046" s="70">
        <f>IF($A2046="","",IF(OR(AC2046="Demandé",AC2046="Planifié",AC2046="Annulé"),0,N(T2046)*N(U2046)))</f>
        <v/>
      </c>
      <c r="W2046" s="70">
        <f>IF($A2046="","",SUMIFS('Mouvements stock'!$H$5:$H$3004,'Mouvements stock'!$I$5:$I$3004,$A2046,'Mouvements stock'!$C$5:$C$3004,"Sortie")-SUMIFS('Mouvements stock'!$H$5:$H$3004,'Mouvements stock'!$I$5:$I$3004,$A2046,'Mouvements stock'!$C$5:$C$3004,"Retour"))</f>
        <v/>
      </c>
      <c r="X2046" s="66" t="n"/>
      <c r="Y2046" s="66" t="n"/>
      <c r="Z2046" s="7" t="n"/>
      <c r="AA2046" s="70">
        <f>IF($A2046="","",N(V2046)+N(W2046)+N(X2046)+N(Y2046))</f>
        <v/>
      </c>
      <c r="AB2046" s="70">
        <f>IF($A2046="","",N(S2046)*'Paramètres'!$AA$9*IFERROR(INDEX('Paramètres'!$O$5:$O$7,MATCH(G2046,'Paramètres'!$N$5:$N$7,0)),0))</f>
        <v/>
      </c>
      <c r="AC2046" s="7" t="n"/>
      <c r="AD2046" s="69">
        <f>IF(OR($A2046="",Q2046=""),"",(Q2046-B2046)*24)</f>
        <v/>
      </c>
      <c r="AE2046" s="69">
        <f>IF(OR(Q2046="",R2046=""),"",(R2046-Q2046)*24)</f>
        <v/>
      </c>
      <c r="AF2046" s="77">
        <f>IF(OR($A2046="",B2046=""),"",YEAR(B2046))</f>
        <v/>
      </c>
      <c r="AG2046" s="77">
        <f>IF(OR($A2046="",B2046=""),"",MONTH(B2046))</f>
        <v/>
      </c>
    </row>
    <row r="2047">
      <c r="A2047" s="7" t="n"/>
      <c r="B2047" s="75" t="n"/>
      <c r="C2047" s="7" t="n"/>
      <c r="D2047" s="7" t="n"/>
      <c r="E2047" s="9">
        <f>IF(D2047="","",IFERROR(INDEX('Équipements'!$B$5:$B$304,MATCH(D2047,'Équipements'!$A$5:$A$304,0)),"Code inconnu"))</f>
        <v/>
      </c>
      <c r="F2047" s="9">
        <f>IF(D2047="","",IFERROR(INDEX('Équipements'!$D$5:$D$304,MATCH(D2047,'Équipements'!$A$5:$A$304,0)),""))</f>
        <v/>
      </c>
      <c r="G2047" s="9">
        <f>IF(D2047="","",IFERROR(INDEX('Équipements'!$K$5:$K$304,MATCH(D2047,'Équipements'!$A$5:$A$304,0)),""))</f>
        <v/>
      </c>
      <c r="H2047" s="7" t="n"/>
      <c r="I2047" s="7" t="n"/>
      <c r="J2047" s="7" t="n"/>
      <c r="K2047" s="7" t="n"/>
      <c r="L2047" s="7" t="n"/>
      <c r="M2047" s="7" t="n"/>
      <c r="N2047" s="7" t="n"/>
      <c r="O2047" s="7" t="n"/>
      <c r="P2047" s="65" t="n"/>
      <c r="Q2047" s="75" t="n"/>
      <c r="R2047" s="75" t="n"/>
      <c r="S2047" s="76" t="n"/>
      <c r="T2047" s="76" t="n"/>
      <c r="U2047" s="70">
        <f>IF($A2047="","",IFERROR(INDEX('Techniciens'!$F$5:$F$44,MATCH(O2047,'Techniciens'!$B$5:$B$44,0)),'Paramètres'!$AA$10))</f>
        <v/>
      </c>
      <c r="V2047" s="70">
        <f>IF($A2047="","",IF(OR(AC2047="Demandé",AC2047="Planifié",AC2047="Annulé"),0,N(T2047)*N(U2047)))</f>
        <v/>
      </c>
      <c r="W2047" s="70">
        <f>IF($A2047="","",SUMIFS('Mouvements stock'!$H$5:$H$3004,'Mouvements stock'!$I$5:$I$3004,$A2047,'Mouvements stock'!$C$5:$C$3004,"Sortie")-SUMIFS('Mouvements stock'!$H$5:$H$3004,'Mouvements stock'!$I$5:$I$3004,$A2047,'Mouvements stock'!$C$5:$C$3004,"Retour"))</f>
        <v/>
      </c>
      <c r="X2047" s="66" t="n"/>
      <c r="Y2047" s="66" t="n"/>
      <c r="Z2047" s="7" t="n"/>
      <c r="AA2047" s="70">
        <f>IF($A2047="","",N(V2047)+N(W2047)+N(X2047)+N(Y2047))</f>
        <v/>
      </c>
      <c r="AB2047" s="70">
        <f>IF($A2047="","",N(S2047)*'Paramètres'!$AA$9*IFERROR(INDEX('Paramètres'!$O$5:$O$7,MATCH(G2047,'Paramètres'!$N$5:$N$7,0)),0))</f>
        <v/>
      </c>
      <c r="AC2047" s="7" t="n"/>
      <c r="AD2047" s="69">
        <f>IF(OR($A2047="",Q2047=""),"",(Q2047-B2047)*24)</f>
        <v/>
      </c>
      <c r="AE2047" s="69">
        <f>IF(OR(Q2047="",R2047=""),"",(R2047-Q2047)*24)</f>
        <v/>
      </c>
      <c r="AF2047" s="77">
        <f>IF(OR($A2047="",B2047=""),"",YEAR(B2047))</f>
        <v/>
      </c>
      <c r="AG2047" s="77">
        <f>IF(OR($A2047="",B2047=""),"",MONTH(B2047))</f>
        <v/>
      </c>
    </row>
    <row r="2048">
      <c r="A2048" s="7" t="n"/>
      <c r="B2048" s="75" t="n"/>
      <c r="C2048" s="7" t="n"/>
      <c r="D2048" s="7" t="n"/>
      <c r="E2048" s="9">
        <f>IF(D2048="","",IFERROR(INDEX('Équipements'!$B$5:$B$304,MATCH(D2048,'Équipements'!$A$5:$A$304,0)),"Code inconnu"))</f>
        <v/>
      </c>
      <c r="F2048" s="9">
        <f>IF(D2048="","",IFERROR(INDEX('Équipements'!$D$5:$D$304,MATCH(D2048,'Équipements'!$A$5:$A$304,0)),""))</f>
        <v/>
      </c>
      <c r="G2048" s="9">
        <f>IF(D2048="","",IFERROR(INDEX('Équipements'!$K$5:$K$304,MATCH(D2048,'Équipements'!$A$5:$A$304,0)),""))</f>
        <v/>
      </c>
      <c r="H2048" s="7" t="n"/>
      <c r="I2048" s="7" t="n"/>
      <c r="J2048" s="7" t="n"/>
      <c r="K2048" s="7" t="n"/>
      <c r="L2048" s="7" t="n"/>
      <c r="M2048" s="7" t="n"/>
      <c r="N2048" s="7" t="n"/>
      <c r="O2048" s="7" t="n"/>
      <c r="P2048" s="65" t="n"/>
      <c r="Q2048" s="75" t="n"/>
      <c r="R2048" s="75" t="n"/>
      <c r="S2048" s="76" t="n"/>
      <c r="T2048" s="76" t="n"/>
      <c r="U2048" s="70">
        <f>IF($A2048="","",IFERROR(INDEX('Techniciens'!$F$5:$F$44,MATCH(O2048,'Techniciens'!$B$5:$B$44,0)),'Paramètres'!$AA$10))</f>
        <v/>
      </c>
      <c r="V2048" s="70">
        <f>IF($A2048="","",IF(OR(AC2048="Demandé",AC2048="Planifié",AC2048="Annulé"),0,N(T2048)*N(U2048)))</f>
        <v/>
      </c>
      <c r="W2048" s="70">
        <f>IF($A2048="","",SUMIFS('Mouvements stock'!$H$5:$H$3004,'Mouvements stock'!$I$5:$I$3004,$A2048,'Mouvements stock'!$C$5:$C$3004,"Sortie")-SUMIFS('Mouvements stock'!$H$5:$H$3004,'Mouvements stock'!$I$5:$I$3004,$A2048,'Mouvements stock'!$C$5:$C$3004,"Retour"))</f>
        <v/>
      </c>
      <c r="X2048" s="66" t="n"/>
      <c r="Y2048" s="66" t="n"/>
      <c r="Z2048" s="7" t="n"/>
      <c r="AA2048" s="70">
        <f>IF($A2048="","",N(V2048)+N(W2048)+N(X2048)+N(Y2048))</f>
        <v/>
      </c>
      <c r="AB2048" s="70">
        <f>IF($A2048="","",N(S2048)*'Paramètres'!$AA$9*IFERROR(INDEX('Paramètres'!$O$5:$O$7,MATCH(G2048,'Paramètres'!$N$5:$N$7,0)),0))</f>
        <v/>
      </c>
      <c r="AC2048" s="7" t="n"/>
      <c r="AD2048" s="69">
        <f>IF(OR($A2048="",Q2048=""),"",(Q2048-B2048)*24)</f>
        <v/>
      </c>
      <c r="AE2048" s="69">
        <f>IF(OR(Q2048="",R2048=""),"",(R2048-Q2048)*24)</f>
        <v/>
      </c>
      <c r="AF2048" s="77">
        <f>IF(OR($A2048="",B2048=""),"",YEAR(B2048))</f>
        <v/>
      </c>
      <c r="AG2048" s="77">
        <f>IF(OR($A2048="",B2048=""),"",MONTH(B2048))</f>
        <v/>
      </c>
    </row>
    <row r="2049">
      <c r="A2049" s="7" t="n"/>
      <c r="B2049" s="75" t="n"/>
      <c r="C2049" s="7" t="n"/>
      <c r="D2049" s="7" t="n"/>
      <c r="E2049" s="9">
        <f>IF(D2049="","",IFERROR(INDEX('Équipements'!$B$5:$B$304,MATCH(D2049,'Équipements'!$A$5:$A$304,0)),"Code inconnu"))</f>
        <v/>
      </c>
      <c r="F2049" s="9">
        <f>IF(D2049="","",IFERROR(INDEX('Équipements'!$D$5:$D$304,MATCH(D2049,'Équipements'!$A$5:$A$304,0)),""))</f>
        <v/>
      </c>
      <c r="G2049" s="9">
        <f>IF(D2049="","",IFERROR(INDEX('Équipements'!$K$5:$K$304,MATCH(D2049,'Équipements'!$A$5:$A$304,0)),""))</f>
        <v/>
      </c>
      <c r="H2049" s="7" t="n"/>
      <c r="I2049" s="7" t="n"/>
      <c r="J2049" s="7" t="n"/>
      <c r="K2049" s="7" t="n"/>
      <c r="L2049" s="7" t="n"/>
      <c r="M2049" s="7" t="n"/>
      <c r="N2049" s="7" t="n"/>
      <c r="O2049" s="7" t="n"/>
      <c r="P2049" s="65" t="n"/>
      <c r="Q2049" s="75" t="n"/>
      <c r="R2049" s="75" t="n"/>
      <c r="S2049" s="76" t="n"/>
      <c r="T2049" s="76" t="n"/>
      <c r="U2049" s="70">
        <f>IF($A2049="","",IFERROR(INDEX('Techniciens'!$F$5:$F$44,MATCH(O2049,'Techniciens'!$B$5:$B$44,0)),'Paramètres'!$AA$10))</f>
        <v/>
      </c>
      <c r="V2049" s="70">
        <f>IF($A2049="","",IF(OR(AC2049="Demandé",AC2049="Planifié",AC2049="Annulé"),0,N(T2049)*N(U2049)))</f>
        <v/>
      </c>
      <c r="W2049" s="70">
        <f>IF($A2049="","",SUMIFS('Mouvements stock'!$H$5:$H$3004,'Mouvements stock'!$I$5:$I$3004,$A2049,'Mouvements stock'!$C$5:$C$3004,"Sortie")-SUMIFS('Mouvements stock'!$H$5:$H$3004,'Mouvements stock'!$I$5:$I$3004,$A2049,'Mouvements stock'!$C$5:$C$3004,"Retour"))</f>
        <v/>
      </c>
      <c r="X2049" s="66" t="n"/>
      <c r="Y2049" s="66" t="n"/>
      <c r="Z2049" s="7" t="n"/>
      <c r="AA2049" s="70">
        <f>IF($A2049="","",N(V2049)+N(W2049)+N(X2049)+N(Y2049))</f>
        <v/>
      </c>
      <c r="AB2049" s="70">
        <f>IF($A2049="","",N(S2049)*'Paramètres'!$AA$9*IFERROR(INDEX('Paramètres'!$O$5:$O$7,MATCH(G2049,'Paramètres'!$N$5:$N$7,0)),0))</f>
        <v/>
      </c>
      <c r="AC2049" s="7" t="n"/>
      <c r="AD2049" s="69">
        <f>IF(OR($A2049="",Q2049=""),"",(Q2049-B2049)*24)</f>
        <v/>
      </c>
      <c r="AE2049" s="69">
        <f>IF(OR(Q2049="",R2049=""),"",(R2049-Q2049)*24)</f>
        <v/>
      </c>
      <c r="AF2049" s="77">
        <f>IF(OR($A2049="",B2049=""),"",YEAR(B2049))</f>
        <v/>
      </c>
      <c r="AG2049" s="77">
        <f>IF(OR($A2049="",B2049=""),"",MONTH(B2049))</f>
        <v/>
      </c>
    </row>
    <row r="2050">
      <c r="A2050" s="7" t="n"/>
      <c r="B2050" s="75" t="n"/>
      <c r="C2050" s="7" t="n"/>
      <c r="D2050" s="7" t="n"/>
      <c r="E2050" s="9">
        <f>IF(D2050="","",IFERROR(INDEX('Équipements'!$B$5:$B$304,MATCH(D2050,'Équipements'!$A$5:$A$304,0)),"Code inconnu"))</f>
        <v/>
      </c>
      <c r="F2050" s="9">
        <f>IF(D2050="","",IFERROR(INDEX('Équipements'!$D$5:$D$304,MATCH(D2050,'Équipements'!$A$5:$A$304,0)),""))</f>
        <v/>
      </c>
      <c r="G2050" s="9">
        <f>IF(D2050="","",IFERROR(INDEX('Équipements'!$K$5:$K$304,MATCH(D2050,'Équipements'!$A$5:$A$304,0)),""))</f>
        <v/>
      </c>
      <c r="H2050" s="7" t="n"/>
      <c r="I2050" s="7" t="n"/>
      <c r="J2050" s="7" t="n"/>
      <c r="K2050" s="7" t="n"/>
      <c r="L2050" s="7" t="n"/>
      <c r="M2050" s="7" t="n"/>
      <c r="N2050" s="7" t="n"/>
      <c r="O2050" s="7" t="n"/>
      <c r="P2050" s="65" t="n"/>
      <c r="Q2050" s="75" t="n"/>
      <c r="R2050" s="75" t="n"/>
      <c r="S2050" s="76" t="n"/>
      <c r="T2050" s="76" t="n"/>
      <c r="U2050" s="70">
        <f>IF($A2050="","",IFERROR(INDEX('Techniciens'!$F$5:$F$44,MATCH(O2050,'Techniciens'!$B$5:$B$44,0)),'Paramètres'!$AA$10))</f>
        <v/>
      </c>
      <c r="V2050" s="70">
        <f>IF($A2050="","",IF(OR(AC2050="Demandé",AC2050="Planifié",AC2050="Annulé"),0,N(T2050)*N(U2050)))</f>
        <v/>
      </c>
      <c r="W2050" s="70">
        <f>IF($A2050="","",SUMIFS('Mouvements stock'!$H$5:$H$3004,'Mouvements stock'!$I$5:$I$3004,$A2050,'Mouvements stock'!$C$5:$C$3004,"Sortie")-SUMIFS('Mouvements stock'!$H$5:$H$3004,'Mouvements stock'!$I$5:$I$3004,$A2050,'Mouvements stock'!$C$5:$C$3004,"Retour"))</f>
        <v/>
      </c>
      <c r="X2050" s="66" t="n"/>
      <c r="Y2050" s="66" t="n"/>
      <c r="Z2050" s="7" t="n"/>
      <c r="AA2050" s="70">
        <f>IF($A2050="","",N(V2050)+N(W2050)+N(X2050)+N(Y2050))</f>
        <v/>
      </c>
      <c r="AB2050" s="70">
        <f>IF($A2050="","",N(S2050)*'Paramètres'!$AA$9*IFERROR(INDEX('Paramètres'!$O$5:$O$7,MATCH(G2050,'Paramètres'!$N$5:$N$7,0)),0))</f>
        <v/>
      </c>
      <c r="AC2050" s="7" t="n"/>
      <c r="AD2050" s="69">
        <f>IF(OR($A2050="",Q2050=""),"",(Q2050-B2050)*24)</f>
        <v/>
      </c>
      <c r="AE2050" s="69">
        <f>IF(OR(Q2050="",R2050=""),"",(R2050-Q2050)*24)</f>
        <v/>
      </c>
      <c r="AF2050" s="77">
        <f>IF(OR($A2050="",B2050=""),"",YEAR(B2050))</f>
        <v/>
      </c>
      <c r="AG2050" s="77">
        <f>IF(OR($A2050="",B2050=""),"",MONTH(B2050))</f>
        <v/>
      </c>
    </row>
    <row r="2051">
      <c r="A2051" s="7" t="n"/>
      <c r="B2051" s="75" t="n"/>
      <c r="C2051" s="7" t="n"/>
      <c r="D2051" s="7" t="n"/>
      <c r="E2051" s="9">
        <f>IF(D2051="","",IFERROR(INDEX('Équipements'!$B$5:$B$304,MATCH(D2051,'Équipements'!$A$5:$A$304,0)),"Code inconnu"))</f>
        <v/>
      </c>
      <c r="F2051" s="9">
        <f>IF(D2051="","",IFERROR(INDEX('Équipements'!$D$5:$D$304,MATCH(D2051,'Équipements'!$A$5:$A$304,0)),""))</f>
        <v/>
      </c>
      <c r="G2051" s="9">
        <f>IF(D2051="","",IFERROR(INDEX('Équipements'!$K$5:$K$304,MATCH(D2051,'Équipements'!$A$5:$A$304,0)),""))</f>
        <v/>
      </c>
      <c r="H2051" s="7" t="n"/>
      <c r="I2051" s="7" t="n"/>
      <c r="J2051" s="7" t="n"/>
      <c r="K2051" s="7" t="n"/>
      <c r="L2051" s="7" t="n"/>
      <c r="M2051" s="7" t="n"/>
      <c r="N2051" s="7" t="n"/>
      <c r="O2051" s="7" t="n"/>
      <c r="P2051" s="65" t="n"/>
      <c r="Q2051" s="75" t="n"/>
      <c r="R2051" s="75" t="n"/>
      <c r="S2051" s="76" t="n"/>
      <c r="T2051" s="76" t="n"/>
      <c r="U2051" s="70">
        <f>IF($A2051="","",IFERROR(INDEX('Techniciens'!$F$5:$F$44,MATCH(O2051,'Techniciens'!$B$5:$B$44,0)),'Paramètres'!$AA$10))</f>
        <v/>
      </c>
      <c r="V2051" s="70">
        <f>IF($A2051="","",IF(OR(AC2051="Demandé",AC2051="Planifié",AC2051="Annulé"),0,N(T2051)*N(U2051)))</f>
        <v/>
      </c>
      <c r="W2051" s="70">
        <f>IF($A2051="","",SUMIFS('Mouvements stock'!$H$5:$H$3004,'Mouvements stock'!$I$5:$I$3004,$A2051,'Mouvements stock'!$C$5:$C$3004,"Sortie")-SUMIFS('Mouvements stock'!$H$5:$H$3004,'Mouvements stock'!$I$5:$I$3004,$A2051,'Mouvements stock'!$C$5:$C$3004,"Retour"))</f>
        <v/>
      </c>
      <c r="X2051" s="66" t="n"/>
      <c r="Y2051" s="66" t="n"/>
      <c r="Z2051" s="7" t="n"/>
      <c r="AA2051" s="70">
        <f>IF($A2051="","",N(V2051)+N(W2051)+N(X2051)+N(Y2051))</f>
        <v/>
      </c>
      <c r="AB2051" s="70">
        <f>IF($A2051="","",N(S2051)*'Paramètres'!$AA$9*IFERROR(INDEX('Paramètres'!$O$5:$O$7,MATCH(G2051,'Paramètres'!$N$5:$N$7,0)),0))</f>
        <v/>
      </c>
      <c r="AC2051" s="7" t="n"/>
      <c r="AD2051" s="69">
        <f>IF(OR($A2051="",Q2051=""),"",(Q2051-B2051)*24)</f>
        <v/>
      </c>
      <c r="AE2051" s="69">
        <f>IF(OR(Q2051="",R2051=""),"",(R2051-Q2051)*24)</f>
        <v/>
      </c>
      <c r="AF2051" s="77">
        <f>IF(OR($A2051="",B2051=""),"",YEAR(B2051))</f>
        <v/>
      </c>
      <c r="AG2051" s="77">
        <f>IF(OR($A2051="",B2051=""),"",MONTH(B2051))</f>
        <v/>
      </c>
    </row>
    <row r="2052">
      <c r="A2052" s="7" t="n"/>
      <c r="B2052" s="75" t="n"/>
      <c r="C2052" s="7" t="n"/>
      <c r="D2052" s="7" t="n"/>
      <c r="E2052" s="9">
        <f>IF(D2052="","",IFERROR(INDEX('Équipements'!$B$5:$B$304,MATCH(D2052,'Équipements'!$A$5:$A$304,0)),"Code inconnu"))</f>
        <v/>
      </c>
      <c r="F2052" s="9">
        <f>IF(D2052="","",IFERROR(INDEX('Équipements'!$D$5:$D$304,MATCH(D2052,'Équipements'!$A$5:$A$304,0)),""))</f>
        <v/>
      </c>
      <c r="G2052" s="9">
        <f>IF(D2052="","",IFERROR(INDEX('Équipements'!$K$5:$K$304,MATCH(D2052,'Équipements'!$A$5:$A$304,0)),""))</f>
        <v/>
      </c>
      <c r="H2052" s="7" t="n"/>
      <c r="I2052" s="7" t="n"/>
      <c r="J2052" s="7" t="n"/>
      <c r="K2052" s="7" t="n"/>
      <c r="L2052" s="7" t="n"/>
      <c r="M2052" s="7" t="n"/>
      <c r="N2052" s="7" t="n"/>
      <c r="O2052" s="7" t="n"/>
      <c r="P2052" s="65" t="n"/>
      <c r="Q2052" s="75" t="n"/>
      <c r="R2052" s="75" t="n"/>
      <c r="S2052" s="76" t="n"/>
      <c r="T2052" s="76" t="n"/>
      <c r="U2052" s="70">
        <f>IF($A2052="","",IFERROR(INDEX('Techniciens'!$F$5:$F$44,MATCH(O2052,'Techniciens'!$B$5:$B$44,0)),'Paramètres'!$AA$10))</f>
        <v/>
      </c>
      <c r="V2052" s="70">
        <f>IF($A2052="","",IF(OR(AC2052="Demandé",AC2052="Planifié",AC2052="Annulé"),0,N(T2052)*N(U2052)))</f>
        <v/>
      </c>
      <c r="W2052" s="70">
        <f>IF($A2052="","",SUMIFS('Mouvements stock'!$H$5:$H$3004,'Mouvements stock'!$I$5:$I$3004,$A2052,'Mouvements stock'!$C$5:$C$3004,"Sortie")-SUMIFS('Mouvements stock'!$H$5:$H$3004,'Mouvements stock'!$I$5:$I$3004,$A2052,'Mouvements stock'!$C$5:$C$3004,"Retour"))</f>
        <v/>
      </c>
      <c r="X2052" s="66" t="n"/>
      <c r="Y2052" s="66" t="n"/>
      <c r="Z2052" s="7" t="n"/>
      <c r="AA2052" s="70">
        <f>IF($A2052="","",N(V2052)+N(W2052)+N(X2052)+N(Y2052))</f>
        <v/>
      </c>
      <c r="AB2052" s="70">
        <f>IF($A2052="","",N(S2052)*'Paramètres'!$AA$9*IFERROR(INDEX('Paramètres'!$O$5:$O$7,MATCH(G2052,'Paramètres'!$N$5:$N$7,0)),0))</f>
        <v/>
      </c>
      <c r="AC2052" s="7" t="n"/>
      <c r="AD2052" s="69">
        <f>IF(OR($A2052="",Q2052=""),"",(Q2052-B2052)*24)</f>
        <v/>
      </c>
      <c r="AE2052" s="69">
        <f>IF(OR(Q2052="",R2052=""),"",(R2052-Q2052)*24)</f>
        <v/>
      </c>
      <c r="AF2052" s="77">
        <f>IF(OR($A2052="",B2052=""),"",YEAR(B2052))</f>
        <v/>
      </c>
      <c r="AG2052" s="77">
        <f>IF(OR($A2052="",B2052=""),"",MONTH(B2052))</f>
        <v/>
      </c>
    </row>
    <row r="2053">
      <c r="A2053" s="7" t="n"/>
      <c r="B2053" s="75" t="n"/>
      <c r="C2053" s="7" t="n"/>
      <c r="D2053" s="7" t="n"/>
      <c r="E2053" s="9">
        <f>IF(D2053="","",IFERROR(INDEX('Équipements'!$B$5:$B$304,MATCH(D2053,'Équipements'!$A$5:$A$304,0)),"Code inconnu"))</f>
        <v/>
      </c>
      <c r="F2053" s="9">
        <f>IF(D2053="","",IFERROR(INDEX('Équipements'!$D$5:$D$304,MATCH(D2053,'Équipements'!$A$5:$A$304,0)),""))</f>
        <v/>
      </c>
      <c r="G2053" s="9">
        <f>IF(D2053="","",IFERROR(INDEX('Équipements'!$K$5:$K$304,MATCH(D2053,'Équipements'!$A$5:$A$304,0)),""))</f>
        <v/>
      </c>
      <c r="H2053" s="7" t="n"/>
      <c r="I2053" s="7" t="n"/>
      <c r="J2053" s="7" t="n"/>
      <c r="K2053" s="7" t="n"/>
      <c r="L2053" s="7" t="n"/>
      <c r="M2053" s="7" t="n"/>
      <c r="N2053" s="7" t="n"/>
      <c r="O2053" s="7" t="n"/>
      <c r="P2053" s="65" t="n"/>
      <c r="Q2053" s="75" t="n"/>
      <c r="R2053" s="75" t="n"/>
      <c r="S2053" s="76" t="n"/>
      <c r="T2053" s="76" t="n"/>
      <c r="U2053" s="70">
        <f>IF($A2053="","",IFERROR(INDEX('Techniciens'!$F$5:$F$44,MATCH(O2053,'Techniciens'!$B$5:$B$44,0)),'Paramètres'!$AA$10))</f>
        <v/>
      </c>
      <c r="V2053" s="70">
        <f>IF($A2053="","",IF(OR(AC2053="Demandé",AC2053="Planifié",AC2053="Annulé"),0,N(T2053)*N(U2053)))</f>
        <v/>
      </c>
      <c r="W2053" s="70">
        <f>IF($A2053="","",SUMIFS('Mouvements stock'!$H$5:$H$3004,'Mouvements stock'!$I$5:$I$3004,$A2053,'Mouvements stock'!$C$5:$C$3004,"Sortie")-SUMIFS('Mouvements stock'!$H$5:$H$3004,'Mouvements stock'!$I$5:$I$3004,$A2053,'Mouvements stock'!$C$5:$C$3004,"Retour"))</f>
        <v/>
      </c>
      <c r="X2053" s="66" t="n"/>
      <c r="Y2053" s="66" t="n"/>
      <c r="Z2053" s="7" t="n"/>
      <c r="AA2053" s="70">
        <f>IF($A2053="","",N(V2053)+N(W2053)+N(X2053)+N(Y2053))</f>
        <v/>
      </c>
      <c r="AB2053" s="70">
        <f>IF($A2053="","",N(S2053)*'Paramètres'!$AA$9*IFERROR(INDEX('Paramètres'!$O$5:$O$7,MATCH(G2053,'Paramètres'!$N$5:$N$7,0)),0))</f>
        <v/>
      </c>
      <c r="AC2053" s="7" t="n"/>
      <c r="AD2053" s="69">
        <f>IF(OR($A2053="",Q2053=""),"",(Q2053-B2053)*24)</f>
        <v/>
      </c>
      <c r="AE2053" s="69">
        <f>IF(OR(Q2053="",R2053=""),"",(R2053-Q2053)*24)</f>
        <v/>
      </c>
      <c r="AF2053" s="77">
        <f>IF(OR($A2053="",B2053=""),"",YEAR(B2053))</f>
        <v/>
      </c>
      <c r="AG2053" s="77">
        <f>IF(OR($A2053="",B2053=""),"",MONTH(B2053))</f>
        <v/>
      </c>
    </row>
    <row r="2054">
      <c r="A2054" s="7" t="n"/>
      <c r="B2054" s="75" t="n"/>
      <c r="C2054" s="7" t="n"/>
      <c r="D2054" s="7" t="n"/>
      <c r="E2054" s="9">
        <f>IF(D2054="","",IFERROR(INDEX('Équipements'!$B$5:$B$304,MATCH(D2054,'Équipements'!$A$5:$A$304,0)),"Code inconnu"))</f>
        <v/>
      </c>
      <c r="F2054" s="9">
        <f>IF(D2054="","",IFERROR(INDEX('Équipements'!$D$5:$D$304,MATCH(D2054,'Équipements'!$A$5:$A$304,0)),""))</f>
        <v/>
      </c>
      <c r="G2054" s="9">
        <f>IF(D2054="","",IFERROR(INDEX('Équipements'!$K$5:$K$304,MATCH(D2054,'Équipements'!$A$5:$A$304,0)),""))</f>
        <v/>
      </c>
      <c r="H2054" s="7" t="n"/>
      <c r="I2054" s="7" t="n"/>
      <c r="J2054" s="7" t="n"/>
      <c r="K2054" s="7" t="n"/>
      <c r="L2054" s="7" t="n"/>
      <c r="M2054" s="7" t="n"/>
      <c r="N2054" s="7" t="n"/>
      <c r="O2054" s="7" t="n"/>
      <c r="P2054" s="65" t="n"/>
      <c r="Q2054" s="75" t="n"/>
      <c r="R2054" s="75" t="n"/>
      <c r="S2054" s="76" t="n"/>
      <c r="T2054" s="76" t="n"/>
      <c r="U2054" s="70">
        <f>IF($A2054="","",IFERROR(INDEX('Techniciens'!$F$5:$F$44,MATCH(O2054,'Techniciens'!$B$5:$B$44,0)),'Paramètres'!$AA$10))</f>
        <v/>
      </c>
      <c r="V2054" s="70">
        <f>IF($A2054="","",IF(OR(AC2054="Demandé",AC2054="Planifié",AC2054="Annulé"),0,N(T2054)*N(U2054)))</f>
        <v/>
      </c>
      <c r="W2054" s="70">
        <f>IF($A2054="","",SUMIFS('Mouvements stock'!$H$5:$H$3004,'Mouvements stock'!$I$5:$I$3004,$A2054,'Mouvements stock'!$C$5:$C$3004,"Sortie")-SUMIFS('Mouvements stock'!$H$5:$H$3004,'Mouvements stock'!$I$5:$I$3004,$A2054,'Mouvements stock'!$C$5:$C$3004,"Retour"))</f>
        <v/>
      </c>
      <c r="X2054" s="66" t="n"/>
      <c r="Y2054" s="66" t="n"/>
      <c r="Z2054" s="7" t="n"/>
      <c r="AA2054" s="70">
        <f>IF($A2054="","",N(V2054)+N(W2054)+N(X2054)+N(Y2054))</f>
        <v/>
      </c>
      <c r="AB2054" s="70">
        <f>IF($A2054="","",N(S2054)*'Paramètres'!$AA$9*IFERROR(INDEX('Paramètres'!$O$5:$O$7,MATCH(G2054,'Paramètres'!$N$5:$N$7,0)),0))</f>
        <v/>
      </c>
      <c r="AC2054" s="7" t="n"/>
      <c r="AD2054" s="69">
        <f>IF(OR($A2054="",Q2054=""),"",(Q2054-B2054)*24)</f>
        <v/>
      </c>
      <c r="AE2054" s="69">
        <f>IF(OR(Q2054="",R2054=""),"",(R2054-Q2054)*24)</f>
        <v/>
      </c>
      <c r="AF2054" s="77">
        <f>IF(OR($A2054="",B2054=""),"",YEAR(B2054))</f>
        <v/>
      </c>
      <c r="AG2054" s="77">
        <f>IF(OR($A2054="",B2054=""),"",MONTH(B2054))</f>
        <v/>
      </c>
    </row>
    <row r="2055">
      <c r="A2055" s="7" t="n"/>
      <c r="B2055" s="75" t="n"/>
      <c r="C2055" s="7" t="n"/>
      <c r="D2055" s="7" t="n"/>
      <c r="E2055" s="9">
        <f>IF(D2055="","",IFERROR(INDEX('Équipements'!$B$5:$B$304,MATCH(D2055,'Équipements'!$A$5:$A$304,0)),"Code inconnu"))</f>
        <v/>
      </c>
      <c r="F2055" s="9">
        <f>IF(D2055="","",IFERROR(INDEX('Équipements'!$D$5:$D$304,MATCH(D2055,'Équipements'!$A$5:$A$304,0)),""))</f>
        <v/>
      </c>
      <c r="G2055" s="9">
        <f>IF(D2055="","",IFERROR(INDEX('Équipements'!$K$5:$K$304,MATCH(D2055,'Équipements'!$A$5:$A$304,0)),""))</f>
        <v/>
      </c>
      <c r="H2055" s="7" t="n"/>
      <c r="I2055" s="7" t="n"/>
      <c r="J2055" s="7" t="n"/>
      <c r="K2055" s="7" t="n"/>
      <c r="L2055" s="7" t="n"/>
      <c r="M2055" s="7" t="n"/>
      <c r="N2055" s="7" t="n"/>
      <c r="O2055" s="7" t="n"/>
      <c r="P2055" s="65" t="n"/>
      <c r="Q2055" s="75" t="n"/>
      <c r="R2055" s="75" t="n"/>
      <c r="S2055" s="76" t="n"/>
      <c r="T2055" s="76" t="n"/>
      <c r="U2055" s="70">
        <f>IF($A2055="","",IFERROR(INDEX('Techniciens'!$F$5:$F$44,MATCH(O2055,'Techniciens'!$B$5:$B$44,0)),'Paramètres'!$AA$10))</f>
        <v/>
      </c>
      <c r="V2055" s="70">
        <f>IF($A2055="","",IF(OR(AC2055="Demandé",AC2055="Planifié",AC2055="Annulé"),0,N(T2055)*N(U2055)))</f>
        <v/>
      </c>
      <c r="W2055" s="70">
        <f>IF($A2055="","",SUMIFS('Mouvements stock'!$H$5:$H$3004,'Mouvements stock'!$I$5:$I$3004,$A2055,'Mouvements stock'!$C$5:$C$3004,"Sortie")-SUMIFS('Mouvements stock'!$H$5:$H$3004,'Mouvements stock'!$I$5:$I$3004,$A2055,'Mouvements stock'!$C$5:$C$3004,"Retour"))</f>
        <v/>
      </c>
      <c r="X2055" s="66" t="n"/>
      <c r="Y2055" s="66" t="n"/>
      <c r="Z2055" s="7" t="n"/>
      <c r="AA2055" s="70">
        <f>IF($A2055="","",N(V2055)+N(W2055)+N(X2055)+N(Y2055))</f>
        <v/>
      </c>
      <c r="AB2055" s="70">
        <f>IF($A2055="","",N(S2055)*'Paramètres'!$AA$9*IFERROR(INDEX('Paramètres'!$O$5:$O$7,MATCH(G2055,'Paramètres'!$N$5:$N$7,0)),0))</f>
        <v/>
      </c>
      <c r="AC2055" s="7" t="n"/>
      <c r="AD2055" s="69">
        <f>IF(OR($A2055="",Q2055=""),"",(Q2055-B2055)*24)</f>
        <v/>
      </c>
      <c r="AE2055" s="69">
        <f>IF(OR(Q2055="",R2055=""),"",(R2055-Q2055)*24)</f>
        <v/>
      </c>
      <c r="AF2055" s="77">
        <f>IF(OR($A2055="",B2055=""),"",YEAR(B2055))</f>
        <v/>
      </c>
      <c r="AG2055" s="77">
        <f>IF(OR($A2055="",B2055=""),"",MONTH(B2055))</f>
        <v/>
      </c>
    </row>
    <row r="2056">
      <c r="A2056" s="7" t="n"/>
      <c r="B2056" s="75" t="n"/>
      <c r="C2056" s="7" t="n"/>
      <c r="D2056" s="7" t="n"/>
      <c r="E2056" s="9">
        <f>IF(D2056="","",IFERROR(INDEX('Équipements'!$B$5:$B$304,MATCH(D2056,'Équipements'!$A$5:$A$304,0)),"Code inconnu"))</f>
        <v/>
      </c>
      <c r="F2056" s="9">
        <f>IF(D2056="","",IFERROR(INDEX('Équipements'!$D$5:$D$304,MATCH(D2056,'Équipements'!$A$5:$A$304,0)),""))</f>
        <v/>
      </c>
      <c r="G2056" s="9">
        <f>IF(D2056="","",IFERROR(INDEX('Équipements'!$K$5:$K$304,MATCH(D2056,'Équipements'!$A$5:$A$304,0)),""))</f>
        <v/>
      </c>
      <c r="H2056" s="7" t="n"/>
      <c r="I2056" s="7" t="n"/>
      <c r="J2056" s="7" t="n"/>
      <c r="K2056" s="7" t="n"/>
      <c r="L2056" s="7" t="n"/>
      <c r="M2056" s="7" t="n"/>
      <c r="N2056" s="7" t="n"/>
      <c r="O2056" s="7" t="n"/>
      <c r="P2056" s="65" t="n"/>
      <c r="Q2056" s="75" t="n"/>
      <c r="R2056" s="75" t="n"/>
      <c r="S2056" s="76" t="n"/>
      <c r="T2056" s="76" t="n"/>
      <c r="U2056" s="70">
        <f>IF($A2056="","",IFERROR(INDEX('Techniciens'!$F$5:$F$44,MATCH(O2056,'Techniciens'!$B$5:$B$44,0)),'Paramètres'!$AA$10))</f>
        <v/>
      </c>
      <c r="V2056" s="70">
        <f>IF($A2056="","",IF(OR(AC2056="Demandé",AC2056="Planifié",AC2056="Annulé"),0,N(T2056)*N(U2056)))</f>
        <v/>
      </c>
      <c r="W2056" s="70">
        <f>IF($A2056="","",SUMIFS('Mouvements stock'!$H$5:$H$3004,'Mouvements stock'!$I$5:$I$3004,$A2056,'Mouvements stock'!$C$5:$C$3004,"Sortie")-SUMIFS('Mouvements stock'!$H$5:$H$3004,'Mouvements stock'!$I$5:$I$3004,$A2056,'Mouvements stock'!$C$5:$C$3004,"Retour"))</f>
        <v/>
      </c>
      <c r="X2056" s="66" t="n"/>
      <c r="Y2056" s="66" t="n"/>
      <c r="Z2056" s="7" t="n"/>
      <c r="AA2056" s="70">
        <f>IF($A2056="","",N(V2056)+N(W2056)+N(X2056)+N(Y2056))</f>
        <v/>
      </c>
      <c r="AB2056" s="70">
        <f>IF($A2056="","",N(S2056)*'Paramètres'!$AA$9*IFERROR(INDEX('Paramètres'!$O$5:$O$7,MATCH(G2056,'Paramètres'!$N$5:$N$7,0)),0))</f>
        <v/>
      </c>
      <c r="AC2056" s="7" t="n"/>
      <c r="AD2056" s="69">
        <f>IF(OR($A2056="",Q2056=""),"",(Q2056-B2056)*24)</f>
        <v/>
      </c>
      <c r="AE2056" s="69">
        <f>IF(OR(Q2056="",R2056=""),"",(R2056-Q2056)*24)</f>
        <v/>
      </c>
      <c r="AF2056" s="77">
        <f>IF(OR($A2056="",B2056=""),"",YEAR(B2056))</f>
        <v/>
      </c>
      <c r="AG2056" s="77">
        <f>IF(OR($A2056="",B2056=""),"",MONTH(B2056))</f>
        <v/>
      </c>
    </row>
    <row r="2057">
      <c r="A2057" s="7" t="n"/>
      <c r="B2057" s="75" t="n"/>
      <c r="C2057" s="7" t="n"/>
      <c r="D2057" s="7" t="n"/>
      <c r="E2057" s="9">
        <f>IF(D2057="","",IFERROR(INDEX('Équipements'!$B$5:$B$304,MATCH(D2057,'Équipements'!$A$5:$A$304,0)),"Code inconnu"))</f>
        <v/>
      </c>
      <c r="F2057" s="9">
        <f>IF(D2057="","",IFERROR(INDEX('Équipements'!$D$5:$D$304,MATCH(D2057,'Équipements'!$A$5:$A$304,0)),""))</f>
        <v/>
      </c>
      <c r="G2057" s="9">
        <f>IF(D2057="","",IFERROR(INDEX('Équipements'!$K$5:$K$304,MATCH(D2057,'Équipements'!$A$5:$A$304,0)),""))</f>
        <v/>
      </c>
      <c r="H2057" s="7" t="n"/>
      <c r="I2057" s="7" t="n"/>
      <c r="J2057" s="7" t="n"/>
      <c r="K2057" s="7" t="n"/>
      <c r="L2057" s="7" t="n"/>
      <c r="M2057" s="7" t="n"/>
      <c r="N2057" s="7" t="n"/>
      <c r="O2057" s="7" t="n"/>
      <c r="P2057" s="65" t="n"/>
      <c r="Q2057" s="75" t="n"/>
      <c r="R2057" s="75" t="n"/>
      <c r="S2057" s="76" t="n"/>
      <c r="T2057" s="76" t="n"/>
      <c r="U2057" s="70">
        <f>IF($A2057="","",IFERROR(INDEX('Techniciens'!$F$5:$F$44,MATCH(O2057,'Techniciens'!$B$5:$B$44,0)),'Paramètres'!$AA$10))</f>
        <v/>
      </c>
      <c r="V2057" s="70">
        <f>IF($A2057="","",IF(OR(AC2057="Demandé",AC2057="Planifié",AC2057="Annulé"),0,N(T2057)*N(U2057)))</f>
        <v/>
      </c>
      <c r="W2057" s="70">
        <f>IF($A2057="","",SUMIFS('Mouvements stock'!$H$5:$H$3004,'Mouvements stock'!$I$5:$I$3004,$A2057,'Mouvements stock'!$C$5:$C$3004,"Sortie")-SUMIFS('Mouvements stock'!$H$5:$H$3004,'Mouvements stock'!$I$5:$I$3004,$A2057,'Mouvements stock'!$C$5:$C$3004,"Retour"))</f>
        <v/>
      </c>
      <c r="X2057" s="66" t="n"/>
      <c r="Y2057" s="66" t="n"/>
      <c r="Z2057" s="7" t="n"/>
      <c r="AA2057" s="70">
        <f>IF($A2057="","",N(V2057)+N(W2057)+N(X2057)+N(Y2057))</f>
        <v/>
      </c>
      <c r="AB2057" s="70">
        <f>IF($A2057="","",N(S2057)*'Paramètres'!$AA$9*IFERROR(INDEX('Paramètres'!$O$5:$O$7,MATCH(G2057,'Paramètres'!$N$5:$N$7,0)),0))</f>
        <v/>
      </c>
      <c r="AC2057" s="7" t="n"/>
      <c r="AD2057" s="69">
        <f>IF(OR($A2057="",Q2057=""),"",(Q2057-B2057)*24)</f>
        <v/>
      </c>
      <c r="AE2057" s="69">
        <f>IF(OR(Q2057="",R2057=""),"",(R2057-Q2057)*24)</f>
        <v/>
      </c>
      <c r="AF2057" s="77">
        <f>IF(OR($A2057="",B2057=""),"",YEAR(B2057))</f>
        <v/>
      </c>
      <c r="AG2057" s="77">
        <f>IF(OR($A2057="",B2057=""),"",MONTH(B2057))</f>
        <v/>
      </c>
    </row>
    <row r="2058">
      <c r="A2058" s="7" t="n"/>
      <c r="B2058" s="75" t="n"/>
      <c r="C2058" s="7" t="n"/>
      <c r="D2058" s="7" t="n"/>
      <c r="E2058" s="9">
        <f>IF(D2058="","",IFERROR(INDEX('Équipements'!$B$5:$B$304,MATCH(D2058,'Équipements'!$A$5:$A$304,0)),"Code inconnu"))</f>
        <v/>
      </c>
      <c r="F2058" s="9">
        <f>IF(D2058="","",IFERROR(INDEX('Équipements'!$D$5:$D$304,MATCH(D2058,'Équipements'!$A$5:$A$304,0)),""))</f>
        <v/>
      </c>
      <c r="G2058" s="9">
        <f>IF(D2058="","",IFERROR(INDEX('Équipements'!$K$5:$K$304,MATCH(D2058,'Équipements'!$A$5:$A$304,0)),""))</f>
        <v/>
      </c>
      <c r="H2058" s="7" t="n"/>
      <c r="I2058" s="7" t="n"/>
      <c r="J2058" s="7" t="n"/>
      <c r="K2058" s="7" t="n"/>
      <c r="L2058" s="7" t="n"/>
      <c r="M2058" s="7" t="n"/>
      <c r="N2058" s="7" t="n"/>
      <c r="O2058" s="7" t="n"/>
      <c r="P2058" s="65" t="n"/>
      <c r="Q2058" s="75" t="n"/>
      <c r="R2058" s="75" t="n"/>
      <c r="S2058" s="76" t="n"/>
      <c r="T2058" s="76" t="n"/>
      <c r="U2058" s="70">
        <f>IF($A2058="","",IFERROR(INDEX('Techniciens'!$F$5:$F$44,MATCH(O2058,'Techniciens'!$B$5:$B$44,0)),'Paramètres'!$AA$10))</f>
        <v/>
      </c>
      <c r="V2058" s="70">
        <f>IF($A2058="","",IF(OR(AC2058="Demandé",AC2058="Planifié",AC2058="Annulé"),0,N(T2058)*N(U2058)))</f>
        <v/>
      </c>
      <c r="W2058" s="70">
        <f>IF($A2058="","",SUMIFS('Mouvements stock'!$H$5:$H$3004,'Mouvements stock'!$I$5:$I$3004,$A2058,'Mouvements stock'!$C$5:$C$3004,"Sortie")-SUMIFS('Mouvements stock'!$H$5:$H$3004,'Mouvements stock'!$I$5:$I$3004,$A2058,'Mouvements stock'!$C$5:$C$3004,"Retour"))</f>
        <v/>
      </c>
      <c r="X2058" s="66" t="n"/>
      <c r="Y2058" s="66" t="n"/>
      <c r="Z2058" s="7" t="n"/>
      <c r="AA2058" s="70">
        <f>IF($A2058="","",N(V2058)+N(W2058)+N(X2058)+N(Y2058))</f>
        <v/>
      </c>
      <c r="AB2058" s="70">
        <f>IF($A2058="","",N(S2058)*'Paramètres'!$AA$9*IFERROR(INDEX('Paramètres'!$O$5:$O$7,MATCH(G2058,'Paramètres'!$N$5:$N$7,0)),0))</f>
        <v/>
      </c>
      <c r="AC2058" s="7" t="n"/>
      <c r="AD2058" s="69">
        <f>IF(OR($A2058="",Q2058=""),"",(Q2058-B2058)*24)</f>
        <v/>
      </c>
      <c r="AE2058" s="69">
        <f>IF(OR(Q2058="",R2058=""),"",(R2058-Q2058)*24)</f>
        <v/>
      </c>
      <c r="AF2058" s="77">
        <f>IF(OR($A2058="",B2058=""),"",YEAR(B2058))</f>
        <v/>
      </c>
      <c r="AG2058" s="77">
        <f>IF(OR($A2058="",B2058=""),"",MONTH(B2058))</f>
        <v/>
      </c>
    </row>
    <row r="2059">
      <c r="A2059" s="7" t="n"/>
      <c r="B2059" s="75" t="n"/>
      <c r="C2059" s="7" t="n"/>
      <c r="D2059" s="7" t="n"/>
      <c r="E2059" s="9">
        <f>IF(D2059="","",IFERROR(INDEX('Équipements'!$B$5:$B$304,MATCH(D2059,'Équipements'!$A$5:$A$304,0)),"Code inconnu"))</f>
        <v/>
      </c>
      <c r="F2059" s="9">
        <f>IF(D2059="","",IFERROR(INDEX('Équipements'!$D$5:$D$304,MATCH(D2059,'Équipements'!$A$5:$A$304,0)),""))</f>
        <v/>
      </c>
      <c r="G2059" s="9">
        <f>IF(D2059="","",IFERROR(INDEX('Équipements'!$K$5:$K$304,MATCH(D2059,'Équipements'!$A$5:$A$304,0)),""))</f>
        <v/>
      </c>
      <c r="H2059" s="7" t="n"/>
      <c r="I2059" s="7" t="n"/>
      <c r="J2059" s="7" t="n"/>
      <c r="K2059" s="7" t="n"/>
      <c r="L2059" s="7" t="n"/>
      <c r="M2059" s="7" t="n"/>
      <c r="N2059" s="7" t="n"/>
      <c r="O2059" s="7" t="n"/>
      <c r="P2059" s="65" t="n"/>
      <c r="Q2059" s="75" t="n"/>
      <c r="R2059" s="75" t="n"/>
      <c r="S2059" s="76" t="n"/>
      <c r="T2059" s="76" t="n"/>
      <c r="U2059" s="70">
        <f>IF($A2059="","",IFERROR(INDEX('Techniciens'!$F$5:$F$44,MATCH(O2059,'Techniciens'!$B$5:$B$44,0)),'Paramètres'!$AA$10))</f>
        <v/>
      </c>
      <c r="V2059" s="70">
        <f>IF($A2059="","",IF(OR(AC2059="Demandé",AC2059="Planifié",AC2059="Annulé"),0,N(T2059)*N(U2059)))</f>
        <v/>
      </c>
      <c r="W2059" s="70">
        <f>IF($A2059="","",SUMIFS('Mouvements stock'!$H$5:$H$3004,'Mouvements stock'!$I$5:$I$3004,$A2059,'Mouvements stock'!$C$5:$C$3004,"Sortie")-SUMIFS('Mouvements stock'!$H$5:$H$3004,'Mouvements stock'!$I$5:$I$3004,$A2059,'Mouvements stock'!$C$5:$C$3004,"Retour"))</f>
        <v/>
      </c>
      <c r="X2059" s="66" t="n"/>
      <c r="Y2059" s="66" t="n"/>
      <c r="Z2059" s="7" t="n"/>
      <c r="AA2059" s="70">
        <f>IF($A2059="","",N(V2059)+N(W2059)+N(X2059)+N(Y2059))</f>
        <v/>
      </c>
      <c r="AB2059" s="70">
        <f>IF($A2059="","",N(S2059)*'Paramètres'!$AA$9*IFERROR(INDEX('Paramètres'!$O$5:$O$7,MATCH(G2059,'Paramètres'!$N$5:$N$7,0)),0))</f>
        <v/>
      </c>
      <c r="AC2059" s="7" t="n"/>
      <c r="AD2059" s="69">
        <f>IF(OR($A2059="",Q2059=""),"",(Q2059-B2059)*24)</f>
        <v/>
      </c>
      <c r="AE2059" s="69">
        <f>IF(OR(Q2059="",R2059=""),"",(R2059-Q2059)*24)</f>
        <v/>
      </c>
      <c r="AF2059" s="77">
        <f>IF(OR($A2059="",B2059=""),"",YEAR(B2059))</f>
        <v/>
      </c>
      <c r="AG2059" s="77">
        <f>IF(OR($A2059="",B2059=""),"",MONTH(B2059))</f>
        <v/>
      </c>
    </row>
    <row r="2060">
      <c r="A2060" s="7" t="n"/>
      <c r="B2060" s="75" t="n"/>
      <c r="C2060" s="7" t="n"/>
      <c r="D2060" s="7" t="n"/>
      <c r="E2060" s="9">
        <f>IF(D2060="","",IFERROR(INDEX('Équipements'!$B$5:$B$304,MATCH(D2060,'Équipements'!$A$5:$A$304,0)),"Code inconnu"))</f>
        <v/>
      </c>
      <c r="F2060" s="9">
        <f>IF(D2060="","",IFERROR(INDEX('Équipements'!$D$5:$D$304,MATCH(D2060,'Équipements'!$A$5:$A$304,0)),""))</f>
        <v/>
      </c>
      <c r="G2060" s="9">
        <f>IF(D2060="","",IFERROR(INDEX('Équipements'!$K$5:$K$304,MATCH(D2060,'Équipements'!$A$5:$A$304,0)),""))</f>
        <v/>
      </c>
      <c r="H2060" s="7" t="n"/>
      <c r="I2060" s="7" t="n"/>
      <c r="J2060" s="7" t="n"/>
      <c r="K2060" s="7" t="n"/>
      <c r="L2060" s="7" t="n"/>
      <c r="M2060" s="7" t="n"/>
      <c r="N2060" s="7" t="n"/>
      <c r="O2060" s="7" t="n"/>
      <c r="P2060" s="65" t="n"/>
      <c r="Q2060" s="75" t="n"/>
      <c r="R2060" s="75" t="n"/>
      <c r="S2060" s="76" t="n"/>
      <c r="T2060" s="76" t="n"/>
      <c r="U2060" s="70">
        <f>IF($A2060="","",IFERROR(INDEX('Techniciens'!$F$5:$F$44,MATCH(O2060,'Techniciens'!$B$5:$B$44,0)),'Paramètres'!$AA$10))</f>
        <v/>
      </c>
      <c r="V2060" s="70">
        <f>IF($A2060="","",IF(OR(AC2060="Demandé",AC2060="Planifié",AC2060="Annulé"),0,N(T2060)*N(U2060)))</f>
        <v/>
      </c>
      <c r="W2060" s="70">
        <f>IF($A2060="","",SUMIFS('Mouvements stock'!$H$5:$H$3004,'Mouvements stock'!$I$5:$I$3004,$A2060,'Mouvements stock'!$C$5:$C$3004,"Sortie")-SUMIFS('Mouvements stock'!$H$5:$H$3004,'Mouvements stock'!$I$5:$I$3004,$A2060,'Mouvements stock'!$C$5:$C$3004,"Retour"))</f>
        <v/>
      </c>
      <c r="X2060" s="66" t="n"/>
      <c r="Y2060" s="66" t="n"/>
      <c r="Z2060" s="7" t="n"/>
      <c r="AA2060" s="70">
        <f>IF($A2060="","",N(V2060)+N(W2060)+N(X2060)+N(Y2060))</f>
        <v/>
      </c>
      <c r="AB2060" s="70">
        <f>IF($A2060="","",N(S2060)*'Paramètres'!$AA$9*IFERROR(INDEX('Paramètres'!$O$5:$O$7,MATCH(G2060,'Paramètres'!$N$5:$N$7,0)),0))</f>
        <v/>
      </c>
      <c r="AC2060" s="7" t="n"/>
      <c r="AD2060" s="69">
        <f>IF(OR($A2060="",Q2060=""),"",(Q2060-B2060)*24)</f>
        <v/>
      </c>
      <c r="AE2060" s="69">
        <f>IF(OR(Q2060="",R2060=""),"",(R2060-Q2060)*24)</f>
        <v/>
      </c>
      <c r="AF2060" s="77">
        <f>IF(OR($A2060="",B2060=""),"",YEAR(B2060))</f>
        <v/>
      </c>
      <c r="AG2060" s="77">
        <f>IF(OR($A2060="",B2060=""),"",MONTH(B2060))</f>
        <v/>
      </c>
    </row>
    <row r="2061">
      <c r="A2061" s="7" t="n"/>
      <c r="B2061" s="75" t="n"/>
      <c r="C2061" s="7" t="n"/>
      <c r="D2061" s="7" t="n"/>
      <c r="E2061" s="9">
        <f>IF(D2061="","",IFERROR(INDEX('Équipements'!$B$5:$B$304,MATCH(D2061,'Équipements'!$A$5:$A$304,0)),"Code inconnu"))</f>
        <v/>
      </c>
      <c r="F2061" s="9">
        <f>IF(D2061="","",IFERROR(INDEX('Équipements'!$D$5:$D$304,MATCH(D2061,'Équipements'!$A$5:$A$304,0)),""))</f>
        <v/>
      </c>
      <c r="G2061" s="9">
        <f>IF(D2061="","",IFERROR(INDEX('Équipements'!$K$5:$K$304,MATCH(D2061,'Équipements'!$A$5:$A$304,0)),""))</f>
        <v/>
      </c>
      <c r="H2061" s="7" t="n"/>
      <c r="I2061" s="7" t="n"/>
      <c r="J2061" s="7" t="n"/>
      <c r="K2061" s="7" t="n"/>
      <c r="L2061" s="7" t="n"/>
      <c r="M2061" s="7" t="n"/>
      <c r="N2061" s="7" t="n"/>
      <c r="O2061" s="7" t="n"/>
      <c r="P2061" s="65" t="n"/>
      <c r="Q2061" s="75" t="n"/>
      <c r="R2061" s="75" t="n"/>
      <c r="S2061" s="76" t="n"/>
      <c r="T2061" s="76" t="n"/>
      <c r="U2061" s="70">
        <f>IF($A2061="","",IFERROR(INDEX('Techniciens'!$F$5:$F$44,MATCH(O2061,'Techniciens'!$B$5:$B$44,0)),'Paramètres'!$AA$10))</f>
        <v/>
      </c>
      <c r="V2061" s="70">
        <f>IF($A2061="","",IF(OR(AC2061="Demandé",AC2061="Planifié",AC2061="Annulé"),0,N(T2061)*N(U2061)))</f>
        <v/>
      </c>
      <c r="W2061" s="70">
        <f>IF($A2061="","",SUMIFS('Mouvements stock'!$H$5:$H$3004,'Mouvements stock'!$I$5:$I$3004,$A2061,'Mouvements stock'!$C$5:$C$3004,"Sortie")-SUMIFS('Mouvements stock'!$H$5:$H$3004,'Mouvements stock'!$I$5:$I$3004,$A2061,'Mouvements stock'!$C$5:$C$3004,"Retour"))</f>
        <v/>
      </c>
      <c r="X2061" s="66" t="n"/>
      <c r="Y2061" s="66" t="n"/>
      <c r="Z2061" s="7" t="n"/>
      <c r="AA2061" s="70">
        <f>IF($A2061="","",N(V2061)+N(W2061)+N(X2061)+N(Y2061))</f>
        <v/>
      </c>
      <c r="AB2061" s="70">
        <f>IF($A2061="","",N(S2061)*'Paramètres'!$AA$9*IFERROR(INDEX('Paramètres'!$O$5:$O$7,MATCH(G2061,'Paramètres'!$N$5:$N$7,0)),0))</f>
        <v/>
      </c>
      <c r="AC2061" s="7" t="n"/>
      <c r="AD2061" s="69">
        <f>IF(OR($A2061="",Q2061=""),"",(Q2061-B2061)*24)</f>
        <v/>
      </c>
      <c r="AE2061" s="69">
        <f>IF(OR(Q2061="",R2061=""),"",(R2061-Q2061)*24)</f>
        <v/>
      </c>
      <c r="AF2061" s="77">
        <f>IF(OR($A2061="",B2061=""),"",YEAR(B2061))</f>
        <v/>
      </c>
      <c r="AG2061" s="77">
        <f>IF(OR($A2061="",B2061=""),"",MONTH(B2061))</f>
        <v/>
      </c>
    </row>
    <row r="2062">
      <c r="A2062" s="7" t="n"/>
      <c r="B2062" s="75" t="n"/>
      <c r="C2062" s="7" t="n"/>
      <c r="D2062" s="7" t="n"/>
      <c r="E2062" s="9">
        <f>IF(D2062="","",IFERROR(INDEX('Équipements'!$B$5:$B$304,MATCH(D2062,'Équipements'!$A$5:$A$304,0)),"Code inconnu"))</f>
        <v/>
      </c>
      <c r="F2062" s="9">
        <f>IF(D2062="","",IFERROR(INDEX('Équipements'!$D$5:$D$304,MATCH(D2062,'Équipements'!$A$5:$A$304,0)),""))</f>
        <v/>
      </c>
      <c r="G2062" s="9">
        <f>IF(D2062="","",IFERROR(INDEX('Équipements'!$K$5:$K$304,MATCH(D2062,'Équipements'!$A$5:$A$304,0)),""))</f>
        <v/>
      </c>
      <c r="H2062" s="7" t="n"/>
      <c r="I2062" s="7" t="n"/>
      <c r="J2062" s="7" t="n"/>
      <c r="K2062" s="7" t="n"/>
      <c r="L2062" s="7" t="n"/>
      <c r="M2062" s="7" t="n"/>
      <c r="N2062" s="7" t="n"/>
      <c r="O2062" s="7" t="n"/>
      <c r="P2062" s="65" t="n"/>
      <c r="Q2062" s="75" t="n"/>
      <c r="R2062" s="75" t="n"/>
      <c r="S2062" s="76" t="n"/>
      <c r="T2062" s="76" t="n"/>
      <c r="U2062" s="70">
        <f>IF($A2062="","",IFERROR(INDEX('Techniciens'!$F$5:$F$44,MATCH(O2062,'Techniciens'!$B$5:$B$44,0)),'Paramètres'!$AA$10))</f>
        <v/>
      </c>
      <c r="V2062" s="70">
        <f>IF($A2062="","",IF(OR(AC2062="Demandé",AC2062="Planifié",AC2062="Annulé"),0,N(T2062)*N(U2062)))</f>
        <v/>
      </c>
      <c r="W2062" s="70">
        <f>IF($A2062="","",SUMIFS('Mouvements stock'!$H$5:$H$3004,'Mouvements stock'!$I$5:$I$3004,$A2062,'Mouvements stock'!$C$5:$C$3004,"Sortie")-SUMIFS('Mouvements stock'!$H$5:$H$3004,'Mouvements stock'!$I$5:$I$3004,$A2062,'Mouvements stock'!$C$5:$C$3004,"Retour"))</f>
        <v/>
      </c>
      <c r="X2062" s="66" t="n"/>
      <c r="Y2062" s="66" t="n"/>
      <c r="Z2062" s="7" t="n"/>
      <c r="AA2062" s="70">
        <f>IF($A2062="","",N(V2062)+N(W2062)+N(X2062)+N(Y2062))</f>
        <v/>
      </c>
      <c r="AB2062" s="70">
        <f>IF($A2062="","",N(S2062)*'Paramètres'!$AA$9*IFERROR(INDEX('Paramètres'!$O$5:$O$7,MATCH(G2062,'Paramètres'!$N$5:$N$7,0)),0))</f>
        <v/>
      </c>
      <c r="AC2062" s="7" t="n"/>
      <c r="AD2062" s="69">
        <f>IF(OR($A2062="",Q2062=""),"",(Q2062-B2062)*24)</f>
        <v/>
      </c>
      <c r="AE2062" s="69">
        <f>IF(OR(Q2062="",R2062=""),"",(R2062-Q2062)*24)</f>
        <v/>
      </c>
      <c r="AF2062" s="77">
        <f>IF(OR($A2062="",B2062=""),"",YEAR(B2062))</f>
        <v/>
      </c>
      <c r="AG2062" s="77">
        <f>IF(OR($A2062="",B2062=""),"",MONTH(B2062))</f>
        <v/>
      </c>
    </row>
    <row r="2063">
      <c r="A2063" s="7" t="n"/>
      <c r="B2063" s="75" t="n"/>
      <c r="C2063" s="7" t="n"/>
      <c r="D2063" s="7" t="n"/>
      <c r="E2063" s="9">
        <f>IF(D2063="","",IFERROR(INDEX('Équipements'!$B$5:$B$304,MATCH(D2063,'Équipements'!$A$5:$A$304,0)),"Code inconnu"))</f>
        <v/>
      </c>
      <c r="F2063" s="9">
        <f>IF(D2063="","",IFERROR(INDEX('Équipements'!$D$5:$D$304,MATCH(D2063,'Équipements'!$A$5:$A$304,0)),""))</f>
        <v/>
      </c>
      <c r="G2063" s="9">
        <f>IF(D2063="","",IFERROR(INDEX('Équipements'!$K$5:$K$304,MATCH(D2063,'Équipements'!$A$5:$A$304,0)),""))</f>
        <v/>
      </c>
      <c r="H2063" s="7" t="n"/>
      <c r="I2063" s="7" t="n"/>
      <c r="J2063" s="7" t="n"/>
      <c r="K2063" s="7" t="n"/>
      <c r="L2063" s="7" t="n"/>
      <c r="M2063" s="7" t="n"/>
      <c r="N2063" s="7" t="n"/>
      <c r="O2063" s="7" t="n"/>
      <c r="P2063" s="65" t="n"/>
      <c r="Q2063" s="75" t="n"/>
      <c r="R2063" s="75" t="n"/>
      <c r="S2063" s="76" t="n"/>
      <c r="T2063" s="76" t="n"/>
      <c r="U2063" s="70">
        <f>IF($A2063="","",IFERROR(INDEX('Techniciens'!$F$5:$F$44,MATCH(O2063,'Techniciens'!$B$5:$B$44,0)),'Paramètres'!$AA$10))</f>
        <v/>
      </c>
      <c r="V2063" s="70">
        <f>IF($A2063="","",IF(OR(AC2063="Demandé",AC2063="Planifié",AC2063="Annulé"),0,N(T2063)*N(U2063)))</f>
        <v/>
      </c>
      <c r="W2063" s="70">
        <f>IF($A2063="","",SUMIFS('Mouvements stock'!$H$5:$H$3004,'Mouvements stock'!$I$5:$I$3004,$A2063,'Mouvements stock'!$C$5:$C$3004,"Sortie")-SUMIFS('Mouvements stock'!$H$5:$H$3004,'Mouvements stock'!$I$5:$I$3004,$A2063,'Mouvements stock'!$C$5:$C$3004,"Retour"))</f>
        <v/>
      </c>
      <c r="X2063" s="66" t="n"/>
      <c r="Y2063" s="66" t="n"/>
      <c r="Z2063" s="7" t="n"/>
      <c r="AA2063" s="70">
        <f>IF($A2063="","",N(V2063)+N(W2063)+N(X2063)+N(Y2063))</f>
        <v/>
      </c>
      <c r="AB2063" s="70">
        <f>IF($A2063="","",N(S2063)*'Paramètres'!$AA$9*IFERROR(INDEX('Paramètres'!$O$5:$O$7,MATCH(G2063,'Paramètres'!$N$5:$N$7,0)),0))</f>
        <v/>
      </c>
      <c r="AC2063" s="7" t="n"/>
      <c r="AD2063" s="69">
        <f>IF(OR($A2063="",Q2063=""),"",(Q2063-B2063)*24)</f>
        <v/>
      </c>
      <c r="AE2063" s="69">
        <f>IF(OR(Q2063="",R2063=""),"",(R2063-Q2063)*24)</f>
        <v/>
      </c>
      <c r="AF2063" s="77">
        <f>IF(OR($A2063="",B2063=""),"",YEAR(B2063))</f>
        <v/>
      </c>
      <c r="AG2063" s="77">
        <f>IF(OR($A2063="",B2063=""),"",MONTH(B2063))</f>
        <v/>
      </c>
    </row>
    <row r="2064">
      <c r="A2064" s="7" t="n"/>
      <c r="B2064" s="75" t="n"/>
      <c r="C2064" s="7" t="n"/>
      <c r="D2064" s="7" t="n"/>
      <c r="E2064" s="9">
        <f>IF(D2064="","",IFERROR(INDEX('Équipements'!$B$5:$B$304,MATCH(D2064,'Équipements'!$A$5:$A$304,0)),"Code inconnu"))</f>
        <v/>
      </c>
      <c r="F2064" s="9">
        <f>IF(D2064="","",IFERROR(INDEX('Équipements'!$D$5:$D$304,MATCH(D2064,'Équipements'!$A$5:$A$304,0)),""))</f>
        <v/>
      </c>
      <c r="G2064" s="9">
        <f>IF(D2064="","",IFERROR(INDEX('Équipements'!$K$5:$K$304,MATCH(D2064,'Équipements'!$A$5:$A$304,0)),""))</f>
        <v/>
      </c>
      <c r="H2064" s="7" t="n"/>
      <c r="I2064" s="7" t="n"/>
      <c r="J2064" s="7" t="n"/>
      <c r="K2064" s="7" t="n"/>
      <c r="L2064" s="7" t="n"/>
      <c r="M2064" s="7" t="n"/>
      <c r="N2064" s="7" t="n"/>
      <c r="O2064" s="7" t="n"/>
      <c r="P2064" s="65" t="n"/>
      <c r="Q2064" s="75" t="n"/>
      <c r="R2064" s="75" t="n"/>
      <c r="S2064" s="76" t="n"/>
      <c r="T2064" s="76" t="n"/>
      <c r="U2064" s="70">
        <f>IF($A2064="","",IFERROR(INDEX('Techniciens'!$F$5:$F$44,MATCH(O2064,'Techniciens'!$B$5:$B$44,0)),'Paramètres'!$AA$10))</f>
        <v/>
      </c>
      <c r="V2064" s="70">
        <f>IF($A2064="","",IF(OR(AC2064="Demandé",AC2064="Planifié",AC2064="Annulé"),0,N(T2064)*N(U2064)))</f>
        <v/>
      </c>
      <c r="W2064" s="70">
        <f>IF($A2064="","",SUMIFS('Mouvements stock'!$H$5:$H$3004,'Mouvements stock'!$I$5:$I$3004,$A2064,'Mouvements stock'!$C$5:$C$3004,"Sortie")-SUMIFS('Mouvements stock'!$H$5:$H$3004,'Mouvements stock'!$I$5:$I$3004,$A2064,'Mouvements stock'!$C$5:$C$3004,"Retour"))</f>
        <v/>
      </c>
      <c r="X2064" s="66" t="n"/>
      <c r="Y2064" s="66" t="n"/>
      <c r="Z2064" s="7" t="n"/>
      <c r="AA2064" s="70">
        <f>IF($A2064="","",N(V2064)+N(W2064)+N(X2064)+N(Y2064))</f>
        <v/>
      </c>
      <c r="AB2064" s="70">
        <f>IF($A2064="","",N(S2064)*'Paramètres'!$AA$9*IFERROR(INDEX('Paramètres'!$O$5:$O$7,MATCH(G2064,'Paramètres'!$N$5:$N$7,0)),0))</f>
        <v/>
      </c>
      <c r="AC2064" s="7" t="n"/>
      <c r="AD2064" s="69">
        <f>IF(OR($A2064="",Q2064=""),"",(Q2064-B2064)*24)</f>
        <v/>
      </c>
      <c r="AE2064" s="69">
        <f>IF(OR(Q2064="",R2064=""),"",(R2064-Q2064)*24)</f>
        <v/>
      </c>
      <c r="AF2064" s="77">
        <f>IF(OR($A2064="",B2064=""),"",YEAR(B2064))</f>
        <v/>
      </c>
      <c r="AG2064" s="77">
        <f>IF(OR($A2064="",B2064=""),"",MONTH(B2064))</f>
        <v/>
      </c>
    </row>
    <row r="2065">
      <c r="A2065" s="7" t="n"/>
      <c r="B2065" s="75" t="n"/>
      <c r="C2065" s="7" t="n"/>
      <c r="D2065" s="7" t="n"/>
      <c r="E2065" s="9">
        <f>IF(D2065="","",IFERROR(INDEX('Équipements'!$B$5:$B$304,MATCH(D2065,'Équipements'!$A$5:$A$304,0)),"Code inconnu"))</f>
        <v/>
      </c>
      <c r="F2065" s="9">
        <f>IF(D2065="","",IFERROR(INDEX('Équipements'!$D$5:$D$304,MATCH(D2065,'Équipements'!$A$5:$A$304,0)),""))</f>
        <v/>
      </c>
      <c r="G2065" s="9">
        <f>IF(D2065="","",IFERROR(INDEX('Équipements'!$K$5:$K$304,MATCH(D2065,'Équipements'!$A$5:$A$304,0)),""))</f>
        <v/>
      </c>
      <c r="H2065" s="7" t="n"/>
      <c r="I2065" s="7" t="n"/>
      <c r="J2065" s="7" t="n"/>
      <c r="K2065" s="7" t="n"/>
      <c r="L2065" s="7" t="n"/>
      <c r="M2065" s="7" t="n"/>
      <c r="N2065" s="7" t="n"/>
      <c r="O2065" s="7" t="n"/>
      <c r="P2065" s="65" t="n"/>
      <c r="Q2065" s="75" t="n"/>
      <c r="R2065" s="75" t="n"/>
      <c r="S2065" s="76" t="n"/>
      <c r="T2065" s="76" t="n"/>
      <c r="U2065" s="70">
        <f>IF($A2065="","",IFERROR(INDEX('Techniciens'!$F$5:$F$44,MATCH(O2065,'Techniciens'!$B$5:$B$44,0)),'Paramètres'!$AA$10))</f>
        <v/>
      </c>
      <c r="V2065" s="70">
        <f>IF($A2065="","",IF(OR(AC2065="Demandé",AC2065="Planifié",AC2065="Annulé"),0,N(T2065)*N(U2065)))</f>
        <v/>
      </c>
      <c r="W2065" s="70">
        <f>IF($A2065="","",SUMIFS('Mouvements stock'!$H$5:$H$3004,'Mouvements stock'!$I$5:$I$3004,$A2065,'Mouvements stock'!$C$5:$C$3004,"Sortie")-SUMIFS('Mouvements stock'!$H$5:$H$3004,'Mouvements stock'!$I$5:$I$3004,$A2065,'Mouvements stock'!$C$5:$C$3004,"Retour"))</f>
        <v/>
      </c>
      <c r="X2065" s="66" t="n"/>
      <c r="Y2065" s="66" t="n"/>
      <c r="Z2065" s="7" t="n"/>
      <c r="AA2065" s="70">
        <f>IF($A2065="","",N(V2065)+N(W2065)+N(X2065)+N(Y2065))</f>
        <v/>
      </c>
      <c r="AB2065" s="70">
        <f>IF($A2065="","",N(S2065)*'Paramètres'!$AA$9*IFERROR(INDEX('Paramètres'!$O$5:$O$7,MATCH(G2065,'Paramètres'!$N$5:$N$7,0)),0))</f>
        <v/>
      </c>
      <c r="AC2065" s="7" t="n"/>
      <c r="AD2065" s="69">
        <f>IF(OR($A2065="",Q2065=""),"",(Q2065-B2065)*24)</f>
        <v/>
      </c>
      <c r="AE2065" s="69">
        <f>IF(OR(Q2065="",R2065=""),"",(R2065-Q2065)*24)</f>
        <v/>
      </c>
      <c r="AF2065" s="77">
        <f>IF(OR($A2065="",B2065=""),"",YEAR(B2065))</f>
        <v/>
      </c>
      <c r="AG2065" s="77">
        <f>IF(OR($A2065="",B2065=""),"",MONTH(B2065))</f>
        <v/>
      </c>
    </row>
    <row r="2066">
      <c r="A2066" s="7" t="n"/>
      <c r="B2066" s="75" t="n"/>
      <c r="C2066" s="7" t="n"/>
      <c r="D2066" s="7" t="n"/>
      <c r="E2066" s="9">
        <f>IF(D2066="","",IFERROR(INDEX('Équipements'!$B$5:$B$304,MATCH(D2066,'Équipements'!$A$5:$A$304,0)),"Code inconnu"))</f>
        <v/>
      </c>
      <c r="F2066" s="9">
        <f>IF(D2066="","",IFERROR(INDEX('Équipements'!$D$5:$D$304,MATCH(D2066,'Équipements'!$A$5:$A$304,0)),""))</f>
        <v/>
      </c>
      <c r="G2066" s="9">
        <f>IF(D2066="","",IFERROR(INDEX('Équipements'!$K$5:$K$304,MATCH(D2066,'Équipements'!$A$5:$A$304,0)),""))</f>
        <v/>
      </c>
      <c r="H2066" s="7" t="n"/>
      <c r="I2066" s="7" t="n"/>
      <c r="J2066" s="7" t="n"/>
      <c r="K2066" s="7" t="n"/>
      <c r="L2066" s="7" t="n"/>
      <c r="M2066" s="7" t="n"/>
      <c r="N2066" s="7" t="n"/>
      <c r="O2066" s="7" t="n"/>
      <c r="P2066" s="65" t="n"/>
      <c r="Q2066" s="75" t="n"/>
      <c r="R2066" s="75" t="n"/>
      <c r="S2066" s="76" t="n"/>
      <c r="T2066" s="76" t="n"/>
      <c r="U2066" s="70">
        <f>IF($A2066="","",IFERROR(INDEX('Techniciens'!$F$5:$F$44,MATCH(O2066,'Techniciens'!$B$5:$B$44,0)),'Paramètres'!$AA$10))</f>
        <v/>
      </c>
      <c r="V2066" s="70">
        <f>IF($A2066="","",IF(OR(AC2066="Demandé",AC2066="Planifié",AC2066="Annulé"),0,N(T2066)*N(U2066)))</f>
        <v/>
      </c>
      <c r="W2066" s="70">
        <f>IF($A2066="","",SUMIFS('Mouvements stock'!$H$5:$H$3004,'Mouvements stock'!$I$5:$I$3004,$A2066,'Mouvements stock'!$C$5:$C$3004,"Sortie")-SUMIFS('Mouvements stock'!$H$5:$H$3004,'Mouvements stock'!$I$5:$I$3004,$A2066,'Mouvements stock'!$C$5:$C$3004,"Retour"))</f>
        <v/>
      </c>
      <c r="X2066" s="66" t="n"/>
      <c r="Y2066" s="66" t="n"/>
      <c r="Z2066" s="7" t="n"/>
      <c r="AA2066" s="70">
        <f>IF($A2066="","",N(V2066)+N(W2066)+N(X2066)+N(Y2066))</f>
        <v/>
      </c>
      <c r="AB2066" s="70">
        <f>IF($A2066="","",N(S2066)*'Paramètres'!$AA$9*IFERROR(INDEX('Paramètres'!$O$5:$O$7,MATCH(G2066,'Paramètres'!$N$5:$N$7,0)),0))</f>
        <v/>
      </c>
      <c r="AC2066" s="7" t="n"/>
      <c r="AD2066" s="69">
        <f>IF(OR($A2066="",Q2066=""),"",(Q2066-B2066)*24)</f>
        <v/>
      </c>
      <c r="AE2066" s="69">
        <f>IF(OR(Q2066="",R2066=""),"",(R2066-Q2066)*24)</f>
        <v/>
      </c>
      <c r="AF2066" s="77">
        <f>IF(OR($A2066="",B2066=""),"",YEAR(B2066))</f>
        <v/>
      </c>
      <c r="AG2066" s="77">
        <f>IF(OR($A2066="",B2066=""),"",MONTH(B2066))</f>
        <v/>
      </c>
    </row>
    <row r="2067">
      <c r="A2067" s="7" t="n"/>
      <c r="B2067" s="75" t="n"/>
      <c r="C2067" s="7" t="n"/>
      <c r="D2067" s="7" t="n"/>
      <c r="E2067" s="9">
        <f>IF(D2067="","",IFERROR(INDEX('Équipements'!$B$5:$B$304,MATCH(D2067,'Équipements'!$A$5:$A$304,0)),"Code inconnu"))</f>
        <v/>
      </c>
      <c r="F2067" s="9">
        <f>IF(D2067="","",IFERROR(INDEX('Équipements'!$D$5:$D$304,MATCH(D2067,'Équipements'!$A$5:$A$304,0)),""))</f>
        <v/>
      </c>
      <c r="G2067" s="9">
        <f>IF(D2067="","",IFERROR(INDEX('Équipements'!$K$5:$K$304,MATCH(D2067,'Équipements'!$A$5:$A$304,0)),""))</f>
        <v/>
      </c>
      <c r="H2067" s="7" t="n"/>
      <c r="I2067" s="7" t="n"/>
      <c r="J2067" s="7" t="n"/>
      <c r="K2067" s="7" t="n"/>
      <c r="L2067" s="7" t="n"/>
      <c r="M2067" s="7" t="n"/>
      <c r="N2067" s="7" t="n"/>
      <c r="O2067" s="7" t="n"/>
      <c r="P2067" s="65" t="n"/>
      <c r="Q2067" s="75" t="n"/>
      <c r="R2067" s="75" t="n"/>
      <c r="S2067" s="76" t="n"/>
      <c r="T2067" s="76" t="n"/>
      <c r="U2067" s="70">
        <f>IF($A2067="","",IFERROR(INDEX('Techniciens'!$F$5:$F$44,MATCH(O2067,'Techniciens'!$B$5:$B$44,0)),'Paramètres'!$AA$10))</f>
        <v/>
      </c>
      <c r="V2067" s="70">
        <f>IF($A2067="","",IF(OR(AC2067="Demandé",AC2067="Planifié",AC2067="Annulé"),0,N(T2067)*N(U2067)))</f>
        <v/>
      </c>
      <c r="W2067" s="70">
        <f>IF($A2067="","",SUMIFS('Mouvements stock'!$H$5:$H$3004,'Mouvements stock'!$I$5:$I$3004,$A2067,'Mouvements stock'!$C$5:$C$3004,"Sortie")-SUMIFS('Mouvements stock'!$H$5:$H$3004,'Mouvements stock'!$I$5:$I$3004,$A2067,'Mouvements stock'!$C$5:$C$3004,"Retour"))</f>
        <v/>
      </c>
      <c r="X2067" s="66" t="n"/>
      <c r="Y2067" s="66" t="n"/>
      <c r="Z2067" s="7" t="n"/>
      <c r="AA2067" s="70">
        <f>IF($A2067="","",N(V2067)+N(W2067)+N(X2067)+N(Y2067))</f>
        <v/>
      </c>
      <c r="AB2067" s="70">
        <f>IF($A2067="","",N(S2067)*'Paramètres'!$AA$9*IFERROR(INDEX('Paramètres'!$O$5:$O$7,MATCH(G2067,'Paramètres'!$N$5:$N$7,0)),0))</f>
        <v/>
      </c>
      <c r="AC2067" s="7" t="n"/>
      <c r="AD2067" s="69">
        <f>IF(OR($A2067="",Q2067=""),"",(Q2067-B2067)*24)</f>
        <v/>
      </c>
      <c r="AE2067" s="69">
        <f>IF(OR(Q2067="",R2067=""),"",(R2067-Q2067)*24)</f>
        <v/>
      </c>
      <c r="AF2067" s="77">
        <f>IF(OR($A2067="",B2067=""),"",YEAR(B2067))</f>
        <v/>
      </c>
      <c r="AG2067" s="77">
        <f>IF(OR($A2067="",B2067=""),"",MONTH(B2067))</f>
        <v/>
      </c>
    </row>
    <row r="2068">
      <c r="A2068" s="7" t="n"/>
      <c r="B2068" s="75" t="n"/>
      <c r="C2068" s="7" t="n"/>
      <c r="D2068" s="7" t="n"/>
      <c r="E2068" s="9">
        <f>IF(D2068="","",IFERROR(INDEX('Équipements'!$B$5:$B$304,MATCH(D2068,'Équipements'!$A$5:$A$304,0)),"Code inconnu"))</f>
        <v/>
      </c>
      <c r="F2068" s="9">
        <f>IF(D2068="","",IFERROR(INDEX('Équipements'!$D$5:$D$304,MATCH(D2068,'Équipements'!$A$5:$A$304,0)),""))</f>
        <v/>
      </c>
      <c r="G2068" s="9">
        <f>IF(D2068="","",IFERROR(INDEX('Équipements'!$K$5:$K$304,MATCH(D2068,'Équipements'!$A$5:$A$304,0)),""))</f>
        <v/>
      </c>
      <c r="H2068" s="7" t="n"/>
      <c r="I2068" s="7" t="n"/>
      <c r="J2068" s="7" t="n"/>
      <c r="K2068" s="7" t="n"/>
      <c r="L2068" s="7" t="n"/>
      <c r="M2068" s="7" t="n"/>
      <c r="N2068" s="7" t="n"/>
      <c r="O2068" s="7" t="n"/>
      <c r="P2068" s="65" t="n"/>
      <c r="Q2068" s="75" t="n"/>
      <c r="R2068" s="75" t="n"/>
      <c r="S2068" s="76" t="n"/>
      <c r="T2068" s="76" t="n"/>
      <c r="U2068" s="70">
        <f>IF($A2068="","",IFERROR(INDEX('Techniciens'!$F$5:$F$44,MATCH(O2068,'Techniciens'!$B$5:$B$44,0)),'Paramètres'!$AA$10))</f>
        <v/>
      </c>
      <c r="V2068" s="70">
        <f>IF($A2068="","",IF(OR(AC2068="Demandé",AC2068="Planifié",AC2068="Annulé"),0,N(T2068)*N(U2068)))</f>
        <v/>
      </c>
      <c r="W2068" s="70">
        <f>IF($A2068="","",SUMIFS('Mouvements stock'!$H$5:$H$3004,'Mouvements stock'!$I$5:$I$3004,$A2068,'Mouvements stock'!$C$5:$C$3004,"Sortie")-SUMIFS('Mouvements stock'!$H$5:$H$3004,'Mouvements stock'!$I$5:$I$3004,$A2068,'Mouvements stock'!$C$5:$C$3004,"Retour"))</f>
        <v/>
      </c>
      <c r="X2068" s="66" t="n"/>
      <c r="Y2068" s="66" t="n"/>
      <c r="Z2068" s="7" t="n"/>
      <c r="AA2068" s="70">
        <f>IF($A2068="","",N(V2068)+N(W2068)+N(X2068)+N(Y2068))</f>
        <v/>
      </c>
      <c r="AB2068" s="70">
        <f>IF($A2068="","",N(S2068)*'Paramètres'!$AA$9*IFERROR(INDEX('Paramètres'!$O$5:$O$7,MATCH(G2068,'Paramètres'!$N$5:$N$7,0)),0))</f>
        <v/>
      </c>
      <c r="AC2068" s="7" t="n"/>
      <c r="AD2068" s="69">
        <f>IF(OR($A2068="",Q2068=""),"",(Q2068-B2068)*24)</f>
        <v/>
      </c>
      <c r="AE2068" s="69">
        <f>IF(OR(Q2068="",R2068=""),"",(R2068-Q2068)*24)</f>
        <v/>
      </c>
      <c r="AF2068" s="77">
        <f>IF(OR($A2068="",B2068=""),"",YEAR(B2068))</f>
        <v/>
      </c>
      <c r="AG2068" s="77">
        <f>IF(OR($A2068="",B2068=""),"",MONTH(B2068))</f>
        <v/>
      </c>
    </row>
    <row r="2069">
      <c r="A2069" s="7" t="n"/>
      <c r="B2069" s="75" t="n"/>
      <c r="C2069" s="7" t="n"/>
      <c r="D2069" s="7" t="n"/>
      <c r="E2069" s="9">
        <f>IF(D2069="","",IFERROR(INDEX('Équipements'!$B$5:$B$304,MATCH(D2069,'Équipements'!$A$5:$A$304,0)),"Code inconnu"))</f>
        <v/>
      </c>
      <c r="F2069" s="9">
        <f>IF(D2069="","",IFERROR(INDEX('Équipements'!$D$5:$D$304,MATCH(D2069,'Équipements'!$A$5:$A$304,0)),""))</f>
        <v/>
      </c>
      <c r="G2069" s="9">
        <f>IF(D2069="","",IFERROR(INDEX('Équipements'!$K$5:$K$304,MATCH(D2069,'Équipements'!$A$5:$A$304,0)),""))</f>
        <v/>
      </c>
      <c r="H2069" s="7" t="n"/>
      <c r="I2069" s="7" t="n"/>
      <c r="J2069" s="7" t="n"/>
      <c r="K2069" s="7" t="n"/>
      <c r="L2069" s="7" t="n"/>
      <c r="M2069" s="7" t="n"/>
      <c r="N2069" s="7" t="n"/>
      <c r="O2069" s="7" t="n"/>
      <c r="P2069" s="65" t="n"/>
      <c r="Q2069" s="75" t="n"/>
      <c r="R2069" s="75" t="n"/>
      <c r="S2069" s="76" t="n"/>
      <c r="T2069" s="76" t="n"/>
      <c r="U2069" s="70">
        <f>IF($A2069="","",IFERROR(INDEX('Techniciens'!$F$5:$F$44,MATCH(O2069,'Techniciens'!$B$5:$B$44,0)),'Paramètres'!$AA$10))</f>
        <v/>
      </c>
      <c r="V2069" s="70">
        <f>IF($A2069="","",IF(OR(AC2069="Demandé",AC2069="Planifié",AC2069="Annulé"),0,N(T2069)*N(U2069)))</f>
        <v/>
      </c>
      <c r="W2069" s="70">
        <f>IF($A2069="","",SUMIFS('Mouvements stock'!$H$5:$H$3004,'Mouvements stock'!$I$5:$I$3004,$A2069,'Mouvements stock'!$C$5:$C$3004,"Sortie")-SUMIFS('Mouvements stock'!$H$5:$H$3004,'Mouvements stock'!$I$5:$I$3004,$A2069,'Mouvements stock'!$C$5:$C$3004,"Retour"))</f>
        <v/>
      </c>
      <c r="X2069" s="66" t="n"/>
      <c r="Y2069" s="66" t="n"/>
      <c r="Z2069" s="7" t="n"/>
      <c r="AA2069" s="70">
        <f>IF($A2069="","",N(V2069)+N(W2069)+N(X2069)+N(Y2069))</f>
        <v/>
      </c>
      <c r="AB2069" s="70">
        <f>IF($A2069="","",N(S2069)*'Paramètres'!$AA$9*IFERROR(INDEX('Paramètres'!$O$5:$O$7,MATCH(G2069,'Paramètres'!$N$5:$N$7,0)),0))</f>
        <v/>
      </c>
      <c r="AC2069" s="7" t="n"/>
      <c r="AD2069" s="69">
        <f>IF(OR($A2069="",Q2069=""),"",(Q2069-B2069)*24)</f>
        <v/>
      </c>
      <c r="AE2069" s="69">
        <f>IF(OR(Q2069="",R2069=""),"",(R2069-Q2069)*24)</f>
        <v/>
      </c>
      <c r="AF2069" s="77">
        <f>IF(OR($A2069="",B2069=""),"",YEAR(B2069))</f>
        <v/>
      </c>
      <c r="AG2069" s="77">
        <f>IF(OR($A2069="",B2069=""),"",MONTH(B2069))</f>
        <v/>
      </c>
    </row>
    <row r="2070">
      <c r="A2070" s="7" t="n"/>
      <c r="B2070" s="75" t="n"/>
      <c r="C2070" s="7" t="n"/>
      <c r="D2070" s="7" t="n"/>
      <c r="E2070" s="9">
        <f>IF(D2070="","",IFERROR(INDEX('Équipements'!$B$5:$B$304,MATCH(D2070,'Équipements'!$A$5:$A$304,0)),"Code inconnu"))</f>
        <v/>
      </c>
      <c r="F2070" s="9">
        <f>IF(D2070="","",IFERROR(INDEX('Équipements'!$D$5:$D$304,MATCH(D2070,'Équipements'!$A$5:$A$304,0)),""))</f>
        <v/>
      </c>
      <c r="G2070" s="9">
        <f>IF(D2070="","",IFERROR(INDEX('Équipements'!$K$5:$K$304,MATCH(D2070,'Équipements'!$A$5:$A$304,0)),""))</f>
        <v/>
      </c>
      <c r="H2070" s="7" t="n"/>
      <c r="I2070" s="7" t="n"/>
      <c r="J2070" s="7" t="n"/>
      <c r="K2070" s="7" t="n"/>
      <c r="L2070" s="7" t="n"/>
      <c r="M2070" s="7" t="n"/>
      <c r="N2070" s="7" t="n"/>
      <c r="O2070" s="7" t="n"/>
      <c r="P2070" s="65" t="n"/>
      <c r="Q2070" s="75" t="n"/>
      <c r="R2070" s="75" t="n"/>
      <c r="S2070" s="76" t="n"/>
      <c r="T2070" s="76" t="n"/>
      <c r="U2070" s="70">
        <f>IF($A2070="","",IFERROR(INDEX('Techniciens'!$F$5:$F$44,MATCH(O2070,'Techniciens'!$B$5:$B$44,0)),'Paramètres'!$AA$10))</f>
        <v/>
      </c>
      <c r="V2070" s="70">
        <f>IF($A2070="","",IF(OR(AC2070="Demandé",AC2070="Planifié",AC2070="Annulé"),0,N(T2070)*N(U2070)))</f>
        <v/>
      </c>
      <c r="W2070" s="70">
        <f>IF($A2070="","",SUMIFS('Mouvements stock'!$H$5:$H$3004,'Mouvements stock'!$I$5:$I$3004,$A2070,'Mouvements stock'!$C$5:$C$3004,"Sortie")-SUMIFS('Mouvements stock'!$H$5:$H$3004,'Mouvements stock'!$I$5:$I$3004,$A2070,'Mouvements stock'!$C$5:$C$3004,"Retour"))</f>
        <v/>
      </c>
      <c r="X2070" s="66" t="n"/>
      <c r="Y2070" s="66" t="n"/>
      <c r="Z2070" s="7" t="n"/>
      <c r="AA2070" s="70">
        <f>IF($A2070="","",N(V2070)+N(W2070)+N(X2070)+N(Y2070))</f>
        <v/>
      </c>
      <c r="AB2070" s="70">
        <f>IF($A2070="","",N(S2070)*'Paramètres'!$AA$9*IFERROR(INDEX('Paramètres'!$O$5:$O$7,MATCH(G2070,'Paramètres'!$N$5:$N$7,0)),0))</f>
        <v/>
      </c>
      <c r="AC2070" s="7" t="n"/>
      <c r="AD2070" s="69">
        <f>IF(OR($A2070="",Q2070=""),"",(Q2070-B2070)*24)</f>
        <v/>
      </c>
      <c r="AE2070" s="69">
        <f>IF(OR(Q2070="",R2070=""),"",(R2070-Q2070)*24)</f>
        <v/>
      </c>
      <c r="AF2070" s="77">
        <f>IF(OR($A2070="",B2070=""),"",YEAR(B2070))</f>
        <v/>
      </c>
      <c r="AG2070" s="77">
        <f>IF(OR($A2070="",B2070=""),"",MONTH(B2070))</f>
        <v/>
      </c>
    </row>
    <row r="2071">
      <c r="A2071" s="7" t="n"/>
      <c r="B2071" s="75" t="n"/>
      <c r="C2071" s="7" t="n"/>
      <c r="D2071" s="7" t="n"/>
      <c r="E2071" s="9">
        <f>IF(D2071="","",IFERROR(INDEX('Équipements'!$B$5:$B$304,MATCH(D2071,'Équipements'!$A$5:$A$304,0)),"Code inconnu"))</f>
        <v/>
      </c>
      <c r="F2071" s="9">
        <f>IF(D2071="","",IFERROR(INDEX('Équipements'!$D$5:$D$304,MATCH(D2071,'Équipements'!$A$5:$A$304,0)),""))</f>
        <v/>
      </c>
      <c r="G2071" s="9">
        <f>IF(D2071="","",IFERROR(INDEX('Équipements'!$K$5:$K$304,MATCH(D2071,'Équipements'!$A$5:$A$304,0)),""))</f>
        <v/>
      </c>
      <c r="H2071" s="7" t="n"/>
      <c r="I2071" s="7" t="n"/>
      <c r="J2071" s="7" t="n"/>
      <c r="K2071" s="7" t="n"/>
      <c r="L2071" s="7" t="n"/>
      <c r="M2071" s="7" t="n"/>
      <c r="N2071" s="7" t="n"/>
      <c r="O2071" s="7" t="n"/>
      <c r="P2071" s="65" t="n"/>
      <c r="Q2071" s="75" t="n"/>
      <c r="R2071" s="75" t="n"/>
      <c r="S2071" s="76" t="n"/>
      <c r="T2071" s="76" t="n"/>
      <c r="U2071" s="70">
        <f>IF($A2071="","",IFERROR(INDEX('Techniciens'!$F$5:$F$44,MATCH(O2071,'Techniciens'!$B$5:$B$44,0)),'Paramètres'!$AA$10))</f>
        <v/>
      </c>
      <c r="V2071" s="70">
        <f>IF($A2071="","",IF(OR(AC2071="Demandé",AC2071="Planifié",AC2071="Annulé"),0,N(T2071)*N(U2071)))</f>
        <v/>
      </c>
      <c r="W2071" s="70">
        <f>IF($A2071="","",SUMIFS('Mouvements stock'!$H$5:$H$3004,'Mouvements stock'!$I$5:$I$3004,$A2071,'Mouvements stock'!$C$5:$C$3004,"Sortie")-SUMIFS('Mouvements stock'!$H$5:$H$3004,'Mouvements stock'!$I$5:$I$3004,$A2071,'Mouvements stock'!$C$5:$C$3004,"Retour"))</f>
        <v/>
      </c>
      <c r="X2071" s="66" t="n"/>
      <c r="Y2071" s="66" t="n"/>
      <c r="Z2071" s="7" t="n"/>
      <c r="AA2071" s="70">
        <f>IF($A2071="","",N(V2071)+N(W2071)+N(X2071)+N(Y2071))</f>
        <v/>
      </c>
      <c r="AB2071" s="70">
        <f>IF($A2071="","",N(S2071)*'Paramètres'!$AA$9*IFERROR(INDEX('Paramètres'!$O$5:$O$7,MATCH(G2071,'Paramètres'!$N$5:$N$7,0)),0))</f>
        <v/>
      </c>
      <c r="AC2071" s="7" t="n"/>
      <c r="AD2071" s="69">
        <f>IF(OR($A2071="",Q2071=""),"",(Q2071-B2071)*24)</f>
        <v/>
      </c>
      <c r="AE2071" s="69">
        <f>IF(OR(Q2071="",R2071=""),"",(R2071-Q2071)*24)</f>
        <v/>
      </c>
      <c r="AF2071" s="77">
        <f>IF(OR($A2071="",B2071=""),"",YEAR(B2071))</f>
        <v/>
      </c>
      <c r="AG2071" s="77">
        <f>IF(OR($A2071="",B2071=""),"",MONTH(B2071))</f>
        <v/>
      </c>
    </row>
    <row r="2072">
      <c r="A2072" s="7" t="n"/>
      <c r="B2072" s="75" t="n"/>
      <c r="C2072" s="7" t="n"/>
      <c r="D2072" s="7" t="n"/>
      <c r="E2072" s="9">
        <f>IF(D2072="","",IFERROR(INDEX('Équipements'!$B$5:$B$304,MATCH(D2072,'Équipements'!$A$5:$A$304,0)),"Code inconnu"))</f>
        <v/>
      </c>
      <c r="F2072" s="9">
        <f>IF(D2072="","",IFERROR(INDEX('Équipements'!$D$5:$D$304,MATCH(D2072,'Équipements'!$A$5:$A$304,0)),""))</f>
        <v/>
      </c>
      <c r="G2072" s="9">
        <f>IF(D2072="","",IFERROR(INDEX('Équipements'!$K$5:$K$304,MATCH(D2072,'Équipements'!$A$5:$A$304,0)),""))</f>
        <v/>
      </c>
      <c r="H2072" s="7" t="n"/>
      <c r="I2072" s="7" t="n"/>
      <c r="J2072" s="7" t="n"/>
      <c r="K2072" s="7" t="n"/>
      <c r="L2072" s="7" t="n"/>
      <c r="M2072" s="7" t="n"/>
      <c r="N2072" s="7" t="n"/>
      <c r="O2072" s="7" t="n"/>
      <c r="P2072" s="65" t="n"/>
      <c r="Q2072" s="75" t="n"/>
      <c r="R2072" s="75" t="n"/>
      <c r="S2072" s="76" t="n"/>
      <c r="T2072" s="76" t="n"/>
      <c r="U2072" s="70">
        <f>IF($A2072="","",IFERROR(INDEX('Techniciens'!$F$5:$F$44,MATCH(O2072,'Techniciens'!$B$5:$B$44,0)),'Paramètres'!$AA$10))</f>
        <v/>
      </c>
      <c r="V2072" s="70">
        <f>IF($A2072="","",IF(OR(AC2072="Demandé",AC2072="Planifié",AC2072="Annulé"),0,N(T2072)*N(U2072)))</f>
        <v/>
      </c>
      <c r="W2072" s="70">
        <f>IF($A2072="","",SUMIFS('Mouvements stock'!$H$5:$H$3004,'Mouvements stock'!$I$5:$I$3004,$A2072,'Mouvements stock'!$C$5:$C$3004,"Sortie")-SUMIFS('Mouvements stock'!$H$5:$H$3004,'Mouvements stock'!$I$5:$I$3004,$A2072,'Mouvements stock'!$C$5:$C$3004,"Retour"))</f>
        <v/>
      </c>
      <c r="X2072" s="66" t="n"/>
      <c r="Y2072" s="66" t="n"/>
      <c r="Z2072" s="7" t="n"/>
      <c r="AA2072" s="70">
        <f>IF($A2072="","",N(V2072)+N(W2072)+N(X2072)+N(Y2072))</f>
        <v/>
      </c>
      <c r="AB2072" s="70">
        <f>IF($A2072="","",N(S2072)*'Paramètres'!$AA$9*IFERROR(INDEX('Paramètres'!$O$5:$O$7,MATCH(G2072,'Paramètres'!$N$5:$N$7,0)),0))</f>
        <v/>
      </c>
      <c r="AC2072" s="7" t="n"/>
      <c r="AD2072" s="69">
        <f>IF(OR($A2072="",Q2072=""),"",(Q2072-B2072)*24)</f>
        <v/>
      </c>
      <c r="AE2072" s="69">
        <f>IF(OR(Q2072="",R2072=""),"",(R2072-Q2072)*24)</f>
        <v/>
      </c>
      <c r="AF2072" s="77">
        <f>IF(OR($A2072="",B2072=""),"",YEAR(B2072))</f>
        <v/>
      </c>
      <c r="AG2072" s="77">
        <f>IF(OR($A2072="",B2072=""),"",MONTH(B2072))</f>
        <v/>
      </c>
    </row>
    <row r="2073">
      <c r="A2073" s="7" t="n"/>
      <c r="B2073" s="75" t="n"/>
      <c r="C2073" s="7" t="n"/>
      <c r="D2073" s="7" t="n"/>
      <c r="E2073" s="9">
        <f>IF(D2073="","",IFERROR(INDEX('Équipements'!$B$5:$B$304,MATCH(D2073,'Équipements'!$A$5:$A$304,0)),"Code inconnu"))</f>
        <v/>
      </c>
      <c r="F2073" s="9">
        <f>IF(D2073="","",IFERROR(INDEX('Équipements'!$D$5:$D$304,MATCH(D2073,'Équipements'!$A$5:$A$304,0)),""))</f>
        <v/>
      </c>
      <c r="G2073" s="9">
        <f>IF(D2073="","",IFERROR(INDEX('Équipements'!$K$5:$K$304,MATCH(D2073,'Équipements'!$A$5:$A$304,0)),""))</f>
        <v/>
      </c>
      <c r="H2073" s="7" t="n"/>
      <c r="I2073" s="7" t="n"/>
      <c r="J2073" s="7" t="n"/>
      <c r="K2073" s="7" t="n"/>
      <c r="L2073" s="7" t="n"/>
      <c r="M2073" s="7" t="n"/>
      <c r="N2073" s="7" t="n"/>
      <c r="O2073" s="7" t="n"/>
      <c r="P2073" s="65" t="n"/>
      <c r="Q2073" s="75" t="n"/>
      <c r="R2073" s="75" t="n"/>
      <c r="S2073" s="76" t="n"/>
      <c r="T2073" s="76" t="n"/>
      <c r="U2073" s="70">
        <f>IF($A2073="","",IFERROR(INDEX('Techniciens'!$F$5:$F$44,MATCH(O2073,'Techniciens'!$B$5:$B$44,0)),'Paramètres'!$AA$10))</f>
        <v/>
      </c>
      <c r="V2073" s="70">
        <f>IF($A2073="","",IF(OR(AC2073="Demandé",AC2073="Planifié",AC2073="Annulé"),0,N(T2073)*N(U2073)))</f>
        <v/>
      </c>
      <c r="W2073" s="70">
        <f>IF($A2073="","",SUMIFS('Mouvements stock'!$H$5:$H$3004,'Mouvements stock'!$I$5:$I$3004,$A2073,'Mouvements stock'!$C$5:$C$3004,"Sortie")-SUMIFS('Mouvements stock'!$H$5:$H$3004,'Mouvements stock'!$I$5:$I$3004,$A2073,'Mouvements stock'!$C$5:$C$3004,"Retour"))</f>
        <v/>
      </c>
      <c r="X2073" s="66" t="n"/>
      <c r="Y2073" s="66" t="n"/>
      <c r="Z2073" s="7" t="n"/>
      <c r="AA2073" s="70">
        <f>IF($A2073="","",N(V2073)+N(W2073)+N(X2073)+N(Y2073))</f>
        <v/>
      </c>
      <c r="AB2073" s="70">
        <f>IF($A2073="","",N(S2073)*'Paramètres'!$AA$9*IFERROR(INDEX('Paramètres'!$O$5:$O$7,MATCH(G2073,'Paramètres'!$N$5:$N$7,0)),0))</f>
        <v/>
      </c>
      <c r="AC2073" s="7" t="n"/>
      <c r="AD2073" s="69">
        <f>IF(OR($A2073="",Q2073=""),"",(Q2073-B2073)*24)</f>
        <v/>
      </c>
      <c r="AE2073" s="69">
        <f>IF(OR(Q2073="",R2073=""),"",(R2073-Q2073)*24)</f>
        <v/>
      </c>
      <c r="AF2073" s="77">
        <f>IF(OR($A2073="",B2073=""),"",YEAR(B2073))</f>
        <v/>
      </c>
      <c r="AG2073" s="77">
        <f>IF(OR($A2073="",B2073=""),"",MONTH(B2073))</f>
        <v/>
      </c>
    </row>
    <row r="2074">
      <c r="A2074" s="7" t="n"/>
      <c r="B2074" s="75" t="n"/>
      <c r="C2074" s="7" t="n"/>
      <c r="D2074" s="7" t="n"/>
      <c r="E2074" s="9">
        <f>IF(D2074="","",IFERROR(INDEX('Équipements'!$B$5:$B$304,MATCH(D2074,'Équipements'!$A$5:$A$304,0)),"Code inconnu"))</f>
        <v/>
      </c>
      <c r="F2074" s="9">
        <f>IF(D2074="","",IFERROR(INDEX('Équipements'!$D$5:$D$304,MATCH(D2074,'Équipements'!$A$5:$A$304,0)),""))</f>
        <v/>
      </c>
      <c r="G2074" s="9">
        <f>IF(D2074="","",IFERROR(INDEX('Équipements'!$K$5:$K$304,MATCH(D2074,'Équipements'!$A$5:$A$304,0)),""))</f>
        <v/>
      </c>
      <c r="H2074" s="7" t="n"/>
      <c r="I2074" s="7" t="n"/>
      <c r="J2074" s="7" t="n"/>
      <c r="K2074" s="7" t="n"/>
      <c r="L2074" s="7" t="n"/>
      <c r="M2074" s="7" t="n"/>
      <c r="N2074" s="7" t="n"/>
      <c r="O2074" s="7" t="n"/>
      <c r="P2074" s="65" t="n"/>
      <c r="Q2074" s="75" t="n"/>
      <c r="R2074" s="75" t="n"/>
      <c r="S2074" s="76" t="n"/>
      <c r="T2074" s="76" t="n"/>
      <c r="U2074" s="70">
        <f>IF($A2074="","",IFERROR(INDEX('Techniciens'!$F$5:$F$44,MATCH(O2074,'Techniciens'!$B$5:$B$44,0)),'Paramètres'!$AA$10))</f>
        <v/>
      </c>
      <c r="V2074" s="70">
        <f>IF($A2074="","",IF(OR(AC2074="Demandé",AC2074="Planifié",AC2074="Annulé"),0,N(T2074)*N(U2074)))</f>
        <v/>
      </c>
      <c r="W2074" s="70">
        <f>IF($A2074="","",SUMIFS('Mouvements stock'!$H$5:$H$3004,'Mouvements stock'!$I$5:$I$3004,$A2074,'Mouvements stock'!$C$5:$C$3004,"Sortie")-SUMIFS('Mouvements stock'!$H$5:$H$3004,'Mouvements stock'!$I$5:$I$3004,$A2074,'Mouvements stock'!$C$5:$C$3004,"Retour"))</f>
        <v/>
      </c>
      <c r="X2074" s="66" t="n"/>
      <c r="Y2074" s="66" t="n"/>
      <c r="Z2074" s="7" t="n"/>
      <c r="AA2074" s="70">
        <f>IF($A2074="","",N(V2074)+N(W2074)+N(X2074)+N(Y2074))</f>
        <v/>
      </c>
      <c r="AB2074" s="70">
        <f>IF($A2074="","",N(S2074)*'Paramètres'!$AA$9*IFERROR(INDEX('Paramètres'!$O$5:$O$7,MATCH(G2074,'Paramètres'!$N$5:$N$7,0)),0))</f>
        <v/>
      </c>
      <c r="AC2074" s="7" t="n"/>
      <c r="AD2074" s="69">
        <f>IF(OR($A2074="",Q2074=""),"",(Q2074-B2074)*24)</f>
        <v/>
      </c>
      <c r="AE2074" s="69">
        <f>IF(OR(Q2074="",R2074=""),"",(R2074-Q2074)*24)</f>
        <v/>
      </c>
      <c r="AF2074" s="77">
        <f>IF(OR($A2074="",B2074=""),"",YEAR(B2074))</f>
        <v/>
      </c>
      <c r="AG2074" s="77">
        <f>IF(OR($A2074="",B2074=""),"",MONTH(B2074))</f>
        <v/>
      </c>
    </row>
    <row r="2075">
      <c r="A2075" s="7" t="n"/>
      <c r="B2075" s="75" t="n"/>
      <c r="C2075" s="7" t="n"/>
      <c r="D2075" s="7" t="n"/>
      <c r="E2075" s="9">
        <f>IF(D2075="","",IFERROR(INDEX('Équipements'!$B$5:$B$304,MATCH(D2075,'Équipements'!$A$5:$A$304,0)),"Code inconnu"))</f>
        <v/>
      </c>
      <c r="F2075" s="9">
        <f>IF(D2075="","",IFERROR(INDEX('Équipements'!$D$5:$D$304,MATCH(D2075,'Équipements'!$A$5:$A$304,0)),""))</f>
        <v/>
      </c>
      <c r="G2075" s="9">
        <f>IF(D2075="","",IFERROR(INDEX('Équipements'!$K$5:$K$304,MATCH(D2075,'Équipements'!$A$5:$A$304,0)),""))</f>
        <v/>
      </c>
      <c r="H2075" s="7" t="n"/>
      <c r="I2075" s="7" t="n"/>
      <c r="J2075" s="7" t="n"/>
      <c r="K2075" s="7" t="n"/>
      <c r="L2075" s="7" t="n"/>
      <c r="M2075" s="7" t="n"/>
      <c r="N2075" s="7" t="n"/>
      <c r="O2075" s="7" t="n"/>
      <c r="P2075" s="65" t="n"/>
      <c r="Q2075" s="75" t="n"/>
      <c r="R2075" s="75" t="n"/>
      <c r="S2075" s="76" t="n"/>
      <c r="T2075" s="76" t="n"/>
      <c r="U2075" s="70">
        <f>IF($A2075="","",IFERROR(INDEX('Techniciens'!$F$5:$F$44,MATCH(O2075,'Techniciens'!$B$5:$B$44,0)),'Paramètres'!$AA$10))</f>
        <v/>
      </c>
      <c r="V2075" s="70">
        <f>IF($A2075="","",IF(OR(AC2075="Demandé",AC2075="Planifié",AC2075="Annulé"),0,N(T2075)*N(U2075)))</f>
        <v/>
      </c>
      <c r="W2075" s="70">
        <f>IF($A2075="","",SUMIFS('Mouvements stock'!$H$5:$H$3004,'Mouvements stock'!$I$5:$I$3004,$A2075,'Mouvements stock'!$C$5:$C$3004,"Sortie")-SUMIFS('Mouvements stock'!$H$5:$H$3004,'Mouvements stock'!$I$5:$I$3004,$A2075,'Mouvements stock'!$C$5:$C$3004,"Retour"))</f>
        <v/>
      </c>
      <c r="X2075" s="66" t="n"/>
      <c r="Y2075" s="66" t="n"/>
      <c r="Z2075" s="7" t="n"/>
      <c r="AA2075" s="70">
        <f>IF($A2075="","",N(V2075)+N(W2075)+N(X2075)+N(Y2075))</f>
        <v/>
      </c>
      <c r="AB2075" s="70">
        <f>IF($A2075="","",N(S2075)*'Paramètres'!$AA$9*IFERROR(INDEX('Paramètres'!$O$5:$O$7,MATCH(G2075,'Paramètres'!$N$5:$N$7,0)),0))</f>
        <v/>
      </c>
      <c r="AC2075" s="7" t="n"/>
      <c r="AD2075" s="69">
        <f>IF(OR($A2075="",Q2075=""),"",(Q2075-B2075)*24)</f>
        <v/>
      </c>
      <c r="AE2075" s="69">
        <f>IF(OR(Q2075="",R2075=""),"",(R2075-Q2075)*24)</f>
        <v/>
      </c>
      <c r="AF2075" s="77">
        <f>IF(OR($A2075="",B2075=""),"",YEAR(B2075))</f>
        <v/>
      </c>
      <c r="AG2075" s="77">
        <f>IF(OR($A2075="",B2075=""),"",MONTH(B2075))</f>
        <v/>
      </c>
    </row>
    <row r="2076">
      <c r="A2076" s="7" t="n"/>
      <c r="B2076" s="75" t="n"/>
      <c r="C2076" s="7" t="n"/>
      <c r="D2076" s="7" t="n"/>
      <c r="E2076" s="9">
        <f>IF(D2076="","",IFERROR(INDEX('Équipements'!$B$5:$B$304,MATCH(D2076,'Équipements'!$A$5:$A$304,0)),"Code inconnu"))</f>
        <v/>
      </c>
      <c r="F2076" s="9">
        <f>IF(D2076="","",IFERROR(INDEX('Équipements'!$D$5:$D$304,MATCH(D2076,'Équipements'!$A$5:$A$304,0)),""))</f>
        <v/>
      </c>
      <c r="G2076" s="9">
        <f>IF(D2076="","",IFERROR(INDEX('Équipements'!$K$5:$K$304,MATCH(D2076,'Équipements'!$A$5:$A$304,0)),""))</f>
        <v/>
      </c>
      <c r="H2076" s="7" t="n"/>
      <c r="I2076" s="7" t="n"/>
      <c r="J2076" s="7" t="n"/>
      <c r="K2076" s="7" t="n"/>
      <c r="L2076" s="7" t="n"/>
      <c r="M2076" s="7" t="n"/>
      <c r="N2076" s="7" t="n"/>
      <c r="O2076" s="7" t="n"/>
      <c r="P2076" s="65" t="n"/>
      <c r="Q2076" s="75" t="n"/>
      <c r="R2076" s="75" t="n"/>
      <c r="S2076" s="76" t="n"/>
      <c r="T2076" s="76" t="n"/>
      <c r="U2076" s="70">
        <f>IF($A2076="","",IFERROR(INDEX('Techniciens'!$F$5:$F$44,MATCH(O2076,'Techniciens'!$B$5:$B$44,0)),'Paramètres'!$AA$10))</f>
        <v/>
      </c>
      <c r="V2076" s="70">
        <f>IF($A2076="","",IF(OR(AC2076="Demandé",AC2076="Planifié",AC2076="Annulé"),0,N(T2076)*N(U2076)))</f>
        <v/>
      </c>
      <c r="W2076" s="70">
        <f>IF($A2076="","",SUMIFS('Mouvements stock'!$H$5:$H$3004,'Mouvements stock'!$I$5:$I$3004,$A2076,'Mouvements stock'!$C$5:$C$3004,"Sortie")-SUMIFS('Mouvements stock'!$H$5:$H$3004,'Mouvements stock'!$I$5:$I$3004,$A2076,'Mouvements stock'!$C$5:$C$3004,"Retour"))</f>
        <v/>
      </c>
      <c r="X2076" s="66" t="n"/>
      <c r="Y2076" s="66" t="n"/>
      <c r="Z2076" s="7" t="n"/>
      <c r="AA2076" s="70">
        <f>IF($A2076="","",N(V2076)+N(W2076)+N(X2076)+N(Y2076))</f>
        <v/>
      </c>
      <c r="AB2076" s="70">
        <f>IF($A2076="","",N(S2076)*'Paramètres'!$AA$9*IFERROR(INDEX('Paramètres'!$O$5:$O$7,MATCH(G2076,'Paramètres'!$N$5:$N$7,0)),0))</f>
        <v/>
      </c>
      <c r="AC2076" s="7" t="n"/>
      <c r="AD2076" s="69">
        <f>IF(OR($A2076="",Q2076=""),"",(Q2076-B2076)*24)</f>
        <v/>
      </c>
      <c r="AE2076" s="69">
        <f>IF(OR(Q2076="",R2076=""),"",(R2076-Q2076)*24)</f>
        <v/>
      </c>
      <c r="AF2076" s="77">
        <f>IF(OR($A2076="",B2076=""),"",YEAR(B2076))</f>
        <v/>
      </c>
      <c r="AG2076" s="77">
        <f>IF(OR($A2076="",B2076=""),"",MONTH(B2076))</f>
        <v/>
      </c>
    </row>
    <row r="2077">
      <c r="A2077" s="7" t="n"/>
      <c r="B2077" s="75" t="n"/>
      <c r="C2077" s="7" t="n"/>
      <c r="D2077" s="7" t="n"/>
      <c r="E2077" s="9">
        <f>IF(D2077="","",IFERROR(INDEX('Équipements'!$B$5:$B$304,MATCH(D2077,'Équipements'!$A$5:$A$304,0)),"Code inconnu"))</f>
        <v/>
      </c>
      <c r="F2077" s="9">
        <f>IF(D2077="","",IFERROR(INDEX('Équipements'!$D$5:$D$304,MATCH(D2077,'Équipements'!$A$5:$A$304,0)),""))</f>
        <v/>
      </c>
      <c r="G2077" s="9">
        <f>IF(D2077="","",IFERROR(INDEX('Équipements'!$K$5:$K$304,MATCH(D2077,'Équipements'!$A$5:$A$304,0)),""))</f>
        <v/>
      </c>
      <c r="H2077" s="7" t="n"/>
      <c r="I2077" s="7" t="n"/>
      <c r="J2077" s="7" t="n"/>
      <c r="K2077" s="7" t="n"/>
      <c r="L2077" s="7" t="n"/>
      <c r="M2077" s="7" t="n"/>
      <c r="N2077" s="7" t="n"/>
      <c r="O2077" s="7" t="n"/>
      <c r="P2077" s="65" t="n"/>
      <c r="Q2077" s="75" t="n"/>
      <c r="R2077" s="75" t="n"/>
      <c r="S2077" s="76" t="n"/>
      <c r="T2077" s="76" t="n"/>
      <c r="U2077" s="70">
        <f>IF($A2077="","",IFERROR(INDEX('Techniciens'!$F$5:$F$44,MATCH(O2077,'Techniciens'!$B$5:$B$44,0)),'Paramètres'!$AA$10))</f>
        <v/>
      </c>
      <c r="V2077" s="70">
        <f>IF($A2077="","",IF(OR(AC2077="Demandé",AC2077="Planifié",AC2077="Annulé"),0,N(T2077)*N(U2077)))</f>
        <v/>
      </c>
      <c r="W2077" s="70">
        <f>IF($A2077="","",SUMIFS('Mouvements stock'!$H$5:$H$3004,'Mouvements stock'!$I$5:$I$3004,$A2077,'Mouvements stock'!$C$5:$C$3004,"Sortie")-SUMIFS('Mouvements stock'!$H$5:$H$3004,'Mouvements stock'!$I$5:$I$3004,$A2077,'Mouvements stock'!$C$5:$C$3004,"Retour"))</f>
        <v/>
      </c>
      <c r="X2077" s="66" t="n"/>
      <c r="Y2077" s="66" t="n"/>
      <c r="Z2077" s="7" t="n"/>
      <c r="AA2077" s="70">
        <f>IF($A2077="","",N(V2077)+N(W2077)+N(X2077)+N(Y2077))</f>
        <v/>
      </c>
      <c r="AB2077" s="70">
        <f>IF($A2077="","",N(S2077)*'Paramètres'!$AA$9*IFERROR(INDEX('Paramètres'!$O$5:$O$7,MATCH(G2077,'Paramètres'!$N$5:$N$7,0)),0))</f>
        <v/>
      </c>
      <c r="AC2077" s="7" t="n"/>
      <c r="AD2077" s="69">
        <f>IF(OR($A2077="",Q2077=""),"",(Q2077-B2077)*24)</f>
        <v/>
      </c>
      <c r="AE2077" s="69">
        <f>IF(OR(Q2077="",R2077=""),"",(R2077-Q2077)*24)</f>
        <v/>
      </c>
      <c r="AF2077" s="77">
        <f>IF(OR($A2077="",B2077=""),"",YEAR(B2077))</f>
        <v/>
      </c>
      <c r="AG2077" s="77">
        <f>IF(OR($A2077="",B2077=""),"",MONTH(B2077))</f>
        <v/>
      </c>
    </row>
    <row r="2078">
      <c r="A2078" s="7" t="n"/>
      <c r="B2078" s="75" t="n"/>
      <c r="C2078" s="7" t="n"/>
      <c r="D2078" s="7" t="n"/>
      <c r="E2078" s="9">
        <f>IF(D2078="","",IFERROR(INDEX('Équipements'!$B$5:$B$304,MATCH(D2078,'Équipements'!$A$5:$A$304,0)),"Code inconnu"))</f>
        <v/>
      </c>
      <c r="F2078" s="9">
        <f>IF(D2078="","",IFERROR(INDEX('Équipements'!$D$5:$D$304,MATCH(D2078,'Équipements'!$A$5:$A$304,0)),""))</f>
        <v/>
      </c>
      <c r="G2078" s="9">
        <f>IF(D2078="","",IFERROR(INDEX('Équipements'!$K$5:$K$304,MATCH(D2078,'Équipements'!$A$5:$A$304,0)),""))</f>
        <v/>
      </c>
      <c r="H2078" s="7" t="n"/>
      <c r="I2078" s="7" t="n"/>
      <c r="J2078" s="7" t="n"/>
      <c r="K2078" s="7" t="n"/>
      <c r="L2078" s="7" t="n"/>
      <c r="M2078" s="7" t="n"/>
      <c r="N2078" s="7" t="n"/>
      <c r="O2078" s="7" t="n"/>
      <c r="P2078" s="65" t="n"/>
      <c r="Q2078" s="75" t="n"/>
      <c r="R2078" s="75" t="n"/>
      <c r="S2078" s="76" t="n"/>
      <c r="T2078" s="76" t="n"/>
      <c r="U2078" s="70">
        <f>IF($A2078="","",IFERROR(INDEX('Techniciens'!$F$5:$F$44,MATCH(O2078,'Techniciens'!$B$5:$B$44,0)),'Paramètres'!$AA$10))</f>
        <v/>
      </c>
      <c r="V2078" s="70">
        <f>IF($A2078="","",IF(OR(AC2078="Demandé",AC2078="Planifié",AC2078="Annulé"),0,N(T2078)*N(U2078)))</f>
        <v/>
      </c>
      <c r="W2078" s="70">
        <f>IF($A2078="","",SUMIFS('Mouvements stock'!$H$5:$H$3004,'Mouvements stock'!$I$5:$I$3004,$A2078,'Mouvements stock'!$C$5:$C$3004,"Sortie")-SUMIFS('Mouvements stock'!$H$5:$H$3004,'Mouvements stock'!$I$5:$I$3004,$A2078,'Mouvements stock'!$C$5:$C$3004,"Retour"))</f>
        <v/>
      </c>
      <c r="X2078" s="66" t="n"/>
      <c r="Y2078" s="66" t="n"/>
      <c r="Z2078" s="7" t="n"/>
      <c r="AA2078" s="70">
        <f>IF($A2078="","",N(V2078)+N(W2078)+N(X2078)+N(Y2078))</f>
        <v/>
      </c>
      <c r="AB2078" s="70">
        <f>IF($A2078="","",N(S2078)*'Paramètres'!$AA$9*IFERROR(INDEX('Paramètres'!$O$5:$O$7,MATCH(G2078,'Paramètres'!$N$5:$N$7,0)),0))</f>
        <v/>
      </c>
      <c r="AC2078" s="7" t="n"/>
      <c r="AD2078" s="69">
        <f>IF(OR($A2078="",Q2078=""),"",(Q2078-B2078)*24)</f>
        <v/>
      </c>
      <c r="AE2078" s="69">
        <f>IF(OR(Q2078="",R2078=""),"",(R2078-Q2078)*24)</f>
        <v/>
      </c>
      <c r="AF2078" s="77">
        <f>IF(OR($A2078="",B2078=""),"",YEAR(B2078))</f>
        <v/>
      </c>
      <c r="AG2078" s="77">
        <f>IF(OR($A2078="",B2078=""),"",MONTH(B2078))</f>
        <v/>
      </c>
    </row>
    <row r="2079">
      <c r="A2079" s="7" t="n"/>
      <c r="B2079" s="75" t="n"/>
      <c r="C2079" s="7" t="n"/>
      <c r="D2079" s="7" t="n"/>
      <c r="E2079" s="9">
        <f>IF(D2079="","",IFERROR(INDEX('Équipements'!$B$5:$B$304,MATCH(D2079,'Équipements'!$A$5:$A$304,0)),"Code inconnu"))</f>
        <v/>
      </c>
      <c r="F2079" s="9">
        <f>IF(D2079="","",IFERROR(INDEX('Équipements'!$D$5:$D$304,MATCH(D2079,'Équipements'!$A$5:$A$304,0)),""))</f>
        <v/>
      </c>
      <c r="G2079" s="9">
        <f>IF(D2079="","",IFERROR(INDEX('Équipements'!$K$5:$K$304,MATCH(D2079,'Équipements'!$A$5:$A$304,0)),""))</f>
        <v/>
      </c>
      <c r="H2079" s="7" t="n"/>
      <c r="I2079" s="7" t="n"/>
      <c r="J2079" s="7" t="n"/>
      <c r="K2079" s="7" t="n"/>
      <c r="L2079" s="7" t="n"/>
      <c r="M2079" s="7" t="n"/>
      <c r="N2079" s="7" t="n"/>
      <c r="O2079" s="7" t="n"/>
      <c r="P2079" s="65" t="n"/>
      <c r="Q2079" s="75" t="n"/>
      <c r="R2079" s="75" t="n"/>
      <c r="S2079" s="76" t="n"/>
      <c r="T2079" s="76" t="n"/>
      <c r="U2079" s="70">
        <f>IF($A2079="","",IFERROR(INDEX('Techniciens'!$F$5:$F$44,MATCH(O2079,'Techniciens'!$B$5:$B$44,0)),'Paramètres'!$AA$10))</f>
        <v/>
      </c>
      <c r="V2079" s="70">
        <f>IF($A2079="","",IF(OR(AC2079="Demandé",AC2079="Planifié",AC2079="Annulé"),0,N(T2079)*N(U2079)))</f>
        <v/>
      </c>
      <c r="W2079" s="70">
        <f>IF($A2079="","",SUMIFS('Mouvements stock'!$H$5:$H$3004,'Mouvements stock'!$I$5:$I$3004,$A2079,'Mouvements stock'!$C$5:$C$3004,"Sortie")-SUMIFS('Mouvements stock'!$H$5:$H$3004,'Mouvements stock'!$I$5:$I$3004,$A2079,'Mouvements stock'!$C$5:$C$3004,"Retour"))</f>
        <v/>
      </c>
      <c r="X2079" s="66" t="n"/>
      <c r="Y2079" s="66" t="n"/>
      <c r="Z2079" s="7" t="n"/>
      <c r="AA2079" s="70">
        <f>IF($A2079="","",N(V2079)+N(W2079)+N(X2079)+N(Y2079))</f>
        <v/>
      </c>
      <c r="AB2079" s="70">
        <f>IF($A2079="","",N(S2079)*'Paramètres'!$AA$9*IFERROR(INDEX('Paramètres'!$O$5:$O$7,MATCH(G2079,'Paramètres'!$N$5:$N$7,0)),0))</f>
        <v/>
      </c>
      <c r="AC2079" s="7" t="n"/>
      <c r="AD2079" s="69">
        <f>IF(OR($A2079="",Q2079=""),"",(Q2079-B2079)*24)</f>
        <v/>
      </c>
      <c r="AE2079" s="69">
        <f>IF(OR(Q2079="",R2079=""),"",(R2079-Q2079)*24)</f>
        <v/>
      </c>
      <c r="AF2079" s="77">
        <f>IF(OR($A2079="",B2079=""),"",YEAR(B2079))</f>
        <v/>
      </c>
      <c r="AG2079" s="77">
        <f>IF(OR($A2079="",B2079=""),"",MONTH(B2079))</f>
        <v/>
      </c>
    </row>
    <row r="2080">
      <c r="A2080" s="7" t="n"/>
      <c r="B2080" s="75" t="n"/>
      <c r="C2080" s="7" t="n"/>
      <c r="D2080" s="7" t="n"/>
      <c r="E2080" s="9">
        <f>IF(D2080="","",IFERROR(INDEX('Équipements'!$B$5:$B$304,MATCH(D2080,'Équipements'!$A$5:$A$304,0)),"Code inconnu"))</f>
        <v/>
      </c>
      <c r="F2080" s="9">
        <f>IF(D2080="","",IFERROR(INDEX('Équipements'!$D$5:$D$304,MATCH(D2080,'Équipements'!$A$5:$A$304,0)),""))</f>
        <v/>
      </c>
      <c r="G2080" s="9">
        <f>IF(D2080="","",IFERROR(INDEX('Équipements'!$K$5:$K$304,MATCH(D2080,'Équipements'!$A$5:$A$304,0)),""))</f>
        <v/>
      </c>
      <c r="H2080" s="7" t="n"/>
      <c r="I2080" s="7" t="n"/>
      <c r="J2080" s="7" t="n"/>
      <c r="K2080" s="7" t="n"/>
      <c r="L2080" s="7" t="n"/>
      <c r="M2080" s="7" t="n"/>
      <c r="N2080" s="7" t="n"/>
      <c r="O2080" s="7" t="n"/>
      <c r="P2080" s="65" t="n"/>
      <c r="Q2080" s="75" t="n"/>
      <c r="R2080" s="75" t="n"/>
      <c r="S2080" s="76" t="n"/>
      <c r="T2080" s="76" t="n"/>
      <c r="U2080" s="70">
        <f>IF($A2080="","",IFERROR(INDEX('Techniciens'!$F$5:$F$44,MATCH(O2080,'Techniciens'!$B$5:$B$44,0)),'Paramètres'!$AA$10))</f>
        <v/>
      </c>
      <c r="V2080" s="70">
        <f>IF($A2080="","",IF(OR(AC2080="Demandé",AC2080="Planifié",AC2080="Annulé"),0,N(T2080)*N(U2080)))</f>
        <v/>
      </c>
      <c r="W2080" s="70">
        <f>IF($A2080="","",SUMIFS('Mouvements stock'!$H$5:$H$3004,'Mouvements stock'!$I$5:$I$3004,$A2080,'Mouvements stock'!$C$5:$C$3004,"Sortie")-SUMIFS('Mouvements stock'!$H$5:$H$3004,'Mouvements stock'!$I$5:$I$3004,$A2080,'Mouvements stock'!$C$5:$C$3004,"Retour"))</f>
        <v/>
      </c>
      <c r="X2080" s="66" t="n"/>
      <c r="Y2080" s="66" t="n"/>
      <c r="Z2080" s="7" t="n"/>
      <c r="AA2080" s="70">
        <f>IF($A2080="","",N(V2080)+N(W2080)+N(X2080)+N(Y2080))</f>
        <v/>
      </c>
      <c r="AB2080" s="70">
        <f>IF($A2080="","",N(S2080)*'Paramètres'!$AA$9*IFERROR(INDEX('Paramètres'!$O$5:$O$7,MATCH(G2080,'Paramètres'!$N$5:$N$7,0)),0))</f>
        <v/>
      </c>
      <c r="AC2080" s="7" t="n"/>
      <c r="AD2080" s="69">
        <f>IF(OR($A2080="",Q2080=""),"",(Q2080-B2080)*24)</f>
        <v/>
      </c>
      <c r="AE2080" s="69">
        <f>IF(OR(Q2080="",R2080=""),"",(R2080-Q2080)*24)</f>
        <v/>
      </c>
      <c r="AF2080" s="77">
        <f>IF(OR($A2080="",B2080=""),"",YEAR(B2080))</f>
        <v/>
      </c>
      <c r="AG2080" s="77">
        <f>IF(OR($A2080="",B2080=""),"",MONTH(B2080))</f>
        <v/>
      </c>
    </row>
    <row r="2081">
      <c r="A2081" s="7" t="n"/>
      <c r="B2081" s="75" t="n"/>
      <c r="C2081" s="7" t="n"/>
      <c r="D2081" s="7" t="n"/>
      <c r="E2081" s="9">
        <f>IF(D2081="","",IFERROR(INDEX('Équipements'!$B$5:$B$304,MATCH(D2081,'Équipements'!$A$5:$A$304,0)),"Code inconnu"))</f>
        <v/>
      </c>
      <c r="F2081" s="9">
        <f>IF(D2081="","",IFERROR(INDEX('Équipements'!$D$5:$D$304,MATCH(D2081,'Équipements'!$A$5:$A$304,0)),""))</f>
        <v/>
      </c>
      <c r="G2081" s="9">
        <f>IF(D2081="","",IFERROR(INDEX('Équipements'!$K$5:$K$304,MATCH(D2081,'Équipements'!$A$5:$A$304,0)),""))</f>
        <v/>
      </c>
      <c r="H2081" s="7" t="n"/>
      <c r="I2081" s="7" t="n"/>
      <c r="J2081" s="7" t="n"/>
      <c r="K2081" s="7" t="n"/>
      <c r="L2081" s="7" t="n"/>
      <c r="M2081" s="7" t="n"/>
      <c r="N2081" s="7" t="n"/>
      <c r="O2081" s="7" t="n"/>
      <c r="P2081" s="65" t="n"/>
      <c r="Q2081" s="75" t="n"/>
      <c r="R2081" s="75" t="n"/>
      <c r="S2081" s="76" t="n"/>
      <c r="T2081" s="76" t="n"/>
      <c r="U2081" s="70">
        <f>IF($A2081="","",IFERROR(INDEX('Techniciens'!$F$5:$F$44,MATCH(O2081,'Techniciens'!$B$5:$B$44,0)),'Paramètres'!$AA$10))</f>
        <v/>
      </c>
      <c r="V2081" s="70">
        <f>IF($A2081="","",IF(OR(AC2081="Demandé",AC2081="Planifié",AC2081="Annulé"),0,N(T2081)*N(U2081)))</f>
        <v/>
      </c>
      <c r="W2081" s="70">
        <f>IF($A2081="","",SUMIFS('Mouvements stock'!$H$5:$H$3004,'Mouvements stock'!$I$5:$I$3004,$A2081,'Mouvements stock'!$C$5:$C$3004,"Sortie")-SUMIFS('Mouvements stock'!$H$5:$H$3004,'Mouvements stock'!$I$5:$I$3004,$A2081,'Mouvements stock'!$C$5:$C$3004,"Retour"))</f>
        <v/>
      </c>
      <c r="X2081" s="66" t="n"/>
      <c r="Y2081" s="66" t="n"/>
      <c r="Z2081" s="7" t="n"/>
      <c r="AA2081" s="70">
        <f>IF($A2081="","",N(V2081)+N(W2081)+N(X2081)+N(Y2081))</f>
        <v/>
      </c>
      <c r="AB2081" s="70">
        <f>IF($A2081="","",N(S2081)*'Paramètres'!$AA$9*IFERROR(INDEX('Paramètres'!$O$5:$O$7,MATCH(G2081,'Paramètres'!$N$5:$N$7,0)),0))</f>
        <v/>
      </c>
      <c r="AC2081" s="7" t="n"/>
      <c r="AD2081" s="69">
        <f>IF(OR($A2081="",Q2081=""),"",(Q2081-B2081)*24)</f>
        <v/>
      </c>
      <c r="AE2081" s="69">
        <f>IF(OR(Q2081="",R2081=""),"",(R2081-Q2081)*24)</f>
        <v/>
      </c>
      <c r="AF2081" s="77">
        <f>IF(OR($A2081="",B2081=""),"",YEAR(B2081))</f>
        <v/>
      </c>
      <c r="AG2081" s="77">
        <f>IF(OR($A2081="",B2081=""),"",MONTH(B2081))</f>
        <v/>
      </c>
    </row>
    <row r="2082">
      <c r="A2082" s="7" t="n"/>
      <c r="B2082" s="75" t="n"/>
      <c r="C2082" s="7" t="n"/>
      <c r="D2082" s="7" t="n"/>
      <c r="E2082" s="9">
        <f>IF(D2082="","",IFERROR(INDEX('Équipements'!$B$5:$B$304,MATCH(D2082,'Équipements'!$A$5:$A$304,0)),"Code inconnu"))</f>
        <v/>
      </c>
      <c r="F2082" s="9">
        <f>IF(D2082="","",IFERROR(INDEX('Équipements'!$D$5:$D$304,MATCH(D2082,'Équipements'!$A$5:$A$304,0)),""))</f>
        <v/>
      </c>
      <c r="G2082" s="9">
        <f>IF(D2082="","",IFERROR(INDEX('Équipements'!$K$5:$K$304,MATCH(D2082,'Équipements'!$A$5:$A$304,0)),""))</f>
        <v/>
      </c>
      <c r="H2082" s="7" t="n"/>
      <c r="I2082" s="7" t="n"/>
      <c r="J2082" s="7" t="n"/>
      <c r="K2082" s="7" t="n"/>
      <c r="L2082" s="7" t="n"/>
      <c r="M2082" s="7" t="n"/>
      <c r="N2082" s="7" t="n"/>
      <c r="O2082" s="7" t="n"/>
      <c r="P2082" s="65" t="n"/>
      <c r="Q2082" s="75" t="n"/>
      <c r="R2082" s="75" t="n"/>
      <c r="S2082" s="76" t="n"/>
      <c r="T2082" s="76" t="n"/>
      <c r="U2082" s="70">
        <f>IF($A2082="","",IFERROR(INDEX('Techniciens'!$F$5:$F$44,MATCH(O2082,'Techniciens'!$B$5:$B$44,0)),'Paramètres'!$AA$10))</f>
        <v/>
      </c>
      <c r="V2082" s="70">
        <f>IF($A2082="","",IF(OR(AC2082="Demandé",AC2082="Planifié",AC2082="Annulé"),0,N(T2082)*N(U2082)))</f>
        <v/>
      </c>
      <c r="W2082" s="70">
        <f>IF($A2082="","",SUMIFS('Mouvements stock'!$H$5:$H$3004,'Mouvements stock'!$I$5:$I$3004,$A2082,'Mouvements stock'!$C$5:$C$3004,"Sortie")-SUMIFS('Mouvements stock'!$H$5:$H$3004,'Mouvements stock'!$I$5:$I$3004,$A2082,'Mouvements stock'!$C$5:$C$3004,"Retour"))</f>
        <v/>
      </c>
      <c r="X2082" s="66" t="n"/>
      <c r="Y2082" s="66" t="n"/>
      <c r="Z2082" s="7" t="n"/>
      <c r="AA2082" s="70">
        <f>IF($A2082="","",N(V2082)+N(W2082)+N(X2082)+N(Y2082))</f>
        <v/>
      </c>
      <c r="AB2082" s="70">
        <f>IF($A2082="","",N(S2082)*'Paramètres'!$AA$9*IFERROR(INDEX('Paramètres'!$O$5:$O$7,MATCH(G2082,'Paramètres'!$N$5:$N$7,0)),0))</f>
        <v/>
      </c>
      <c r="AC2082" s="7" t="n"/>
      <c r="AD2082" s="69">
        <f>IF(OR($A2082="",Q2082=""),"",(Q2082-B2082)*24)</f>
        <v/>
      </c>
      <c r="AE2082" s="69">
        <f>IF(OR(Q2082="",R2082=""),"",(R2082-Q2082)*24)</f>
        <v/>
      </c>
      <c r="AF2082" s="77">
        <f>IF(OR($A2082="",B2082=""),"",YEAR(B2082))</f>
        <v/>
      </c>
      <c r="AG2082" s="77">
        <f>IF(OR($A2082="",B2082=""),"",MONTH(B2082))</f>
        <v/>
      </c>
    </row>
    <row r="2083">
      <c r="A2083" s="7" t="n"/>
      <c r="B2083" s="75" t="n"/>
      <c r="C2083" s="7" t="n"/>
      <c r="D2083" s="7" t="n"/>
      <c r="E2083" s="9">
        <f>IF(D2083="","",IFERROR(INDEX('Équipements'!$B$5:$B$304,MATCH(D2083,'Équipements'!$A$5:$A$304,0)),"Code inconnu"))</f>
        <v/>
      </c>
      <c r="F2083" s="9">
        <f>IF(D2083="","",IFERROR(INDEX('Équipements'!$D$5:$D$304,MATCH(D2083,'Équipements'!$A$5:$A$304,0)),""))</f>
        <v/>
      </c>
      <c r="G2083" s="9">
        <f>IF(D2083="","",IFERROR(INDEX('Équipements'!$K$5:$K$304,MATCH(D2083,'Équipements'!$A$5:$A$304,0)),""))</f>
        <v/>
      </c>
      <c r="H2083" s="7" t="n"/>
      <c r="I2083" s="7" t="n"/>
      <c r="J2083" s="7" t="n"/>
      <c r="K2083" s="7" t="n"/>
      <c r="L2083" s="7" t="n"/>
      <c r="M2083" s="7" t="n"/>
      <c r="N2083" s="7" t="n"/>
      <c r="O2083" s="7" t="n"/>
      <c r="P2083" s="65" t="n"/>
      <c r="Q2083" s="75" t="n"/>
      <c r="R2083" s="75" t="n"/>
      <c r="S2083" s="76" t="n"/>
      <c r="T2083" s="76" t="n"/>
      <c r="U2083" s="70">
        <f>IF($A2083="","",IFERROR(INDEX('Techniciens'!$F$5:$F$44,MATCH(O2083,'Techniciens'!$B$5:$B$44,0)),'Paramètres'!$AA$10))</f>
        <v/>
      </c>
      <c r="V2083" s="70">
        <f>IF($A2083="","",IF(OR(AC2083="Demandé",AC2083="Planifié",AC2083="Annulé"),0,N(T2083)*N(U2083)))</f>
        <v/>
      </c>
      <c r="W2083" s="70">
        <f>IF($A2083="","",SUMIFS('Mouvements stock'!$H$5:$H$3004,'Mouvements stock'!$I$5:$I$3004,$A2083,'Mouvements stock'!$C$5:$C$3004,"Sortie")-SUMIFS('Mouvements stock'!$H$5:$H$3004,'Mouvements stock'!$I$5:$I$3004,$A2083,'Mouvements stock'!$C$5:$C$3004,"Retour"))</f>
        <v/>
      </c>
      <c r="X2083" s="66" t="n"/>
      <c r="Y2083" s="66" t="n"/>
      <c r="Z2083" s="7" t="n"/>
      <c r="AA2083" s="70">
        <f>IF($A2083="","",N(V2083)+N(W2083)+N(X2083)+N(Y2083))</f>
        <v/>
      </c>
      <c r="AB2083" s="70">
        <f>IF($A2083="","",N(S2083)*'Paramètres'!$AA$9*IFERROR(INDEX('Paramètres'!$O$5:$O$7,MATCH(G2083,'Paramètres'!$N$5:$N$7,0)),0))</f>
        <v/>
      </c>
      <c r="AC2083" s="7" t="n"/>
      <c r="AD2083" s="69">
        <f>IF(OR($A2083="",Q2083=""),"",(Q2083-B2083)*24)</f>
        <v/>
      </c>
      <c r="AE2083" s="69">
        <f>IF(OR(Q2083="",R2083=""),"",(R2083-Q2083)*24)</f>
        <v/>
      </c>
      <c r="AF2083" s="77">
        <f>IF(OR($A2083="",B2083=""),"",YEAR(B2083))</f>
        <v/>
      </c>
      <c r="AG2083" s="77">
        <f>IF(OR($A2083="",B2083=""),"",MONTH(B2083))</f>
        <v/>
      </c>
    </row>
    <row r="2084">
      <c r="A2084" s="7" t="n"/>
      <c r="B2084" s="75" t="n"/>
      <c r="C2084" s="7" t="n"/>
      <c r="D2084" s="7" t="n"/>
      <c r="E2084" s="9">
        <f>IF(D2084="","",IFERROR(INDEX('Équipements'!$B$5:$B$304,MATCH(D2084,'Équipements'!$A$5:$A$304,0)),"Code inconnu"))</f>
        <v/>
      </c>
      <c r="F2084" s="9">
        <f>IF(D2084="","",IFERROR(INDEX('Équipements'!$D$5:$D$304,MATCH(D2084,'Équipements'!$A$5:$A$304,0)),""))</f>
        <v/>
      </c>
      <c r="G2084" s="9">
        <f>IF(D2084="","",IFERROR(INDEX('Équipements'!$K$5:$K$304,MATCH(D2084,'Équipements'!$A$5:$A$304,0)),""))</f>
        <v/>
      </c>
      <c r="H2084" s="7" t="n"/>
      <c r="I2084" s="7" t="n"/>
      <c r="J2084" s="7" t="n"/>
      <c r="K2084" s="7" t="n"/>
      <c r="L2084" s="7" t="n"/>
      <c r="M2084" s="7" t="n"/>
      <c r="N2084" s="7" t="n"/>
      <c r="O2084" s="7" t="n"/>
      <c r="P2084" s="65" t="n"/>
      <c r="Q2084" s="75" t="n"/>
      <c r="R2084" s="75" t="n"/>
      <c r="S2084" s="76" t="n"/>
      <c r="T2084" s="76" t="n"/>
      <c r="U2084" s="70">
        <f>IF($A2084="","",IFERROR(INDEX('Techniciens'!$F$5:$F$44,MATCH(O2084,'Techniciens'!$B$5:$B$44,0)),'Paramètres'!$AA$10))</f>
        <v/>
      </c>
      <c r="V2084" s="70">
        <f>IF($A2084="","",IF(OR(AC2084="Demandé",AC2084="Planifié",AC2084="Annulé"),0,N(T2084)*N(U2084)))</f>
        <v/>
      </c>
      <c r="W2084" s="70">
        <f>IF($A2084="","",SUMIFS('Mouvements stock'!$H$5:$H$3004,'Mouvements stock'!$I$5:$I$3004,$A2084,'Mouvements stock'!$C$5:$C$3004,"Sortie")-SUMIFS('Mouvements stock'!$H$5:$H$3004,'Mouvements stock'!$I$5:$I$3004,$A2084,'Mouvements stock'!$C$5:$C$3004,"Retour"))</f>
        <v/>
      </c>
      <c r="X2084" s="66" t="n"/>
      <c r="Y2084" s="66" t="n"/>
      <c r="Z2084" s="7" t="n"/>
      <c r="AA2084" s="70">
        <f>IF($A2084="","",N(V2084)+N(W2084)+N(X2084)+N(Y2084))</f>
        <v/>
      </c>
      <c r="AB2084" s="70">
        <f>IF($A2084="","",N(S2084)*'Paramètres'!$AA$9*IFERROR(INDEX('Paramètres'!$O$5:$O$7,MATCH(G2084,'Paramètres'!$N$5:$N$7,0)),0))</f>
        <v/>
      </c>
      <c r="AC2084" s="7" t="n"/>
      <c r="AD2084" s="69">
        <f>IF(OR($A2084="",Q2084=""),"",(Q2084-B2084)*24)</f>
        <v/>
      </c>
      <c r="AE2084" s="69">
        <f>IF(OR(Q2084="",R2084=""),"",(R2084-Q2084)*24)</f>
        <v/>
      </c>
      <c r="AF2084" s="77">
        <f>IF(OR($A2084="",B2084=""),"",YEAR(B2084))</f>
        <v/>
      </c>
      <c r="AG2084" s="77">
        <f>IF(OR($A2084="",B2084=""),"",MONTH(B2084))</f>
        <v/>
      </c>
    </row>
    <row r="2085">
      <c r="A2085" s="7" t="n"/>
      <c r="B2085" s="75" t="n"/>
      <c r="C2085" s="7" t="n"/>
      <c r="D2085" s="7" t="n"/>
      <c r="E2085" s="9">
        <f>IF(D2085="","",IFERROR(INDEX('Équipements'!$B$5:$B$304,MATCH(D2085,'Équipements'!$A$5:$A$304,0)),"Code inconnu"))</f>
        <v/>
      </c>
      <c r="F2085" s="9">
        <f>IF(D2085="","",IFERROR(INDEX('Équipements'!$D$5:$D$304,MATCH(D2085,'Équipements'!$A$5:$A$304,0)),""))</f>
        <v/>
      </c>
      <c r="G2085" s="9">
        <f>IF(D2085="","",IFERROR(INDEX('Équipements'!$K$5:$K$304,MATCH(D2085,'Équipements'!$A$5:$A$304,0)),""))</f>
        <v/>
      </c>
      <c r="H2085" s="7" t="n"/>
      <c r="I2085" s="7" t="n"/>
      <c r="J2085" s="7" t="n"/>
      <c r="K2085" s="7" t="n"/>
      <c r="L2085" s="7" t="n"/>
      <c r="M2085" s="7" t="n"/>
      <c r="N2085" s="7" t="n"/>
      <c r="O2085" s="7" t="n"/>
      <c r="P2085" s="65" t="n"/>
      <c r="Q2085" s="75" t="n"/>
      <c r="R2085" s="75" t="n"/>
      <c r="S2085" s="76" t="n"/>
      <c r="T2085" s="76" t="n"/>
      <c r="U2085" s="70">
        <f>IF($A2085="","",IFERROR(INDEX('Techniciens'!$F$5:$F$44,MATCH(O2085,'Techniciens'!$B$5:$B$44,0)),'Paramètres'!$AA$10))</f>
        <v/>
      </c>
      <c r="V2085" s="70">
        <f>IF($A2085="","",IF(OR(AC2085="Demandé",AC2085="Planifié",AC2085="Annulé"),0,N(T2085)*N(U2085)))</f>
        <v/>
      </c>
      <c r="W2085" s="70">
        <f>IF($A2085="","",SUMIFS('Mouvements stock'!$H$5:$H$3004,'Mouvements stock'!$I$5:$I$3004,$A2085,'Mouvements stock'!$C$5:$C$3004,"Sortie")-SUMIFS('Mouvements stock'!$H$5:$H$3004,'Mouvements stock'!$I$5:$I$3004,$A2085,'Mouvements stock'!$C$5:$C$3004,"Retour"))</f>
        <v/>
      </c>
      <c r="X2085" s="66" t="n"/>
      <c r="Y2085" s="66" t="n"/>
      <c r="Z2085" s="7" t="n"/>
      <c r="AA2085" s="70">
        <f>IF($A2085="","",N(V2085)+N(W2085)+N(X2085)+N(Y2085))</f>
        <v/>
      </c>
      <c r="AB2085" s="70">
        <f>IF($A2085="","",N(S2085)*'Paramètres'!$AA$9*IFERROR(INDEX('Paramètres'!$O$5:$O$7,MATCH(G2085,'Paramètres'!$N$5:$N$7,0)),0))</f>
        <v/>
      </c>
      <c r="AC2085" s="7" t="n"/>
      <c r="AD2085" s="69">
        <f>IF(OR($A2085="",Q2085=""),"",(Q2085-B2085)*24)</f>
        <v/>
      </c>
      <c r="AE2085" s="69">
        <f>IF(OR(Q2085="",R2085=""),"",(R2085-Q2085)*24)</f>
        <v/>
      </c>
      <c r="AF2085" s="77">
        <f>IF(OR($A2085="",B2085=""),"",YEAR(B2085))</f>
        <v/>
      </c>
      <c r="AG2085" s="77">
        <f>IF(OR($A2085="",B2085=""),"",MONTH(B2085))</f>
        <v/>
      </c>
    </row>
    <row r="2086">
      <c r="A2086" s="7" t="n"/>
      <c r="B2086" s="75" t="n"/>
      <c r="C2086" s="7" t="n"/>
      <c r="D2086" s="7" t="n"/>
      <c r="E2086" s="9">
        <f>IF(D2086="","",IFERROR(INDEX('Équipements'!$B$5:$B$304,MATCH(D2086,'Équipements'!$A$5:$A$304,0)),"Code inconnu"))</f>
        <v/>
      </c>
      <c r="F2086" s="9">
        <f>IF(D2086="","",IFERROR(INDEX('Équipements'!$D$5:$D$304,MATCH(D2086,'Équipements'!$A$5:$A$304,0)),""))</f>
        <v/>
      </c>
      <c r="G2086" s="9">
        <f>IF(D2086="","",IFERROR(INDEX('Équipements'!$K$5:$K$304,MATCH(D2086,'Équipements'!$A$5:$A$304,0)),""))</f>
        <v/>
      </c>
      <c r="H2086" s="7" t="n"/>
      <c r="I2086" s="7" t="n"/>
      <c r="J2086" s="7" t="n"/>
      <c r="K2086" s="7" t="n"/>
      <c r="L2086" s="7" t="n"/>
      <c r="M2086" s="7" t="n"/>
      <c r="N2086" s="7" t="n"/>
      <c r="O2086" s="7" t="n"/>
      <c r="P2086" s="65" t="n"/>
      <c r="Q2086" s="75" t="n"/>
      <c r="R2086" s="75" t="n"/>
      <c r="S2086" s="76" t="n"/>
      <c r="T2086" s="76" t="n"/>
      <c r="U2086" s="70">
        <f>IF($A2086="","",IFERROR(INDEX('Techniciens'!$F$5:$F$44,MATCH(O2086,'Techniciens'!$B$5:$B$44,0)),'Paramètres'!$AA$10))</f>
        <v/>
      </c>
      <c r="V2086" s="70">
        <f>IF($A2086="","",IF(OR(AC2086="Demandé",AC2086="Planifié",AC2086="Annulé"),0,N(T2086)*N(U2086)))</f>
        <v/>
      </c>
      <c r="W2086" s="70">
        <f>IF($A2086="","",SUMIFS('Mouvements stock'!$H$5:$H$3004,'Mouvements stock'!$I$5:$I$3004,$A2086,'Mouvements stock'!$C$5:$C$3004,"Sortie")-SUMIFS('Mouvements stock'!$H$5:$H$3004,'Mouvements stock'!$I$5:$I$3004,$A2086,'Mouvements stock'!$C$5:$C$3004,"Retour"))</f>
        <v/>
      </c>
      <c r="X2086" s="66" t="n"/>
      <c r="Y2086" s="66" t="n"/>
      <c r="Z2086" s="7" t="n"/>
      <c r="AA2086" s="70">
        <f>IF($A2086="","",N(V2086)+N(W2086)+N(X2086)+N(Y2086))</f>
        <v/>
      </c>
      <c r="AB2086" s="70">
        <f>IF($A2086="","",N(S2086)*'Paramètres'!$AA$9*IFERROR(INDEX('Paramètres'!$O$5:$O$7,MATCH(G2086,'Paramètres'!$N$5:$N$7,0)),0))</f>
        <v/>
      </c>
      <c r="AC2086" s="7" t="n"/>
      <c r="AD2086" s="69">
        <f>IF(OR($A2086="",Q2086=""),"",(Q2086-B2086)*24)</f>
        <v/>
      </c>
      <c r="AE2086" s="69">
        <f>IF(OR(Q2086="",R2086=""),"",(R2086-Q2086)*24)</f>
        <v/>
      </c>
      <c r="AF2086" s="77">
        <f>IF(OR($A2086="",B2086=""),"",YEAR(B2086))</f>
        <v/>
      </c>
      <c r="AG2086" s="77">
        <f>IF(OR($A2086="",B2086=""),"",MONTH(B2086))</f>
        <v/>
      </c>
    </row>
    <row r="2087">
      <c r="A2087" s="7" t="n"/>
      <c r="B2087" s="75" t="n"/>
      <c r="C2087" s="7" t="n"/>
      <c r="D2087" s="7" t="n"/>
      <c r="E2087" s="9">
        <f>IF(D2087="","",IFERROR(INDEX('Équipements'!$B$5:$B$304,MATCH(D2087,'Équipements'!$A$5:$A$304,0)),"Code inconnu"))</f>
        <v/>
      </c>
      <c r="F2087" s="9">
        <f>IF(D2087="","",IFERROR(INDEX('Équipements'!$D$5:$D$304,MATCH(D2087,'Équipements'!$A$5:$A$304,0)),""))</f>
        <v/>
      </c>
      <c r="G2087" s="9">
        <f>IF(D2087="","",IFERROR(INDEX('Équipements'!$K$5:$K$304,MATCH(D2087,'Équipements'!$A$5:$A$304,0)),""))</f>
        <v/>
      </c>
      <c r="H2087" s="7" t="n"/>
      <c r="I2087" s="7" t="n"/>
      <c r="J2087" s="7" t="n"/>
      <c r="K2087" s="7" t="n"/>
      <c r="L2087" s="7" t="n"/>
      <c r="M2087" s="7" t="n"/>
      <c r="N2087" s="7" t="n"/>
      <c r="O2087" s="7" t="n"/>
      <c r="P2087" s="65" t="n"/>
      <c r="Q2087" s="75" t="n"/>
      <c r="R2087" s="75" t="n"/>
      <c r="S2087" s="76" t="n"/>
      <c r="T2087" s="76" t="n"/>
      <c r="U2087" s="70">
        <f>IF($A2087="","",IFERROR(INDEX('Techniciens'!$F$5:$F$44,MATCH(O2087,'Techniciens'!$B$5:$B$44,0)),'Paramètres'!$AA$10))</f>
        <v/>
      </c>
      <c r="V2087" s="70">
        <f>IF($A2087="","",IF(OR(AC2087="Demandé",AC2087="Planifié",AC2087="Annulé"),0,N(T2087)*N(U2087)))</f>
        <v/>
      </c>
      <c r="W2087" s="70">
        <f>IF($A2087="","",SUMIFS('Mouvements stock'!$H$5:$H$3004,'Mouvements stock'!$I$5:$I$3004,$A2087,'Mouvements stock'!$C$5:$C$3004,"Sortie")-SUMIFS('Mouvements stock'!$H$5:$H$3004,'Mouvements stock'!$I$5:$I$3004,$A2087,'Mouvements stock'!$C$5:$C$3004,"Retour"))</f>
        <v/>
      </c>
      <c r="X2087" s="66" t="n"/>
      <c r="Y2087" s="66" t="n"/>
      <c r="Z2087" s="7" t="n"/>
      <c r="AA2087" s="70">
        <f>IF($A2087="","",N(V2087)+N(W2087)+N(X2087)+N(Y2087))</f>
        <v/>
      </c>
      <c r="AB2087" s="70">
        <f>IF($A2087="","",N(S2087)*'Paramètres'!$AA$9*IFERROR(INDEX('Paramètres'!$O$5:$O$7,MATCH(G2087,'Paramètres'!$N$5:$N$7,0)),0))</f>
        <v/>
      </c>
      <c r="AC2087" s="7" t="n"/>
      <c r="AD2087" s="69">
        <f>IF(OR($A2087="",Q2087=""),"",(Q2087-B2087)*24)</f>
        <v/>
      </c>
      <c r="AE2087" s="69">
        <f>IF(OR(Q2087="",R2087=""),"",(R2087-Q2087)*24)</f>
        <v/>
      </c>
      <c r="AF2087" s="77">
        <f>IF(OR($A2087="",B2087=""),"",YEAR(B2087))</f>
        <v/>
      </c>
      <c r="AG2087" s="77">
        <f>IF(OR($A2087="",B2087=""),"",MONTH(B2087))</f>
        <v/>
      </c>
    </row>
    <row r="2088">
      <c r="A2088" s="7" t="n"/>
      <c r="B2088" s="75" t="n"/>
      <c r="C2088" s="7" t="n"/>
      <c r="D2088" s="7" t="n"/>
      <c r="E2088" s="9">
        <f>IF(D2088="","",IFERROR(INDEX('Équipements'!$B$5:$B$304,MATCH(D2088,'Équipements'!$A$5:$A$304,0)),"Code inconnu"))</f>
        <v/>
      </c>
      <c r="F2088" s="9">
        <f>IF(D2088="","",IFERROR(INDEX('Équipements'!$D$5:$D$304,MATCH(D2088,'Équipements'!$A$5:$A$304,0)),""))</f>
        <v/>
      </c>
      <c r="G2088" s="9">
        <f>IF(D2088="","",IFERROR(INDEX('Équipements'!$K$5:$K$304,MATCH(D2088,'Équipements'!$A$5:$A$304,0)),""))</f>
        <v/>
      </c>
      <c r="H2088" s="7" t="n"/>
      <c r="I2088" s="7" t="n"/>
      <c r="J2088" s="7" t="n"/>
      <c r="K2088" s="7" t="n"/>
      <c r="L2088" s="7" t="n"/>
      <c r="M2088" s="7" t="n"/>
      <c r="N2088" s="7" t="n"/>
      <c r="O2088" s="7" t="n"/>
      <c r="P2088" s="65" t="n"/>
      <c r="Q2088" s="75" t="n"/>
      <c r="R2088" s="75" t="n"/>
      <c r="S2088" s="76" t="n"/>
      <c r="T2088" s="76" t="n"/>
      <c r="U2088" s="70">
        <f>IF($A2088="","",IFERROR(INDEX('Techniciens'!$F$5:$F$44,MATCH(O2088,'Techniciens'!$B$5:$B$44,0)),'Paramètres'!$AA$10))</f>
        <v/>
      </c>
      <c r="V2088" s="70">
        <f>IF($A2088="","",IF(OR(AC2088="Demandé",AC2088="Planifié",AC2088="Annulé"),0,N(T2088)*N(U2088)))</f>
        <v/>
      </c>
      <c r="W2088" s="70">
        <f>IF($A2088="","",SUMIFS('Mouvements stock'!$H$5:$H$3004,'Mouvements stock'!$I$5:$I$3004,$A2088,'Mouvements stock'!$C$5:$C$3004,"Sortie")-SUMIFS('Mouvements stock'!$H$5:$H$3004,'Mouvements stock'!$I$5:$I$3004,$A2088,'Mouvements stock'!$C$5:$C$3004,"Retour"))</f>
        <v/>
      </c>
      <c r="X2088" s="66" t="n"/>
      <c r="Y2088" s="66" t="n"/>
      <c r="Z2088" s="7" t="n"/>
      <c r="AA2088" s="70">
        <f>IF($A2088="","",N(V2088)+N(W2088)+N(X2088)+N(Y2088))</f>
        <v/>
      </c>
      <c r="AB2088" s="70">
        <f>IF($A2088="","",N(S2088)*'Paramètres'!$AA$9*IFERROR(INDEX('Paramètres'!$O$5:$O$7,MATCH(G2088,'Paramètres'!$N$5:$N$7,0)),0))</f>
        <v/>
      </c>
      <c r="AC2088" s="7" t="n"/>
      <c r="AD2088" s="69">
        <f>IF(OR($A2088="",Q2088=""),"",(Q2088-B2088)*24)</f>
        <v/>
      </c>
      <c r="AE2088" s="69">
        <f>IF(OR(Q2088="",R2088=""),"",(R2088-Q2088)*24)</f>
        <v/>
      </c>
      <c r="AF2088" s="77">
        <f>IF(OR($A2088="",B2088=""),"",YEAR(B2088))</f>
        <v/>
      </c>
      <c r="AG2088" s="77">
        <f>IF(OR($A2088="",B2088=""),"",MONTH(B2088))</f>
        <v/>
      </c>
    </row>
    <row r="2089">
      <c r="A2089" s="7" t="n"/>
      <c r="B2089" s="75" t="n"/>
      <c r="C2089" s="7" t="n"/>
      <c r="D2089" s="7" t="n"/>
      <c r="E2089" s="9">
        <f>IF(D2089="","",IFERROR(INDEX('Équipements'!$B$5:$B$304,MATCH(D2089,'Équipements'!$A$5:$A$304,0)),"Code inconnu"))</f>
        <v/>
      </c>
      <c r="F2089" s="9">
        <f>IF(D2089="","",IFERROR(INDEX('Équipements'!$D$5:$D$304,MATCH(D2089,'Équipements'!$A$5:$A$304,0)),""))</f>
        <v/>
      </c>
      <c r="G2089" s="9">
        <f>IF(D2089="","",IFERROR(INDEX('Équipements'!$K$5:$K$304,MATCH(D2089,'Équipements'!$A$5:$A$304,0)),""))</f>
        <v/>
      </c>
      <c r="H2089" s="7" t="n"/>
      <c r="I2089" s="7" t="n"/>
      <c r="J2089" s="7" t="n"/>
      <c r="K2089" s="7" t="n"/>
      <c r="L2089" s="7" t="n"/>
      <c r="M2089" s="7" t="n"/>
      <c r="N2089" s="7" t="n"/>
      <c r="O2089" s="7" t="n"/>
      <c r="P2089" s="65" t="n"/>
      <c r="Q2089" s="75" t="n"/>
      <c r="R2089" s="75" t="n"/>
      <c r="S2089" s="76" t="n"/>
      <c r="T2089" s="76" t="n"/>
      <c r="U2089" s="70">
        <f>IF($A2089="","",IFERROR(INDEX('Techniciens'!$F$5:$F$44,MATCH(O2089,'Techniciens'!$B$5:$B$44,0)),'Paramètres'!$AA$10))</f>
        <v/>
      </c>
      <c r="V2089" s="70">
        <f>IF($A2089="","",IF(OR(AC2089="Demandé",AC2089="Planifié",AC2089="Annulé"),0,N(T2089)*N(U2089)))</f>
        <v/>
      </c>
      <c r="W2089" s="70">
        <f>IF($A2089="","",SUMIFS('Mouvements stock'!$H$5:$H$3004,'Mouvements stock'!$I$5:$I$3004,$A2089,'Mouvements stock'!$C$5:$C$3004,"Sortie")-SUMIFS('Mouvements stock'!$H$5:$H$3004,'Mouvements stock'!$I$5:$I$3004,$A2089,'Mouvements stock'!$C$5:$C$3004,"Retour"))</f>
        <v/>
      </c>
      <c r="X2089" s="66" t="n"/>
      <c r="Y2089" s="66" t="n"/>
      <c r="Z2089" s="7" t="n"/>
      <c r="AA2089" s="70">
        <f>IF($A2089="","",N(V2089)+N(W2089)+N(X2089)+N(Y2089))</f>
        <v/>
      </c>
      <c r="AB2089" s="70">
        <f>IF($A2089="","",N(S2089)*'Paramètres'!$AA$9*IFERROR(INDEX('Paramètres'!$O$5:$O$7,MATCH(G2089,'Paramètres'!$N$5:$N$7,0)),0))</f>
        <v/>
      </c>
      <c r="AC2089" s="7" t="n"/>
      <c r="AD2089" s="69">
        <f>IF(OR($A2089="",Q2089=""),"",(Q2089-B2089)*24)</f>
        <v/>
      </c>
      <c r="AE2089" s="69">
        <f>IF(OR(Q2089="",R2089=""),"",(R2089-Q2089)*24)</f>
        <v/>
      </c>
      <c r="AF2089" s="77">
        <f>IF(OR($A2089="",B2089=""),"",YEAR(B2089))</f>
        <v/>
      </c>
      <c r="AG2089" s="77">
        <f>IF(OR($A2089="",B2089=""),"",MONTH(B2089))</f>
        <v/>
      </c>
    </row>
    <row r="2090">
      <c r="A2090" s="7" t="n"/>
      <c r="B2090" s="75" t="n"/>
      <c r="C2090" s="7" t="n"/>
      <c r="D2090" s="7" t="n"/>
      <c r="E2090" s="9">
        <f>IF(D2090="","",IFERROR(INDEX('Équipements'!$B$5:$B$304,MATCH(D2090,'Équipements'!$A$5:$A$304,0)),"Code inconnu"))</f>
        <v/>
      </c>
      <c r="F2090" s="9">
        <f>IF(D2090="","",IFERROR(INDEX('Équipements'!$D$5:$D$304,MATCH(D2090,'Équipements'!$A$5:$A$304,0)),""))</f>
        <v/>
      </c>
      <c r="G2090" s="9">
        <f>IF(D2090="","",IFERROR(INDEX('Équipements'!$K$5:$K$304,MATCH(D2090,'Équipements'!$A$5:$A$304,0)),""))</f>
        <v/>
      </c>
      <c r="H2090" s="7" t="n"/>
      <c r="I2090" s="7" t="n"/>
      <c r="J2090" s="7" t="n"/>
      <c r="K2090" s="7" t="n"/>
      <c r="L2090" s="7" t="n"/>
      <c r="M2090" s="7" t="n"/>
      <c r="N2090" s="7" t="n"/>
      <c r="O2090" s="7" t="n"/>
      <c r="P2090" s="65" t="n"/>
      <c r="Q2090" s="75" t="n"/>
      <c r="R2090" s="75" t="n"/>
      <c r="S2090" s="76" t="n"/>
      <c r="T2090" s="76" t="n"/>
      <c r="U2090" s="70">
        <f>IF($A2090="","",IFERROR(INDEX('Techniciens'!$F$5:$F$44,MATCH(O2090,'Techniciens'!$B$5:$B$44,0)),'Paramètres'!$AA$10))</f>
        <v/>
      </c>
      <c r="V2090" s="70">
        <f>IF($A2090="","",IF(OR(AC2090="Demandé",AC2090="Planifié",AC2090="Annulé"),0,N(T2090)*N(U2090)))</f>
        <v/>
      </c>
      <c r="W2090" s="70">
        <f>IF($A2090="","",SUMIFS('Mouvements stock'!$H$5:$H$3004,'Mouvements stock'!$I$5:$I$3004,$A2090,'Mouvements stock'!$C$5:$C$3004,"Sortie")-SUMIFS('Mouvements stock'!$H$5:$H$3004,'Mouvements stock'!$I$5:$I$3004,$A2090,'Mouvements stock'!$C$5:$C$3004,"Retour"))</f>
        <v/>
      </c>
      <c r="X2090" s="66" t="n"/>
      <c r="Y2090" s="66" t="n"/>
      <c r="Z2090" s="7" t="n"/>
      <c r="AA2090" s="70">
        <f>IF($A2090="","",N(V2090)+N(W2090)+N(X2090)+N(Y2090))</f>
        <v/>
      </c>
      <c r="AB2090" s="70">
        <f>IF($A2090="","",N(S2090)*'Paramètres'!$AA$9*IFERROR(INDEX('Paramètres'!$O$5:$O$7,MATCH(G2090,'Paramètres'!$N$5:$N$7,0)),0))</f>
        <v/>
      </c>
      <c r="AC2090" s="7" t="n"/>
      <c r="AD2090" s="69">
        <f>IF(OR($A2090="",Q2090=""),"",(Q2090-B2090)*24)</f>
        <v/>
      </c>
      <c r="AE2090" s="69">
        <f>IF(OR(Q2090="",R2090=""),"",(R2090-Q2090)*24)</f>
        <v/>
      </c>
      <c r="AF2090" s="77">
        <f>IF(OR($A2090="",B2090=""),"",YEAR(B2090))</f>
        <v/>
      </c>
      <c r="AG2090" s="77">
        <f>IF(OR($A2090="",B2090=""),"",MONTH(B2090))</f>
        <v/>
      </c>
    </row>
    <row r="2091">
      <c r="A2091" s="7" t="n"/>
      <c r="B2091" s="75" t="n"/>
      <c r="C2091" s="7" t="n"/>
      <c r="D2091" s="7" t="n"/>
      <c r="E2091" s="9">
        <f>IF(D2091="","",IFERROR(INDEX('Équipements'!$B$5:$B$304,MATCH(D2091,'Équipements'!$A$5:$A$304,0)),"Code inconnu"))</f>
        <v/>
      </c>
      <c r="F2091" s="9">
        <f>IF(D2091="","",IFERROR(INDEX('Équipements'!$D$5:$D$304,MATCH(D2091,'Équipements'!$A$5:$A$304,0)),""))</f>
        <v/>
      </c>
      <c r="G2091" s="9">
        <f>IF(D2091="","",IFERROR(INDEX('Équipements'!$K$5:$K$304,MATCH(D2091,'Équipements'!$A$5:$A$304,0)),""))</f>
        <v/>
      </c>
      <c r="H2091" s="7" t="n"/>
      <c r="I2091" s="7" t="n"/>
      <c r="J2091" s="7" t="n"/>
      <c r="K2091" s="7" t="n"/>
      <c r="L2091" s="7" t="n"/>
      <c r="M2091" s="7" t="n"/>
      <c r="N2091" s="7" t="n"/>
      <c r="O2091" s="7" t="n"/>
      <c r="P2091" s="65" t="n"/>
      <c r="Q2091" s="75" t="n"/>
      <c r="R2091" s="75" t="n"/>
      <c r="S2091" s="76" t="n"/>
      <c r="T2091" s="76" t="n"/>
      <c r="U2091" s="70">
        <f>IF($A2091="","",IFERROR(INDEX('Techniciens'!$F$5:$F$44,MATCH(O2091,'Techniciens'!$B$5:$B$44,0)),'Paramètres'!$AA$10))</f>
        <v/>
      </c>
      <c r="V2091" s="70">
        <f>IF($A2091="","",IF(OR(AC2091="Demandé",AC2091="Planifié",AC2091="Annulé"),0,N(T2091)*N(U2091)))</f>
        <v/>
      </c>
      <c r="W2091" s="70">
        <f>IF($A2091="","",SUMIFS('Mouvements stock'!$H$5:$H$3004,'Mouvements stock'!$I$5:$I$3004,$A2091,'Mouvements stock'!$C$5:$C$3004,"Sortie")-SUMIFS('Mouvements stock'!$H$5:$H$3004,'Mouvements stock'!$I$5:$I$3004,$A2091,'Mouvements stock'!$C$5:$C$3004,"Retour"))</f>
        <v/>
      </c>
      <c r="X2091" s="66" t="n"/>
      <c r="Y2091" s="66" t="n"/>
      <c r="Z2091" s="7" t="n"/>
      <c r="AA2091" s="70">
        <f>IF($A2091="","",N(V2091)+N(W2091)+N(X2091)+N(Y2091))</f>
        <v/>
      </c>
      <c r="AB2091" s="70">
        <f>IF($A2091="","",N(S2091)*'Paramètres'!$AA$9*IFERROR(INDEX('Paramètres'!$O$5:$O$7,MATCH(G2091,'Paramètres'!$N$5:$N$7,0)),0))</f>
        <v/>
      </c>
      <c r="AC2091" s="7" t="n"/>
      <c r="AD2091" s="69">
        <f>IF(OR($A2091="",Q2091=""),"",(Q2091-B2091)*24)</f>
        <v/>
      </c>
      <c r="AE2091" s="69">
        <f>IF(OR(Q2091="",R2091=""),"",(R2091-Q2091)*24)</f>
        <v/>
      </c>
      <c r="AF2091" s="77">
        <f>IF(OR($A2091="",B2091=""),"",YEAR(B2091))</f>
        <v/>
      </c>
      <c r="AG2091" s="77">
        <f>IF(OR($A2091="",B2091=""),"",MONTH(B2091))</f>
        <v/>
      </c>
    </row>
    <row r="2092">
      <c r="A2092" s="7" t="n"/>
      <c r="B2092" s="75" t="n"/>
      <c r="C2092" s="7" t="n"/>
      <c r="D2092" s="7" t="n"/>
      <c r="E2092" s="9">
        <f>IF(D2092="","",IFERROR(INDEX('Équipements'!$B$5:$B$304,MATCH(D2092,'Équipements'!$A$5:$A$304,0)),"Code inconnu"))</f>
        <v/>
      </c>
      <c r="F2092" s="9">
        <f>IF(D2092="","",IFERROR(INDEX('Équipements'!$D$5:$D$304,MATCH(D2092,'Équipements'!$A$5:$A$304,0)),""))</f>
        <v/>
      </c>
      <c r="G2092" s="9">
        <f>IF(D2092="","",IFERROR(INDEX('Équipements'!$K$5:$K$304,MATCH(D2092,'Équipements'!$A$5:$A$304,0)),""))</f>
        <v/>
      </c>
      <c r="H2092" s="7" t="n"/>
      <c r="I2092" s="7" t="n"/>
      <c r="J2092" s="7" t="n"/>
      <c r="K2092" s="7" t="n"/>
      <c r="L2092" s="7" t="n"/>
      <c r="M2092" s="7" t="n"/>
      <c r="N2092" s="7" t="n"/>
      <c r="O2092" s="7" t="n"/>
      <c r="P2092" s="65" t="n"/>
      <c r="Q2092" s="75" t="n"/>
      <c r="R2092" s="75" t="n"/>
      <c r="S2092" s="76" t="n"/>
      <c r="T2092" s="76" t="n"/>
      <c r="U2092" s="70">
        <f>IF($A2092="","",IFERROR(INDEX('Techniciens'!$F$5:$F$44,MATCH(O2092,'Techniciens'!$B$5:$B$44,0)),'Paramètres'!$AA$10))</f>
        <v/>
      </c>
      <c r="V2092" s="70">
        <f>IF($A2092="","",IF(OR(AC2092="Demandé",AC2092="Planifié",AC2092="Annulé"),0,N(T2092)*N(U2092)))</f>
        <v/>
      </c>
      <c r="W2092" s="70">
        <f>IF($A2092="","",SUMIFS('Mouvements stock'!$H$5:$H$3004,'Mouvements stock'!$I$5:$I$3004,$A2092,'Mouvements stock'!$C$5:$C$3004,"Sortie")-SUMIFS('Mouvements stock'!$H$5:$H$3004,'Mouvements stock'!$I$5:$I$3004,$A2092,'Mouvements stock'!$C$5:$C$3004,"Retour"))</f>
        <v/>
      </c>
      <c r="X2092" s="66" t="n"/>
      <c r="Y2092" s="66" t="n"/>
      <c r="Z2092" s="7" t="n"/>
      <c r="AA2092" s="70">
        <f>IF($A2092="","",N(V2092)+N(W2092)+N(X2092)+N(Y2092))</f>
        <v/>
      </c>
      <c r="AB2092" s="70">
        <f>IF($A2092="","",N(S2092)*'Paramètres'!$AA$9*IFERROR(INDEX('Paramètres'!$O$5:$O$7,MATCH(G2092,'Paramètres'!$N$5:$N$7,0)),0))</f>
        <v/>
      </c>
      <c r="AC2092" s="7" t="n"/>
      <c r="AD2092" s="69">
        <f>IF(OR($A2092="",Q2092=""),"",(Q2092-B2092)*24)</f>
        <v/>
      </c>
      <c r="AE2092" s="69">
        <f>IF(OR(Q2092="",R2092=""),"",(R2092-Q2092)*24)</f>
        <v/>
      </c>
      <c r="AF2092" s="77">
        <f>IF(OR($A2092="",B2092=""),"",YEAR(B2092))</f>
        <v/>
      </c>
      <c r="AG2092" s="77">
        <f>IF(OR($A2092="",B2092=""),"",MONTH(B2092))</f>
        <v/>
      </c>
    </row>
    <row r="2093">
      <c r="A2093" s="7" t="n"/>
      <c r="B2093" s="75" t="n"/>
      <c r="C2093" s="7" t="n"/>
      <c r="D2093" s="7" t="n"/>
      <c r="E2093" s="9">
        <f>IF(D2093="","",IFERROR(INDEX('Équipements'!$B$5:$B$304,MATCH(D2093,'Équipements'!$A$5:$A$304,0)),"Code inconnu"))</f>
        <v/>
      </c>
      <c r="F2093" s="9">
        <f>IF(D2093="","",IFERROR(INDEX('Équipements'!$D$5:$D$304,MATCH(D2093,'Équipements'!$A$5:$A$304,0)),""))</f>
        <v/>
      </c>
      <c r="G2093" s="9">
        <f>IF(D2093="","",IFERROR(INDEX('Équipements'!$K$5:$K$304,MATCH(D2093,'Équipements'!$A$5:$A$304,0)),""))</f>
        <v/>
      </c>
      <c r="H2093" s="7" t="n"/>
      <c r="I2093" s="7" t="n"/>
      <c r="J2093" s="7" t="n"/>
      <c r="K2093" s="7" t="n"/>
      <c r="L2093" s="7" t="n"/>
      <c r="M2093" s="7" t="n"/>
      <c r="N2093" s="7" t="n"/>
      <c r="O2093" s="7" t="n"/>
      <c r="P2093" s="65" t="n"/>
      <c r="Q2093" s="75" t="n"/>
      <c r="R2093" s="75" t="n"/>
      <c r="S2093" s="76" t="n"/>
      <c r="T2093" s="76" t="n"/>
      <c r="U2093" s="70">
        <f>IF($A2093="","",IFERROR(INDEX('Techniciens'!$F$5:$F$44,MATCH(O2093,'Techniciens'!$B$5:$B$44,0)),'Paramètres'!$AA$10))</f>
        <v/>
      </c>
      <c r="V2093" s="70">
        <f>IF($A2093="","",IF(OR(AC2093="Demandé",AC2093="Planifié",AC2093="Annulé"),0,N(T2093)*N(U2093)))</f>
        <v/>
      </c>
      <c r="W2093" s="70">
        <f>IF($A2093="","",SUMIFS('Mouvements stock'!$H$5:$H$3004,'Mouvements stock'!$I$5:$I$3004,$A2093,'Mouvements stock'!$C$5:$C$3004,"Sortie")-SUMIFS('Mouvements stock'!$H$5:$H$3004,'Mouvements stock'!$I$5:$I$3004,$A2093,'Mouvements stock'!$C$5:$C$3004,"Retour"))</f>
        <v/>
      </c>
      <c r="X2093" s="66" t="n"/>
      <c r="Y2093" s="66" t="n"/>
      <c r="Z2093" s="7" t="n"/>
      <c r="AA2093" s="70">
        <f>IF($A2093="","",N(V2093)+N(W2093)+N(X2093)+N(Y2093))</f>
        <v/>
      </c>
      <c r="AB2093" s="70">
        <f>IF($A2093="","",N(S2093)*'Paramètres'!$AA$9*IFERROR(INDEX('Paramètres'!$O$5:$O$7,MATCH(G2093,'Paramètres'!$N$5:$N$7,0)),0))</f>
        <v/>
      </c>
      <c r="AC2093" s="7" t="n"/>
      <c r="AD2093" s="69">
        <f>IF(OR($A2093="",Q2093=""),"",(Q2093-B2093)*24)</f>
        <v/>
      </c>
      <c r="AE2093" s="69">
        <f>IF(OR(Q2093="",R2093=""),"",(R2093-Q2093)*24)</f>
        <v/>
      </c>
      <c r="AF2093" s="77">
        <f>IF(OR($A2093="",B2093=""),"",YEAR(B2093))</f>
        <v/>
      </c>
      <c r="AG2093" s="77">
        <f>IF(OR($A2093="",B2093=""),"",MONTH(B2093))</f>
        <v/>
      </c>
    </row>
    <row r="2094">
      <c r="A2094" s="7" t="n"/>
      <c r="B2094" s="75" t="n"/>
      <c r="C2094" s="7" t="n"/>
      <c r="D2094" s="7" t="n"/>
      <c r="E2094" s="9">
        <f>IF(D2094="","",IFERROR(INDEX('Équipements'!$B$5:$B$304,MATCH(D2094,'Équipements'!$A$5:$A$304,0)),"Code inconnu"))</f>
        <v/>
      </c>
      <c r="F2094" s="9">
        <f>IF(D2094="","",IFERROR(INDEX('Équipements'!$D$5:$D$304,MATCH(D2094,'Équipements'!$A$5:$A$304,0)),""))</f>
        <v/>
      </c>
      <c r="G2094" s="9">
        <f>IF(D2094="","",IFERROR(INDEX('Équipements'!$K$5:$K$304,MATCH(D2094,'Équipements'!$A$5:$A$304,0)),""))</f>
        <v/>
      </c>
      <c r="H2094" s="7" t="n"/>
      <c r="I2094" s="7" t="n"/>
      <c r="J2094" s="7" t="n"/>
      <c r="K2094" s="7" t="n"/>
      <c r="L2094" s="7" t="n"/>
      <c r="M2094" s="7" t="n"/>
      <c r="N2094" s="7" t="n"/>
      <c r="O2094" s="7" t="n"/>
      <c r="P2094" s="65" t="n"/>
      <c r="Q2094" s="75" t="n"/>
      <c r="R2094" s="75" t="n"/>
      <c r="S2094" s="76" t="n"/>
      <c r="T2094" s="76" t="n"/>
      <c r="U2094" s="70">
        <f>IF($A2094="","",IFERROR(INDEX('Techniciens'!$F$5:$F$44,MATCH(O2094,'Techniciens'!$B$5:$B$44,0)),'Paramètres'!$AA$10))</f>
        <v/>
      </c>
      <c r="V2094" s="70">
        <f>IF($A2094="","",IF(OR(AC2094="Demandé",AC2094="Planifié",AC2094="Annulé"),0,N(T2094)*N(U2094)))</f>
        <v/>
      </c>
      <c r="W2094" s="70">
        <f>IF($A2094="","",SUMIFS('Mouvements stock'!$H$5:$H$3004,'Mouvements stock'!$I$5:$I$3004,$A2094,'Mouvements stock'!$C$5:$C$3004,"Sortie")-SUMIFS('Mouvements stock'!$H$5:$H$3004,'Mouvements stock'!$I$5:$I$3004,$A2094,'Mouvements stock'!$C$5:$C$3004,"Retour"))</f>
        <v/>
      </c>
      <c r="X2094" s="66" t="n"/>
      <c r="Y2094" s="66" t="n"/>
      <c r="Z2094" s="7" t="n"/>
      <c r="AA2094" s="70">
        <f>IF($A2094="","",N(V2094)+N(W2094)+N(X2094)+N(Y2094))</f>
        <v/>
      </c>
      <c r="AB2094" s="70">
        <f>IF($A2094="","",N(S2094)*'Paramètres'!$AA$9*IFERROR(INDEX('Paramètres'!$O$5:$O$7,MATCH(G2094,'Paramètres'!$N$5:$N$7,0)),0))</f>
        <v/>
      </c>
      <c r="AC2094" s="7" t="n"/>
      <c r="AD2094" s="69">
        <f>IF(OR($A2094="",Q2094=""),"",(Q2094-B2094)*24)</f>
        <v/>
      </c>
      <c r="AE2094" s="69">
        <f>IF(OR(Q2094="",R2094=""),"",(R2094-Q2094)*24)</f>
        <v/>
      </c>
      <c r="AF2094" s="77">
        <f>IF(OR($A2094="",B2094=""),"",YEAR(B2094))</f>
        <v/>
      </c>
      <c r="AG2094" s="77">
        <f>IF(OR($A2094="",B2094=""),"",MONTH(B2094))</f>
        <v/>
      </c>
    </row>
    <row r="2095">
      <c r="A2095" s="7" t="n"/>
      <c r="B2095" s="75" t="n"/>
      <c r="C2095" s="7" t="n"/>
      <c r="D2095" s="7" t="n"/>
      <c r="E2095" s="9">
        <f>IF(D2095="","",IFERROR(INDEX('Équipements'!$B$5:$B$304,MATCH(D2095,'Équipements'!$A$5:$A$304,0)),"Code inconnu"))</f>
        <v/>
      </c>
      <c r="F2095" s="9">
        <f>IF(D2095="","",IFERROR(INDEX('Équipements'!$D$5:$D$304,MATCH(D2095,'Équipements'!$A$5:$A$304,0)),""))</f>
        <v/>
      </c>
      <c r="G2095" s="9">
        <f>IF(D2095="","",IFERROR(INDEX('Équipements'!$K$5:$K$304,MATCH(D2095,'Équipements'!$A$5:$A$304,0)),""))</f>
        <v/>
      </c>
      <c r="H2095" s="7" t="n"/>
      <c r="I2095" s="7" t="n"/>
      <c r="J2095" s="7" t="n"/>
      <c r="K2095" s="7" t="n"/>
      <c r="L2095" s="7" t="n"/>
      <c r="M2095" s="7" t="n"/>
      <c r="N2095" s="7" t="n"/>
      <c r="O2095" s="7" t="n"/>
      <c r="P2095" s="65" t="n"/>
      <c r="Q2095" s="75" t="n"/>
      <c r="R2095" s="75" t="n"/>
      <c r="S2095" s="76" t="n"/>
      <c r="T2095" s="76" t="n"/>
      <c r="U2095" s="70">
        <f>IF($A2095="","",IFERROR(INDEX('Techniciens'!$F$5:$F$44,MATCH(O2095,'Techniciens'!$B$5:$B$44,0)),'Paramètres'!$AA$10))</f>
        <v/>
      </c>
      <c r="V2095" s="70">
        <f>IF($A2095="","",IF(OR(AC2095="Demandé",AC2095="Planifié",AC2095="Annulé"),0,N(T2095)*N(U2095)))</f>
        <v/>
      </c>
      <c r="W2095" s="70">
        <f>IF($A2095="","",SUMIFS('Mouvements stock'!$H$5:$H$3004,'Mouvements stock'!$I$5:$I$3004,$A2095,'Mouvements stock'!$C$5:$C$3004,"Sortie")-SUMIFS('Mouvements stock'!$H$5:$H$3004,'Mouvements stock'!$I$5:$I$3004,$A2095,'Mouvements stock'!$C$5:$C$3004,"Retour"))</f>
        <v/>
      </c>
      <c r="X2095" s="66" t="n"/>
      <c r="Y2095" s="66" t="n"/>
      <c r="Z2095" s="7" t="n"/>
      <c r="AA2095" s="70">
        <f>IF($A2095="","",N(V2095)+N(W2095)+N(X2095)+N(Y2095))</f>
        <v/>
      </c>
      <c r="AB2095" s="70">
        <f>IF($A2095="","",N(S2095)*'Paramètres'!$AA$9*IFERROR(INDEX('Paramètres'!$O$5:$O$7,MATCH(G2095,'Paramètres'!$N$5:$N$7,0)),0))</f>
        <v/>
      </c>
      <c r="AC2095" s="7" t="n"/>
      <c r="AD2095" s="69">
        <f>IF(OR($A2095="",Q2095=""),"",(Q2095-B2095)*24)</f>
        <v/>
      </c>
      <c r="AE2095" s="69">
        <f>IF(OR(Q2095="",R2095=""),"",(R2095-Q2095)*24)</f>
        <v/>
      </c>
      <c r="AF2095" s="77">
        <f>IF(OR($A2095="",B2095=""),"",YEAR(B2095))</f>
        <v/>
      </c>
      <c r="AG2095" s="77">
        <f>IF(OR($A2095="",B2095=""),"",MONTH(B2095))</f>
        <v/>
      </c>
    </row>
    <row r="2096">
      <c r="A2096" s="7" t="n"/>
      <c r="B2096" s="75" t="n"/>
      <c r="C2096" s="7" t="n"/>
      <c r="D2096" s="7" t="n"/>
      <c r="E2096" s="9">
        <f>IF(D2096="","",IFERROR(INDEX('Équipements'!$B$5:$B$304,MATCH(D2096,'Équipements'!$A$5:$A$304,0)),"Code inconnu"))</f>
        <v/>
      </c>
      <c r="F2096" s="9">
        <f>IF(D2096="","",IFERROR(INDEX('Équipements'!$D$5:$D$304,MATCH(D2096,'Équipements'!$A$5:$A$304,0)),""))</f>
        <v/>
      </c>
      <c r="G2096" s="9">
        <f>IF(D2096="","",IFERROR(INDEX('Équipements'!$K$5:$K$304,MATCH(D2096,'Équipements'!$A$5:$A$304,0)),""))</f>
        <v/>
      </c>
      <c r="H2096" s="7" t="n"/>
      <c r="I2096" s="7" t="n"/>
      <c r="J2096" s="7" t="n"/>
      <c r="K2096" s="7" t="n"/>
      <c r="L2096" s="7" t="n"/>
      <c r="M2096" s="7" t="n"/>
      <c r="N2096" s="7" t="n"/>
      <c r="O2096" s="7" t="n"/>
      <c r="P2096" s="65" t="n"/>
      <c r="Q2096" s="75" t="n"/>
      <c r="R2096" s="75" t="n"/>
      <c r="S2096" s="76" t="n"/>
      <c r="T2096" s="76" t="n"/>
      <c r="U2096" s="70">
        <f>IF($A2096="","",IFERROR(INDEX('Techniciens'!$F$5:$F$44,MATCH(O2096,'Techniciens'!$B$5:$B$44,0)),'Paramètres'!$AA$10))</f>
        <v/>
      </c>
      <c r="V2096" s="70">
        <f>IF($A2096="","",IF(OR(AC2096="Demandé",AC2096="Planifié",AC2096="Annulé"),0,N(T2096)*N(U2096)))</f>
        <v/>
      </c>
      <c r="W2096" s="70">
        <f>IF($A2096="","",SUMIFS('Mouvements stock'!$H$5:$H$3004,'Mouvements stock'!$I$5:$I$3004,$A2096,'Mouvements stock'!$C$5:$C$3004,"Sortie")-SUMIFS('Mouvements stock'!$H$5:$H$3004,'Mouvements stock'!$I$5:$I$3004,$A2096,'Mouvements stock'!$C$5:$C$3004,"Retour"))</f>
        <v/>
      </c>
      <c r="X2096" s="66" t="n"/>
      <c r="Y2096" s="66" t="n"/>
      <c r="Z2096" s="7" t="n"/>
      <c r="AA2096" s="70">
        <f>IF($A2096="","",N(V2096)+N(W2096)+N(X2096)+N(Y2096))</f>
        <v/>
      </c>
      <c r="AB2096" s="70">
        <f>IF($A2096="","",N(S2096)*'Paramètres'!$AA$9*IFERROR(INDEX('Paramètres'!$O$5:$O$7,MATCH(G2096,'Paramètres'!$N$5:$N$7,0)),0))</f>
        <v/>
      </c>
      <c r="AC2096" s="7" t="n"/>
      <c r="AD2096" s="69">
        <f>IF(OR($A2096="",Q2096=""),"",(Q2096-B2096)*24)</f>
        <v/>
      </c>
      <c r="AE2096" s="69">
        <f>IF(OR(Q2096="",R2096=""),"",(R2096-Q2096)*24)</f>
        <v/>
      </c>
      <c r="AF2096" s="77">
        <f>IF(OR($A2096="",B2096=""),"",YEAR(B2096))</f>
        <v/>
      </c>
      <c r="AG2096" s="77">
        <f>IF(OR($A2096="",B2096=""),"",MONTH(B2096))</f>
        <v/>
      </c>
    </row>
    <row r="2097">
      <c r="A2097" s="7" t="n"/>
      <c r="B2097" s="75" t="n"/>
      <c r="C2097" s="7" t="n"/>
      <c r="D2097" s="7" t="n"/>
      <c r="E2097" s="9">
        <f>IF(D2097="","",IFERROR(INDEX('Équipements'!$B$5:$B$304,MATCH(D2097,'Équipements'!$A$5:$A$304,0)),"Code inconnu"))</f>
        <v/>
      </c>
      <c r="F2097" s="9">
        <f>IF(D2097="","",IFERROR(INDEX('Équipements'!$D$5:$D$304,MATCH(D2097,'Équipements'!$A$5:$A$304,0)),""))</f>
        <v/>
      </c>
      <c r="G2097" s="9">
        <f>IF(D2097="","",IFERROR(INDEX('Équipements'!$K$5:$K$304,MATCH(D2097,'Équipements'!$A$5:$A$304,0)),""))</f>
        <v/>
      </c>
      <c r="H2097" s="7" t="n"/>
      <c r="I2097" s="7" t="n"/>
      <c r="J2097" s="7" t="n"/>
      <c r="K2097" s="7" t="n"/>
      <c r="L2097" s="7" t="n"/>
      <c r="M2097" s="7" t="n"/>
      <c r="N2097" s="7" t="n"/>
      <c r="O2097" s="7" t="n"/>
      <c r="P2097" s="65" t="n"/>
      <c r="Q2097" s="75" t="n"/>
      <c r="R2097" s="75" t="n"/>
      <c r="S2097" s="76" t="n"/>
      <c r="T2097" s="76" t="n"/>
      <c r="U2097" s="70">
        <f>IF($A2097="","",IFERROR(INDEX('Techniciens'!$F$5:$F$44,MATCH(O2097,'Techniciens'!$B$5:$B$44,0)),'Paramètres'!$AA$10))</f>
        <v/>
      </c>
      <c r="V2097" s="70">
        <f>IF($A2097="","",IF(OR(AC2097="Demandé",AC2097="Planifié",AC2097="Annulé"),0,N(T2097)*N(U2097)))</f>
        <v/>
      </c>
      <c r="W2097" s="70">
        <f>IF($A2097="","",SUMIFS('Mouvements stock'!$H$5:$H$3004,'Mouvements stock'!$I$5:$I$3004,$A2097,'Mouvements stock'!$C$5:$C$3004,"Sortie")-SUMIFS('Mouvements stock'!$H$5:$H$3004,'Mouvements stock'!$I$5:$I$3004,$A2097,'Mouvements stock'!$C$5:$C$3004,"Retour"))</f>
        <v/>
      </c>
      <c r="X2097" s="66" t="n"/>
      <c r="Y2097" s="66" t="n"/>
      <c r="Z2097" s="7" t="n"/>
      <c r="AA2097" s="70">
        <f>IF($A2097="","",N(V2097)+N(W2097)+N(X2097)+N(Y2097))</f>
        <v/>
      </c>
      <c r="AB2097" s="70">
        <f>IF($A2097="","",N(S2097)*'Paramètres'!$AA$9*IFERROR(INDEX('Paramètres'!$O$5:$O$7,MATCH(G2097,'Paramètres'!$N$5:$N$7,0)),0))</f>
        <v/>
      </c>
      <c r="AC2097" s="7" t="n"/>
      <c r="AD2097" s="69">
        <f>IF(OR($A2097="",Q2097=""),"",(Q2097-B2097)*24)</f>
        <v/>
      </c>
      <c r="AE2097" s="69">
        <f>IF(OR(Q2097="",R2097=""),"",(R2097-Q2097)*24)</f>
        <v/>
      </c>
      <c r="AF2097" s="77">
        <f>IF(OR($A2097="",B2097=""),"",YEAR(B2097))</f>
        <v/>
      </c>
      <c r="AG2097" s="77">
        <f>IF(OR($A2097="",B2097=""),"",MONTH(B2097))</f>
        <v/>
      </c>
    </row>
    <row r="2098">
      <c r="A2098" s="7" t="n"/>
      <c r="B2098" s="75" t="n"/>
      <c r="C2098" s="7" t="n"/>
      <c r="D2098" s="7" t="n"/>
      <c r="E2098" s="9">
        <f>IF(D2098="","",IFERROR(INDEX('Équipements'!$B$5:$B$304,MATCH(D2098,'Équipements'!$A$5:$A$304,0)),"Code inconnu"))</f>
        <v/>
      </c>
      <c r="F2098" s="9">
        <f>IF(D2098="","",IFERROR(INDEX('Équipements'!$D$5:$D$304,MATCH(D2098,'Équipements'!$A$5:$A$304,0)),""))</f>
        <v/>
      </c>
      <c r="G2098" s="9">
        <f>IF(D2098="","",IFERROR(INDEX('Équipements'!$K$5:$K$304,MATCH(D2098,'Équipements'!$A$5:$A$304,0)),""))</f>
        <v/>
      </c>
      <c r="H2098" s="7" t="n"/>
      <c r="I2098" s="7" t="n"/>
      <c r="J2098" s="7" t="n"/>
      <c r="K2098" s="7" t="n"/>
      <c r="L2098" s="7" t="n"/>
      <c r="M2098" s="7" t="n"/>
      <c r="N2098" s="7" t="n"/>
      <c r="O2098" s="7" t="n"/>
      <c r="P2098" s="65" t="n"/>
      <c r="Q2098" s="75" t="n"/>
      <c r="R2098" s="75" t="n"/>
      <c r="S2098" s="76" t="n"/>
      <c r="T2098" s="76" t="n"/>
      <c r="U2098" s="70">
        <f>IF($A2098="","",IFERROR(INDEX('Techniciens'!$F$5:$F$44,MATCH(O2098,'Techniciens'!$B$5:$B$44,0)),'Paramètres'!$AA$10))</f>
        <v/>
      </c>
      <c r="V2098" s="70">
        <f>IF($A2098="","",IF(OR(AC2098="Demandé",AC2098="Planifié",AC2098="Annulé"),0,N(T2098)*N(U2098)))</f>
        <v/>
      </c>
      <c r="W2098" s="70">
        <f>IF($A2098="","",SUMIFS('Mouvements stock'!$H$5:$H$3004,'Mouvements stock'!$I$5:$I$3004,$A2098,'Mouvements stock'!$C$5:$C$3004,"Sortie")-SUMIFS('Mouvements stock'!$H$5:$H$3004,'Mouvements stock'!$I$5:$I$3004,$A2098,'Mouvements stock'!$C$5:$C$3004,"Retour"))</f>
        <v/>
      </c>
      <c r="X2098" s="66" t="n"/>
      <c r="Y2098" s="66" t="n"/>
      <c r="Z2098" s="7" t="n"/>
      <c r="AA2098" s="70">
        <f>IF($A2098="","",N(V2098)+N(W2098)+N(X2098)+N(Y2098))</f>
        <v/>
      </c>
      <c r="AB2098" s="70">
        <f>IF($A2098="","",N(S2098)*'Paramètres'!$AA$9*IFERROR(INDEX('Paramètres'!$O$5:$O$7,MATCH(G2098,'Paramètres'!$N$5:$N$7,0)),0))</f>
        <v/>
      </c>
      <c r="AC2098" s="7" t="n"/>
      <c r="AD2098" s="69">
        <f>IF(OR($A2098="",Q2098=""),"",(Q2098-B2098)*24)</f>
        <v/>
      </c>
      <c r="AE2098" s="69">
        <f>IF(OR(Q2098="",R2098=""),"",(R2098-Q2098)*24)</f>
        <v/>
      </c>
      <c r="AF2098" s="77">
        <f>IF(OR($A2098="",B2098=""),"",YEAR(B2098))</f>
        <v/>
      </c>
      <c r="AG2098" s="77">
        <f>IF(OR($A2098="",B2098=""),"",MONTH(B2098))</f>
        <v/>
      </c>
    </row>
    <row r="2099">
      <c r="A2099" s="7" t="n"/>
      <c r="B2099" s="75" t="n"/>
      <c r="C2099" s="7" t="n"/>
      <c r="D2099" s="7" t="n"/>
      <c r="E2099" s="9">
        <f>IF(D2099="","",IFERROR(INDEX('Équipements'!$B$5:$B$304,MATCH(D2099,'Équipements'!$A$5:$A$304,0)),"Code inconnu"))</f>
        <v/>
      </c>
      <c r="F2099" s="9">
        <f>IF(D2099="","",IFERROR(INDEX('Équipements'!$D$5:$D$304,MATCH(D2099,'Équipements'!$A$5:$A$304,0)),""))</f>
        <v/>
      </c>
      <c r="G2099" s="9">
        <f>IF(D2099="","",IFERROR(INDEX('Équipements'!$K$5:$K$304,MATCH(D2099,'Équipements'!$A$5:$A$304,0)),""))</f>
        <v/>
      </c>
      <c r="H2099" s="7" t="n"/>
      <c r="I2099" s="7" t="n"/>
      <c r="J2099" s="7" t="n"/>
      <c r="K2099" s="7" t="n"/>
      <c r="L2099" s="7" t="n"/>
      <c r="M2099" s="7" t="n"/>
      <c r="N2099" s="7" t="n"/>
      <c r="O2099" s="7" t="n"/>
      <c r="P2099" s="65" t="n"/>
      <c r="Q2099" s="75" t="n"/>
      <c r="R2099" s="75" t="n"/>
      <c r="S2099" s="76" t="n"/>
      <c r="T2099" s="76" t="n"/>
      <c r="U2099" s="70">
        <f>IF($A2099="","",IFERROR(INDEX('Techniciens'!$F$5:$F$44,MATCH(O2099,'Techniciens'!$B$5:$B$44,0)),'Paramètres'!$AA$10))</f>
        <v/>
      </c>
      <c r="V2099" s="70">
        <f>IF($A2099="","",IF(OR(AC2099="Demandé",AC2099="Planifié",AC2099="Annulé"),0,N(T2099)*N(U2099)))</f>
        <v/>
      </c>
      <c r="W2099" s="70">
        <f>IF($A2099="","",SUMIFS('Mouvements stock'!$H$5:$H$3004,'Mouvements stock'!$I$5:$I$3004,$A2099,'Mouvements stock'!$C$5:$C$3004,"Sortie")-SUMIFS('Mouvements stock'!$H$5:$H$3004,'Mouvements stock'!$I$5:$I$3004,$A2099,'Mouvements stock'!$C$5:$C$3004,"Retour"))</f>
        <v/>
      </c>
      <c r="X2099" s="66" t="n"/>
      <c r="Y2099" s="66" t="n"/>
      <c r="Z2099" s="7" t="n"/>
      <c r="AA2099" s="70">
        <f>IF($A2099="","",N(V2099)+N(W2099)+N(X2099)+N(Y2099))</f>
        <v/>
      </c>
      <c r="AB2099" s="70">
        <f>IF($A2099="","",N(S2099)*'Paramètres'!$AA$9*IFERROR(INDEX('Paramètres'!$O$5:$O$7,MATCH(G2099,'Paramètres'!$N$5:$N$7,0)),0))</f>
        <v/>
      </c>
      <c r="AC2099" s="7" t="n"/>
      <c r="AD2099" s="69">
        <f>IF(OR($A2099="",Q2099=""),"",(Q2099-B2099)*24)</f>
        <v/>
      </c>
      <c r="AE2099" s="69">
        <f>IF(OR(Q2099="",R2099=""),"",(R2099-Q2099)*24)</f>
        <v/>
      </c>
      <c r="AF2099" s="77">
        <f>IF(OR($A2099="",B2099=""),"",YEAR(B2099))</f>
        <v/>
      </c>
      <c r="AG2099" s="77">
        <f>IF(OR($A2099="",B2099=""),"",MONTH(B2099))</f>
        <v/>
      </c>
    </row>
    <row r="2100">
      <c r="A2100" s="7" t="n"/>
      <c r="B2100" s="75" t="n"/>
      <c r="C2100" s="7" t="n"/>
      <c r="D2100" s="7" t="n"/>
      <c r="E2100" s="9">
        <f>IF(D2100="","",IFERROR(INDEX('Équipements'!$B$5:$B$304,MATCH(D2100,'Équipements'!$A$5:$A$304,0)),"Code inconnu"))</f>
        <v/>
      </c>
      <c r="F2100" s="9">
        <f>IF(D2100="","",IFERROR(INDEX('Équipements'!$D$5:$D$304,MATCH(D2100,'Équipements'!$A$5:$A$304,0)),""))</f>
        <v/>
      </c>
      <c r="G2100" s="9">
        <f>IF(D2100="","",IFERROR(INDEX('Équipements'!$K$5:$K$304,MATCH(D2100,'Équipements'!$A$5:$A$304,0)),""))</f>
        <v/>
      </c>
      <c r="H2100" s="7" t="n"/>
      <c r="I2100" s="7" t="n"/>
      <c r="J2100" s="7" t="n"/>
      <c r="K2100" s="7" t="n"/>
      <c r="L2100" s="7" t="n"/>
      <c r="M2100" s="7" t="n"/>
      <c r="N2100" s="7" t="n"/>
      <c r="O2100" s="7" t="n"/>
      <c r="P2100" s="65" t="n"/>
      <c r="Q2100" s="75" t="n"/>
      <c r="R2100" s="75" t="n"/>
      <c r="S2100" s="76" t="n"/>
      <c r="T2100" s="76" t="n"/>
      <c r="U2100" s="70">
        <f>IF($A2100="","",IFERROR(INDEX('Techniciens'!$F$5:$F$44,MATCH(O2100,'Techniciens'!$B$5:$B$44,0)),'Paramètres'!$AA$10))</f>
        <v/>
      </c>
      <c r="V2100" s="70">
        <f>IF($A2100="","",IF(OR(AC2100="Demandé",AC2100="Planifié",AC2100="Annulé"),0,N(T2100)*N(U2100)))</f>
        <v/>
      </c>
      <c r="W2100" s="70">
        <f>IF($A2100="","",SUMIFS('Mouvements stock'!$H$5:$H$3004,'Mouvements stock'!$I$5:$I$3004,$A2100,'Mouvements stock'!$C$5:$C$3004,"Sortie")-SUMIFS('Mouvements stock'!$H$5:$H$3004,'Mouvements stock'!$I$5:$I$3004,$A2100,'Mouvements stock'!$C$5:$C$3004,"Retour"))</f>
        <v/>
      </c>
      <c r="X2100" s="66" t="n"/>
      <c r="Y2100" s="66" t="n"/>
      <c r="Z2100" s="7" t="n"/>
      <c r="AA2100" s="70">
        <f>IF($A2100="","",N(V2100)+N(W2100)+N(X2100)+N(Y2100))</f>
        <v/>
      </c>
      <c r="AB2100" s="70">
        <f>IF($A2100="","",N(S2100)*'Paramètres'!$AA$9*IFERROR(INDEX('Paramètres'!$O$5:$O$7,MATCH(G2100,'Paramètres'!$N$5:$N$7,0)),0))</f>
        <v/>
      </c>
      <c r="AC2100" s="7" t="n"/>
      <c r="AD2100" s="69">
        <f>IF(OR($A2100="",Q2100=""),"",(Q2100-B2100)*24)</f>
        <v/>
      </c>
      <c r="AE2100" s="69">
        <f>IF(OR(Q2100="",R2100=""),"",(R2100-Q2100)*24)</f>
        <v/>
      </c>
      <c r="AF2100" s="77">
        <f>IF(OR($A2100="",B2100=""),"",YEAR(B2100))</f>
        <v/>
      </c>
      <c r="AG2100" s="77">
        <f>IF(OR($A2100="",B2100=""),"",MONTH(B2100))</f>
        <v/>
      </c>
    </row>
    <row r="2101">
      <c r="A2101" s="7" t="n"/>
      <c r="B2101" s="75" t="n"/>
      <c r="C2101" s="7" t="n"/>
      <c r="D2101" s="7" t="n"/>
      <c r="E2101" s="9">
        <f>IF(D2101="","",IFERROR(INDEX('Équipements'!$B$5:$B$304,MATCH(D2101,'Équipements'!$A$5:$A$304,0)),"Code inconnu"))</f>
        <v/>
      </c>
      <c r="F2101" s="9">
        <f>IF(D2101="","",IFERROR(INDEX('Équipements'!$D$5:$D$304,MATCH(D2101,'Équipements'!$A$5:$A$304,0)),""))</f>
        <v/>
      </c>
      <c r="G2101" s="9">
        <f>IF(D2101="","",IFERROR(INDEX('Équipements'!$K$5:$K$304,MATCH(D2101,'Équipements'!$A$5:$A$304,0)),""))</f>
        <v/>
      </c>
      <c r="H2101" s="7" t="n"/>
      <c r="I2101" s="7" t="n"/>
      <c r="J2101" s="7" t="n"/>
      <c r="K2101" s="7" t="n"/>
      <c r="L2101" s="7" t="n"/>
      <c r="M2101" s="7" t="n"/>
      <c r="N2101" s="7" t="n"/>
      <c r="O2101" s="7" t="n"/>
      <c r="P2101" s="65" t="n"/>
      <c r="Q2101" s="75" t="n"/>
      <c r="R2101" s="75" t="n"/>
      <c r="S2101" s="76" t="n"/>
      <c r="T2101" s="76" t="n"/>
      <c r="U2101" s="70">
        <f>IF($A2101="","",IFERROR(INDEX('Techniciens'!$F$5:$F$44,MATCH(O2101,'Techniciens'!$B$5:$B$44,0)),'Paramètres'!$AA$10))</f>
        <v/>
      </c>
      <c r="V2101" s="70">
        <f>IF($A2101="","",IF(OR(AC2101="Demandé",AC2101="Planifié",AC2101="Annulé"),0,N(T2101)*N(U2101)))</f>
        <v/>
      </c>
      <c r="W2101" s="70">
        <f>IF($A2101="","",SUMIFS('Mouvements stock'!$H$5:$H$3004,'Mouvements stock'!$I$5:$I$3004,$A2101,'Mouvements stock'!$C$5:$C$3004,"Sortie")-SUMIFS('Mouvements stock'!$H$5:$H$3004,'Mouvements stock'!$I$5:$I$3004,$A2101,'Mouvements stock'!$C$5:$C$3004,"Retour"))</f>
        <v/>
      </c>
      <c r="X2101" s="66" t="n"/>
      <c r="Y2101" s="66" t="n"/>
      <c r="Z2101" s="7" t="n"/>
      <c r="AA2101" s="70">
        <f>IF($A2101="","",N(V2101)+N(W2101)+N(X2101)+N(Y2101))</f>
        <v/>
      </c>
      <c r="AB2101" s="70">
        <f>IF($A2101="","",N(S2101)*'Paramètres'!$AA$9*IFERROR(INDEX('Paramètres'!$O$5:$O$7,MATCH(G2101,'Paramètres'!$N$5:$N$7,0)),0))</f>
        <v/>
      </c>
      <c r="AC2101" s="7" t="n"/>
      <c r="AD2101" s="69">
        <f>IF(OR($A2101="",Q2101=""),"",(Q2101-B2101)*24)</f>
        <v/>
      </c>
      <c r="AE2101" s="69">
        <f>IF(OR(Q2101="",R2101=""),"",(R2101-Q2101)*24)</f>
        <v/>
      </c>
      <c r="AF2101" s="77">
        <f>IF(OR($A2101="",B2101=""),"",YEAR(B2101))</f>
        <v/>
      </c>
      <c r="AG2101" s="77">
        <f>IF(OR($A2101="",B2101=""),"",MONTH(B2101))</f>
        <v/>
      </c>
    </row>
    <row r="2102">
      <c r="A2102" s="7" t="n"/>
      <c r="B2102" s="75" t="n"/>
      <c r="C2102" s="7" t="n"/>
      <c r="D2102" s="7" t="n"/>
      <c r="E2102" s="9">
        <f>IF(D2102="","",IFERROR(INDEX('Équipements'!$B$5:$B$304,MATCH(D2102,'Équipements'!$A$5:$A$304,0)),"Code inconnu"))</f>
        <v/>
      </c>
      <c r="F2102" s="9">
        <f>IF(D2102="","",IFERROR(INDEX('Équipements'!$D$5:$D$304,MATCH(D2102,'Équipements'!$A$5:$A$304,0)),""))</f>
        <v/>
      </c>
      <c r="G2102" s="9">
        <f>IF(D2102="","",IFERROR(INDEX('Équipements'!$K$5:$K$304,MATCH(D2102,'Équipements'!$A$5:$A$304,0)),""))</f>
        <v/>
      </c>
      <c r="H2102" s="7" t="n"/>
      <c r="I2102" s="7" t="n"/>
      <c r="J2102" s="7" t="n"/>
      <c r="K2102" s="7" t="n"/>
      <c r="L2102" s="7" t="n"/>
      <c r="M2102" s="7" t="n"/>
      <c r="N2102" s="7" t="n"/>
      <c r="O2102" s="7" t="n"/>
      <c r="P2102" s="65" t="n"/>
      <c r="Q2102" s="75" t="n"/>
      <c r="R2102" s="75" t="n"/>
      <c r="S2102" s="76" t="n"/>
      <c r="T2102" s="76" t="n"/>
      <c r="U2102" s="70">
        <f>IF($A2102="","",IFERROR(INDEX('Techniciens'!$F$5:$F$44,MATCH(O2102,'Techniciens'!$B$5:$B$44,0)),'Paramètres'!$AA$10))</f>
        <v/>
      </c>
      <c r="V2102" s="70">
        <f>IF($A2102="","",IF(OR(AC2102="Demandé",AC2102="Planifié",AC2102="Annulé"),0,N(T2102)*N(U2102)))</f>
        <v/>
      </c>
      <c r="W2102" s="70">
        <f>IF($A2102="","",SUMIFS('Mouvements stock'!$H$5:$H$3004,'Mouvements stock'!$I$5:$I$3004,$A2102,'Mouvements stock'!$C$5:$C$3004,"Sortie")-SUMIFS('Mouvements stock'!$H$5:$H$3004,'Mouvements stock'!$I$5:$I$3004,$A2102,'Mouvements stock'!$C$5:$C$3004,"Retour"))</f>
        <v/>
      </c>
      <c r="X2102" s="66" t="n"/>
      <c r="Y2102" s="66" t="n"/>
      <c r="Z2102" s="7" t="n"/>
      <c r="AA2102" s="70">
        <f>IF($A2102="","",N(V2102)+N(W2102)+N(X2102)+N(Y2102))</f>
        <v/>
      </c>
      <c r="AB2102" s="70">
        <f>IF($A2102="","",N(S2102)*'Paramètres'!$AA$9*IFERROR(INDEX('Paramètres'!$O$5:$O$7,MATCH(G2102,'Paramètres'!$N$5:$N$7,0)),0))</f>
        <v/>
      </c>
      <c r="AC2102" s="7" t="n"/>
      <c r="AD2102" s="69">
        <f>IF(OR($A2102="",Q2102=""),"",(Q2102-B2102)*24)</f>
        <v/>
      </c>
      <c r="AE2102" s="69">
        <f>IF(OR(Q2102="",R2102=""),"",(R2102-Q2102)*24)</f>
        <v/>
      </c>
      <c r="AF2102" s="77">
        <f>IF(OR($A2102="",B2102=""),"",YEAR(B2102))</f>
        <v/>
      </c>
      <c r="AG2102" s="77">
        <f>IF(OR($A2102="",B2102=""),"",MONTH(B2102))</f>
        <v/>
      </c>
    </row>
    <row r="2103">
      <c r="A2103" s="7" t="n"/>
      <c r="B2103" s="75" t="n"/>
      <c r="C2103" s="7" t="n"/>
      <c r="D2103" s="7" t="n"/>
      <c r="E2103" s="9">
        <f>IF(D2103="","",IFERROR(INDEX('Équipements'!$B$5:$B$304,MATCH(D2103,'Équipements'!$A$5:$A$304,0)),"Code inconnu"))</f>
        <v/>
      </c>
      <c r="F2103" s="9">
        <f>IF(D2103="","",IFERROR(INDEX('Équipements'!$D$5:$D$304,MATCH(D2103,'Équipements'!$A$5:$A$304,0)),""))</f>
        <v/>
      </c>
      <c r="G2103" s="9">
        <f>IF(D2103="","",IFERROR(INDEX('Équipements'!$K$5:$K$304,MATCH(D2103,'Équipements'!$A$5:$A$304,0)),""))</f>
        <v/>
      </c>
      <c r="H2103" s="7" t="n"/>
      <c r="I2103" s="7" t="n"/>
      <c r="J2103" s="7" t="n"/>
      <c r="K2103" s="7" t="n"/>
      <c r="L2103" s="7" t="n"/>
      <c r="M2103" s="7" t="n"/>
      <c r="N2103" s="7" t="n"/>
      <c r="O2103" s="7" t="n"/>
      <c r="P2103" s="65" t="n"/>
      <c r="Q2103" s="75" t="n"/>
      <c r="R2103" s="75" t="n"/>
      <c r="S2103" s="76" t="n"/>
      <c r="T2103" s="76" t="n"/>
      <c r="U2103" s="70">
        <f>IF($A2103="","",IFERROR(INDEX('Techniciens'!$F$5:$F$44,MATCH(O2103,'Techniciens'!$B$5:$B$44,0)),'Paramètres'!$AA$10))</f>
        <v/>
      </c>
      <c r="V2103" s="70">
        <f>IF($A2103="","",IF(OR(AC2103="Demandé",AC2103="Planifié",AC2103="Annulé"),0,N(T2103)*N(U2103)))</f>
        <v/>
      </c>
      <c r="W2103" s="70">
        <f>IF($A2103="","",SUMIFS('Mouvements stock'!$H$5:$H$3004,'Mouvements stock'!$I$5:$I$3004,$A2103,'Mouvements stock'!$C$5:$C$3004,"Sortie")-SUMIFS('Mouvements stock'!$H$5:$H$3004,'Mouvements stock'!$I$5:$I$3004,$A2103,'Mouvements stock'!$C$5:$C$3004,"Retour"))</f>
        <v/>
      </c>
      <c r="X2103" s="66" t="n"/>
      <c r="Y2103" s="66" t="n"/>
      <c r="Z2103" s="7" t="n"/>
      <c r="AA2103" s="70">
        <f>IF($A2103="","",N(V2103)+N(W2103)+N(X2103)+N(Y2103))</f>
        <v/>
      </c>
      <c r="AB2103" s="70">
        <f>IF($A2103="","",N(S2103)*'Paramètres'!$AA$9*IFERROR(INDEX('Paramètres'!$O$5:$O$7,MATCH(G2103,'Paramètres'!$N$5:$N$7,0)),0))</f>
        <v/>
      </c>
      <c r="AC2103" s="7" t="n"/>
      <c r="AD2103" s="69">
        <f>IF(OR($A2103="",Q2103=""),"",(Q2103-B2103)*24)</f>
        <v/>
      </c>
      <c r="AE2103" s="69">
        <f>IF(OR(Q2103="",R2103=""),"",(R2103-Q2103)*24)</f>
        <v/>
      </c>
      <c r="AF2103" s="77">
        <f>IF(OR($A2103="",B2103=""),"",YEAR(B2103))</f>
        <v/>
      </c>
      <c r="AG2103" s="77">
        <f>IF(OR($A2103="",B2103=""),"",MONTH(B2103))</f>
        <v/>
      </c>
    </row>
    <row r="2104">
      <c r="A2104" s="7" t="n"/>
      <c r="B2104" s="75" t="n"/>
      <c r="C2104" s="7" t="n"/>
      <c r="D2104" s="7" t="n"/>
      <c r="E2104" s="9">
        <f>IF(D2104="","",IFERROR(INDEX('Équipements'!$B$5:$B$304,MATCH(D2104,'Équipements'!$A$5:$A$304,0)),"Code inconnu"))</f>
        <v/>
      </c>
      <c r="F2104" s="9">
        <f>IF(D2104="","",IFERROR(INDEX('Équipements'!$D$5:$D$304,MATCH(D2104,'Équipements'!$A$5:$A$304,0)),""))</f>
        <v/>
      </c>
      <c r="G2104" s="9">
        <f>IF(D2104="","",IFERROR(INDEX('Équipements'!$K$5:$K$304,MATCH(D2104,'Équipements'!$A$5:$A$304,0)),""))</f>
        <v/>
      </c>
      <c r="H2104" s="7" t="n"/>
      <c r="I2104" s="7" t="n"/>
      <c r="J2104" s="7" t="n"/>
      <c r="K2104" s="7" t="n"/>
      <c r="L2104" s="7" t="n"/>
      <c r="M2104" s="7" t="n"/>
      <c r="N2104" s="7" t="n"/>
      <c r="O2104" s="7" t="n"/>
      <c r="P2104" s="65" t="n"/>
      <c r="Q2104" s="75" t="n"/>
      <c r="R2104" s="75" t="n"/>
      <c r="S2104" s="76" t="n"/>
      <c r="T2104" s="76" t="n"/>
      <c r="U2104" s="70">
        <f>IF($A2104="","",IFERROR(INDEX('Techniciens'!$F$5:$F$44,MATCH(O2104,'Techniciens'!$B$5:$B$44,0)),'Paramètres'!$AA$10))</f>
        <v/>
      </c>
      <c r="V2104" s="70">
        <f>IF($A2104="","",IF(OR(AC2104="Demandé",AC2104="Planifié",AC2104="Annulé"),0,N(T2104)*N(U2104)))</f>
        <v/>
      </c>
      <c r="W2104" s="70">
        <f>IF($A2104="","",SUMIFS('Mouvements stock'!$H$5:$H$3004,'Mouvements stock'!$I$5:$I$3004,$A2104,'Mouvements stock'!$C$5:$C$3004,"Sortie")-SUMIFS('Mouvements stock'!$H$5:$H$3004,'Mouvements stock'!$I$5:$I$3004,$A2104,'Mouvements stock'!$C$5:$C$3004,"Retour"))</f>
        <v/>
      </c>
      <c r="X2104" s="66" t="n"/>
      <c r="Y2104" s="66" t="n"/>
      <c r="Z2104" s="7" t="n"/>
      <c r="AA2104" s="70">
        <f>IF($A2104="","",N(V2104)+N(W2104)+N(X2104)+N(Y2104))</f>
        <v/>
      </c>
      <c r="AB2104" s="70">
        <f>IF($A2104="","",N(S2104)*'Paramètres'!$AA$9*IFERROR(INDEX('Paramètres'!$O$5:$O$7,MATCH(G2104,'Paramètres'!$N$5:$N$7,0)),0))</f>
        <v/>
      </c>
      <c r="AC2104" s="7" t="n"/>
      <c r="AD2104" s="69">
        <f>IF(OR($A2104="",Q2104=""),"",(Q2104-B2104)*24)</f>
        <v/>
      </c>
      <c r="AE2104" s="69">
        <f>IF(OR(Q2104="",R2104=""),"",(R2104-Q2104)*24)</f>
        <v/>
      </c>
      <c r="AF2104" s="77">
        <f>IF(OR($A2104="",B2104=""),"",YEAR(B2104))</f>
        <v/>
      </c>
      <c r="AG2104" s="77">
        <f>IF(OR($A2104="",B2104=""),"",MONTH(B2104))</f>
        <v/>
      </c>
    </row>
    <row r="2105">
      <c r="A2105" s="7" t="n"/>
      <c r="B2105" s="75" t="n"/>
      <c r="C2105" s="7" t="n"/>
      <c r="D2105" s="7" t="n"/>
      <c r="E2105" s="9">
        <f>IF(D2105="","",IFERROR(INDEX('Équipements'!$B$5:$B$304,MATCH(D2105,'Équipements'!$A$5:$A$304,0)),"Code inconnu"))</f>
        <v/>
      </c>
      <c r="F2105" s="9">
        <f>IF(D2105="","",IFERROR(INDEX('Équipements'!$D$5:$D$304,MATCH(D2105,'Équipements'!$A$5:$A$304,0)),""))</f>
        <v/>
      </c>
      <c r="G2105" s="9">
        <f>IF(D2105="","",IFERROR(INDEX('Équipements'!$K$5:$K$304,MATCH(D2105,'Équipements'!$A$5:$A$304,0)),""))</f>
        <v/>
      </c>
      <c r="H2105" s="7" t="n"/>
      <c r="I2105" s="7" t="n"/>
      <c r="J2105" s="7" t="n"/>
      <c r="K2105" s="7" t="n"/>
      <c r="L2105" s="7" t="n"/>
      <c r="M2105" s="7" t="n"/>
      <c r="N2105" s="7" t="n"/>
      <c r="O2105" s="7" t="n"/>
      <c r="P2105" s="65" t="n"/>
      <c r="Q2105" s="75" t="n"/>
      <c r="R2105" s="75" t="n"/>
      <c r="S2105" s="76" t="n"/>
      <c r="T2105" s="76" t="n"/>
      <c r="U2105" s="70">
        <f>IF($A2105="","",IFERROR(INDEX('Techniciens'!$F$5:$F$44,MATCH(O2105,'Techniciens'!$B$5:$B$44,0)),'Paramètres'!$AA$10))</f>
        <v/>
      </c>
      <c r="V2105" s="70">
        <f>IF($A2105="","",IF(OR(AC2105="Demandé",AC2105="Planifié",AC2105="Annulé"),0,N(T2105)*N(U2105)))</f>
        <v/>
      </c>
      <c r="W2105" s="70">
        <f>IF($A2105="","",SUMIFS('Mouvements stock'!$H$5:$H$3004,'Mouvements stock'!$I$5:$I$3004,$A2105,'Mouvements stock'!$C$5:$C$3004,"Sortie")-SUMIFS('Mouvements stock'!$H$5:$H$3004,'Mouvements stock'!$I$5:$I$3004,$A2105,'Mouvements stock'!$C$5:$C$3004,"Retour"))</f>
        <v/>
      </c>
      <c r="X2105" s="66" t="n"/>
      <c r="Y2105" s="66" t="n"/>
      <c r="Z2105" s="7" t="n"/>
      <c r="AA2105" s="70">
        <f>IF($A2105="","",N(V2105)+N(W2105)+N(X2105)+N(Y2105))</f>
        <v/>
      </c>
      <c r="AB2105" s="70">
        <f>IF($A2105="","",N(S2105)*'Paramètres'!$AA$9*IFERROR(INDEX('Paramètres'!$O$5:$O$7,MATCH(G2105,'Paramètres'!$N$5:$N$7,0)),0))</f>
        <v/>
      </c>
      <c r="AC2105" s="7" t="n"/>
      <c r="AD2105" s="69">
        <f>IF(OR($A2105="",Q2105=""),"",(Q2105-B2105)*24)</f>
        <v/>
      </c>
      <c r="AE2105" s="69">
        <f>IF(OR(Q2105="",R2105=""),"",(R2105-Q2105)*24)</f>
        <v/>
      </c>
      <c r="AF2105" s="77">
        <f>IF(OR($A2105="",B2105=""),"",YEAR(B2105))</f>
        <v/>
      </c>
      <c r="AG2105" s="77">
        <f>IF(OR($A2105="",B2105=""),"",MONTH(B2105))</f>
        <v/>
      </c>
    </row>
    <row r="2106">
      <c r="A2106" s="7" t="n"/>
      <c r="B2106" s="75" t="n"/>
      <c r="C2106" s="7" t="n"/>
      <c r="D2106" s="7" t="n"/>
      <c r="E2106" s="9">
        <f>IF(D2106="","",IFERROR(INDEX('Équipements'!$B$5:$B$304,MATCH(D2106,'Équipements'!$A$5:$A$304,0)),"Code inconnu"))</f>
        <v/>
      </c>
      <c r="F2106" s="9">
        <f>IF(D2106="","",IFERROR(INDEX('Équipements'!$D$5:$D$304,MATCH(D2106,'Équipements'!$A$5:$A$304,0)),""))</f>
        <v/>
      </c>
      <c r="G2106" s="9">
        <f>IF(D2106="","",IFERROR(INDEX('Équipements'!$K$5:$K$304,MATCH(D2106,'Équipements'!$A$5:$A$304,0)),""))</f>
        <v/>
      </c>
      <c r="H2106" s="7" t="n"/>
      <c r="I2106" s="7" t="n"/>
      <c r="J2106" s="7" t="n"/>
      <c r="K2106" s="7" t="n"/>
      <c r="L2106" s="7" t="n"/>
      <c r="M2106" s="7" t="n"/>
      <c r="N2106" s="7" t="n"/>
      <c r="O2106" s="7" t="n"/>
      <c r="P2106" s="65" t="n"/>
      <c r="Q2106" s="75" t="n"/>
      <c r="R2106" s="75" t="n"/>
      <c r="S2106" s="76" t="n"/>
      <c r="T2106" s="76" t="n"/>
      <c r="U2106" s="70">
        <f>IF($A2106="","",IFERROR(INDEX('Techniciens'!$F$5:$F$44,MATCH(O2106,'Techniciens'!$B$5:$B$44,0)),'Paramètres'!$AA$10))</f>
        <v/>
      </c>
      <c r="V2106" s="70">
        <f>IF($A2106="","",IF(OR(AC2106="Demandé",AC2106="Planifié",AC2106="Annulé"),0,N(T2106)*N(U2106)))</f>
        <v/>
      </c>
      <c r="W2106" s="70">
        <f>IF($A2106="","",SUMIFS('Mouvements stock'!$H$5:$H$3004,'Mouvements stock'!$I$5:$I$3004,$A2106,'Mouvements stock'!$C$5:$C$3004,"Sortie")-SUMIFS('Mouvements stock'!$H$5:$H$3004,'Mouvements stock'!$I$5:$I$3004,$A2106,'Mouvements stock'!$C$5:$C$3004,"Retour"))</f>
        <v/>
      </c>
      <c r="X2106" s="66" t="n"/>
      <c r="Y2106" s="66" t="n"/>
      <c r="Z2106" s="7" t="n"/>
      <c r="AA2106" s="70">
        <f>IF($A2106="","",N(V2106)+N(W2106)+N(X2106)+N(Y2106))</f>
        <v/>
      </c>
      <c r="AB2106" s="70">
        <f>IF($A2106="","",N(S2106)*'Paramètres'!$AA$9*IFERROR(INDEX('Paramètres'!$O$5:$O$7,MATCH(G2106,'Paramètres'!$N$5:$N$7,0)),0))</f>
        <v/>
      </c>
      <c r="AC2106" s="7" t="n"/>
      <c r="AD2106" s="69">
        <f>IF(OR($A2106="",Q2106=""),"",(Q2106-B2106)*24)</f>
        <v/>
      </c>
      <c r="AE2106" s="69">
        <f>IF(OR(Q2106="",R2106=""),"",(R2106-Q2106)*24)</f>
        <v/>
      </c>
      <c r="AF2106" s="77">
        <f>IF(OR($A2106="",B2106=""),"",YEAR(B2106))</f>
        <v/>
      </c>
      <c r="AG2106" s="77">
        <f>IF(OR($A2106="",B2106=""),"",MONTH(B2106))</f>
        <v/>
      </c>
    </row>
    <row r="2107">
      <c r="A2107" s="7" t="n"/>
      <c r="B2107" s="75" t="n"/>
      <c r="C2107" s="7" t="n"/>
      <c r="D2107" s="7" t="n"/>
      <c r="E2107" s="9">
        <f>IF(D2107="","",IFERROR(INDEX('Équipements'!$B$5:$B$304,MATCH(D2107,'Équipements'!$A$5:$A$304,0)),"Code inconnu"))</f>
        <v/>
      </c>
      <c r="F2107" s="9">
        <f>IF(D2107="","",IFERROR(INDEX('Équipements'!$D$5:$D$304,MATCH(D2107,'Équipements'!$A$5:$A$304,0)),""))</f>
        <v/>
      </c>
      <c r="G2107" s="9">
        <f>IF(D2107="","",IFERROR(INDEX('Équipements'!$K$5:$K$304,MATCH(D2107,'Équipements'!$A$5:$A$304,0)),""))</f>
        <v/>
      </c>
      <c r="H2107" s="7" t="n"/>
      <c r="I2107" s="7" t="n"/>
      <c r="J2107" s="7" t="n"/>
      <c r="K2107" s="7" t="n"/>
      <c r="L2107" s="7" t="n"/>
      <c r="M2107" s="7" t="n"/>
      <c r="N2107" s="7" t="n"/>
      <c r="O2107" s="7" t="n"/>
      <c r="P2107" s="65" t="n"/>
      <c r="Q2107" s="75" t="n"/>
      <c r="R2107" s="75" t="n"/>
      <c r="S2107" s="76" t="n"/>
      <c r="T2107" s="76" t="n"/>
      <c r="U2107" s="70">
        <f>IF($A2107="","",IFERROR(INDEX('Techniciens'!$F$5:$F$44,MATCH(O2107,'Techniciens'!$B$5:$B$44,0)),'Paramètres'!$AA$10))</f>
        <v/>
      </c>
      <c r="V2107" s="70">
        <f>IF($A2107="","",IF(OR(AC2107="Demandé",AC2107="Planifié",AC2107="Annulé"),0,N(T2107)*N(U2107)))</f>
        <v/>
      </c>
      <c r="W2107" s="70">
        <f>IF($A2107="","",SUMIFS('Mouvements stock'!$H$5:$H$3004,'Mouvements stock'!$I$5:$I$3004,$A2107,'Mouvements stock'!$C$5:$C$3004,"Sortie")-SUMIFS('Mouvements stock'!$H$5:$H$3004,'Mouvements stock'!$I$5:$I$3004,$A2107,'Mouvements stock'!$C$5:$C$3004,"Retour"))</f>
        <v/>
      </c>
      <c r="X2107" s="66" t="n"/>
      <c r="Y2107" s="66" t="n"/>
      <c r="Z2107" s="7" t="n"/>
      <c r="AA2107" s="70">
        <f>IF($A2107="","",N(V2107)+N(W2107)+N(X2107)+N(Y2107))</f>
        <v/>
      </c>
      <c r="AB2107" s="70">
        <f>IF($A2107="","",N(S2107)*'Paramètres'!$AA$9*IFERROR(INDEX('Paramètres'!$O$5:$O$7,MATCH(G2107,'Paramètres'!$N$5:$N$7,0)),0))</f>
        <v/>
      </c>
      <c r="AC2107" s="7" t="n"/>
      <c r="AD2107" s="69">
        <f>IF(OR($A2107="",Q2107=""),"",(Q2107-B2107)*24)</f>
        <v/>
      </c>
      <c r="AE2107" s="69">
        <f>IF(OR(Q2107="",R2107=""),"",(R2107-Q2107)*24)</f>
        <v/>
      </c>
      <c r="AF2107" s="77">
        <f>IF(OR($A2107="",B2107=""),"",YEAR(B2107))</f>
        <v/>
      </c>
      <c r="AG2107" s="77">
        <f>IF(OR($A2107="",B2107=""),"",MONTH(B2107))</f>
        <v/>
      </c>
    </row>
    <row r="2108">
      <c r="A2108" s="7" t="n"/>
      <c r="B2108" s="75" t="n"/>
      <c r="C2108" s="7" t="n"/>
      <c r="D2108" s="7" t="n"/>
      <c r="E2108" s="9">
        <f>IF(D2108="","",IFERROR(INDEX('Équipements'!$B$5:$B$304,MATCH(D2108,'Équipements'!$A$5:$A$304,0)),"Code inconnu"))</f>
        <v/>
      </c>
      <c r="F2108" s="9">
        <f>IF(D2108="","",IFERROR(INDEX('Équipements'!$D$5:$D$304,MATCH(D2108,'Équipements'!$A$5:$A$304,0)),""))</f>
        <v/>
      </c>
      <c r="G2108" s="9">
        <f>IF(D2108="","",IFERROR(INDEX('Équipements'!$K$5:$K$304,MATCH(D2108,'Équipements'!$A$5:$A$304,0)),""))</f>
        <v/>
      </c>
      <c r="H2108" s="7" t="n"/>
      <c r="I2108" s="7" t="n"/>
      <c r="J2108" s="7" t="n"/>
      <c r="K2108" s="7" t="n"/>
      <c r="L2108" s="7" t="n"/>
      <c r="M2108" s="7" t="n"/>
      <c r="N2108" s="7" t="n"/>
      <c r="O2108" s="7" t="n"/>
      <c r="P2108" s="65" t="n"/>
      <c r="Q2108" s="75" t="n"/>
      <c r="R2108" s="75" t="n"/>
      <c r="S2108" s="76" t="n"/>
      <c r="T2108" s="76" t="n"/>
      <c r="U2108" s="70">
        <f>IF($A2108="","",IFERROR(INDEX('Techniciens'!$F$5:$F$44,MATCH(O2108,'Techniciens'!$B$5:$B$44,0)),'Paramètres'!$AA$10))</f>
        <v/>
      </c>
      <c r="V2108" s="70">
        <f>IF($A2108="","",IF(OR(AC2108="Demandé",AC2108="Planifié",AC2108="Annulé"),0,N(T2108)*N(U2108)))</f>
        <v/>
      </c>
      <c r="W2108" s="70">
        <f>IF($A2108="","",SUMIFS('Mouvements stock'!$H$5:$H$3004,'Mouvements stock'!$I$5:$I$3004,$A2108,'Mouvements stock'!$C$5:$C$3004,"Sortie")-SUMIFS('Mouvements stock'!$H$5:$H$3004,'Mouvements stock'!$I$5:$I$3004,$A2108,'Mouvements stock'!$C$5:$C$3004,"Retour"))</f>
        <v/>
      </c>
      <c r="X2108" s="66" t="n"/>
      <c r="Y2108" s="66" t="n"/>
      <c r="Z2108" s="7" t="n"/>
      <c r="AA2108" s="70">
        <f>IF($A2108="","",N(V2108)+N(W2108)+N(X2108)+N(Y2108))</f>
        <v/>
      </c>
      <c r="AB2108" s="70">
        <f>IF($A2108="","",N(S2108)*'Paramètres'!$AA$9*IFERROR(INDEX('Paramètres'!$O$5:$O$7,MATCH(G2108,'Paramètres'!$N$5:$N$7,0)),0))</f>
        <v/>
      </c>
      <c r="AC2108" s="7" t="n"/>
      <c r="AD2108" s="69">
        <f>IF(OR($A2108="",Q2108=""),"",(Q2108-B2108)*24)</f>
        <v/>
      </c>
      <c r="AE2108" s="69">
        <f>IF(OR(Q2108="",R2108=""),"",(R2108-Q2108)*24)</f>
        <v/>
      </c>
      <c r="AF2108" s="77">
        <f>IF(OR($A2108="",B2108=""),"",YEAR(B2108))</f>
        <v/>
      </c>
      <c r="AG2108" s="77">
        <f>IF(OR($A2108="",B2108=""),"",MONTH(B2108))</f>
        <v/>
      </c>
    </row>
    <row r="2109">
      <c r="A2109" s="7" t="n"/>
      <c r="B2109" s="75" t="n"/>
      <c r="C2109" s="7" t="n"/>
      <c r="D2109" s="7" t="n"/>
      <c r="E2109" s="9">
        <f>IF(D2109="","",IFERROR(INDEX('Équipements'!$B$5:$B$304,MATCH(D2109,'Équipements'!$A$5:$A$304,0)),"Code inconnu"))</f>
        <v/>
      </c>
      <c r="F2109" s="9">
        <f>IF(D2109="","",IFERROR(INDEX('Équipements'!$D$5:$D$304,MATCH(D2109,'Équipements'!$A$5:$A$304,0)),""))</f>
        <v/>
      </c>
      <c r="G2109" s="9">
        <f>IF(D2109="","",IFERROR(INDEX('Équipements'!$K$5:$K$304,MATCH(D2109,'Équipements'!$A$5:$A$304,0)),""))</f>
        <v/>
      </c>
      <c r="H2109" s="7" t="n"/>
      <c r="I2109" s="7" t="n"/>
      <c r="J2109" s="7" t="n"/>
      <c r="K2109" s="7" t="n"/>
      <c r="L2109" s="7" t="n"/>
      <c r="M2109" s="7" t="n"/>
      <c r="N2109" s="7" t="n"/>
      <c r="O2109" s="7" t="n"/>
      <c r="P2109" s="65" t="n"/>
      <c r="Q2109" s="75" t="n"/>
      <c r="R2109" s="75" t="n"/>
      <c r="S2109" s="76" t="n"/>
      <c r="T2109" s="76" t="n"/>
      <c r="U2109" s="70">
        <f>IF($A2109="","",IFERROR(INDEX('Techniciens'!$F$5:$F$44,MATCH(O2109,'Techniciens'!$B$5:$B$44,0)),'Paramètres'!$AA$10))</f>
        <v/>
      </c>
      <c r="V2109" s="70">
        <f>IF($A2109="","",IF(OR(AC2109="Demandé",AC2109="Planifié",AC2109="Annulé"),0,N(T2109)*N(U2109)))</f>
        <v/>
      </c>
      <c r="W2109" s="70">
        <f>IF($A2109="","",SUMIFS('Mouvements stock'!$H$5:$H$3004,'Mouvements stock'!$I$5:$I$3004,$A2109,'Mouvements stock'!$C$5:$C$3004,"Sortie")-SUMIFS('Mouvements stock'!$H$5:$H$3004,'Mouvements stock'!$I$5:$I$3004,$A2109,'Mouvements stock'!$C$5:$C$3004,"Retour"))</f>
        <v/>
      </c>
      <c r="X2109" s="66" t="n"/>
      <c r="Y2109" s="66" t="n"/>
      <c r="Z2109" s="7" t="n"/>
      <c r="AA2109" s="70">
        <f>IF($A2109="","",N(V2109)+N(W2109)+N(X2109)+N(Y2109))</f>
        <v/>
      </c>
      <c r="AB2109" s="70">
        <f>IF($A2109="","",N(S2109)*'Paramètres'!$AA$9*IFERROR(INDEX('Paramètres'!$O$5:$O$7,MATCH(G2109,'Paramètres'!$N$5:$N$7,0)),0))</f>
        <v/>
      </c>
      <c r="AC2109" s="7" t="n"/>
      <c r="AD2109" s="69">
        <f>IF(OR($A2109="",Q2109=""),"",(Q2109-B2109)*24)</f>
        <v/>
      </c>
      <c r="AE2109" s="69">
        <f>IF(OR(Q2109="",R2109=""),"",(R2109-Q2109)*24)</f>
        <v/>
      </c>
      <c r="AF2109" s="77">
        <f>IF(OR($A2109="",B2109=""),"",YEAR(B2109))</f>
        <v/>
      </c>
      <c r="AG2109" s="77">
        <f>IF(OR($A2109="",B2109=""),"",MONTH(B2109))</f>
        <v/>
      </c>
    </row>
    <row r="2110">
      <c r="A2110" s="7" t="n"/>
      <c r="B2110" s="75" t="n"/>
      <c r="C2110" s="7" t="n"/>
      <c r="D2110" s="7" t="n"/>
      <c r="E2110" s="9">
        <f>IF(D2110="","",IFERROR(INDEX('Équipements'!$B$5:$B$304,MATCH(D2110,'Équipements'!$A$5:$A$304,0)),"Code inconnu"))</f>
        <v/>
      </c>
      <c r="F2110" s="9">
        <f>IF(D2110="","",IFERROR(INDEX('Équipements'!$D$5:$D$304,MATCH(D2110,'Équipements'!$A$5:$A$304,0)),""))</f>
        <v/>
      </c>
      <c r="G2110" s="9">
        <f>IF(D2110="","",IFERROR(INDEX('Équipements'!$K$5:$K$304,MATCH(D2110,'Équipements'!$A$5:$A$304,0)),""))</f>
        <v/>
      </c>
      <c r="H2110" s="7" t="n"/>
      <c r="I2110" s="7" t="n"/>
      <c r="J2110" s="7" t="n"/>
      <c r="K2110" s="7" t="n"/>
      <c r="L2110" s="7" t="n"/>
      <c r="M2110" s="7" t="n"/>
      <c r="N2110" s="7" t="n"/>
      <c r="O2110" s="7" t="n"/>
      <c r="P2110" s="65" t="n"/>
      <c r="Q2110" s="75" t="n"/>
      <c r="R2110" s="75" t="n"/>
      <c r="S2110" s="76" t="n"/>
      <c r="T2110" s="76" t="n"/>
      <c r="U2110" s="70">
        <f>IF($A2110="","",IFERROR(INDEX('Techniciens'!$F$5:$F$44,MATCH(O2110,'Techniciens'!$B$5:$B$44,0)),'Paramètres'!$AA$10))</f>
        <v/>
      </c>
      <c r="V2110" s="70">
        <f>IF($A2110="","",IF(OR(AC2110="Demandé",AC2110="Planifié",AC2110="Annulé"),0,N(T2110)*N(U2110)))</f>
        <v/>
      </c>
      <c r="W2110" s="70">
        <f>IF($A2110="","",SUMIFS('Mouvements stock'!$H$5:$H$3004,'Mouvements stock'!$I$5:$I$3004,$A2110,'Mouvements stock'!$C$5:$C$3004,"Sortie")-SUMIFS('Mouvements stock'!$H$5:$H$3004,'Mouvements stock'!$I$5:$I$3004,$A2110,'Mouvements stock'!$C$5:$C$3004,"Retour"))</f>
        <v/>
      </c>
      <c r="X2110" s="66" t="n"/>
      <c r="Y2110" s="66" t="n"/>
      <c r="Z2110" s="7" t="n"/>
      <c r="AA2110" s="70">
        <f>IF($A2110="","",N(V2110)+N(W2110)+N(X2110)+N(Y2110))</f>
        <v/>
      </c>
      <c r="AB2110" s="70">
        <f>IF($A2110="","",N(S2110)*'Paramètres'!$AA$9*IFERROR(INDEX('Paramètres'!$O$5:$O$7,MATCH(G2110,'Paramètres'!$N$5:$N$7,0)),0))</f>
        <v/>
      </c>
      <c r="AC2110" s="7" t="n"/>
      <c r="AD2110" s="69">
        <f>IF(OR($A2110="",Q2110=""),"",(Q2110-B2110)*24)</f>
        <v/>
      </c>
      <c r="AE2110" s="69">
        <f>IF(OR(Q2110="",R2110=""),"",(R2110-Q2110)*24)</f>
        <v/>
      </c>
      <c r="AF2110" s="77">
        <f>IF(OR($A2110="",B2110=""),"",YEAR(B2110))</f>
        <v/>
      </c>
      <c r="AG2110" s="77">
        <f>IF(OR($A2110="",B2110=""),"",MONTH(B2110))</f>
        <v/>
      </c>
    </row>
    <row r="2111">
      <c r="A2111" s="7" t="n"/>
      <c r="B2111" s="75" t="n"/>
      <c r="C2111" s="7" t="n"/>
      <c r="D2111" s="7" t="n"/>
      <c r="E2111" s="9">
        <f>IF(D2111="","",IFERROR(INDEX('Équipements'!$B$5:$B$304,MATCH(D2111,'Équipements'!$A$5:$A$304,0)),"Code inconnu"))</f>
        <v/>
      </c>
      <c r="F2111" s="9">
        <f>IF(D2111="","",IFERROR(INDEX('Équipements'!$D$5:$D$304,MATCH(D2111,'Équipements'!$A$5:$A$304,0)),""))</f>
        <v/>
      </c>
      <c r="G2111" s="9">
        <f>IF(D2111="","",IFERROR(INDEX('Équipements'!$K$5:$K$304,MATCH(D2111,'Équipements'!$A$5:$A$304,0)),""))</f>
        <v/>
      </c>
      <c r="H2111" s="7" t="n"/>
      <c r="I2111" s="7" t="n"/>
      <c r="J2111" s="7" t="n"/>
      <c r="K2111" s="7" t="n"/>
      <c r="L2111" s="7" t="n"/>
      <c r="M2111" s="7" t="n"/>
      <c r="N2111" s="7" t="n"/>
      <c r="O2111" s="7" t="n"/>
      <c r="P2111" s="65" t="n"/>
      <c r="Q2111" s="75" t="n"/>
      <c r="R2111" s="75" t="n"/>
      <c r="S2111" s="76" t="n"/>
      <c r="T2111" s="76" t="n"/>
      <c r="U2111" s="70">
        <f>IF($A2111="","",IFERROR(INDEX('Techniciens'!$F$5:$F$44,MATCH(O2111,'Techniciens'!$B$5:$B$44,0)),'Paramètres'!$AA$10))</f>
        <v/>
      </c>
      <c r="V2111" s="70">
        <f>IF($A2111="","",IF(OR(AC2111="Demandé",AC2111="Planifié",AC2111="Annulé"),0,N(T2111)*N(U2111)))</f>
        <v/>
      </c>
      <c r="W2111" s="70">
        <f>IF($A2111="","",SUMIFS('Mouvements stock'!$H$5:$H$3004,'Mouvements stock'!$I$5:$I$3004,$A2111,'Mouvements stock'!$C$5:$C$3004,"Sortie")-SUMIFS('Mouvements stock'!$H$5:$H$3004,'Mouvements stock'!$I$5:$I$3004,$A2111,'Mouvements stock'!$C$5:$C$3004,"Retour"))</f>
        <v/>
      </c>
      <c r="X2111" s="66" t="n"/>
      <c r="Y2111" s="66" t="n"/>
      <c r="Z2111" s="7" t="n"/>
      <c r="AA2111" s="70">
        <f>IF($A2111="","",N(V2111)+N(W2111)+N(X2111)+N(Y2111))</f>
        <v/>
      </c>
      <c r="AB2111" s="70">
        <f>IF($A2111="","",N(S2111)*'Paramètres'!$AA$9*IFERROR(INDEX('Paramètres'!$O$5:$O$7,MATCH(G2111,'Paramètres'!$N$5:$N$7,0)),0))</f>
        <v/>
      </c>
      <c r="AC2111" s="7" t="n"/>
      <c r="AD2111" s="69">
        <f>IF(OR($A2111="",Q2111=""),"",(Q2111-B2111)*24)</f>
        <v/>
      </c>
      <c r="AE2111" s="69">
        <f>IF(OR(Q2111="",R2111=""),"",(R2111-Q2111)*24)</f>
        <v/>
      </c>
      <c r="AF2111" s="77">
        <f>IF(OR($A2111="",B2111=""),"",YEAR(B2111))</f>
        <v/>
      </c>
      <c r="AG2111" s="77">
        <f>IF(OR($A2111="",B2111=""),"",MONTH(B2111))</f>
        <v/>
      </c>
    </row>
    <row r="2112">
      <c r="A2112" s="7" t="n"/>
      <c r="B2112" s="75" t="n"/>
      <c r="C2112" s="7" t="n"/>
      <c r="D2112" s="7" t="n"/>
      <c r="E2112" s="9">
        <f>IF(D2112="","",IFERROR(INDEX('Équipements'!$B$5:$B$304,MATCH(D2112,'Équipements'!$A$5:$A$304,0)),"Code inconnu"))</f>
        <v/>
      </c>
      <c r="F2112" s="9">
        <f>IF(D2112="","",IFERROR(INDEX('Équipements'!$D$5:$D$304,MATCH(D2112,'Équipements'!$A$5:$A$304,0)),""))</f>
        <v/>
      </c>
      <c r="G2112" s="9">
        <f>IF(D2112="","",IFERROR(INDEX('Équipements'!$K$5:$K$304,MATCH(D2112,'Équipements'!$A$5:$A$304,0)),""))</f>
        <v/>
      </c>
      <c r="H2112" s="7" t="n"/>
      <c r="I2112" s="7" t="n"/>
      <c r="J2112" s="7" t="n"/>
      <c r="K2112" s="7" t="n"/>
      <c r="L2112" s="7" t="n"/>
      <c r="M2112" s="7" t="n"/>
      <c r="N2112" s="7" t="n"/>
      <c r="O2112" s="7" t="n"/>
      <c r="P2112" s="65" t="n"/>
      <c r="Q2112" s="75" t="n"/>
      <c r="R2112" s="75" t="n"/>
      <c r="S2112" s="76" t="n"/>
      <c r="T2112" s="76" t="n"/>
      <c r="U2112" s="70">
        <f>IF($A2112="","",IFERROR(INDEX('Techniciens'!$F$5:$F$44,MATCH(O2112,'Techniciens'!$B$5:$B$44,0)),'Paramètres'!$AA$10))</f>
        <v/>
      </c>
      <c r="V2112" s="70">
        <f>IF($A2112="","",IF(OR(AC2112="Demandé",AC2112="Planifié",AC2112="Annulé"),0,N(T2112)*N(U2112)))</f>
        <v/>
      </c>
      <c r="W2112" s="70">
        <f>IF($A2112="","",SUMIFS('Mouvements stock'!$H$5:$H$3004,'Mouvements stock'!$I$5:$I$3004,$A2112,'Mouvements stock'!$C$5:$C$3004,"Sortie")-SUMIFS('Mouvements stock'!$H$5:$H$3004,'Mouvements stock'!$I$5:$I$3004,$A2112,'Mouvements stock'!$C$5:$C$3004,"Retour"))</f>
        <v/>
      </c>
      <c r="X2112" s="66" t="n"/>
      <c r="Y2112" s="66" t="n"/>
      <c r="Z2112" s="7" t="n"/>
      <c r="AA2112" s="70">
        <f>IF($A2112="","",N(V2112)+N(W2112)+N(X2112)+N(Y2112))</f>
        <v/>
      </c>
      <c r="AB2112" s="70">
        <f>IF($A2112="","",N(S2112)*'Paramètres'!$AA$9*IFERROR(INDEX('Paramètres'!$O$5:$O$7,MATCH(G2112,'Paramètres'!$N$5:$N$7,0)),0))</f>
        <v/>
      </c>
      <c r="AC2112" s="7" t="n"/>
      <c r="AD2112" s="69">
        <f>IF(OR($A2112="",Q2112=""),"",(Q2112-B2112)*24)</f>
        <v/>
      </c>
      <c r="AE2112" s="69">
        <f>IF(OR(Q2112="",R2112=""),"",(R2112-Q2112)*24)</f>
        <v/>
      </c>
      <c r="AF2112" s="77">
        <f>IF(OR($A2112="",B2112=""),"",YEAR(B2112))</f>
        <v/>
      </c>
      <c r="AG2112" s="77">
        <f>IF(OR($A2112="",B2112=""),"",MONTH(B2112))</f>
        <v/>
      </c>
    </row>
    <row r="2113">
      <c r="A2113" s="7" t="n"/>
      <c r="B2113" s="75" t="n"/>
      <c r="C2113" s="7" t="n"/>
      <c r="D2113" s="7" t="n"/>
      <c r="E2113" s="9">
        <f>IF(D2113="","",IFERROR(INDEX('Équipements'!$B$5:$B$304,MATCH(D2113,'Équipements'!$A$5:$A$304,0)),"Code inconnu"))</f>
        <v/>
      </c>
      <c r="F2113" s="9">
        <f>IF(D2113="","",IFERROR(INDEX('Équipements'!$D$5:$D$304,MATCH(D2113,'Équipements'!$A$5:$A$304,0)),""))</f>
        <v/>
      </c>
      <c r="G2113" s="9">
        <f>IF(D2113="","",IFERROR(INDEX('Équipements'!$K$5:$K$304,MATCH(D2113,'Équipements'!$A$5:$A$304,0)),""))</f>
        <v/>
      </c>
      <c r="H2113" s="7" t="n"/>
      <c r="I2113" s="7" t="n"/>
      <c r="J2113" s="7" t="n"/>
      <c r="K2113" s="7" t="n"/>
      <c r="L2113" s="7" t="n"/>
      <c r="M2113" s="7" t="n"/>
      <c r="N2113" s="7" t="n"/>
      <c r="O2113" s="7" t="n"/>
      <c r="P2113" s="65" t="n"/>
      <c r="Q2113" s="75" t="n"/>
      <c r="R2113" s="75" t="n"/>
      <c r="S2113" s="76" t="n"/>
      <c r="T2113" s="76" t="n"/>
      <c r="U2113" s="70">
        <f>IF($A2113="","",IFERROR(INDEX('Techniciens'!$F$5:$F$44,MATCH(O2113,'Techniciens'!$B$5:$B$44,0)),'Paramètres'!$AA$10))</f>
        <v/>
      </c>
      <c r="V2113" s="70">
        <f>IF($A2113="","",IF(OR(AC2113="Demandé",AC2113="Planifié",AC2113="Annulé"),0,N(T2113)*N(U2113)))</f>
        <v/>
      </c>
      <c r="W2113" s="70">
        <f>IF($A2113="","",SUMIFS('Mouvements stock'!$H$5:$H$3004,'Mouvements stock'!$I$5:$I$3004,$A2113,'Mouvements stock'!$C$5:$C$3004,"Sortie")-SUMIFS('Mouvements stock'!$H$5:$H$3004,'Mouvements stock'!$I$5:$I$3004,$A2113,'Mouvements stock'!$C$5:$C$3004,"Retour"))</f>
        <v/>
      </c>
      <c r="X2113" s="66" t="n"/>
      <c r="Y2113" s="66" t="n"/>
      <c r="Z2113" s="7" t="n"/>
      <c r="AA2113" s="70">
        <f>IF($A2113="","",N(V2113)+N(W2113)+N(X2113)+N(Y2113))</f>
        <v/>
      </c>
      <c r="AB2113" s="70">
        <f>IF($A2113="","",N(S2113)*'Paramètres'!$AA$9*IFERROR(INDEX('Paramètres'!$O$5:$O$7,MATCH(G2113,'Paramètres'!$N$5:$N$7,0)),0))</f>
        <v/>
      </c>
      <c r="AC2113" s="7" t="n"/>
      <c r="AD2113" s="69">
        <f>IF(OR($A2113="",Q2113=""),"",(Q2113-B2113)*24)</f>
        <v/>
      </c>
      <c r="AE2113" s="69">
        <f>IF(OR(Q2113="",R2113=""),"",(R2113-Q2113)*24)</f>
        <v/>
      </c>
      <c r="AF2113" s="77">
        <f>IF(OR($A2113="",B2113=""),"",YEAR(B2113))</f>
        <v/>
      </c>
      <c r="AG2113" s="77">
        <f>IF(OR($A2113="",B2113=""),"",MONTH(B2113))</f>
        <v/>
      </c>
    </row>
    <row r="2114">
      <c r="A2114" s="7" t="n"/>
      <c r="B2114" s="75" t="n"/>
      <c r="C2114" s="7" t="n"/>
      <c r="D2114" s="7" t="n"/>
      <c r="E2114" s="9">
        <f>IF(D2114="","",IFERROR(INDEX('Équipements'!$B$5:$B$304,MATCH(D2114,'Équipements'!$A$5:$A$304,0)),"Code inconnu"))</f>
        <v/>
      </c>
      <c r="F2114" s="9">
        <f>IF(D2114="","",IFERROR(INDEX('Équipements'!$D$5:$D$304,MATCH(D2114,'Équipements'!$A$5:$A$304,0)),""))</f>
        <v/>
      </c>
      <c r="G2114" s="9">
        <f>IF(D2114="","",IFERROR(INDEX('Équipements'!$K$5:$K$304,MATCH(D2114,'Équipements'!$A$5:$A$304,0)),""))</f>
        <v/>
      </c>
      <c r="H2114" s="7" t="n"/>
      <c r="I2114" s="7" t="n"/>
      <c r="J2114" s="7" t="n"/>
      <c r="K2114" s="7" t="n"/>
      <c r="L2114" s="7" t="n"/>
      <c r="M2114" s="7" t="n"/>
      <c r="N2114" s="7" t="n"/>
      <c r="O2114" s="7" t="n"/>
      <c r="P2114" s="65" t="n"/>
      <c r="Q2114" s="75" t="n"/>
      <c r="R2114" s="75" t="n"/>
      <c r="S2114" s="76" t="n"/>
      <c r="T2114" s="76" t="n"/>
      <c r="U2114" s="70">
        <f>IF($A2114="","",IFERROR(INDEX('Techniciens'!$F$5:$F$44,MATCH(O2114,'Techniciens'!$B$5:$B$44,0)),'Paramètres'!$AA$10))</f>
        <v/>
      </c>
      <c r="V2114" s="70">
        <f>IF($A2114="","",IF(OR(AC2114="Demandé",AC2114="Planifié",AC2114="Annulé"),0,N(T2114)*N(U2114)))</f>
        <v/>
      </c>
      <c r="W2114" s="70">
        <f>IF($A2114="","",SUMIFS('Mouvements stock'!$H$5:$H$3004,'Mouvements stock'!$I$5:$I$3004,$A2114,'Mouvements stock'!$C$5:$C$3004,"Sortie")-SUMIFS('Mouvements stock'!$H$5:$H$3004,'Mouvements stock'!$I$5:$I$3004,$A2114,'Mouvements stock'!$C$5:$C$3004,"Retour"))</f>
        <v/>
      </c>
      <c r="X2114" s="66" t="n"/>
      <c r="Y2114" s="66" t="n"/>
      <c r="Z2114" s="7" t="n"/>
      <c r="AA2114" s="70">
        <f>IF($A2114="","",N(V2114)+N(W2114)+N(X2114)+N(Y2114))</f>
        <v/>
      </c>
      <c r="AB2114" s="70">
        <f>IF($A2114="","",N(S2114)*'Paramètres'!$AA$9*IFERROR(INDEX('Paramètres'!$O$5:$O$7,MATCH(G2114,'Paramètres'!$N$5:$N$7,0)),0))</f>
        <v/>
      </c>
      <c r="AC2114" s="7" t="n"/>
      <c r="AD2114" s="69">
        <f>IF(OR($A2114="",Q2114=""),"",(Q2114-B2114)*24)</f>
        <v/>
      </c>
      <c r="AE2114" s="69">
        <f>IF(OR(Q2114="",R2114=""),"",(R2114-Q2114)*24)</f>
        <v/>
      </c>
      <c r="AF2114" s="77">
        <f>IF(OR($A2114="",B2114=""),"",YEAR(B2114))</f>
        <v/>
      </c>
      <c r="AG2114" s="77">
        <f>IF(OR($A2114="",B2114=""),"",MONTH(B2114))</f>
        <v/>
      </c>
    </row>
    <row r="2115">
      <c r="A2115" s="7" t="n"/>
      <c r="B2115" s="75" t="n"/>
      <c r="C2115" s="7" t="n"/>
      <c r="D2115" s="7" t="n"/>
      <c r="E2115" s="9">
        <f>IF(D2115="","",IFERROR(INDEX('Équipements'!$B$5:$B$304,MATCH(D2115,'Équipements'!$A$5:$A$304,0)),"Code inconnu"))</f>
        <v/>
      </c>
      <c r="F2115" s="9">
        <f>IF(D2115="","",IFERROR(INDEX('Équipements'!$D$5:$D$304,MATCH(D2115,'Équipements'!$A$5:$A$304,0)),""))</f>
        <v/>
      </c>
      <c r="G2115" s="9">
        <f>IF(D2115="","",IFERROR(INDEX('Équipements'!$K$5:$K$304,MATCH(D2115,'Équipements'!$A$5:$A$304,0)),""))</f>
        <v/>
      </c>
      <c r="H2115" s="7" t="n"/>
      <c r="I2115" s="7" t="n"/>
      <c r="J2115" s="7" t="n"/>
      <c r="K2115" s="7" t="n"/>
      <c r="L2115" s="7" t="n"/>
      <c r="M2115" s="7" t="n"/>
      <c r="N2115" s="7" t="n"/>
      <c r="O2115" s="7" t="n"/>
      <c r="P2115" s="65" t="n"/>
      <c r="Q2115" s="75" t="n"/>
      <c r="R2115" s="75" t="n"/>
      <c r="S2115" s="76" t="n"/>
      <c r="T2115" s="76" t="n"/>
      <c r="U2115" s="70">
        <f>IF($A2115="","",IFERROR(INDEX('Techniciens'!$F$5:$F$44,MATCH(O2115,'Techniciens'!$B$5:$B$44,0)),'Paramètres'!$AA$10))</f>
        <v/>
      </c>
      <c r="V2115" s="70">
        <f>IF($A2115="","",IF(OR(AC2115="Demandé",AC2115="Planifié",AC2115="Annulé"),0,N(T2115)*N(U2115)))</f>
        <v/>
      </c>
      <c r="W2115" s="70">
        <f>IF($A2115="","",SUMIFS('Mouvements stock'!$H$5:$H$3004,'Mouvements stock'!$I$5:$I$3004,$A2115,'Mouvements stock'!$C$5:$C$3004,"Sortie")-SUMIFS('Mouvements stock'!$H$5:$H$3004,'Mouvements stock'!$I$5:$I$3004,$A2115,'Mouvements stock'!$C$5:$C$3004,"Retour"))</f>
        <v/>
      </c>
      <c r="X2115" s="66" t="n"/>
      <c r="Y2115" s="66" t="n"/>
      <c r="Z2115" s="7" t="n"/>
      <c r="AA2115" s="70">
        <f>IF($A2115="","",N(V2115)+N(W2115)+N(X2115)+N(Y2115))</f>
        <v/>
      </c>
      <c r="AB2115" s="70">
        <f>IF($A2115="","",N(S2115)*'Paramètres'!$AA$9*IFERROR(INDEX('Paramètres'!$O$5:$O$7,MATCH(G2115,'Paramètres'!$N$5:$N$7,0)),0))</f>
        <v/>
      </c>
      <c r="AC2115" s="7" t="n"/>
      <c r="AD2115" s="69">
        <f>IF(OR($A2115="",Q2115=""),"",(Q2115-B2115)*24)</f>
        <v/>
      </c>
      <c r="AE2115" s="69">
        <f>IF(OR(Q2115="",R2115=""),"",(R2115-Q2115)*24)</f>
        <v/>
      </c>
      <c r="AF2115" s="77">
        <f>IF(OR($A2115="",B2115=""),"",YEAR(B2115))</f>
        <v/>
      </c>
      <c r="AG2115" s="77">
        <f>IF(OR($A2115="",B2115=""),"",MONTH(B2115))</f>
        <v/>
      </c>
    </row>
    <row r="2116">
      <c r="A2116" s="7" t="n"/>
      <c r="B2116" s="75" t="n"/>
      <c r="C2116" s="7" t="n"/>
      <c r="D2116" s="7" t="n"/>
      <c r="E2116" s="9">
        <f>IF(D2116="","",IFERROR(INDEX('Équipements'!$B$5:$B$304,MATCH(D2116,'Équipements'!$A$5:$A$304,0)),"Code inconnu"))</f>
        <v/>
      </c>
      <c r="F2116" s="9">
        <f>IF(D2116="","",IFERROR(INDEX('Équipements'!$D$5:$D$304,MATCH(D2116,'Équipements'!$A$5:$A$304,0)),""))</f>
        <v/>
      </c>
      <c r="G2116" s="9">
        <f>IF(D2116="","",IFERROR(INDEX('Équipements'!$K$5:$K$304,MATCH(D2116,'Équipements'!$A$5:$A$304,0)),""))</f>
        <v/>
      </c>
      <c r="H2116" s="7" t="n"/>
      <c r="I2116" s="7" t="n"/>
      <c r="J2116" s="7" t="n"/>
      <c r="K2116" s="7" t="n"/>
      <c r="L2116" s="7" t="n"/>
      <c r="M2116" s="7" t="n"/>
      <c r="N2116" s="7" t="n"/>
      <c r="O2116" s="7" t="n"/>
      <c r="P2116" s="65" t="n"/>
      <c r="Q2116" s="75" t="n"/>
      <c r="R2116" s="75" t="n"/>
      <c r="S2116" s="76" t="n"/>
      <c r="T2116" s="76" t="n"/>
      <c r="U2116" s="70">
        <f>IF($A2116="","",IFERROR(INDEX('Techniciens'!$F$5:$F$44,MATCH(O2116,'Techniciens'!$B$5:$B$44,0)),'Paramètres'!$AA$10))</f>
        <v/>
      </c>
      <c r="V2116" s="70">
        <f>IF($A2116="","",IF(OR(AC2116="Demandé",AC2116="Planifié",AC2116="Annulé"),0,N(T2116)*N(U2116)))</f>
        <v/>
      </c>
      <c r="W2116" s="70">
        <f>IF($A2116="","",SUMIFS('Mouvements stock'!$H$5:$H$3004,'Mouvements stock'!$I$5:$I$3004,$A2116,'Mouvements stock'!$C$5:$C$3004,"Sortie")-SUMIFS('Mouvements stock'!$H$5:$H$3004,'Mouvements stock'!$I$5:$I$3004,$A2116,'Mouvements stock'!$C$5:$C$3004,"Retour"))</f>
        <v/>
      </c>
      <c r="X2116" s="66" t="n"/>
      <c r="Y2116" s="66" t="n"/>
      <c r="Z2116" s="7" t="n"/>
      <c r="AA2116" s="70">
        <f>IF($A2116="","",N(V2116)+N(W2116)+N(X2116)+N(Y2116))</f>
        <v/>
      </c>
      <c r="AB2116" s="70">
        <f>IF($A2116="","",N(S2116)*'Paramètres'!$AA$9*IFERROR(INDEX('Paramètres'!$O$5:$O$7,MATCH(G2116,'Paramètres'!$N$5:$N$7,0)),0))</f>
        <v/>
      </c>
      <c r="AC2116" s="7" t="n"/>
      <c r="AD2116" s="69">
        <f>IF(OR($A2116="",Q2116=""),"",(Q2116-B2116)*24)</f>
        <v/>
      </c>
      <c r="AE2116" s="69">
        <f>IF(OR(Q2116="",R2116=""),"",(R2116-Q2116)*24)</f>
        <v/>
      </c>
      <c r="AF2116" s="77">
        <f>IF(OR($A2116="",B2116=""),"",YEAR(B2116))</f>
        <v/>
      </c>
      <c r="AG2116" s="77">
        <f>IF(OR($A2116="",B2116=""),"",MONTH(B2116))</f>
        <v/>
      </c>
    </row>
    <row r="2117">
      <c r="A2117" s="7" t="n"/>
      <c r="B2117" s="75" t="n"/>
      <c r="C2117" s="7" t="n"/>
      <c r="D2117" s="7" t="n"/>
      <c r="E2117" s="9">
        <f>IF(D2117="","",IFERROR(INDEX('Équipements'!$B$5:$B$304,MATCH(D2117,'Équipements'!$A$5:$A$304,0)),"Code inconnu"))</f>
        <v/>
      </c>
      <c r="F2117" s="9">
        <f>IF(D2117="","",IFERROR(INDEX('Équipements'!$D$5:$D$304,MATCH(D2117,'Équipements'!$A$5:$A$304,0)),""))</f>
        <v/>
      </c>
      <c r="G2117" s="9">
        <f>IF(D2117="","",IFERROR(INDEX('Équipements'!$K$5:$K$304,MATCH(D2117,'Équipements'!$A$5:$A$304,0)),""))</f>
        <v/>
      </c>
      <c r="H2117" s="7" t="n"/>
      <c r="I2117" s="7" t="n"/>
      <c r="J2117" s="7" t="n"/>
      <c r="K2117" s="7" t="n"/>
      <c r="L2117" s="7" t="n"/>
      <c r="M2117" s="7" t="n"/>
      <c r="N2117" s="7" t="n"/>
      <c r="O2117" s="7" t="n"/>
      <c r="P2117" s="65" t="n"/>
      <c r="Q2117" s="75" t="n"/>
      <c r="R2117" s="75" t="n"/>
      <c r="S2117" s="76" t="n"/>
      <c r="T2117" s="76" t="n"/>
      <c r="U2117" s="70">
        <f>IF($A2117="","",IFERROR(INDEX('Techniciens'!$F$5:$F$44,MATCH(O2117,'Techniciens'!$B$5:$B$44,0)),'Paramètres'!$AA$10))</f>
        <v/>
      </c>
      <c r="V2117" s="70">
        <f>IF($A2117="","",IF(OR(AC2117="Demandé",AC2117="Planifié",AC2117="Annulé"),0,N(T2117)*N(U2117)))</f>
        <v/>
      </c>
      <c r="W2117" s="70">
        <f>IF($A2117="","",SUMIFS('Mouvements stock'!$H$5:$H$3004,'Mouvements stock'!$I$5:$I$3004,$A2117,'Mouvements stock'!$C$5:$C$3004,"Sortie")-SUMIFS('Mouvements stock'!$H$5:$H$3004,'Mouvements stock'!$I$5:$I$3004,$A2117,'Mouvements stock'!$C$5:$C$3004,"Retour"))</f>
        <v/>
      </c>
      <c r="X2117" s="66" t="n"/>
      <c r="Y2117" s="66" t="n"/>
      <c r="Z2117" s="7" t="n"/>
      <c r="AA2117" s="70">
        <f>IF($A2117="","",N(V2117)+N(W2117)+N(X2117)+N(Y2117))</f>
        <v/>
      </c>
      <c r="AB2117" s="70">
        <f>IF($A2117="","",N(S2117)*'Paramètres'!$AA$9*IFERROR(INDEX('Paramètres'!$O$5:$O$7,MATCH(G2117,'Paramètres'!$N$5:$N$7,0)),0))</f>
        <v/>
      </c>
      <c r="AC2117" s="7" t="n"/>
      <c r="AD2117" s="69">
        <f>IF(OR($A2117="",Q2117=""),"",(Q2117-B2117)*24)</f>
        <v/>
      </c>
      <c r="AE2117" s="69">
        <f>IF(OR(Q2117="",R2117=""),"",(R2117-Q2117)*24)</f>
        <v/>
      </c>
      <c r="AF2117" s="77">
        <f>IF(OR($A2117="",B2117=""),"",YEAR(B2117))</f>
        <v/>
      </c>
      <c r="AG2117" s="77">
        <f>IF(OR($A2117="",B2117=""),"",MONTH(B2117))</f>
        <v/>
      </c>
    </row>
    <row r="2118">
      <c r="A2118" s="7" t="n"/>
      <c r="B2118" s="75" t="n"/>
      <c r="C2118" s="7" t="n"/>
      <c r="D2118" s="7" t="n"/>
      <c r="E2118" s="9">
        <f>IF(D2118="","",IFERROR(INDEX('Équipements'!$B$5:$B$304,MATCH(D2118,'Équipements'!$A$5:$A$304,0)),"Code inconnu"))</f>
        <v/>
      </c>
      <c r="F2118" s="9">
        <f>IF(D2118="","",IFERROR(INDEX('Équipements'!$D$5:$D$304,MATCH(D2118,'Équipements'!$A$5:$A$304,0)),""))</f>
        <v/>
      </c>
      <c r="G2118" s="9">
        <f>IF(D2118="","",IFERROR(INDEX('Équipements'!$K$5:$K$304,MATCH(D2118,'Équipements'!$A$5:$A$304,0)),""))</f>
        <v/>
      </c>
      <c r="H2118" s="7" t="n"/>
      <c r="I2118" s="7" t="n"/>
      <c r="J2118" s="7" t="n"/>
      <c r="K2118" s="7" t="n"/>
      <c r="L2118" s="7" t="n"/>
      <c r="M2118" s="7" t="n"/>
      <c r="N2118" s="7" t="n"/>
      <c r="O2118" s="7" t="n"/>
      <c r="P2118" s="65" t="n"/>
      <c r="Q2118" s="75" t="n"/>
      <c r="R2118" s="75" t="n"/>
      <c r="S2118" s="76" t="n"/>
      <c r="T2118" s="76" t="n"/>
      <c r="U2118" s="70">
        <f>IF($A2118="","",IFERROR(INDEX('Techniciens'!$F$5:$F$44,MATCH(O2118,'Techniciens'!$B$5:$B$44,0)),'Paramètres'!$AA$10))</f>
        <v/>
      </c>
      <c r="V2118" s="70">
        <f>IF($A2118="","",IF(OR(AC2118="Demandé",AC2118="Planifié",AC2118="Annulé"),0,N(T2118)*N(U2118)))</f>
        <v/>
      </c>
      <c r="W2118" s="70">
        <f>IF($A2118="","",SUMIFS('Mouvements stock'!$H$5:$H$3004,'Mouvements stock'!$I$5:$I$3004,$A2118,'Mouvements stock'!$C$5:$C$3004,"Sortie")-SUMIFS('Mouvements stock'!$H$5:$H$3004,'Mouvements stock'!$I$5:$I$3004,$A2118,'Mouvements stock'!$C$5:$C$3004,"Retour"))</f>
        <v/>
      </c>
      <c r="X2118" s="66" t="n"/>
      <c r="Y2118" s="66" t="n"/>
      <c r="Z2118" s="7" t="n"/>
      <c r="AA2118" s="70">
        <f>IF($A2118="","",N(V2118)+N(W2118)+N(X2118)+N(Y2118))</f>
        <v/>
      </c>
      <c r="AB2118" s="70">
        <f>IF($A2118="","",N(S2118)*'Paramètres'!$AA$9*IFERROR(INDEX('Paramètres'!$O$5:$O$7,MATCH(G2118,'Paramètres'!$N$5:$N$7,0)),0))</f>
        <v/>
      </c>
      <c r="AC2118" s="7" t="n"/>
      <c r="AD2118" s="69">
        <f>IF(OR($A2118="",Q2118=""),"",(Q2118-B2118)*24)</f>
        <v/>
      </c>
      <c r="AE2118" s="69">
        <f>IF(OR(Q2118="",R2118=""),"",(R2118-Q2118)*24)</f>
        <v/>
      </c>
      <c r="AF2118" s="77">
        <f>IF(OR($A2118="",B2118=""),"",YEAR(B2118))</f>
        <v/>
      </c>
      <c r="AG2118" s="77">
        <f>IF(OR($A2118="",B2118=""),"",MONTH(B2118))</f>
        <v/>
      </c>
    </row>
    <row r="2119">
      <c r="A2119" s="7" t="n"/>
      <c r="B2119" s="75" t="n"/>
      <c r="C2119" s="7" t="n"/>
      <c r="D2119" s="7" t="n"/>
      <c r="E2119" s="9">
        <f>IF(D2119="","",IFERROR(INDEX('Équipements'!$B$5:$B$304,MATCH(D2119,'Équipements'!$A$5:$A$304,0)),"Code inconnu"))</f>
        <v/>
      </c>
      <c r="F2119" s="9">
        <f>IF(D2119="","",IFERROR(INDEX('Équipements'!$D$5:$D$304,MATCH(D2119,'Équipements'!$A$5:$A$304,0)),""))</f>
        <v/>
      </c>
      <c r="G2119" s="9">
        <f>IF(D2119="","",IFERROR(INDEX('Équipements'!$K$5:$K$304,MATCH(D2119,'Équipements'!$A$5:$A$304,0)),""))</f>
        <v/>
      </c>
      <c r="H2119" s="7" t="n"/>
      <c r="I2119" s="7" t="n"/>
      <c r="J2119" s="7" t="n"/>
      <c r="K2119" s="7" t="n"/>
      <c r="L2119" s="7" t="n"/>
      <c r="M2119" s="7" t="n"/>
      <c r="N2119" s="7" t="n"/>
      <c r="O2119" s="7" t="n"/>
      <c r="P2119" s="65" t="n"/>
      <c r="Q2119" s="75" t="n"/>
      <c r="R2119" s="75" t="n"/>
      <c r="S2119" s="76" t="n"/>
      <c r="T2119" s="76" t="n"/>
      <c r="U2119" s="70">
        <f>IF($A2119="","",IFERROR(INDEX('Techniciens'!$F$5:$F$44,MATCH(O2119,'Techniciens'!$B$5:$B$44,0)),'Paramètres'!$AA$10))</f>
        <v/>
      </c>
      <c r="V2119" s="70">
        <f>IF($A2119="","",IF(OR(AC2119="Demandé",AC2119="Planifié",AC2119="Annulé"),0,N(T2119)*N(U2119)))</f>
        <v/>
      </c>
      <c r="W2119" s="70">
        <f>IF($A2119="","",SUMIFS('Mouvements stock'!$H$5:$H$3004,'Mouvements stock'!$I$5:$I$3004,$A2119,'Mouvements stock'!$C$5:$C$3004,"Sortie")-SUMIFS('Mouvements stock'!$H$5:$H$3004,'Mouvements stock'!$I$5:$I$3004,$A2119,'Mouvements stock'!$C$5:$C$3004,"Retour"))</f>
        <v/>
      </c>
      <c r="X2119" s="66" t="n"/>
      <c r="Y2119" s="66" t="n"/>
      <c r="Z2119" s="7" t="n"/>
      <c r="AA2119" s="70">
        <f>IF($A2119="","",N(V2119)+N(W2119)+N(X2119)+N(Y2119))</f>
        <v/>
      </c>
      <c r="AB2119" s="70">
        <f>IF($A2119="","",N(S2119)*'Paramètres'!$AA$9*IFERROR(INDEX('Paramètres'!$O$5:$O$7,MATCH(G2119,'Paramètres'!$N$5:$N$7,0)),0))</f>
        <v/>
      </c>
      <c r="AC2119" s="7" t="n"/>
      <c r="AD2119" s="69">
        <f>IF(OR($A2119="",Q2119=""),"",(Q2119-B2119)*24)</f>
        <v/>
      </c>
      <c r="AE2119" s="69">
        <f>IF(OR(Q2119="",R2119=""),"",(R2119-Q2119)*24)</f>
        <v/>
      </c>
      <c r="AF2119" s="77">
        <f>IF(OR($A2119="",B2119=""),"",YEAR(B2119))</f>
        <v/>
      </c>
      <c r="AG2119" s="77">
        <f>IF(OR($A2119="",B2119=""),"",MONTH(B2119))</f>
        <v/>
      </c>
    </row>
    <row r="2120">
      <c r="A2120" s="7" t="n"/>
      <c r="B2120" s="75" t="n"/>
      <c r="C2120" s="7" t="n"/>
      <c r="D2120" s="7" t="n"/>
      <c r="E2120" s="9">
        <f>IF(D2120="","",IFERROR(INDEX('Équipements'!$B$5:$B$304,MATCH(D2120,'Équipements'!$A$5:$A$304,0)),"Code inconnu"))</f>
        <v/>
      </c>
      <c r="F2120" s="9">
        <f>IF(D2120="","",IFERROR(INDEX('Équipements'!$D$5:$D$304,MATCH(D2120,'Équipements'!$A$5:$A$304,0)),""))</f>
        <v/>
      </c>
      <c r="G2120" s="9">
        <f>IF(D2120="","",IFERROR(INDEX('Équipements'!$K$5:$K$304,MATCH(D2120,'Équipements'!$A$5:$A$304,0)),""))</f>
        <v/>
      </c>
      <c r="H2120" s="7" t="n"/>
      <c r="I2120" s="7" t="n"/>
      <c r="J2120" s="7" t="n"/>
      <c r="K2120" s="7" t="n"/>
      <c r="L2120" s="7" t="n"/>
      <c r="M2120" s="7" t="n"/>
      <c r="N2120" s="7" t="n"/>
      <c r="O2120" s="7" t="n"/>
      <c r="P2120" s="65" t="n"/>
      <c r="Q2120" s="75" t="n"/>
      <c r="R2120" s="75" t="n"/>
      <c r="S2120" s="76" t="n"/>
      <c r="T2120" s="76" t="n"/>
      <c r="U2120" s="70">
        <f>IF($A2120="","",IFERROR(INDEX('Techniciens'!$F$5:$F$44,MATCH(O2120,'Techniciens'!$B$5:$B$44,0)),'Paramètres'!$AA$10))</f>
        <v/>
      </c>
      <c r="V2120" s="70">
        <f>IF($A2120="","",IF(OR(AC2120="Demandé",AC2120="Planifié",AC2120="Annulé"),0,N(T2120)*N(U2120)))</f>
        <v/>
      </c>
      <c r="W2120" s="70">
        <f>IF($A2120="","",SUMIFS('Mouvements stock'!$H$5:$H$3004,'Mouvements stock'!$I$5:$I$3004,$A2120,'Mouvements stock'!$C$5:$C$3004,"Sortie")-SUMIFS('Mouvements stock'!$H$5:$H$3004,'Mouvements stock'!$I$5:$I$3004,$A2120,'Mouvements stock'!$C$5:$C$3004,"Retour"))</f>
        <v/>
      </c>
      <c r="X2120" s="66" t="n"/>
      <c r="Y2120" s="66" t="n"/>
      <c r="Z2120" s="7" t="n"/>
      <c r="AA2120" s="70">
        <f>IF($A2120="","",N(V2120)+N(W2120)+N(X2120)+N(Y2120))</f>
        <v/>
      </c>
      <c r="AB2120" s="70">
        <f>IF($A2120="","",N(S2120)*'Paramètres'!$AA$9*IFERROR(INDEX('Paramètres'!$O$5:$O$7,MATCH(G2120,'Paramètres'!$N$5:$N$7,0)),0))</f>
        <v/>
      </c>
      <c r="AC2120" s="7" t="n"/>
      <c r="AD2120" s="69">
        <f>IF(OR($A2120="",Q2120=""),"",(Q2120-B2120)*24)</f>
        <v/>
      </c>
      <c r="AE2120" s="69">
        <f>IF(OR(Q2120="",R2120=""),"",(R2120-Q2120)*24)</f>
        <v/>
      </c>
      <c r="AF2120" s="77">
        <f>IF(OR($A2120="",B2120=""),"",YEAR(B2120))</f>
        <v/>
      </c>
      <c r="AG2120" s="77">
        <f>IF(OR($A2120="",B2120=""),"",MONTH(B2120))</f>
        <v/>
      </c>
    </row>
    <row r="2121">
      <c r="A2121" s="7" t="n"/>
      <c r="B2121" s="75" t="n"/>
      <c r="C2121" s="7" t="n"/>
      <c r="D2121" s="7" t="n"/>
      <c r="E2121" s="9">
        <f>IF(D2121="","",IFERROR(INDEX('Équipements'!$B$5:$B$304,MATCH(D2121,'Équipements'!$A$5:$A$304,0)),"Code inconnu"))</f>
        <v/>
      </c>
      <c r="F2121" s="9">
        <f>IF(D2121="","",IFERROR(INDEX('Équipements'!$D$5:$D$304,MATCH(D2121,'Équipements'!$A$5:$A$304,0)),""))</f>
        <v/>
      </c>
      <c r="G2121" s="9">
        <f>IF(D2121="","",IFERROR(INDEX('Équipements'!$K$5:$K$304,MATCH(D2121,'Équipements'!$A$5:$A$304,0)),""))</f>
        <v/>
      </c>
      <c r="H2121" s="7" t="n"/>
      <c r="I2121" s="7" t="n"/>
      <c r="J2121" s="7" t="n"/>
      <c r="K2121" s="7" t="n"/>
      <c r="L2121" s="7" t="n"/>
      <c r="M2121" s="7" t="n"/>
      <c r="N2121" s="7" t="n"/>
      <c r="O2121" s="7" t="n"/>
      <c r="P2121" s="65" t="n"/>
      <c r="Q2121" s="75" t="n"/>
      <c r="R2121" s="75" t="n"/>
      <c r="S2121" s="76" t="n"/>
      <c r="T2121" s="76" t="n"/>
      <c r="U2121" s="70">
        <f>IF($A2121="","",IFERROR(INDEX('Techniciens'!$F$5:$F$44,MATCH(O2121,'Techniciens'!$B$5:$B$44,0)),'Paramètres'!$AA$10))</f>
        <v/>
      </c>
      <c r="V2121" s="70">
        <f>IF($A2121="","",IF(OR(AC2121="Demandé",AC2121="Planifié",AC2121="Annulé"),0,N(T2121)*N(U2121)))</f>
        <v/>
      </c>
      <c r="W2121" s="70">
        <f>IF($A2121="","",SUMIFS('Mouvements stock'!$H$5:$H$3004,'Mouvements stock'!$I$5:$I$3004,$A2121,'Mouvements stock'!$C$5:$C$3004,"Sortie")-SUMIFS('Mouvements stock'!$H$5:$H$3004,'Mouvements stock'!$I$5:$I$3004,$A2121,'Mouvements stock'!$C$5:$C$3004,"Retour"))</f>
        <v/>
      </c>
      <c r="X2121" s="66" t="n"/>
      <c r="Y2121" s="66" t="n"/>
      <c r="Z2121" s="7" t="n"/>
      <c r="AA2121" s="70">
        <f>IF($A2121="","",N(V2121)+N(W2121)+N(X2121)+N(Y2121))</f>
        <v/>
      </c>
      <c r="AB2121" s="70">
        <f>IF($A2121="","",N(S2121)*'Paramètres'!$AA$9*IFERROR(INDEX('Paramètres'!$O$5:$O$7,MATCH(G2121,'Paramètres'!$N$5:$N$7,0)),0))</f>
        <v/>
      </c>
      <c r="AC2121" s="7" t="n"/>
      <c r="AD2121" s="69">
        <f>IF(OR($A2121="",Q2121=""),"",(Q2121-B2121)*24)</f>
        <v/>
      </c>
      <c r="AE2121" s="69">
        <f>IF(OR(Q2121="",R2121=""),"",(R2121-Q2121)*24)</f>
        <v/>
      </c>
      <c r="AF2121" s="77">
        <f>IF(OR($A2121="",B2121=""),"",YEAR(B2121))</f>
        <v/>
      </c>
      <c r="AG2121" s="77">
        <f>IF(OR($A2121="",B2121=""),"",MONTH(B2121))</f>
        <v/>
      </c>
    </row>
    <row r="2122">
      <c r="A2122" s="7" t="n"/>
      <c r="B2122" s="75" t="n"/>
      <c r="C2122" s="7" t="n"/>
      <c r="D2122" s="7" t="n"/>
      <c r="E2122" s="9">
        <f>IF(D2122="","",IFERROR(INDEX('Équipements'!$B$5:$B$304,MATCH(D2122,'Équipements'!$A$5:$A$304,0)),"Code inconnu"))</f>
        <v/>
      </c>
      <c r="F2122" s="9">
        <f>IF(D2122="","",IFERROR(INDEX('Équipements'!$D$5:$D$304,MATCH(D2122,'Équipements'!$A$5:$A$304,0)),""))</f>
        <v/>
      </c>
      <c r="G2122" s="9">
        <f>IF(D2122="","",IFERROR(INDEX('Équipements'!$K$5:$K$304,MATCH(D2122,'Équipements'!$A$5:$A$304,0)),""))</f>
        <v/>
      </c>
      <c r="H2122" s="7" t="n"/>
      <c r="I2122" s="7" t="n"/>
      <c r="J2122" s="7" t="n"/>
      <c r="K2122" s="7" t="n"/>
      <c r="L2122" s="7" t="n"/>
      <c r="M2122" s="7" t="n"/>
      <c r="N2122" s="7" t="n"/>
      <c r="O2122" s="7" t="n"/>
      <c r="P2122" s="65" t="n"/>
      <c r="Q2122" s="75" t="n"/>
      <c r="R2122" s="75" t="n"/>
      <c r="S2122" s="76" t="n"/>
      <c r="T2122" s="76" t="n"/>
      <c r="U2122" s="70">
        <f>IF($A2122="","",IFERROR(INDEX('Techniciens'!$F$5:$F$44,MATCH(O2122,'Techniciens'!$B$5:$B$44,0)),'Paramètres'!$AA$10))</f>
        <v/>
      </c>
      <c r="V2122" s="70">
        <f>IF($A2122="","",IF(OR(AC2122="Demandé",AC2122="Planifié",AC2122="Annulé"),0,N(T2122)*N(U2122)))</f>
        <v/>
      </c>
      <c r="W2122" s="70">
        <f>IF($A2122="","",SUMIFS('Mouvements stock'!$H$5:$H$3004,'Mouvements stock'!$I$5:$I$3004,$A2122,'Mouvements stock'!$C$5:$C$3004,"Sortie")-SUMIFS('Mouvements stock'!$H$5:$H$3004,'Mouvements stock'!$I$5:$I$3004,$A2122,'Mouvements stock'!$C$5:$C$3004,"Retour"))</f>
        <v/>
      </c>
      <c r="X2122" s="66" t="n"/>
      <c r="Y2122" s="66" t="n"/>
      <c r="Z2122" s="7" t="n"/>
      <c r="AA2122" s="70">
        <f>IF($A2122="","",N(V2122)+N(W2122)+N(X2122)+N(Y2122))</f>
        <v/>
      </c>
      <c r="AB2122" s="70">
        <f>IF($A2122="","",N(S2122)*'Paramètres'!$AA$9*IFERROR(INDEX('Paramètres'!$O$5:$O$7,MATCH(G2122,'Paramètres'!$N$5:$N$7,0)),0))</f>
        <v/>
      </c>
      <c r="AC2122" s="7" t="n"/>
      <c r="AD2122" s="69">
        <f>IF(OR($A2122="",Q2122=""),"",(Q2122-B2122)*24)</f>
        <v/>
      </c>
      <c r="AE2122" s="69">
        <f>IF(OR(Q2122="",R2122=""),"",(R2122-Q2122)*24)</f>
        <v/>
      </c>
      <c r="AF2122" s="77">
        <f>IF(OR($A2122="",B2122=""),"",YEAR(B2122))</f>
        <v/>
      </c>
      <c r="AG2122" s="77">
        <f>IF(OR($A2122="",B2122=""),"",MONTH(B2122))</f>
        <v/>
      </c>
    </row>
    <row r="2123">
      <c r="A2123" s="7" t="n"/>
      <c r="B2123" s="75" t="n"/>
      <c r="C2123" s="7" t="n"/>
      <c r="D2123" s="7" t="n"/>
      <c r="E2123" s="9">
        <f>IF(D2123="","",IFERROR(INDEX('Équipements'!$B$5:$B$304,MATCH(D2123,'Équipements'!$A$5:$A$304,0)),"Code inconnu"))</f>
        <v/>
      </c>
      <c r="F2123" s="9">
        <f>IF(D2123="","",IFERROR(INDEX('Équipements'!$D$5:$D$304,MATCH(D2123,'Équipements'!$A$5:$A$304,0)),""))</f>
        <v/>
      </c>
      <c r="G2123" s="9">
        <f>IF(D2123="","",IFERROR(INDEX('Équipements'!$K$5:$K$304,MATCH(D2123,'Équipements'!$A$5:$A$304,0)),""))</f>
        <v/>
      </c>
      <c r="H2123" s="7" t="n"/>
      <c r="I2123" s="7" t="n"/>
      <c r="J2123" s="7" t="n"/>
      <c r="K2123" s="7" t="n"/>
      <c r="L2123" s="7" t="n"/>
      <c r="M2123" s="7" t="n"/>
      <c r="N2123" s="7" t="n"/>
      <c r="O2123" s="7" t="n"/>
      <c r="P2123" s="65" t="n"/>
      <c r="Q2123" s="75" t="n"/>
      <c r="R2123" s="75" t="n"/>
      <c r="S2123" s="76" t="n"/>
      <c r="T2123" s="76" t="n"/>
      <c r="U2123" s="70">
        <f>IF($A2123="","",IFERROR(INDEX('Techniciens'!$F$5:$F$44,MATCH(O2123,'Techniciens'!$B$5:$B$44,0)),'Paramètres'!$AA$10))</f>
        <v/>
      </c>
      <c r="V2123" s="70">
        <f>IF($A2123="","",IF(OR(AC2123="Demandé",AC2123="Planifié",AC2123="Annulé"),0,N(T2123)*N(U2123)))</f>
        <v/>
      </c>
      <c r="W2123" s="70">
        <f>IF($A2123="","",SUMIFS('Mouvements stock'!$H$5:$H$3004,'Mouvements stock'!$I$5:$I$3004,$A2123,'Mouvements stock'!$C$5:$C$3004,"Sortie")-SUMIFS('Mouvements stock'!$H$5:$H$3004,'Mouvements stock'!$I$5:$I$3004,$A2123,'Mouvements stock'!$C$5:$C$3004,"Retour"))</f>
        <v/>
      </c>
      <c r="X2123" s="66" t="n"/>
      <c r="Y2123" s="66" t="n"/>
      <c r="Z2123" s="7" t="n"/>
      <c r="AA2123" s="70">
        <f>IF($A2123="","",N(V2123)+N(W2123)+N(X2123)+N(Y2123))</f>
        <v/>
      </c>
      <c r="AB2123" s="70">
        <f>IF($A2123="","",N(S2123)*'Paramètres'!$AA$9*IFERROR(INDEX('Paramètres'!$O$5:$O$7,MATCH(G2123,'Paramètres'!$N$5:$N$7,0)),0))</f>
        <v/>
      </c>
      <c r="AC2123" s="7" t="n"/>
      <c r="AD2123" s="69">
        <f>IF(OR($A2123="",Q2123=""),"",(Q2123-B2123)*24)</f>
        <v/>
      </c>
      <c r="AE2123" s="69">
        <f>IF(OR(Q2123="",R2123=""),"",(R2123-Q2123)*24)</f>
        <v/>
      </c>
      <c r="AF2123" s="77">
        <f>IF(OR($A2123="",B2123=""),"",YEAR(B2123))</f>
        <v/>
      </c>
      <c r="AG2123" s="77">
        <f>IF(OR($A2123="",B2123=""),"",MONTH(B2123))</f>
        <v/>
      </c>
    </row>
    <row r="2124">
      <c r="A2124" s="7" t="n"/>
      <c r="B2124" s="75" t="n"/>
      <c r="C2124" s="7" t="n"/>
      <c r="D2124" s="7" t="n"/>
      <c r="E2124" s="9">
        <f>IF(D2124="","",IFERROR(INDEX('Équipements'!$B$5:$B$304,MATCH(D2124,'Équipements'!$A$5:$A$304,0)),"Code inconnu"))</f>
        <v/>
      </c>
      <c r="F2124" s="9">
        <f>IF(D2124="","",IFERROR(INDEX('Équipements'!$D$5:$D$304,MATCH(D2124,'Équipements'!$A$5:$A$304,0)),""))</f>
        <v/>
      </c>
      <c r="G2124" s="9">
        <f>IF(D2124="","",IFERROR(INDEX('Équipements'!$K$5:$K$304,MATCH(D2124,'Équipements'!$A$5:$A$304,0)),""))</f>
        <v/>
      </c>
      <c r="H2124" s="7" t="n"/>
      <c r="I2124" s="7" t="n"/>
      <c r="J2124" s="7" t="n"/>
      <c r="K2124" s="7" t="n"/>
      <c r="L2124" s="7" t="n"/>
      <c r="M2124" s="7" t="n"/>
      <c r="N2124" s="7" t="n"/>
      <c r="O2124" s="7" t="n"/>
      <c r="P2124" s="65" t="n"/>
      <c r="Q2124" s="75" t="n"/>
      <c r="R2124" s="75" t="n"/>
      <c r="S2124" s="76" t="n"/>
      <c r="T2124" s="76" t="n"/>
      <c r="U2124" s="70">
        <f>IF($A2124="","",IFERROR(INDEX('Techniciens'!$F$5:$F$44,MATCH(O2124,'Techniciens'!$B$5:$B$44,0)),'Paramètres'!$AA$10))</f>
        <v/>
      </c>
      <c r="V2124" s="70">
        <f>IF($A2124="","",IF(OR(AC2124="Demandé",AC2124="Planifié",AC2124="Annulé"),0,N(T2124)*N(U2124)))</f>
        <v/>
      </c>
      <c r="W2124" s="70">
        <f>IF($A2124="","",SUMIFS('Mouvements stock'!$H$5:$H$3004,'Mouvements stock'!$I$5:$I$3004,$A2124,'Mouvements stock'!$C$5:$C$3004,"Sortie")-SUMIFS('Mouvements stock'!$H$5:$H$3004,'Mouvements stock'!$I$5:$I$3004,$A2124,'Mouvements stock'!$C$5:$C$3004,"Retour"))</f>
        <v/>
      </c>
      <c r="X2124" s="66" t="n"/>
      <c r="Y2124" s="66" t="n"/>
      <c r="Z2124" s="7" t="n"/>
      <c r="AA2124" s="70">
        <f>IF($A2124="","",N(V2124)+N(W2124)+N(X2124)+N(Y2124))</f>
        <v/>
      </c>
      <c r="AB2124" s="70">
        <f>IF($A2124="","",N(S2124)*'Paramètres'!$AA$9*IFERROR(INDEX('Paramètres'!$O$5:$O$7,MATCH(G2124,'Paramètres'!$N$5:$N$7,0)),0))</f>
        <v/>
      </c>
      <c r="AC2124" s="7" t="n"/>
      <c r="AD2124" s="69">
        <f>IF(OR($A2124="",Q2124=""),"",(Q2124-B2124)*24)</f>
        <v/>
      </c>
      <c r="AE2124" s="69">
        <f>IF(OR(Q2124="",R2124=""),"",(R2124-Q2124)*24)</f>
        <v/>
      </c>
      <c r="AF2124" s="77">
        <f>IF(OR($A2124="",B2124=""),"",YEAR(B2124))</f>
        <v/>
      </c>
      <c r="AG2124" s="77">
        <f>IF(OR($A2124="",B2124=""),"",MONTH(B2124))</f>
        <v/>
      </c>
    </row>
    <row r="2125">
      <c r="A2125" s="7" t="n"/>
      <c r="B2125" s="75" t="n"/>
      <c r="C2125" s="7" t="n"/>
      <c r="D2125" s="7" t="n"/>
      <c r="E2125" s="9">
        <f>IF(D2125="","",IFERROR(INDEX('Équipements'!$B$5:$B$304,MATCH(D2125,'Équipements'!$A$5:$A$304,0)),"Code inconnu"))</f>
        <v/>
      </c>
      <c r="F2125" s="9">
        <f>IF(D2125="","",IFERROR(INDEX('Équipements'!$D$5:$D$304,MATCH(D2125,'Équipements'!$A$5:$A$304,0)),""))</f>
        <v/>
      </c>
      <c r="G2125" s="9">
        <f>IF(D2125="","",IFERROR(INDEX('Équipements'!$K$5:$K$304,MATCH(D2125,'Équipements'!$A$5:$A$304,0)),""))</f>
        <v/>
      </c>
      <c r="H2125" s="7" t="n"/>
      <c r="I2125" s="7" t="n"/>
      <c r="J2125" s="7" t="n"/>
      <c r="K2125" s="7" t="n"/>
      <c r="L2125" s="7" t="n"/>
      <c r="M2125" s="7" t="n"/>
      <c r="N2125" s="7" t="n"/>
      <c r="O2125" s="7" t="n"/>
      <c r="P2125" s="65" t="n"/>
      <c r="Q2125" s="75" t="n"/>
      <c r="R2125" s="75" t="n"/>
      <c r="S2125" s="76" t="n"/>
      <c r="T2125" s="76" t="n"/>
      <c r="U2125" s="70">
        <f>IF($A2125="","",IFERROR(INDEX('Techniciens'!$F$5:$F$44,MATCH(O2125,'Techniciens'!$B$5:$B$44,0)),'Paramètres'!$AA$10))</f>
        <v/>
      </c>
      <c r="V2125" s="70">
        <f>IF($A2125="","",IF(OR(AC2125="Demandé",AC2125="Planifié",AC2125="Annulé"),0,N(T2125)*N(U2125)))</f>
        <v/>
      </c>
      <c r="W2125" s="70">
        <f>IF($A2125="","",SUMIFS('Mouvements stock'!$H$5:$H$3004,'Mouvements stock'!$I$5:$I$3004,$A2125,'Mouvements stock'!$C$5:$C$3004,"Sortie")-SUMIFS('Mouvements stock'!$H$5:$H$3004,'Mouvements stock'!$I$5:$I$3004,$A2125,'Mouvements stock'!$C$5:$C$3004,"Retour"))</f>
        <v/>
      </c>
      <c r="X2125" s="66" t="n"/>
      <c r="Y2125" s="66" t="n"/>
      <c r="Z2125" s="7" t="n"/>
      <c r="AA2125" s="70">
        <f>IF($A2125="","",N(V2125)+N(W2125)+N(X2125)+N(Y2125))</f>
        <v/>
      </c>
      <c r="AB2125" s="70">
        <f>IF($A2125="","",N(S2125)*'Paramètres'!$AA$9*IFERROR(INDEX('Paramètres'!$O$5:$O$7,MATCH(G2125,'Paramètres'!$N$5:$N$7,0)),0))</f>
        <v/>
      </c>
      <c r="AC2125" s="7" t="n"/>
      <c r="AD2125" s="69">
        <f>IF(OR($A2125="",Q2125=""),"",(Q2125-B2125)*24)</f>
        <v/>
      </c>
      <c r="AE2125" s="69">
        <f>IF(OR(Q2125="",R2125=""),"",(R2125-Q2125)*24)</f>
        <v/>
      </c>
      <c r="AF2125" s="77">
        <f>IF(OR($A2125="",B2125=""),"",YEAR(B2125))</f>
        <v/>
      </c>
      <c r="AG2125" s="77">
        <f>IF(OR($A2125="",B2125=""),"",MONTH(B2125))</f>
        <v/>
      </c>
    </row>
    <row r="2126">
      <c r="A2126" s="7" t="n"/>
      <c r="B2126" s="75" t="n"/>
      <c r="C2126" s="7" t="n"/>
      <c r="D2126" s="7" t="n"/>
      <c r="E2126" s="9">
        <f>IF(D2126="","",IFERROR(INDEX('Équipements'!$B$5:$B$304,MATCH(D2126,'Équipements'!$A$5:$A$304,0)),"Code inconnu"))</f>
        <v/>
      </c>
      <c r="F2126" s="9">
        <f>IF(D2126="","",IFERROR(INDEX('Équipements'!$D$5:$D$304,MATCH(D2126,'Équipements'!$A$5:$A$304,0)),""))</f>
        <v/>
      </c>
      <c r="G2126" s="9">
        <f>IF(D2126="","",IFERROR(INDEX('Équipements'!$K$5:$K$304,MATCH(D2126,'Équipements'!$A$5:$A$304,0)),""))</f>
        <v/>
      </c>
      <c r="H2126" s="7" t="n"/>
      <c r="I2126" s="7" t="n"/>
      <c r="J2126" s="7" t="n"/>
      <c r="K2126" s="7" t="n"/>
      <c r="L2126" s="7" t="n"/>
      <c r="M2126" s="7" t="n"/>
      <c r="N2126" s="7" t="n"/>
      <c r="O2126" s="7" t="n"/>
      <c r="P2126" s="65" t="n"/>
      <c r="Q2126" s="75" t="n"/>
      <c r="R2126" s="75" t="n"/>
      <c r="S2126" s="76" t="n"/>
      <c r="T2126" s="76" t="n"/>
      <c r="U2126" s="70">
        <f>IF($A2126="","",IFERROR(INDEX('Techniciens'!$F$5:$F$44,MATCH(O2126,'Techniciens'!$B$5:$B$44,0)),'Paramètres'!$AA$10))</f>
        <v/>
      </c>
      <c r="V2126" s="70">
        <f>IF($A2126="","",IF(OR(AC2126="Demandé",AC2126="Planifié",AC2126="Annulé"),0,N(T2126)*N(U2126)))</f>
        <v/>
      </c>
      <c r="W2126" s="70">
        <f>IF($A2126="","",SUMIFS('Mouvements stock'!$H$5:$H$3004,'Mouvements stock'!$I$5:$I$3004,$A2126,'Mouvements stock'!$C$5:$C$3004,"Sortie")-SUMIFS('Mouvements stock'!$H$5:$H$3004,'Mouvements stock'!$I$5:$I$3004,$A2126,'Mouvements stock'!$C$5:$C$3004,"Retour"))</f>
        <v/>
      </c>
      <c r="X2126" s="66" t="n"/>
      <c r="Y2126" s="66" t="n"/>
      <c r="Z2126" s="7" t="n"/>
      <c r="AA2126" s="70">
        <f>IF($A2126="","",N(V2126)+N(W2126)+N(X2126)+N(Y2126))</f>
        <v/>
      </c>
      <c r="AB2126" s="70">
        <f>IF($A2126="","",N(S2126)*'Paramètres'!$AA$9*IFERROR(INDEX('Paramètres'!$O$5:$O$7,MATCH(G2126,'Paramètres'!$N$5:$N$7,0)),0))</f>
        <v/>
      </c>
      <c r="AC2126" s="7" t="n"/>
      <c r="AD2126" s="69">
        <f>IF(OR($A2126="",Q2126=""),"",(Q2126-B2126)*24)</f>
        <v/>
      </c>
      <c r="AE2126" s="69">
        <f>IF(OR(Q2126="",R2126=""),"",(R2126-Q2126)*24)</f>
        <v/>
      </c>
      <c r="AF2126" s="77">
        <f>IF(OR($A2126="",B2126=""),"",YEAR(B2126))</f>
        <v/>
      </c>
      <c r="AG2126" s="77">
        <f>IF(OR($A2126="",B2126=""),"",MONTH(B2126))</f>
        <v/>
      </c>
    </row>
    <row r="2127">
      <c r="A2127" s="7" t="n"/>
      <c r="B2127" s="75" t="n"/>
      <c r="C2127" s="7" t="n"/>
      <c r="D2127" s="7" t="n"/>
      <c r="E2127" s="9">
        <f>IF(D2127="","",IFERROR(INDEX('Équipements'!$B$5:$B$304,MATCH(D2127,'Équipements'!$A$5:$A$304,0)),"Code inconnu"))</f>
        <v/>
      </c>
      <c r="F2127" s="9">
        <f>IF(D2127="","",IFERROR(INDEX('Équipements'!$D$5:$D$304,MATCH(D2127,'Équipements'!$A$5:$A$304,0)),""))</f>
        <v/>
      </c>
      <c r="G2127" s="9">
        <f>IF(D2127="","",IFERROR(INDEX('Équipements'!$K$5:$K$304,MATCH(D2127,'Équipements'!$A$5:$A$304,0)),""))</f>
        <v/>
      </c>
      <c r="H2127" s="7" t="n"/>
      <c r="I2127" s="7" t="n"/>
      <c r="J2127" s="7" t="n"/>
      <c r="K2127" s="7" t="n"/>
      <c r="L2127" s="7" t="n"/>
      <c r="M2127" s="7" t="n"/>
      <c r="N2127" s="7" t="n"/>
      <c r="O2127" s="7" t="n"/>
      <c r="P2127" s="65" t="n"/>
      <c r="Q2127" s="75" t="n"/>
      <c r="R2127" s="75" t="n"/>
      <c r="S2127" s="76" t="n"/>
      <c r="T2127" s="76" t="n"/>
      <c r="U2127" s="70">
        <f>IF($A2127="","",IFERROR(INDEX('Techniciens'!$F$5:$F$44,MATCH(O2127,'Techniciens'!$B$5:$B$44,0)),'Paramètres'!$AA$10))</f>
        <v/>
      </c>
      <c r="V2127" s="70">
        <f>IF($A2127="","",IF(OR(AC2127="Demandé",AC2127="Planifié",AC2127="Annulé"),0,N(T2127)*N(U2127)))</f>
        <v/>
      </c>
      <c r="W2127" s="70">
        <f>IF($A2127="","",SUMIFS('Mouvements stock'!$H$5:$H$3004,'Mouvements stock'!$I$5:$I$3004,$A2127,'Mouvements stock'!$C$5:$C$3004,"Sortie")-SUMIFS('Mouvements stock'!$H$5:$H$3004,'Mouvements stock'!$I$5:$I$3004,$A2127,'Mouvements stock'!$C$5:$C$3004,"Retour"))</f>
        <v/>
      </c>
      <c r="X2127" s="66" t="n"/>
      <c r="Y2127" s="66" t="n"/>
      <c r="Z2127" s="7" t="n"/>
      <c r="AA2127" s="70">
        <f>IF($A2127="","",N(V2127)+N(W2127)+N(X2127)+N(Y2127))</f>
        <v/>
      </c>
      <c r="AB2127" s="70">
        <f>IF($A2127="","",N(S2127)*'Paramètres'!$AA$9*IFERROR(INDEX('Paramètres'!$O$5:$O$7,MATCH(G2127,'Paramètres'!$N$5:$N$7,0)),0))</f>
        <v/>
      </c>
      <c r="AC2127" s="7" t="n"/>
      <c r="AD2127" s="69">
        <f>IF(OR($A2127="",Q2127=""),"",(Q2127-B2127)*24)</f>
        <v/>
      </c>
      <c r="AE2127" s="69">
        <f>IF(OR(Q2127="",R2127=""),"",(R2127-Q2127)*24)</f>
        <v/>
      </c>
      <c r="AF2127" s="77">
        <f>IF(OR($A2127="",B2127=""),"",YEAR(B2127))</f>
        <v/>
      </c>
      <c r="AG2127" s="77">
        <f>IF(OR($A2127="",B2127=""),"",MONTH(B2127))</f>
        <v/>
      </c>
    </row>
    <row r="2128">
      <c r="A2128" s="7" t="n"/>
      <c r="B2128" s="75" t="n"/>
      <c r="C2128" s="7" t="n"/>
      <c r="D2128" s="7" t="n"/>
      <c r="E2128" s="9">
        <f>IF(D2128="","",IFERROR(INDEX('Équipements'!$B$5:$B$304,MATCH(D2128,'Équipements'!$A$5:$A$304,0)),"Code inconnu"))</f>
        <v/>
      </c>
      <c r="F2128" s="9">
        <f>IF(D2128="","",IFERROR(INDEX('Équipements'!$D$5:$D$304,MATCH(D2128,'Équipements'!$A$5:$A$304,0)),""))</f>
        <v/>
      </c>
      <c r="G2128" s="9">
        <f>IF(D2128="","",IFERROR(INDEX('Équipements'!$K$5:$K$304,MATCH(D2128,'Équipements'!$A$5:$A$304,0)),""))</f>
        <v/>
      </c>
      <c r="H2128" s="7" t="n"/>
      <c r="I2128" s="7" t="n"/>
      <c r="J2128" s="7" t="n"/>
      <c r="K2128" s="7" t="n"/>
      <c r="L2128" s="7" t="n"/>
      <c r="M2128" s="7" t="n"/>
      <c r="N2128" s="7" t="n"/>
      <c r="O2128" s="7" t="n"/>
      <c r="P2128" s="65" t="n"/>
      <c r="Q2128" s="75" t="n"/>
      <c r="R2128" s="75" t="n"/>
      <c r="S2128" s="76" t="n"/>
      <c r="T2128" s="76" t="n"/>
      <c r="U2128" s="70">
        <f>IF($A2128="","",IFERROR(INDEX('Techniciens'!$F$5:$F$44,MATCH(O2128,'Techniciens'!$B$5:$B$44,0)),'Paramètres'!$AA$10))</f>
        <v/>
      </c>
      <c r="V2128" s="70">
        <f>IF($A2128="","",IF(OR(AC2128="Demandé",AC2128="Planifié",AC2128="Annulé"),0,N(T2128)*N(U2128)))</f>
        <v/>
      </c>
      <c r="W2128" s="70">
        <f>IF($A2128="","",SUMIFS('Mouvements stock'!$H$5:$H$3004,'Mouvements stock'!$I$5:$I$3004,$A2128,'Mouvements stock'!$C$5:$C$3004,"Sortie")-SUMIFS('Mouvements stock'!$H$5:$H$3004,'Mouvements stock'!$I$5:$I$3004,$A2128,'Mouvements stock'!$C$5:$C$3004,"Retour"))</f>
        <v/>
      </c>
      <c r="X2128" s="66" t="n"/>
      <c r="Y2128" s="66" t="n"/>
      <c r="Z2128" s="7" t="n"/>
      <c r="AA2128" s="70">
        <f>IF($A2128="","",N(V2128)+N(W2128)+N(X2128)+N(Y2128))</f>
        <v/>
      </c>
      <c r="AB2128" s="70">
        <f>IF($A2128="","",N(S2128)*'Paramètres'!$AA$9*IFERROR(INDEX('Paramètres'!$O$5:$O$7,MATCH(G2128,'Paramètres'!$N$5:$N$7,0)),0))</f>
        <v/>
      </c>
      <c r="AC2128" s="7" t="n"/>
      <c r="AD2128" s="69">
        <f>IF(OR($A2128="",Q2128=""),"",(Q2128-B2128)*24)</f>
        <v/>
      </c>
      <c r="AE2128" s="69">
        <f>IF(OR(Q2128="",R2128=""),"",(R2128-Q2128)*24)</f>
        <v/>
      </c>
      <c r="AF2128" s="77">
        <f>IF(OR($A2128="",B2128=""),"",YEAR(B2128))</f>
        <v/>
      </c>
      <c r="AG2128" s="77">
        <f>IF(OR($A2128="",B2128=""),"",MONTH(B2128))</f>
        <v/>
      </c>
    </row>
    <row r="2129">
      <c r="A2129" s="7" t="n"/>
      <c r="B2129" s="75" t="n"/>
      <c r="C2129" s="7" t="n"/>
      <c r="D2129" s="7" t="n"/>
      <c r="E2129" s="9">
        <f>IF(D2129="","",IFERROR(INDEX('Équipements'!$B$5:$B$304,MATCH(D2129,'Équipements'!$A$5:$A$304,0)),"Code inconnu"))</f>
        <v/>
      </c>
      <c r="F2129" s="9">
        <f>IF(D2129="","",IFERROR(INDEX('Équipements'!$D$5:$D$304,MATCH(D2129,'Équipements'!$A$5:$A$304,0)),""))</f>
        <v/>
      </c>
      <c r="G2129" s="9">
        <f>IF(D2129="","",IFERROR(INDEX('Équipements'!$K$5:$K$304,MATCH(D2129,'Équipements'!$A$5:$A$304,0)),""))</f>
        <v/>
      </c>
      <c r="H2129" s="7" t="n"/>
      <c r="I2129" s="7" t="n"/>
      <c r="J2129" s="7" t="n"/>
      <c r="K2129" s="7" t="n"/>
      <c r="L2129" s="7" t="n"/>
      <c r="M2129" s="7" t="n"/>
      <c r="N2129" s="7" t="n"/>
      <c r="O2129" s="7" t="n"/>
      <c r="P2129" s="65" t="n"/>
      <c r="Q2129" s="75" t="n"/>
      <c r="R2129" s="75" t="n"/>
      <c r="S2129" s="76" t="n"/>
      <c r="T2129" s="76" t="n"/>
      <c r="U2129" s="70">
        <f>IF($A2129="","",IFERROR(INDEX('Techniciens'!$F$5:$F$44,MATCH(O2129,'Techniciens'!$B$5:$B$44,0)),'Paramètres'!$AA$10))</f>
        <v/>
      </c>
      <c r="V2129" s="70">
        <f>IF($A2129="","",IF(OR(AC2129="Demandé",AC2129="Planifié",AC2129="Annulé"),0,N(T2129)*N(U2129)))</f>
        <v/>
      </c>
      <c r="W2129" s="70">
        <f>IF($A2129="","",SUMIFS('Mouvements stock'!$H$5:$H$3004,'Mouvements stock'!$I$5:$I$3004,$A2129,'Mouvements stock'!$C$5:$C$3004,"Sortie")-SUMIFS('Mouvements stock'!$H$5:$H$3004,'Mouvements stock'!$I$5:$I$3004,$A2129,'Mouvements stock'!$C$5:$C$3004,"Retour"))</f>
        <v/>
      </c>
      <c r="X2129" s="66" t="n"/>
      <c r="Y2129" s="66" t="n"/>
      <c r="Z2129" s="7" t="n"/>
      <c r="AA2129" s="70">
        <f>IF($A2129="","",N(V2129)+N(W2129)+N(X2129)+N(Y2129))</f>
        <v/>
      </c>
      <c r="AB2129" s="70">
        <f>IF($A2129="","",N(S2129)*'Paramètres'!$AA$9*IFERROR(INDEX('Paramètres'!$O$5:$O$7,MATCH(G2129,'Paramètres'!$N$5:$N$7,0)),0))</f>
        <v/>
      </c>
      <c r="AC2129" s="7" t="n"/>
      <c r="AD2129" s="69">
        <f>IF(OR($A2129="",Q2129=""),"",(Q2129-B2129)*24)</f>
        <v/>
      </c>
      <c r="AE2129" s="69">
        <f>IF(OR(Q2129="",R2129=""),"",(R2129-Q2129)*24)</f>
        <v/>
      </c>
      <c r="AF2129" s="77">
        <f>IF(OR($A2129="",B2129=""),"",YEAR(B2129))</f>
        <v/>
      </c>
      <c r="AG2129" s="77">
        <f>IF(OR($A2129="",B2129=""),"",MONTH(B2129))</f>
        <v/>
      </c>
    </row>
    <row r="2130">
      <c r="A2130" s="7" t="n"/>
      <c r="B2130" s="75" t="n"/>
      <c r="C2130" s="7" t="n"/>
      <c r="D2130" s="7" t="n"/>
      <c r="E2130" s="9">
        <f>IF(D2130="","",IFERROR(INDEX('Équipements'!$B$5:$B$304,MATCH(D2130,'Équipements'!$A$5:$A$304,0)),"Code inconnu"))</f>
        <v/>
      </c>
      <c r="F2130" s="9">
        <f>IF(D2130="","",IFERROR(INDEX('Équipements'!$D$5:$D$304,MATCH(D2130,'Équipements'!$A$5:$A$304,0)),""))</f>
        <v/>
      </c>
      <c r="G2130" s="9">
        <f>IF(D2130="","",IFERROR(INDEX('Équipements'!$K$5:$K$304,MATCH(D2130,'Équipements'!$A$5:$A$304,0)),""))</f>
        <v/>
      </c>
      <c r="H2130" s="7" t="n"/>
      <c r="I2130" s="7" t="n"/>
      <c r="J2130" s="7" t="n"/>
      <c r="K2130" s="7" t="n"/>
      <c r="L2130" s="7" t="n"/>
      <c r="M2130" s="7" t="n"/>
      <c r="N2130" s="7" t="n"/>
      <c r="O2130" s="7" t="n"/>
      <c r="P2130" s="65" t="n"/>
      <c r="Q2130" s="75" t="n"/>
      <c r="R2130" s="75" t="n"/>
      <c r="S2130" s="76" t="n"/>
      <c r="T2130" s="76" t="n"/>
      <c r="U2130" s="70">
        <f>IF($A2130="","",IFERROR(INDEX('Techniciens'!$F$5:$F$44,MATCH(O2130,'Techniciens'!$B$5:$B$44,0)),'Paramètres'!$AA$10))</f>
        <v/>
      </c>
      <c r="V2130" s="70">
        <f>IF($A2130="","",IF(OR(AC2130="Demandé",AC2130="Planifié",AC2130="Annulé"),0,N(T2130)*N(U2130)))</f>
        <v/>
      </c>
      <c r="W2130" s="70">
        <f>IF($A2130="","",SUMIFS('Mouvements stock'!$H$5:$H$3004,'Mouvements stock'!$I$5:$I$3004,$A2130,'Mouvements stock'!$C$5:$C$3004,"Sortie")-SUMIFS('Mouvements stock'!$H$5:$H$3004,'Mouvements stock'!$I$5:$I$3004,$A2130,'Mouvements stock'!$C$5:$C$3004,"Retour"))</f>
        <v/>
      </c>
      <c r="X2130" s="66" t="n"/>
      <c r="Y2130" s="66" t="n"/>
      <c r="Z2130" s="7" t="n"/>
      <c r="AA2130" s="70">
        <f>IF($A2130="","",N(V2130)+N(W2130)+N(X2130)+N(Y2130))</f>
        <v/>
      </c>
      <c r="AB2130" s="70">
        <f>IF($A2130="","",N(S2130)*'Paramètres'!$AA$9*IFERROR(INDEX('Paramètres'!$O$5:$O$7,MATCH(G2130,'Paramètres'!$N$5:$N$7,0)),0))</f>
        <v/>
      </c>
      <c r="AC2130" s="7" t="n"/>
      <c r="AD2130" s="69">
        <f>IF(OR($A2130="",Q2130=""),"",(Q2130-B2130)*24)</f>
        <v/>
      </c>
      <c r="AE2130" s="69">
        <f>IF(OR(Q2130="",R2130=""),"",(R2130-Q2130)*24)</f>
        <v/>
      </c>
      <c r="AF2130" s="77">
        <f>IF(OR($A2130="",B2130=""),"",YEAR(B2130))</f>
        <v/>
      </c>
      <c r="AG2130" s="77">
        <f>IF(OR($A2130="",B2130=""),"",MONTH(B2130))</f>
        <v/>
      </c>
    </row>
    <row r="2131">
      <c r="A2131" s="7" t="n"/>
      <c r="B2131" s="75" t="n"/>
      <c r="C2131" s="7" t="n"/>
      <c r="D2131" s="7" t="n"/>
      <c r="E2131" s="9">
        <f>IF(D2131="","",IFERROR(INDEX('Équipements'!$B$5:$B$304,MATCH(D2131,'Équipements'!$A$5:$A$304,0)),"Code inconnu"))</f>
        <v/>
      </c>
      <c r="F2131" s="9">
        <f>IF(D2131="","",IFERROR(INDEX('Équipements'!$D$5:$D$304,MATCH(D2131,'Équipements'!$A$5:$A$304,0)),""))</f>
        <v/>
      </c>
      <c r="G2131" s="9">
        <f>IF(D2131="","",IFERROR(INDEX('Équipements'!$K$5:$K$304,MATCH(D2131,'Équipements'!$A$5:$A$304,0)),""))</f>
        <v/>
      </c>
      <c r="H2131" s="7" t="n"/>
      <c r="I2131" s="7" t="n"/>
      <c r="J2131" s="7" t="n"/>
      <c r="K2131" s="7" t="n"/>
      <c r="L2131" s="7" t="n"/>
      <c r="M2131" s="7" t="n"/>
      <c r="N2131" s="7" t="n"/>
      <c r="O2131" s="7" t="n"/>
      <c r="P2131" s="65" t="n"/>
      <c r="Q2131" s="75" t="n"/>
      <c r="R2131" s="75" t="n"/>
      <c r="S2131" s="76" t="n"/>
      <c r="T2131" s="76" t="n"/>
      <c r="U2131" s="70">
        <f>IF($A2131="","",IFERROR(INDEX('Techniciens'!$F$5:$F$44,MATCH(O2131,'Techniciens'!$B$5:$B$44,0)),'Paramètres'!$AA$10))</f>
        <v/>
      </c>
      <c r="V2131" s="70">
        <f>IF($A2131="","",IF(OR(AC2131="Demandé",AC2131="Planifié",AC2131="Annulé"),0,N(T2131)*N(U2131)))</f>
        <v/>
      </c>
      <c r="W2131" s="70">
        <f>IF($A2131="","",SUMIFS('Mouvements stock'!$H$5:$H$3004,'Mouvements stock'!$I$5:$I$3004,$A2131,'Mouvements stock'!$C$5:$C$3004,"Sortie")-SUMIFS('Mouvements stock'!$H$5:$H$3004,'Mouvements stock'!$I$5:$I$3004,$A2131,'Mouvements stock'!$C$5:$C$3004,"Retour"))</f>
        <v/>
      </c>
      <c r="X2131" s="66" t="n"/>
      <c r="Y2131" s="66" t="n"/>
      <c r="Z2131" s="7" t="n"/>
      <c r="AA2131" s="70">
        <f>IF($A2131="","",N(V2131)+N(W2131)+N(X2131)+N(Y2131))</f>
        <v/>
      </c>
      <c r="AB2131" s="70">
        <f>IF($A2131="","",N(S2131)*'Paramètres'!$AA$9*IFERROR(INDEX('Paramètres'!$O$5:$O$7,MATCH(G2131,'Paramètres'!$N$5:$N$7,0)),0))</f>
        <v/>
      </c>
      <c r="AC2131" s="7" t="n"/>
      <c r="AD2131" s="69">
        <f>IF(OR($A2131="",Q2131=""),"",(Q2131-B2131)*24)</f>
        <v/>
      </c>
      <c r="AE2131" s="69">
        <f>IF(OR(Q2131="",R2131=""),"",(R2131-Q2131)*24)</f>
        <v/>
      </c>
      <c r="AF2131" s="77">
        <f>IF(OR($A2131="",B2131=""),"",YEAR(B2131))</f>
        <v/>
      </c>
      <c r="AG2131" s="77">
        <f>IF(OR($A2131="",B2131=""),"",MONTH(B2131))</f>
        <v/>
      </c>
    </row>
    <row r="2132">
      <c r="A2132" s="7" t="n"/>
      <c r="B2132" s="75" t="n"/>
      <c r="C2132" s="7" t="n"/>
      <c r="D2132" s="7" t="n"/>
      <c r="E2132" s="9">
        <f>IF(D2132="","",IFERROR(INDEX('Équipements'!$B$5:$B$304,MATCH(D2132,'Équipements'!$A$5:$A$304,0)),"Code inconnu"))</f>
        <v/>
      </c>
      <c r="F2132" s="9">
        <f>IF(D2132="","",IFERROR(INDEX('Équipements'!$D$5:$D$304,MATCH(D2132,'Équipements'!$A$5:$A$304,0)),""))</f>
        <v/>
      </c>
      <c r="G2132" s="9">
        <f>IF(D2132="","",IFERROR(INDEX('Équipements'!$K$5:$K$304,MATCH(D2132,'Équipements'!$A$5:$A$304,0)),""))</f>
        <v/>
      </c>
      <c r="H2132" s="7" t="n"/>
      <c r="I2132" s="7" t="n"/>
      <c r="J2132" s="7" t="n"/>
      <c r="K2132" s="7" t="n"/>
      <c r="L2132" s="7" t="n"/>
      <c r="M2132" s="7" t="n"/>
      <c r="N2132" s="7" t="n"/>
      <c r="O2132" s="7" t="n"/>
      <c r="P2132" s="65" t="n"/>
      <c r="Q2132" s="75" t="n"/>
      <c r="R2132" s="75" t="n"/>
      <c r="S2132" s="76" t="n"/>
      <c r="T2132" s="76" t="n"/>
      <c r="U2132" s="70">
        <f>IF($A2132="","",IFERROR(INDEX('Techniciens'!$F$5:$F$44,MATCH(O2132,'Techniciens'!$B$5:$B$44,0)),'Paramètres'!$AA$10))</f>
        <v/>
      </c>
      <c r="V2132" s="70">
        <f>IF($A2132="","",IF(OR(AC2132="Demandé",AC2132="Planifié",AC2132="Annulé"),0,N(T2132)*N(U2132)))</f>
        <v/>
      </c>
      <c r="W2132" s="70">
        <f>IF($A2132="","",SUMIFS('Mouvements stock'!$H$5:$H$3004,'Mouvements stock'!$I$5:$I$3004,$A2132,'Mouvements stock'!$C$5:$C$3004,"Sortie")-SUMIFS('Mouvements stock'!$H$5:$H$3004,'Mouvements stock'!$I$5:$I$3004,$A2132,'Mouvements stock'!$C$5:$C$3004,"Retour"))</f>
        <v/>
      </c>
      <c r="X2132" s="66" t="n"/>
      <c r="Y2132" s="66" t="n"/>
      <c r="Z2132" s="7" t="n"/>
      <c r="AA2132" s="70">
        <f>IF($A2132="","",N(V2132)+N(W2132)+N(X2132)+N(Y2132))</f>
        <v/>
      </c>
      <c r="AB2132" s="70">
        <f>IF($A2132="","",N(S2132)*'Paramètres'!$AA$9*IFERROR(INDEX('Paramètres'!$O$5:$O$7,MATCH(G2132,'Paramètres'!$N$5:$N$7,0)),0))</f>
        <v/>
      </c>
      <c r="AC2132" s="7" t="n"/>
      <c r="AD2132" s="69">
        <f>IF(OR($A2132="",Q2132=""),"",(Q2132-B2132)*24)</f>
        <v/>
      </c>
      <c r="AE2132" s="69">
        <f>IF(OR(Q2132="",R2132=""),"",(R2132-Q2132)*24)</f>
        <v/>
      </c>
      <c r="AF2132" s="77">
        <f>IF(OR($A2132="",B2132=""),"",YEAR(B2132))</f>
        <v/>
      </c>
      <c r="AG2132" s="77">
        <f>IF(OR($A2132="",B2132=""),"",MONTH(B2132))</f>
        <v/>
      </c>
    </row>
    <row r="2133">
      <c r="A2133" s="7" t="n"/>
      <c r="B2133" s="75" t="n"/>
      <c r="C2133" s="7" t="n"/>
      <c r="D2133" s="7" t="n"/>
      <c r="E2133" s="9">
        <f>IF(D2133="","",IFERROR(INDEX('Équipements'!$B$5:$B$304,MATCH(D2133,'Équipements'!$A$5:$A$304,0)),"Code inconnu"))</f>
        <v/>
      </c>
      <c r="F2133" s="9">
        <f>IF(D2133="","",IFERROR(INDEX('Équipements'!$D$5:$D$304,MATCH(D2133,'Équipements'!$A$5:$A$304,0)),""))</f>
        <v/>
      </c>
      <c r="G2133" s="9">
        <f>IF(D2133="","",IFERROR(INDEX('Équipements'!$K$5:$K$304,MATCH(D2133,'Équipements'!$A$5:$A$304,0)),""))</f>
        <v/>
      </c>
      <c r="H2133" s="7" t="n"/>
      <c r="I2133" s="7" t="n"/>
      <c r="J2133" s="7" t="n"/>
      <c r="K2133" s="7" t="n"/>
      <c r="L2133" s="7" t="n"/>
      <c r="M2133" s="7" t="n"/>
      <c r="N2133" s="7" t="n"/>
      <c r="O2133" s="7" t="n"/>
      <c r="P2133" s="65" t="n"/>
      <c r="Q2133" s="75" t="n"/>
      <c r="R2133" s="75" t="n"/>
      <c r="S2133" s="76" t="n"/>
      <c r="T2133" s="76" t="n"/>
      <c r="U2133" s="70">
        <f>IF($A2133="","",IFERROR(INDEX('Techniciens'!$F$5:$F$44,MATCH(O2133,'Techniciens'!$B$5:$B$44,0)),'Paramètres'!$AA$10))</f>
        <v/>
      </c>
      <c r="V2133" s="70">
        <f>IF($A2133="","",IF(OR(AC2133="Demandé",AC2133="Planifié",AC2133="Annulé"),0,N(T2133)*N(U2133)))</f>
        <v/>
      </c>
      <c r="W2133" s="70">
        <f>IF($A2133="","",SUMIFS('Mouvements stock'!$H$5:$H$3004,'Mouvements stock'!$I$5:$I$3004,$A2133,'Mouvements stock'!$C$5:$C$3004,"Sortie")-SUMIFS('Mouvements stock'!$H$5:$H$3004,'Mouvements stock'!$I$5:$I$3004,$A2133,'Mouvements stock'!$C$5:$C$3004,"Retour"))</f>
        <v/>
      </c>
      <c r="X2133" s="66" t="n"/>
      <c r="Y2133" s="66" t="n"/>
      <c r="Z2133" s="7" t="n"/>
      <c r="AA2133" s="70">
        <f>IF($A2133="","",N(V2133)+N(W2133)+N(X2133)+N(Y2133))</f>
        <v/>
      </c>
      <c r="AB2133" s="70">
        <f>IF($A2133="","",N(S2133)*'Paramètres'!$AA$9*IFERROR(INDEX('Paramètres'!$O$5:$O$7,MATCH(G2133,'Paramètres'!$N$5:$N$7,0)),0))</f>
        <v/>
      </c>
      <c r="AC2133" s="7" t="n"/>
      <c r="AD2133" s="69">
        <f>IF(OR($A2133="",Q2133=""),"",(Q2133-B2133)*24)</f>
        <v/>
      </c>
      <c r="AE2133" s="69">
        <f>IF(OR(Q2133="",R2133=""),"",(R2133-Q2133)*24)</f>
        <v/>
      </c>
      <c r="AF2133" s="77">
        <f>IF(OR($A2133="",B2133=""),"",YEAR(B2133))</f>
        <v/>
      </c>
      <c r="AG2133" s="77">
        <f>IF(OR($A2133="",B2133=""),"",MONTH(B2133))</f>
        <v/>
      </c>
    </row>
    <row r="2134">
      <c r="A2134" s="7" t="n"/>
      <c r="B2134" s="75" t="n"/>
      <c r="C2134" s="7" t="n"/>
      <c r="D2134" s="7" t="n"/>
      <c r="E2134" s="9">
        <f>IF(D2134="","",IFERROR(INDEX('Équipements'!$B$5:$B$304,MATCH(D2134,'Équipements'!$A$5:$A$304,0)),"Code inconnu"))</f>
        <v/>
      </c>
      <c r="F2134" s="9">
        <f>IF(D2134="","",IFERROR(INDEX('Équipements'!$D$5:$D$304,MATCH(D2134,'Équipements'!$A$5:$A$304,0)),""))</f>
        <v/>
      </c>
      <c r="G2134" s="9">
        <f>IF(D2134="","",IFERROR(INDEX('Équipements'!$K$5:$K$304,MATCH(D2134,'Équipements'!$A$5:$A$304,0)),""))</f>
        <v/>
      </c>
      <c r="H2134" s="7" t="n"/>
      <c r="I2134" s="7" t="n"/>
      <c r="J2134" s="7" t="n"/>
      <c r="K2134" s="7" t="n"/>
      <c r="L2134" s="7" t="n"/>
      <c r="M2134" s="7" t="n"/>
      <c r="N2134" s="7" t="n"/>
      <c r="O2134" s="7" t="n"/>
      <c r="P2134" s="65" t="n"/>
      <c r="Q2134" s="75" t="n"/>
      <c r="R2134" s="75" t="n"/>
      <c r="S2134" s="76" t="n"/>
      <c r="T2134" s="76" t="n"/>
      <c r="U2134" s="70">
        <f>IF($A2134="","",IFERROR(INDEX('Techniciens'!$F$5:$F$44,MATCH(O2134,'Techniciens'!$B$5:$B$44,0)),'Paramètres'!$AA$10))</f>
        <v/>
      </c>
      <c r="V2134" s="70">
        <f>IF($A2134="","",IF(OR(AC2134="Demandé",AC2134="Planifié",AC2134="Annulé"),0,N(T2134)*N(U2134)))</f>
        <v/>
      </c>
      <c r="W2134" s="70">
        <f>IF($A2134="","",SUMIFS('Mouvements stock'!$H$5:$H$3004,'Mouvements stock'!$I$5:$I$3004,$A2134,'Mouvements stock'!$C$5:$C$3004,"Sortie")-SUMIFS('Mouvements stock'!$H$5:$H$3004,'Mouvements stock'!$I$5:$I$3004,$A2134,'Mouvements stock'!$C$5:$C$3004,"Retour"))</f>
        <v/>
      </c>
      <c r="X2134" s="66" t="n"/>
      <c r="Y2134" s="66" t="n"/>
      <c r="Z2134" s="7" t="n"/>
      <c r="AA2134" s="70">
        <f>IF($A2134="","",N(V2134)+N(W2134)+N(X2134)+N(Y2134))</f>
        <v/>
      </c>
      <c r="AB2134" s="70">
        <f>IF($A2134="","",N(S2134)*'Paramètres'!$AA$9*IFERROR(INDEX('Paramètres'!$O$5:$O$7,MATCH(G2134,'Paramètres'!$N$5:$N$7,0)),0))</f>
        <v/>
      </c>
      <c r="AC2134" s="7" t="n"/>
      <c r="AD2134" s="69">
        <f>IF(OR($A2134="",Q2134=""),"",(Q2134-B2134)*24)</f>
        <v/>
      </c>
      <c r="AE2134" s="69">
        <f>IF(OR(Q2134="",R2134=""),"",(R2134-Q2134)*24)</f>
        <v/>
      </c>
      <c r="AF2134" s="77">
        <f>IF(OR($A2134="",B2134=""),"",YEAR(B2134))</f>
        <v/>
      </c>
      <c r="AG2134" s="77">
        <f>IF(OR($A2134="",B2134=""),"",MONTH(B2134))</f>
        <v/>
      </c>
    </row>
    <row r="2135">
      <c r="A2135" s="7" t="n"/>
      <c r="B2135" s="75" t="n"/>
      <c r="C2135" s="7" t="n"/>
      <c r="D2135" s="7" t="n"/>
      <c r="E2135" s="9">
        <f>IF(D2135="","",IFERROR(INDEX('Équipements'!$B$5:$B$304,MATCH(D2135,'Équipements'!$A$5:$A$304,0)),"Code inconnu"))</f>
        <v/>
      </c>
      <c r="F2135" s="9">
        <f>IF(D2135="","",IFERROR(INDEX('Équipements'!$D$5:$D$304,MATCH(D2135,'Équipements'!$A$5:$A$304,0)),""))</f>
        <v/>
      </c>
      <c r="G2135" s="9">
        <f>IF(D2135="","",IFERROR(INDEX('Équipements'!$K$5:$K$304,MATCH(D2135,'Équipements'!$A$5:$A$304,0)),""))</f>
        <v/>
      </c>
      <c r="H2135" s="7" t="n"/>
      <c r="I2135" s="7" t="n"/>
      <c r="J2135" s="7" t="n"/>
      <c r="K2135" s="7" t="n"/>
      <c r="L2135" s="7" t="n"/>
      <c r="M2135" s="7" t="n"/>
      <c r="N2135" s="7" t="n"/>
      <c r="O2135" s="7" t="n"/>
      <c r="P2135" s="65" t="n"/>
      <c r="Q2135" s="75" t="n"/>
      <c r="R2135" s="75" t="n"/>
      <c r="S2135" s="76" t="n"/>
      <c r="T2135" s="76" t="n"/>
      <c r="U2135" s="70">
        <f>IF($A2135="","",IFERROR(INDEX('Techniciens'!$F$5:$F$44,MATCH(O2135,'Techniciens'!$B$5:$B$44,0)),'Paramètres'!$AA$10))</f>
        <v/>
      </c>
      <c r="V2135" s="70">
        <f>IF($A2135="","",IF(OR(AC2135="Demandé",AC2135="Planifié",AC2135="Annulé"),0,N(T2135)*N(U2135)))</f>
        <v/>
      </c>
      <c r="W2135" s="70">
        <f>IF($A2135="","",SUMIFS('Mouvements stock'!$H$5:$H$3004,'Mouvements stock'!$I$5:$I$3004,$A2135,'Mouvements stock'!$C$5:$C$3004,"Sortie")-SUMIFS('Mouvements stock'!$H$5:$H$3004,'Mouvements stock'!$I$5:$I$3004,$A2135,'Mouvements stock'!$C$5:$C$3004,"Retour"))</f>
        <v/>
      </c>
      <c r="X2135" s="66" t="n"/>
      <c r="Y2135" s="66" t="n"/>
      <c r="Z2135" s="7" t="n"/>
      <c r="AA2135" s="70">
        <f>IF($A2135="","",N(V2135)+N(W2135)+N(X2135)+N(Y2135))</f>
        <v/>
      </c>
      <c r="AB2135" s="70">
        <f>IF($A2135="","",N(S2135)*'Paramètres'!$AA$9*IFERROR(INDEX('Paramètres'!$O$5:$O$7,MATCH(G2135,'Paramètres'!$N$5:$N$7,0)),0))</f>
        <v/>
      </c>
      <c r="AC2135" s="7" t="n"/>
      <c r="AD2135" s="69">
        <f>IF(OR($A2135="",Q2135=""),"",(Q2135-B2135)*24)</f>
        <v/>
      </c>
      <c r="AE2135" s="69">
        <f>IF(OR(Q2135="",R2135=""),"",(R2135-Q2135)*24)</f>
        <v/>
      </c>
      <c r="AF2135" s="77">
        <f>IF(OR($A2135="",B2135=""),"",YEAR(B2135))</f>
        <v/>
      </c>
      <c r="AG2135" s="77">
        <f>IF(OR($A2135="",B2135=""),"",MONTH(B2135))</f>
        <v/>
      </c>
    </row>
    <row r="2136">
      <c r="A2136" s="7" t="n"/>
      <c r="B2136" s="75" t="n"/>
      <c r="C2136" s="7" t="n"/>
      <c r="D2136" s="7" t="n"/>
      <c r="E2136" s="9">
        <f>IF(D2136="","",IFERROR(INDEX('Équipements'!$B$5:$B$304,MATCH(D2136,'Équipements'!$A$5:$A$304,0)),"Code inconnu"))</f>
        <v/>
      </c>
      <c r="F2136" s="9">
        <f>IF(D2136="","",IFERROR(INDEX('Équipements'!$D$5:$D$304,MATCH(D2136,'Équipements'!$A$5:$A$304,0)),""))</f>
        <v/>
      </c>
      <c r="G2136" s="9">
        <f>IF(D2136="","",IFERROR(INDEX('Équipements'!$K$5:$K$304,MATCH(D2136,'Équipements'!$A$5:$A$304,0)),""))</f>
        <v/>
      </c>
      <c r="H2136" s="7" t="n"/>
      <c r="I2136" s="7" t="n"/>
      <c r="J2136" s="7" t="n"/>
      <c r="K2136" s="7" t="n"/>
      <c r="L2136" s="7" t="n"/>
      <c r="M2136" s="7" t="n"/>
      <c r="N2136" s="7" t="n"/>
      <c r="O2136" s="7" t="n"/>
      <c r="P2136" s="65" t="n"/>
      <c r="Q2136" s="75" t="n"/>
      <c r="R2136" s="75" t="n"/>
      <c r="S2136" s="76" t="n"/>
      <c r="T2136" s="76" t="n"/>
      <c r="U2136" s="70">
        <f>IF($A2136="","",IFERROR(INDEX('Techniciens'!$F$5:$F$44,MATCH(O2136,'Techniciens'!$B$5:$B$44,0)),'Paramètres'!$AA$10))</f>
        <v/>
      </c>
      <c r="V2136" s="70">
        <f>IF($A2136="","",IF(OR(AC2136="Demandé",AC2136="Planifié",AC2136="Annulé"),0,N(T2136)*N(U2136)))</f>
        <v/>
      </c>
      <c r="W2136" s="70">
        <f>IF($A2136="","",SUMIFS('Mouvements stock'!$H$5:$H$3004,'Mouvements stock'!$I$5:$I$3004,$A2136,'Mouvements stock'!$C$5:$C$3004,"Sortie")-SUMIFS('Mouvements stock'!$H$5:$H$3004,'Mouvements stock'!$I$5:$I$3004,$A2136,'Mouvements stock'!$C$5:$C$3004,"Retour"))</f>
        <v/>
      </c>
      <c r="X2136" s="66" t="n"/>
      <c r="Y2136" s="66" t="n"/>
      <c r="Z2136" s="7" t="n"/>
      <c r="AA2136" s="70">
        <f>IF($A2136="","",N(V2136)+N(W2136)+N(X2136)+N(Y2136))</f>
        <v/>
      </c>
      <c r="AB2136" s="70">
        <f>IF($A2136="","",N(S2136)*'Paramètres'!$AA$9*IFERROR(INDEX('Paramètres'!$O$5:$O$7,MATCH(G2136,'Paramètres'!$N$5:$N$7,0)),0))</f>
        <v/>
      </c>
      <c r="AC2136" s="7" t="n"/>
      <c r="AD2136" s="69">
        <f>IF(OR($A2136="",Q2136=""),"",(Q2136-B2136)*24)</f>
        <v/>
      </c>
      <c r="AE2136" s="69">
        <f>IF(OR(Q2136="",R2136=""),"",(R2136-Q2136)*24)</f>
        <v/>
      </c>
      <c r="AF2136" s="77">
        <f>IF(OR($A2136="",B2136=""),"",YEAR(B2136))</f>
        <v/>
      </c>
      <c r="AG2136" s="77">
        <f>IF(OR($A2136="",B2136=""),"",MONTH(B2136))</f>
        <v/>
      </c>
    </row>
    <row r="2137">
      <c r="A2137" s="7" t="n"/>
      <c r="B2137" s="75" t="n"/>
      <c r="C2137" s="7" t="n"/>
      <c r="D2137" s="7" t="n"/>
      <c r="E2137" s="9">
        <f>IF(D2137="","",IFERROR(INDEX('Équipements'!$B$5:$B$304,MATCH(D2137,'Équipements'!$A$5:$A$304,0)),"Code inconnu"))</f>
        <v/>
      </c>
      <c r="F2137" s="9">
        <f>IF(D2137="","",IFERROR(INDEX('Équipements'!$D$5:$D$304,MATCH(D2137,'Équipements'!$A$5:$A$304,0)),""))</f>
        <v/>
      </c>
      <c r="G2137" s="9">
        <f>IF(D2137="","",IFERROR(INDEX('Équipements'!$K$5:$K$304,MATCH(D2137,'Équipements'!$A$5:$A$304,0)),""))</f>
        <v/>
      </c>
      <c r="H2137" s="7" t="n"/>
      <c r="I2137" s="7" t="n"/>
      <c r="J2137" s="7" t="n"/>
      <c r="K2137" s="7" t="n"/>
      <c r="L2137" s="7" t="n"/>
      <c r="M2137" s="7" t="n"/>
      <c r="N2137" s="7" t="n"/>
      <c r="O2137" s="7" t="n"/>
      <c r="P2137" s="65" t="n"/>
      <c r="Q2137" s="75" t="n"/>
      <c r="R2137" s="75" t="n"/>
      <c r="S2137" s="76" t="n"/>
      <c r="T2137" s="76" t="n"/>
      <c r="U2137" s="70">
        <f>IF($A2137="","",IFERROR(INDEX('Techniciens'!$F$5:$F$44,MATCH(O2137,'Techniciens'!$B$5:$B$44,0)),'Paramètres'!$AA$10))</f>
        <v/>
      </c>
      <c r="V2137" s="70">
        <f>IF($A2137="","",IF(OR(AC2137="Demandé",AC2137="Planifié",AC2137="Annulé"),0,N(T2137)*N(U2137)))</f>
        <v/>
      </c>
      <c r="W2137" s="70">
        <f>IF($A2137="","",SUMIFS('Mouvements stock'!$H$5:$H$3004,'Mouvements stock'!$I$5:$I$3004,$A2137,'Mouvements stock'!$C$5:$C$3004,"Sortie")-SUMIFS('Mouvements stock'!$H$5:$H$3004,'Mouvements stock'!$I$5:$I$3004,$A2137,'Mouvements stock'!$C$5:$C$3004,"Retour"))</f>
        <v/>
      </c>
      <c r="X2137" s="66" t="n"/>
      <c r="Y2137" s="66" t="n"/>
      <c r="Z2137" s="7" t="n"/>
      <c r="AA2137" s="70">
        <f>IF($A2137="","",N(V2137)+N(W2137)+N(X2137)+N(Y2137))</f>
        <v/>
      </c>
      <c r="AB2137" s="70">
        <f>IF($A2137="","",N(S2137)*'Paramètres'!$AA$9*IFERROR(INDEX('Paramètres'!$O$5:$O$7,MATCH(G2137,'Paramètres'!$N$5:$N$7,0)),0))</f>
        <v/>
      </c>
      <c r="AC2137" s="7" t="n"/>
      <c r="AD2137" s="69">
        <f>IF(OR($A2137="",Q2137=""),"",(Q2137-B2137)*24)</f>
        <v/>
      </c>
      <c r="AE2137" s="69">
        <f>IF(OR(Q2137="",R2137=""),"",(R2137-Q2137)*24)</f>
        <v/>
      </c>
      <c r="AF2137" s="77">
        <f>IF(OR($A2137="",B2137=""),"",YEAR(B2137))</f>
        <v/>
      </c>
      <c r="AG2137" s="77">
        <f>IF(OR($A2137="",B2137=""),"",MONTH(B2137))</f>
        <v/>
      </c>
    </row>
    <row r="2138">
      <c r="A2138" s="7" t="n"/>
      <c r="B2138" s="75" t="n"/>
      <c r="C2138" s="7" t="n"/>
      <c r="D2138" s="7" t="n"/>
      <c r="E2138" s="9">
        <f>IF(D2138="","",IFERROR(INDEX('Équipements'!$B$5:$B$304,MATCH(D2138,'Équipements'!$A$5:$A$304,0)),"Code inconnu"))</f>
        <v/>
      </c>
      <c r="F2138" s="9">
        <f>IF(D2138="","",IFERROR(INDEX('Équipements'!$D$5:$D$304,MATCH(D2138,'Équipements'!$A$5:$A$304,0)),""))</f>
        <v/>
      </c>
      <c r="G2138" s="9">
        <f>IF(D2138="","",IFERROR(INDEX('Équipements'!$K$5:$K$304,MATCH(D2138,'Équipements'!$A$5:$A$304,0)),""))</f>
        <v/>
      </c>
      <c r="H2138" s="7" t="n"/>
      <c r="I2138" s="7" t="n"/>
      <c r="J2138" s="7" t="n"/>
      <c r="K2138" s="7" t="n"/>
      <c r="L2138" s="7" t="n"/>
      <c r="M2138" s="7" t="n"/>
      <c r="N2138" s="7" t="n"/>
      <c r="O2138" s="7" t="n"/>
      <c r="P2138" s="65" t="n"/>
      <c r="Q2138" s="75" t="n"/>
      <c r="R2138" s="75" t="n"/>
      <c r="S2138" s="76" t="n"/>
      <c r="T2138" s="76" t="n"/>
      <c r="U2138" s="70">
        <f>IF($A2138="","",IFERROR(INDEX('Techniciens'!$F$5:$F$44,MATCH(O2138,'Techniciens'!$B$5:$B$44,0)),'Paramètres'!$AA$10))</f>
        <v/>
      </c>
      <c r="V2138" s="70">
        <f>IF($A2138="","",IF(OR(AC2138="Demandé",AC2138="Planifié",AC2138="Annulé"),0,N(T2138)*N(U2138)))</f>
        <v/>
      </c>
      <c r="W2138" s="70">
        <f>IF($A2138="","",SUMIFS('Mouvements stock'!$H$5:$H$3004,'Mouvements stock'!$I$5:$I$3004,$A2138,'Mouvements stock'!$C$5:$C$3004,"Sortie")-SUMIFS('Mouvements stock'!$H$5:$H$3004,'Mouvements stock'!$I$5:$I$3004,$A2138,'Mouvements stock'!$C$5:$C$3004,"Retour"))</f>
        <v/>
      </c>
      <c r="X2138" s="66" t="n"/>
      <c r="Y2138" s="66" t="n"/>
      <c r="Z2138" s="7" t="n"/>
      <c r="AA2138" s="70">
        <f>IF($A2138="","",N(V2138)+N(W2138)+N(X2138)+N(Y2138))</f>
        <v/>
      </c>
      <c r="AB2138" s="70">
        <f>IF($A2138="","",N(S2138)*'Paramètres'!$AA$9*IFERROR(INDEX('Paramètres'!$O$5:$O$7,MATCH(G2138,'Paramètres'!$N$5:$N$7,0)),0))</f>
        <v/>
      </c>
      <c r="AC2138" s="7" t="n"/>
      <c r="AD2138" s="69">
        <f>IF(OR($A2138="",Q2138=""),"",(Q2138-B2138)*24)</f>
        <v/>
      </c>
      <c r="AE2138" s="69">
        <f>IF(OR(Q2138="",R2138=""),"",(R2138-Q2138)*24)</f>
        <v/>
      </c>
      <c r="AF2138" s="77">
        <f>IF(OR($A2138="",B2138=""),"",YEAR(B2138))</f>
        <v/>
      </c>
      <c r="AG2138" s="77">
        <f>IF(OR($A2138="",B2138=""),"",MONTH(B2138))</f>
        <v/>
      </c>
    </row>
    <row r="2139">
      <c r="A2139" s="7" t="n"/>
      <c r="B2139" s="75" t="n"/>
      <c r="C2139" s="7" t="n"/>
      <c r="D2139" s="7" t="n"/>
      <c r="E2139" s="9">
        <f>IF(D2139="","",IFERROR(INDEX('Équipements'!$B$5:$B$304,MATCH(D2139,'Équipements'!$A$5:$A$304,0)),"Code inconnu"))</f>
        <v/>
      </c>
      <c r="F2139" s="9">
        <f>IF(D2139="","",IFERROR(INDEX('Équipements'!$D$5:$D$304,MATCH(D2139,'Équipements'!$A$5:$A$304,0)),""))</f>
        <v/>
      </c>
      <c r="G2139" s="9">
        <f>IF(D2139="","",IFERROR(INDEX('Équipements'!$K$5:$K$304,MATCH(D2139,'Équipements'!$A$5:$A$304,0)),""))</f>
        <v/>
      </c>
      <c r="H2139" s="7" t="n"/>
      <c r="I2139" s="7" t="n"/>
      <c r="J2139" s="7" t="n"/>
      <c r="K2139" s="7" t="n"/>
      <c r="L2139" s="7" t="n"/>
      <c r="M2139" s="7" t="n"/>
      <c r="N2139" s="7" t="n"/>
      <c r="O2139" s="7" t="n"/>
      <c r="P2139" s="65" t="n"/>
      <c r="Q2139" s="75" t="n"/>
      <c r="R2139" s="75" t="n"/>
      <c r="S2139" s="76" t="n"/>
      <c r="T2139" s="76" t="n"/>
      <c r="U2139" s="70">
        <f>IF($A2139="","",IFERROR(INDEX('Techniciens'!$F$5:$F$44,MATCH(O2139,'Techniciens'!$B$5:$B$44,0)),'Paramètres'!$AA$10))</f>
        <v/>
      </c>
      <c r="V2139" s="70">
        <f>IF($A2139="","",IF(OR(AC2139="Demandé",AC2139="Planifié",AC2139="Annulé"),0,N(T2139)*N(U2139)))</f>
        <v/>
      </c>
      <c r="W2139" s="70">
        <f>IF($A2139="","",SUMIFS('Mouvements stock'!$H$5:$H$3004,'Mouvements stock'!$I$5:$I$3004,$A2139,'Mouvements stock'!$C$5:$C$3004,"Sortie")-SUMIFS('Mouvements stock'!$H$5:$H$3004,'Mouvements stock'!$I$5:$I$3004,$A2139,'Mouvements stock'!$C$5:$C$3004,"Retour"))</f>
        <v/>
      </c>
      <c r="X2139" s="66" t="n"/>
      <c r="Y2139" s="66" t="n"/>
      <c r="Z2139" s="7" t="n"/>
      <c r="AA2139" s="70">
        <f>IF($A2139="","",N(V2139)+N(W2139)+N(X2139)+N(Y2139))</f>
        <v/>
      </c>
      <c r="AB2139" s="70">
        <f>IF($A2139="","",N(S2139)*'Paramètres'!$AA$9*IFERROR(INDEX('Paramètres'!$O$5:$O$7,MATCH(G2139,'Paramètres'!$N$5:$N$7,0)),0))</f>
        <v/>
      </c>
      <c r="AC2139" s="7" t="n"/>
      <c r="AD2139" s="69">
        <f>IF(OR($A2139="",Q2139=""),"",(Q2139-B2139)*24)</f>
        <v/>
      </c>
      <c r="AE2139" s="69">
        <f>IF(OR(Q2139="",R2139=""),"",(R2139-Q2139)*24)</f>
        <v/>
      </c>
      <c r="AF2139" s="77">
        <f>IF(OR($A2139="",B2139=""),"",YEAR(B2139))</f>
        <v/>
      </c>
      <c r="AG2139" s="77">
        <f>IF(OR($A2139="",B2139=""),"",MONTH(B2139))</f>
        <v/>
      </c>
    </row>
    <row r="2140">
      <c r="A2140" s="7" t="n"/>
      <c r="B2140" s="75" t="n"/>
      <c r="C2140" s="7" t="n"/>
      <c r="D2140" s="7" t="n"/>
      <c r="E2140" s="9">
        <f>IF(D2140="","",IFERROR(INDEX('Équipements'!$B$5:$B$304,MATCH(D2140,'Équipements'!$A$5:$A$304,0)),"Code inconnu"))</f>
        <v/>
      </c>
      <c r="F2140" s="9">
        <f>IF(D2140="","",IFERROR(INDEX('Équipements'!$D$5:$D$304,MATCH(D2140,'Équipements'!$A$5:$A$304,0)),""))</f>
        <v/>
      </c>
      <c r="G2140" s="9">
        <f>IF(D2140="","",IFERROR(INDEX('Équipements'!$K$5:$K$304,MATCH(D2140,'Équipements'!$A$5:$A$304,0)),""))</f>
        <v/>
      </c>
      <c r="H2140" s="7" t="n"/>
      <c r="I2140" s="7" t="n"/>
      <c r="J2140" s="7" t="n"/>
      <c r="K2140" s="7" t="n"/>
      <c r="L2140" s="7" t="n"/>
      <c r="M2140" s="7" t="n"/>
      <c r="N2140" s="7" t="n"/>
      <c r="O2140" s="7" t="n"/>
      <c r="P2140" s="65" t="n"/>
      <c r="Q2140" s="75" t="n"/>
      <c r="R2140" s="75" t="n"/>
      <c r="S2140" s="76" t="n"/>
      <c r="T2140" s="76" t="n"/>
      <c r="U2140" s="70">
        <f>IF($A2140="","",IFERROR(INDEX('Techniciens'!$F$5:$F$44,MATCH(O2140,'Techniciens'!$B$5:$B$44,0)),'Paramètres'!$AA$10))</f>
        <v/>
      </c>
      <c r="V2140" s="70">
        <f>IF($A2140="","",IF(OR(AC2140="Demandé",AC2140="Planifié",AC2140="Annulé"),0,N(T2140)*N(U2140)))</f>
        <v/>
      </c>
      <c r="W2140" s="70">
        <f>IF($A2140="","",SUMIFS('Mouvements stock'!$H$5:$H$3004,'Mouvements stock'!$I$5:$I$3004,$A2140,'Mouvements stock'!$C$5:$C$3004,"Sortie")-SUMIFS('Mouvements stock'!$H$5:$H$3004,'Mouvements stock'!$I$5:$I$3004,$A2140,'Mouvements stock'!$C$5:$C$3004,"Retour"))</f>
        <v/>
      </c>
      <c r="X2140" s="66" t="n"/>
      <c r="Y2140" s="66" t="n"/>
      <c r="Z2140" s="7" t="n"/>
      <c r="AA2140" s="70">
        <f>IF($A2140="","",N(V2140)+N(W2140)+N(X2140)+N(Y2140))</f>
        <v/>
      </c>
      <c r="AB2140" s="70">
        <f>IF($A2140="","",N(S2140)*'Paramètres'!$AA$9*IFERROR(INDEX('Paramètres'!$O$5:$O$7,MATCH(G2140,'Paramètres'!$N$5:$N$7,0)),0))</f>
        <v/>
      </c>
      <c r="AC2140" s="7" t="n"/>
      <c r="AD2140" s="69">
        <f>IF(OR($A2140="",Q2140=""),"",(Q2140-B2140)*24)</f>
        <v/>
      </c>
      <c r="AE2140" s="69">
        <f>IF(OR(Q2140="",R2140=""),"",(R2140-Q2140)*24)</f>
        <v/>
      </c>
      <c r="AF2140" s="77">
        <f>IF(OR($A2140="",B2140=""),"",YEAR(B2140))</f>
        <v/>
      </c>
      <c r="AG2140" s="77">
        <f>IF(OR($A2140="",B2140=""),"",MONTH(B2140))</f>
        <v/>
      </c>
    </row>
    <row r="2141">
      <c r="A2141" s="7" t="n"/>
      <c r="B2141" s="75" t="n"/>
      <c r="C2141" s="7" t="n"/>
      <c r="D2141" s="7" t="n"/>
      <c r="E2141" s="9">
        <f>IF(D2141="","",IFERROR(INDEX('Équipements'!$B$5:$B$304,MATCH(D2141,'Équipements'!$A$5:$A$304,0)),"Code inconnu"))</f>
        <v/>
      </c>
      <c r="F2141" s="9">
        <f>IF(D2141="","",IFERROR(INDEX('Équipements'!$D$5:$D$304,MATCH(D2141,'Équipements'!$A$5:$A$304,0)),""))</f>
        <v/>
      </c>
      <c r="G2141" s="9">
        <f>IF(D2141="","",IFERROR(INDEX('Équipements'!$K$5:$K$304,MATCH(D2141,'Équipements'!$A$5:$A$304,0)),""))</f>
        <v/>
      </c>
      <c r="H2141" s="7" t="n"/>
      <c r="I2141" s="7" t="n"/>
      <c r="J2141" s="7" t="n"/>
      <c r="K2141" s="7" t="n"/>
      <c r="L2141" s="7" t="n"/>
      <c r="M2141" s="7" t="n"/>
      <c r="N2141" s="7" t="n"/>
      <c r="O2141" s="7" t="n"/>
      <c r="P2141" s="65" t="n"/>
      <c r="Q2141" s="75" t="n"/>
      <c r="R2141" s="75" t="n"/>
      <c r="S2141" s="76" t="n"/>
      <c r="T2141" s="76" t="n"/>
      <c r="U2141" s="70">
        <f>IF($A2141="","",IFERROR(INDEX('Techniciens'!$F$5:$F$44,MATCH(O2141,'Techniciens'!$B$5:$B$44,0)),'Paramètres'!$AA$10))</f>
        <v/>
      </c>
      <c r="V2141" s="70">
        <f>IF($A2141="","",IF(OR(AC2141="Demandé",AC2141="Planifié",AC2141="Annulé"),0,N(T2141)*N(U2141)))</f>
        <v/>
      </c>
      <c r="W2141" s="70">
        <f>IF($A2141="","",SUMIFS('Mouvements stock'!$H$5:$H$3004,'Mouvements stock'!$I$5:$I$3004,$A2141,'Mouvements stock'!$C$5:$C$3004,"Sortie")-SUMIFS('Mouvements stock'!$H$5:$H$3004,'Mouvements stock'!$I$5:$I$3004,$A2141,'Mouvements stock'!$C$5:$C$3004,"Retour"))</f>
        <v/>
      </c>
      <c r="X2141" s="66" t="n"/>
      <c r="Y2141" s="66" t="n"/>
      <c r="Z2141" s="7" t="n"/>
      <c r="AA2141" s="70">
        <f>IF($A2141="","",N(V2141)+N(W2141)+N(X2141)+N(Y2141))</f>
        <v/>
      </c>
      <c r="AB2141" s="70">
        <f>IF($A2141="","",N(S2141)*'Paramètres'!$AA$9*IFERROR(INDEX('Paramètres'!$O$5:$O$7,MATCH(G2141,'Paramètres'!$N$5:$N$7,0)),0))</f>
        <v/>
      </c>
      <c r="AC2141" s="7" t="n"/>
      <c r="AD2141" s="69">
        <f>IF(OR($A2141="",Q2141=""),"",(Q2141-B2141)*24)</f>
        <v/>
      </c>
      <c r="AE2141" s="69">
        <f>IF(OR(Q2141="",R2141=""),"",(R2141-Q2141)*24)</f>
        <v/>
      </c>
      <c r="AF2141" s="77">
        <f>IF(OR($A2141="",B2141=""),"",YEAR(B2141))</f>
        <v/>
      </c>
      <c r="AG2141" s="77">
        <f>IF(OR($A2141="",B2141=""),"",MONTH(B2141))</f>
        <v/>
      </c>
    </row>
    <row r="2142">
      <c r="A2142" s="7" t="n"/>
      <c r="B2142" s="75" t="n"/>
      <c r="C2142" s="7" t="n"/>
      <c r="D2142" s="7" t="n"/>
      <c r="E2142" s="9">
        <f>IF(D2142="","",IFERROR(INDEX('Équipements'!$B$5:$B$304,MATCH(D2142,'Équipements'!$A$5:$A$304,0)),"Code inconnu"))</f>
        <v/>
      </c>
      <c r="F2142" s="9">
        <f>IF(D2142="","",IFERROR(INDEX('Équipements'!$D$5:$D$304,MATCH(D2142,'Équipements'!$A$5:$A$304,0)),""))</f>
        <v/>
      </c>
      <c r="G2142" s="9">
        <f>IF(D2142="","",IFERROR(INDEX('Équipements'!$K$5:$K$304,MATCH(D2142,'Équipements'!$A$5:$A$304,0)),""))</f>
        <v/>
      </c>
      <c r="H2142" s="7" t="n"/>
      <c r="I2142" s="7" t="n"/>
      <c r="J2142" s="7" t="n"/>
      <c r="K2142" s="7" t="n"/>
      <c r="L2142" s="7" t="n"/>
      <c r="M2142" s="7" t="n"/>
      <c r="N2142" s="7" t="n"/>
      <c r="O2142" s="7" t="n"/>
      <c r="P2142" s="65" t="n"/>
      <c r="Q2142" s="75" t="n"/>
      <c r="R2142" s="75" t="n"/>
      <c r="S2142" s="76" t="n"/>
      <c r="T2142" s="76" t="n"/>
      <c r="U2142" s="70">
        <f>IF($A2142="","",IFERROR(INDEX('Techniciens'!$F$5:$F$44,MATCH(O2142,'Techniciens'!$B$5:$B$44,0)),'Paramètres'!$AA$10))</f>
        <v/>
      </c>
      <c r="V2142" s="70">
        <f>IF($A2142="","",IF(OR(AC2142="Demandé",AC2142="Planifié",AC2142="Annulé"),0,N(T2142)*N(U2142)))</f>
        <v/>
      </c>
      <c r="W2142" s="70">
        <f>IF($A2142="","",SUMIFS('Mouvements stock'!$H$5:$H$3004,'Mouvements stock'!$I$5:$I$3004,$A2142,'Mouvements stock'!$C$5:$C$3004,"Sortie")-SUMIFS('Mouvements stock'!$H$5:$H$3004,'Mouvements stock'!$I$5:$I$3004,$A2142,'Mouvements stock'!$C$5:$C$3004,"Retour"))</f>
        <v/>
      </c>
      <c r="X2142" s="66" t="n"/>
      <c r="Y2142" s="66" t="n"/>
      <c r="Z2142" s="7" t="n"/>
      <c r="AA2142" s="70">
        <f>IF($A2142="","",N(V2142)+N(W2142)+N(X2142)+N(Y2142))</f>
        <v/>
      </c>
      <c r="AB2142" s="70">
        <f>IF($A2142="","",N(S2142)*'Paramètres'!$AA$9*IFERROR(INDEX('Paramètres'!$O$5:$O$7,MATCH(G2142,'Paramètres'!$N$5:$N$7,0)),0))</f>
        <v/>
      </c>
      <c r="AC2142" s="7" t="n"/>
      <c r="AD2142" s="69">
        <f>IF(OR($A2142="",Q2142=""),"",(Q2142-B2142)*24)</f>
        <v/>
      </c>
      <c r="AE2142" s="69">
        <f>IF(OR(Q2142="",R2142=""),"",(R2142-Q2142)*24)</f>
        <v/>
      </c>
      <c r="AF2142" s="77">
        <f>IF(OR($A2142="",B2142=""),"",YEAR(B2142))</f>
        <v/>
      </c>
      <c r="AG2142" s="77">
        <f>IF(OR($A2142="",B2142=""),"",MONTH(B2142))</f>
        <v/>
      </c>
    </row>
    <row r="2143">
      <c r="A2143" s="7" t="n"/>
      <c r="B2143" s="75" t="n"/>
      <c r="C2143" s="7" t="n"/>
      <c r="D2143" s="7" t="n"/>
      <c r="E2143" s="9">
        <f>IF(D2143="","",IFERROR(INDEX('Équipements'!$B$5:$B$304,MATCH(D2143,'Équipements'!$A$5:$A$304,0)),"Code inconnu"))</f>
        <v/>
      </c>
      <c r="F2143" s="9">
        <f>IF(D2143="","",IFERROR(INDEX('Équipements'!$D$5:$D$304,MATCH(D2143,'Équipements'!$A$5:$A$304,0)),""))</f>
        <v/>
      </c>
      <c r="G2143" s="9">
        <f>IF(D2143="","",IFERROR(INDEX('Équipements'!$K$5:$K$304,MATCH(D2143,'Équipements'!$A$5:$A$304,0)),""))</f>
        <v/>
      </c>
      <c r="H2143" s="7" t="n"/>
      <c r="I2143" s="7" t="n"/>
      <c r="J2143" s="7" t="n"/>
      <c r="K2143" s="7" t="n"/>
      <c r="L2143" s="7" t="n"/>
      <c r="M2143" s="7" t="n"/>
      <c r="N2143" s="7" t="n"/>
      <c r="O2143" s="7" t="n"/>
      <c r="P2143" s="65" t="n"/>
      <c r="Q2143" s="75" t="n"/>
      <c r="R2143" s="75" t="n"/>
      <c r="S2143" s="76" t="n"/>
      <c r="T2143" s="76" t="n"/>
      <c r="U2143" s="70">
        <f>IF($A2143="","",IFERROR(INDEX('Techniciens'!$F$5:$F$44,MATCH(O2143,'Techniciens'!$B$5:$B$44,0)),'Paramètres'!$AA$10))</f>
        <v/>
      </c>
      <c r="V2143" s="70">
        <f>IF($A2143="","",IF(OR(AC2143="Demandé",AC2143="Planifié",AC2143="Annulé"),0,N(T2143)*N(U2143)))</f>
        <v/>
      </c>
      <c r="W2143" s="70">
        <f>IF($A2143="","",SUMIFS('Mouvements stock'!$H$5:$H$3004,'Mouvements stock'!$I$5:$I$3004,$A2143,'Mouvements stock'!$C$5:$C$3004,"Sortie")-SUMIFS('Mouvements stock'!$H$5:$H$3004,'Mouvements stock'!$I$5:$I$3004,$A2143,'Mouvements stock'!$C$5:$C$3004,"Retour"))</f>
        <v/>
      </c>
      <c r="X2143" s="66" t="n"/>
      <c r="Y2143" s="66" t="n"/>
      <c r="Z2143" s="7" t="n"/>
      <c r="AA2143" s="70">
        <f>IF($A2143="","",N(V2143)+N(W2143)+N(X2143)+N(Y2143))</f>
        <v/>
      </c>
      <c r="AB2143" s="70">
        <f>IF($A2143="","",N(S2143)*'Paramètres'!$AA$9*IFERROR(INDEX('Paramètres'!$O$5:$O$7,MATCH(G2143,'Paramètres'!$N$5:$N$7,0)),0))</f>
        <v/>
      </c>
      <c r="AC2143" s="7" t="n"/>
      <c r="AD2143" s="69">
        <f>IF(OR($A2143="",Q2143=""),"",(Q2143-B2143)*24)</f>
        <v/>
      </c>
      <c r="AE2143" s="69">
        <f>IF(OR(Q2143="",R2143=""),"",(R2143-Q2143)*24)</f>
        <v/>
      </c>
      <c r="AF2143" s="77">
        <f>IF(OR($A2143="",B2143=""),"",YEAR(B2143))</f>
        <v/>
      </c>
      <c r="AG2143" s="77">
        <f>IF(OR($A2143="",B2143=""),"",MONTH(B2143))</f>
        <v/>
      </c>
    </row>
    <row r="2144">
      <c r="A2144" s="7" t="n"/>
      <c r="B2144" s="75" t="n"/>
      <c r="C2144" s="7" t="n"/>
      <c r="D2144" s="7" t="n"/>
      <c r="E2144" s="9">
        <f>IF(D2144="","",IFERROR(INDEX('Équipements'!$B$5:$B$304,MATCH(D2144,'Équipements'!$A$5:$A$304,0)),"Code inconnu"))</f>
        <v/>
      </c>
      <c r="F2144" s="9">
        <f>IF(D2144="","",IFERROR(INDEX('Équipements'!$D$5:$D$304,MATCH(D2144,'Équipements'!$A$5:$A$304,0)),""))</f>
        <v/>
      </c>
      <c r="G2144" s="9">
        <f>IF(D2144="","",IFERROR(INDEX('Équipements'!$K$5:$K$304,MATCH(D2144,'Équipements'!$A$5:$A$304,0)),""))</f>
        <v/>
      </c>
      <c r="H2144" s="7" t="n"/>
      <c r="I2144" s="7" t="n"/>
      <c r="J2144" s="7" t="n"/>
      <c r="K2144" s="7" t="n"/>
      <c r="L2144" s="7" t="n"/>
      <c r="M2144" s="7" t="n"/>
      <c r="N2144" s="7" t="n"/>
      <c r="O2144" s="7" t="n"/>
      <c r="P2144" s="65" t="n"/>
      <c r="Q2144" s="75" t="n"/>
      <c r="R2144" s="75" t="n"/>
      <c r="S2144" s="76" t="n"/>
      <c r="T2144" s="76" t="n"/>
      <c r="U2144" s="70">
        <f>IF($A2144="","",IFERROR(INDEX('Techniciens'!$F$5:$F$44,MATCH(O2144,'Techniciens'!$B$5:$B$44,0)),'Paramètres'!$AA$10))</f>
        <v/>
      </c>
      <c r="V2144" s="70">
        <f>IF($A2144="","",IF(OR(AC2144="Demandé",AC2144="Planifié",AC2144="Annulé"),0,N(T2144)*N(U2144)))</f>
        <v/>
      </c>
      <c r="W2144" s="70">
        <f>IF($A2144="","",SUMIFS('Mouvements stock'!$H$5:$H$3004,'Mouvements stock'!$I$5:$I$3004,$A2144,'Mouvements stock'!$C$5:$C$3004,"Sortie")-SUMIFS('Mouvements stock'!$H$5:$H$3004,'Mouvements stock'!$I$5:$I$3004,$A2144,'Mouvements stock'!$C$5:$C$3004,"Retour"))</f>
        <v/>
      </c>
      <c r="X2144" s="66" t="n"/>
      <c r="Y2144" s="66" t="n"/>
      <c r="Z2144" s="7" t="n"/>
      <c r="AA2144" s="70">
        <f>IF($A2144="","",N(V2144)+N(W2144)+N(X2144)+N(Y2144))</f>
        <v/>
      </c>
      <c r="AB2144" s="70">
        <f>IF($A2144="","",N(S2144)*'Paramètres'!$AA$9*IFERROR(INDEX('Paramètres'!$O$5:$O$7,MATCH(G2144,'Paramètres'!$N$5:$N$7,0)),0))</f>
        <v/>
      </c>
      <c r="AC2144" s="7" t="n"/>
      <c r="AD2144" s="69">
        <f>IF(OR($A2144="",Q2144=""),"",(Q2144-B2144)*24)</f>
        <v/>
      </c>
      <c r="AE2144" s="69">
        <f>IF(OR(Q2144="",R2144=""),"",(R2144-Q2144)*24)</f>
        <v/>
      </c>
      <c r="AF2144" s="77">
        <f>IF(OR($A2144="",B2144=""),"",YEAR(B2144))</f>
        <v/>
      </c>
      <c r="AG2144" s="77">
        <f>IF(OR($A2144="",B2144=""),"",MONTH(B2144))</f>
        <v/>
      </c>
    </row>
    <row r="2145">
      <c r="A2145" s="7" t="n"/>
      <c r="B2145" s="75" t="n"/>
      <c r="C2145" s="7" t="n"/>
      <c r="D2145" s="7" t="n"/>
      <c r="E2145" s="9">
        <f>IF(D2145="","",IFERROR(INDEX('Équipements'!$B$5:$B$304,MATCH(D2145,'Équipements'!$A$5:$A$304,0)),"Code inconnu"))</f>
        <v/>
      </c>
      <c r="F2145" s="9">
        <f>IF(D2145="","",IFERROR(INDEX('Équipements'!$D$5:$D$304,MATCH(D2145,'Équipements'!$A$5:$A$304,0)),""))</f>
        <v/>
      </c>
      <c r="G2145" s="9">
        <f>IF(D2145="","",IFERROR(INDEX('Équipements'!$K$5:$K$304,MATCH(D2145,'Équipements'!$A$5:$A$304,0)),""))</f>
        <v/>
      </c>
      <c r="H2145" s="7" t="n"/>
      <c r="I2145" s="7" t="n"/>
      <c r="J2145" s="7" t="n"/>
      <c r="K2145" s="7" t="n"/>
      <c r="L2145" s="7" t="n"/>
      <c r="M2145" s="7" t="n"/>
      <c r="N2145" s="7" t="n"/>
      <c r="O2145" s="7" t="n"/>
      <c r="P2145" s="65" t="n"/>
      <c r="Q2145" s="75" t="n"/>
      <c r="R2145" s="75" t="n"/>
      <c r="S2145" s="76" t="n"/>
      <c r="T2145" s="76" t="n"/>
      <c r="U2145" s="70">
        <f>IF($A2145="","",IFERROR(INDEX('Techniciens'!$F$5:$F$44,MATCH(O2145,'Techniciens'!$B$5:$B$44,0)),'Paramètres'!$AA$10))</f>
        <v/>
      </c>
      <c r="V2145" s="70">
        <f>IF($A2145="","",IF(OR(AC2145="Demandé",AC2145="Planifié",AC2145="Annulé"),0,N(T2145)*N(U2145)))</f>
        <v/>
      </c>
      <c r="W2145" s="70">
        <f>IF($A2145="","",SUMIFS('Mouvements stock'!$H$5:$H$3004,'Mouvements stock'!$I$5:$I$3004,$A2145,'Mouvements stock'!$C$5:$C$3004,"Sortie")-SUMIFS('Mouvements stock'!$H$5:$H$3004,'Mouvements stock'!$I$5:$I$3004,$A2145,'Mouvements stock'!$C$5:$C$3004,"Retour"))</f>
        <v/>
      </c>
      <c r="X2145" s="66" t="n"/>
      <c r="Y2145" s="66" t="n"/>
      <c r="Z2145" s="7" t="n"/>
      <c r="AA2145" s="70">
        <f>IF($A2145="","",N(V2145)+N(W2145)+N(X2145)+N(Y2145))</f>
        <v/>
      </c>
      <c r="AB2145" s="70">
        <f>IF($A2145="","",N(S2145)*'Paramètres'!$AA$9*IFERROR(INDEX('Paramètres'!$O$5:$O$7,MATCH(G2145,'Paramètres'!$N$5:$N$7,0)),0))</f>
        <v/>
      </c>
      <c r="AC2145" s="7" t="n"/>
      <c r="AD2145" s="69">
        <f>IF(OR($A2145="",Q2145=""),"",(Q2145-B2145)*24)</f>
        <v/>
      </c>
      <c r="AE2145" s="69">
        <f>IF(OR(Q2145="",R2145=""),"",(R2145-Q2145)*24)</f>
        <v/>
      </c>
      <c r="AF2145" s="77">
        <f>IF(OR($A2145="",B2145=""),"",YEAR(B2145))</f>
        <v/>
      </c>
      <c r="AG2145" s="77">
        <f>IF(OR($A2145="",B2145=""),"",MONTH(B2145))</f>
        <v/>
      </c>
    </row>
    <row r="2146">
      <c r="A2146" s="7" t="n"/>
      <c r="B2146" s="75" t="n"/>
      <c r="C2146" s="7" t="n"/>
      <c r="D2146" s="7" t="n"/>
      <c r="E2146" s="9">
        <f>IF(D2146="","",IFERROR(INDEX('Équipements'!$B$5:$B$304,MATCH(D2146,'Équipements'!$A$5:$A$304,0)),"Code inconnu"))</f>
        <v/>
      </c>
      <c r="F2146" s="9">
        <f>IF(D2146="","",IFERROR(INDEX('Équipements'!$D$5:$D$304,MATCH(D2146,'Équipements'!$A$5:$A$304,0)),""))</f>
        <v/>
      </c>
      <c r="G2146" s="9">
        <f>IF(D2146="","",IFERROR(INDEX('Équipements'!$K$5:$K$304,MATCH(D2146,'Équipements'!$A$5:$A$304,0)),""))</f>
        <v/>
      </c>
      <c r="H2146" s="7" t="n"/>
      <c r="I2146" s="7" t="n"/>
      <c r="J2146" s="7" t="n"/>
      <c r="K2146" s="7" t="n"/>
      <c r="L2146" s="7" t="n"/>
      <c r="M2146" s="7" t="n"/>
      <c r="N2146" s="7" t="n"/>
      <c r="O2146" s="7" t="n"/>
      <c r="P2146" s="65" t="n"/>
      <c r="Q2146" s="75" t="n"/>
      <c r="R2146" s="75" t="n"/>
      <c r="S2146" s="76" t="n"/>
      <c r="T2146" s="76" t="n"/>
      <c r="U2146" s="70">
        <f>IF($A2146="","",IFERROR(INDEX('Techniciens'!$F$5:$F$44,MATCH(O2146,'Techniciens'!$B$5:$B$44,0)),'Paramètres'!$AA$10))</f>
        <v/>
      </c>
      <c r="V2146" s="70">
        <f>IF($A2146="","",IF(OR(AC2146="Demandé",AC2146="Planifié",AC2146="Annulé"),0,N(T2146)*N(U2146)))</f>
        <v/>
      </c>
      <c r="W2146" s="70">
        <f>IF($A2146="","",SUMIFS('Mouvements stock'!$H$5:$H$3004,'Mouvements stock'!$I$5:$I$3004,$A2146,'Mouvements stock'!$C$5:$C$3004,"Sortie")-SUMIFS('Mouvements stock'!$H$5:$H$3004,'Mouvements stock'!$I$5:$I$3004,$A2146,'Mouvements stock'!$C$5:$C$3004,"Retour"))</f>
        <v/>
      </c>
      <c r="X2146" s="66" t="n"/>
      <c r="Y2146" s="66" t="n"/>
      <c r="Z2146" s="7" t="n"/>
      <c r="AA2146" s="70">
        <f>IF($A2146="","",N(V2146)+N(W2146)+N(X2146)+N(Y2146))</f>
        <v/>
      </c>
      <c r="AB2146" s="70">
        <f>IF($A2146="","",N(S2146)*'Paramètres'!$AA$9*IFERROR(INDEX('Paramètres'!$O$5:$O$7,MATCH(G2146,'Paramètres'!$N$5:$N$7,0)),0))</f>
        <v/>
      </c>
      <c r="AC2146" s="7" t="n"/>
      <c r="AD2146" s="69">
        <f>IF(OR($A2146="",Q2146=""),"",(Q2146-B2146)*24)</f>
        <v/>
      </c>
      <c r="AE2146" s="69">
        <f>IF(OR(Q2146="",R2146=""),"",(R2146-Q2146)*24)</f>
        <v/>
      </c>
      <c r="AF2146" s="77">
        <f>IF(OR($A2146="",B2146=""),"",YEAR(B2146))</f>
        <v/>
      </c>
      <c r="AG2146" s="77">
        <f>IF(OR($A2146="",B2146=""),"",MONTH(B2146))</f>
        <v/>
      </c>
    </row>
    <row r="2147">
      <c r="A2147" s="7" t="n"/>
      <c r="B2147" s="75" t="n"/>
      <c r="C2147" s="7" t="n"/>
      <c r="D2147" s="7" t="n"/>
      <c r="E2147" s="9">
        <f>IF(D2147="","",IFERROR(INDEX('Équipements'!$B$5:$B$304,MATCH(D2147,'Équipements'!$A$5:$A$304,0)),"Code inconnu"))</f>
        <v/>
      </c>
      <c r="F2147" s="9">
        <f>IF(D2147="","",IFERROR(INDEX('Équipements'!$D$5:$D$304,MATCH(D2147,'Équipements'!$A$5:$A$304,0)),""))</f>
        <v/>
      </c>
      <c r="G2147" s="9">
        <f>IF(D2147="","",IFERROR(INDEX('Équipements'!$K$5:$K$304,MATCH(D2147,'Équipements'!$A$5:$A$304,0)),""))</f>
        <v/>
      </c>
      <c r="H2147" s="7" t="n"/>
      <c r="I2147" s="7" t="n"/>
      <c r="J2147" s="7" t="n"/>
      <c r="K2147" s="7" t="n"/>
      <c r="L2147" s="7" t="n"/>
      <c r="M2147" s="7" t="n"/>
      <c r="N2147" s="7" t="n"/>
      <c r="O2147" s="7" t="n"/>
      <c r="P2147" s="65" t="n"/>
      <c r="Q2147" s="75" t="n"/>
      <c r="R2147" s="75" t="n"/>
      <c r="S2147" s="76" t="n"/>
      <c r="T2147" s="76" t="n"/>
      <c r="U2147" s="70">
        <f>IF($A2147="","",IFERROR(INDEX('Techniciens'!$F$5:$F$44,MATCH(O2147,'Techniciens'!$B$5:$B$44,0)),'Paramètres'!$AA$10))</f>
        <v/>
      </c>
      <c r="V2147" s="70">
        <f>IF($A2147="","",IF(OR(AC2147="Demandé",AC2147="Planifié",AC2147="Annulé"),0,N(T2147)*N(U2147)))</f>
        <v/>
      </c>
      <c r="W2147" s="70">
        <f>IF($A2147="","",SUMIFS('Mouvements stock'!$H$5:$H$3004,'Mouvements stock'!$I$5:$I$3004,$A2147,'Mouvements stock'!$C$5:$C$3004,"Sortie")-SUMIFS('Mouvements stock'!$H$5:$H$3004,'Mouvements stock'!$I$5:$I$3004,$A2147,'Mouvements stock'!$C$5:$C$3004,"Retour"))</f>
        <v/>
      </c>
      <c r="X2147" s="66" t="n"/>
      <c r="Y2147" s="66" t="n"/>
      <c r="Z2147" s="7" t="n"/>
      <c r="AA2147" s="70">
        <f>IF($A2147="","",N(V2147)+N(W2147)+N(X2147)+N(Y2147))</f>
        <v/>
      </c>
      <c r="AB2147" s="70">
        <f>IF($A2147="","",N(S2147)*'Paramètres'!$AA$9*IFERROR(INDEX('Paramètres'!$O$5:$O$7,MATCH(G2147,'Paramètres'!$N$5:$N$7,0)),0))</f>
        <v/>
      </c>
      <c r="AC2147" s="7" t="n"/>
      <c r="AD2147" s="69">
        <f>IF(OR($A2147="",Q2147=""),"",(Q2147-B2147)*24)</f>
        <v/>
      </c>
      <c r="AE2147" s="69">
        <f>IF(OR(Q2147="",R2147=""),"",(R2147-Q2147)*24)</f>
        <v/>
      </c>
      <c r="AF2147" s="77">
        <f>IF(OR($A2147="",B2147=""),"",YEAR(B2147))</f>
        <v/>
      </c>
      <c r="AG2147" s="77">
        <f>IF(OR($A2147="",B2147=""),"",MONTH(B2147))</f>
        <v/>
      </c>
    </row>
    <row r="2148">
      <c r="A2148" s="7" t="n"/>
      <c r="B2148" s="75" t="n"/>
      <c r="C2148" s="7" t="n"/>
      <c r="D2148" s="7" t="n"/>
      <c r="E2148" s="9">
        <f>IF(D2148="","",IFERROR(INDEX('Équipements'!$B$5:$B$304,MATCH(D2148,'Équipements'!$A$5:$A$304,0)),"Code inconnu"))</f>
        <v/>
      </c>
      <c r="F2148" s="9">
        <f>IF(D2148="","",IFERROR(INDEX('Équipements'!$D$5:$D$304,MATCH(D2148,'Équipements'!$A$5:$A$304,0)),""))</f>
        <v/>
      </c>
      <c r="G2148" s="9">
        <f>IF(D2148="","",IFERROR(INDEX('Équipements'!$K$5:$K$304,MATCH(D2148,'Équipements'!$A$5:$A$304,0)),""))</f>
        <v/>
      </c>
      <c r="H2148" s="7" t="n"/>
      <c r="I2148" s="7" t="n"/>
      <c r="J2148" s="7" t="n"/>
      <c r="K2148" s="7" t="n"/>
      <c r="L2148" s="7" t="n"/>
      <c r="M2148" s="7" t="n"/>
      <c r="N2148" s="7" t="n"/>
      <c r="O2148" s="7" t="n"/>
      <c r="P2148" s="65" t="n"/>
      <c r="Q2148" s="75" t="n"/>
      <c r="R2148" s="75" t="n"/>
      <c r="S2148" s="76" t="n"/>
      <c r="T2148" s="76" t="n"/>
      <c r="U2148" s="70">
        <f>IF($A2148="","",IFERROR(INDEX('Techniciens'!$F$5:$F$44,MATCH(O2148,'Techniciens'!$B$5:$B$44,0)),'Paramètres'!$AA$10))</f>
        <v/>
      </c>
      <c r="V2148" s="70">
        <f>IF($A2148="","",IF(OR(AC2148="Demandé",AC2148="Planifié",AC2148="Annulé"),0,N(T2148)*N(U2148)))</f>
        <v/>
      </c>
      <c r="W2148" s="70">
        <f>IF($A2148="","",SUMIFS('Mouvements stock'!$H$5:$H$3004,'Mouvements stock'!$I$5:$I$3004,$A2148,'Mouvements stock'!$C$5:$C$3004,"Sortie")-SUMIFS('Mouvements stock'!$H$5:$H$3004,'Mouvements stock'!$I$5:$I$3004,$A2148,'Mouvements stock'!$C$5:$C$3004,"Retour"))</f>
        <v/>
      </c>
      <c r="X2148" s="66" t="n"/>
      <c r="Y2148" s="66" t="n"/>
      <c r="Z2148" s="7" t="n"/>
      <c r="AA2148" s="70">
        <f>IF($A2148="","",N(V2148)+N(W2148)+N(X2148)+N(Y2148))</f>
        <v/>
      </c>
      <c r="AB2148" s="70">
        <f>IF($A2148="","",N(S2148)*'Paramètres'!$AA$9*IFERROR(INDEX('Paramètres'!$O$5:$O$7,MATCH(G2148,'Paramètres'!$N$5:$N$7,0)),0))</f>
        <v/>
      </c>
      <c r="AC2148" s="7" t="n"/>
      <c r="AD2148" s="69">
        <f>IF(OR($A2148="",Q2148=""),"",(Q2148-B2148)*24)</f>
        <v/>
      </c>
      <c r="AE2148" s="69">
        <f>IF(OR(Q2148="",R2148=""),"",(R2148-Q2148)*24)</f>
        <v/>
      </c>
      <c r="AF2148" s="77">
        <f>IF(OR($A2148="",B2148=""),"",YEAR(B2148))</f>
        <v/>
      </c>
      <c r="AG2148" s="77">
        <f>IF(OR($A2148="",B2148=""),"",MONTH(B2148))</f>
        <v/>
      </c>
    </row>
    <row r="2149">
      <c r="A2149" s="7" t="n"/>
      <c r="B2149" s="75" t="n"/>
      <c r="C2149" s="7" t="n"/>
      <c r="D2149" s="7" t="n"/>
      <c r="E2149" s="9">
        <f>IF(D2149="","",IFERROR(INDEX('Équipements'!$B$5:$B$304,MATCH(D2149,'Équipements'!$A$5:$A$304,0)),"Code inconnu"))</f>
        <v/>
      </c>
      <c r="F2149" s="9">
        <f>IF(D2149="","",IFERROR(INDEX('Équipements'!$D$5:$D$304,MATCH(D2149,'Équipements'!$A$5:$A$304,0)),""))</f>
        <v/>
      </c>
      <c r="G2149" s="9">
        <f>IF(D2149="","",IFERROR(INDEX('Équipements'!$K$5:$K$304,MATCH(D2149,'Équipements'!$A$5:$A$304,0)),""))</f>
        <v/>
      </c>
      <c r="H2149" s="7" t="n"/>
      <c r="I2149" s="7" t="n"/>
      <c r="J2149" s="7" t="n"/>
      <c r="K2149" s="7" t="n"/>
      <c r="L2149" s="7" t="n"/>
      <c r="M2149" s="7" t="n"/>
      <c r="N2149" s="7" t="n"/>
      <c r="O2149" s="7" t="n"/>
      <c r="P2149" s="65" t="n"/>
      <c r="Q2149" s="75" t="n"/>
      <c r="R2149" s="75" t="n"/>
      <c r="S2149" s="76" t="n"/>
      <c r="T2149" s="76" t="n"/>
      <c r="U2149" s="70">
        <f>IF($A2149="","",IFERROR(INDEX('Techniciens'!$F$5:$F$44,MATCH(O2149,'Techniciens'!$B$5:$B$44,0)),'Paramètres'!$AA$10))</f>
        <v/>
      </c>
      <c r="V2149" s="70">
        <f>IF($A2149="","",IF(OR(AC2149="Demandé",AC2149="Planifié",AC2149="Annulé"),0,N(T2149)*N(U2149)))</f>
        <v/>
      </c>
      <c r="W2149" s="70">
        <f>IF($A2149="","",SUMIFS('Mouvements stock'!$H$5:$H$3004,'Mouvements stock'!$I$5:$I$3004,$A2149,'Mouvements stock'!$C$5:$C$3004,"Sortie")-SUMIFS('Mouvements stock'!$H$5:$H$3004,'Mouvements stock'!$I$5:$I$3004,$A2149,'Mouvements stock'!$C$5:$C$3004,"Retour"))</f>
        <v/>
      </c>
      <c r="X2149" s="66" t="n"/>
      <c r="Y2149" s="66" t="n"/>
      <c r="Z2149" s="7" t="n"/>
      <c r="AA2149" s="70">
        <f>IF($A2149="","",N(V2149)+N(W2149)+N(X2149)+N(Y2149))</f>
        <v/>
      </c>
      <c r="AB2149" s="70">
        <f>IF($A2149="","",N(S2149)*'Paramètres'!$AA$9*IFERROR(INDEX('Paramètres'!$O$5:$O$7,MATCH(G2149,'Paramètres'!$N$5:$N$7,0)),0))</f>
        <v/>
      </c>
      <c r="AC2149" s="7" t="n"/>
      <c r="AD2149" s="69">
        <f>IF(OR($A2149="",Q2149=""),"",(Q2149-B2149)*24)</f>
        <v/>
      </c>
      <c r="AE2149" s="69">
        <f>IF(OR(Q2149="",R2149=""),"",(R2149-Q2149)*24)</f>
        <v/>
      </c>
      <c r="AF2149" s="77">
        <f>IF(OR($A2149="",B2149=""),"",YEAR(B2149))</f>
        <v/>
      </c>
      <c r="AG2149" s="77">
        <f>IF(OR($A2149="",B2149=""),"",MONTH(B2149))</f>
        <v/>
      </c>
    </row>
    <row r="2150">
      <c r="A2150" s="7" t="n"/>
      <c r="B2150" s="75" t="n"/>
      <c r="C2150" s="7" t="n"/>
      <c r="D2150" s="7" t="n"/>
      <c r="E2150" s="9">
        <f>IF(D2150="","",IFERROR(INDEX('Équipements'!$B$5:$B$304,MATCH(D2150,'Équipements'!$A$5:$A$304,0)),"Code inconnu"))</f>
        <v/>
      </c>
      <c r="F2150" s="9">
        <f>IF(D2150="","",IFERROR(INDEX('Équipements'!$D$5:$D$304,MATCH(D2150,'Équipements'!$A$5:$A$304,0)),""))</f>
        <v/>
      </c>
      <c r="G2150" s="9">
        <f>IF(D2150="","",IFERROR(INDEX('Équipements'!$K$5:$K$304,MATCH(D2150,'Équipements'!$A$5:$A$304,0)),""))</f>
        <v/>
      </c>
      <c r="H2150" s="7" t="n"/>
      <c r="I2150" s="7" t="n"/>
      <c r="J2150" s="7" t="n"/>
      <c r="K2150" s="7" t="n"/>
      <c r="L2150" s="7" t="n"/>
      <c r="M2150" s="7" t="n"/>
      <c r="N2150" s="7" t="n"/>
      <c r="O2150" s="7" t="n"/>
      <c r="P2150" s="65" t="n"/>
      <c r="Q2150" s="75" t="n"/>
      <c r="R2150" s="75" t="n"/>
      <c r="S2150" s="76" t="n"/>
      <c r="T2150" s="76" t="n"/>
      <c r="U2150" s="70">
        <f>IF($A2150="","",IFERROR(INDEX('Techniciens'!$F$5:$F$44,MATCH(O2150,'Techniciens'!$B$5:$B$44,0)),'Paramètres'!$AA$10))</f>
        <v/>
      </c>
      <c r="V2150" s="70">
        <f>IF($A2150="","",IF(OR(AC2150="Demandé",AC2150="Planifié",AC2150="Annulé"),0,N(T2150)*N(U2150)))</f>
        <v/>
      </c>
      <c r="W2150" s="70">
        <f>IF($A2150="","",SUMIFS('Mouvements stock'!$H$5:$H$3004,'Mouvements stock'!$I$5:$I$3004,$A2150,'Mouvements stock'!$C$5:$C$3004,"Sortie")-SUMIFS('Mouvements stock'!$H$5:$H$3004,'Mouvements stock'!$I$5:$I$3004,$A2150,'Mouvements stock'!$C$5:$C$3004,"Retour"))</f>
        <v/>
      </c>
      <c r="X2150" s="66" t="n"/>
      <c r="Y2150" s="66" t="n"/>
      <c r="Z2150" s="7" t="n"/>
      <c r="AA2150" s="70">
        <f>IF($A2150="","",N(V2150)+N(W2150)+N(X2150)+N(Y2150))</f>
        <v/>
      </c>
      <c r="AB2150" s="70">
        <f>IF($A2150="","",N(S2150)*'Paramètres'!$AA$9*IFERROR(INDEX('Paramètres'!$O$5:$O$7,MATCH(G2150,'Paramètres'!$N$5:$N$7,0)),0))</f>
        <v/>
      </c>
      <c r="AC2150" s="7" t="n"/>
      <c r="AD2150" s="69">
        <f>IF(OR($A2150="",Q2150=""),"",(Q2150-B2150)*24)</f>
        <v/>
      </c>
      <c r="AE2150" s="69">
        <f>IF(OR(Q2150="",R2150=""),"",(R2150-Q2150)*24)</f>
        <v/>
      </c>
      <c r="AF2150" s="77">
        <f>IF(OR($A2150="",B2150=""),"",YEAR(B2150))</f>
        <v/>
      </c>
      <c r="AG2150" s="77">
        <f>IF(OR($A2150="",B2150=""),"",MONTH(B2150))</f>
        <v/>
      </c>
    </row>
    <row r="2151">
      <c r="A2151" s="7" t="n"/>
      <c r="B2151" s="75" t="n"/>
      <c r="C2151" s="7" t="n"/>
      <c r="D2151" s="7" t="n"/>
      <c r="E2151" s="9">
        <f>IF(D2151="","",IFERROR(INDEX('Équipements'!$B$5:$B$304,MATCH(D2151,'Équipements'!$A$5:$A$304,0)),"Code inconnu"))</f>
        <v/>
      </c>
      <c r="F2151" s="9">
        <f>IF(D2151="","",IFERROR(INDEX('Équipements'!$D$5:$D$304,MATCH(D2151,'Équipements'!$A$5:$A$304,0)),""))</f>
        <v/>
      </c>
      <c r="G2151" s="9">
        <f>IF(D2151="","",IFERROR(INDEX('Équipements'!$K$5:$K$304,MATCH(D2151,'Équipements'!$A$5:$A$304,0)),""))</f>
        <v/>
      </c>
      <c r="H2151" s="7" t="n"/>
      <c r="I2151" s="7" t="n"/>
      <c r="J2151" s="7" t="n"/>
      <c r="K2151" s="7" t="n"/>
      <c r="L2151" s="7" t="n"/>
      <c r="M2151" s="7" t="n"/>
      <c r="N2151" s="7" t="n"/>
      <c r="O2151" s="7" t="n"/>
      <c r="P2151" s="65" t="n"/>
      <c r="Q2151" s="75" t="n"/>
      <c r="R2151" s="75" t="n"/>
      <c r="S2151" s="76" t="n"/>
      <c r="T2151" s="76" t="n"/>
      <c r="U2151" s="70">
        <f>IF($A2151="","",IFERROR(INDEX('Techniciens'!$F$5:$F$44,MATCH(O2151,'Techniciens'!$B$5:$B$44,0)),'Paramètres'!$AA$10))</f>
        <v/>
      </c>
      <c r="V2151" s="70">
        <f>IF($A2151="","",IF(OR(AC2151="Demandé",AC2151="Planifié",AC2151="Annulé"),0,N(T2151)*N(U2151)))</f>
        <v/>
      </c>
      <c r="W2151" s="70">
        <f>IF($A2151="","",SUMIFS('Mouvements stock'!$H$5:$H$3004,'Mouvements stock'!$I$5:$I$3004,$A2151,'Mouvements stock'!$C$5:$C$3004,"Sortie")-SUMIFS('Mouvements stock'!$H$5:$H$3004,'Mouvements stock'!$I$5:$I$3004,$A2151,'Mouvements stock'!$C$5:$C$3004,"Retour"))</f>
        <v/>
      </c>
      <c r="X2151" s="66" t="n"/>
      <c r="Y2151" s="66" t="n"/>
      <c r="Z2151" s="7" t="n"/>
      <c r="AA2151" s="70">
        <f>IF($A2151="","",N(V2151)+N(W2151)+N(X2151)+N(Y2151))</f>
        <v/>
      </c>
      <c r="AB2151" s="70">
        <f>IF($A2151="","",N(S2151)*'Paramètres'!$AA$9*IFERROR(INDEX('Paramètres'!$O$5:$O$7,MATCH(G2151,'Paramètres'!$N$5:$N$7,0)),0))</f>
        <v/>
      </c>
      <c r="AC2151" s="7" t="n"/>
      <c r="AD2151" s="69">
        <f>IF(OR($A2151="",Q2151=""),"",(Q2151-B2151)*24)</f>
        <v/>
      </c>
      <c r="AE2151" s="69">
        <f>IF(OR(Q2151="",R2151=""),"",(R2151-Q2151)*24)</f>
        <v/>
      </c>
      <c r="AF2151" s="77">
        <f>IF(OR($A2151="",B2151=""),"",YEAR(B2151))</f>
        <v/>
      </c>
      <c r="AG2151" s="77">
        <f>IF(OR($A2151="",B2151=""),"",MONTH(B2151))</f>
        <v/>
      </c>
    </row>
    <row r="2152">
      <c r="A2152" s="7" t="n"/>
      <c r="B2152" s="75" t="n"/>
      <c r="C2152" s="7" t="n"/>
      <c r="D2152" s="7" t="n"/>
      <c r="E2152" s="9">
        <f>IF(D2152="","",IFERROR(INDEX('Équipements'!$B$5:$B$304,MATCH(D2152,'Équipements'!$A$5:$A$304,0)),"Code inconnu"))</f>
        <v/>
      </c>
      <c r="F2152" s="9">
        <f>IF(D2152="","",IFERROR(INDEX('Équipements'!$D$5:$D$304,MATCH(D2152,'Équipements'!$A$5:$A$304,0)),""))</f>
        <v/>
      </c>
      <c r="G2152" s="9">
        <f>IF(D2152="","",IFERROR(INDEX('Équipements'!$K$5:$K$304,MATCH(D2152,'Équipements'!$A$5:$A$304,0)),""))</f>
        <v/>
      </c>
      <c r="H2152" s="7" t="n"/>
      <c r="I2152" s="7" t="n"/>
      <c r="J2152" s="7" t="n"/>
      <c r="K2152" s="7" t="n"/>
      <c r="L2152" s="7" t="n"/>
      <c r="M2152" s="7" t="n"/>
      <c r="N2152" s="7" t="n"/>
      <c r="O2152" s="7" t="n"/>
      <c r="P2152" s="65" t="n"/>
      <c r="Q2152" s="75" t="n"/>
      <c r="R2152" s="75" t="n"/>
      <c r="S2152" s="76" t="n"/>
      <c r="T2152" s="76" t="n"/>
      <c r="U2152" s="70">
        <f>IF($A2152="","",IFERROR(INDEX('Techniciens'!$F$5:$F$44,MATCH(O2152,'Techniciens'!$B$5:$B$44,0)),'Paramètres'!$AA$10))</f>
        <v/>
      </c>
      <c r="V2152" s="70">
        <f>IF($A2152="","",IF(OR(AC2152="Demandé",AC2152="Planifié",AC2152="Annulé"),0,N(T2152)*N(U2152)))</f>
        <v/>
      </c>
      <c r="W2152" s="70">
        <f>IF($A2152="","",SUMIFS('Mouvements stock'!$H$5:$H$3004,'Mouvements stock'!$I$5:$I$3004,$A2152,'Mouvements stock'!$C$5:$C$3004,"Sortie")-SUMIFS('Mouvements stock'!$H$5:$H$3004,'Mouvements stock'!$I$5:$I$3004,$A2152,'Mouvements stock'!$C$5:$C$3004,"Retour"))</f>
        <v/>
      </c>
      <c r="X2152" s="66" t="n"/>
      <c r="Y2152" s="66" t="n"/>
      <c r="Z2152" s="7" t="n"/>
      <c r="AA2152" s="70">
        <f>IF($A2152="","",N(V2152)+N(W2152)+N(X2152)+N(Y2152))</f>
        <v/>
      </c>
      <c r="AB2152" s="70">
        <f>IF($A2152="","",N(S2152)*'Paramètres'!$AA$9*IFERROR(INDEX('Paramètres'!$O$5:$O$7,MATCH(G2152,'Paramètres'!$N$5:$N$7,0)),0))</f>
        <v/>
      </c>
      <c r="AC2152" s="7" t="n"/>
      <c r="AD2152" s="69">
        <f>IF(OR($A2152="",Q2152=""),"",(Q2152-B2152)*24)</f>
        <v/>
      </c>
      <c r="AE2152" s="69">
        <f>IF(OR(Q2152="",R2152=""),"",(R2152-Q2152)*24)</f>
        <v/>
      </c>
      <c r="AF2152" s="77">
        <f>IF(OR($A2152="",B2152=""),"",YEAR(B2152))</f>
        <v/>
      </c>
      <c r="AG2152" s="77">
        <f>IF(OR($A2152="",B2152=""),"",MONTH(B2152))</f>
        <v/>
      </c>
    </row>
    <row r="2153">
      <c r="A2153" s="7" t="n"/>
      <c r="B2153" s="75" t="n"/>
      <c r="C2153" s="7" t="n"/>
      <c r="D2153" s="7" t="n"/>
      <c r="E2153" s="9">
        <f>IF(D2153="","",IFERROR(INDEX('Équipements'!$B$5:$B$304,MATCH(D2153,'Équipements'!$A$5:$A$304,0)),"Code inconnu"))</f>
        <v/>
      </c>
      <c r="F2153" s="9">
        <f>IF(D2153="","",IFERROR(INDEX('Équipements'!$D$5:$D$304,MATCH(D2153,'Équipements'!$A$5:$A$304,0)),""))</f>
        <v/>
      </c>
      <c r="G2153" s="9">
        <f>IF(D2153="","",IFERROR(INDEX('Équipements'!$K$5:$K$304,MATCH(D2153,'Équipements'!$A$5:$A$304,0)),""))</f>
        <v/>
      </c>
      <c r="H2153" s="7" t="n"/>
      <c r="I2153" s="7" t="n"/>
      <c r="J2153" s="7" t="n"/>
      <c r="K2153" s="7" t="n"/>
      <c r="L2153" s="7" t="n"/>
      <c r="M2153" s="7" t="n"/>
      <c r="N2153" s="7" t="n"/>
      <c r="O2153" s="7" t="n"/>
      <c r="P2153" s="65" t="n"/>
      <c r="Q2153" s="75" t="n"/>
      <c r="R2153" s="75" t="n"/>
      <c r="S2153" s="76" t="n"/>
      <c r="T2153" s="76" t="n"/>
      <c r="U2153" s="70">
        <f>IF($A2153="","",IFERROR(INDEX('Techniciens'!$F$5:$F$44,MATCH(O2153,'Techniciens'!$B$5:$B$44,0)),'Paramètres'!$AA$10))</f>
        <v/>
      </c>
      <c r="V2153" s="70">
        <f>IF($A2153="","",IF(OR(AC2153="Demandé",AC2153="Planifié",AC2153="Annulé"),0,N(T2153)*N(U2153)))</f>
        <v/>
      </c>
      <c r="W2153" s="70">
        <f>IF($A2153="","",SUMIFS('Mouvements stock'!$H$5:$H$3004,'Mouvements stock'!$I$5:$I$3004,$A2153,'Mouvements stock'!$C$5:$C$3004,"Sortie")-SUMIFS('Mouvements stock'!$H$5:$H$3004,'Mouvements stock'!$I$5:$I$3004,$A2153,'Mouvements stock'!$C$5:$C$3004,"Retour"))</f>
        <v/>
      </c>
      <c r="X2153" s="66" t="n"/>
      <c r="Y2153" s="66" t="n"/>
      <c r="Z2153" s="7" t="n"/>
      <c r="AA2153" s="70">
        <f>IF($A2153="","",N(V2153)+N(W2153)+N(X2153)+N(Y2153))</f>
        <v/>
      </c>
      <c r="AB2153" s="70">
        <f>IF($A2153="","",N(S2153)*'Paramètres'!$AA$9*IFERROR(INDEX('Paramètres'!$O$5:$O$7,MATCH(G2153,'Paramètres'!$N$5:$N$7,0)),0))</f>
        <v/>
      </c>
      <c r="AC2153" s="7" t="n"/>
      <c r="AD2153" s="69">
        <f>IF(OR($A2153="",Q2153=""),"",(Q2153-B2153)*24)</f>
        <v/>
      </c>
      <c r="AE2153" s="69">
        <f>IF(OR(Q2153="",R2153=""),"",(R2153-Q2153)*24)</f>
        <v/>
      </c>
      <c r="AF2153" s="77">
        <f>IF(OR($A2153="",B2153=""),"",YEAR(B2153))</f>
        <v/>
      </c>
      <c r="AG2153" s="77">
        <f>IF(OR($A2153="",B2153=""),"",MONTH(B2153))</f>
        <v/>
      </c>
    </row>
    <row r="2154">
      <c r="A2154" s="7" t="n"/>
      <c r="B2154" s="75" t="n"/>
      <c r="C2154" s="7" t="n"/>
      <c r="D2154" s="7" t="n"/>
      <c r="E2154" s="9">
        <f>IF(D2154="","",IFERROR(INDEX('Équipements'!$B$5:$B$304,MATCH(D2154,'Équipements'!$A$5:$A$304,0)),"Code inconnu"))</f>
        <v/>
      </c>
      <c r="F2154" s="9">
        <f>IF(D2154="","",IFERROR(INDEX('Équipements'!$D$5:$D$304,MATCH(D2154,'Équipements'!$A$5:$A$304,0)),""))</f>
        <v/>
      </c>
      <c r="G2154" s="9">
        <f>IF(D2154="","",IFERROR(INDEX('Équipements'!$K$5:$K$304,MATCH(D2154,'Équipements'!$A$5:$A$304,0)),""))</f>
        <v/>
      </c>
      <c r="H2154" s="7" t="n"/>
      <c r="I2154" s="7" t="n"/>
      <c r="J2154" s="7" t="n"/>
      <c r="K2154" s="7" t="n"/>
      <c r="L2154" s="7" t="n"/>
      <c r="M2154" s="7" t="n"/>
      <c r="N2154" s="7" t="n"/>
      <c r="O2154" s="7" t="n"/>
      <c r="P2154" s="65" t="n"/>
      <c r="Q2154" s="75" t="n"/>
      <c r="R2154" s="75" t="n"/>
      <c r="S2154" s="76" t="n"/>
      <c r="T2154" s="76" t="n"/>
      <c r="U2154" s="70">
        <f>IF($A2154="","",IFERROR(INDEX('Techniciens'!$F$5:$F$44,MATCH(O2154,'Techniciens'!$B$5:$B$44,0)),'Paramètres'!$AA$10))</f>
        <v/>
      </c>
      <c r="V2154" s="70">
        <f>IF($A2154="","",IF(OR(AC2154="Demandé",AC2154="Planifié",AC2154="Annulé"),0,N(T2154)*N(U2154)))</f>
        <v/>
      </c>
      <c r="W2154" s="70">
        <f>IF($A2154="","",SUMIFS('Mouvements stock'!$H$5:$H$3004,'Mouvements stock'!$I$5:$I$3004,$A2154,'Mouvements stock'!$C$5:$C$3004,"Sortie")-SUMIFS('Mouvements stock'!$H$5:$H$3004,'Mouvements stock'!$I$5:$I$3004,$A2154,'Mouvements stock'!$C$5:$C$3004,"Retour"))</f>
        <v/>
      </c>
      <c r="X2154" s="66" t="n"/>
      <c r="Y2154" s="66" t="n"/>
      <c r="Z2154" s="7" t="n"/>
      <c r="AA2154" s="70">
        <f>IF($A2154="","",N(V2154)+N(W2154)+N(X2154)+N(Y2154))</f>
        <v/>
      </c>
      <c r="AB2154" s="70">
        <f>IF($A2154="","",N(S2154)*'Paramètres'!$AA$9*IFERROR(INDEX('Paramètres'!$O$5:$O$7,MATCH(G2154,'Paramètres'!$N$5:$N$7,0)),0))</f>
        <v/>
      </c>
      <c r="AC2154" s="7" t="n"/>
      <c r="AD2154" s="69">
        <f>IF(OR($A2154="",Q2154=""),"",(Q2154-B2154)*24)</f>
        <v/>
      </c>
      <c r="AE2154" s="69">
        <f>IF(OR(Q2154="",R2154=""),"",(R2154-Q2154)*24)</f>
        <v/>
      </c>
      <c r="AF2154" s="77">
        <f>IF(OR($A2154="",B2154=""),"",YEAR(B2154))</f>
        <v/>
      </c>
      <c r="AG2154" s="77">
        <f>IF(OR($A2154="",B2154=""),"",MONTH(B2154))</f>
        <v/>
      </c>
    </row>
    <row r="2155">
      <c r="A2155" s="7" t="n"/>
      <c r="B2155" s="75" t="n"/>
      <c r="C2155" s="7" t="n"/>
      <c r="D2155" s="7" t="n"/>
      <c r="E2155" s="9">
        <f>IF(D2155="","",IFERROR(INDEX('Équipements'!$B$5:$B$304,MATCH(D2155,'Équipements'!$A$5:$A$304,0)),"Code inconnu"))</f>
        <v/>
      </c>
      <c r="F2155" s="9">
        <f>IF(D2155="","",IFERROR(INDEX('Équipements'!$D$5:$D$304,MATCH(D2155,'Équipements'!$A$5:$A$304,0)),""))</f>
        <v/>
      </c>
      <c r="G2155" s="9">
        <f>IF(D2155="","",IFERROR(INDEX('Équipements'!$K$5:$K$304,MATCH(D2155,'Équipements'!$A$5:$A$304,0)),""))</f>
        <v/>
      </c>
      <c r="H2155" s="7" t="n"/>
      <c r="I2155" s="7" t="n"/>
      <c r="J2155" s="7" t="n"/>
      <c r="K2155" s="7" t="n"/>
      <c r="L2155" s="7" t="n"/>
      <c r="M2155" s="7" t="n"/>
      <c r="N2155" s="7" t="n"/>
      <c r="O2155" s="7" t="n"/>
      <c r="P2155" s="65" t="n"/>
      <c r="Q2155" s="75" t="n"/>
      <c r="R2155" s="75" t="n"/>
      <c r="S2155" s="76" t="n"/>
      <c r="T2155" s="76" t="n"/>
      <c r="U2155" s="70">
        <f>IF($A2155="","",IFERROR(INDEX('Techniciens'!$F$5:$F$44,MATCH(O2155,'Techniciens'!$B$5:$B$44,0)),'Paramètres'!$AA$10))</f>
        <v/>
      </c>
      <c r="V2155" s="70">
        <f>IF($A2155="","",IF(OR(AC2155="Demandé",AC2155="Planifié",AC2155="Annulé"),0,N(T2155)*N(U2155)))</f>
        <v/>
      </c>
      <c r="W2155" s="70">
        <f>IF($A2155="","",SUMIFS('Mouvements stock'!$H$5:$H$3004,'Mouvements stock'!$I$5:$I$3004,$A2155,'Mouvements stock'!$C$5:$C$3004,"Sortie")-SUMIFS('Mouvements stock'!$H$5:$H$3004,'Mouvements stock'!$I$5:$I$3004,$A2155,'Mouvements stock'!$C$5:$C$3004,"Retour"))</f>
        <v/>
      </c>
      <c r="X2155" s="66" t="n"/>
      <c r="Y2155" s="66" t="n"/>
      <c r="Z2155" s="7" t="n"/>
      <c r="AA2155" s="70">
        <f>IF($A2155="","",N(V2155)+N(W2155)+N(X2155)+N(Y2155))</f>
        <v/>
      </c>
      <c r="AB2155" s="70">
        <f>IF($A2155="","",N(S2155)*'Paramètres'!$AA$9*IFERROR(INDEX('Paramètres'!$O$5:$O$7,MATCH(G2155,'Paramètres'!$N$5:$N$7,0)),0))</f>
        <v/>
      </c>
      <c r="AC2155" s="7" t="n"/>
      <c r="AD2155" s="69">
        <f>IF(OR($A2155="",Q2155=""),"",(Q2155-B2155)*24)</f>
        <v/>
      </c>
      <c r="AE2155" s="69">
        <f>IF(OR(Q2155="",R2155=""),"",(R2155-Q2155)*24)</f>
        <v/>
      </c>
      <c r="AF2155" s="77">
        <f>IF(OR($A2155="",B2155=""),"",YEAR(B2155))</f>
        <v/>
      </c>
      <c r="AG2155" s="77">
        <f>IF(OR($A2155="",B2155=""),"",MONTH(B2155))</f>
        <v/>
      </c>
    </row>
    <row r="2156">
      <c r="A2156" s="7" t="n"/>
      <c r="B2156" s="75" t="n"/>
      <c r="C2156" s="7" t="n"/>
      <c r="D2156" s="7" t="n"/>
      <c r="E2156" s="9">
        <f>IF(D2156="","",IFERROR(INDEX('Équipements'!$B$5:$B$304,MATCH(D2156,'Équipements'!$A$5:$A$304,0)),"Code inconnu"))</f>
        <v/>
      </c>
      <c r="F2156" s="9">
        <f>IF(D2156="","",IFERROR(INDEX('Équipements'!$D$5:$D$304,MATCH(D2156,'Équipements'!$A$5:$A$304,0)),""))</f>
        <v/>
      </c>
      <c r="G2156" s="9">
        <f>IF(D2156="","",IFERROR(INDEX('Équipements'!$K$5:$K$304,MATCH(D2156,'Équipements'!$A$5:$A$304,0)),""))</f>
        <v/>
      </c>
      <c r="H2156" s="7" t="n"/>
      <c r="I2156" s="7" t="n"/>
      <c r="J2156" s="7" t="n"/>
      <c r="K2156" s="7" t="n"/>
      <c r="L2156" s="7" t="n"/>
      <c r="M2156" s="7" t="n"/>
      <c r="N2156" s="7" t="n"/>
      <c r="O2156" s="7" t="n"/>
      <c r="P2156" s="65" t="n"/>
      <c r="Q2156" s="75" t="n"/>
      <c r="R2156" s="75" t="n"/>
      <c r="S2156" s="76" t="n"/>
      <c r="T2156" s="76" t="n"/>
      <c r="U2156" s="70">
        <f>IF($A2156="","",IFERROR(INDEX('Techniciens'!$F$5:$F$44,MATCH(O2156,'Techniciens'!$B$5:$B$44,0)),'Paramètres'!$AA$10))</f>
        <v/>
      </c>
      <c r="V2156" s="70">
        <f>IF($A2156="","",IF(OR(AC2156="Demandé",AC2156="Planifié",AC2156="Annulé"),0,N(T2156)*N(U2156)))</f>
        <v/>
      </c>
      <c r="W2156" s="70">
        <f>IF($A2156="","",SUMIFS('Mouvements stock'!$H$5:$H$3004,'Mouvements stock'!$I$5:$I$3004,$A2156,'Mouvements stock'!$C$5:$C$3004,"Sortie")-SUMIFS('Mouvements stock'!$H$5:$H$3004,'Mouvements stock'!$I$5:$I$3004,$A2156,'Mouvements stock'!$C$5:$C$3004,"Retour"))</f>
        <v/>
      </c>
      <c r="X2156" s="66" t="n"/>
      <c r="Y2156" s="66" t="n"/>
      <c r="Z2156" s="7" t="n"/>
      <c r="AA2156" s="70">
        <f>IF($A2156="","",N(V2156)+N(W2156)+N(X2156)+N(Y2156))</f>
        <v/>
      </c>
      <c r="AB2156" s="70">
        <f>IF($A2156="","",N(S2156)*'Paramètres'!$AA$9*IFERROR(INDEX('Paramètres'!$O$5:$O$7,MATCH(G2156,'Paramètres'!$N$5:$N$7,0)),0))</f>
        <v/>
      </c>
      <c r="AC2156" s="7" t="n"/>
      <c r="AD2156" s="69">
        <f>IF(OR($A2156="",Q2156=""),"",(Q2156-B2156)*24)</f>
        <v/>
      </c>
      <c r="AE2156" s="69">
        <f>IF(OR(Q2156="",R2156=""),"",(R2156-Q2156)*24)</f>
        <v/>
      </c>
      <c r="AF2156" s="77">
        <f>IF(OR($A2156="",B2156=""),"",YEAR(B2156))</f>
        <v/>
      </c>
      <c r="AG2156" s="77">
        <f>IF(OR($A2156="",B2156=""),"",MONTH(B2156))</f>
        <v/>
      </c>
    </row>
    <row r="2157">
      <c r="A2157" s="7" t="n"/>
      <c r="B2157" s="75" t="n"/>
      <c r="C2157" s="7" t="n"/>
      <c r="D2157" s="7" t="n"/>
      <c r="E2157" s="9">
        <f>IF(D2157="","",IFERROR(INDEX('Équipements'!$B$5:$B$304,MATCH(D2157,'Équipements'!$A$5:$A$304,0)),"Code inconnu"))</f>
        <v/>
      </c>
      <c r="F2157" s="9">
        <f>IF(D2157="","",IFERROR(INDEX('Équipements'!$D$5:$D$304,MATCH(D2157,'Équipements'!$A$5:$A$304,0)),""))</f>
        <v/>
      </c>
      <c r="G2157" s="9">
        <f>IF(D2157="","",IFERROR(INDEX('Équipements'!$K$5:$K$304,MATCH(D2157,'Équipements'!$A$5:$A$304,0)),""))</f>
        <v/>
      </c>
      <c r="H2157" s="7" t="n"/>
      <c r="I2157" s="7" t="n"/>
      <c r="J2157" s="7" t="n"/>
      <c r="K2157" s="7" t="n"/>
      <c r="L2157" s="7" t="n"/>
      <c r="M2157" s="7" t="n"/>
      <c r="N2157" s="7" t="n"/>
      <c r="O2157" s="7" t="n"/>
      <c r="P2157" s="65" t="n"/>
      <c r="Q2157" s="75" t="n"/>
      <c r="R2157" s="75" t="n"/>
      <c r="S2157" s="76" t="n"/>
      <c r="T2157" s="76" t="n"/>
      <c r="U2157" s="70">
        <f>IF($A2157="","",IFERROR(INDEX('Techniciens'!$F$5:$F$44,MATCH(O2157,'Techniciens'!$B$5:$B$44,0)),'Paramètres'!$AA$10))</f>
        <v/>
      </c>
      <c r="V2157" s="70">
        <f>IF($A2157="","",IF(OR(AC2157="Demandé",AC2157="Planifié",AC2157="Annulé"),0,N(T2157)*N(U2157)))</f>
        <v/>
      </c>
      <c r="W2157" s="70">
        <f>IF($A2157="","",SUMIFS('Mouvements stock'!$H$5:$H$3004,'Mouvements stock'!$I$5:$I$3004,$A2157,'Mouvements stock'!$C$5:$C$3004,"Sortie")-SUMIFS('Mouvements stock'!$H$5:$H$3004,'Mouvements stock'!$I$5:$I$3004,$A2157,'Mouvements stock'!$C$5:$C$3004,"Retour"))</f>
        <v/>
      </c>
      <c r="X2157" s="66" t="n"/>
      <c r="Y2157" s="66" t="n"/>
      <c r="Z2157" s="7" t="n"/>
      <c r="AA2157" s="70">
        <f>IF($A2157="","",N(V2157)+N(W2157)+N(X2157)+N(Y2157))</f>
        <v/>
      </c>
      <c r="AB2157" s="70">
        <f>IF($A2157="","",N(S2157)*'Paramètres'!$AA$9*IFERROR(INDEX('Paramètres'!$O$5:$O$7,MATCH(G2157,'Paramètres'!$N$5:$N$7,0)),0))</f>
        <v/>
      </c>
      <c r="AC2157" s="7" t="n"/>
      <c r="AD2157" s="69">
        <f>IF(OR($A2157="",Q2157=""),"",(Q2157-B2157)*24)</f>
        <v/>
      </c>
      <c r="AE2157" s="69">
        <f>IF(OR(Q2157="",R2157=""),"",(R2157-Q2157)*24)</f>
        <v/>
      </c>
      <c r="AF2157" s="77">
        <f>IF(OR($A2157="",B2157=""),"",YEAR(B2157))</f>
        <v/>
      </c>
      <c r="AG2157" s="77">
        <f>IF(OR($A2157="",B2157=""),"",MONTH(B2157))</f>
        <v/>
      </c>
    </row>
    <row r="2158">
      <c r="A2158" s="7" t="n"/>
      <c r="B2158" s="75" t="n"/>
      <c r="C2158" s="7" t="n"/>
      <c r="D2158" s="7" t="n"/>
      <c r="E2158" s="9">
        <f>IF(D2158="","",IFERROR(INDEX('Équipements'!$B$5:$B$304,MATCH(D2158,'Équipements'!$A$5:$A$304,0)),"Code inconnu"))</f>
        <v/>
      </c>
      <c r="F2158" s="9">
        <f>IF(D2158="","",IFERROR(INDEX('Équipements'!$D$5:$D$304,MATCH(D2158,'Équipements'!$A$5:$A$304,0)),""))</f>
        <v/>
      </c>
      <c r="G2158" s="9">
        <f>IF(D2158="","",IFERROR(INDEX('Équipements'!$K$5:$K$304,MATCH(D2158,'Équipements'!$A$5:$A$304,0)),""))</f>
        <v/>
      </c>
      <c r="H2158" s="7" t="n"/>
      <c r="I2158" s="7" t="n"/>
      <c r="J2158" s="7" t="n"/>
      <c r="K2158" s="7" t="n"/>
      <c r="L2158" s="7" t="n"/>
      <c r="M2158" s="7" t="n"/>
      <c r="N2158" s="7" t="n"/>
      <c r="O2158" s="7" t="n"/>
      <c r="P2158" s="65" t="n"/>
      <c r="Q2158" s="75" t="n"/>
      <c r="R2158" s="75" t="n"/>
      <c r="S2158" s="76" t="n"/>
      <c r="T2158" s="76" t="n"/>
      <c r="U2158" s="70">
        <f>IF($A2158="","",IFERROR(INDEX('Techniciens'!$F$5:$F$44,MATCH(O2158,'Techniciens'!$B$5:$B$44,0)),'Paramètres'!$AA$10))</f>
        <v/>
      </c>
      <c r="V2158" s="70">
        <f>IF($A2158="","",IF(OR(AC2158="Demandé",AC2158="Planifié",AC2158="Annulé"),0,N(T2158)*N(U2158)))</f>
        <v/>
      </c>
      <c r="W2158" s="70">
        <f>IF($A2158="","",SUMIFS('Mouvements stock'!$H$5:$H$3004,'Mouvements stock'!$I$5:$I$3004,$A2158,'Mouvements stock'!$C$5:$C$3004,"Sortie")-SUMIFS('Mouvements stock'!$H$5:$H$3004,'Mouvements stock'!$I$5:$I$3004,$A2158,'Mouvements stock'!$C$5:$C$3004,"Retour"))</f>
        <v/>
      </c>
      <c r="X2158" s="66" t="n"/>
      <c r="Y2158" s="66" t="n"/>
      <c r="Z2158" s="7" t="n"/>
      <c r="AA2158" s="70">
        <f>IF($A2158="","",N(V2158)+N(W2158)+N(X2158)+N(Y2158))</f>
        <v/>
      </c>
      <c r="AB2158" s="70">
        <f>IF($A2158="","",N(S2158)*'Paramètres'!$AA$9*IFERROR(INDEX('Paramètres'!$O$5:$O$7,MATCH(G2158,'Paramètres'!$N$5:$N$7,0)),0))</f>
        <v/>
      </c>
      <c r="AC2158" s="7" t="n"/>
      <c r="AD2158" s="69">
        <f>IF(OR($A2158="",Q2158=""),"",(Q2158-B2158)*24)</f>
        <v/>
      </c>
      <c r="AE2158" s="69">
        <f>IF(OR(Q2158="",R2158=""),"",(R2158-Q2158)*24)</f>
        <v/>
      </c>
      <c r="AF2158" s="77">
        <f>IF(OR($A2158="",B2158=""),"",YEAR(B2158))</f>
        <v/>
      </c>
      <c r="AG2158" s="77">
        <f>IF(OR($A2158="",B2158=""),"",MONTH(B2158))</f>
        <v/>
      </c>
    </row>
    <row r="2159">
      <c r="A2159" s="7" t="n"/>
      <c r="B2159" s="75" t="n"/>
      <c r="C2159" s="7" t="n"/>
      <c r="D2159" s="7" t="n"/>
      <c r="E2159" s="9">
        <f>IF(D2159="","",IFERROR(INDEX('Équipements'!$B$5:$B$304,MATCH(D2159,'Équipements'!$A$5:$A$304,0)),"Code inconnu"))</f>
        <v/>
      </c>
      <c r="F2159" s="9">
        <f>IF(D2159="","",IFERROR(INDEX('Équipements'!$D$5:$D$304,MATCH(D2159,'Équipements'!$A$5:$A$304,0)),""))</f>
        <v/>
      </c>
      <c r="G2159" s="9">
        <f>IF(D2159="","",IFERROR(INDEX('Équipements'!$K$5:$K$304,MATCH(D2159,'Équipements'!$A$5:$A$304,0)),""))</f>
        <v/>
      </c>
      <c r="H2159" s="7" t="n"/>
      <c r="I2159" s="7" t="n"/>
      <c r="J2159" s="7" t="n"/>
      <c r="K2159" s="7" t="n"/>
      <c r="L2159" s="7" t="n"/>
      <c r="M2159" s="7" t="n"/>
      <c r="N2159" s="7" t="n"/>
      <c r="O2159" s="7" t="n"/>
      <c r="P2159" s="65" t="n"/>
      <c r="Q2159" s="75" t="n"/>
      <c r="R2159" s="75" t="n"/>
      <c r="S2159" s="76" t="n"/>
      <c r="T2159" s="76" t="n"/>
      <c r="U2159" s="70">
        <f>IF($A2159="","",IFERROR(INDEX('Techniciens'!$F$5:$F$44,MATCH(O2159,'Techniciens'!$B$5:$B$44,0)),'Paramètres'!$AA$10))</f>
        <v/>
      </c>
      <c r="V2159" s="70">
        <f>IF($A2159="","",IF(OR(AC2159="Demandé",AC2159="Planifié",AC2159="Annulé"),0,N(T2159)*N(U2159)))</f>
        <v/>
      </c>
      <c r="W2159" s="70">
        <f>IF($A2159="","",SUMIFS('Mouvements stock'!$H$5:$H$3004,'Mouvements stock'!$I$5:$I$3004,$A2159,'Mouvements stock'!$C$5:$C$3004,"Sortie")-SUMIFS('Mouvements stock'!$H$5:$H$3004,'Mouvements stock'!$I$5:$I$3004,$A2159,'Mouvements stock'!$C$5:$C$3004,"Retour"))</f>
        <v/>
      </c>
      <c r="X2159" s="66" t="n"/>
      <c r="Y2159" s="66" t="n"/>
      <c r="Z2159" s="7" t="n"/>
      <c r="AA2159" s="70">
        <f>IF($A2159="","",N(V2159)+N(W2159)+N(X2159)+N(Y2159))</f>
        <v/>
      </c>
      <c r="AB2159" s="70">
        <f>IF($A2159="","",N(S2159)*'Paramètres'!$AA$9*IFERROR(INDEX('Paramètres'!$O$5:$O$7,MATCH(G2159,'Paramètres'!$N$5:$N$7,0)),0))</f>
        <v/>
      </c>
      <c r="AC2159" s="7" t="n"/>
      <c r="AD2159" s="69">
        <f>IF(OR($A2159="",Q2159=""),"",(Q2159-B2159)*24)</f>
        <v/>
      </c>
      <c r="AE2159" s="69">
        <f>IF(OR(Q2159="",R2159=""),"",(R2159-Q2159)*24)</f>
        <v/>
      </c>
      <c r="AF2159" s="77">
        <f>IF(OR($A2159="",B2159=""),"",YEAR(B2159))</f>
        <v/>
      </c>
      <c r="AG2159" s="77">
        <f>IF(OR($A2159="",B2159=""),"",MONTH(B2159))</f>
        <v/>
      </c>
    </row>
    <row r="2160">
      <c r="A2160" s="7" t="n"/>
      <c r="B2160" s="75" t="n"/>
      <c r="C2160" s="7" t="n"/>
      <c r="D2160" s="7" t="n"/>
      <c r="E2160" s="9">
        <f>IF(D2160="","",IFERROR(INDEX('Équipements'!$B$5:$B$304,MATCH(D2160,'Équipements'!$A$5:$A$304,0)),"Code inconnu"))</f>
        <v/>
      </c>
      <c r="F2160" s="9">
        <f>IF(D2160="","",IFERROR(INDEX('Équipements'!$D$5:$D$304,MATCH(D2160,'Équipements'!$A$5:$A$304,0)),""))</f>
        <v/>
      </c>
      <c r="G2160" s="9">
        <f>IF(D2160="","",IFERROR(INDEX('Équipements'!$K$5:$K$304,MATCH(D2160,'Équipements'!$A$5:$A$304,0)),""))</f>
        <v/>
      </c>
      <c r="H2160" s="7" t="n"/>
      <c r="I2160" s="7" t="n"/>
      <c r="J2160" s="7" t="n"/>
      <c r="K2160" s="7" t="n"/>
      <c r="L2160" s="7" t="n"/>
      <c r="M2160" s="7" t="n"/>
      <c r="N2160" s="7" t="n"/>
      <c r="O2160" s="7" t="n"/>
      <c r="P2160" s="65" t="n"/>
      <c r="Q2160" s="75" t="n"/>
      <c r="R2160" s="75" t="n"/>
      <c r="S2160" s="76" t="n"/>
      <c r="T2160" s="76" t="n"/>
      <c r="U2160" s="70">
        <f>IF($A2160="","",IFERROR(INDEX('Techniciens'!$F$5:$F$44,MATCH(O2160,'Techniciens'!$B$5:$B$44,0)),'Paramètres'!$AA$10))</f>
        <v/>
      </c>
      <c r="V2160" s="70">
        <f>IF($A2160="","",IF(OR(AC2160="Demandé",AC2160="Planifié",AC2160="Annulé"),0,N(T2160)*N(U2160)))</f>
        <v/>
      </c>
      <c r="W2160" s="70">
        <f>IF($A2160="","",SUMIFS('Mouvements stock'!$H$5:$H$3004,'Mouvements stock'!$I$5:$I$3004,$A2160,'Mouvements stock'!$C$5:$C$3004,"Sortie")-SUMIFS('Mouvements stock'!$H$5:$H$3004,'Mouvements stock'!$I$5:$I$3004,$A2160,'Mouvements stock'!$C$5:$C$3004,"Retour"))</f>
        <v/>
      </c>
      <c r="X2160" s="66" t="n"/>
      <c r="Y2160" s="66" t="n"/>
      <c r="Z2160" s="7" t="n"/>
      <c r="AA2160" s="70">
        <f>IF($A2160="","",N(V2160)+N(W2160)+N(X2160)+N(Y2160))</f>
        <v/>
      </c>
      <c r="AB2160" s="70">
        <f>IF($A2160="","",N(S2160)*'Paramètres'!$AA$9*IFERROR(INDEX('Paramètres'!$O$5:$O$7,MATCH(G2160,'Paramètres'!$N$5:$N$7,0)),0))</f>
        <v/>
      </c>
      <c r="AC2160" s="7" t="n"/>
      <c r="AD2160" s="69">
        <f>IF(OR($A2160="",Q2160=""),"",(Q2160-B2160)*24)</f>
        <v/>
      </c>
      <c r="AE2160" s="69">
        <f>IF(OR(Q2160="",R2160=""),"",(R2160-Q2160)*24)</f>
        <v/>
      </c>
      <c r="AF2160" s="77">
        <f>IF(OR($A2160="",B2160=""),"",YEAR(B2160))</f>
        <v/>
      </c>
      <c r="AG2160" s="77">
        <f>IF(OR($A2160="",B2160=""),"",MONTH(B2160))</f>
        <v/>
      </c>
    </row>
    <row r="2161">
      <c r="A2161" s="7" t="n"/>
      <c r="B2161" s="75" t="n"/>
      <c r="C2161" s="7" t="n"/>
      <c r="D2161" s="7" t="n"/>
      <c r="E2161" s="9">
        <f>IF(D2161="","",IFERROR(INDEX('Équipements'!$B$5:$B$304,MATCH(D2161,'Équipements'!$A$5:$A$304,0)),"Code inconnu"))</f>
        <v/>
      </c>
      <c r="F2161" s="9">
        <f>IF(D2161="","",IFERROR(INDEX('Équipements'!$D$5:$D$304,MATCH(D2161,'Équipements'!$A$5:$A$304,0)),""))</f>
        <v/>
      </c>
      <c r="G2161" s="9">
        <f>IF(D2161="","",IFERROR(INDEX('Équipements'!$K$5:$K$304,MATCH(D2161,'Équipements'!$A$5:$A$304,0)),""))</f>
        <v/>
      </c>
      <c r="H2161" s="7" t="n"/>
      <c r="I2161" s="7" t="n"/>
      <c r="J2161" s="7" t="n"/>
      <c r="K2161" s="7" t="n"/>
      <c r="L2161" s="7" t="n"/>
      <c r="M2161" s="7" t="n"/>
      <c r="N2161" s="7" t="n"/>
      <c r="O2161" s="7" t="n"/>
      <c r="P2161" s="65" t="n"/>
      <c r="Q2161" s="75" t="n"/>
      <c r="R2161" s="75" t="n"/>
      <c r="S2161" s="76" t="n"/>
      <c r="T2161" s="76" t="n"/>
      <c r="U2161" s="70">
        <f>IF($A2161="","",IFERROR(INDEX('Techniciens'!$F$5:$F$44,MATCH(O2161,'Techniciens'!$B$5:$B$44,0)),'Paramètres'!$AA$10))</f>
        <v/>
      </c>
      <c r="V2161" s="70">
        <f>IF($A2161="","",IF(OR(AC2161="Demandé",AC2161="Planifié",AC2161="Annulé"),0,N(T2161)*N(U2161)))</f>
        <v/>
      </c>
      <c r="W2161" s="70">
        <f>IF($A2161="","",SUMIFS('Mouvements stock'!$H$5:$H$3004,'Mouvements stock'!$I$5:$I$3004,$A2161,'Mouvements stock'!$C$5:$C$3004,"Sortie")-SUMIFS('Mouvements stock'!$H$5:$H$3004,'Mouvements stock'!$I$5:$I$3004,$A2161,'Mouvements stock'!$C$5:$C$3004,"Retour"))</f>
        <v/>
      </c>
      <c r="X2161" s="66" t="n"/>
      <c r="Y2161" s="66" t="n"/>
      <c r="Z2161" s="7" t="n"/>
      <c r="AA2161" s="70">
        <f>IF($A2161="","",N(V2161)+N(W2161)+N(X2161)+N(Y2161))</f>
        <v/>
      </c>
      <c r="AB2161" s="70">
        <f>IF($A2161="","",N(S2161)*'Paramètres'!$AA$9*IFERROR(INDEX('Paramètres'!$O$5:$O$7,MATCH(G2161,'Paramètres'!$N$5:$N$7,0)),0))</f>
        <v/>
      </c>
      <c r="AC2161" s="7" t="n"/>
      <c r="AD2161" s="69">
        <f>IF(OR($A2161="",Q2161=""),"",(Q2161-B2161)*24)</f>
        <v/>
      </c>
      <c r="AE2161" s="69">
        <f>IF(OR(Q2161="",R2161=""),"",(R2161-Q2161)*24)</f>
        <v/>
      </c>
      <c r="AF2161" s="77">
        <f>IF(OR($A2161="",B2161=""),"",YEAR(B2161))</f>
        <v/>
      </c>
      <c r="AG2161" s="77">
        <f>IF(OR($A2161="",B2161=""),"",MONTH(B2161))</f>
        <v/>
      </c>
    </row>
    <row r="2162">
      <c r="A2162" s="7" t="n"/>
      <c r="B2162" s="75" t="n"/>
      <c r="C2162" s="7" t="n"/>
      <c r="D2162" s="7" t="n"/>
      <c r="E2162" s="9">
        <f>IF(D2162="","",IFERROR(INDEX('Équipements'!$B$5:$B$304,MATCH(D2162,'Équipements'!$A$5:$A$304,0)),"Code inconnu"))</f>
        <v/>
      </c>
      <c r="F2162" s="9">
        <f>IF(D2162="","",IFERROR(INDEX('Équipements'!$D$5:$D$304,MATCH(D2162,'Équipements'!$A$5:$A$304,0)),""))</f>
        <v/>
      </c>
      <c r="G2162" s="9">
        <f>IF(D2162="","",IFERROR(INDEX('Équipements'!$K$5:$K$304,MATCH(D2162,'Équipements'!$A$5:$A$304,0)),""))</f>
        <v/>
      </c>
      <c r="H2162" s="7" t="n"/>
      <c r="I2162" s="7" t="n"/>
      <c r="J2162" s="7" t="n"/>
      <c r="K2162" s="7" t="n"/>
      <c r="L2162" s="7" t="n"/>
      <c r="M2162" s="7" t="n"/>
      <c r="N2162" s="7" t="n"/>
      <c r="O2162" s="7" t="n"/>
      <c r="P2162" s="65" t="n"/>
      <c r="Q2162" s="75" t="n"/>
      <c r="R2162" s="75" t="n"/>
      <c r="S2162" s="76" t="n"/>
      <c r="T2162" s="76" t="n"/>
      <c r="U2162" s="70">
        <f>IF($A2162="","",IFERROR(INDEX('Techniciens'!$F$5:$F$44,MATCH(O2162,'Techniciens'!$B$5:$B$44,0)),'Paramètres'!$AA$10))</f>
        <v/>
      </c>
      <c r="V2162" s="70">
        <f>IF($A2162="","",IF(OR(AC2162="Demandé",AC2162="Planifié",AC2162="Annulé"),0,N(T2162)*N(U2162)))</f>
        <v/>
      </c>
      <c r="W2162" s="70">
        <f>IF($A2162="","",SUMIFS('Mouvements stock'!$H$5:$H$3004,'Mouvements stock'!$I$5:$I$3004,$A2162,'Mouvements stock'!$C$5:$C$3004,"Sortie")-SUMIFS('Mouvements stock'!$H$5:$H$3004,'Mouvements stock'!$I$5:$I$3004,$A2162,'Mouvements stock'!$C$5:$C$3004,"Retour"))</f>
        <v/>
      </c>
      <c r="X2162" s="66" t="n"/>
      <c r="Y2162" s="66" t="n"/>
      <c r="Z2162" s="7" t="n"/>
      <c r="AA2162" s="70">
        <f>IF($A2162="","",N(V2162)+N(W2162)+N(X2162)+N(Y2162))</f>
        <v/>
      </c>
      <c r="AB2162" s="70">
        <f>IF($A2162="","",N(S2162)*'Paramètres'!$AA$9*IFERROR(INDEX('Paramètres'!$O$5:$O$7,MATCH(G2162,'Paramètres'!$N$5:$N$7,0)),0))</f>
        <v/>
      </c>
      <c r="AC2162" s="7" t="n"/>
      <c r="AD2162" s="69">
        <f>IF(OR($A2162="",Q2162=""),"",(Q2162-B2162)*24)</f>
        <v/>
      </c>
      <c r="AE2162" s="69">
        <f>IF(OR(Q2162="",R2162=""),"",(R2162-Q2162)*24)</f>
        <v/>
      </c>
      <c r="AF2162" s="77">
        <f>IF(OR($A2162="",B2162=""),"",YEAR(B2162))</f>
        <v/>
      </c>
      <c r="AG2162" s="77">
        <f>IF(OR($A2162="",B2162=""),"",MONTH(B2162))</f>
        <v/>
      </c>
    </row>
    <row r="2163">
      <c r="A2163" s="7" t="n"/>
      <c r="B2163" s="75" t="n"/>
      <c r="C2163" s="7" t="n"/>
      <c r="D2163" s="7" t="n"/>
      <c r="E2163" s="9">
        <f>IF(D2163="","",IFERROR(INDEX('Équipements'!$B$5:$B$304,MATCH(D2163,'Équipements'!$A$5:$A$304,0)),"Code inconnu"))</f>
        <v/>
      </c>
      <c r="F2163" s="9">
        <f>IF(D2163="","",IFERROR(INDEX('Équipements'!$D$5:$D$304,MATCH(D2163,'Équipements'!$A$5:$A$304,0)),""))</f>
        <v/>
      </c>
      <c r="G2163" s="9">
        <f>IF(D2163="","",IFERROR(INDEX('Équipements'!$K$5:$K$304,MATCH(D2163,'Équipements'!$A$5:$A$304,0)),""))</f>
        <v/>
      </c>
      <c r="H2163" s="7" t="n"/>
      <c r="I2163" s="7" t="n"/>
      <c r="J2163" s="7" t="n"/>
      <c r="K2163" s="7" t="n"/>
      <c r="L2163" s="7" t="n"/>
      <c r="M2163" s="7" t="n"/>
      <c r="N2163" s="7" t="n"/>
      <c r="O2163" s="7" t="n"/>
      <c r="P2163" s="65" t="n"/>
      <c r="Q2163" s="75" t="n"/>
      <c r="R2163" s="75" t="n"/>
      <c r="S2163" s="76" t="n"/>
      <c r="T2163" s="76" t="n"/>
      <c r="U2163" s="70">
        <f>IF($A2163="","",IFERROR(INDEX('Techniciens'!$F$5:$F$44,MATCH(O2163,'Techniciens'!$B$5:$B$44,0)),'Paramètres'!$AA$10))</f>
        <v/>
      </c>
      <c r="V2163" s="70">
        <f>IF($A2163="","",IF(OR(AC2163="Demandé",AC2163="Planifié",AC2163="Annulé"),0,N(T2163)*N(U2163)))</f>
        <v/>
      </c>
      <c r="W2163" s="70">
        <f>IF($A2163="","",SUMIFS('Mouvements stock'!$H$5:$H$3004,'Mouvements stock'!$I$5:$I$3004,$A2163,'Mouvements stock'!$C$5:$C$3004,"Sortie")-SUMIFS('Mouvements stock'!$H$5:$H$3004,'Mouvements stock'!$I$5:$I$3004,$A2163,'Mouvements stock'!$C$5:$C$3004,"Retour"))</f>
        <v/>
      </c>
      <c r="X2163" s="66" t="n"/>
      <c r="Y2163" s="66" t="n"/>
      <c r="Z2163" s="7" t="n"/>
      <c r="AA2163" s="70">
        <f>IF($A2163="","",N(V2163)+N(W2163)+N(X2163)+N(Y2163))</f>
        <v/>
      </c>
      <c r="AB2163" s="70">
        <f>IF($A2163="","",N(S2163)*'Paramètres'!$AA$9*IFERROR(INDEX('Paramètres'!$O$5:$O$7,MATCH(G2163,'Paramètres'!$N$5:$N$7,0)),0))</f>
        <v/>
      </c>
      <c r="AC2163" s="7" t="n"/>
      <c r="AD2163" s="69">
        <f>IF(OR($A2163="",Q2163=""),"",(Q2163-B2163)*24)</f>
        <v/>
      </c>
      <c r="AE2163" s="69">
        <f>IF(OR(Q2163="",R2163=""),"",(R2163-Q2163)*24)</f>
        <v/>
      </c>
      <c r="AF2163" s="77">
        <f>IF(OR($A2163="",B2163=""),"",YEAR(B2163))</f>
        <v/>
      </c>
      <c r="AG2163" s="77">
        <f>IF(OR($A2163="",B2163=""),"",MONTH(B2163))</f>
        <v/>
      </c>
    </row>
    <row r="2164">
      <c r="A2164" s="7" t="n"/>
      <c r="B2164" s="75" t="n"/>
      <c r="C2164" s="7" t="n"/>
      <c r="D2164" s="7" t="n"/>
      <c r="E2164" s="9">
        <f>IF(D2164="","",IFERROR(INDEX('Équipements'!$B$5:$B$304,MATCH(D2164,'Équipements'!$A$5:$A$304,0)),"Code inconnu"))</f>
        <v/>
      </c>
      <c r="F2164" s="9">
        <f>IF(D2164="","",IFERROR(INDEX('Équipements'!$D$5:$D$304,MATCH(D2164,'Équipements'!$A$5:$A$304,0)),""))</f>
        <v/>
      </c>
      <c r="G2164" s="9">
        <f>IF(D2164="","",IFERROR(INDEX('Équipements'!$K$5:$K$304,MATCH(D2164,'Équipements'!$A$5:$A$304,0)),""))</f>
        <v/>
      </c>
      <c r="H2164" s="7" t="n"/>
      <c r="I2164" s="7" t="n"/>
      <c r="J2164" s="7" t="n"/>
      <c r="K2164" s="7" t="n"/>
      <c r="L2164" s="7" t="n"/>
      <c r="M2164" s="7" t="n"/>
      <c r="N2164" s="7" t="n"/>
      <c r="O2164" s="7" t="n"/>
      <c r="P2164" s="65" t="n"/>
      <c r="Q2164" s="75" t="n"/>
      <c r="R2164" s="75" t="n"/>
      <c r="S2164" s="76" t="n"/>
      <c r="T2164" s="76" t="n"/>
      <c r="U2164" s="70">
        <f>IF($A2164="","",IFERROR(INDEX('Techniciens'!$F$5:$F$44,MATCH(O2164,'Techniciens'!$B$5:$B$44,0)),'Paramètres'!$AA$10))</f>
        <v/>
      </c>
      <c r="V2164" s="70">
        <f>IF($A2164="","",IF(OR(AC2164="Demandé",AC2164="Planifié",AC2164="Annulé"),0,N(T2164)*N(U2164)))</f>
        <v/>
      </c>
      <c r="W2164" s="70">
        <f>IF($A2164="","",SUMIFS('Mouvements stock'!$H$5:$H$3004,'Mouvements stock'!$I$5:$I$3004,$A2164,'Mouvements stock'!$C$5:$C$3004,"Sortie")-SUMIFS('Mouvements stock'!$H$5:$H$3004,'Mouvements stock'!$I$5:$I$3004,$A2164,'Mouvements stock'!$C$5:$C$3004,"Retour"))</f>
        <v/>
      </c>
      <c r="X2164" s="66" t="n"/>
      <c r="Y2164" s="66" t="n"/>
      <c r="Z2164" s="7" t="n"/>
      <c r="AA2164" s="70">
        <f>IF($A2164="","",N(V2164)+N(W2164)+N(X2164)+N(Y2164))</f>
        <v/>
      </c>
      <c r="AB2164" s="70">
        <f>IF($A2164="","",N(S2164)*'Paramètres'!$AA$9*IFERROR(INDEX('Paramètres'!$O$5:$O$7,MATCH(G2164,'Paramètres'!$N$5:$N$7,0)),0))</f>
        <v/>
      </c>
      <c r="AC2164" s="7" t="n"/>
      <c r="AD2164" s="69">
        <f>IF(OR($A2164="",Q2164=""),"",(Q2164-B2164)*24)</f>
        <v/>
      </c>
      <c r="AE2164" s="69">
        <f>IF(OR(Q2164="",R2164=""),"",(R2164-Q2164)*24)</f>
        <v/>
      </c>
      <c r="AF2164" s="77">
        <f>IF(OR($A2164="",B2164=""),"",YEAR(B2164))</f>
        <v/>
      </c>
      <c r="AG2164" s="77">
        <f>IF(OR($A2164="",B2164=""),"",MONTH(B2164))</f>
        <v/>
      </c>
    </row>
    <row r="2165">
      <c r="A2165" s="7" t="n"/>
      <c r="B2165" s="75" t="n"/>
      <c r="C2165" s="7" t="n"/>
      <c r="D2165" s="7" t="n"/>
      <c r="E2165" s="9">
        <f>IF(D2165="","",IFERROR(INDEX('Équipements'!$B$5:$B$304,MATCH(D2165,'Équipements'!$A$5:$A$304,0)),"Code inconnu"))</f>
        <v/>
      </c>
      <c r="F2165" s="9">
        <f>IF(D2165="","",IFERROR(INDEX('Équipements'!$D$5:$D$304,MATCH(D2165,'Équipements'!$A$5:$A$304,0)),""))</f>
        <v/>
      </c>
      <c r="G2165" s="9">
        <f>IF(D2165="","",IFERROR(INDEX('Équipements'!$K$5:$K$304,MATCH(D2165,'Équipements'!$A$5:$A$304,0)),""))</f>
        <v/>
      </c>
      <c r="H2165" s="7" t="n"/>
      <c r="I2165" s="7" t="n"/>
      <c r="J2165" s="7" t="n"/>
      <c r="K2165" s="7" t="n"/>
      <c r="L2165" s="7" t="n"/>
      <c r="M2165" s="7" t="n"/>
      <c r="N2165" s="7" t="n"/>
      <c r="O2165" s="7" t="n"/>
      <c r="P2165" s="65" t="n"/>
      <c r="Q2165" s="75" t="n"/>
      <c r="R2165" s="75" t="n"/>
      <c r="S2165" s="76" t="n"/>
      <c r="T2165" s="76" t="n"/>
      <c r="U2165" s="70">
        <f>IF($A2165="","",IFERROR(INDEX('Techniciens'!$F$5:$F$44,MATCH(O2165,'Techniciens'!$B$5:$B$44,0)),'Paramètres'!$AA$10))</f>
        <v/>
      </c>
      <c r="V2165" s="70">
        <f>IF($A2165="","",IF(OR(AC2165="Demandé",AC2165="Planifié",AC2165="Annulé"),0,N(T2165)*N(U2165)))</f>
        <v/>
      </c>
      <c r="W2165" s="70">
        <f>IF($A2165="","",SUMIFS('Mouvements stock'!$H$5:$H$3004,'Mouvements stock'!$I$5:$I$3004,$A2165,'Mouvements stock'!$C$5:$C$3004,"Sortie")-SUMIFS('Mouvements stock'!$H$5:$H$3004,'Mouvements stock'!$I$5:$I$3004,$A2165,'Mouvements stock'!$C$5:$C$3004,"Retour"))</f>
        <v/>
      </c>
      <c r="X2165" s="66" t="n"/>
      <c r="Y2165" s="66" t="n"/>
      <c r="Z2165" s="7" t="n"/>
      <c r="AA2165" s="70">
        <f>IF($A2165="","",N(V2165)+N(W2165)+N(X2165)+N(Y2165))</f>
        <v/>
      </c>
      <c r="AB2165" s="70">
        <f>IF($A2165="","",N(S2165)*'Paramètres'!$AA$9*IFERROR(INDEX('Paramètres'!$O$5:$O$7,MATCH(G2165,'Paramètres'!$N$5:$N$7,0)),0))</f>
        <v/>
      </c>
      <c r="AC2165" s="7" t="n"/>
      <c r="AD2165" s="69">
        <f>IF(OR($A2165="",Q2165=""),"",(Q2165-B2165)*24)</f>
        <v/>
      </c>
      <c r="AE2165" s="69">
        <f>IF(OR(Q2165="",R2165=""),"",(R2165-Q2165)*24)</f>
        <v/>
      </c>
      <c r="AF2165" s="77">
        <f>IF(OR($A2165="",B2165=""),"",YEAR(B2165))</f>
        <v/>
      </c>
      <c r="AG2165" s="77">
        <f>IF(OR($A2165="",B2165=""),"",MONTH(B2165))</f>
        <v/>
      </c>
    </row>
    <row r="2166">
      <c r="A2166" s="7" t="n"/>
      <c r="B2166" s="75" t="n"/>
      <c r="C2166" s="7" t="n"/>
      <c r="D2166" s="7" t="n"/>
      <c r="E2166" s="9">
        <f>IF(D2166="","",IFERROR(INDEX('Équipements'!$B$5:$B$304,MATCH(D2166,'Équipements'!$A$5:$A$304,0)),"Code inconnu"))</f>
        <v/>
      </c>
      <c r="F2166" s="9">
        <f>IF(D2166="","",IFERROR(INDEX('Équipements'!$D$5:$D$304,MATCH(D2166,'Équipements'!$A$5:$A$304,0)),""))</f>
        <v/>
      </c>
      <c r="G2166" s="9">
        <f>IF(D2166="","",IFERROR(INDEX('Équipements'!$K$5:$K$304,MATCH(D2166,'Équipements'!$A$5:$A$304,0)),""))</f>
        <v/>
      </c>
      <c r="H2166" s="7" t="n"/>
      <c r="I2166" s="7" t="n"/>
      <c r="J2166" s="7" t="n"/>
      <c r="K2166" s="7" t="n"/>
      <c r="L2166" s="7" t="n"/>
      <c r="M2166" s="7" t="n"/>
      <c r="N2166" s="7" t="n"/>
      <c r="O2166" s="7" t="n"/>
      <c r="P2166" s="65" t="n"/>
      <c r="Q2166" s="75" t="n"/>
      <c r="R2166" s="75" t="n"/>
      <c r="S2166" s="76" t="n"/>
      <c r="T2166" s="76" t="n"/>
      <c r="U2166" s="70">
        <f>IF($A2166="","",IFERROR(INDEX('Techniciens'!$F$5:$F$44,MATCH(O2166,'Techniciens'!$B$5:$B$44,0)),'Paramètres'!$AA$10))</f>
        <v/>
      </c>
      <c r="V2166" s="70">
        <f>IF($A2166="","",IF(OR(AC2166="Demandé",AC2166="Planifié",AC2166="Annulé"),0,N(T2166)*N(U2166)))</f>
        <v/>
      </c>
      <c r="W2166" s="70">
        <f>IF($A2166="","",SUMIFS('Mouvements stock'!$H$5:$H$3004,'Mouvements stock'!$I$5:$I$3004,$A2166,'Mouvements stock'!$C$5:$C$3004,"Sortie")-SUMIFS('Mouvements stock'!$H$5:$H$3004,'Mouvements stock'!$I$5:$I$3004,$A2166,'Mouvements stock'!$C$5:$C$3004,"Retour"))</f>
        <v/>
      </c>
      <c r="X2166" s="66" t="n"/>
      <c r="Y2166" s="66" t="n"/>
      <c r="Z2166" s="7" t="n"/>
      <c r="AA2166" s="70">
        <f>IF($A2166="","",N(V2166)+N(W2166)+N(X2166)+N(Y2166))</f>
        <v/>
      </c>
      <c r="AB2166" s="70">
        <f>IF($A2166="","",N(S2166)*'Paramètres'!$AA$9*IFERROR(INDEX('Paramètres'!$O$5:$O$7,MATCH(G2166,'Paramètres'!$N$5:$N$7,0)),0))</f>
        <v/>
      </c>
      <c r="AC2166" s="7" t="n"/>
      <c r="AD2166" s="69">
        <f>IF(OR($A2166="",Q2166=""),"",(Q2166-B2166)*24)</f>
        <v/>
      </c>
      <c r="AE2166" s="69">
        <f>IF(OR(Q2166="",R2166=""),"",(R2166-Q2166)*24)</f>
        <v/>
      </c>
      <c r="AF2166" s="77">
        <f>IF(OR($A2166="",B2166=""),"",YEAR(B2166))</f>
        <v/>
      </c>
      <c r="AG2166" s="77">
        <f>IF(OR($A2166="",B2166=""),"",MONTH(B2166))</f>
        <v/>
      </c>
    </row>
    <row r="2167">
      <c r="A2167" s="7" t="n"/>
      <c r="B2167" s="75" t="n"/>
      <c r="C2167" s="7" t="n"/>
      <c r="D2167" s="7" t="n"/>
      <c r="E2167" s="9">
        <f>IF(D2167="","",IFERROR(INDEX('Équipements'!$B$5:$B$304,MATCH(D2167,'Équipements'!$A$5:$A$304,0)),"Code inconnu"))</f>
        <v/>
      </c>
      <c r="F2167" s="9">
        <f>IF(D2167="","",IFERROR(INDEX('Équipements'!$D$5:$D$304,MATCH(D2167,'Équipements'!$A$5:$A$304,0)),""))</f>
        <v/>
      </c>
      <c r="G2167" s="9">
        <f>IF(D2167="","",IFERROR(INDEX('Équipements'!$K$5:$K$304,MATCH(D2167,'Équipements'!$A$5:$A$304,0)),""))</f>
        <v/>
      </c>
      <c r="H2167" s="7" t="n"/>
      <c r="I2167" s="7" t="n"/>
      <c r="J2167" s="7" t="n"/>
      <c r="K2167" s="7" t="n"/>
      <c r="L2167" s="7" t="n"/>
      <c r="M2167" s="7" t="n"/>
      <c r="N2167" s="7" t="n"/>
      <c r="O2167" s="7" t="n"/>
      <c r="P2167" s="65" t="n"/>
      <c r="Q2167" s="75" t="n"/>
      <c r="R2167" s="75" t="n"/>
      <c r="S2167" s="76" t="n"/>
      <c r="T2167" s="76" t="n"/>
      <c r="U2167" s="70">
        <f>IF($A2167="","",IFERROR(INDEX('Techniciens'!$F$5:$F$44,MATCH(O2167,'Techniciens'!$B$5:$B$44,0)),'Paramètres'!$AA$10))</f>
        <v/>
      </c>
      <c r="V2167" s="70">
        <f>IF($A2167="","",IF(OR(AC2167="Demandé",AC2167="Planifié",AC2167="Annulé"),0,N(T2167)*N(U2167)))</f>
        <v/>
      </c>
      <c r="W2167" s="70">
        <f>IF($A2167="","",SUMIFS('Mouvements stock'!$H$5:$H$3004,'Mouvements stock'!$I$5:$I$3004,$A2167,'Mouvements stock'!$C$5:$C$3004,"Sortie")-SUMIFS('Mouvements stock'!$H$5:$H$3004,'Mouvements stock'!$I$5:$I$3004,$A2167,'Mouvements stock'!$C$5:$C$3004,"Retour"))</f>
        <v/>
      </c>
      <c r="X2167" s="66" t="n"/>
      <c r="Y2167" s="66" t="n"/>
      <c r="Z2167" s="7" t="n"/>
      <c r="AA2167" s="70">
        <f>IF($A2167="","",N(V2167)+N(W2167)+N(X2167)+N(Y2167))</f>
        <v/>
      </c>
      <c r="AB2167" s="70">
        <f>IF($A2167="","",N(S2167)*'Paramètres'!$AA$9*IFERROR(INDEX('Paramètres'!$O$5:$O$7,MATCH(G2167,'Paramètres'!$N$5:$N$7,0)),0))</f>
        <v/>
      </c>
      <c r="AC2167" s="7" t="n"/>
      <c r="AD2167" s="69">
        <f>IF(OR($A2167="",Q2167=""),"",(Q2167-B2167)*24)</f>
        <v/>
      </c>
      <c r="AE2167" s="69">
        <f>IF(OR(Q2167="",R2167=""),"",(R2167-Q2167)*24)</f>
        <v/>
      </c>
      <c r="AF2167" s="77">
        <f>IF(OR($A2167="",B2167=""),"",YEAR(B2167))</f>
        <v/>
      </c>
      <c r="AG2167" s="77">
        <f>IF(OR($A2167="",B2167=""),"",MONTH(B2167))</f>
        <v/>
      </c>
    </row>
    <row r="2168">
      <c r="A2168" s="7" t="n"/>
      <c r="B2168" s="75" t="n"/>
      <c r="C2168" s="7" t="n"/>
      <c r="D2168" s="7" t="n"/>
      <c r="E2168" s="9">
        <f>IF(D2168="","",IFERROR(INDEX('Équipements'!$B$5:$B$304,MATCH(D2168,'Équipements'!$A$5:$A$304,0)),"Code inconnu"))</f>
        <v/>
      </c>
      <c r="F2168" s="9">
        <f>IF(D2168="","",IFERROR(INDEX('Équipements'!$D$5:$D$304,MATCH(D2168,'Équipements'!$A$5:$A$304,0)),""))</f>
        <v/>
      </c>
      <c r="G2168" s="9">
        <f>IF(D2168="","",IFERROR(INDEX('Équipements'!$K$5:$K$304,MATCH(D2168,'Équipements'!$A$5:$A$304,0)),""))</f>
        <v/>
      </c>
      <c r="H2168" s="7" t="n"/>
      <c r="I2168" s="7" t="n"/>
      <c r="J2168" s="7" t="n"/>
      <c r="K2168" s="7" t="n"/>
      <c r="L2168" s="7" t="n"/>
      <c r="M2168" s="7" t="n"/>
      <c r="N2168" s="7" t="n"/>
      <c r="O2168" s="7" t="n"/>
      <c r="P2168" s="65" t="n"/>
      <c r="Q2168" s="75" t="n"/>
      <c r="R2168" s="75" t="n"/>
      <c r="S2168" s="76" t="n"/>
      <c r="T2168" s="76" t="n"/>
      <c r="U2168" s="70">
        <f>IF($A2168="","",IFERROR(INDEX('Techniciens'!$F$5:$F$44,MATCH(O2168,'Techniciens'!$B$5:$B$44,0)),'Paramètres'!$AA$10))</f>
        <v/>
      </c>
      <c r="V2168" s="70">
        <f>IF($A2168="","",IF(OR(AC2168="Demandé",AC2168="Planifié",AC2168="Annulé"),0,N(T2168)*N(U2168)))</f>
        <v/>
      </c>
      <c r="W2168" s="70">
        <f>IF($A2168="","",SUMIFS('Mouvements stock'!$H$5:$H$3004,'Mouvements stock'!$I$5:$I$3004,$A2168,'Mouvements stock'!$C$5:$C$3004,"Sortie")-SUMIFS('Mouvements stock'!$H$5:$H$3004,'Mouvements stock'!$I$5:$I$3004,$A2168,'Mouvements stock'!$C$5:$C$3004,"Retour"))</f>
        <v/>
      </c>
      <c r="X2168" s="66" t="n"/>
      <c r="Y2168" s="66" t="n"/>
      <c r="Z2168" s="7" t="n"/>
      <c r="AA2168" s="70">
        <f>IF($A2168="","",N(V2168)+N(W2168)+N(X2168)+N(Y2168))</f>
        <v/>
      </c>
      <c r="AB2168" s="70">
        <f>IF($A2168="","",N(S2168)*'Paramètres'!$AA$9*IFERROR(INDEX('Paramètres'!$O$5:$O$7,MATCH(G2168,'Paramètres'!$N$5:$N$7,0)),0))</f>
        <v/>
      </c>
      <c r="AC2168" s="7" t="n"/>
      <c r="AD2168" s="69">
        <f>IF(OR($A2168="",Q2168=""),"",(Q2168-B2168)*24)</f>
        <v/>
      </c>
      <c r="AE2168" s="69">
        <f>IF(OR(Q2168="",R2168=""),"",(R2168-Q2168)*24)</f>
        <v/>
      </c>
      <c r="AF2168" s="77">
        <f>IF(OR($A2168="",B2168=""),"",YEAR(B2168))</f>
        <v/>
      </c>
      <c r="AG2168" s="77">
        <f>IF(OR($A2168="",B2168=""),"",MONTH(B2168))</f>
        <v/>
      </c>
    </row>
    <row r="2169">
      <c r="A2169" s="7" t="n"/>
      <c r="B2169" s="75" t="n"/>
      <c r="C2169" s="7" t="n"/>
      <c r="D2169" s="7" t="n"/>
      <c r="E2169" s="9">
        <f>IF(D2169="","",IFERROR(INDEX('Équipements'!$B$5:$B$304,MATCH(D2169,'Équipements'!$A$5:$A$304,0)),"Code inconnu"))</f>
        <v/>
      </c>
      <c r="F2169" s="9">
        <f>IF(D2169="","",IFERROR(INDEX('Équipements'!$D$5:$D$304,MATCH(D2169,'Équipements'!$A$5:$A$304,0)),""))</f>
        <v/>
      </c>
      <c r="G2169" s="9">
        <f>IF(D2169="","",IFERROR(INDEX('Équipements'!$K$5:$K$304,MATCH(D2169,'Équipements'!$A$5:$A$304,0)),""))</f>
        <v/>
      </c>
      <c r="H2169" s="7" t="n"/>
      <c r="I2169" s="7" t="n"/>
      <c r="J2169" s="7" t="n"/>
      <c r="K2169" s="7" t="n"/>
      <c r="L2169" s="7" t="n"/>
      <c r="M2169" s="7" t="n"/>
      <c r="N2169" s="7" t="n"/>
      <c r="O2169" s="7" t="n"/>
      <c r="P2169" s="65" t="n"/>
      <c r="Q2169" s="75" t="n"/>
      <c r="R2169" s="75" t="n"/>
      <c r="S2169" s="76" t="n"/>
      <c r="T2169" s="76" t="n"/>
      <c r="U2169" s="70">
        <f>IF($A2169="","",IFERROR(INDEX('Techniciens'!$F$5:$F$44,MATCH(O2169,'Techniciens'!$B$5:$B$44,0)),'Paramètres'!$AA$10))</f>
        <v/>
      </c>
      <c r="V2169" s="70">
        <f>IF($A2169="","",IF(OR(AC2169="Demandé",AC2169="Planifié",AC2169="Annulé"),0,N(T2169)*N(U2169)))</f>
        <v/>
      </c>
      <c r="W2169" s="70">
        <f>IF($A2169="","",SUMIFS('Mouvements stock'!$H$5:$H$3004,'Mouvements stock'!$I$5:$I$3004,$A2169,'Mouvements stock'!$C$5:$C$3004,"Sortie")-SUMIFS('Mouvements stock'!$H$5:$H$3004,'Mouvements stock'!$I$5:$I$3004,$A2169,'Mouvements stock'!$C$5:$C$3004,"Retour"))</f>
        <v/>
      </c>
      <c r="X2169" s="66" t="n"/>
      <c r="Y2169" s="66" t="n"/>
      <c r="Z2169" s="7" t="n"/>
      <c r="AA2169" s="70">
        <f>IF($A2169="","",N(V2169)+N(W2169)+N(X2169)+N(Y2169))</f>
        <v/>
      </c>
      <c r="AB2169" s="70">
        <f>IF($A2169="","",N(S2169)*'Paramètres'!$AA$9*IFERROR(INDEX('Paramètres'!$O$5:$O$7,MATCH(G2169,'Paramètres'!$N$5:$N$7,0)),0))</f>
        <v/>
      </c>
      <c r="AC2169" s="7" t="n"/>
      <c r="AD2169" s="69">
        <f>IF(OR($A2169="",Q2169=""),"",(Q2169-B2169)*24)</f>
        <v/>
      </c>
      <c r="AE2169" s="69">
        <f>IF(OR(Q2169="",R2169=""),"",(R2169-Q2169)*24)</f>
        <v/>
      </c>
      <c r="AF2169" s="77">
        <f>IF(OR($A2169="",B2169=""),"",YEAR(B2169))</f>
        <v/>
      </c>
      <c r="AG2169" s="77">
        <f>IF(OR($A2169="",B2169=""),"",MONTH(B2169))</f>
        <v/>
      </c>
    </row>
    <row r="2170">
      <c r="A2170" s="7" t="n"/>
      <c r="B2170" s="75" t="n"/>
      <c r="C2170" s="7" t="n"/>
      <c r="D2170" s="7" t="n"/>
      <c r="E2170" s="9">
        <f>IF(D2170="","",IFERROR(INDEX('Équipements'!$B$5:$B$304,MATCH(D2170,'Équipements'!$A$5:$A$304,0)),"Code inconnu"))</f>
        <v/>
      </c>
      <c r="F2170" s="9">
        <f>IF(D2170="","",IFERROR(INDEX('Équipements'!$D$5:$D$304,MATCH(D2170,'Équipements'!$A$5:$A$304,0)),""))</f>
        <v/>
      </c>
      <c r="G2170" s="9">
        <f>IF(D2170="","",IFERROR(INDEX('Équipements'!$K$5:$K$304,MATCH(D2170,'Équipements'!$A$5:$A$304,0)),""))</f>
        <v/>
      </c>
      <c r="H2170" s="7" t="n"/>
      <c r="I2170" s="7" t="n"/>
      <c r="J2170" s="7" t="n"/>
      <c r="K2170" s="7" t="n"/>
      <c r="L2170" s="7" t="n"/>
      <c r="M2170" s="7" t="n"/>
      <c r="N2170" s="7" t="n"/>
      <c r="O2170" s="7" t="n"/>
      <c r="P2170" s="65" t="n"/>
      <c r="Q2170" s="75" t="n"/>
      <c r="R2170" s="75" t="n"/>
      <c r="S2170" s="76" t="n"/>
      <c r="T2170" s="76" t="n"/>
      <c r="U2170" s="70">
        <f>IF($A2170="","",IFERROR(INDEX('Techniciens'!$F$5:$F$44,MATCH(O2170,'Techniciens'!$B$5:$B$44,0)),'Paramètres'!$AA$10))</f>
        <v/>
      </c>
      <c r="V2170" s="70">
        <f>IF($A2170="","",IF(OR(AC2170="Demandé",AC2170="Planifié",AC2170="Annulé"),0,N(T2170)*N(U2170)))</f>
        <v/>
      </c>
      <c r="W2170" s="70">
        <f>IF($A2170="","",SUMIFS('Mouvements stock'!$H$5:$H$3004,'Mouvements stock'!$I$5:$I$3004,$A2170,'Mouvements stock'!$C$5:$C$3004,"Sortie")-SUMIFS('Mouvements stock'!$H$5:$H$3004,'Mouvements stock'!$I$5:$I$3004,$A2170,'Mouvements stock'!$C$5:$C$3004,"Retour"))</f>
        <v/>
      </c>
      <c r="X2170" s="66" t="n"/>
      <c r="Y2170" s="66" t="n"/>
      <c r="Z2170" s="7" t="n"/>
      <c r="AA2170" s="70">
        <f>IF($A2170="","",N(V2170)+N(W2170)+N(X2170)+N(Y2170))</f>
        <v/>
      </c>
      <c r="AB2170" s="70">
        <f>IF($A2170="","",N(S2170)*'Paramètres'!$AA$9*IFERROR(INDEX('Paramètres'!$O$5:$O$7,MATCH(G2170,'Paramètres'!$N$5:$N$7,0)),0))</f>
        <v/>
      </c>
      <c r="AC2170" s="7" t="n"/>
      <c r="AD2170" s="69">
        <f>IF(OR($A2170="",Q2170=""),"",(Q2170-B2170)*24)</f>
        <v/>
      </c>
      <c r="AE2170" s="69">
        <f>IF(OR(Q2170="",R2170=""),"",(R2170-Q2170)*24)</f>
        <v/>
      </c>
      <c r="AF2170" s="77">
        <f>IF(OR($A2170="",B2170=""),"",YEAR(B2170))</f>
        <v/>
      </c>
      <c r="AG2170" s="77">
        <f>IF(OR($A2170="",B2170=""),"",MONTH(B2170))</f>
        <v/>
      </c>
    </row>
    <row r="2171">
      <c r="A2171" s="7" t="n"/>
      <c r="B2171" s="75" t="n"/>
      <c r="C2171" s="7" t="n"/>
      <c r="D2171" s="7" t="n"/>
      <c r="E2171" s="9">
        <f>IF(D2171="","",IFERROR(INDEX('Équipements'!$B$5:$B$304,MATCH(D2171,'Équipements'!$A$5:$A$304,0)),"Code inconnu"))</f>
        <v/>
      </c>
      <c r="F2171" s="9">
        <f>IF(D2171="","",IFERROR(INDEX('Équipements'!$D$5:$D$304,MATCH(D2171,'Équipements'!$A$5:$A$304,0)),""))</f>
        <v/>
      </c>
      <c r="G2171" s="9">
        <f>IF(D2171="","",IFERROR(INDEX('Équipements'!$K$5:$K$304,MATCH(D2171,'Équipements'!$A$5:$A$304,0)),""))</f>
        <v/>
      </c>
      <c r="H2171" s="7" t="n"/>
      <c r="I2171" s="7" t="n"/>
      <c r="J2171" s="7" t="n"/>
      <c r="K2171" s="7" t="n"/>
      <c r="L2171" s="7" t="n"/>
      <c r="M2171" s="7" t="n"/>
      <c r="N2171" s="7" t="n"/>
      <c r="O2171" s="7" t="n"/>
      <c r="P2171" s="65" t="n"/>
      <c r="Q2171" s="75" t="n"/>
      <c r="R2171" s="75" t="n"/>
      <c r="S2171" s="76" t="n"/>
      <c r="T2171" s="76" t="n"/>
      <c r="U2171" s="70">
        <f>IF($A2171="","",IFERROR(INDEX('Techniciens'!$F$5:$F$44,MATCH(O2171,'Techniciens'!$B$5:$B$44,0)),'Paramètres'!$AA$10))</f>
        <v/>
      </c>
      <c r="V2171" s="70">
        <f>IF($A2171="","",IF(OR(AC2171="Demandé",AC2171="Planifié",AC2171="Annulé"),0,N(T2171)*N(U2171)))</f>
        <v/>
      </c>
      <c r="W2171" s="70">
        <f>IF($A2171="","",SUMIFS('Mouvements stock'!$H$5:$H$3004,'Mouvements stock'!$I$5:$I$3004,$A2171,'Mouvements stock'!$C$5:$C$3004,"Sortie")-SUMIFS('Mouvements stock'!$H$5:$H$3004,'Mouvements stock'!$I$5:$I$3004,$A2171,'Mouvements stock'!$C$5:$C$3004,"Retour"))</f>
        <v/>
      </c>
      <c r="X2171" s="66" t="n"/>
      <c r="Y2171" s="66" t="n"/>
      <c r="Z2171" s="7" t="n"/>
      <c r="AA2171" s="70">
        <f>IF($A2171="","",N(V2171)+N(W2171)+N(X2171)+N(Y2171))</f>
        <v/>
      </c>
      <c r="AB2171" s="70">
        <f>IF($A2171="","",N(S2171)*'Paramètres'!$AA$9*IFERROR(INDEX('Paramètres'!$O$5:$O$7,MATCH(G2171,'Paramètres'!$N$5:$N$7,0)),0))</f>
        <v/>
      </c>
      <c r="AC2171" s="7" t="n"/>
      <c r="AD2171" s="69">
        <f>IF(OR($A2171="",Q2171=""),"",(Q2171-B2171)*24)</f>
        <v/>
      </c>
      <c r="AE2171" s="69">
        <f>IF(OR(Q2171="",R2171=""),"",(R2171-Q2171)*24)</f>
        <v/>
      </c>
      <c r="AF2171" s="77">
        <f>IF(OR($A2171="",B2171=""),"",YEAR(B2171))</f>
        <v/>
      </c>
      <c r="AG2171" s="77">
        <f>IF(OR($A2171="",B2171=""),"",MONTH(B2171))</f>
        <v/>
      </c>
    </row>
    <row r="2172">
      <c r="A2172" s="7" t="n"/>
      <c r="B2172" s="75" t="n"/>
      <c r="C2172" s="7" t="n"/>
      <c r="D2172" s="7" t="n"/>
      <c r="E2172" s="9">
        <f>IF(D2172="","",IFERROR(INDEX('Équipements'!$B$5:$B$304,MATCH(D2172,'Équipements'!$A$5:$A$304,0)),"Code inconnu"))</f>
        <v/>
      </c>
      <c r="F2172" s="9">
        <f>IF(D2172="","",IFERROR(INDEX('Équipements'!$D$5:$D$304,MATCH(D2172,'Équipements'!$A$5:$A$304,0)),""))</f>
        <v/>
      </c>
      <c r="G2172" s="9">
        <f>IF(D2172="","",IFERROR(INDEX('Équipements'!$K$5:$K$304,MATCH(D2172,'Équipements'!$A$5:$A$304,0)),""))</f>
        <v/>
      </c>
      <c r="H2172" s="7" t="n"/>
      <c r="I2172" s="7" t="n"/>
      <c r="J2172" s="7" t="n"/>
      <c r="K2172" s="7" t="n"/>
      <c r="L2172" s="7" t="n"/>
      <c r="M2172" s="7" t="n"/>
      <c r="N2172" s="7" t="n"/>
      <c r="O2172" s="7" t="n"/>
      <c r="P2172" s="65" t="n"/>
      <c r="Q2172" s="75" t="n"/>
      <c r="R2172" s="75" t="n"/>
      <c r="S2172" s="76" t="n"/>
      <c r="T2172" s="76" t="n"/>
      <c r="U2172" s="70">
        <f>IF($A2172="","",IFERROR(INDEX('Techniciens'!$F$5:$F$44,MATCH(O2172,'Techniciens'!$B$5:$B$44,0)),'Paramètres'!$AA$10))</f>
        <v/>
      </c>
      <c r="V2172" s="70">
        <f>IF($A2172="","",IF(OR(AC2172="Demandé",AC2172="Planifié",AC2172="Annulé"),0,N(T2172)*N(U2172)))</f>
        <v/>
      </c>
      <c r="W2172" s="70">
        <f>IF($A2172="","",SUMIFS('Mouvements stock'!$H$5:$H$3004,'Mouvements stock'!$I$5:$I$3004,$A2172,'Mouvements stock'!$C$5:$C$3004,"Sortie")-SUMIFS('Mouvements stock'!$H$5:$H$3004,'Mouvements stock'!$I$5:$I$3004,$A2172,'Mouvements stock'!$C$5:$C$3004,"Retour"))</f>
        <v/>
      </c>
      <c r="X2172" s="66" t="n"/>
      <c r="Y2172" s="66" t="n"/>
      <c r="Z2172" s="7" t="n"/>
      <c r="AA2172" s="70">
        <f>IF($A2172="","",N(V2172)+N(W2172)+N(X2172)+N(Y2172))</f>
        <v/>
      </c>
      <c r="AB2172" s="70">
        <f>IF($A2172="","",N(S2172)*'Paramètres'!$AA$9*IFERROR(INDEX('Paramètres'!$O$5:$O$7,MATCH(G2172,'Paramètres'!$N$5:$N$7,0)),0))</f>
        <v/>
      </c>
      <c r="AC2172" s="7" t="n"/>
      <c r="AD2172" s="69">
        <f>IF(OR($A2172="",Q2172=""),"",(Q2172-B2172)*24)</f>
        <v/>
      </c>
      <c r="AE2172" s="69">
        <f>IF(OR(Q2172="",R2172=""),"",(R2172-Q2172)*24)</f>
        <v/>
      </c>
      <c r="AF2172" s="77">
        <f>IF(OR($A2172="",B2172=""),"",YEAR(B2172))</f>
        <v/>
      </c>
      <c r="AG2172" s="77">
        <f>IF(OR($A2172="",B2172=""),"",MONTH(B2172))</f>
        <v/>
      </c>
    </row>
    <row r="2173">
      <c r="A2173" s="7" t="n"/>
      <c r="B2173" s="75" t="n"/>
      <c r="C2173" s="7" t="n"/>
      <c r="D2173" s="7" t="n"/>
      <c r="E2173" s="9">
        <f>IF(D2173="","",IFERROR(INDEX('Équipements'!$B$5:$B$304,MATCH(D2173,'Équipements'!$A$5:$A$304,0)),"Code inconnu"))</f>
        <v/>
      </c>
      <c r="F2173" s="9">
        <f>IF(D2173="","",IFERROR(INDEX('Équipements'!$D$5:$D$304,MATCH(D2173,'Équipements'!$A$5:$A$304,0)),""))</f>
        <v/>
      </c>
      <c r="G2173" s="9">
        <f>IF(D2173="","",IFERROR(INDEX('Équipements'!$K$5:$K$304,MATCH(D2173,'Équipements'!$A$5:$A$304,0)),""))</f>
        <v/>
      </c>
      <c r="H2173" s="7" t="n"/>
      <c r="I2173" s="7" t="n"/>
      <c r="J2173" s="7" t="n"/>
      <c r="K2173" s="7" t="n"/>
      <c r="L2173" s="7" t="n"/>
      <c r="M2173" s="7" t="n"/>
      <c r="N2173" s="7" t="n"/>
      <c r="O2173" s="7" t="n"/>
      <c r="P2173" s="65" t="n"/>
      <c r="Q2173" s="75" t="n"/>
      <c r="R2173" s="75" t="n"/>
      <c r="S2173" s="76" t="n"/>
      <c r="T2173" s="76" t="n"/>
      <c r="U2173" s="70">
        <f>IF($A2173="","",IFERROR(INDEX('Techniciens'!$F$5:$F$44,MATCH(O2173,'Techniciens'!$B$5:$B$44,0)),'Paramètres'!$AA$10))</f>
        <v/>
      </c>
      <c r="V2173" s="70">
        <f>IF($A2173="","",IF(OR(AC2173="Demandé",AC2173="Planifié",AC2173="Annulé"),0,N(T2173)*N(U2173)))</f>
        <v/>
      </c>
      <c r="W2173" s="70">
        <f>IF($A2173="","",SUMIFS('Mouvements stock'!$H$5:$H$3004,'Mouvements stock'!$I$5:$I$3004,$A2173,'Mouvements stock'!$C$5:$C$3004,"Sortie")-SUMIFS('Mouvements stock'!$H$5:$H$3004,'Mouvements stock'!$I$5:$I$3004,$A2173,'Mouvements stock'!$C$5:$C$3004,"Retour"))</f>
        <v/>
      </c>
      <c r="X2173" s="66" t="n"/>
      <c r="Y2173" s="66" t="n"/>
      <c r="Z2173" s="7" t="n"/>
      <c r="AA2173" s="70">
        <f>IF($A2173="","",N(V2173)+N(W2173)+N(X2173)+N(Y2173))</f>
        <v/>
      </c>
      <c r="AB2173" s="70">
        <f>IF($A2173="","",N(S2173)*'Paramètres'!$AA$9*IFERROR(INDEX('Paramètres'!$O$5:$O$7,MATCH(G2173,'Paramètres'!$N$5:$N$7,0)),0))</f>
        <v/>
      </c>
      <c r="AC2173" s="7" t="n"/>
      <c r="AD2173" s="69">
        <f>IF(OR($A2173="",Q2173=""),"",(Q2173-B2173)*24)</f>
        <v/>
      </c>
      <c r="AE2173" s="69">
        <f>IF(OR(Q2173="",R2173=""),"",(R2173-Q2173)*24)</f>
        <v/>
      </c>
      <c r="AF2173" s="77">
        <f>IF(OR($A2173="",B2173=""),"",YEAR(B2173))</f>
        <v/>
      </c>
      <c r="AG2173" s="77">
        <f>IF(OR($A2173="",B2173=""),"",MONTH(B2173))</f>
        <v/>
      </c>
    </row>
    <row r="2174">
      <c r="A2174" s="7" t="n"/>
      <c r="B2174" s="75" t="n"/>
      <c r="C2174" s="7" t="n"/>
      <c r="D2174" s="7" t="n"/>
      <c r="E2174" s="9">
        <f>IF(D2174="","",IFERROR(INDEX('Équipements'!$B$5:$B$304,MATCH(D2174,'Équipements'!$A$5:$A$304,0)),"Code inconnu"))</f>
        <v/>
      </c>
      <c r="F2174" s="9">
        <f>IF(D2174="","",IFERROR(INDEX('Équipements'!$D$5:$D$304,MATCH(D2174,'Équipements'!$A$5:$A$304,0)),""))</f>
        <v/>
      </c>
      <c r="G2174" s="9">
        <f>IF(D2174="","",IFERROR(INDEX('Équipements'!$K$5:$K$304,MATCH(D2174,'Équipements'!$A$5:$A$304,0)),""))</f>
        <v/>
      </c>
      <c r="H2174" s="7" t="n"/>
      <c r="I2174" s="7" t="n"/>
      <c r="J2174" s="7" t="n"/>
      <c r="K2174" s="7" t="n"/>
      <c r="L2174" s="7" t="n"/>
      <c r="M2174" s="7" t="n"/>
      <c r="N2174" s="7" t="n"/>
      <c r="O2174" s="7" t="n"/>
      <c r="P2174" s="65" t="n"/>
      <c r="Q2174" s="75" t="n"/>
      <c r="R2174" s="75" t="n"/>
      <c r="S2174" s="76" t="n"/>
      <c r="T2174" s="76" t="n"/>
      <c r="U2174" s="70">
        <f>IF($A2174="","",IFERROR(INDEX('Techniciens'!$F$5:$F$44,MATCH(O2174,'Techniciens'!$B$5:$B$44,0)),'Paramètres'!$AA$10))</f>
        <v/>
      </c>
      <c r="V2174" s="70">
        <f>IF($A2174="","",IF(OR(AC2174="Demandé",AC2174="Planifié",AC2174="Annulé"),0,N(T2174)*N(U2174)))</f>
        <v/>
      </c>
      <c r="W2174" s="70">
        <f>IF($A2174="","",SUMIFS('Mouvements stock'!$H$5:$H$3004,'Mouvements stock'!$I$5:$I$3004,$A2174,'Mouvements stock'!$C$5:$C$3004,"Sortie")-SUMIFS('Mouvements stock'!$H$5:$H$3004,'Mouvements stock'!$I$5:$I$3004,$A2174,'Mouvements stock'!$C$5:$C$3004,"Retour"))</f>
        <v/>
      </c>
      <c r="X2174" s="66" t="n"/>
      <c r="Y2174" s="66" t="n"/>
      <c r="Z2174" s="7" t="n"/>
      <c r="AA2174" s="70">
        <f>IF($A2174="","",N(V2174)+N(W2174)+N(X2174)+N(Y2174))</f>
        <v/>
      </c>
      <c r="AB2174" s="70">
        <f>IF($A2174="","",N(S2174)*'Paramètres'!$AA$9*IFERROR(INDEX('Paramètres'!$O$5:$O$7,MATCH(G2174,'Paramètres'!$N$5:$N$7,0)),0))</f>
        <v/>
      </c>
      <c r="AC2174" s="7" t="n"/>
      <c r="AD2174" s="69">
        <f>IF(OR($A2174="",Q2174=""),"",(Q2174-B2174)*24)</f>
        <v/>
      </c>
      <c r="AE2174" s="69">
        <f>IF(OR(Q2174="",R2174=""),"",(R2174-Q2174)*24)</f>
        <v/>
      </c>
      <c r="AF2174" s="77">
        <f>IF(OR($A2174="",B2174=""),"",YEAR(B2174))</f>
        <v/>
      </c>
      <c r="AG2174" s="77">
        <f>IF(OR($A2174="",B2174=""),"",MONTH(B2174))</f>
        <v/>
      </c>
    </row>
    <row r="2175">
      <c r="A2175" s="7" t="n"/>
      <c r="B2175" s="75" t="n"/>
      <c r="C2175" s="7" t="n"/>
      <c r="D2175" s="7" t="n"/>
      <c r="E2175" s="9">
        <f>IF(D2175="","",IFERROR(INDEX('Équipements'!$B$5:$B$304,MATCH(D2175,'Équipements'!$A$5:$A$304,0)),"Code inconnu"))</f>
        <v/>
      </c>
      <c r="F2175" s="9">
        <f>IF(D2175="","",IFERROR(INDEX('Équipements'!$D$5:$D$304,MATCH(D2175,'Équipements'!$A$5:$A$304,0)),""))</f>
        <v/>
      </c>
      <c r="G2175" s="9">
        <f>IF(D2175="","",IFERROR(INDEX('Équipements'!$K$5:$K$304,MATCH(D2175,'Équipements'!$A$5:$A$304,0)),""))</f>
        <v/>
      </c>
      <c r="H2175" s="7" t="n"/>
      <c r="I2175" s="7" t="n"/>
      <c r="J2175" s="7" t="n"/>
      <c r="K2175" s="7" t="n"/>
      <c r="L2175" s="7" t="n"/>
      <c r="M2175" s="7" t="n"/>
      <c r="N2175" s="7" t="n"/>
      <c r="O2175" s="7" t="n"/>
      <c r="P2175" s="65" t="n"/>
      <c r="Q2175" s="75" t="n"/>
      <c r="R2175" s="75" t="n"/>
      <c r="S2175" s="76" t="n"/>
      <c r="T2175" s="76" t="n"/>
      <c r="U2175" s="70">
        <f>IF($A2175="","",IFERROR(INDEX('Techniciens'!$F$5:$F$44,MATCH(O2175,'Techniciens'!$B$5:$B$44,0)),'Paramètres'!$AA$10))</f>
        <v/>
      </c>
      <c r="V2175" s="70">
        <f>IF($A2175="","",IF(OR(AC2175="Demandé",AC2175="Planifié",AC2175="Annulé"),0,N(T2175)*N(U2175)))</f>
        <v/>
      </c>
      <c r="W2175" s="70">
        <f>IF($A2175="","",SUMIFS('Mouvements stock'!$H$5:$H$3004,'Mouvements stock'!$I$5:$I$3004,$A2175,'Mouvements stock'!$C$5:$C$3004,"Sortie")-SUMIFS('Mouvements stock'!$H$5:$H$3004,'Mouvements stock'!$I$5:$I$3004,$A2175,'Mouvements stock'!$C$5:$C$3004,"Retour"))</f>
        <v/>
      </c>
      <c r="X2175" s="66" t="n"/>
      <c r="Y2175" s="66" t="n"/>
      <c r="Z2175" s="7" t="n"/>
      <c r="AA2175" s="70">
        <f>IF($A2175="","",N(V2175)+N(W2175)+N(X2175)+N(Y2175))</f>
        <v/>
      </c>
      <c r="AB2175" s="70">
        <f>IF($A2175="","",N(S2175)*'Paramètres'!$AA$9*IFERROR(INDEX('Paramètres'!$O$5:$O$7,MATCH(G2175,'Paramètres'!$N$5:$N$7,0)),0))</f>
        <v/>
      </c>
      <c r="AC2175" s="7" t="n"/>
      <c r="AD2175" s="69">
        <f>IF(OR($A2175="",Q2175=""),"",(Q2175-B2175)*24)</f>
        <v/>
      </c>
      <c r="AE2175" s="69">
        <f>IF(OR(Q2175="",R2175=""),"",(R2175-Q2175)*24)</f>
        <v/>
      </c>
      <c r="AF2175" s="77">
        <f>IF(OR($A2175="",B2175=""),"",YEAR(B2175))</f>
        <v/>
      </c>
      <c r="AG2175" s="77">
        <f>IF(OR($A2175="",B2175=""),"",MONTH(B2175))</f>
        <v/>
      </c>
    </row>
    <row r="2176">
      <c r="A2176" s="7" t="n"/>
      <c r="B2176" s="75" t="n"/>
      <c r="C2176" s="7" t="n"/>
      <c r="D2176" s="7" t="n"/>
      <c r="E2176" s="9">
        <f>IF(D2176="","",IFERROR(INDEX('Équipements'!$B$5:$B$304,MATCH(D2176,'Équipements'!$A$5:$A$304,0)),"Code inconnu"))</f>
        <v/>
      </c>
      <c r="F2176" s="9">
        <f>IF(D2176="","",IFERROR(INDEX('Équipements'!$D$5:$D$304,MATCH(D2176,'Équipements'!$A$5:$A$304,0)),""))</f>
        <v/>
      </c>
      <c r="G2176" s="9">
        <f>IF(D2176="","",IFERROR(INDEX('Équipements'!$K$5:$K$304,MATCH(D2176,'Équipements'!$A$5:$A$304,0)),""))</f>
        <v/>
      </c>
      <c r="H2176" s="7" t="n"/>
      <c r="I2176" s="7" t="n"/>
      <c r="J2176" s="7" t="n"/>
      <c r="K2176" s="7" t="n"/>
      <c r="L2176" s="7" t="n"/>
      <c r="M2176" s="7" t="n"/>
      <c r="N2176" s="7" t="n"/>
      <c r="O2176" s="7" t="n"/>
      <c r="P2176" s="65" t="n"/>
      <c r="Q2176" s="75" t="n"/>
      <c r="R2176" s="75" t="n"/>
      <c r="S2176" s="76" t="n"/>
      <c r="T2176" s="76" t="n"/>
      <c r="U2176" s="70">
        <f>IF($A2176="","",IFERROR(INDEX('Techniciens'!$F$5:$F$44,MATCH(O2176,'Techniciens'!$B$5:$B$44,0)),'Paramètres'!$AA$10))</f>
        <v/>
      </c>
      <c r="V2176" s="70">
        <f>IF($A2176="","",IF(OR(AC2176="Demandé",AC2176="Planifié",AC2176="Annulé"),0,N(T2176)*N(U2176)))</f>
        <v/>
      </c>
      <c r="W2176" s="70">
        <f>IF($A2176="","",SUMIFS('Mouvements stock'!$H$5:$H$3004,'Mouvements stock'!$I$5:$I$3004,$A2176,'Mouvements stock'!$C$5:$C$3004,"Sortie")-SUMIFS('Mouvements stock'!$H$5:$H$3004,'Mouvements stock'!$I$5:$I$3004,$A2176,'Mouvements stock'!$C$5:$C$3004,"Retour"))</f>
        <v/>
      </c>
      <c r="X2176" s="66" t="n"/>
      <c r="Y2176" s="66" t="n"/>
      <c r="Z2176" s="7" t="n"/>
      <c r="AA2176" s="70">
        <f>IF($A2176="","",N(V2176)+N(W2176)+N(X2176)+N(Y2176))</f>
        <v/>
      </c>
      <c r="AB2176" s="70">
        <f>IF($A2176="","",N(S2176)*'Paramètres'!$AA$9*IFERROR(INDEX('Paramètres'!$O$5:$O$7,MATCH(G2176,'Paramètres'!$N$5:$N$7,0)),0))</f>
        <v/>
      </c>
      <c r="AC2176" s="7" t="n"/>
      <c r="AD2176" s="69">
        <f>IF(OR($A2176="",Q2176=""),"",(Q2176-B2176)*24)</f>
        <v/>
      </c>
      <c r="AE2176" s="69">
        <f>IF(OR(Q2176="",R2176=""),"",(R2176-Q2176)*24)</f>
        <v/>
      </c>
      <c r="AF2176" s="77">
        <f>IF(OR($A2176="",B2176=""),"",YEAR(B2176))</f>
        <v/>
      </c>
      <c r="AG2176" s="77">
        <f>IF(OR($A2176="",B2176=""),"",MONTH(B2176))</f>
        <v/>
      </c>
    </row>
    <row r="2177">
      <c r="A2177" s="7" t="n"/>
      <c r="B2177" s="75" t="n"/>
      <c r="C2177" s="7" t="n"/>
      <c r="D2177" s="7" t="n"/>
      <c r="E2177" s="9">
        <f>IF(D2177="","",IFERROR(INDEX('Équipements'!$B$5:$B$304,MATCH(D2177,'Équipements'!$A$5:$A$304,0)),"Code inconnu"))</f>
        <v/>
      </c>
      <c r="F2177" s="9">
        <f>IF(D2177="","",IFERROR(INDEX('Équipements'!$D$5:$D$304,MATCH(D2177,'Équipements'!$A$5:$A$304,0)),""))</f>
        <v/>
      </c>
      <c r="G2177" s="9">
        <f>IF(D2177="","",IFERROR(INDEX('Équipements'!$K$5:$K$304,MATCH(D2177,'Équipements'!$A$5:$A$304,0)),""))</f>
        <v/>
      </c>
      <c r="H2177" s="7" t="n"/>
      <c r="I2177" s="7" t="n"/>
      <c r="J2177" s="7" t="n"/>
      <c r="K2177" s="7" t="n"/>
      <c r="L2177" s="7" t="n"/>
      <c r="M2177" s="7" t="n"/>
      <c r="N2177" s="7" t="n"/>
      <c r="O2177" s="7" t="n"/>
      <c r="P2177" s="65" t="n"/>
      <c r="Q2177" s="75" t="n"/>
      <c r="R2177" s="75" t="n"/>
      <c r="S2177" s="76" t="n"/>
      <c r="T2177" s="76" t="n"/>
      <c r="U2177" s="70">
        <f>IF($A2177="","",IFERROR(INDEX('Techniciens'!$F$5:$F$44,MATCH(O2177,'Techniciens'!$B$5:$B$44,0)),'Paramètres'!$AA$10))</f>
        <v/>
      </c>
      <c r="V2177" s="70">
        <f>IF($A2177="","",IF(OR(AC2177="Demandé",AC2177="Planifié",AC2177="Annulé"),0,N(T2177)*N(U2177)))</f>
        <v/>
      </c>
      <c r="W2177" s="70">
        <f>IF($A2177="","",SUMIFS('Mouvements stock'!$H$5:$H$3004,'Mouvements stock'!$I$5:$I$3004,$A2177,'Mouvements stock'!$C$5:$C$3004,"Sortie")-SUMIFS('Mouvements stock'!$H$5:$H$3004,'Mouvements stock'!$I$5:$I$3004,$A2177,'Mouvements stock'!$C$5:$C$3004,"Retour"))</f>
        <v/>
      </c>
      <c r="X2177" s="66" t="n"/>
      <c r="Y2177" s="66" t="n"/>
      <c r="Z2177" s="7" t="n"/>
      <c r="AA2177" s="70">
        <f>IF($A2177="","",N(V2177)+N(W2177)+N(X2177)+N(Y2177))</f>
        <v/>
      </c>
      <c r="AB2177" s="70">
        <f>IF($A2177="","",N(S2177)*'Paramètres'!$AA$9*IFERROR(INDEX('Paramètres'!$O$5:$O$7,MATCH(G2177,'Paramètres'!$N$5:$N$7,0)),0))</f>
        <v/>
      </c>
      <c r="AC2177" s="7" t="n"/>
      <c r="AD2177" s="69">
        <f>IF(OR($A2177="",Q2177=""),"",(Q2177-B2177)*24)</f>
        <v/>
      </c>
      <c r="AE2177" s="69">
        <f>IF(OR(Q2177="",R2177=""),"",(R2177-Q2177)*24)</f>
        <v/>
      </c>
      <c r="AF2177" s="77">
        <f>IF(OR($A2177="",B2177=""),"",YEAR(B2177))</f>
        <v/>
      </c>
      <c r="AG2177" s="77">
        <f>IF(OR($A2177="",B2177=""),"",MONTH(B2177))</f>
        <v/>
      </c>
    </row>
    <row r="2178">
      <c r="A2178" s="7" t="n"/>
      <c r="B2178" s="75" t="n"/>
      <c r="C2178" s="7" t="n"/>
      <c r="D2178" s="7" t="n"/>
      <c r="E2178" s="9">
        <f>IF(D2178="","",IFERROR(INDEX('Équipements'!$B$5:$B$304,MATCH(D2178,'Équipements'!$A$5:$A$304,0)),"Code inconnu"))</f>
        <v/>
      </c>
      <c r="F2178" s="9">
        <f>IF(D2178="","",IFERROR(INDEX('Équipements'!$D$5:$D$304,MATCH(D2178,'Équipements'!$A$5:$A$304,0)),""))</f>
        <v/>
      </c>
      <c r="G2178" s="9">
        <f>IF(D2178="","",IFERROR(INDEX('Équipements'!$K$5:$K$304,MATCH(D2178,'Équipements'!$A$5:$A$304,0)),""))</f>
        <v/>
      </c>
      <c r="H2178" s="7" t="n"/>
      <c r="I2178" s="7" t="n"/>
      <c r="J2178" s="7" t="n"/>
      <c r="K2178" s="7" t="n"/>
      <c r="L2178" s="7" t="n"/>
      <c r="M2178" s="7" t="n"/>
      <c r="N2178" s="7" t="n"/>
      <c r="O2178" s="7" t="n"/>
      <c r="P2178" s="65" t="n"/>
      <c r="Q2178" s="75" t="n"/>
      <c r="R2178" s="75" t="n"/>
      <c r="S2178" s="76" t="n"/>
      <c r="T2178" s="76" t="n"/>
      <c r="U2178" s="70">
        <f>IF($A2178="","",IFERROR(INDEX('Techniciens'!$F$5:$F$44,MATCH(O2178,'Techniciens'!$B$5:$B$44,0)),'Paramètres'!$AA$10))</f>
        <v/>
      </c>
      <c r="V2178" s="70">
        <f>IF($A2178="","",IF(OR(AC2178="Demandé",AC2178="Planifié",AC2178="Annulé"),0,N(T2178)*N(U2178)))</f>
        <v/>
      </c>
      <c r="W2178" s="70">
        <f>IF($A2178="","",SUMIFS('Mouvements stock'!$H$5:$H$3004,'Mouvements stock'!$I$5:$I$3004,$A2178,'Mouvements stock'!$C$5:$C$3004,"Sortie")-SUMIFS('Mouvements stock'!$H$5:$H$3004,'Mouvements stock'!$I$5:$I$3004,$A2178,'Mouvements stock'!$C$5:$C$3004,"Retour"))</f>
        <v/>
      </c>
      <c r="X2178" s="66" t="n"/>
      <c r="Y2178" s="66" t="n"/>
      <c r="Z2178" s="7" t="n"/>
      <c r="AA2178" s="70">
        <f>IF($A2178="","",N(V2178)+N(W2178)+N(X2178)+N(Y2178))</f>
        <v/>
      </c>
      <c r="AB2178" s="70">
        <f>IF($A2178="","",N(S2178)*'Paramètres'!$AA$9*IFERROR(INDEX('Paramètres'!$O$5:$O$7,MATCH(G2178,'Paramètres'!$N$5:$N$7,0)),0))</f>
        <v/>
      </c>
      <c r="AC2178" s="7" t="n"/>
      <c r="AD2178" s="69">
        <f>IF(OR($A2178="",Q2178=""),"",(Q2178-B2178)*24)</f>
        <v/>
      </c>
      <c r="AE2178" s="69">
        <f>IF(OR(Q2178="",R2178=""),"",(R2178-Q2178)*24)</f>
        <v/>
      </c>
      <c r="AF2178" s="77">
        <f>IF(OR($A2178="",B2178=""),"",YEAR(B2178))</f>
        <v/>
      </c>
      <c r="AG2178" s="77">
        <f>IF(OR($A2178="",B2178=""),"",MONTH(B2178))</f>
        <v/>
      </c>
    </row>
    <row r="2179">
      <c r="A2179" s="7" t="n"/>
      <c r="B2179" s="75" t="n"/>
      <c r="C2179" s="7" t="n"/>
      <c r="D2179" s="7" t="n"/>
      <c r="E2179" s="9">
        <f>IF(D2179="","",IFERROR(INDEX('Équipements'!$B$5:$B$304,MATCH(D2179,'Équipements'!$A$5:$A$304,0)),"Code inconnu"))</f>
        <v/>
      </c>
      <c r="F2179" s="9">
        <f>IF(D2179="","",IFERROR(INDEX('Équipements'!$D$5:$D$304,MATCH(D2179,'Équipements'!$A$5:$A$304,0)),""))</f>
        <v/>
      </c>
      <c r="G2179" s="9">
        <f>IF(D2179="","",IFERROR(INDEX('Équipements'!$K$5:$K$304,MATCH(D2179,'Équipements'!$A$5:$A$304,0)),""))</f>
        <v/>
      </c>
      <c r="H2179" s="7" t="n"/>
      <c r="I2179" s="7" t="n"/>
      <c r="J2179" s="7" t="n"/>
      <c r="K2179" s="7" t="n"/>
      <c r="L2179" s="7" t="n"/>
      <c r="M2179" s="7" t="n"/>
      <c r="N2179" s="7" t="n"/>
      <c r="O2179" s="7" t="n"/>
      <c r="P2179" s="65" t="n"/>
      <c r="Q2179" s="75" t="n"/>
      <c r="R2179" s="75" t="n"/>
      <c r="S2179" s="76" t="n"/>
      <c r="T2179" s="76" t="n"/>
      <c r="U2179" s="70">
        <f>IF($A2179="","",IFERROR(INDEX('Techniciens'!$F$5:$F$44,MATCH(O2179,'Techniciens'!$B$5:$B$44,0)),'Paramètres'!$AA$10))</f>
        <v/>
      </c>
      <c r="V2179" s="70">
        <f>IF($A2179="","",IF(OR(AC2179="Demandé",AC2179="Planifié",AC2179="Annulé"),0,N(T2179)*N(U2179)))</f>
        <v/>
      </c>
      <c r="W2179" s="70">
        <f>IF($A2179="","",SUMIFS('Mouvements stock'!$H$5:$H$3004,'Mouvements stock'!$I$5:$I$3004,$A2179,'Mouvements stock'!$C$5:$C$3004,"Sortie")-SUMIFS('Mouvements stock'!$H$5:$H$3004,'Mouvements stock'!$I$5:$I$3004,$A2179,'Mouvements stock'!$C$5:$C$3004,"Retour"))</f>
        <v/>
      </c>
      <c r="X2179" s="66" t="n"/>
      <c r="Y2179" s="66" t="n"/>
      <c r="Z2179" s="7" t="n"/>
      <c r="AA2179" s="70">
        <f>IF($A2179="","",N(V2179)+N(W2179)+N(X2179)+N(Y2179))</f>
        <v/>
      </c>
      <c r="AB2179" s="70">
        <f>IF($A2179="","",N(S2179)*'Paramètres'!$AA$9*IFERROR(INDEX('Paramètres'!$O$5:$O$7,MATCH(G2179,'Paramètres'!$N$5:$N$7,0)),0))</f>
        <v/>
      </c>
      <c r="AC2179" s="7" t="n"/>
      <c r="AD2179" s="69">
        <f>IF(OR($A2179="",Q2179=""),"",(Q2179-B2179)*24)</f>
        <v/>
      </c>
      <c r="AE2179" s="69">
        <f>IF(OR(Q2179="",R2179=""),"",(R2179-Q2179)*24)</f>
        <v/>
      </c>
      <c r="AF2179" s="77">
        <f>IF(OR($A2179="",B2179=""),"",YEAR(B2179))</f>
        <v/>
      </c>
      <c r="AG2179" s="77">
        <f>IF(OR($A2179="",B2179=""),"",MONTH(B2179))</f>
        <v/>
      </c>
    </row>
    <row r="2180">
      <c r="A2180" s="7" t="n"/>
      <c r="B2180" s="75" t="n"/>
      <c r="C2180" s="7" t="n"/>
      <c r="D2180" s="7" t="n"/>
      <c r="E2180" s="9">
        <f>IF(D2180="","",IFERROR(INDEX('Équipements'!$B$5:$B$304,MATCH(D2180,'Équipements'!$A$5:$A$304,0)),"Code inconnu"))</f>
        <v/>
      </c>
      <c r="F2180" s="9">
        <f>IF(D2180="","",IFERROR(INDEX('Équipements'!$D$5:$D$304,MATCH(D2180,'Équipements'!$A$5:$A$304,0)),""))</f>
        <v/>
      </c>
      <c r="G2180" s="9">
        <f>IF(D2180="","",IFERROR(INDEX('Équipements'!$K$5:$K$304,MATCH(D2180,'Équipements'!$A$5:$A$304,0)),""))</f>
        <v/>
      </c>
      <c r="H2180" s="7" t="n"/>
      <c r="I2180" s="7" t="n"/>
      <c r="J2180" s="7" t="n"/>
      <c r="K2180" s="7" t="n"/>
      <c r="L2180" s="7" t="n"/>
      <c r="M2180" s="7" t="n"/>
      <c r="N2180" s="7" t="n"/>
      <c r="O2180" s="7" t="n"/>
      <c r="P2180" s="65" t="n"/>
      <c r="Q2180" s="75" t="n"/>
      <c r="R2180" s="75" t="n"/>
      <c r="S2180" s="76" t="n"/>
      <c r="T2180" s="76" t="n"/>
      <c r="U2180" s="70">
        <f>IF($A2180="","",IFERROR(INDEX('Techniciens'!$F$5:$F$44,MATCH(O2180,'Techniciens'!$B$5:$B$44,0)),'Paramètres'!$AA$10))</f>
        <v/>
      </c>
      <c r="V2180" s="70">
        <f>IF($A2180="","",IF(OR(AC2180="Demandé",AC2180="Planifié",AC2180="Annulé"),0,N(T2180)*N(U2180)))</f>
        <v/>
      </c>
      <c r="W2180" s="70">
        <f>IF($A2180="","",SUMIFS('Mouvements stock'!$H$5:$H$3004,'Mouvements stock'!$I$5:$I$3004,$A2180,'Mouvements stock'!$C$5:$C$3004,"Sortie")-SUMIFS('Mouvements stock'!$H$5:$H$3004,'Mouvements stock'!$I$5:$I$3004,$A2180,'Mouvements stock'!$C$5:$C$3004,"Retour"))</f>
        <v/>
      </c>
      <c r="X2180" s="66" t="n"/>
      <c r="Y2180" s="66" t="n"/>
      <c r="Z2180" s="7" t="n"/>
      <c r="AA2180" s="70">
        <f>IF($A2180="","",N(V2180)+N(W2180)+N(X2180)+N(Y2180))</f>
        <v/>
      </c>
      <c r="AB2180" s="70">
        <f>IF($A2180="","",N(S2180)*'Paramètres'!$AA$9*IFERROR(INDEX('Paramètres'!$O$5:$O$7,MATCH(G2180,'Paramètres'!$N$5:$N$7,0)),0))</f>
        <v/>
      </c>
      <c r="AC2180" s="7" t="n"/>
      <c r="AD2180" s="69">
        <f>IF(OR($A2180="",Q2180=""),"",(Q2180-B2180)*24)</f>
        <v/>
      </c>
      <c r="AE2180" s="69">
        <f>IF(OR(Q2180="",R2180=""),"",(R2180-Q2180)*24)</f>
        <v/>
      </c>
      <c r="AF2180" s="77">
        <f>IF(OR($A2180="",B2180=""),"",YEAR(B2180))</f>
        <v/>
      </c>
      <c r="AG2180" s="77">
        <f>IF(OR($A2180="",B2180=""),"",MONTH(B2180))</f>
        <v/>
      </c>
    </row>
    <row r="2181">
      <c r="A2181" s="7" t="n"/>
      <c r="B2181" s="75" t="n"/>
      <c r="C2181" s="7" t="n"/>
      <c r="D2181" s="7" t="n"/>
      <c r="E2181" s="9">
        <f>IF(D2181="","",IFERROR(INDEX('Équipements'!$B$5:$B$304,MATCH(D2181,'Équipements'!$A$5:$A$304,0)),"Code inconnu"))</f>
        <v/>
      </c>
      <c r="F2181" s="9">
        <f>IF(D2181="","",IFERROR(INDEX('Équipements'!$D$5:$D$304,MATCH(D2181,'Équipements'!$A$5:$A$304,0)),""))</f>
        <v/>
      </c>
      <c r="G2181" s="9">
        <f>IF(D2181="","",IFERROR(INDEX('Équipements'!$K$5:$K$304,MATCH(D2181,'Équipements'!$A$5:$A$304,0)),""))</f>
        <v/>
      </c>
      <c r="H2181" s="7" t="n"/>
      <c r="I2181" s="7" t="n"/>
      <c r="J2181" s="7" t="n"/>
      <c r="K2181" s="7" t="n"/>
      <c r="L2181" s="7" t="n"/>
      <c r="M2181" s="7" t="n"/>
      <c r="N2181" s="7" t="n"/>
      <c r="O2181" s="7" t="n"/>
      <c r="P2181" s="65" t="n"/>
      <c r="Q2181" s="75" t="n"/>
      <c r="R2181" s="75" t="n"/>
      <c r="S2181" s="76" t="n"/>
      <c r="T2181" s="76" t="n"/>
      <c r="U2181" s="70">
        <f>IF($A2181="","",IFERROR(INDEX('Techniciens'!$F$5:$F$44,MATCH(O2181,'Techniciens'!$B$5:$B$44,0)),'Paramètres'!$AA$10))</f>
        <v/>
      </c>
      <c r="V2181" s="70">
        <f>IF($A2181="","",IF(OR(AC2181="Demandé",AC2181="Planifié",AC2181="Annulé"),0,N(T2181)*N(U2181)))</f>
        <v/>
      </c>
      <c r="W2181" s="70">
        <f>IF($A2181="","",SUMIFS('Mouvements stock'!$H$5:$H$3004,'Mouvements stock'!$I$5:$I$3004,$A2181,'Mouvements stock'!$C$5:$C$3004,"Sortie")-SUMIFS('Mouvements stock'!$H$5:$H$3004,'Mouvements stock'!$I$5:$I$3004,$A2181,'Mouvements stock'!$C$5:$C$3004,"Retour"))</f>
        <v/>
      </c>
      <c r="X2181" s="66" t="n"/>
      <c r="Y2181" s="66" t="n"/>
      <c r="Z2181" s="7" t="n"/>
      <c r="AA2181" s="70">
        <f>IF($A2181="","",N(V2181)+N(W2181)+N(X2181)+N(Y2181))</f>
        <v/>
      </c>
      <c r="AB2181" s="70">
        <f>IF($A2181="","",N(S2181)*'Paramètres'!$AA$9*IFERROR(INDEX('Paramètres'!$O$5:$O$7,MATCH(G2181,'Paramètres'!$N$5:$N$7,0)),0))</f>
        <v/>
      </c>
      <c r="AC2181" s="7" t="n"/>
      <c r="AD2181" s="69">
        <f>IF(OR($A2181="",Q2181=""),"",(Q2181-B2181)*24)</f>
        <v/>
      </c>
      <c r="AE2181" s="69">
        <f>IF(OR(Q2181="",R2181=""),"",(R2181-Q2181)*24)</f>
        <v/>
      </c>
      <c r="AF2181" s="77">
        <f>IF(OR($A2181="",B2181=""),"",YEAR(B2181))</f>
        <v/>
      </c>
      <c r="AG2181" s="77">
        <f>IF(OR($A2181="",B2181=""),"",MONTH(B2181))</f>
        <v/>
      </c>
    </row>
    <row r="2182">
      <c r="A2182" s="7" t="n"/>
      <c r="B2182" s="75" t="n"/>
      <c r="C2182" s="7" t="n"/>
      <c r="D2182" s="7" t="n"/>
      <c r="E2182" s="9">
        <f>IF(D2182="","",IFERROR(INDEX('Équipements'!$B$5:$B$304,MATCH(D2182,'Équipements'!$A$5:$A$304,0)),"Code inconnu"))</f>
        <v/>
      </c>
      <c r="F2182" s="9">
        <f>IF(D2182="","",IFERROR(INDEX('Équipements'!$D$5:$D$304,MATCH(D2182,'Équipements'!$A$5:$A$304,0)),""))</f>
        <v/>
      </c>
      <c r="G2182" s="9">
        <f>IF(D2182="","",IFERROR(INDEX('Équipements'!$K$5:$K$304,MATCH(D2182,'Équipements'!$A$5:$A$304,0)),""))</f>
        <v/>
      </c>
      <c r="H2182" s="7" t="n"/>
      <c r="I2182" s="7" t="n"/>
      <c r="J2182" s="7" t="n"/>
      <c r="K2182" s="7" t="n"/>
      <c r="L2182" s="7" t="n"/>
      <c r="M2182" s="7" t="n"/>
      <c r="N2182" s="7" t="n"/>
      <c r="O2182" s="7" t="n"/>
      <c r="P2182" s="65" t="n"/>
      <c r="Q2182" s="75" t="n"/>
      <c r="R2182" s="75" t="n"/>
      <c r="S2182" s="76" t="n"/>
      <c r="T2182" s="76" t="n"/>
      <c r="U2182" s="70">
        <f>IF($A2182="","",IFERROR(INDEX('Techniciens'!$F$5:$F$44,MATCH(O2182,'Techniciens'!$B$5:$B$44,0)),'Paramètres'!$AA$10))</f>
        <v/>
      </c>
      <c r="V2182" s="70">
        <f>IF($A2182="","",IF(OR(AC2182="Demandé",AC2182="Planifié",AC2182="Annulé"),0,N(T2182)*N(U2182)))</f>
        <v/>
      </c>
      <c r="W2182" s="70">
        <f>IF($A2182="","",SUMIFS('Mouvements stock'!$H$5:$H$3004,'Mouvements stock'!$I$5:$I$3004,$A2182,'Mouvements stock'!$C$5:$C$3004,"Sortie")-SUMIFS('Mouvements stock'!$H$5:$H$3004,'Mouvements stock'!$I$5:$I$3004,$A2182,'Mouvements stock'!$C$5:$C$3004,"Retour"))</f>
        <v/>
      </c>
      <c r="X2182" s="66" t="n"/>
      <c r="Y2182" s="66" t="n"/>
      <c r="Z2182" s="7" t="n"/>
      <c r="AA2182" s="70">
        <f>IF($A2182="","",N(V2182)+N(W2182)+N(X2182)+N(Y2182))</f>
        <v/>
      </c>
      <c r="AB2182" s="70">
        <f>IF($A2182="","",N(S2182)*'Paramètres'!$AA$9*IFERROR(INDEX('Paramètres'!$O$5:$O$7,MATCH(G2182,'Paramètres'!$N$5:$N$7,0)),0))</f>
        <v/>
      </c>
      <c r="AC2182" s="7" t="n"/>
      <c r="AD2182" s="69">
        <f>IF(OR($A2182="",Q2182=""),"",(Q2182-B2182)*24)</f>
        <v/>
      </c>
      <c r="AE2182" s="69">
        <f>IF(OR(Q2182="",R2182=""),"",(R2182-Q2182)*24)</f>
        <v/>
      </c>
      <c r="AF2182" s="77">
        <f>IF(OR($A2182="",B2182=""),"",YEAR(B2182))</f>
        <v/>
      </c>
      <c r="AG2182" s="77">
        <f>IF(OR($A2182="",B2182=""),"",MONTH(B2182))</f>
        <v/>
      </c>
    </row>
    <row r="2183">
      <c r="A2183" s="7" t="n"/>
      <c r="B2183" s="75" t="n"/>
      <c r="C2183" s="7" t="n"/>
      <c r="D2183" s="7" t="n"/>
      <c r="E2183" s="9">
        <f>IF(D2183="","",IFERROR(INDEX('Équipements'!$B$5:$B$304,MATCH(D2183,'Équipements'!$A$5:$A$304,0)),"Code inconnu"))</f>
        <v/>
      </c>
      <c r="F2183" s="9">
        <f>IF(D2183="","",IFERROR(INDEX('Équipements'!$D$5:$D$304,MATCH(D2183,'Équipements'!$A$5:$A$304,0)),""))</f>
        <v/>
      </c>
      <c r="G2183" s="9">
        <f>IF(D2183="","",IFERROR(INDEX('Équipements'!$K$5:$K$304,MATCH(D2183,'Équipements'!$A$5:$A$304,0)),""))</f>
        <v/>
      </c>
      <c r="H2183" s="7" t="n"/>
      <c r="I2183" s="7" t="n"/>
      <c r="J2183" s="7" t="n"/>
      <c r="K2183" s="7" t="n"/>
      <c r="L2183" s="7" t="n"/>
      <c r="M2183" s="7" t="n"/>
      <c r="N2183" s="7" t="n"/>
      <c r="O2183" s="7" t="n"/>
      <c r="P2183" s="65" t="n"/>
      <c r="Q2183" s="75" t="n"/>
      <c r="R2183" s="75" t="n"/>
      <c r="S2183" s="76" t="n"/>
      <c r="T2183" s="76" t="n"/>
      <c r="U2183" s="70">
        <f>IF($A2183="","",IFERROR(INDEX('Techniciens'!$F$5:$F$44,MATCH(O2183,'Techniciens'!$B$5:$B$44,0)),'Paramètres'!$AA$10))</f>
        <v/>
      </c>
      <c r="V2183" s="70">
        <f>IF($A2183="","",IF(OR(AC2183="Demandé",AC2183="Planifié",AC2183="Annulé"),0,N(T2183)*N(U2183)))</f>
        <v/>
      </c>
      <c r="W2183" s="70">
        <f>IF($A2183="","",SUMIFS('Mouvements stock'!$H$5:$H$3004,'Mouvements stock'!$I$5:$I$3004,$A2183,'Mouvements stock'!$C$5:$C$3004,"Sortie")-SUMIFS('Mouvements stock'!$H$5:$H$3004,'Mouvements stock'!$I$5:$I$3004,$A2183,'Mouvements stock'!$C$5:$C$3004,"Retour"))</f>
        <v/>
      </c>
      <c r="X2183" s="66" t="n"/>
      <c r="Y2183" s="66" t="n"/>
      <c r="Z2183" s="7" t="n"/>
      <c r="AA2183" s="70">
        <f>IF($A2183="","",N(V2183)+N(W2183)+N(X2183)+N(Y2183))</f>
        <v/>
      </c>
      <c r="AB2183" s="70">
        <f>IF($A2183="","",N(S2183)*'Paramètres'!$AA$9*IFERROR(INDEX('Paramètres'!$O$5:$O$7,MATCH(G2183,'Paramètres'!$N$5:$N$7,0)),0))</f>
        <v/>
      </c>
      <c r="AC2183" s="7" t="n"/>
      <c r="AD2183" s="69">
        <f>IF(OR($A2183="",Q2183=""),"",(Q2183-B2183)*24)</f>
        <v/>
      </c>
      <c r="AE2183" s="69">
        <f>IF(OR(Q2183="",R2183=""),"",(R2183-Q2183)*24)</f>
        <v/>
      </c>
      <c r="AF2183" s="77">
        <f>IF(OR($A2183="",B2183=""),"",YEAR(B2183))</f>
        <v/>
      </c>
      <c r="AG2183" s="77">
        <f>IF(OR($A2183="",B2183=""),"",MONTH(B2183))</f>
        <v/>
      </c>
    </row>
    <row r="2184">
      <c r="A2184" s="7" t="n"/>
      <c r="B2184" s="75" t="n"/>
      <c r="C2184" s="7" t="n"/>
      <c r="D2184" s="7" t="n"/>
      <c r="E2184" s="9">
        <f>IF(D2184="","",IFERROR(INDEX('Équipements'!$B$5:$B$304,MATCH(D2184,'Équipements'!$A$5:$A$304,0)),"Code inconnu"))</f>
        <v/>
      </c>
      <c r="F2184" s="9">
        <f>IF(D2184="","",IFERROR(INDEX('Équipements'!$D$5:$D$304,MATCH(D2184,'Équipements'!$A$5:$A$304,0)),""))</f>
        <v/>
      </c>
      <c r="G2184" s="9">
        <f>IF(D2184="","",IFERROR(INDEX('Équipements'!$K$5:$K$304,MATCH(D2184,'Équipements'!$A$5:$A$304,0)),""))</f>
        <v/>
      </c>
      <c r="H2184" s="7" t="n"/>
      <c r="I2184" s="7" t="n"/>
      <c r="J2184" s="7" t="n"/>
      <c r="K2184" s="7" t="n"/>
      <c r="L2184" s="7" t="n"/>
      <c r="M2184" s="7" t="n"/>
      <c r="N2184" s="7" t="n"/>
      <c r="O2184" s="7" t="n"/>
      <c r="P2184" s="65" t="n"/>
      <c r="Q2184" s="75" t="n"/>
      <c r="R2184" s="75" t="n"/>
      <c r="S2184" s="76" t="n"/>
      <c r="T2184" s="76" t="n"/>
      <c r="U2184" s="70">
        <f>IF($A2184="","",IFERROR(INDEX('Techniciens'!$F$5:$F$44,MATCH(O2184,'Techniciens'!$B$5:$B$44,0)),'Paramètres'!$AA$10))</f>
        <v/>
      </c>
      <c r="V2184" s="70">
        <f>IF($A2184="","",IF(OR(AC2184="Demandé",AC2184="Planifié",AC2184="Annulé"),0,N(T2184)*N(U2184)))</f>
        <v/>
      </c>
      <c r="W2184" s="70">
        <f>IF($A2184="","",SUMIFS('Mouvements stock'!$H$5:$H$3004,'Mouvements stock'!$I$5:$I$3004,$A2184,'Mouvements stock'!$C$5:$C$3004,"Sortie")-SUMIFS('Mouvements stock'!$H$5:$H$3004,'Mouvements stock'!$I$5:$I$3004,$A2184,'Mouvements stock'!$C$5:$C$3004,"Retour"))</f>
        <v/>
      </c>
      <c r="X2184" s="66" t="n"/>
      <c r="Y2184" s="66" t="n"/>
      <c r="Z2184" s="7" t="n"/>
      <c r="AA2184" s="70">
        <f>IF($A2184="","",N(V2184)+N(W2184)+N(X2184)+N(Y2184))</f>
        <v/>
      </c>
      <c r="AB2184" s="70">
        <f>IF($A2184="","",N(S2184)*'Paramètres'!$AA$9*IFERROR(INDEX('Paramètres'!$O$5:$O$7,MATCH(G2184,'Paramètres'!$N$5:$N$7,0)),0))</f>
        <v/>
      </c>
      <c r="AC2184" s="7" t="n"/>
      <c r="AD2184" s="69">
        <f>IF(OR($A2184="",Q2184=""),"",(Q2184-B2184)*24)</f>
        <v/>
      </c>
      <c r="AE2184" s="69">
        <f>IF(OR(Q2184="",R2184=""),"",(R2184-Q2184)*24)</f>
        <v/>
      </c>
      <c r="AF2184" s="77">
        <f>IF(OR($A2184="",B2184=""),"",YEAR(B2184))</f>
        <v/>
      </c>
      <c r="AG2184" s="77">
        <f>IF(OR($A2184="",B2184=""),"",MONTH(B2184))</f>
        <v/>
      </c>
    </row>
    <row r="2185">
      <c r="A2185" s="7" t="n"/>
      <c r="B2185" s="75" t="n"/>
      <c r="C2185" s="7" t="n"/>
      <c r="D2185" s="7" t="n"/>
      <c r="E2185" s="9">
        <f>IF(D2185="","",IFERROR(INDEX('Équipements'!$B$5:$B$304,MATCH(D2185,'Équipements'!$A$5:$A$304,0)),"Code inconnu"))</f>
        <v/>
      </c>
      <c r="F2185" s="9">
        <f>IF(D2185="","",IFERROR(INDEX('Équipements'!$D$5:$D$304,MATCH(D2185,'Équipements'!$A$5:$A$304,0)),""))</f>
        <v/>
      </c>
      <c r="G2185" s="9">
        <f>IF(D2185="","",IFERROR(INDEX('Équipements'!$K$5:$K$304,MATCH(D2185,'Équipements'!$A$5:$A$304,0)),""))</f>
        <v/>
      </c>
      <c r="H2185" s="7" t="n"/>
      <c r="I2185" s="7" t="n"/>
      <c r="J2185" s="7" t="n"/>
      <c r="K2185" s="7" t="n"/>
      <c r="L2185" s="7" t="n"/>
      <c r="M2185" s="7" t="n"/>
      <c r="N2185" s="7" t="n"/>
      <c r="O2185" s="7" t="n"/>
      <c r="P2185" s="65" t="n"/>
      <c r="Q2185" s="75" t="n"/>
      <c r="R2185" s="75" t="n"/>
      <c r="S2185" s="76" t="n"/>
      <c r="T2185" s="76" t="n"/>
      <c r="U2185" s="70">
        <f>IF($A2185="","",IFERROR(INDEX('Techniciens'!$F$5:$F$44,MATCH(O2185,'Techniciens'!$B$5:$B$44,0)),'Paramètres'!$AA$10))</f>
        <v/>
      </c>
      <c r="V2185" s="70">
        <f>IF($A2185="","",IF(OR(AC2185="Demandé",AC2185="Planifié",AC2185="Annulé"),0,N(T2185)*N(U2185)))</f>
        <v/>
      </c>
      <c r="W2185" s="70">
        <f>IF($A2185="","",SUMIFS('Mouvements stock'!$H$5:$H$3004,'Mouvements stock'!$I$5:$I$3004,$A2185,'Mouvements stock'!$C$5:$C$3004,"Sortie")-SUMIFS('Mouvements stock'!$H$5:$H$3004,'Mouvements stock'!$I$5:$I$3004,$A2185,'Mouvements stock'!$C$5:$C$3004,"Retour"))</f>
        <v/>
      </c>
      <c r="X2185" s="66" t="n"/>
      <c r="Y2185" s="66" t="n"/>
      <c r="Z2185" s="7" t="n"/>
      <c r="AA2185" s="70">
        <f>IF($A2185="","",N(V2185)+N(W2185)+N(X2185)+N(Y2185))</f>
        <v/>
      </c>
      <c r="AB2185" s="70">
        <f>IF($A2185="","",N(S2185)*'Paramètres'!$AA$9*IFERROR(INDEX('Paramètres'!$O$5:$O$7,MATCH(G2185,'Paramètres'!$N$5:$N$7,0)),0))</f>
        <v/>
      </c>
      <c r="AC2185" s="7" t="n"/>
      <c r="AD2185" s="69">
        <f>IF(OR($A2185="",Q2185=""),"",(Q2185-B2185)*24)</f>
        <v/>
      </c>
      <c r="AE2185" s="69">
        <f>IF(OR(Q2185="",R2185=""),"",(R2185-Q2185)*24)</f>
        <v/>
      </c>
      <c r="AF2185" s="77">
        <f>IF(OR($A2185="",B2185=""),"",YEAR(B2185))</f>
        <v/>
      </c>
      <c r="AG2185" s="77">
        <f>IF(OR($A2185="",B2185=""),"",MONTH(B2185))</f>
        <v/>
      </c>
    </row>
    <row r="2186">
      <c r="A2186" s="7" t="n"/>
      <c r="B2186" s="75" t="n"/>
      <c r="C2186" s="7" t="n"/>
      <c r="D2186" s="7" t="n"/>
      <c r="E2186" s="9">
        <f>IF(D2186="","",IFERROR(INDEX('Équipements'!$B$5:$B$304,MATCH(D2186,'Équipements'!$A$5:$A$304,0)),"Code inconnu"))</f>
        <v/>
      </c>
      <c r="F2186" s="9">
        <f>IF(D2186="","",IFERROR(INDEX('Équipements'!$D$5:$D$304,MATCH(D2186,'Équipements'!$A$5:$A$304,0)),""))</f>
        <v/>
      </c>
      <c r="G2186" s="9">
        <f>IF(D2186="","",IFERROR(INDEX('Équipements'!$K$5:$K$304,MATCH(D2186,'Équipements'!$A$5:$A$304,0)),""))</f>
        <v/>
      </c>
      <c r="H2186" s="7" t="n"/>
      <c r="I2186" s="7" t="n"/>
      <c r="J2186" s="7" t="n"/>
      <c r="K2186" s="7" t="n"/>
      <c r="L2186" s="7" t="n"/>
      <c r="M2186" s="7" t="n"/>
      <c r="N2186" s="7" t="n"/>
      <c r="O2186" s="7" t="n"/>
      <c r="P2186" s="65" t="n"/>
      <c r="Q2186" s="75" t="n"/>
      <c r="R2186" s="75" t="n"/>
      <c r="S2186" s="76" t="n"/>
      <c r="T2186" s="76" t="n"/>
      <c r="U2186" s="70">
        <f>IF($A2186="","",IFERROR(INDEX('Techniciens'!$F$5:$F$44,MATCH(O2186,'Techniciens'!$B$5:$B$44,0)),'Paramètres'!$AA$10))</f>
        <v/>
      </c>
      <c r="V2186" s="70">
        <f>IF($A2186="","",IF(OR(AC2186="Demandé",AC2186="Planifié",AC2186="Annulé"),0,N(T2186)*N(U2186)))</f>
        <v/>
      </c>
      <c r="W2186" s="70">
        <f>IF($A2186="","",SUMIFS('Mouvements stock'!$H$5:$H$3004,'Mouvements stock'!$I$5:$I$3004,$A2186,'Mouvements stock'!$C$5:$C$3004,"Sortie")-SUMIFS('Mouvements stock'!$H$5:$H$3004,'Mouvements stock'!$I$5:$I$3004,$A2186,'Mouvements stock'!$C$5:$C$3004,"Retour"))</f>
        <v/>
      </c>
      <c r="X2186" s="66" t="n"/>
      <c r="Y2186" s="66" t="n"/>
      <c r="Z2186" s="7" t="n"/>
      <c r="AA2186" s="70">
        <f>IF($A2186="","",N(V2186)+N(W2186)+N(X2186)+N(Y2186))</f>
        <v/>
      </c>
      <c r="AB2186" s="70">
        <f>IF($A2186="","",N(S2186)*'Paramètres'!$AA$9*IFERROR(INDEX('Paramètres'!$O$5:$O$7,MATCH(G2186,'Paramètres'!$N$5:$N$7,0)),0))</f>
        <v/>
      </c>
      <c r="AC2186" s="7" t="n"/>
      <c r="AD2186" s="69">
        <f>IF(OR($A2186="",Q2186=""),"",(Q2186-B2186)*24)</f>
        <v/>
      </c>
      <c r="AE2186" s="69">
        <f>IF(OR(Q2186="",R2186=""),"",(R2186-Q2186)*24)</f>
        <v/>
      </c>
      <c r="AF2186" s="77">
        <f>IF(OR($A2186="",B2186=""),"",YEAR(B2186))</f>
        <v/>
      </c>
      <c r="AG2186" s="77">
        <f>IF(OR($A2186="",B2186=""),"",MONTH(B2186))</f>
        <v/>
      </c>
    </row>
    <row r="2187">
      <c r="A2187" s="7" t="n"/>
      <c r="B2187" s="75" t="n"/>
      <c r="C2187" s="7" t="n"/>
      <c r="D2187" s="7" t="n"/>
      <c r="E2187" s="9">
        <f>IF(D2187="","",IFERROR(INDEX('Équipements'!$B$5:$B$304,MATCH(D2187,'Équipements'!$A$5:$A$304,0)),"Code inconnu"))</f>
        <v/>
      </c>
      <c r="F2187" s="9">
        <f>IF(D2187="","",IFERROR(INDEX('Équipements'!$D$5:$D$304,MATCH(D2187,'Équipements'!$A$5:$A$304,0)),""))</f>
        <v/>
      </c>
      <c r="G2187" s="9">
        <f>IF(D2187="","",IFERROR(INDEX('Équipements'!$K$5:$K$304,MATCH(D2187,'Équipements'!$A$5:$A$304,0)),""))</f>
        <v/>
      </c>
      <c r="H2187" s="7" t="n"/>
      <c r="I2187" s="7" t="n"/>
      <c r="J2187" s="7" t="n"/>
      <c r="K2187" s="7" t="n"/>
      <c r="L2187" s="7" t="n"/>
      <c r="M2187" s="7" t="n"/>
      <c r="N2187" s="7" t="n"/>
      <c r="O2187" s="7" t="n"/>
      <c r="P2187" s="65" t="n"/>
      <c r="Q2187" s="75" t="n"/>
      <c r="R2187" s="75" t="n"/>
      <c r="S2187" s="76" t="n"/>
      <c r="T2187" s="76" t="n"/>
      <c r="U2187" s="70">
        <f>IF($A2187="","",IFERROR(INDEX('Techniciens'!$F$5:$F$44,MATCH(O2187,'Techniciens'!$B$5:$B$44,0)),'Paramètres'!$AA$10))</f>
        <v/>
      </c>
      <c r="V2187" s="70">
        <f>IF($A2187="","",IF(OR(AC2187="Demandé",AC2187="Planifié",AC2187="Annulé"),0,N(T2187)*N(U2187)))</f>
        <v/>
      </c>
      <c r="W2187" s="70">
        <f>IF($A2187="","",SUMIFS('Mouvements stock'!$H$5:$H$3004,'Mouvements stock'!$I$5:$I$3004,$A2187,'Mouvements stock'!$C$5:$C$3004,"Sortie")-SUMIFS('Mouvements stock'!$H$5:$H$3004,'Mouvements stock'!$I$5:$I$3004,$A2187,'Mouvements stock'!$C$5:$C$3004,"Retour"))</f>
        <v/>
      </c>
      <c r="X2187" s="66" t="n"/>
      <c r="Y2187" s="66" t="n"/>
      <c r="Z2187" s="7" t="n"/>
      <c r="AA2187" s="70">
        <f>IF($A2187="","",N(V2187)+N(W2187)+N(X2187)+N(Y2187))</f>
        <v/>
      </c>
      <c r="AB2187" s="70">
        <f>IF($A2187="","",N(S2187)*'Paramètres'!$AA$9*IFERROR(INDEX('Paramètres'!$O$5:$O$7,MATCH(G2187,'Paramètres'!$N$5:$N$7,0)),0))</f>
        <v/>
      </c>
      <c r="AC2187" s="7" t="n"/>
      <c r="AD2187" s="69">
        <f>IF(OR($A2187="",Q2187=""),"",(Q2187-B2187)*24)</f>
        <v/>
      </c>
      <c r="AE2187" s="69">
        <f>IF(OR(Q2187="",R2187=""),"",(R2187-Q2187)*24)</f>
        <v/>
      </c>
      <c r="AF2187" s="77">
        <f>IF(OR($A2187="",B2187=""),"",YEAR(B2187))</f>
        <v/>
      </c>
      <c r="AG2187" s="77">
        <f>IF(OR($A2187="",B2187=""),"",MONTH(B2187))</f>
        <v/>
      </c>
    </row>
    <row r="2188">
      <c r="A2188" s="7" t="n"/>
      <c r="B2188" s="75" t="n"/>
      <c r="C2188" s="7" t="n"/>
      <c r="D2188" s="7" t="n"/>
      <c r="E2188" s="9">
        <f>IF(D2188="","",IFERROR(INDEX('Équipements'!$B$5:$B$304,MATCH(D2188,'Équipements'!$A$5:$A$304,0)),"Code inconnu"))</f>
        <v/>
      </c>
      <c r="F2188" s="9">
        <f>IF(D2188="","",IFERROR(INDEX('Équipements'!$D$5:$D$304,MATCH(D2188,'Équipements'!$A$5:$A$304,0)),""))</f>
        <v/>
      </c>
      <c r="G2188" s="9">
        <f>IF(D2188="","",IFERROR(INDEX('Équipements'!$K$5:$K$304,MATCH(D2188,'Équipements'!$A$5:$A$304,0)),""))</f>
        <v/>
      </c>
      <c r="H2188" s="7" t="n"/>
      <c r="I2188" s="7" t="n"/>
      <c r="J2188" s="7" t="n"/>
      <c r="K2188" s="7" t="n"/>
      <c r="L2188" s="7" t="n"/>
      <c r="M2188" s="7" t="n"/>
      <c r="N2188" s="7" t="n"/>
      <c r="O2188" s="7" t="n"/>
      <c r="P2188" s="65" t="n"/>
      <c r="Q2188" s="75" t="n"/>
      <c r="R2188" s="75" t="n"/>
      <c r="S2188" s="76" t="n"/>
      <c r="T2188" s="76" t="n"/>
      <c r="U2188" s="70">
        <f>IF($A2188="","",IFERROR(INDEX('Techniciens'!$F$5:$F$44,MATCH(O2188,'Techniciens'!$B$5:$B$44,0)),'Paramètres'!$AA$10))</f>
        <v/>
      </c>
      <c r="V2188" s="70">
        <f>IF($A2188="","",IF(OR(AC2188="Demandé",AC2188="Planifié",AC2188="Annulé"),0,N(T2188)*N(U2188)))</f>
        <v/>
      </c>
      <c r="W2188" s="70">
        <f>IF($A2188="","",SUMIFS('Mouvements stock'!$H$5:$H$3004,'Mouvements stock'!$I$5:$I$3004,$A2188,'Mouvements stock'!$C$5:$C$3004,"Sortie")-SUMIFS('Mouvements stock'!$H$5:$H$3004,'Mouvements stock'!$I$5:$I$3004,$A2188,'Mouvements stock'!$C$5:$C$3004,"Retour"))</f>
        <v/>
      </c>
      <c r="X2188" s="66" t="n"/>
      <c r="Y2188" s="66" t="n"/>
      <c r="Z2188" s="7" t="n"/>
      <c r="AA2188" s="70">
        <f>IF($A2188="","",N(V2188)+N(W2188)+N(X2188)+N(Y2188))</f>
        <v/>
      </c>
      <c r="AB2188" s="70">
        <f>IF($A2188="","",N(S2188)*'Paramètres'!$AA$9*IFERROR(INDEX('Paramètres'!$O$5:$O$7,MATCH(G2188,'Paramètres'!$N$5:$N$7,0)),0))</f>
        <v/>
      </c>
      <c r="AC2188" s="7" t="n"/>
      <c r="AD2188" s="69">
        <f>IF(OR($A2188="",Q2188=""),"",(Q2188-B2188)*24)</f>
        <v/>
      </c>
      <c r="AE2188" s="69">
        <f>IF(OR(Q2188="",R2188=""),"",(R2188-Q2188)*24)</f>
        <v/>
      </c>
      <c r="AF2188" s="77">
        <f>IF(OR($A2188="",B2188=""),"",YEAR(B2188))</f>
        <v/>
      </c>
      <c r="AG2188" s="77">
        <f>IF(OR($A2188="",B2188=""),"",MONTH(B2188))</f>
        <v/>
      </c>
    </row>
    <row r="2189">
      <c r="A2189" s="7" t="n"/>
      <c r="B2189" s="75" t="n"/>
      <c r="C2189" s="7" t="n"/>
      <c r="D2189" s="7" t="n"/>
      <c r="E2189" s="9">
        <f>IF(D2189="","",IFERROR(INDEX('Équipements'!$B$5:$B$304,MATCH(D2189,'Équipements'!$A$5:$A$304,0)),"Code inconnu"))</f>
        <v/>
      </c>
      <c r="F2189" s="9">
        <f>IF(D2189="","",IFERROR(INDEX('Équipements'!$D$5:$D$304,MATCH(D2189,'Équipements'!$A$5:$A$304,0)),""))</f>
        <v/>
      </c>
      <c r="G2189" s="9">
        <f>IF(D2189="","",IFERROR(INDEX('Équipements'!$K$5:$K$304,MATCH(D2189,'Équipements'!$A$5:$A$304,0)),""))</f>
        <v/>
      </c>
      <c r="H2189" s="7" t="n"/>
      <c r="I2189" s="7" t="n"/>
      <c r="J2189" s="7" t="n"/>
      <c r="K2189" s="7" t="n"/>
      <c r="L2189" s="7" t="n"/>
      <c r="M2189" s="7" t="n"/>
      <c r="N2189" s="7" t="n"/>
      <c r="O2189" s="7" t="n"/>
      <c r="P2189" s="65" t="n"/>
      <c r="Q2189" s="75" t="n"/>
      <c r="R2189" s="75" t="n"/>
      <c r="S2189" s="76" t="n"/>
      <c r="T2189" s="76" t="n"/>
      <c r="U2189" s="70">
        <f>IF($A2189="","",IFERROR(INDEX('Techniciens'!$F$5:$F$44,MATCH(O2189,'Techniciens'!$B$5:$B$44,0)),'Paramètres'!$AA$10))</f>
        <v/>
      </c>
      <c r="V2189" s="70">
        <f>IF($A2189="","",IF(OR(AC2189="Demandé",AC2189="Planifié",AC2189="Annulé"),0,N(T2189)*N(U2189)))</f>
        <v/>
      </c>
      <c r="W2189" s="70">
        <f>IF($A2189="","",SUMIFS('Mouvements stock'!$H$5:$H$3004,'Mouvements stock'!$I$5:$I$3004,$A2189,'Mouvements stock'!$C$5:$C$3004,"Sortie")-SUMIFS('Mouvements stock'!$H$5:$H$3004,'Mouvements stock'!$I$5:$I$3004,$A2189,'Mouvements stock'!$C$5:$C$3004,"Retour"))</f>
        <v/>
      </c>
      <c r="X2189" s="66" t="n"/>
      <c r="Y2189" s="66" t="n"/>
      <c r="Z2189" s="7" t="n"/>
      <c r="AA2189" s="70">
        <f>IF($A2189="","",N(V2189)+N(W2189)+N(X2189)+N(Y2189))</f>
        <v/>
      </c>
      <c r="AB2189" s="70">
        <f>IF($A2189="","",N(S2189)*'Paramètres'!$AA$9*IFERROR(INDEX('Paramètres'!$O$5:$O$7,MATCH(G2189,'Paramètres'!$N$5:$N$7,0)),0))</f>
        <v/>
      </c>
      <c r="AC2189" s="7" t="n"/>
      <c r="AD2189" s="69">
        <f>IF(OR($A2189="",Q2189=""),"",(Q2189-B2189)*24)</f>
        <v/>
      </c>
      <c r="AE2189" s="69">
        <f>IF(OR(Q2189="",R2189=""),"",(R2189-Q2189)*24)</f>
        <v/>
      </c>
      <c r="AF2189" s="77">
        <f>IF(OR($A2189="",B2189=""),"",YEAR(B2189))</f>
        <v/>
      </c>
      <c r="AG2189" s="77">
        <f>IF(OR($A2189="",B2189=""),"",MONTH(B2189))</f>
        <v/>
      </c>
    </row>
    <row r="2190">
      <c r="A2190" s="7" t="n"/>
      <c r="B2190" s="75" t="n"/>
      <c r="C2190" s="7" t="n"/>
      <c r="D2190" s="7" t="n"/>
      <c r="E2190" s="9">
        <f>IF(D2190="","",IFERROR(INDEX('Équipements'!$B$5:$B$304,MATCH(D2190,'Équipements'!$A$5:$A$304,0)),"Code inconnu"))</f>
        <v/>
      </c>
      <c r="F2190" s="9">
        <f>IF(D2190="","",IFERROR(INDEX('Équipements'!$D$5:$D$304,MATCH(D2190,'Équipements'!$A$5:$A$304,0)),""))</f>
        <v/>
      </c>
      <c r="G2190" s="9">
        <f>IF(D2190="","",IFERROR(INDEX('Équipements'!$K$5:$K$304,MATCH(D2190,'Équipements'!$A$5:$A$304,0)),""))</f>
        <v/>
      </c>
      <c r="H2190" s="7" t="n"/>
      <c r="I2190" s="7" t="n"/>
      <c r="J2190" s="7" t="n"/>
      <c r="K2190" s="7" t="n"/>
      <c r="L2190" s="7" t="n"/>
      <c r="M2190" s="7" t="n"/>
      <c r="N2190" s="7" t="n"/>
      <c r="O2190" s="7" t="n"/>
      <c r="P2190" s="65" t="n"/>
      <c r="Q2190" s="75" t="n"/>
      <c r="R2190" s="75" t="n"/>
      <c r="S2190" s="76" t="n"/>
      <c r="T2190" s="76" t="n"/>
      <c r="U2190" s="70">
        <f>IF($A2190="","",IFERROR(INDEX('Techniciens'!$F$5:$F$44,MATCH(O2190,'Techniciens'!$B$5:$B$44,0)),'Paramètres'!$AA$10))</f>
        <v/>
      </c>
      <c r="V2190" s="70">
        <f>IF($A2190="","",IF(OR(AC2190="Demandé",AC2190="Planifié",AC2190="Annulé"),0,N(T2190)*N(U2190)))</f>
        <v/>
      </c>
      <c r="W2190" s="70">
        <f>IF($A2190="","",SUMIFS('Mouvements stock'!$H$5:$H$3004,'Mouvements stock'!$I$5:$I$3004,$A2190,'Mouvements stock'!$C$5:$C$3004,"Sortie")-SUMIFS('Mouvements stock'!$H$5:$H$3004,'Mouvements stock'!$I$5:$I$3004,$A2190,'Mouvements stock'!$C$5:$C$3004,"Retour"))</f>
        <v/>
      </c>
      <c r="X2190" s="66" t="n"/>
      <c r="Y2190" s="66" t="n"/>
      <c r="Z2190" s="7" t="n"/>
      <c r="AA2190" s="70">
        <f>IF($A2190="","",N(V2190)+N(W2190)+N(X2190)+N(Y2190))</f>
        <v/>
      </c>
      <c r="AB2190" s="70">
        <f>IF($A2190="","",N(S2190)*'Paramètres'!$AA$9*IFERROR(INDEX('Paramètres'!$O$5:$O$7,MATCH(G2190,'Paramètres'!$N$5:$N$7,0)),0))</f>
        <v/>
      </c>
      <c r="AC2190" s="7" t="n"/>
      <c r="AD2190" s="69">
        <f>IF(OR($A2190="",Q2190=""),"",(Q2190-B2190)*24)</f>
        <v/>
      </c>
      <c r="AE2190" s="69">
        <f>IF(OR(Q2190="",R2190=""),"",(R2190-Q2190)*24)</f>
        <v/>
      </c>
      <c r="AF2190" s="77">
        <f>IF(OR($A2190="",B2190=""),"",YEAR(B2190))</f>
        <v/>
      </c>
      <c r="AG2190" s="77">
        <f>IF(OR($A2190="",B2190=""),"",MONTH(B2190))</f>
        <v/>
      </c>
    </row>
    <row r="2191">
      <c r="A2191" s="7" t="n"/>
      <c r="B2191" s="75" t="n"/>
      <c r="C2191" s="7" t="n"/>
      <c r="D2191" s="7" t="n"/>
      <c r="E2191" s="9">
        <f>IF(D2191="","",IFERROR(INDEX('Équipements'!$B$5:$B$304,MATCH(D2191,'Équipements'!$A$5:$A$304,0)),"Code inconnu"))</f>
        <v/>
      </c>
      <c r="F2191" s="9">
        <f>IF(D2191="","",IFERROR(INDEX('Équipements'!$D$5:$D$304,MATCH(D2191,'Équipements'!$A$5:$A$304,0)),""))</f>
        <v/>
      </c>
      <c r="G2191" s="9">
        <f>IF(D2191="","",IFERROR(INDEX('Équipements'!$K$5:$K$304,MATCH(D2191,'Équipements'!$A$5:$A$304,0)),""))</f>
        <v/>
      </c>
      <c r="H2191" s="7" t="n"/>
      <c r="I2191" s="7" t="n"/>
      <c r="J2191" s="7" t="n"/>
      <c r="K2191" s="7" t="n"/>
      <c r="L2191" s="7" t="n"/>
      <c r="M2191" s="7" t="n"/>
      <c r="N2191" s="7" t="n"/>
      <c r="O2191" s="7" t="n"/>
      <c r="P2191" s="65" t="n"/>
      <c r="Q2191" s="75" t="n"/>
      <c r="R2191" s="75" t="n"/>
      <c r="S2191" s="76" t="n"/>
      <c r="T2191" s="76" t="n"/>
      <c r="U2191" s="70">
        <f>IF($A2191="","",IFERROR(INDEX('Techniciens'!$F$5:$F$44,MATCH(O2191,'Techniciens'!$B$5:$B$44,0)),'Paramètres'!$AA$10))</f>
        <v/>
      </c>
      <c r="V2191" s="70">
        <f>IF($A2191="","",IF(OR(AC2191="Demandé",AC2191="Planifié",AC2191="Annulé"),0,N(T2191)*N(U2191)))</f>
        <v/>
      </c>
      <c r="W2191" s="70">
        <f>IF($A2191="","",SUMIFS('Mouvements stock'!$H$5:$H$3004,'Mouvements stock'!$I$5:$I$3004,$A2191,'Mouvements stock'!$C$5:$C$3004,"Sortie")-SUMIFS('Mouvements stock'!$H$5:$H$3004,'Mouvements stock'!$I$5:$I$3004,$A2191,'Mouvements stock'!$C$5:$C$3004,"Retour"))</f>
        <v/>
      </c>
      <c r="X2191" s="66" t="n"/>
      <c r="Y2191" s="66" t="n"/>
      <c r="Z2191" s="7" t="n"/>
      <c r="AA2191" s="70">
        <f>IF($A2191="","",N(V2191)+N(W2191)+N(X2191)+N(Y2191))</f>
        <v/>
      </c>
      <c r="AB2191" s="70">
        <f>IF($A2191="","",N(S2191)*'Paramètres'!$AA$9*IFERROR(INDEX('Paramètres'!$O$5:$O$7,MATCH(G2191,'Paramètres'!$N$5:$N$7,0)),0))</f>
        <v/>
      </c>
      <c r="AC2191" s="7" t="n"/>
      <c r="AD2191" s="69">
        <f>IF(OR($A2191="",Q2191=""),"",(Q2191-B2191)*24)</f>
        <v/>
      </c>
      <c r="AE2191" s="69">
        <f>IF(OR(Q2191="",R2191=""),"",(R2191-Q2191)*24)</f>
        <v/>
      </c>
      <c r="AF2191" s="77">
        <f>IF(OR($A2191="",B2191=""),"",YEAR(B2191))</f>
        <v/>
      </c>
      <c r="AG2191" s="77">
        <f>IF(OR($A2191="",B2191=""),"",MONTH(B2191))</f>
        <v/>
      </c>
    </row>
    <row r="2192">
      <c r="A2192" s="7" t="n"/>
      <c r="B2192" s="75" t="n"/>
      <c r="C2192" s="7" t="n"/>
      <c r="D2192" s="7" t="n"/>
      <c r="E2192" s="9">
        <f>IF(D2192="","",IFERROR(INDEX('Équipements'!$B$5:$B$304,MATCH(D2192,'Équipements'!$A$5:$A$304,0)),"Code inconnu"))</f>
        <v/>
      </c>
      <c r="F2192" s="9">
        <f>IF(D2192="","",IFERROR(INDEX('Équipements'!$D$5:$D$304,MATCH(D2192,'Équipements'!$A$5:$A$304,0)),""))</f>
        <v/>
      </c>
      <c r="G2192" s="9">
        <f>IF(D2192="","",IFERROR(INDEX('Équipements'!$K$5:$K$304,MATCH(D2192,'Équipements'!$A$5:$A$304,0)),""))</f>
        <v/>
      </c>
      <c r="H2192" s="7" t="n"/>
      <c r="I2192" s="7" t="n"/>
      <c r="J2192" s="7" t="n"/>
      <c r="K2192" s="7" t="n"/>
      <c r="L2192" s="7" t="n"/>
      <c r="M2192" s="7" t="n"/>
      <c r="N2192" s="7" t="n"/>
      <c r="O2192" s="7" t="n"/>
      <c r="P2192" s="65" t="n"/>
      <c r="Q2192" s="75" t="n"/>
      <c r="R2192" s="75" t="n"/>
      <c r="S2192" s="76" t="n"/>
      <c r="T2192" s="76" t="n"/>
      <c r="U2192" s="70">
        <f>IF($A2192="","",IFERROR(INDEX('Techniciens'!$F$5:$F$44,MATCH(O2192,'Techniciens'!$B$5:$B$44,0)),'Paramètres'!$AA$10))</f>
        <v/>
      </c>
      <c r="V2192" s="70">
        <f>IF($A2192="","",IF(OR(AC2192="Demandé",AC2192="Planifié",AC2192="Annulé"),0,N(T2192)*N(U2192)))</f>
        <v/>
      </c>
      <c r="W2192" s="70">
        <f>IF($A2192="","",SUMIFS('Mouvements stock'!$H$5:$H$3004,'Mouvements stock'!$I$5:$I$3004,$A2192,'Mouvements stock'!$C$5:$C$3004,"Sortie")-SUMIFS('Mouvements stock'!$H$5:$H$3004,'Mouvements stock'!$I$5:$I$3004,$A2192,'Mouvements stock'!$C$5:$C$3004,"Retour"))</f>
        <v/>
      </c>
      <c r="X2192" s="66" t="n"/>
      <c r="Y2192" s="66" t="n"/>
      <c r="Z2192" s="7" t="n"/>
      <c r="AA2192" s="70">
        <f>IF($A2192="","",N(V2192)+N(W2192)+N(X2192)+N(Y2192))</f>
        <v/>
      </c>
      <c r="AB2192" s="70">
        <f>IF($A2192="","",N(S2192)*'Paramètres'!$AA$9*IFERROR(INDEX('Paramètres'!$O$5:$O$7,MATCH(G2192,'Paramètres'!$N$5:$N$7,0)),0))</f>
        <v/>
      </c>
      <c r="AC2192" s="7" t="n"/>
      <c r="AD2192" s="69">
        <f>IF(OR($A2192="",Q2192=""),"",(Q2192-B2192)*24)</f>
        <v/>
      </c>
      <c r="AE2192" s="69">
        <f>IF(OR(Q2192="",R2192=""),"",(R2192-Q2192)*24)</f>
        <v/>
      </c>
      <c r="AF2192" s="77">
        <f>IF(OR($A2192="",B2192=""),"",YEAR(B2192))</f>
        <v/>
      </c>
      <c r="AG2192" s="77">
        <f>IF(OR($A2192="",B2192=""),"",MONTH(B2192))</f>
        <v/>
      </c>
    </row>
    <row r="2193">
      <c r="A2193" s="7" t="n"/>
      <c r="B2193" s="75" t="n"/>
      <c r="C2193" s="7" t="n"/>
      <c r="D2193" s="7" t="n"/>
      <c r="E2193" s="9">
        <f>IF(D2193="","",IFERROR(INDEX('Équipements'!$B$5:$B$304,MATCH(D2193,'Équipements'!$A$5:$A$304,0)),"Code inconnu"))</f>
        <v/>
      </c>
      <c r="F2193" s="9">
        <f>IF(D2193="","",IFERROR(INDEX('Équipements'!$D$5:$D$304,MATCH(D2193,'Équipements'!$A$5:$A$304,0)),""))</f>
        <v/>
      </c>
      <c r="G2193" s="9">
        <f>IF(D2193="","",IFERROR(INDEX('Équipements'!$K$5:$K$304,MATCH(D2193,'Équipements'!$A$5:$A$304,0)),""))</f>
        <v/>
      </c>
      <c r="H2193" s="7" t="n"/>
      <c r="I2193" s="7" t="n"/>
      <c r="J2193" s="7" t="n"/>
      <c r="K2193" s="7" t="n"/>
      <c r="L2193" s="7" t="n"/>
      <c r="M2193" s="7" t="n"/>
      <c r="N2193" s="7" t="n"/>
      <c r="O2193" s="7" t="n"/>
      <c r="P2193" s="65" t="n"/>
      <c r="Q2193" s="75" t="n"/>
      <c r="R2193" s="75" t="n"/>
      <c r="S2193" s="76" t="n"/>
      <c r="T2193" s="76" t="n"/>
      <c r="U2193" s="70">
        <f>IF($A2193="","",IFERROR(INDEX('Techniciens'!$F$5:$F$44,MATCH(O2193,'Techniciens'!$B$5:$B$44,0)),'Paramètres'!$AA$10))</f>
        <v/>
      </c>
      <c r="V2193" s="70">
        <f>IF($A2193="","",IF(OR(AC2193="Demandé",AC2193="Planifié",AC2193="Annulé"),0,N(T2193)*N(U2193)))</f>
        <v/>
      </c>
      <c r="W2193" s="70">
        <f>IF($A2193="","",SUMIFS('Mouvements stock'!$H$5:$H$3004,'Mouvements stock'!$I$5:$I$3004,$A2193,'Mouvements stock'!$C$5:$C$3004,"Sortie")-SUMIFS('Mouvements stock'!$H$5:$H$3004,'Mouvements stock'!$I$5:$I$3004,$A2193,'Mouvements stock'!$C$5:$C$3004,"Retour"))</f>
        <v/>
      </c>
      <c r="X2193" s="66" t="n"/>
      <c r="Y2193" s="66" t="n"/>
      <c r="Z2193" s="7" t="n"/>
      <c r="AA2193" s="70">
        <f>IF($A2193="","",N(V2193)+N(W2193)+N(X2193)+N(Y2193))</f>
        <v/>
      </c>
      <c r="AB2193" s="70">
        <f>IF($A2193="","",N(S2193)*'Paramètres'!$AA$9*IFERROR(INDEX('Paramètres'!$O$5:$O$7,MATCH(G2193,'Paramètres'!$N$5:$N$7,0)),0))</f>
        <v/>
      </c>
      <c r="AC2193" s="7" t="n"/>
      <c r="AD2193" s="69">
        <f>IF(OR($A2193="",Q2193=""),"",(Q2193-B2193)*24)</f>
        <v/>
      </c>
      <c r="AE2193" s="69">
        <f>IF(OR(Q2193="",R2193=""),"",(R2193-Q2193)*24)</f>
        <v/>
      </c>
      <c r="AF2193" s="77">
        <f>IF(OR($A2193="",B2193=""),"",YEAR(B2193))</f>
        <v/>
      </c>
      <c r="AG2193" s="77">
        <f>IF(OR($A2193="",B2193=""),"",MONTH(B2193))</f>
        <v/>
      </c>
    </row>
    <row r="2194">
      <c r="A2194" s="7" t="n"/>
      <c r="B2194" s="75" t="n"/>
      <c r="C2194" s="7" t="n"/>
      <c r="D2194" s="7" t="n"/>
      <c r="E2194" s="9">
        <f>IF(D2194="","",IFERROR(INDEX('Équipements'!$B$5:$B$304,MATCH(D2194,'Équipements'!$A$5:$A$304,0)),"Code inconnu"))</f>
        <v/>
      </c>
      <c r="F2194" s="9">
        <f>IF(D2194="","",IFERROR(INDEX('Équipements'!$D$5:$D$304,MATCH(D2194,'Équipements'!$A$5:$A$304,0)),""))</f>
        <v/>
      </c>
      <c r="G2194" s="9">
        <f>IF(D2194="","",IFERROR(INDEX('Équipements'!$K$5:$K$304,MATCH(D2194,'Équipements'!$A$5:$A$304,0)),""))</f>
        <v/>
      </c>
      <c r="H2194" s="7" t="n"/>
      <c r="I2194" s="7" t="n"/>
      <c r="J2194" s="7" t="n"/>
      <c r="K2194" s="7" t="n"/>
      <c r="L2194" s="7" t="n"/>
      <c r="M2194" s="7" t="n"/>
      <c r="N2194" s="7" t="n"/>
      <c r="O2194" s="7" t="n"/>
      <c r="P2194" s="65" t="n"/>
      <c r="Q2194" s="75" t="n"/>
      <c r="R2194" s="75" t="n"/>
      <c r="S2194" s="76" t="n"/>
      <c r="T2194" s="76" t="n"/>
      <c r="U2194" s="70">
        <f>IF($A2194="","",IFERROR(INDEX('Techniciens'!$F$5:$F$44,MATCH(O2194,'Techniciens'!$B$5:$B$44,0)),'Paramètres'!$AA$10))</f>
        <v/>
      </c>
      <c r="V2194" s="70">
        <f>IF($A2194="","",IF(OR(AC2194="Demandé",AC2194="Planifié",AC2194="Annulé"),0,N(T2194)*N(U2194)))</f>
        <v/>
      </c>
      <c r="W2194" s="70">
        <f>IF($A2194="","",SUMIFS('Mouvements stock'!$H$5:$H$3004,'Mouvements stock'!$I$5:$I$3004,$A2194,'Mouvements stock'!$C$5:$C$3004,"Sortie")-SUMIFS('Mouvements stock'!$H$5:$H$3004,'Mouvements stock'!$I$5:$I$3004,$A2194,'Mouvements stock'!$C$5:$C$3004,"Retour"))</f>
        <v/>
      </c>
      <c r="X2194" s="66" t="n"/>
      <c r="Y2194" s="66" t="n"/>
      <c r="Z2194" s="7" t="n"/>
      <c r="AA2194" s="70">
        <f>IF($A2194="","",N(V2194)+N(W2194)+N(X2194)+N(Y2194))</f>
        <v/>
      </c>
      <c r="AB2194" s="70">
        <f>IF($A2194="","",N(S2194)*'Paramètres'!$AA$9*IFERROR(INDEX('Paramètres'!$O$5:$O$7,MATCH(G2194,'Paramètres'!$N$5:$N$7,0)),0))</f>
        <v/>
      </c>
      <c r="AC2194" s="7" t="n"/>
      <c r="AD2194" s="69">
        <f>IF(OR($A2194="",Q2194=""),"",(Q2194-B2194)*24)</f>
        <v/>
      </c>
      <c r="AE2194" s="69">
        <f>IF(OR(Q2194="",R2194=""),"",(R2194-Q2194)*24)</f>
        <v/>
      </c>
      <c r="AF2194" s="77">
        <f>IF(OR($A2194="",B2194=""),"",YEAR(B2194))</f>
        <v/>
      </c>
      <c r="AG2194" s="77">
        <f>IF(OR($A2194="",B2194=""),"",MONTH(B2194))</f>
        <v/>
      </c>
    </row>
    <row r="2195">
      <c r="A2195" s="7" t="n"/>
      <c r="B2195" s="75" t="n"/>
      <c r="C2195" s="7" t="n"/>
      <c r="D2195" s="7" t="n"/>
      <c r="E2195" s="9">
        <f>IF(D2195="","",IFERROR(INDEX('Équipements'!$B$5:$B$304,MATCH(D2195,'Équipements'!$A$5:$A$304,0)),"Code inconnu"))</f>
        <v/>
      </c>
      <c r="F2195" s="9">
        <f>IF(D2195="","",IFERROR(INDEX('Équipements'!$D$5:$D$304,MATCH(D2195,'Équipements'!$A$5:$A$304,0)),""))</f>
        <v/>
      </c>
      <c r="G2195" s="9">
        <f>IF(D2195="","",IFERROR(INDEX('Équipements'!$K$5:$K$304,MATCH(D2195,'Équipements'!$A$5:$A$304,0)),""))</f>
        <v/>
      </c>
      <c r="H2195" s="7" t="n"/>
      <c r="I2195" s="7" t="n"/>
      <c r="J2195" s="7" t="n"/>
      <c r="K2195" s="7" t="n"/>
      <c r="L2195" s="7" t="n"/>
      <c r="M2195" s="7" t="n"/>
      <c r="N2195" s="7" t="n"/>
      <c r="O2195" s="7" t="n"/>
      <c r="P2195" s="65" t="n"/>
      <c r="Q2195" s="75" t="n"/>
      <c r="R2195" s="75" t="n"/>
      <c r="S2195" s="76" t="n"/>
      <c r="T2195" s="76" t="n"/>
      <c r="U2195" s="70">
        <f>IF($A2195="","",IFERROR(INDEX('Techniciens'!$F$5:$F$44,MATCH(O2195,'Techniciens'!$B$5:$B$44,0)),'Paramètres'!$AA$10))</f>
        <v/>
      </c>
      <c r="V2195" s="70">
        <f>IF($A2195="","",IF(OR(AC2195="Demandé",AC2195="Planifié",AC2195="Annulé"),0,N(T2195)*N(U2195)))</f>
        <v/>
      </c>
      <c r="W2195" s="70">
        <f>IF($A2195="","",SUMIFS('Mouvements stock'!$H$5:$H$3004,'Mouvements stock'!$I$5:$I$3004,$A2195,'Mouvements stock'!$C$5:$C$3004,"Sortie")-SUMIFS('Mouvements stock'!$H$5:$H$3004,'Mouvements stock'!$I$5:$I$3004,$A2195,'Mouvements stock'!$C$5:$C$3004,"Retour"))</f>
        <v/>
      </c>
      <c r="X2195" s="66" t="n"/>
      <c r="Y2195" s="66" t="n"/>
      <c r="Z2195" s="7" t="n"/>
      <c r="AA2195" s="70">
        <f>IF($A2195="","",N(V2195)+N(W2195)+N(X2195)+N(Y2195))</f>
        <v/>
      </c>
      <c r="AB2195" s="70">
        <f>IF($A2195="","",N(S2195)*'Paramètres'!$AA$9*IFERROR(INDEX('Paramètres'!$O$5:$O$7,MATCH(G2195,'Paramètres'!$N$5:$N$7,0)),0))</f>
        <v/>
      </c>
      <c r="AC2195" s="7" t="n"/>
      <c r="AD2195" s="69">
        <f>IF(OR($A2195="",Q2195=""),"",(Q2195-B2195)*24)</f>
        <v/>
      </c>
      <c r="AE2195" s="69">
        <f>IF(OR(Q2195="",R2195=""),"",(R2195-Q2195)*24)</f>
        <v/>
      </c>
      <c r="AF2195" s="77">
        <f>IF(OR($A2195="",B2195=""),"",YEAR(B2195))</f>
        <v/>
      </c>
      <c r="AG2195" s="77">
        <f>IF(OR($A2195="",B2195=""),"",MONTH(B2195))</f>
        <v/>
      </c>
    </row>
    <row r="2196">
      <c r="A2196" s="7" t="n"/>
      <c r="B2196" s="75" t="n"/>
      <c r="C2196" s="7" t="n"/>
      <c r="D2196" s="7" t="n"/>
      <c r="E2196" s="9">
        <f>IF(D2196="","",IFERROR(INDEX('Équipements'!$B$5:$B$304,MATCH(D2196,'Équipements'!$A$5:$A$304,0)),"Code inconnu"))</f>
        <v/>
      </c>
      <c r="F2196" s="9">
        <f>IF(D2196="","",IFERROR(INDEX('Équipements'!$D$5:$D$304,MATCH(D2196,'Équipements'!$A$5:$A$304,0)),""))</f>
        <v/>
      </c>
      <c r="G2196" s="9">
        <f>IF(D2196="","",IFERROR(INDEX('Équipements'!$K$5:$K$304,MATCH(D2196,'Équipements'!$A$5:$A$304,0)),""))</f>
        <v/>
      </c>
      <c r="H2196" s="7" t="n"/>
      <c r="I2196" s="7" t="n"/>
      <c r="J2196" s="7" t="n"/>
      <c r="K2196" s="7" t="n"/>
      <c r="L2196" s="7" t="n"/>
      <c r="M2196" s="7" t="n"/>
      <c r="N2196" s="7" t="n"/>
      <c r="O2196" s="7" t="n"/>
      <c r="P2196" s="65" t="n"/>
      <c r="Q2196" s="75" t="n"/>
      <c r="R2196" s="75" t="n"/>
      <c r="S2196" s="76" t="n"/>
      <c r="T2196" s="76" t="n"/>
      <c r="U2196" s="70">
        <f>IF($A2196="","",IFERROR(INDEX('Techniciens'!$F$5:$F$44,MATCH(O2196,'Techniciens'!$B$5:$B$44,0)),'Paramètres'!$AA$10))</f>
        <v/>
      </c>
      <c r="V2196" s="70">
        <f>IF($A2196="","",IF(OR(AC2196="Demandé",AC2196="Planifié",AC2196="Annulé"),0,N(T2196)*N(U2196)))</f>
        <v/>
      </c>
      <c r="W2196" s="70">
        <f>IF($A2196="","",SUMIFS('Mouvements stock'!$H$5:$H$3004,'Mouvements stock'!$I$5:$I$3004,$A2196,'Mouvements stock'!$C$5:$C$3004,"Sortie")-SUMIFS('Mouvements stock'!$H$5:$H$3004,'Mouvements stock'!$I$5:$I$3004,$A2196,'Mouvements stock'!$C$5:$C$3004,"Retour"))</f>
        <v/>
      </c>
      <c r="X2196" s="66" t="n"/>
      <c r="Y2196" s="66" t="n"/>
      <c r="Z2196" s="7" t="n"/>
      <c r="AA2196" s="70">
        <f>IF($A2196="","",N(V2196)+N(W2196)+N(X2196)+N(Y2196))</f>
        <v/>
      </c>
      <c r="AB2196" s="70">
        <f>IF($A2196="","",N(S2196)*'Paramètres'!$AA$9*IFERROR(INDEX('Paramètres'!$O$5:$O$7,MATCH(G2196,'Paramètres'!$N$5:$N$7,0)),0))</f>
        <v/>
      </c>
      <c r="AC2196" s="7" t="n"/>
      <c r="AD2196" s="69">
        <f>IF(OR($A2196="",Q2196=""),"",(Q2196-B2196)*24)</f>
        <v/>
      </c>
      <c r="AE2196" s="69">
        <f>IF(OR(Q2196="",R2196=""),"",(R2196-Q2196)*24)</f>
        <v/>
      </c>
      <c r="AF2196" s="77">
        <f>IF(OR($A2196="",B2196=""),"",YEAR(B2196))</f>
        <v/>
      </c>
      <c r="AG2196" s="77">
        <f>IF(OR($A2196="",B2196=""),"",MONTH(B2196))</f>
        <v/>
      </c>
    </row>
    <row r="2197">
      <c r="A2197" s="7" t="n"/>
      <c r="B2197" s="75" t="n"/>
      <c r="C2197" s="7" t="n"/>
      <c r="D2197" s="7" t="n"/>
      <c r="E2197" s="9">
        <f>IF(D2197="","",IFERROR(INDEX('Équipements'!$B$5:$B$304,MATCH(D2197,'Équipements'!$A$5:$A$304,0)),"Code inconnu"))</f>
        <v/>
      </c>
      <c r="F2197" s="9">
        <f>IF(D2197="","",IFERROR(INDEX('Équipements'!$D$5:$D$304,MATCH(D2197,'Équipements'!$A$5:$A$304,0)),""))</f>
        <v/>
      </c>
      <c r="G2197" s="9">
        <f>IF(D2197="","",IFERROR(INDEX('Équipements'!$K$5:$K$304,MATCH(D2197,'Équipements'!$A$5:$A$304,0)),""))</f>
        <v/>
      </c>
      <c r="H2197" s="7" t="n"/>
      <c r="I2197" s="7" t="n"/>
      <c r="J2197" s="7" t="n"/>
      <c r="K2197" s="7" t="n"/>
      <c r="L2197" s="7" t="n"/>
      <c r="M2197" s="7" t="n"/>
      <c r="N2197" s="7" t="n"/>
      <c r="O2197" s="7" t="n"/>
      <c r="P2197" s="65" t="n"/>
      <c r="Q2197" s="75" t="n"/>
      <c r="R2197" s="75" t="n"/>
      <c r="S2197" s="76" t="n"/>
      <c r="T2197" s="76" t="n"/>
      <c r="U2197" s="70">
        <f>IF($A2197="","",IFERROR(INDEX('Techniciens'!$F$5:$F$44,MATCH(O2197,'Techniciens'!$B$5:$B$44,0)),'Paramètres'!$AA$10))</f>
        <v/>
      </c>
      <c r="V2197" s="70">
        <f>IF($A2197="","",IF(OR(AC2197="Demandé",AC2197="Planifié",AC2197="Annulé"),0,N(T2197)*N(U2197)))</f>
        <v/>
      </c>
      <c r="W2197" s="70">
        <f>IF($A2197="","",SUMIFS('Mouvements stock'!$H$5:$H$3004,'Mouvements stock'!$I$5:$I$3004,$A2197,'Mouvements stock'!$C$5:$C$3004,"Sortie")-SUMIFS('Mouvements stock'!$H$5:$H$3004,'Mouvements stock'!$I$5:$I$3004,$A2197,'Mouvements stock'!$C$5:$C$3004,"Retour"))</f>
        <v/>
      </c>
      <c r="X2197" s="66" t="n"/>
      <c r="Y2197" s="66" t="n"/>
      <c r="Z2197" s="7" t="n"/>
      <c r="AA2197" s="70">
        <f>IF($A2197="","",N(V2197)+N(W2197)+N(X2197)+N(Y2197))</f>
        <v/>
      </c>
      <c r="AB2197" s="70">
        <f>IF($A2197="","",N(S2197)*'Paramètres'!$AA$9*IFERROR(INDEX('Paramètres'!$O$5:$O$7,MATCH(G2197,'Paramètres'!$N$5:$N$7,0)),0))</f>
        <v/>
      </c>
      <c r="AC2197" s="7" t="n"/>
      <c r="AD2197" s="69">
        <f>IF(OR($A2197="",Q2197=""),"",(Q2197-B2197)*24)</f>
        <v/>
      </c>
      <c r="AE2197" s="69">
        <f>IF(OR(Q2197="",R2197=""),"",(R2197-Q2197)*24)</f>
        <v/>
      </c>
      <c r="AF2197" s="77">
        <f>IF(OR($A2197="",B2197=""),"",YEAR(B2197))</f>
        <v/>
      </c>
      <c r="AG2197" s="77">
        <f>IF(OR($A2197="",B2197=""),"",MONTH(B2197))</f>
        <v/>
      </c>
    </row>
    <row r="2198">
      <c r="A2198" s="7" t="n"/>
      <c r="B2198" s="75" t="n"/>
      <c r="C2198" s="7" t="n"/>
      <c r="D2198" s="7" t="n"/>
      <c r="E2198" s="9">
        <f>IF(D2198="","",IFERROR(INDEX('Équipements'!$B$5:$B$304,MATCH(D2198,'Équipements'!$A$5:$A$304,0)),"Code inconnu"))</f>
        <v/>
      </c>
      <c r="F2198" s="9">
        <f>IF(D2198="","",IFERROR(INDEX('Équipements'!$D$5:$D$304,MATCH(D2198,'Équipements'!$A$5:$A$304,0)),""))</f>
        <v/>
      </c>
      <c r="G2198" s="9">
        <f>IF(D2198="","",IFERROR(INDEX('Équipements'!$K$5:$K$304,MATCH(D2198,'Équipements'!$A$5:$A$304,0)),""))</f>
        <v/>
      </c>
      <c r="H2198" s="7" t="n"/>
      <c r="I2198" s="7" t="n"/>
      <c r="J2198" s="7" t="n"/>
      <c r="K2198" s="7" t="n"/>
      <c r="L2198" s="7" t="n"/>
      <c r="M2198" s="7" t="n"/>
      <c r="N2198" s="7" t="n"/>
      <c r="O2198" s="7" t="n"/>
      <c r="P2198" s="65" t="n"/>
      <c r="Q2198" s="75" t="n"/>
      <c r="R2198" s="75" t="n"/>
      <c r="S2198" s="76" t="n"/>
      <c r="T2198" s="76" t="n"/>
      <c r="U2198" s="70">
        <f>IF($A2198="","",IFERROR(INDEX('Techniciens'!$F$5:$F$44,MATCH(O2198,'Techniciens'!$B$5:$B$44,0)),'Paramètres'!$AA$10))</f>
        <v/>
      </c>
      <c r="V2198" s="70">
        <f>IF($A2198="","",IF(OR(AC2198="Demandé",AC2198="Planifié",AC2198="Annulé"),0,N(T2198)*N(U2198)))</f>
        <v/>
      </c>
      <c r="W2198" s="70">
        <f>IF($A2198="","",SUMIFS('Mouvements stock'!$H$5:$H$3004,'Mouvements stock'!$I$5:$I$3004,$A2198,'Mouvements stock'!$C$5:$C$3004,"Sortie")-SUMIFS('Mouvements stock'!$H$5:$H$3004,'Mouvements stock'!$I$5:$I$3004,$A2198,'Mouvements stock'!$C$5:$C$3004,"Retour"))</f>
        <v/>
      </c>
      <c r="X2198" s="66" t="n"/>
      <c r="Y2198" s="66" t="n"/>
      <c r="Z2198" s="7" t="n"/>
      <c r="AA2198" s="70">
        <f>IF($A2198="","",N(V2198)+N(W2198)+N(X2198)+N(Y2198))</f>
        <v/>
      </c>
      <c r="AB2198" s="70">
        <f>IF($A2198="","",N(S2198)*'Paramètres'!$AA$9*IFERROR(INDEX('Paramètres'!$O$5:$O$7,MATCH(G2198,'Paramètres'!$N$5:$N$7,0)),0))</f>
        <v/>
      </c>
      <c r="AC2198" s="7" t="n"/>
      <c r="AD2198" s="69">
        <f>IF(OR($A2198="",Q2198=""),"",(Q2198-B2198)*24)</f>
        <v/>
      </c>
      <c r="AE2198" s="69">
        <f>IF(OR(Q2198="",R2198=""),"",(R2198-Q2198)*24)</f>
        <v/>
      </c>
      <c r="AF2198" s="77">
        <f>IF(OR($A2198="",B2198=""),"",YEAR(B2198))</f>
        <v/>
      </c>
      <c r="AG2198" s="77">
        <f>IF(OR($A2198="",B2198=""),"",MONTH(B2198))</f>
        <v/>
      </c>
    </row>
    <row r="2199">
      <c r="A2199" s="7" t="n"/>
      <c r="B2199" s="75" t="n"/>
      <c r="C2199" s="7" t="n"/>
      <c r="D2199" s="7" t="n"/>
      <c r="E2199" s="9">
        <f>IF(D2199="","",IFERROR(INDEX('Équipements'!$B$5:$B$304,MATCH(D2199,'Équipements'!$A$5:$A$304,0)),"Code inconnu"))</f>
        <v/>
      </c>
      <c r="F2199" s="9">
        <f>IF(D2199="","",IFERROR(INDEX('Équipements'!$D$5:$D$304,MATCH(D2199,'Équipements'!$A$5:$A$304,0)),""))</f>
        <v/>
      </c>
      <c r="G2199" s="9">
        <f>IF(D2199="","",IFERROR(INDEX('Équipements'!$K$5:$K$304,MATCH(D2199,'Équipements'!$A$5:$A$304,0)),""))</f>
        <v/>
      </c>
      <c r="H2199" s="7" t="n"/>
      <c r="I2199" s="7" t="n"/>
      <c r="J2199" s="7" t="n"/>
      <c r="K2199" s="7" t="n"/>
      <c r="L2199" s="7" t="n"/>
      <c r="M2199" s="7" t="n"/>
      <c r="N2199" s="7" t="n"/>
      <c r="O2199" s="7" t="n"/>
      <c r="P2199" s="65" t="n"/>
      <c r="Q2199" s="75" t="n"/>
      <c r="R2199" s="75" t="n"/>
      <c r="S2199" s="76" t="n"/>
      <c r="T2199" s="76" t="n"/>
      <c r="U2199" s="70">
        <f>IF($A2199="","",IFERROR(INDEX('Techniciens'!$F$5:$F$44,MATCH(O2199,'Techniciens'!$B$5:$B$44,0)),'Paramètres'!$AA$10))</f>
        <v/>
      </c>
      <c r="V2199" s="70">
        <f>IF($A2199="","",IF(OR(AC2199="Demandé",AC2199="Planifié",AC2199="Annulé"),0,N(T2199)*N(U2199)))</f>
        <v/>
      </c>
      <c r="W2199" s="70">
        <f>IF($A2199="","",SUMIFS('Mouvements stock'!$H$5:$H$3004,'Mouvements stock'!$I$5:$I$3004,$A2199,'Mouvements stock'!$C$5:$C$3004,"Sortie")-SUMIFS('Mouvements stock'!$H$5:$H$3004,'Mouvements stock'!$I$5:$I$3004,$A2199,'Mouvements stock'!$C$5:$C$3004,"Retour"))</f>
        <v/>
      </c>
      <c r="X2199" s="66" t="n"/>
      <c r="Y2199" s="66" t="n"/>
      <c r="Z2199" s="7" t="n"/>
      <c r="AA2199" s="70">
        <f>IF($A2199="","",N(V2199)+N(W2199)+N(X2199)+N(Y2199))</f>
        <v/>
      </c>
      <c r="AB2199" s="70">
        <f>IF($A2199="","",N(S2199)*'Paramètres'!$AA$9*IFERROR(INDEX('Paramètres'!$O$5:$O$7,MATCH(G2199,'Paramètres'!$N$5:$N$7,0)),0))</f>
        <v/>
      </c>
      <c r="AC2199" s="7" t="n"/>
      <c r="AD2199" s="69">
        <f>IF(OR($A2199="",Q2199=""),"",(Q2199-B2199)*24)</f>
        <v/>
      </c>
      <c r="AE2199" s="69">
        <f>IF(OR(Q2199="",R2199=""),"",(R2199-Q2199)*24)</f>
        <v/>
      </c>
      <c r="AF2199" s="77">
        <f>IF(OR($A2199="",B2199=""),"",YEAR(B2199))</f>
        <v/>
      </c>
      <c r="AG2199" s="77">
        <f>IF(OR($A2199="",B2199=""),"",MONTH(B2199))</f>
        <v/>
      </c>
    </row>
    <row r="2200">
      <c r="A2200" s="7" t="n"/>
      <c r="B2200" s="75" t="n"/>
      <c r="C2200" s="7" t="n"/>
      <c r="D2200" s="7" t="n"/>
      <c r="E2200" s="9">
        <f>IF(D2200="","",IFERROR(INDEX('Équipements'!$B$5:$B$304,MATCH(D2200,'Équipements'!$A$5:$A$304,0)),"Code inconnu"))</f>
        <v/>
      </c>
      <c r="F2200" s="9">
        <f>IF(D2200="","",IFERROR(INDEX('Équipements'!$D$5:$D$304,MATCH(D2200,'Équipements'!$A$5:$A$304,0)),""))</f>
        <v/>
      </c>
      <c r="G2200" s="9">
        <f>IF(D2200="","",IFERROR(INDEX('Équipements'!$K$5:$K$304,MATCH(D2200,'Équipements'!$A$5:$A$304,0)),""))</f>
        <v/>
      </c>
      <c r="H2200" s="7" t="n"/>
      <c r="I2200" s="7" t="n"/>
      <c r="J2200" s="7" t="n"/>
      <c r="K2200" s="7" t="n"/>
      <c r="L2200" s="7" t="n"/>
      <c r="M2200" s="7" t="n"/>
      <c r="N2200" s="7" t="n"/>
      <c r="O2200" s="7" t="n"/>
      <c r="P2200" s="65" t="n"/>
      <c r="Q2200" s="75" t="n"/>
      <c r="R2200" s="75" t="n"/>
      <c r="S2200" s="76" t="n"/>
      <c r="T2200" s="76" t="n"/>
      <c r="U2200" s="70">
        <f>IF($A2200="","",IFERROR(INDEX('Techniciens'!$F$5:$F$44,MATCH(O2200,'Techniciens'!$B$5:$B$44,0)),'Paramètres'!$AA$10))</f>
        <v/>
      </c>
      <c r="V2200" s="70">
        <f>IF($A2200="","",IF(OR(AC2200="Demandé",AC2200="Planifié",AC2200="Annulé"),0,N(T2200)*N(U2200)))</f>
        <v/>
      </c>
      <c r="W2200" s="70">
        <f>IF($A2200="","",SUMIFS('Mouvements stock'!$H$5:$H$3004,'Mouvements stock'!$I$5:$I$3004,$A2200,'Mouvements stock'!$C$5:$C$3004,"Sortie")-SUMIFS('Mouvements stock'!$H$5:$H$3004,'Mouvements stock'!$I$5:$I$3004,$A2200,'Mouvements stock'!$C$5:$C$3004,"Retour"))</f>
        <v/>
      </c>
      <c r="X2200" s="66" t="n"/>
      <c r="Y2200" s="66" t="n"/>
      <c r="Z2200" s="7" t="n"/>
      <c r="AA2200" s="70">
        <f>IF($A2200="","",N(V2200)+N(W2200)+N(X2200)+N(Y2200))</f>
        <v/>
      </c>
      <c r="AB2200" s="70">
        <f>IF($A2200="","",N(S2200)*'Paramètres'!$AA$9*IFERROR(INDEX('Paramètres'!$O$5:$O$7,MATCH(G2200,'Paramètres'!$N$5:$N$7,0)),0))</f>
        <v/>
      </c>
      <c r="AC2200" s="7" t="n"/>
      <c r="AD2200" s="69">
        <f>IF(OR($A2200="",Q2200=""),"",(Q2200-B2200)*24)</f>
        <v/>
      </c>
      <c r="AE2200" s="69">
        <f>IF(OR(Q2200="",R2200=""),"",(R2200-Q2200)*24)</f>
        <v/>
      </c>
      <c r="AF2200" s="77">
        <f>IF(OR($A2200="",B2200=""),"",YEAR(B2200))</f>
        <v/>
      </c>
      <c r="AG2200" s="77">
        <f>IF(OR($A2200="",B2200=""),"",MONTH(B2200))</f>
        <v/>
      </c>
    </row>
    <row r="2201">
      <c r="A2201" s="7" t="n"/>
      <c r="B2201" s="75" t="n"/>
      <c r="C2201" s="7" t="n"/>
      <c r="D2201" s="7" t="n"/>
      <c r="E2201" s="9">
        <f>IF(D2201="","",IFERROR(INDEX('Équipements'!$B$5:$B$304,MATCH(D2201,'Équipements'!$A$5:$A$304,0)),"Code inconnu"))</f>
        <v/>
      </c>
      <c r="F2201" s="9">
        <f>IF(D2201="","",IFERROR(INDEX('Équipements'!$D$5:$D$304,MATCH(D2201,'Équipements'!$A$5:$A$304,0)),""))</f>
        <v/>
      </c>
      <c r="G2201" s="9">
        <f>IF(D2201="","",IFERROR(INDEX('Équipements'!$K$5:$K$304,MATCH(D2201,'Équipements'!$A$5:$A$304,0)),""))</f>
        <v/>
      </c>
      <c r="H2201" s="7" t="n"/>
      <c r="I2201" s="7" t="n"/>
      <c r="J2201" s="7" t="n"/>
      <c r="K2201" s="7" t="n"/>
      <c r="L2201" s="7" t="n"/>
      <c r="M2201" s="7" t="n"/>
      <c r="N2201" s="7" t="n"/>
      <c r="O2201" s="7" t="n"/>
      <c r="P2201" s="65" t="n"/>
      <c r="Q2201" s="75" t="n"/>
      <c r="R2201" s="75" t="n"/>
      <c r="S2201" s="76" t="n"/>
      <c r="T2201" s="76" t="n"/>
      <c r="U2201" s="70">
        <f>IF($A2201="","",IFERROR(INDEX('Techniciens'!$F$5:$F$44,MATCH(O2201,'Techniciens'!$B$5:$B$44,0)),'Paramètres'!$AA$10))</f>
        <v/>
      </c>
      <c r="V2201" s="70">
        <f>IF($A2201="","",IF(OR(AC2201="Demandé",AC2201="Planifié",AC2201="Annulé"),0,N(T2201)*N(U2201)))</f>
        <v/>
      </c>
      <c r="W2201" s="70">
        <f>IF($A2201="","",SUMIFS('Mouvements stock'!$H$5:$H$3004,'Mouvements stock'!$I$5:$I$3004,$A2201,'Mouvements stock'!$C$5:$C$3004,"Sortie")-SUMIFS('Mouvements stock'!$H$5:$H$3004,'Mouvements stock'!$I$5:$I$3004,$A2201,'Mouvements stock'!$C$5:$C$3004,"Retour"))</f>
        <v/>
      </c>
      <c r="X2201" s="66" t="n"/>
      <c r="Y2201" s="66" t="n"/>
      <c r="Z2201" s="7" t="n"/>
      <c r="AA2201" s="70">
        <f>IF($A2201="","",N(V2201)+N(W2201)+N(X2201)+N(Y2201))</f>
        <v/>
      </c>
      <c r="AB2201" s="70">
        <f>IF($A2201="","",N(S2201)*'Paramètres'!$AA$9*IFERROR(INDEX('Paramètres'!$O$5:$O$7,MATCH(G2201,'Paramètres'!$N$5:$N$7,0)),0))</f>
        <v/>
      </c>
      <c r="AC2201" s="7" t="n"/>
      <c r="AD2201" s="69">
        <f>IF(OR($A2201="",Q2201=""),"",(Q2201-B2201)*24)</f>
        <v/>
      </c>
      <c r="AE2201" s="69">
        <f>IF(OR(Q2201="",R2201=""),"",(R2201-Q2201)*24)</f>
        <v/>
      </c>
      <c r="AF2201" s="77">
        <f>IF(OR($A2201="",B2201=""),"",YEAR(B2201))</f>
        <v/>
      </c>
      <c r="AG2201" s="77">
        <f>IF(OR($A2201="",B2201=""),"",MONTH(B2201))</f>
        <v/>
      </c>
    </row>
    <row r="2202">
      <c r="A2202" s="7" t="n"/>
      <c r="B2202" s="75" t="n"/>
      <c r="C2202" s="7" t="n"/>
      <c r="D2202" s="7" t="n"/>
      <c r="E2202" s="9">
        <f>IF(D2202="","",IFERROR(INDEX('Équipements'!$B$5:$B$304,MATCH(D2202,'Équipements'!$A$5:$A$304,0)),"Code inconnu"))</f>
        <v/>
      </c>
      <c r="F2202" s="9">
        <f>IF(D2202="","",IFERROR(INDEX('Équipements'!$D$5:$D$304,MATCH(D2202,'Équipements'!$A$5:$A$304,0)),""))</f>
        <v/>
      </c>
      <c r="G2202" s="9">
        <f>IF(D2202="","",IFERROR(INDEX('Équipements'!$K$5:$K$304,MATCH(D2202,'Équipements'!$A$5:$A$304,0)),""))</f>
        <v/>
      </c>
      <c r="H2202" s="7" t="n"/>
      <c r="I2202" s="7" t="n"/>
      <c r="J2202" s="7" t="n"/>
      <c r="K2202" s="7" t="n"/>
      <c r="L2202" s="7" t="n"/>
      <c r="M2202" s="7" t="n"/>
      <c r="N2202" s="7" t="n"/>
      <c r="O2202" s="7" t="n"/>
      <c r="P2202" s="65" t="n"/>
      <c r="Q2202" s="75" t="n"/>
      <c r="R2202" s="75" t="n"/>
      <c r="S2202" s="76" t="n"/>
      <c r="T2202" s="76" t="n"/>
      <c r="U2202" s="70">
        <f>IF($A2202="","",IFERROR(INDEX('Techniciens'!$F$5:$F$44,MATCH(O2202,'Techniciens'!$B$5:$B$44,0)),'Paramètres'!$AA$10))</f>
        <v/>
      </c>
      <c r="V2202" s="70">
        <f>IF($A2202="","",IF(OR(AC2202="Demandé",AC2202="Planifié",AC2202="Annulé"),0,N(T2202)*N(U2202)))</f>
        <v/>
      </c>
      <c r="W2202" s="70">
        <f>IF($A2202="","",SUMIFS('Mouvements stock'!$H$5:$H$3004,'Mouvements stock'!$I$5:$I$3004,$A2202,'Mouvements stock'!$C$5:$C$3004,"Sortie")-SUMIFS('Mouvements stock'!$H$5:$H$3004,'Mouvements stock'!$I$5:$I$3004,$A2202,'Mouvements stock'!$C$5:$C$3004,"Retour"))</f>
        <v/>
      </c>
      <c r="X2202" s="66" t="n"/>
      <c r="Y2202" s="66" t="n"/>
      <c r="Z2202" s="7" t="n"/>
      <c r="AA2202" s="70">
        <f>IF($A2202="","",N(V2202)+N(W2202)+N(X2202)+N(Y2202))</f>
        <v/>
      </c>
      <c r="AB2202" s="70">
        <f>IF($A2202="","",N(S2202)*'Paramètres'!$AA$9*IFERROR(INDEX('Paramètres'!$O$5:$O$7,MATCH(G2202,'Paramètres'!$N$5:$N$7,0)),0))</f>
        <v/>
      </c>
      <c r="AC2202" s="7" t="n"/>
      <c r="AD2202" s="69">
        <f>IF(OR($A2202="",Q2202=""),"",(Q2202-B2202)*24)</f>
        <v/>
      </c>
      <c r="AE2202" s="69">
        <f>IF(OR(Q2202="",R2202=""),"",(R2202-Q2202)*24)</f>
        <v/>
      </c>
      <c r="AF2202" s="77">
        <f>IF(OR($A2202="",B2202=""),"",YEAR(B2202))</f>
        <v/>
      </c>
      <c r="AG2202" s="77">
        <f>IF(OR($A2202="",B2202=""),"",MONTH(B2202))</f>
        <v/>
      </c>
    </row>
    <row r="2203">
      <c r="A2203" s="7" t="n"/>
      <c r="B2203" s="75" t="n"/>
      <c r="C2203" s="7" t="n"/>
      <c r="D2203" s="7" t="n"/>
      <c r="E2203" s="9">
        <f>IF(D2203="","",IFERROR(INDEX('Équipements'!$B$5:$B$304,MATCH(D2203,'Équipements'!$A$5:$A$304,0)),"Code inconnu"))</f>
        <v/>
      </c>
      <c r="F2203" s="9">
        <f>IF(D2203="","",IFERROR(INDEX('Équipements'!$D$5:$D$304,MATCH(D2203,'Équipements'!$A$5:$A$304,0)),""))</f>
        <v/>
      </c>
      <c r="G2203" s="9">
        <f>IF(D2203="","",IFERROR(INDEX('Équipements'!$K$5:$K$304,MATCH(D2203,'Équipements'!$A$5:$A$304,0)),""))</f>
        <v/>
      </c>
      <c r="H2203" s="7" t="n"/>
      <c r="I2203" s="7" t="n"/>
      <c r="J2203" s="7" t="n"/>
      <c r="K2203" s="7" t="n"/>
      <c r="L2203" s="7" t="n"/>
      <c r="M2203" s="7" t="n"/>
      <c r="N2203" s="7" t="n"/>
      <c r="O2203" s="7" t="n"/>
      <c r="P2203" s="65" t="n"/>
      <c r="Q2203" s="75" t="n"/>
      <c r="R2203" s="75" t="n"/>
      <c r="S2203" s="76" t="n"/>
      <c r="T2203" s="76" t="n"/>
      <c r="U2203" s="70">
        <f>IF($A2203="","",IFERROR(INDEX('Techniciens'!$F$5:$F$44,MATCH(O2203,'Techniciens'!$B$5:$B$44,0)),'Paramètres'!$AA$10))</f>
        <v/>
      </c>
      <c r="V2203" s="70">
        <f>IF($A2203="","",IF(OR(AC2203="Demandé",AC2203="Planifié",AC2203="Annulé"),0,N(T2203)*N(U2203)))</f>
        <v/>
      </c>
      <c r="W2203" s="70">
        <f>IF($A2203="","",SUMIFS('Mouvements stock'!$H$5:$H$3004,'Mouvements stock'!$I$5:$I$3004,$A2203,'Mouvements stock'!$C$5:$C$3004,"Sortie")-SUMIFS('Mouvements stock'!$H$5:$H$3004,'Mouvements stock'!$I$5:$I$3004,$A2203,'Mouvements stock'!$C$5:$C$3004,"Retour"))</f>
        <v/>
      </c>
      <c r="X2203" s="66" t="n"/>
      <c r="Y2203" s="66" t="n"/>
      <c r="Z2203" s="7" t="n"/>
      <c r="AA2203" s="70">
        <f>IF($A2203="","",N(V2203)+N(W2203)+N(X2203)+N(Y2203))</f>
        <v/>
      </c>
      <c r="AB2203" s="70">
        <f>IF($A2203="","",N(S2203)*'Paramètres'!$AA$9*IFERROR(INDEX('Paramètres'!$O$5:$O$7,MATCH(G2203,'Paramètres'!$N$5:$N$7,0)),0))</f>
        <v/>
      </c>
      <c r="AC2203" s="7" t="n"/>
      <c r="AD2203" s="69">
        <f>IF(OR($A2203="",Q2203=""),"",(Q2203-B2203)*24)</f>
        <v/>
      </c>
      <c r="AE2203" s="69">
        <f>IF(OR(Q2203="",R2203=""),"",(R2203-Q2203)*24)</f>
        <v/>
      </c>
      <c r="AF2203" s="77">
        <f>IF(OR($A2203="",B2203=""),"",YEAR(B2203))</f>
        <v/>
      </c>
      <c r="AG2203" s="77">
        <f>IF(OR($A2203="",B2203=""),"",MONTH(B2203))</f>
        <v/>
      </c>
    </row>
    <row r="2204">
      <c r="A2204" s="7" t="n"/>
      <c r="B2204" s="75" t="n"/>
      <c r="C2204" s="7" t="n"/>
      <c r="D2204" s="7" t="n"/>
      <c r="E2204" s="9">
        <f>IF(D2204="","",IFERROR(INDEX('Équipements'!$B$5:$B$304,MATCH(D2204,'Équipements'!$A$5:$A$304,0)),"Code inconnu"))</f>
        <v/>
      </c>
      <c r="F2204" s="9">
        <f>IF(D2204="","",IFERROR(INDEX('Équipements'!$D$5:$D$304,MATCH(D2204,'Équipements'!$A$5:$A$304,0)),""))</f>
        <v/>
      </c>
      <c r="G2204" s="9">
        <f>IF(D2204="","",IFERROR(INDEX('Équipements'!$K$5:$K$304,MATCH(D2204,'Équipements'!$A$5:$A$304,0)),""))</f>
        <v/>
      </c>
      <c r="H2204" s="7" t="n"/>
      <c r="I2204" s="7" t="n"/>
      <c r="J2204" s="7" t="n"/>
      <c r="K2204" s="7" t="n"/>
      <c r="L2204" s="7" t="n"/>
      <c r="M2204" s="7" t="n"/>
      <c r="N2204" s="7" t="n"/>
      <c r="O2204" s="7" t="n"/>
      <c r="P2204" s="65" t="n"/>
      <c r="Q2204" s="75" t="n"/>
      <c r="R2204" s="75" t="n"/>
      <c r="S2204" s="76" t="n"/>
      <c r="T2204" s="76" t="n"/>
      <c r="U2204" s="70">
        <f>IF($A2204="","",IFERROR(INDEX('Techniciens'!$F$5:$F$44,MATCH(O2204,'Techniciens'!$B$5:$B$44,0)),'Paramètres'!$AA$10))</f>
        <v/>
      </c>
      <c r="V2204" s="70">
        <f>IF($A2204="","",IF(OR(AC2204="Demandé",AC2204="Planifié",AC2204="Annulé"),0,N(T2204)*N(U2204)))</f>
        <v/>
      </c>
      <c r="W2204" s="70">
        <f>IF($A2204="","",SUMIFS('Mouvements stock'!$H$5:$H$3004,'Mouvements stock'!$I$5:$I$3004,$A2204,'Mouvements stock'!$C$5:$C$3004,"Sortie")-SUMIFS('Mouvements stock'!$H$5:$H$3004,'Mouvements stock'!$I$5:$I$3004,$A2204,'Mouvements stock'!$C$5:$C$3004,"Retour"))</f>
        <v/>
      </c>
      <c r="X2204" s="66" t="n"/>
      <c r="Y2204" s="66" t="n"/>
      <c r="Z2204" s="7" t="n"/>
      <c r="AA2204" s="70">
        <f>IF($A2204="","",N(V2204)+N(W2204)+N(X2204)+N(Y2204))</f>
        <v/>
      </c>
      <c r="AB2204" s="70">
        <f>IF($A2204="","",N(S2204)*'Paramètres'!$AA$9*IFERROR(INDEX('Paramètres'!$O$5:$O$7,MATCH(G2204,'Paramètres'!$N$5:$N$7,0)),0))</f>
        <v/>
      </c>
      <c r="AC2204" s="7" t="n"/>
      <c r="AD2204" s="69">
        <f>IF(OR($A2204="",Q2204=""),"",(Q2204-B2204)*24)</f>
        <v/>
      </c>
      <c r="AE2204" s="69">
        <f>IF(OR(Q2204="",R2204=""),"",(R2204-Q2204)*24)</f>
        <v/>
      </c>
      <c r="AF2204" s="77">
        <f>IF(OR($A2204="",B2204=""),"",YEAR(B2204))</f>
        <v/>
      </c>
      <c r="AG2204" s="77">
        <f>IF(OR($A2204="",B2204=""),"",MONTH(B2204))</f>
        <v/>
      </c>
    </row>
    <row r="2205">
      <c r="A2205" s="7" t="n"/>
      <c r="B2205" s="75" t="n"/>
      <c r="C2205" s="7" t="n"/>
      <c r="D2205" s="7" t="n"/>
      <c r="E2205" s="9">
        <f>IF(D2205="","",IFERROR(INDEX('Équipements'!$B$5:$B$304,MATCH(D2205,'Équipements'!$A$5:$A$304,0)),"Code inconnu"))</f>
        <v/>
      </c>
      <c r="F2205" s="9">
        <f>IF(D2205="","",IFERROR(INDEX('Équipements'!$D$5:$D$304,MATCH(D2205,'Équipements'!$A$5:$A$304,0)),""))</f>
        <v/>
      </c>
      <c r="G2205" s="9">
        <f>IF(D2205="","",IFERROR(INDEX('Équipements'!$K$5:$K$304,MATCH(D2205,'Équipements'!$A$5:$A$304,0)),""))</f>
        <v/>
      </c>
      <c r="H2205" s="7" t="n"/>
      <c r="I2205" s="7" t="n"/>
      <c r="J2205" s="7" t="n"/>
      <c r="K2205" s="7" t="n"/>
      <c r="L2205" s="7" t="n"/>
      <c r="M2205" s="7" t="n"/>
      <c r="N2205" s="7" t="n"/>
      <c r="O2205" s="7" t="n"/>
      <c r="P2205" s="65" t="n"/>
      <c r="Q2205" s="75" t="n"/>
      <c r="R2205" s="75" t="n"/>
      <c r="S2205" s="76" t="n"/>
      <c r="T2205" s="76" t="n"/>
      <c r="U2205" s="70">
        <f>IF($A2205="","",IFERROR(INDEX('Techniciens'!$F$5:$F$44,MATCH(O2205,'Techniciens'!$B$5:$B$44,0)),'Paramètres'!$AA$10))</f>
        <v/>
      </c>
      <c r="V2205" s="70">
        <f>IF($A2205="","",IF(OR(AC2205="Demandé",AC2205="Planifié",AC2205="Annulé"),0,N(T2205)*N(U2205)))</f>
        <v/>
      </c>
      <c r="W2205" s="70">
        <f>IF($A2205="","",SUMIFS('Mouvements stock'!$H$5:$H$3004,'Mouvements stock'!$I$5:$I$3004,$A2205,'Mouvements stock'!$C$5:$C$3004,"Sortie")-SUMIFS('Mouvements stock'!$H$5:$H$3004,'Mouvements stock'!$I$5:$I$3004,$A2205,'Mouvements stock'!$C$5:$C$3004,"Retour"))</f>
        <v/>
      </c>
      <c r="X2205" s="66" t="n"/>
      <c r="Y2205" s="66" t="n"/>
      <c r="Z2205" s="7" t="n"/>
      <c r="AA2205" s="70">
        <f>IF($A2205="","",N(V2205)+N(W2205)+N(X2205)+N(Y2205))</f>
        <v/>
      </c>
      <c r="AB2205" s="70">
        <f>IF($A2205="","",N(S2205)*'Paramètres'!$AA$9*IFERROR(INDEX('Paramètres'!$O$5:$O$7,MATCH(G2205,'Paramètres'!$N$5:$N$7,0)),0))</f>
        <v/>
      </c>
      <c r="AC2205" s="7" t="n"/>
      <c r="AD2205" s="69">
        <f>IF(OR($A2205="",Q2205=""),"",(Q2205-B2205)*24)</f>
        <v/>
      </c>
      <c r="AE2205" s="69">
        <f>IF(OR(Q2205="",R2205=""),"",(R2205-Q2205)*24)</f>
        <v/>
      </c>
      <c r="AF2205" s="77">
        <f>IF(OR($A2205="",B2205=""),"",YEAR(B2205))</f>
        <v/>
      </c>
      <c r="AG2205" s="77">
        <f>IF(OR($A2205="",B2205=""),"",MONTH(B2205))</f>
        <v/>
      </c>
    </row>
    <row r="2206">
      <c r="A2206" s="7" t="n"/>
      <c r="B2206" s="75" t="n"/>
      <c r="C2206" s="7" t="n"/>
      <c r="D2206" s="7" t="n"/>
      <c r="E2206" s="9">
        <f>IF(D2206="","",IFERROR(INDEX('Équipements'!$B$5:$B$304,MATCH(D2206,'Équipements'!$A$5:$A$304,0)),"Code inconnu"))</f>
        <v/>
      </c>
      <c r="F2206" s="9">
        <f>IF(D2206="","",IFERROR(INDEX('Équipements'!$D$5:$D$304,MATCH(D2206,'Équipements'!$A$5:$A$304,0)),""))</f>
        <v/>
      </c>
      <c r="G2206" s="9">
        <f>IF(D2206="","",IFERROR(INDEX('Équipements'!$K$5:$K$304,MATCH(D2206,'Équipements'!$A$5:$A$304,0)),""))</f>
        <v/>
      </c>
      <c r="H2206" s="7" t="n"/>
      <c r="I2206" s="7" t="n"/>
      <c r="J2206" s="7" t="n"/>
      <c r="K2206" s="7" t="n"/>
      <c r="L2206" s="7" t="n"/>
      <c r="M2206" s="7" t="n"/>
      <c r="N2206" s="7" t="n"/>
      <c r="O2206" s="7" t="n"/>
      <c r="P2206" s="65" t="n"/>
      <c r="Q2206" s="75" t="n"/>
      <c r="R2206" s="75" t="n"/>
      <c r="S2206" s="76" t="n"/>
      <c r="T2206" s="76" t="n"/>
      <c r="U2206" s="70">
        <f>IF($A2206="","",IFERROR(INDEX('Techniciens'!$F$5:$F$44,MATCH(O2206,'Techniciens'!$B$5:$B$44,0)),'Paramètres'!$AA$10))</f>
        <v/>
      </c>
      <c r="V2206" s="70">
        <f>IF($A2206="","",IF(OR(AC2206="Demandé",AC2206="Planifié",AC2206="Annulé"),0,N(T2206)*N(U2206)))</f>
        <v/>
      </c>
      <c r="W2206" s="70">
        <f>IF($A2206="","",SUMIFS('Mouvements stock'!$H$5:$H$3004,'Mouvements stock'!$I$5:$I$3004,$A2206,'Mouvements stock'!$C$5:$C$3004,"Sortie")-SUMIFS('Mouvements stock'!$H$5:$H$3004,'Mouvements stock'!$I$5:$I$3004,$A2206,'Mouvements stock'!$C$5:$C$3004,"Retour"))</f>
        <v/>
      </c>
      <c r="X2206" s="66" t="n"/>
      <c r="Y2206" s="66" t="n"/>
      <c r="Z2206" s="7" t="n"/>
      <c r="AA2206" s="70">
        <f>IF($A2206="","",N(V2206)+N(W2206)+N(X2206)+N(Y2206))</f>
        <v/>
      </c>
      <c r="AB2206" s="70">
        <f>IF($A2206="","",N(S2206)*'Paramètres'!$AA$9*IFERROR(INDEX('Paramètres'!$O$5:$O$7,MATCH(G2206,'Paramètres'!$N$5:$N$7,0)),0))</f>
        <v/>
      </c>
      <c r="AC2206" s="7" t="n"/>
      <c r="AD2206" s="69">
        <f>IF(OR($A2206="",Q2206=""),"",(Q2206-B2206)*24)</f>
        <v/>
      </c>
      <c r="AE2206" s="69">
        <f>IF(OR(Q2206="",R2206=""),"",(R2206-Q2206)*24)</f>
        <v/>
      </c>
      <c r="AF2206" s="77">
        <f>IF(OR($A2206="",B2206=""),"",YEAR(B2206))</f>
        <v/>
      </c>
      <c r="AG2206" s="77">
        <f>IF(OR($A2206="",B2206=""),"",MONTH(B2206))</f>
        <v/>
      </c>
    </row>
    <row r="2207">
      <c r="A2207" s="7" t="n"/>
      <c r="B2207" s="75" t="n"/>
      <c r="C2207" s="7" t="n"/>
      <c r="D2207" s="7" t="n"/>
      <c r="E2207" s="9">
        <f>IF(D2207="","",IFERROR(INDEX('Équipements'!$B$5:$B$304,MATCH(D2207,'Équipements'!$A$5:$A$304,0)),"Code inconnu"))</f>
        <v/>
      </c>
      <c r="F2207" s="9">
        <f>IF(D2207="","",IFERROR(INDEX('Équipements'!$D$5:$D$304,MATCH(D2207,'Équipements'!$A$5:$A$304,0)),""))</f>
        <v/>
      </c>
      <c r="G2207" s="9">
        <f>IF(D2207="","",IFERROR(INDEX('Équipements'!$K$5:$K$304,MATCH(D2207,'Équipements'!$A$5:$A$304,0)),""))</f>
        <v/>
      </c>
      <c r="H2207" s="7" t="n"/>
      <c r="I2207" s="7" t="n"/>
      <c r="J2207" s="7" t="n"/>
      <c r="K2207" s="7" t="n"/>
      <c r="L2207" s="7" t="n"/>
      <c r="M2207" s="7" t="n"/>
      <c r="N2207" s="7" t="n"/>
      <c r="O2207" s="7" t="n"/>
      <c r="P2207" s="65" t="n"/>
      <c r="Q2207" s="75" t="n"/>
      <c r="R2207" s="75" t="n"/>
      <c r="S2207" s="76" t="n"/>
      <c r="T2207" s="76" t="n"/>
      <c r="U2207" s="70">
        <f>IF($A2207="","",IFERROR(INDEX('Techniciens'!$F$5:$F$44,MATCH(O2207,'Techniciens'!$B$5:$B$44,0)),'Paramètres'!$AA$10))</f>
        <v/>
      </c>
      <c r="V2207" s="70">
        <f>IF($A2207="","",IF(OR(AC2207="Demandé",AC2207="Planifié",AC2207="Annulé"),0,N(T2207)*N(U2207)))</f>
        <v/>
      </c>
      <c r="W2207" s="70">
        <f>IF($A2207="","",SUMIFS('Mouvements stock'!$H$5:$H$3004,'Mouvements stock'!$I$5:$I$3004,$A2207,'Mouvements stock'!$C$5:$C$3004,"Sortie")-SUMIFS('Mouvements stock'!$H$5:$H$3004,'Mouvements stock'!$I$5:$I$3004,$A2207,'Mouvements stock'!$C$5:$C$3004,"Retour"))</f>
        <v/>
      </c>
      <c r="X2207" s="66" t="n"/>
      <c r="Y2207" s="66" t="n"/>
      <c r="Z2207" s="7" t="n"/>
      <c r="AA2207" s="70">
        <f>IF($A2207="","",N(V2207)+N(W2207)+N(X2207)+N(Y2207))</f>
        <v/>
      </c>
      <c r="AB2207" s="70">
        <f>IF($A2207="","",N(S2207)*'Paramètres'!$AA$9*IFERROR(INDEX('Paramètres'!$O$5:$O$7,MATCH(G2207,'Paramètres'!$N$5:$N$7,0)),0))</f>
        <v/>
      </c>
      <c r="AC2207" s="7" t="n"/>
      <c r="AD2207" s="69">
        <f>IF(OR($A2207="",Q2207=""),"",(Q2207-B2207)*24)</f>
        <v/>
      </c>
      <c r="AE2207" s="69">
        <f>IF(OR(Q2207="",R2207=""),"",(R2207-Q2207)*24)</f>
        <v/>
      </c>
      <c r="AF2207" s="77">
        <f>IF(OR($A2207="",B2207=""),"",YEAR(B2207))</f>
        <v/>
      </c>
      <c r="AG2207" s="77">
        <f>IF(OR($A2207="",B2207=""),"",MONTH(B2207))</f>
        <v/>
      </c>
    </row>
    <row r="2208">
      <c r="A2208" s="7" t="n"/>
      <c r="B2208" s="75" t="n"/>
      <c r="C2208" s="7" t="n"/>
      <c r="D2208" s="7" t="n"/>
      <c r="E2208" s="9">
        <f>IF(D2208="","",IFERROR(INDEX('Équipements'!$B$5:$B$304,MATCH(D2208,'Équipements'!$A$5:$A$304,0)),"Code inconnu"))</f>
        <v/>
      </c>
      <c r="F2208" s="9">
        <f>IF(D2208="","",IFERROR(INDEX('Équipements'!$D$5:$D$304,MATCH(D2208,'Équipements'!$A$5:$A$304,0)),""))</f>
        <v/>
      </c>
      <c r="G2208" s="9">
        <f>IF(D2208="","",IFERROR(INDEX('Équipements'!$K$5:$K$304,MATCH(D2208,'Équipements'!$A$5:$A$304,0)),""))</f>
        <v/>
      </c>
      <c r="H2208" s="7" t="n"/>
      <c r="I2208" s="7" t="n"/>
      <c r="J2208" s="7" t="n"/>
      <c r="K2208" s="7" t="n"/>
      <c r="L2208" s="7" t="n"/>
      <c r="M2208" s="7" t="n"/>
      <c r="N2208" s="7" t="n"/>
      <c r="O2208" s="7" t="n"/>
      <c r="P2208" s="65" t="n"/>
      <c r="Q2208" s="75" t="n"/>
      <c r="R2208" s="75" t="n"/>
      <c r="S2208" s="76" t="n"/>
      <c r="T2208" s="76" t="n"/>
      <c r="U2208" s="70">
        <f>IF($A2208="","",IFERROR(INDEX('Techniciens'!$F$5:$F$44,MATCH(O2208,'Techniciens'!$B$5:$B$44,0)),'Paramètres'!$AA$10))</f>
        <v/>
      </c>
      <c r="V2208" s="70">
        <f>IF($A2208="","",IF(OR(AC2208="Demandé",AC2208="Planifié",AC2208="Annulé"),0,N(T2208)*N(U2208)))</f>
        <v/>
      </c>
      <c r="W2208" s="70">
        <f>IF($A2208="","",SUMIFS('Mouvements stock'!$H$5:$H$3004,'Mouvements stock'!$I$5:$I$3004,$A2208,'Mouvements stock'!$C$5:$C$3004,"Sortie")-SUMIFS('Mouvements stock'!$H$5:$H$3004,'Mouvements stock'!$I$5:$I$3004,$A2208,'Mouvements stock'!$C$5:$C$3004,"Retour"))</f>
        <v/>
      </c>
      <c r="X2208" s="66" t="n"/>
      <c r="Y2208" s="66" t="n"/>
      <c r="Z2208" s="7" t="n"/>
      <c r="AA2208" s="70">
        <f>IF($A2208="","",N(V2208)+N(W2208)+N(X2208)+N(Y2208))</f>
        <v/>
      </c>
      <c r="AB2208" s="70">
        <f>IF($A2208="","",N(S2208)*'Paramètres'!$AA$9*IFERROR(INDEX('Paramètres'!$O$5:$O$7,MATCH(G2208,'Paramètres'!$N$5:$N$7,0)),0))</f>
        <v/>
      </c>
      <c r="AC2208" s="7" t="n"/>
      <c r="AD2208" s="69">
        <f>IF(OR($A2208="",Q2208=""),"",(Q2208-B2208)*24)</f>
        <v/>
      </c>
      <c r="AE2208" s="69">
        <f>IF(OR(Q2208="",R2208=""),"",(R2208-Q2208)*24)</f>
        <v/>
      </c>
      <c r="AF2208" s="77">
        <f>IF(OR($A2208="",B2208=""),"",YEAR(B2208))</f>
        <v/>
      </c>
      <c r="AG2208" s="77">
        <f>IF(OR($A2208="",B2208=""),"",MONTH(B2208))</f>
        <v/>
      </c>
    </row>
    <row r="2209">
      <c r="A2209" s="7" t="n"/>
      <c r="B2209" s="75" t="n"/>
      <c r="C2209" s="7" t="n"/>
      <c r="D2209" s="7" t="n"/>
      <c r="E2209" s="9">
        <f>IF(D2209="","",IFERROR(INDEX('Équipements'!$B$5:$B$304,MATCH(D2209,'Équipements'!$A$5:$A$304,0)),"Code inconnu"))</f>
        <v/>
      </c>
      <c r="F2209" s="9">
        <f>IF(D2209="","",IFERROR(INDEX('Équipements'!$D$5:$D$304,MATCH(D2209,'Équipements'!$A$5:$A$304,0)),""))</f>
        <v/>
      </c>
      <c r="G2209" s="9">
        <f>IF(D2209="","",IFERROR(INDEX('Équipements'!$K$5:$K$304,MATCH(D2209,'Équipements'!$A$5:$A$304,0)),""))</f>
        <v/>
      </c>
      <c r="H2209" s="7" t="n"/>
      <c r="I2209" s="7" t="n"/>
      <c r="J2209" s="7" t="n"/>
      <c r="K2209" s="7" t="n"/>
      <c r="L2209" s="7" t="n"/>
      <c r="M2209" s="7" t="n"/>
      <c r="N2209" s="7" t="n"/>
      <c r="O2209" s="7" t="n"/>
      <c r="P2209" s="65" t="n"/>
      <c r="Q2209" s="75" t="n"/>
      <c r="R2209" s="75" t="n"/>
      <c r="S2209" s="76" t="n"/>
      <c r="T2209" s="76" t="n"/>
      <c r="U2209" s="70">
        <f>IF($A2209="","",IFERROR(INDEX('Techniciens'!$F$5:$F$44,MATCH(O2209,'Techniciens'!$B$5:$B$44,0)),'Paramètres'!$AA$10))</f>
        <v/>
      </c>
      <c r="V2209" s="70">
        <f>IF($A2209="","",IF(OR(AC2209="Demandé",AC2209="Planifié",AC2209="Annulé"),0,N(T2209)*N(U2209)))</f>
        <v/>
      </c>
      <c r="W2209" s="70">
        <f>IF($A2209="","",SUMIFS('Mouvements stock'!$H$5:$H$3004,'Mouvements stock'!$I$5:$I$3004,$A2209,'Mouvements stock'!$C$5:$C$3004,"Sortie")-SUMIFS('Mouvements stock'!$H$5:$H$3004,'Mouvements stock'!$I$5:$I$3004,$A2209,'Mouvements stock'!$C$5:$C$3004,"Retour"))</f>
        <v/>
      </c>
      <c r="X2209" s="66" t="n"/>
      <c r="Y2209" s="66" t="n"/>
      <c r="Z2209" s="7" t="n"/>
      <c r="AA2209" s="70">
        <f>IF($A2209="","",N(V2209)+N(W2209)+N(X2209)+N(Y2209))</f>
        <v/>
      </c>
      <c r="AB2209" s="70">
        <f>IF($A2209="","",N(S2209)*'Paramètres'!$AA$9*IFERROR(INDEX('Paramètres'!$O$5:$O$7,MATCH(G2209,'Paramètres'!$N$5:$N$7,0)),0))</f>
        <v/>
      </c>
      <c r="AC2209" s="7" t="n"/>
      <c r="AD2209" s="69">
        <f>IF(OR($A2209="",Q2209=""),"",(Q2209-B2209)*24)</f>
        <v/>
      </c>
      <c r="AE2209" s="69">
        <f>IF(OR(Q2209="",R2209=""),"",(R2209-Q2209)*24)</f>
        <v/>
      </c>
      <c r="AF2209" s="77">
        <f>IF(OR($A2209="",B2209=""),"",YEAR(B2209))</f>
        <v/>
      </c>
      <c r="AG2209" s="77">
        <f>IF(OR($A2209="",B2209=""),"",MONTH(B2209))</f>
        <v/>
      </c>
    </row>
    <row r="2210">
      <c r="A2210" s="7" t="n"/>
      <c r="B2210" s="75" t="n"/>
      <c r="C2210" s="7" t="n"/>
      <c r="D2210" s="7" t="n"/>
      <c r="E2210" s="9">
        <f>IF(D2210="","",IFERROR(INDEX('Équipements'!$B$5:$B$304,MATCH(D2210,'Équipements'!$A$5:$A$304,0)),"Code inconnu"))</f>
        <v/>
      </c>
      <c r="F2210" s="9">
        <f>IF(D2210="","",IFERROR(INDEX('Équipements'!$D$5:$D$304,MATCH(D2210,'Équipements'!$A$5:$A$304,0)),""))</f>
        <v/>
      </c>
      <c r="G2210" s="9">
        <f>IF(D2210="","",IFERROR(INDEX('Équipements'!$K$5:$K$304,MATCH(D2210,'Équipements'!$A$5:$A$304,0)),""))</f>
        <v/>
      </c>
      <c r="H2210" s="7" t="n"/>
      <c r="I2210" s="7" t="n"/>
      <c r="J2210" s="7" t="n"/>
      <c r="K2210" s="7" t="n"/>
      <c r="L2210" s="7" t="n"/>
      <c r="M2210" s="7" t="n"/>
      <c r="N2210" s="7" t="n"/>
      <c r="O2210" s="7" t="n"/>
      <c r="P2210" s="65" t="n"/>
      <c r="Q2210" s="75" t="n"/>
      <c r="R2210" s="75" t="n"/>
      <c r="S2210" s="76" t="n"/>
      <c r="T2210" s="76" t="n"/>
      <c r="U2210" s="70">
        <f>IF($A2210="","",IFERROR(INDEX('Techniciens'!$F$5:$F$44,MATCH(O2210,'Techniciens'!$B$5:$B$44,0)),'Paramètres'!$AA$10))</f>
        <v/>
      </c>
      <c r="V2210" s="70">
        <f>IF($A2210="","",IF(OR(AC2210="Demandé",AC2210="Planifié",AC2210="Annulé"),0,N(T2210)*N(U2210)))</f>
        <v/>
      </c>
      <c r="W2210" s="70">
        <f>IF($A2210="","",SUMIFS('Mouvements stock'!$H$5:$H$3004,'Mouvements stock'!$I$5:$I$3004,$A2210,'Mouvements stock'!$C$5:$C$3004,"Sortie")-SUMIFS('Mouvements stock'!$H$5:$H$3004,'Mouvements stock'!$I$5:$I$3004,$A2210,'Mouvements stock'!$C$5:$C$3004,"Retour"))</f>
        <v/>
      </c>
      <c r="X2210" s="66" t="n"/>
      <c r="Y2210" s="66" t="n"/>
      <c r="Z2210" s="7" t="n"/>
      <c r="AA2210" s="70">
        <f>IF($A2210="","",N(V2210)+N(W2210)+N(X2210)+N(Y2210))</f>
        <v/>
      </c>
      <c r="AB2210" s="70">
        <f>IF($A2210="","",N(S2210)*'Paramètres'!$AA$9*IFERROR(INDEX('Paramètres'!$O$5:$O$7,MATCH(G2210,'Paramètres'!$N$5:$N$7,0)),0))</f>
        <v/>
      </c>
      <c r="AC2210" s="7" t="n"/>
      <c r="AD2210" s="69">
        <f>IF(OR($A2210="",Q2210=""),"",(Q2210-B2210)*24)</f>
        <v/>
      </c>
      <c r="AE2210" s="69">
        <f>IF(OR(Q2210="",R2210=""),"",(R2210-Q2210)*24)</f>
        <v/>
      </c>
      <c r="AF2210" s="77">
        <f>IF(OR($A2210="",B2210=""),"",YEAR(B2210))</f>
        <v/>
      </c>
      <c r="AG2210" s="77">
        <f>IF(OR($A2210="",B2210=""),"",MONTH(B2210))</f>
        <v/>
      </c>
    </row>
    <row r="2211">
      <c r="A2211" s="7" t="n"/>
      <c r="B2211" s="75" t="n"/>
      <c r="C2211" s="7" t="n"/>
      <c r="D2211" s="7" t="n"/>
      <c r="E2211" s="9">
        <f>IF(D2211="","",IFERROR(INDEX('Équipements'!$B$5:$B$304,MATCH(D2211,'Équipements'!$A$5:$A$304,0)),"Code inconnu"))</f>
        <v/>
      </c>
      <c r="F2211" s="9">
        <f>IF(D2211="","",IFERROR(INDEX('Équipements'!$D$5:$D$304,MATCH(D2211,'Équipements'!$A$5:$A$304,0)),""))</f>
        <v/>
      </c>
      <c r="G2211" s="9">
        <f>IF(D2211="","",IFERROR(INDEX('Équipements'!$K$5:$K$304,MATCH(D2211,'Équipements'!$A$5:$A$304,0)),""))</f>
        <v/>
      </c>
      <c r="H2211" s="7" t="n"/>
      <c r="I2211" s="7" t="n"/>
      <c r="J2211" s="7" t="n"/>
      <c r="K2211" s="7" t="n"/>
      <c r="L2211" s="7" t="n"/>
      <c r="M2211" s="7" t="n"/>
      <c r="N2211" s="7" t="n"/>
      <c r="O2211" s="7" t="n"/>
      <c r="P2211" s="65" t="n"/>
      <c r="Q2211" s="75" t="n"/>
      <c r="R2211" s="75" t="n"/>
      <c r="S2211" s="76" t="n"/>
      <c r="T2211" s="76" t="n"/>
      <c r="U2211" s="70">
        <f>IF($A2211="","",IFERROR(INDEX('Techniciens'!$F$5:$F$44,MATCH(O2211,'Techniciens'!$B$5:$B$44,0)),'Paramètres'!$AA$10))</f>
        <v/>
      </c>
      <c r="V2211" s="70">
        <f>IF($A2211="","",IF(OR(AC2211="Demandé",AC2211="Planifié",AC2211="Annulé"),0,N(T2211)*N(U2211)))</f>
        <v/>
      </c>
      <c r="W2211" s="70">
        <f>IF($A2211="","",SUMIFS('Mouvements stock'!$H$5:$H$3004,'Mouvements stock'!$I$5:$I$3004,$A2211,'Mouvements stock'!$C$5:$C$3004,"Sortie")-SUMIFS('Mouvements stock'!$H$5:$H$3004,'Mouvements stock'!$I$5:$I$3004,$A2211,'Mouvements stock'!$C$5:$C$3004,"Retour"))</f>
        <v/>
      </c>
      <c r="X2211" s="66" t="n"/>
      <c r="Y2211" s="66" t="n"/>
      <c r="Z2211" s="7" t="n"/>
      <c r="AA2211" s="70">
        <f>IF($A2211="","",N(V2211)+N(W2211)+N(X2211)+N(Y2211))</f>
        <v/>
      </c>
      <c r="AB2211" s="70">
        <f>IF($A2211="","",N(S2211)*'Paramètres'!$AA$9*IFERROR(INDEX('Paramètres'!$O$5:$O$7,MATCH(G2211,'Paramètres'!$N$5:$N$7,0)),0))</f>
        <v/>
      </c>
      <c r="AC2211" s="7" t="n"/>
      <c r="AD2211" s="69">
        <f>IF(OR($A2211="",Q2211=""),"",(Q2211-B2211)*24)</f>
        <v/>
      </c>
      <c r="AE2211" s="69">
        <f>IF(OR(Q2211="",R2211=""),"",(R2211-Q2211)*24)</f>
        <v/>
      </c>
      <c r="AF2211" s="77">
        <f>IF(OR($A2211="",B2211=""),"",YEAR(B2211))</f>
        <v/>
      </c>
      <c r="AG2211" s="77">
        <f>IF(OR($A2211="",B2211=""),"",MONTH(B2211))</f>
        <v/>
      </c>
    </row>
    <row r="2212">
      <c r="A2212" s="7" t="n"/>
      <c r="B2212" s="75" t="n"/>
      <c r="C2212" s="7" t="n"/>
      <c r="D2212" s="7" t="n"/>
      <c r="E2212" s="9">
        <f>IF(D2212="","",IFERROR(INDEX('Équipements'!$B$5:$B$304,MATCH(D2212,'Équipements'!$A$5:$A$304,0)),"Code inconnu"))</f>
        <v/>
      </c>
      <c r="F2212" s="9">
        <f>IF(D2212="","",IFERROR(INDEX('Équipements'!$D$5:$D$304,MATCH(D2212,'Équipements'!$A$5:$A$304,0)),""))</f>
        <v/>
      </c>
      <c r="G2212" s="9">
        <f>IF(D2212="","",IFERROR(INDEX('Équipements'!$K$5:$K$304,MATCH(D2212,'Équipements'!$A$5:$A$304,0)),""))</f>
        <v/>
      </c>
      <c r="H2212" s="7" t="n"/>
      <c r="I2212" s="7" t="n"/>
      <c r="J2212" s="7" t="n"/>
      <c r="K2212" s="7" t="n"/>
      <c r="L2212" s="7" t="n"/>
      <c r="M2212" s="7" t="n"/>
      <c r="N2212" s="7" t="n"/>
      <c r="O2212" s="7" t="n"/>
      <c r="P2212" s="65" t="n"/>
      <c r="Q2212" s="75" t="n"/>
      <c r="R2212" s="75" t="n"/>
      <c r="S2212" s="76" t="n"/>
      <c r="T2212" s="76" t="n"/>
      <c r="U2212" s="70">
        <f>IF($A2212="","",IFERROR(INDEX('Techniciens'!$F$5:$F$44,MATCH(O2212,'Techniciens'!$B$5:$B$44,0)),'Paramètres'!$AA$10))</f>
        <v/>
      </c>
      <c r="V2212" s="70">
        <f>IF($A2212="","",IF(OR(AC2212="Demandé",AC2212="Planifié",AC2212="Annulé"),0,N(T2212)*N(U2212)))</f>
        <v/>
      </c>
      <c r="W2212" s="70">
        <f>IF($A2212="","",SUMIFS('Mouvements stock'!$H$5:$H$3004,'Mouvements stock'!$I$5:$I$3004,$A2212,'Mouvements stock'!$C$5:$C$3004,"Sortie")-SUMIFS('Mouvements stock'!$H$5:$H$3004,'Mouvements stock'!$I$5:$I$3004,$A2212,'Mouvements stock'!$C$5:$C$3004,"Retour"))</f>
        <v/>
      </c>
      <c r="X2212" s="66" t="n"/>
      <c r="Y2212" s="66" t="n"/>
      <c r="Z2212" s="7" t="n"/>
      <c r="AA2212" s="70">
        <f>IF($A2212="","",N(V2212)+N(W2212)+N(X2212)+N(Y2212))</f>
        <v/>
      </c>
      <c r="AB2212" s="70">
        <f>IF($A2212="","",N(S2212)*'Paramètres'!$AA$9*IFERROR(INDEX('Paramètres'!$O$5:$O$7,MATCH(G2212,'Paramètres'!$N$5:$N$7,0)),0))</f>
        <v/>
      </c>
      <c r="AC2212" s="7" t="n"/>
      <c r="AD2212" s="69">
        <f>IF(OR($A2212="",Q2212=""),"",(Q2212-B2212)*24)</f>
        <v/>
      </c>
      <c r="AE2212" s="69">
        <f>IF(OR(Q2212="",R2212=""),"",(R2212-Q2212)*24)</f>
        <v/>
      </c>
      <c r="AF2212" s="77">
        <f>IF(OR($A2212="",B2212=""),"",YEAR(B2212))</f>
        <v/>
      </c>
      <c r="AG2212" s="77">
        <f>IF(OR($A2212="",B2212=""),"",MONTH(B2212))</f>
        <v/>
      </c>
    </row>
    <row r="2213">
      <c r="A2213" s="7" t="n"/>
      <c r="B2213" s="75" t="n"/>
      <c r="C2213" s="7" t="n"/>
      <c r="D2213" s="7" t="n"/>
      <c r="E2213" s="9">
        <f>IF(D2213="","",IFERROR(INDEX('Équipements'!$B$5:$B$304,MATCH(D2213,'Équipements'!$A$5:$A$304,0)),"Code inconnu"))</f>
        <v/>
      </c>
      <c r="F2213" s="9">
        <f>IF(D2213="","",IFERROR(INDEX('Équipements'!$D$5:$D$304,MATCH(D2213,'Équipements'!$A$5:$A$304,0)),""))</f>
        <v/>
      </c>
      <c r="G2213" s="9">
        <f>IF(D2213="","",IFERROR(INDEX('Équipements'!$K$5:$K$304,MATCH(D2213,'Équipements'!$A$5:$A$304,0)),""))</f>
        <v/>
      </c>
      <c r="H2213" s="7" t="n"/>
      <c r="I2213" s="7" t="n"/>
      <c r="J2213" s="7" t="n"/>
      <c r="K2213" s="7" t="n"/>
      <c r="L2213" s="7" t="n"/>
      <c r="M2213" s="7" t="n"/>
      <c r="N2213" s="7" t="n"/>
      <c r="O2213" s="7" t="n"/>
      <c r="P2213" s="65" t="n"/>
      <c r="Q2213" s="75" t="n"/>
      <c r="R2213" s="75" t="n"/>
      <c r="S2213" s="76" t="n"/>
      <c r="T2213" s="76" t="n"/>
      <c r="U2213" s="70">
        <f>IF($A2213="","",IFERROR(INDEX('Techniciens'!$F$5:$F$44,MATCH(O2213,'Techniciens'!$B$5:$B$44,0)),'Paramètres'!$AA$10))</f>
        <v/>
      </c>
      <c r="V2213" s="70">
        <f>IF($A2213="","",IF(OR(AC2213="Demandé",AC2213="Planifié",AC2213="Annulé"),0,N(T2213)*N(U2213)))</f>
        <v/>
      </c>
      <c r="W2213" s="70">
        <f>IF($A2213="","",SUMIFS('Mouvements stock'!$H$5:$H$3004,'Mouvements stock'!$I$5:$I$3004,$A2213,'Mouvements stock'!$C$5:$C$3004,"Sortie")-SUMIFS('Mouvements stock'!$H$5:$H$3004,'Mouvements stock'!$I$5:$I$3004,$A2213,'Mouvements stock'!$C$5:$C$3004,"Retour"))</f>
        <v/>
      </c>
      <c r="X2213" s="66" t="n"/>
      <c r="Y2213" s="66" t="n"/>
      <c r="Z2213" s="7" t="n"/>
      <c r="AA2213" s="70">
        <f>IF($A2213="","",N(V2213)+N(W2213)+N(X2213)+N(Y2213))</f>
        <v/>
      </c>
      <c r="AB2213" s="70">
        <f>IF($A2213="","",N(S2213)*'Paramètres'!$AA$9*IFERROR(INDEX('Paramètres'!$O$5:$O$7,MATCH(G2213,'Paramètres'!$N$5:$N$7,0)),0))</f>
        <v/>
      </c>
      <c r="AC2213" s="7" t="n"/>
      <c r="AD2213" s="69">
        <f>IF(OR($A2213="",Q2213=""),"",(Q2213-B2213)*24)</f>
        <v/>
      </c>
      <c r="AE2213" s="69">
        <f>IF(OR(Q2213="",R2213=""),"",(R2213-Q2213)*24)</f>
        <v/>
      </c>
      <c r="AF2213" s="77">
        <f>IF(OR($A2213="",B2213=""),"",YEAR(B2213))</f>
        <v/>
      </c>
      <c r="AG2213" s="77">
        <f>IF(OR($A2213="",B2213=""),"",MONTH(B2213))</f>
        <v/>
      </c>
    </row>
    <row r="2214">
      <c r="A2214" s="7" t="n"/>
      <c r="B2214" s="75" t="n"/>
      <c r="C2214" s="7" t="n"/>
      <c r="D2214" s="7" t="n"/>
      <c r="E2214" s="9">
        <f>IF(D2214="","",IFERROR(INDEX('Équipements'!$B$5:$B$304,MATCH(D2214,'Équipements'!$A$5:$A$304,0)),"Code inconnu"))</f>
        <v/>
      </c>
      <c r="F2214" s="9">
        <f>IF(D2214="","",IFERROR(INDEX('Équipements'!$D$5:$D$304,MATCH(D2214,'Équipements'!$A$5:$A$304,0)),""))</f>
        <v/>
      </c>
      <c r="G2214" s="9">
        <f>IF(D2214="","",IFERROR(INDEX('Équipements'!$K$5:$K$304,MATCH(D2214,'Équipements'!$A$5:$A$304,0)),""))</f>
        <v/>
      </c>
      <c r="H2214" s="7" t="n"/>
      <c r="I2214" s="7" t="n"/>
      <c r="J2214" s="7" t="n"/>
      <c r="K2214" s="7" t="n"/>
      <c r="L2214" s="7" t="n"/>
      <c r="M2214" s="7" t="n"/>
      <c r="N2214" s="7" t="n"/>
      <c r="O2214" s="7" t="n"/>
      <c r="P2214" s="65" t="n"/>
      <c r="Q2214" s="75" t="n"/>
      <c r="R2214" s="75" t="n"/>
      <c r="S2214" s="76" t="n"/>
      <c r="T2214" s="76" t="n"/>
      <c r="U2214" s="70">
        <f>IF($A2214="","",IFERROR(INDEX('Techniciens'!$F$5:$F$44,MATCH(O2214,'Techniciens'!$B$5:$B$44,0)),'Paramètres'!$AA$10))</f>
        <v/>
      </c>
      <c r="V2214" s="70">
        <f>IF($A2214="","",IF(OR(AC2214="Demandé",AC2214="Planifié",AC2214="Annulé"),0,N(T2214)*N(U2214)))</f>
        <v/>
      </c>
      <c r="W2214" s="70">
        <f>IF($A2214="","",SUMIFS('Mouvements stock'!$H$5:$H$3004,'Mouvements stock'!$I$5:$I$3004,$A2214,'Mouvements stock'!$C$5:$C$3004,"Sortie")-SUMIFS('Mouvements stock'!$H$5:$H$3004,'Mouvements stock'!$I$5:$I$3004,$A2214,'Mouvements stock'!$C$5:$C$3004,"Retour"))</f>
        <v/>
      </c>
      <c r="X2214" s="66" t="n"/>
      <c r="Y2214" s="66" t="n"/>
      <c r="Z2214" s="7" t="n"/>
      <c r="AA2214" s="70">
        <f>IF($A2214="","",N(V2214)+N(W2214)+N(X2214)+N(Y2214))</f>
        <v/>
      </c>
      <c r="AB2214" s="70">
        <f>IF($A2214="","",N(S2214)*'Paramètres'!$AA$9*IFERROR(INDEX('Paramètres'!$O$5:$O$7,MATCH(G2214,'Paramètres'!$N$5:$N$7,0)),0))</f>
        <v/>
      </c>
      <c r="AC2214" s="7" t="n"/>
      <c r="AD2214" s="69">
        <f>IF(OR($A2214="",Q2214=""),"",(Q2214-B2214)*24)</f>
        <v/>
      </c>
      <c r="AE2214" s="69">
        <f>IF(OR(Q2214="",R2214=""),"",(R2214-Q2214)*24)</f>
        <v/>
      </c>
      <c r="AF2214" s="77">
        <f>IF(OR($A2214="",B2214=""),"",YEAR(B2214))</f>
        <v/>
      </c>
      <c r="AG2214" s="77">
        <f>IF(OR($A2214="",B2214=""),"",MONTH(B2214))</f>
        <v/>
      </c>
    </row>
    <row r="2215">
      <c r="A2215" s="7" t="n"/>
      <c r="B2215" s="75" t="n"/>
      <c r="C2215" s="7" t="n"/>
      <c r="D2215" s="7" t="n"/>
      <c r="E2215" s="9">
        <f>IF(D2215="","",IFERROR(INDEX('Équipements'!$B$5:$B$304,MATCH(D2215,'Équipements'!$A$5:$A$304,0)),"Code inconnu"))</f>
        <v/>
      </c>
      <c r="F2215" s="9">
        <f>IF(D2215="","",IFERROR(INDEX('Équipements'!$D$5:$D$304,MATCH(D2215,'Équipements'!$A$5:$A$304,0)),""))</f>
        <v/>
      </c>
      <c r="G2215" s="9">
        <f>IF(D2215="","",IFERROR(INDEX('Équipements'!$K$5:$K$304,MATCH(D2215,'Équipements'!$A$5:$A$304,0)),""))</f>
        <v/>
      </c>
      <c r="H2215" s="7" t="n"/>
      <c r="I2215" s="7" t="n"/>
      <c r="J2215" s="7" t="n"/>
      <c r="K2215" s="7" t="n"/>
      <c r="L2215" s="7" t="n"/>
      <c r="M2215" s="7" t="n"/>
      <c r="N2215" s="7" t="n"/>
      <c r="O2215" s="7" t="n"/>
      <c r="P2215" s="65" t="n"/>
      <c r="Q2215" s="75" t="n"/>
      <c r="R2215" s="75" t="n"/>
      <c r="S2215" s="76" t="n"/>
      <c r="T2215" s="76" t="n"/>
      <c r="U2215" s="70">
        <f>IF($A2215="","",IFERROR(INDEX('Techniciens'!$F$5:$F$44,MATCH(O2215,'Techniciens'!$B$5:$B$44,0)),'Paramètres'!$AA$10))</f>
        <v/>
      </c>
      <c r="V2215" s="70">
        <f>IF($A2215="","",IF(OR(AC2215="Demandé",AC2215="Planifié",AC2215="Annulé"),0,N(T2215)*N(U2215)))</f>
        <v/>
      </c>
      <c r="W2215" s="70">
        <f>IF($A2215="","",SUMIFS('Mouvements stock'!$H$5:$H$3004,'Mouvements stock'!$I$5:$I$3004,$A2215,'Mouvements stock'!$C$5:$C$3004,"Sortie")-SUMIFS('Mouvements stock'!$H$5:$H$3004,'Mouvements stock'!$I$5:$I$3004,$A2215,'Mouvements stock'!$C$5:$C$3004,"Retour"))</f>
        <v/>
      </c>
      <c r="X2215" s="66" t="n"/>
      <c r="Y2215" s="66" t="n"/>
      <c r="Z2215" s="7" t="n"/>
      <c r="AA2215" s="70">
        <f>IF($A2215="","",N(V2215)+N(W2215)+N(X2215)+N(Y2215))</f>
        <v/>
      </c>
      <c r="AB2215" s="70">
        <f>IF($A2215="","",N(S2215)*'Paramètres'!$AA$9*IFERROR(INDEX('Paramètres'!$O$5:$O$7,MATCH(G2215,'Paramètres'!$N$5:$N$7,0)),0))</f>
        <v/>
      </c>
      <c r="AC2215" s="7" t="n"/>
      <c r="AD2215" s="69">
        <f>IF(OR($A2215="",Q2215=""),"",(Q2215-B2215)*24)</f>
        <v/>
      </c>
      <c r="AE2215" s="69">
        <f>IF(OR(Q2215="",R2215=""),"",(R2215-Q2215)*24)</f>
        <v/>
      </c>
      <c r="AF2215" s="77">
        <f>IF(OR($A2215="",B2215=""),"",YEAR(B2215))</f>
        <v/>
      </c>
      <c r="AG2215" s="77">
        <f>IF(OR($A2215="",B2215=""),"",MONTH(B2215))</f>
        <v/>
      </c>
    </row>
    <row r="2216">
      <c r="A2216" s="7" t="n"/>
      <c r="B2216" s="75" t="n"/>
      <c r="C2216" s="7" t="n"/>
      <c r="D2216" s="7" t="n"/>
      <c r="E2216" s="9">
        <f>IF(D2216="","",IFERROR(INDEX('Équipements'!$B$5:$B$304,MATCH(D2216,'Équipements'!$A$5:$A$304,0)),"Code inconnu"))</f>
        <v/>
      </c>
      <c r="F2216" s="9">
        <f>IF(D2216="","",IFERROR(INDEX('Équipements'!$D$5:$D$304,MATCH(D2216,'Équipements'!$A$5:$A$304,0)),""))</f>
        <v/>
      </c>
      <c r="G2216" s="9">
        <f>IF(D2216="","",IFERROR(INDEX('Équipements'!$K$5:$K$304,MATCH(D2216,'Équipements'!$A$5:$A$304,0)),""))</f>
        <v/>
      </c>
      <c r="H2216" s="7" t="n"/>
      <c r="I2216" s="7" t="n"/>
      <c r="J2216" s="7" t="n"/>
      <c r="K2216" s="7" t="n"/>
      <c r="L2216" s="7" t="n"/>
      <c r="M2216" s="7" t="n"/>
      <c r="N2216" s="7" t="n"/>
      <c r="O2216" s="7" t="n"/>
      <c r="P2216" s="65" t="n"/>
      <c r="Q2216" s="75" t="n"/>
      <c r="R2216" s="75" t="n"/>
      <c r="S2216" s="76" t="n"/>
      <c r="T2216" s="76" t="n"/>
      <c r="U2216" s="70">
        <f>IF($A2216="","",IFERROR(INDEX('Techniciens'!$F$5:$F$44,MATCH(O2216,'Techniciens'!$B$5:$B$44,0)),'Paramètres'!$AA$10))</f>
        <v/>
      </c>
      <c r="V2216" s="70">
        <f>IF($A2216="","",IF(OR(AC2216="Demandé",AC2216="Planifié",AC2216="Annulé"),0,N(T2216)*N(U2216)))</f>
        <v/>
      </c>
      <c r="W2216" s="70">
        <f>IF($A2216="","",SUMIFS('Mouvements stock'!$H$5:$H$3004,'Mouvements stock'!$I$5:$I$3004,$A2216,'Mouvements stock'!$C$5:$C$3004,"Sortie")-SUMIFS('Mouvements stock'!$H$5:$H$3004,'Mouvements stock'!$I$5:$I$3004,$A2216,'Mouvements stock'!$C$5:$C$3004,"Retour"))</f>
        <v/>
      </c>
      <c r="X2216" s="66" t="n"/>
      <c r="Y2216" s="66" t="n"/>
      <c r="Z2216" s="7" t="n"/>
      <c r="AA2216" s="70">
        <f>IF($A2216="","",N(V2216)+N(W2216)+N(X2216)+N(Y2216))</f>
        <v/>
      </c>
      <c r="AB2216" s="70">
        <f>IF($A2216="","",N(S2216)*'Paramètres'!$AA$9*IFERROR(INDEX('Paramètres'!$O$5:$O$7,MATCH(G2216,'Paramètres'!$N$5:$N$7,0)),0))</f>
        <v/>
      </c>
      <c r="AC2216" s="7" t="n"/>
      <c r="AD2216" s="69">
        <f>IF(OR($A2216="",Q2216=""),"",(Q2216-B2216)*24)</f>
        <v/>
      </c>
      <c r="AE2216" s="69">
        <f>IF(OR(Q2216="",R2216=""),"",(R2216-Q2216)*24)</f>
        <v/>
      </c>
      <c r="AF2216" s="77">
        <f>IF(OR($A2216="",B2216=""),"",YEAR(B2216))</f>
        <v/>
      </c>
      <c r="AG2216" s="77">
        <f>IF(OR($A2216="",B2216=""),"",MONTH(B2216))</f>
        <v/>
      </c>
    </row>
    <row r="2217">
      <c r="A2217" s="7" t="n"/>
      <c r="B2217" s="75" t="n"/>
      <c r="C2217" s="7" t="n"/>
      <c r="D2217" s="7" t="n"/>
      <c r="E2217" s="9">
        <f>IF(D2217="","",IFERROR(INDEX('Équipements'!$B$5:$B$304,MATCH(D2217,'Équipements'!$A$5:$A$304,0)),"Code inconnu"))</f>
        <v/>
      </c>
      <c r="F2217" s="9">
        <f>IF(D2217="","",IFERROR(INDEX('Équipements'!$D$5:$D$304,MATCH(D2217,'Équipements'!$A$5:$A$304,0)),""))</f>
        <v/>
      </c>
      <c r="G2217" s="9">
        <f>IF(D2217="","",IFERROR(INDEX('Équipements'!$K$5:$K$304,MATCH(D2217,'Équipements'!$A$5:$A$304,0)),""))</f>
        <v/>
      </c>
      <c r="H2217" s="7" t="n"/>
      <c r="I2217" s="7" t="n"/>
      <c r="J2217" s="7" t="n"/>
      <c r="K2217" s="7" t="n"/>
      <c r="L2217" s="7" t="n"/>
      <c r="M2217" s="7" t="n"/>
      <c r="N2217" s="7" t="n"/>
      <c r="O2217" s="7" t="n"/>
      <c r="P2217" s="65" t="n"/>
      <c r="Q2217" s="75" t="n"/>
      <c r="R2217" s="75" t="n"/>
      <c r="S2217" s="76" t="n"/>
      <c r="T2217" s="76" t="n"/>
      <c r="U2217" s="70">
        <f>IF($A2217="","",IFERROR(INDEX('Techniciens'!$F$5:$F$44,MATCH(O2217,'Techniciens'!$B$5:$B$44,0)),'Paramètres'!$AA$10))</f>
        <v/>
      </c>
      <c r="V2217" s="70">
        <f>IF($A2217="","",IF(OR(AC2217="Demandé",AC2217="Planifié",AC2217="Annulé"),0,N(T2217)*N(U2217)))</f>
        <v/>
      </c>
      <c r="W2217" s="70">
        <f>IF($A2217="","",SUMIFS('Mouvements stock'!$H$5:$H$3004,'Mouvements stock'!$I$5:$I$3004,$A2217,'Mouvements stock'!$C$5:$C$3004,"Sortie")-SUMIFS('Mouvements stock'!$H$5:$H$3004,'Mouvements stock'!$I$5:$I$3004,$A2217,'Mouvements stock'!$C$5:$C$3004,"Retour"))</f>
        <v/>
      </c>
      <c r="X2217" s="66" t="n"/>
      <c r="Y2217" s="66" t="n"/>
      <c r="Z2217" s="7" t="n"/>
      <c r="AA2217" s="70">
        <f>IF($A2217="","",N(V2217)+N(W2217)+N(X2217)+N(Y2217))</f>
        <v/>
      </c>
      <c r="AB2217" s="70">
        <f>IF($A2217="","",N(S2217)*'Paramètres'!$AA$9*IFERROR(INDEX('Paramètres'!$O$5:$O$7,MATCH(G2217,'Paramètres'!$N$5:$N$7,0)),0))</f>
        <v/>
      </c>
      <c r="AC2217" s="7" t="n"/>
      <c r="AD2217" s="69">
        <f>IF(OR($A2217="",Q2217=""),"",(Q2217-B2217)*24)</f>
        <v/>
      </c>
      <c r="AE2217" s="69">
        <f>IF(OR(Q2217="",R2217=""),"",(R2217-Q2217)*24)</f>
        <v/>
      </c>
      <c r="AF2217" s="77">
        <f>IF(OR($A2217="",B2217=""),"",YEAR(B2217))</f>
        <v/>
      </c>
      <c r="AG2217" s="77">
        <f>IF(OR($A2217="",B2217=""),"",MONTH(B2217))</f>
        <v/>
      </c>
    </row>
    <row r="2218">
      <c r="A2218" s="7" t="n"/>
      <c r="B2218" s="75" t="n"/>
      <c r="C2218" s="7" t="n"/>
      <c r="D2218" s="7" t="n"/>
      <c r="E2218" s="9">
        <f>IF(D2218="","",IFERROR(INDEX('Équipements'!$B$5:$B$304,MATCH(D2218,'Équipements'!$A$5:$A$304,0)),"Code inconnu"))</f>
        <v/>
      </c>
      <c r="F2218" s="9">
        <f>IF(D2218="","",IFERROR(INDEX('Équipements'!$D$5:$D$304,MATCH(D2218,'Équipements'!$A$5:$A$304,0)),""))</f>
        <v/>
      </c>
      <c r="G2218" s="9">
        <f>IF(D2218="","",IFERROR(INDEX('Équipements'!$K$5:$K$304,MATCH(D2218,'Équipements'!$A$5:$A$304,0)),""))</f>
        <v/>
      </c>
      <c r="H2218" s="7" t="n"/>
      <c r="I2218" s="7" t="n"/>
      <c r="J2218" s="7" t="n"/>
      <c r="K2218" s="7" t="n"/>
      <c r="L2218" s="7" t="n"/>
      <c r="M2218" s="7" t="n"/>
      <c r="N2218" s="7" t="n"/>
      <c r="O2218" s="7" t="n"/>
      <c r="P2218" s="65" t="n"/>
      <c r="Q2218" s="75" t="n"/>
      <c r="R2218" s="75" t="n"/>
      <c r="S2218" s="76" t="n"/>
      <c r="T2218" s="76" t="n"/>
      <c r="U2218" s="70">
        <f>IF($A2218="","",IFERROR(INDEX('Techniciens'!$F$5:$F$44,MATCH(O2218,'Techniciens'!$B$5:$B$44,0)),'Paramètres'!$AA$10))</f>
        <v/>
      </c>
      <c r="V2218" s="70">
        <f>IF($A2218="","",IF(OR(AC2218="Demandé",AC2218="Planifié",AC2218="Annulé"),0,N(T2218)*N(U2218)))</f>
        <v/>
      </c>
      <c r="W2218" s="70">
        <f>IF($A2218="","",SUMIFS('Mouvements stock'!$H$5:$H$3004,'Mouvements stock'!$I$5:$I$3004,$A2218,'Mouvements stock'!$C$5:$C$3004,"Sortie")-SUMIFS('Mouvements stock'!$H$5:$H$3004,'Mouvements stock'!$I$5:$I$3004,$A2218,'Mouvements stock'!$C$5:$C$3004,"Retour"))</f>
        <v/>
      </c>
      <c r="X2218" s="66" t="n"/>
      <c r="Y2218" s="66" t="n"/>
      <c r="Z2218" s="7" t="n"/>
      <c r="AA2218" s="70">
        <f>IF($A2218="","",N(V2218)+N(W2218)+N(X2218)+N(Y2218))</f>
        <v/>
      </c>
      <c r="AB2218" s="70">
        <f>IF($A2218="","",N(S2218)*'Paramètres'!$AA$9*IFERROR(INDEX('Paramètres'!$O$5:$O$7,MATCH(G2218,'Paramètres'!$N$5:$N$7,0)),0))</f>
        <v/>
      </c>
      <c r="AC2218" s="7" t="n"/>
      <c r="AD2218" s="69">
        <f>IF(OR($A2218="",Q2218=""),"",(Q2218-B2218)*24)</f>
        <v/>
      </c>
      <c r="AE2218" s="69">
        <f>IF(OR(Q2218="",R2218=""),"",(R2218-Q2218)*24)</f>
        <v/>
      </c>
      <c r="AF2218" s="77">
        <f>IF(OR($A2218="",B2218=""),"",YEAR(B2218))</f>
        <v/>
      </c>
      <c r="AG2218" s="77">
        <f>IF(OR($A2218="",B2218=""),"",MONTH(B2218))</f>
        <v/>
      </c>
    </row>
    <row r="2219">
      <c r="A2219" s="7" t="n"/>
      <c r="B2219" s="75" t="n"/>
      <c r="C2219" s="7" t="n"/>
      <c r="D2219" s="7" t="n"/>
      <c r="E2219" s="9">
        <f>IF(D2219="","",IFERROR(INDEX('Équipements'!$B$5:$B$304,MATCH(D2219,'Équipements'!$A$5:$A$304,0)),"Code inconnu"))</f>
        <v/>
      </c>
      <c r="F2219" s="9">
        <f>IF(D2219="","",IFERROR(INDEX('Équipements'!$D$5:$D$304,MATCH(D2219,'Équipements'!$A$5:$A$304,0)),""))</f>
        <v/>
      </c>
      <c r="G2219" s="9">
        <f>IF(D2219="","",IFERROR(INDEX('Équipements'!$K$5:$K$304,MATCH(D2219,'Équipements'!$A$5:$A$304,0)),""))</f>
        <v/>
      </c>
      <c r="H2219" s="7" t="n"/>
      <c r="I2219" s="7" t="n"/>
      <c r="J2219" s="7" t="n"/>
      <c r="K2219" s="7" t="n"/>
      <c r="L2219" s="7" t="n"/>
      <c r="M2219" s="7" t="n"/>
      <c r="N2219" s="7" t="n"/>
      <c r="O2219" s="7" t="n"/>
      <c r="P2219" s="65" t="n"/>
      <c r="Q2219" s="75" t="n"/>
      <c r="R2219" s="75" t="n"/>
      <c r="S2219" s="76" t="n"/>
      <c r="T2219" s="76" t="n"/>
      <c r="U2219" s="70">
        <f>IF($A2219="","",IFERROR(INDEX('Techniciens'!$F$5:$F$44,MATCH(O2219,'Techniciens'!$B$5:$B$44,0)),'Paramètres'!$AA$10))</f>
        <v/>
      </c>
      <c r="V2219" s="70">
        <f>IF($A2219="","",IF(OR(AC2219="Demandé",AC2219="Planifié",AC2219="Annulé"),0,N(T2219)*N(U2219)))</f>
        <v/>
      </c>
      <c r="W2219" s="70">
        <f>IF($A2219="","",SUMIFS('Mouvements stock'!$H$5:$H$3004,'Mouvements stock'!$I$5:$I$3004,$A2219,'Mouvements stock'!$C$5:$C$3004,"Sortie")-SUMIFS('Mouvements stock'!$H$5:$H$3004,'Mouvements stock'!$I$5:$I$3004,$A2219,'Mouvements stock'!$C$5:$C$3004,"Retour"))</f>
        <v/>
      </c>
      <c r="X2219" s="66" t="n"/>
      <c r="Y2219" s="66" t="n"/>
      <c r="Z2219" s="7" t="n"/>
      <c r="AA2219" s="70">
        <f>IF($A2219="","",N(V2219)+N(W2219)+N(X2219)+N(Y2219))</f>
        <v/>
      </c>
      <c r="AB2219" s="70">
        <f>IF($A2219="","",N(S2219)*'Paramètres'!$AA$9*IFERROR(INDEX('Paramètres'!$O$5:$O$7,MATCH(G2219,'Paramètres'!$N$5:$N$7,0)),0))</f>
        <v/>
      </c>
      <c r="AC2219" s="7" t="n"/>
      <c r="AD2219" s="69">
        <f>IF(OR($A2219="",Q2219=""),"",(Q2219-B2219)*24)</f>
        <v/>
      </c>
      <c r="AE2219" s="69">
        <f>IF(OR(Q2219="",R2219=""),"",(R2219-Q2219)*24)</f>
        <v/>
      </c>
      <c r="AF2219" s="77">
        <f>IF(OR($A2219="",B2219=""),"",YEAR(B2219))</f>
        <v/>
      </c>
      <c r="AG2219" s="77">
        <f>IF(OR($A2219="",B2219=""),"",MONTH(B2219))</f>
        <v/>
      </c>
    </row>
    <row r="2220">
      <c r="A2220" s="7" t="n"/>
      <c r="B2220" s="75" t="n"/>
      <c r="C2220" s="7" t="n"/>
      <c r="D2220" s="7" t="n"/>
      <c r="E2220" s="9">
        <f>IF(D2220="","",IFERROR(INDEX('Équipements'!$B$5:$B$304,MATCH(D2220,'Équipements'!$A$5:$A$304,0)),"Code inconnu"))</f>
        <v/>
      </c>
      <c r="F2220" s="9">
        <f>IF(D2220="","",IFERROR(INDEX('Équipements'!$D$5:$D$304,MATCH(D2220,'Équipements'!$A$5:$A$304,0)),""))</f>
        <v/>
      </c>
      <c r="G2220" s="9">
        <f>IF(D2220="","",IFERROR(INDEX('Équipements'!$K$5:$K$304,MATCH(D2220,'Équipements'!$A$5:$A$304,0)),""))</f>
        <v/>
      </c>
      <c r="H2220" s="7" t="n"/>
      <c r="I2220" s="7" t="n"/>
      <c r="J2220" s="7" t="n"/>
      <c r="K2220" s="7" t="n"/>
      <c r="L2220" s="7" t="n"/>
      <c r="M2220" s="7" t="n"/>
      <c r="N2220" s="7" t="n"/>
      <c r="O2220" s="7" t="n"/>
      <c r="P2220" s="65" t="n"/>
      <c r="Q2220" s="75" t="n"/>
      <c r="R2220" s="75" t="n"/>
      <c r="S2220" s="76" t="n"/>
      <c r="T2220" s="76" t="n"/>
      <c r="U2220" s="70">
        <f>IF($A2220="","",IFERROR(INDEX('Techniciens'!$F$5:$F$44,MATCH(O2220,'Techniciens'!$B$5:$B$44,0)),'Paramètres'!$AA$10))</f>
        <v/>
      </c>
      <c r="V2220" s="70">
        <f>IF($A2220="","",IF(OR(AC2220="Demandé",AC2220="Planifié",AC2220="Annulé"),0,N(T2220)*N(U2220)))</f>
        <v/>
      </c>
      <c r="W2220" s="70">
        <f>IF($A2220="","",SUMIFS('Mouvements stock'!$H$5:$H$3004,'Mouvements stock'!$I$5:$I$3004,$A2220,'Mouvements stock'!$C$5:$C$3004,"Sortie")-SUMIFS('Mouvements stock'!$H$5:$H$3004,'Mouvements stock'!$I$5:$I$3004,$A2220,'Mouvements stock'!$C$5:$C$3004,"Retour"))</f>
        <v/>
      </c>
      <c r="X2220" s="66" t="n"/>
      <c r="Y2220" s="66" t="n"/>
      <c r="Z2220" s="7" t="n"/>
      <c r="AA2220" s="70">
        <f>IF($A2220="","",N(V2220)+N(W2220)+N(X2220)+N(Y2220))</f>
        <v/>
      </c>
      <c r="AB2220" s="70">
        <f>IF($A2220="","",N(S2220)*'Paramètres'!$AA$9*IFERROR(INDEX('Paramètres'!$O$5:$O$7,MATCH(G2220,'Paramètres'!$N$5:$N$7,0)),0))</f>
        <v/>
      </c>
      <c r="AC2220" s="7" t="n"/>
      <c r="AD2220" s="69">
        <f>IF(OR($A2220="",Q2220=""),"",(Q2220-B2220)*24)</f>
        <v/>
      </c>
      <c r="AE2220" s="69">
        <f>IF(OR(Q2220="",R2220=""),"",(R2220-Q2220)*24)</f>
        <v/>
      </c>
      <c r="AF2220" s="77">
        <f>IF(OR($A2220="",B2220=""),"",YEAR(B2220))</f>
        <v/>
      </c>
      <c r="AG2220" s="77">
        <f>IF(OR($A2220="",B2220=""),"",MONTH(B2220))</f>
        <v/>
      </c>
    </row>
    <row r="2221">
      <c r="A2221" s="7" t="n"/>
      <c r="B2221" s="75" t="n"/>
      <c r="C2221" s="7" t="n"/>
      <c r="D2221" s="7" t="n"/>
      <c r="E2221" s="9">
        <f>IF(D2221="","",IFERROR(INDEX('Équipements'!$B$5:$B$304,MATCH(D2221,'Équipements'!$A$5:$A$304,0)),"Code inconnu"))</f>
        <v/>
      </c>
      <c r="F2221" s="9">
        <f>IF(D2221="","",IFERROR(INDEX('Équipements'!$D$5:$D$304,MATCH(D2221,'Équipements'!$A$5:$A$304,0)),""))</f>
        <v/>
      </c>
      <c r="G2221" s="9">
        <f>IF(D2221="","",IFERROR(INDEX('Équipements'!$K$5:$K$304,MATCH(D2221,'Équipements'!$A$5:$A$304,0)),""))</f>
        <v/>
      </c>
      <c r="H2221" s="7" t="n"/>
      <c r="I2221" s="7" t="n"/>
      <c r="J2221" s="7" t="n"/>
      <c r="K2221" s="7" t="n"/>
      <c r="L2221" s="7" t="n"/>
      <c r="M2221" s="7" t="n"/>
      <c r="N2221" s="7" t="n"/>
      <c r="O2221" s="7" t="n"/>
      <c r="P2221" s="65" t="n"/>
      <c r="Q2221" s="75" t="n"/>
      <c r="R2221" s="75" t="n"/>
      <c r="S2221" s="76" t="n"/>
      <c r="T2221" s="76" t="n"/>
      <c r="U2221" s="70">
        <f>IF($A2221="","",IFERROR(INDEX('Techniciens'!$F$5:$F$44,MATCH(O2221,'Techniciens'!$B$5:$B$44,0)),'Paramètres'!$AA$10))</f>
        <v/>
      </c>
      <c r="V2221" s="70">
        <f>IF($A2221="","",IF(OR(AC2221="Demandé",AC2221="Planifié",AC2221="Annulé"),0,N(T2221)*N(U2221)))</f>
        <v/>
      </c>
      <c r="W2221" s="70">
        <f>IF($A2221="","",SUMIFS('Mouvements stock'!$H$5:$H$3004,'Mouvements stock'!$I$5:$I$3004,$A2221,'Mouvements stock'!$C$5:$C$3004,"Sortie")-SUMIFS('Mouvements stock'!$H$5:$H$3004,'Mouvements stock'!$I$5:$I$3004,$A2221,'Mouvements stock'!$C$5:$C$3004,"Retour"))</f>
        <v/>
      </c>
      <c r="X2221" s="66" t="n"/>
      <c r="Y2221" s="66" t="n"/>
      <c r="Z2221" s="7" t="n"/>
      <c r="AA2221" s="70">
        <f>IF($A2221="","",N(V2221)+N(W2221)+N(X2221)+N(Y2221))</f>
        <v/>
      </c>
      <c r="AB2221" s="70">
        <f>IF($A2221="","",N(S2221)*'Paramètres'!$AA$9*IFERROR(INDEX('Paramètres'!$O$5:$O$7,MATCH(G2221,'Paramètres'!$N$5:$N$7,0)),0))</f>
        <v/>
      </c>
      <c r="AC2221" s="7" t="n"/>
      <c r="AD2221" s="69">
        <f>IF(OR($A2221="",Q2221=""),"",(Q2221-B2221)*24)</f>
        <v/>
      </c>
      <c r="AE2221" s="69">
        <f>IF(OR(Q2221="",R2221=""),"",(R2221-Q2221)*24)</f>
        <v/>
      </c>
      <c r="AF2221" s="77">
        <f>IF(OR($A2221="",B2221=""),"",YEAR(B2221))</f>
        <v/>
      </c>
      <c r="AG2221" s="77">
        <f>IF(OR($A2221="",B2221=""),"",MONTH(B2221))</f>
        <v/>
      </c>
    </row>
    <row r="2222">
      <c r="A2222" s="7" t="n"/>
      <c r="B2222" s="75" t="n"/>
      <c r="C2222" s="7" t="n"/>
      <c r="D2222" s="7" t="n"/>
      <c r="E2222" s="9">
        <f>IF(D2222="","",IFERROR(INDEX('Équipements'!$B$5:$B$304,MATCH(D2222,'Équipements'!$A$5:$A$304,0)),"Code inconnu"))</f>
        <v/>
      </c>
      <c r="F2222" s="9">
        <f>IF(D2222="","",IFERROR(INDEX('Équipements'!$D$5:$D$304,MATCH(D2222,'Équipements'!$A$5:$A$304,0)),""))</f>
        <v/>
      </c>
      <c r="G2222" s="9">
        <f>IF(D2222="","",IFERROR(INDEX('Équipements'!$K$5:$K$304,MATCH(D2222,'Équipements'!$A$5:$A$304,0)),""))</f>
        <v/>
      </c>
      <c r="H2222" s="7" t="n"/>
      <c r="I2222" s="7" t="n"/>
      <c r="J2222" s="7" t="n"/>
      <c r="K2222" s="7" t="n"/>
      <c r="L2222" s="7" t="n"/>
      <c r="M2222" s="7" t="n"/>
      <c r="N2222" s="7" t="n"/>
      <c r="O2222" s="7" t="n"/>
      <c r="P2222" s="65" t="n"/>
      <c r="Q2222" s="75" t="n"/>
      <c r="R2222" s="75" t="n"/>
      <c r="S2222" s="76" t="n"/>
      <c r="T2222" s="76" t="n"/>
      <c r="U2222" s="70">
        <f>IF($A2222="","",IFERROR(INDEX('Techniciens'!$F$5:$F$44,MATCH(O2222,'Techniciens'!$B$5:$B$44,0)),'Paramètres'!$AA$10))</f>
        <v/>
      </c>
      <c r="V2222" s="70">
        <f>IF($A2222="","",IF(OR(AC2222="Demandé",AC2222="Planifié",AC2222="Annulé"),0,N(T2222)*N(U2222)))</f>
        <v/>
      </c>
      <c r="W2222" s="70">
        <f>IF($A2222="","",SUMIFS('Mouvements stock'!$H$5:$H$3004,'Mouvements stock'!$I$5:$I$3004,$A2222,'Mouvements stock'!$C$5:$C$3004,"Sortie")-SUMIFS('Mouvements stock'!$H$5:$H$3004,'Mouvements stock'!$I$5:$I$3004,$A2222,'Mouvements stock'!$C$5:$C$3004,"Retour"))</f>
        <v/>
      </c>
      <c r="X2222" s="66" t="n"/>
      <c r="Y2222" s="66" t="n"/>
      <c r="Z2222" s="7" t="n"/>
      <c r="AA2222" s="70">
        <f>IF($A2222="","",N(V2222)+N(W2222)+N(X2222)+N(Y2222))</f>
        <v/>
      </c>
      <c r="AB2222" s="70">
        <f>IF($A2222="","",N(S2222)*'Paramètres'!$AA$9*IFERROR(INDEX('Paramètres'!$O$5:$O$7,MATCH(G2222,'Paramètres'!$N$5:$N$7,0)),0))</f>
        <v/>
      </c>
      <c r="AC2222" s="7" t="n"/>
      <c r="AD2222" s="69">
        <f>IF(OR($A2222="",Q2222=""),"",(Q2222-B2222)*24)</f>
        <v/>
      </c>
      <c r="AE2222" s="69">
        <f>IF(OR(Q2222="",R2222=""),"",(R2222-Q2222)*24)</f>
        <v/>
      </c>
      <c r="AF2222" s="77">
        <f>IF(OR($A2222="",B2222=""),"",YEAR(B2222))</f>
        <v/>
      </c>
      <c r="AG2222" s="77">
        <f>IF(OR($A2222="",B2222=""),"",MONTH(B2222))</f>
        <v/>
      </c>
    </row>
    <row r="2223">
      <c r="A2223" s="7" t="n"/>
      <c r="B2223" s="75" t="n"/>
      <c r="C2223" s="7" t="n"/>
      <c r="D2223" s="7" t="n"/>
      <c r="E2223" s="9">
        <f>IF(D2223="","",IFERROR(INDEX('Équipements'!$B$5:$B$304,MATCH(D2223,'Équipements'!$A$5:$A$304,0)),"Code inconnu"))</f>
        <v/>
      </c>
      <c r="F2223" s="9">
        <f>IF(D2223="","",IFERROR(INDEX('Équipements'!$D$5:$D$304,MATCH(D2223,'Équipements'!$A$5:$A$304,0)),""))</f>
        <v/>
      </c>
      <c r="G2223" s="9">
        <f>IF(D2223="","",IFERROR(INDEX('Équipements'!$K$5:$K$304,MATCH(D2223,'Équipements'!$A$5:$A$304,0)),""))</f>
        <v/>
      </c>
      <c r="H2223" s="7" t="n"/>
      <c r="I2223" s="7" t="n"/>
      <c r="J2223" s="7" t="n"/>
      <c r="K2223" s="7" t="n"/>
      <c r="L2223" s="7" t="n"/>
      <c r="M2223" s="7" t="n"/>
      <c r="N2223" s="7" t="n"/>
      <c r="O2223" s="7" t="n"/>
      <c r="P2223" s="65" t="n"/>
      <c r="Q2223" s="75" t="n"/>
      <c r="R2223" s="75" t="n"/>
      <c r="S2223" s="76" t="n"/>
      <c r="T2223" s="76" t="n"/>
      <c r="U2223" s="70">
        <f>IF($A2223="","",IFERROR(INDEX('Techniciens'!$F$5:$F$44,MATCH(O2223,'Techniciens'!$B$5:$B$44,0)),'Paramètres'!$AA$10))</f>
        <v/>
      </c>
      <c r="V2223" s="70">
        <f>IF($A2223="","",IF(OR(AC2223="Demandé",AC2223="Planifié",AC2223="Annulé"),0,N(T2223)*N(U2223)))</f>
        <v/>
      </c>
      <c r="W2223" s="70">
        <f>IF($A2223="","",SUMIFS('Mouvements stock'!$H$5:$H$3004,'Mouvements stock'!$I$5:$I$3004,$A2223,'Mouvements stock'!$C$5:$C$3004,"Sortie")-SUMIFS('Mouvements stock'!$H$5:$H$3004,'Mouvements stock'!$I$5:$I$3004,$A2223,'Mouvements stock'!$C$5:$C$3004,"Retour"))</f>
        <v/>
      </c>
      <c r="X2223" s="66" t="n"/>
      <c r="Y2223" s="66" t="n"/>
      <c r="Z2223" s="7" t="n"/>
      <c r="AA2223" s="70">
        <f>IF($A2223="","",N(V2223)+N(W2223)+N(X2223)+N(Y2223))</f>
        <v/>
      </c>
      <c r="AB2223" s="70">
        <f>IF($A2223="","",N(S2223)*'Paramètres'!$AA$9*IFERROR(INDEX('Paramètres'!$O$5:$O$7,MATCH(G2223,'Paramètres'!$N$5:$N$7,0)),0))</f>
        <v/>
      </c>
      <c r="AC2223" s="7" t="n"/>
      <c r="AD2223" s="69">
        <f>IF(OR($A2223="",Q2223=""),"",(Q2223-B2223)*24)</f>
        <v/>
      </c>
      <c r="AE2223" s="69">
        <f>IF(OR(Q2223="",R2223=""),"",(R2223-Q2223)*24)</f>
        <v/>
      </c>
      <c r="AF2223" s="77">
        <f>IF(OR($A2223="",B2223=""),"",YEAR(B2223))</f>
        <v/>
      </c>
      <c r="AG2223" s="77">
        <f>IF(OR($A2223="",B2223=""),"",MONTH(B2223))</f>
        <v/>
      </c>
    </row>
    <row r="2224">
      <c r="A2224" s="7" t="n"/>
      <c r="B2224" s="75" t="n"/>
      <c r="C2224" s="7" t="n"/>
      <c r="D2224" s="7" t="n"/>
      <c r="E2224" s="9">
        <f>IF(D2224="","",IFERROR(INDEX('Équipements'!$B$5:$B$304,MATCH(D2224,'Équipements'!$A$5:$A$304,0)),"Code inconnu"))</f>
        <v/>
      </c>
      <c r="F2224" s="9">
        <f>IF(D2224="","",IFERROR(INDEX('Équipements'!$D$5:$D$304,MATCH(D2224,'Équipements'!$A$5:$A$304,0)),""))</f>
        <v/>
      </c>
      <c r="G2224" s="9">
        <f>IF(D2224="","",IFERROR(INDEX('Équipements'!$K$5:$K$304,MATCH(D2224,'Équipements'!$A$5:$A$304,0)),""))</f>
        <v/>
      </c>
      <c r="H2224" s="7" t="n"/>
      <c r="I2224" s="7" t="n"/>
      <c r="J2224" s="7" t="n"/>
      <c r="K2224" s="7" t="n"/>
      <c r="L2224" s="7" t="n"/>
      <c r="M2224" s="7" t="n"/>
      <c r="N2224" s="7" t="n"/>
      <c r="O2224" s="7" t="n"/>
      <c r="P2224" s="65" t="n"/>
      <c r="Q2224" s="75" t="n"/>
      <c r="R2224" s="75" t="n"/>
      <c r="S2224" s="76" t="n"/>
      <c r="T2224" s="76" t="n"/>
      <c r="U2224" s="70">
        <f>IF($A2224="","",IFERROR(INDEX('Techniciens'!$F$5:$F$44,MATCH(O2224,'Techniciens'!$B$5:$B$44,0)),'Paramètres'!$AA$10))</f>
        <v/>
      </c>
      <c r="V2224" s="70">
        <f>IF($A2224="","",IF(OR(AC2224="Demandé",AC2224="Planifié",AC2224="Annulé"),0,N(T2224)*N(U2224)))</f>
        <v/>
      </c>
      <c r="W2224" s="70">
        <f>IF($A2224="","",SUMIFS('Mouvements stock'!$H$5:$H$3004,'Mouvements stock'!$I$5:$I$3004,$A2224,'Mouvements stock'!$C$5:$C$3004,"Sortie")-SUMIFS('Mouvements stock'!$H$5:$H$3004,'Mouvements stock'!$I$5:$I$3004,$A2224,'Mouvements stock'!$C$5:$C$3004,"Retour"))</f>
        <v/>
      </c>
      <c r="X2224" s="66" t="n"/>
      <c r="Y2224" s="66" t="n"/>
      <c r="Z2224" s="7" t="n"/>
      <c r="AA2224" s="70">
        <f>IF($A2224="","",N(V2224)+N(W2224)+N(X2224)+N(Y2224))</f>
        <v/>
      </c>
      <c r="AB2224" s="70">
        <f>IF($A2224="","",N(S2224)*'Paramètres'!$AA$9*IFERROR(INDEX('Paramètres'!$O$5:$O$7,MATCH(G2224,'Paramètres'!$N$5:$N$7,0)),0))</f>
        <v/>
      </c>
      <c r="AC2224" s="7" t="n"/>
      <c r="AD2224" s="69">
        <f>IF(OR($A2224="",Q2224=""),"",(Q2224-B2224)*24)</f>
        <v/>
      </c>
      <c r="AE2224" s="69">
        <f>IF(OR(Q2224="",R2224=""),"",(R2224-Q2224)*24)</f>
        <v/>
      </c>
      <c r="AF2224" s="77">
        <f>IF(OR($A2224="",B2224=""),"",YEAR(B2224))</f>
        <v/>
      </c>
      <c r="AG2224" s="77">
        <f>IF(OR($A2224="",B2224=""),"",MONTH(B2224))</f>
        <v/>
      </c>
    </row>
    <row r="2225">
      <c r="A2225" s="7" t="n"/>
      <c r="B2225" s="75" t="n"/>
      <c r="C2225" s="7" t="n"/>
      <c r="D2225" s="7" t="n"/>
      <c r="E2225" s="9">
        <f>IF(D2225="","",IFERROR(INDEX('Équipements'!$B$5:$B$304,MATCH(D2225,'Équipements'!$A$5:$A$304,0)),"Code inconnu"))</f>
        <v/>
      </c>
      <c r="F2225" s="9">
        <f>IF(D2225="","",IFERROR(INDEX('Équipements'!$D$5:$D$304,MATCH(D2225,'Équipements'!$A$5:$A$304,0)),""))</f>
        <v/>
      </c>
      <c r="G2225" s="9">
        <f>IF(D2225="","",IFERROR(INDEX('Équipements'!$K$5:$K$304,MATCH(D2225,'Équipements'!$A$5:$A$304,0)),""))</f>
        <v/>
      </c>
      <c r="H2225" s="7" t="n"/>
      <c r="I2225" s="7" t="n"/>
      <c r="J2225" s="7" t="n"/>
      <c r="K2225" s="7" t="n"/>
      <c r="L2225" s="7" t="n"/>
      <c r="M2225" s="7" t="n"/>
      <c r="N2225" s="7" t="n"/>
      <c r="O2225" s="7" t="n"/>
      <c r="P2225" s="65" t="n"/>
      <c r="Q2225" s="75" t="n"/>
      <c r="R2225" s="75" t="n"/>
      <c r="S2225" s="76" t="n"/>
      <c r="T2225" s="76" t="n"/>
      <c r="U2225" s="70">
        <f>IF($A2225="","",IFERROR(INDEX('Techniciens'!$F$5:$F$44,MATCH(O2225,'Techniciens'!$B$5:$B$44,0)),'Paramètres'!$AA$10))</f>
        <v/>
      </c>
      <c r="V2225" s="70">
        <f>IF($A2225="","",IF(OR(AC2225="Demandé",AC2225="Planifié",AC2225="Annulé"),0,N(T2225)*N(U2225)))</f>
        <v/>
      </c>
      <c r="W2225" s="70">
        <f>IF($A2225="","",SUMIFS('Mouvements stock'!$H$5:$H$3004,'Mouvements stock'!$I$5:$I$3004,$A2225,'Mouvements stock'!$C$5:$C$3004,"Sortie")-SUMIFS('Mouvements stock'!$H$5:$H$3004,'Mouvements stock'!$I$5:$I$3004,$A2225,'Mouvements stock'!$C$5:$C$3004,"Retour"))</f>
        <v/>
      </c>
      <c r="X2225" s="66" t="n"/>
      <c r="Y2225" s="66" t="n"/>
      <c r="Z2225" s="7" t="n"/>
      <c r="AA2225" s="70">
        <f>IF($A2225="","",N(V2225)+N(W2225)+N(X2225)+N(Y2225))</f>
        <v/>
      </c>
      <c r="AB2225" s="70">
        <f>IF($A2225="","",N(S2225)*'Paramètres'!$AA$9*IFERROR(INDEX('Paramètres'!$O$5:$O$7,MATCH(G2225,'Paramètres'!$N$5:$N$7,0)),0))</f>
        <v/>
      </c>
      <c r="AC2225" s="7" t="n"/>
      <c r="AD2225" s="69">
        <f>IF(OR($A2225="",Q2225=""),"",(Q2225-B2225)*24)</f>
        <v/>
      </c>
      <c r="AE2225" s="69">
        <f>IF(OR(Q2225="",R2225=""),"",(R2225-Q2225)*24)</f>
        <v/>
      </c>
      <c r="AF2225" s="77">
        <f>IF(OR($A2225="",B2225=""),"",YEAR(B2225))</f>
        <v/>
      </c>
      <c r="AG2225" s="77">
        <f>IF(OR($A2225="",B2225=""),"",MONTH(B2225))</f>
        <v/>
      </c>
    </row>
    <row r="2226">
      <c r="A2226" s="7" t="n"/>
      <c r="B2226" s="75" t="n"/>
      <c r="C2226" s="7" t="n"/>
      <c r="D2226" s="7" t="n"/>
      <c r="E2226" s="9">
        <f>IF(D2226="","",IFERROR(INDEX('Équipements'!$B$5:$B$304,MATCH(D2226,'Équipements'!$A$5:$A$304,0)),"Code inconnu"))</f>
        <v/>
      </c>
      <c r="F2226" s="9">
        <f>IF(D2226="","",IFERROR(INDEX('Équipements'!$D$5:$D$304,MATCH(D2226,'Équipements'!$A$5:$A$304,0)),""))</f>
        <v/>
      </c>
      <c r="G2226" s="9">
        <f>IF(D2226="","",IFERROR(INDEX('Équipements'!$K$5:$K$304,MATCH(D2226,'Équipements'!$A$5:$A$304,0)),""))</f>
        <v/>
      </c>
      <c r="H2226" s="7" t="n"/>
      <c r="I2226" s="7" t="n"/>
      <c r="J2226" s="7" t="n"/>
      <c r="K2226" s="7" t="n"/>
      <c r="L2226" s="7" t="n"/>
      <c r="M2226" s="7" t="n"/>
      <c r="N2226" s="7" t="n"/>
      <c r="O2226" s="7" t="n"/>
      <c r="P2226" s="65" t="n"/>
      <c r="Q2226" s="75" t="n"/>
      <c r="R2226" s="75" t="n"/>
      <c r="S2226" s="76" t="n"/>
      <c r="T2226" s="76" t="n"/>
      <c r="U2226" s="70">
        <f>IF($A2226="","",IFERROR(INDEX('Techniciens'!$F$5:$F$44,MATCH(O2226,'Techniciens'!$B$5:$B$44,0)),'Paramètres'!$AA$10))</f>
        <v/>
      </c>
      <c r="V2226" s="70">
        <f>IF($A2226="","",IF(OR(AC2226="Demandé",AC2226="Planifié",AC2226="Annulé"),0,N(T2226)*N(U2226)))</f>
        <v/>
      </c>
      <c r="W2226" s="70">
        <f>IF($A2226="","",SUMIFS('Mouvements stock'!$H$5:$H$3004,'Mouvements stock'!$I$5:$I$3004,$A2226,'Mouvements stock'!$C$5:$C$3004,"Sortie")-SUMIFS('Mouvements stock'!$H$5:$H$3004,'Mouvements stock'!$I$5:$I$3004,$A2226,'Mouvements stock'!$C$5:$C$3004,"Retour"))</f>
        <v/>
      </c>
      <c r="X2226" s="66" t="n"/>
      <c r="Y2226" s="66" t="n"/>
      <c r="Z2226" s="7" t="n"/>
      <c r="AA2226" s="70">
        <f>IF($A2226="","",N(V2226)+N(W2226)+N(X2226)+N(Y2226))</f>
        <v/>
      </c>
      <c r="AB2226" s="70">
        <f>IF($A2226="","",N(S2226)*'Paramètres'!$AA$9*IFERROR(INDEX('Paramètres'!$O$5:$O$7,MATCH(G2226,'Paramètres'!$N$5:$N$7,0)),0))</f>
        <v/>
      </c>
      <c r="AC2226" s="7" t="n"/>
      <c r="AD2226" s="69">
        <f>IF(OR($A2226="",Q2226=""),"",(Q2226-B2226)*24)</f>
        <v/>
      </c>
      <c r="AE2226" s="69">
        <f>IF(OR(Q2226="",R2226=""),"",(R2226-Q2226)*24)</f>
        <v/>
      </c>
      <c r="AF2226" s="77">
        <f>IF(OR($A2226="",B2226=""),"",YEAR(B2226))</f>
        <v/>
      </c>
      <c r="AG2226" s="77">
        <f>IF(OR($A2226="",B2226=""),"",MONTH(B2226))</f>
        <v/>
      </c>
    </row>
    <row r="2227">
      <c r="A2227" s="7" t="n"/>
      <c r="B2227" s="75" t="n"/>
      <c r="C2227" s="7" t="n"/>
      <c r="D2227" s="7" t="n"/>
      <c r="E2227" s="9">
        <f>IF(D2227="","",IFERROR(INDEX('Équipements'!$B$5:$B$304,MATCH(D2227,'Équipements'!$A$5:$A$304,0)),"Code inconnu"))</f>
        <v/>
      </c>
      <c r="F2227" s="9">
        <f>IF(D2227="","",IFERROR(INDEX('Équipements'!$D$5:$D$304,MATCH(D2227,'Équipements'!$A$5:$A$304,0)),""))</f>
        <v/>
      </c>
      <c r="G2227" s="9">
        <f>IF(D2227="","",IFERROR(INDEX('Équipements'!$K$5:$K$304,MATCH(D2227,'Équipements'!$A$5:$A$304,0)),""))</f>
        <v/>
      </c>
      <c r="H2227" s="7" t="n"/>
      <c r="I2227" s="7" t="n"/>
      <c r="J2227" s="7" t="n"/>
      <c r="K2227" s="7" t="n"/>
      <c r="L2227" s="7" t="n"/>
      <c r="M2227" s="7" t="n"/>
      <c r="N2227" s="7" t="n"/>
      <c r="O2227" s="7" t="n"/>
      <c r="P2227" s="65" t="n"/>
      <c r="Q2227" s="75" t="n"/>
      <c r="R2227" s="75" t="n"/>
      <c r="S2227" s="76" t="n"/>
      <c r="T2227" s="76" t="n"/>
      <c r="U2227" s="70">
        <f>IF($A2227="","",IFERROR(INDEX('Techniciens'!$F$5:$F$44,MATCH(O2227,'Techniciens'!$B$5:$B$44,0)),'Paramètres'!$AA$10))</f>
        <v/>
      </c>
      <c r="V2227" s="70">
        <f>IF($A2227="","",IF(OR(AC2227="Demandé",AC2227="Planifié",AC2227="Annulé"),0,N(T2227)*N(U2227)))</f>
        <v/>
      </c>
      <c r="W2227" s="70">
        <f>IF($A2227="","",SUMIFS('Mouvements stock'!$H$5:$H$3004,'Mouvements stock'!$I$5:$I$3004,$A2227,'Mouvements stock'!$C$5:$C$3004,"Sortie")-SUMIFS('Mouvements stock'!$H$5:$H$3004,'Mouvements stock'!$I$5:$I$3004,$A2227,'Mouvements stock'!$C$5:$C$3004,"Retour"))</f>
        <v/>
      </c>
      <c r="X2227" s="66" t="n"/>
      <c r="Y2227" s="66" t="n"/>
      <c r="Z2227" s="7" t="n"/>
      <c r="AA2227" s="70">
        <f>IF($A2227="","",N(V2227)+N(W2227)+N(X2227)+N(Y2227))</f>
        <v/>
      </c>
      <c r="AB2227" s="70">
        <f>IF($A2227="","",N(S2227)*'Paramètres'!$AA$9*IFERROR(INDEX('Paramètres'!$O$5:$O$7,MATCH(G2227,'Paramètres'!$N$5:$N$7,0)),0))</f>
        <v/>
      </c>
      <c r="AC2227" s="7" t="n"/>
      <c r="AD2227" s="69">
        <f>IF(OR($A2227="",Q2227=""),"",(Q2227-B2227)*24)</f>
        <v/>
      </c>
      <c r="AE2227" s="69">
        <f>IF(OR(Q2227="",R2227=""),"",(R2227-Q2227)*24)</f>
        <v/>
      </c>
      <c r="AF2227" s="77">
        <f>IF(OR($A2227="",B2227=""),"",YEAR(B2227))</f>
        <v/>
      </c>
      <c r="AG2227" s="77">
        <f>IF(OR($A2227="",B2227=""),"",MONTH(B2227))</f>
        <v/>
      </c>
    </row>
    <row r="2228">
      <c r="A2228" s="7" t="n"/>
      <c r="B2228" s="75" t="n"/>
      <c r="C2228" s="7" t="n"/>
      <c r="D2228" s="7" t="n"/>
      <c r="E2228" s="9">
        <f>IF(D2228="","",IFERROR(INDEX('Équipements'!$B$5:$B$304,MATCH(D2228,'Équipements'!$A$5:$A$304,0)),"Code inconnu"))</f>
        <v/>
      </c>
      <c r="F2228" s="9">
        <f>IF(D2228="","",IFERROR(INDEX('Équipements'!$D$5:$D$304,MATCH(D2228,'Équipements'!$A$5:$A$304,0)),""))</f>
        <v/>
      </c>
      <c r="G2228" s="9">
        <f>IF(D2228="","",IFERROR(INDEX('Équipements'!$K$5:$K$304,MATCH(D2228,'Équipements'!$A$5:$A$304,0)),""))</f>
        <v/>
      </c>
      <c r="H2228" s="7" t="n"/>
      <c r="I2228" s="7" t="n"/>
      <c r="J2228" s="7" t="n"/>
      <c r="K2228" s="7" t="n"/>
      <c r="L2228" s="7" t="n"/>
      <c r="M2228" s="7" t="n"/>
      <c r="N2228" s="7" t="n"/>
      <c r="O2228" s="7" t="n"/>
      <c r="P2228" s="65" t="n"/>
      <c r="Q2228" s="75" t="n"/>
      <c r="R2228" s="75" t="n"/>
      <c r="S2228" s="76" t="n"/>
      <c r="T2228" s="76" t="n"/>
      <c r="U2228" s="70">
        <f>IF($A2228="","",IFERROR(INDEX('Techniciens'!$F$5:$F$44,MATCH(O2228,'Techniciens'!$B$5:$B$44,0)),'Paramètres'!$AA$10))</f>
        <v/>
      </c>
      <c r="V2228" s="70">
        <f>IF($A2228="","",IF(OR(AC2228="Demandé",AC2228="Planifié",AC2228="Annulé"),0,N(T2228)*N(U2228)))</f>
        <v/>
      </c>
      <c r="W2228" s="70">
        <f>IF($A2228="","",SUMIFS('Mouvements stock'!$H$5:$H$3004,'Mouvements stock'!$I$5:$I$3004,$A2228,'Mouvements stock'!$C$5:$C$3004,"Sortie")-SUMIFS('Mouvements stock'!$H$5:$H$3004,'Mouvements stock'!$I$5:$I$3004,$A2228,'Mouvements stock'!$C$5:$C$3004,"Retour"))</f>
        <v/>
      </c>
      <c r="X2228" s="66" t="n"/>
      <c r="Y2228" s="66" t="n"/>
      <c r="Z2228" s="7" t="n"/>
      <c r="AA2228" s="70">
        <f>IF($A2228="","",N(V2228)+N(W2228)+N(X2228)+N(Y2228))</f>
        <v/>
      </c>
      <c r="AB2228" s="70">
        <f>IF($A2228="","",N(S2228)*'Paramètres'!$AA$9*IFERROR(INDEX('Paramètres'!$O$5:$O$7,MATCH(G2228,'Paramètres'!$N$5:$N$7,0)),0))</f>
        <v/>
      </c>
      <c r="AC2228" s="7" t="n"/>
      <c r="AD2228" s="69">
        <f>IF(OR($A2228="",Q2228=""),"",(Q2228-B2228)*24)</f>
        <v/>
      </c>
      <c r="AE2228" s="69">
        <f>IF(OR(Q2228="",R2228=""),"",(R2228-Q2228)*24)</f>
        <v/>
      </c>
      <c r="AF2228" s="77">
        <f>IF(OR($A2228="",B2228=""),"",YEAR(B2228))</f>
        <v/>
      </c>
      <c r="AG2228" s="77">
        <f>IF(OR($A2228="",B2228=""),"",MONTH(B2228))</f>
        <v/>
      </c>
    </row>
    <row r="2229">
      <c r="A2229" s="7" t="n"/>
      <c r="B2229" s="75" t="n"/>
      <c r="C2229" s="7" t="n"/>
      <c r="D2229" s="7" t="n"/>
      <c r="E2229" s="9">
        <f>IF(D2229="","",IFERROR(INDEX('Équipements'!$B$5:$B$304,MATCH(D2229,'Équipements'!$A$5:$A$304,0)),"Code inconnu"))</f>
        <v/>
      </c>
      <c r="F2229" s="9">
        <f>IF(D2229="","",IFERROR(INDEX('Équipements'!$D$5:$D$304,MATCH(D2229,'Équipements'!$A$5:$A$304,0)),""))</f>
        <v/>
      </c>
      <c r="G2229" s="9">
        <f>IF(D2229="","",IFERROR(INDEX('Équipements'!$K$5:$K$304,MATCH(D2229,'Équipements'!$A$5:$A$304,0)),""))</f>
        <v/>
      </c>
      <c r="H2229" s="7" t="n"/>
      <c r="I2229" s="7" t="n"/>
      <c r="J2229" s="7" t="n"/>
      <c r="K2229" s="7" t="n"/>
      <c r="L2229" s="7" t="n"/>
      <c r="M2229" s="7" t="n"/>
      <c r="N2229" s="7" t="n"/>
      <c r="O2229" s="7" t="n"/>
      <c r="P2229" s="65" t="n"/>
      <c r="Q2229" s="75" t="n"/>
      <c r="R2229" s="75" t="n"/>
      <c r="S2229" s="76" t="n"/>
      <c r="T2229" s="76" t="n"/>
      <c r="U2229" s="70">
        <f>IF($A2229="","",IFERROR(INDEX('Techniciens'!$F$5:$F$44,MATCH(O2229,'Techniciens'!$B$5:$B$44,0)),'Paramètres'!$AA$10))</f>
        <v/>
      </c>
      <c r="V2229" s="70">
        <f>IF($A2229="","",IF(OR(AC2229="Demandé",AC2229="Planifié",AC2229="Annulé"),0,N(T2229)*N(U2229)))</f>
        <v/>
      </c>
      <c r="W2229" s="70">
        <f>IF($A2229="","",SUMIFS('Mouvements stock'!$H$5:$H$3004,'Mouvements stock'!$I$5:$I$3004,$A2229,'Mouvements stock'!$C$5:$C$3004,"Sortie")-SUMIFS('Mouvements stock'!$H$5:$H$3004,'Mouvements stock'!$I$5:$I$3004,$A2229,'Mouvements stock'!$C$5:$C$3004,"Retour"))</f>
        <v/>
      </c>
      <c r="X2229" s="66" t="n"/>
      <c r="Y2229" s="66" t="n"/>
      <c r="Z2229" s="7" t="n"/>
      <c r="AA2229" s="70">
        <f>IF($A2229="","",N(V2229)+N(W2229)+N(X2229)+N(Y2229))</f>
        <v/>
      </c>
      <c r="AB2229" s="70">
        <f>IF($A2229="","",N(S2229)*'Paramètres'!$AA$9*IFERROR(INDEX('Paramètres'!$O$5:$O$7,MATCH(G2229,'Paramètres'!$N$5:$N$7,0)),0))</f>
        <v/>
      </c>
      <c r="AC2229" s="7" t="n"/>
      <c r="AD2229" s="69">
        <f>IF(OR($A2229="",Q2229=""),"",(Q2229-B2229)*24)</f>
        <v/>
      </c>
      <c r="AE2229" s="69">
        <f>IF(OR(Q2229="",R2229=""),"",(R2229-Q2229)*24)</f>
        <v/>
      </c>
      <c r="AF2229" s="77">
        <f>IF(OR($A2229="",B2229=""),"",YEAR(B2229))</f>
        <v/>
      </c>
      <c r="AG2229" s="77">
        <f>IF(OR($A2229="",B2229=""),"",MONTH(B2229))</f>
        <v/>
      </c>
    </row>
    <row r="2230">
      <c r="A2230" s="7" t="n"/>
      <c r="B2230" s="75" t="n"/>
      <c r="C2230" s="7" t="n"/>
      <c r="D2230" s="7" t="n"/>
      <c r="E2230" s="9">
        <f>IF(D2230="","",IFERROR(INDEX('Équipements'!$B$5:$B$304,MATCH(D2230,'Équipements'!$A$5:$A$304,0)),"Code inconnu"))</f>
        <v/>
      </c>
      <c r="F2230" s="9">
        <f>IF(D2230="","",IFERROR(INDEX('Équipements'!$D$5:$D$304,MATCH(D2230,'Équipements'!$A$5:$A$304,0)),""))</f>
        <v/>
      </c>
      <c r="G2230" s="9">
        <f>IF(D2230="","",IFERROR(INDEX('Équipements'!$K$5:$K$304,MATCH(D2230,'Équipements'!$A$5:$A$304,0)),""))</f>
        <v/>
      </c>
      <c r="H2230" s="7" t="n"/>
      <c r="I2230" s="7" t="n"/>
      <c r="J2230" s="7" t="n"/>
      <c r="K2230" s="7" t="n"/>
      <c r="L2230" s="7" t="n"/>
      <c r="M2230" s="7" t="n"/>
      <c r="N2230" s="7" t="n"/>
      <c r="O2230" s="7" t="n"/>
      <c r="P2230" s="65" t="n"/>
      <c r="Q2230" s="75" t="n"/>
      <c r="R2230" s="75" t="n"/>
      <c r="S2230" s="76" t="n"/>
      <c r="T2230" s="76" t="n"/>
      <c r="U2230" s="70">
        <f>IF($A2230="","",IFERROR(INDEX('Techniciens'!$F$5:$F$44,MATCH(O2230,'Techniciens'!$B$5:$B$44,0)),'Paramètres'!$AA$10))</f>
        <v/>
      </c>
      <c r="V2230" s="70">
        <f>IF($A2230="","",IF(OR(AC2230="Demandé",AC2230="Planifié",AC2230="Annulé"),0,N(T2230)*N(U2230)))</f>
        <v/>
      </c>
      <c r="W2230" s="70">
        <f>IF($A2230="","",SUMIFS('Mouvements stock'!$H$5:$H$3004,'Mouvements stock'!$I$5:$I$3004,$A2230,'Mouvements stock'!$C$5:$C$3004,"Sortie")-SUMIFS('Mouvements stock'!$H$5:$H$3004,'Mouvements stock'!$I$5:$I$3004,$A2230,'Mouvements stock'!$C$5:$C$3004,"Retour"))</f>
        <v/>
      </c>
      <c r="X2230" s="66" t="n"/>
      <c r="Y2230" s="66" t="n"/>
      <c r="Z2230" s="7" t="n"/>
      <c r="AA2230" s="70">
        <f>IF($A2230="","",N(V2230)+N(W2230)+N(X2230)+N(Y2230))</f>
        <v/>
      </c>
      <c r="AB2230" s="70">
        <f>IF($A2230="","",N(S2230)*'Paramètres'!$AA$9*IFERROR(INDEX('Paramètres'!$O$5:$O$7,MATCH(G2230,'Paramètres'!$N$5:$N$7,0)),0))</f>
        <v/>
      </c>
      <c r="AC2230" s="7" t="n"/>
      <c r="AD2230" s="69">
        <f>IF(OR($A2230="",Q2230=""),"",(Q2230-B2230)*24)</f>
        <v/>
      </c>
      <c r="AE2230" s="69">
        <f>IF(OR(Q2230="",R2230=""),"",(R2230-Q2230)*24)</f>
        <v/>
      </c>
      <c r="AF2230" s="77">
        <f>IF(OR($A2230="",B2230=""),"",YEAR(B2230))</f>
        <v/>
      </c>
      <c r="AG2230" s="77">
        <f>IF(OR($A2230="",B2230=""),"",MONTH(B2230))</f>
        <v/>
      </c>
    </row>
    <row r="2231">
      <c r="A2231" s="7" t="n"/>
      <c r="B2231" s="75" t="n"/>
      <c r="C2231" s="7" t="n"/>
      <c r="D2231" s="7" t="n"/>
      <c r="E2231" s="9">
        <f>IF(D2231="","",IFERROR(INDEX('Équipements'!$B$5:$B$304,MATCH(D2231,'Équipements'!$A$5:$A$304,0)),"Code inconnu"))</f>
        <v/>
      </c>
      <c r="F2231" s="9">
        <f>IF(D2231="","",IFERROR(INDEX('Équipements'!$D$5:$D$304,MATCH(D2231,'Équipements'!$A$5:$A$304,0)),""))</f>
        <v/>
      </c>
      <c r="G2231" s="9">
        <f>IF(D2231="","",IFERROR(INDEX('Équipements'!$K$5:$K$304,MATCH(D2231,'Équipements'!$A$5:$A$304,0)),""))</f>
        <v/>
      </c>
      <c r="H2231" s="7" t="n"/>
      <c r="I2231" s="7" t="n"/>
      <c r="J2231" s="7" t="n"/>
      <c r="K2231" s="7" t="n"/>
      <c r="L2231" s="7" t="n"/>
      <c r="M2231" s="7" t="n"/>
      <c r="N2231" s="7" t="n"/>
      <c r="O2231" s="7" t="n"/>
      <c r="P2231" s="65" t="n"/>
      <c r="Q2231" s="75" t="n"/>
      <c r="R2231" s="75" t="n"/>
      <c r="S2231" s="76" t="n"/>
      <c r="T2231" s="76" t="n"/>
      <c r="U2231" s="70">
        <f>IF($A2231="","",IFERROR(INDEX('Techniciens'!$F$5:$F$44,MATCH(O2231,'Techniciens'!$B$5:$B$44,0)),'Paramètres'!$AA$10))</f>
        <v/>
      </c>
      <c r="V2231" s="70">
        <f>IF($A2231="","",IF(OR(AC2231="Demandé",AC2231="Planifié",AC2231="Annulé"),0,N(T2231)*N(U2231)))</f>
        <v/>
      </c>
      <c r="W2231" s="70">
        <f>IF($A2231="","",SUMIFS('Mouvements stock'!$H$5:$H$3004,'Mouvements stock'!$I$5:$I$3004,$A2231,'Mouvements stock'!$C$5:$C$3004,"Sortie")-SUMIFS('Mouvements stock'!$H$5:$H$3004,'Mouvements stock'!$I$5:$I$3004,$A2231,'Mouvements stock'!$C$5:$C$3004,"Retour"))</f>
        <v/>
      </c>
      <c r="X2231" s="66" t="n"/>
      <c r="Y2231" s="66" t="n"/>
      <c r="Z2231" s="7" t="n"/>
      <c r="AA2231" s="70">
        <f>IF($A2231="","",N(V2231)+N(W2231)+N(X2231)+N(Y2231))</f>
        <v/>
      </c>
      <c r="AB2231" s="70">
        <f>IF($A2231="","",N(S2231)*'Paramètres'!$AA$9*IFERROR(INDEX('Paramètres'!$O$5:$O$7,MATCH(G2231,'Paramètres'!$N$5:$N$7,0)),0))</f>
        <v/>
      </c>
      <c r="AC2231" s="7" t="n"/>
      <c r="AD2231" s="69">
        <f>IF(OR($A2231="",Q2231=""),"",(Q2231-B2231)*24)</f>
        <v/>
      </c>
      <c r="AE2231" s="69">
        <f>IF(OR(Q2231="",R2231=""),"",(R2231-Q2231)*24)</f>
        <v/>
      </c>
      <c r="AF2231" s="77">
        <f>IF(OR($A2231="",B2231=""),"",YEAR(B2231))</f>
        <v/>
      </c>
      <c r="AG2231" s="77">
        <f>IF(OR($A2231="",B2231=""),"",MONTH(B2231))</f>
        <v/>
      </c>
    </row>
    <row r="2232">
      <c r="A2232" s="7" t="n"/>
      <c r="B2232" s="75" t="n"/>
      <c r="C2232" s="7" t="n"/>
      <c r="D2232" s="7" t="n"/>
      <c r="E2232" s="9">
        <f>IF(D2232="","",IFERROR(INDEX('Équipements'!$B$5:$B$304,MATCH(D2232,'Équipements'!$A$5:$A$304,0)),"Code inconnu"))</f>
        <v/>
      </c>
      <c r="F2232" s="9">
        <f>IF(D2232="","",IFERROR(INDEX('Équipements'!$D$5:$D$304,MATCH(D2232,'Équipements'!$A$5:$A$304,0)),""))</f>
        <v/>
      </c>
      <c r="G2232" s="9">
        <f>IF(D2232="","",IFERROR(INDEX('Équipements'!$K$5:$K$304,MATCH(D2232,'Équipements'!$A$5:$A$304,0)),""))</f>
        <v/>
      </c>
      <c r="H2232" s="7" t="n"/>
      <c r="I2232" s="7" t="n"/>
      <c r="J2232" s="7" t="n"/>
      <c r="K2232" s="7" t="n"/>
      <c r="L2232" s="7" t="n"/>
      <c r="M2232" s="7" t="n"/>
      <c r="N2232" s="7" t="n"/>
      <c r="O2232" s="7" t="n"/>
      <c r="P2232" s="65" t="n"/>
      <c r="Q2232" s="75" t="n"/>
      <c r="R2232" s="75" t="n"/>
      <c r="S2232" s="76" t="n"/>
      <c r="T2232" s="76" t="n"/>
      <c r="U2232" s="70">
        <f>IF($A2232="","",IFERROR(INDEX('Techniciens'!$F$5:$F$44,MATCH(O2232,'Techniciens'!$B$5:$B$44,0)),'Paramètres'!$AA$10))</f>
        <v/>
      </c>
      <c r="V2232" s="70">
        <f>IF($A2232="","",IF(OR(AC2232="Demandé",AC2232="Planifié",AC2232="Annulé"),0,N(T2232)*N(U2232)))</f>
        <v/>
      </c>
      <c r="W2232" s="70">
        <f>IF($A2232="","",SUMIFS('Mouvements stock'!$H$5:$H$3004,'Mouvements stock'!$I$5:$I$3004,$A2232,'Mouvements stock'!$C$5:$C$3004,"Sortie")-SUMIFS('Mouvements stock'!$H$5:$H$3004,'Mouvements stock'!$I$5:$I$3004,$A2232,'Mouvements stock'!$C$5:$C$3004,"Retour"))</f>
        <v/>
      </c>
      <c r="X2232" s="66" t="n"/>
      <c r="Y2232" s="66" t="n"/>
      <c r="Z2232" s="7" t="n"/>
      <c r="AA2232" s="70">
        <f>IF($A2232="","",N(V2232)+N(W2232)+N(X2232)+N(Y2232))</f>
        <v/>
      </c>
      <c r="AB2232" s="70">
        <f>IF($A2232="","",N(S2232)*'Paramètres'!$AA$9*IFERROR(INDEX('Paramètres'!$O$5:$O$7,MATCH(G2232,'Paramètres'!$N$5:$N$7,0)),0))</f>
        <v/>
      </c>
      <c r="AC2232" s="7" t="n"/>
      <c r="AD2232" s="69">
        <f>IF(OR($A2232="",Q2232=""),"",(Q2232-B2232)*24)</f>
        <v/>
      </c>
      <c r="AE2232" s="69">
        <f>IF(OR(Q2232="",R2232=""),"",(R2232-Q2232)*24)</f>
        <v/>
      </c>
      <c r="AF2232" s="77">
        <f>IF(OR($A2232="",B2232=""),"",YEAR(B2232))</f>
        <v/>
      </c>
      <c r="AG2232" s="77">
        <f>IF(OR($A2232="",B2232=""),"",MONTH(B2232))</f>
        <v/>
      </c>
    </row>
    <row r="2233">
      <c r="A2233" s="7" t="n"/>
      <c r="B2233" s="75" t="n"/>
      <c r="C2233" s="7" t="n"/>
      <c r="D2233" s="7" t="n"/>
      <c r="E2233" s="9">
        <f>IF(D2233="","",IFERROR(INDEX('Équipements'!$B$5:$B$304,MATCH(D2233,'Équipements'!$A$5:$A$304,0)),"Code inconnu"))</f>
        <v/>
      </c>
      <c r="F2233" s="9">
        <f>IF(D2233="","",IFERROR(INDEX('Équipements'!$D$5:$D$304,MATCH(D2233,'Équipements'!$A$5:$A$304,0)),""))</f>
        <v/>
      </c>
      <c r="G2233" s="9">
        <f>IF(D2233="","",IFERROR(INDEX('Équipements'!$K$5:$K$304,MATCH(D2233,'Équipements'!$A$5:$A$304,0)),""))</f>
        <v/>
      </c>
      <c r="H2233" s="7" t="n"/>
      <c r="I2233" s="7" t="n"/>
      <c r="J2233" s="7" t="n"/>
      <c r="K2233" s="7" t="n"/>
      <c r="L2233" s="7" t="n"/>
      <c r="M2233" s="7" t="n"/>
      <c r="N2233" s="7" t="n"/>
      <c r="O2233" s="7" t="n"/>
      <c r="P2233" s="65" t="n"/>
      <c r="Q2233" s="75" t="n"/>
      <c r="R2233" s="75" t="n"/>
      <c r="S2233" s="76" t="n"/>
      <c r="T2233" s="76" t="n"/>
      <c r="U2233" s="70">
        <f>IF($A2233="","",IFERROR(INDEX('Techniciens'!$F$5:$F$44,MATCH(O2233,'Techniciens'!$B$5:$B$44,0)),'Paramètres'!$AA$10))</f>
        <v/>
      </c>
      <c r="V2233" s="70">
        <f>IF($A2233="","",IF(OR(AC2233="Demandé",AC2233="Planifié",AC2233="Annulé"),0,N(T2233)*N(U2233)))</f>
        <v/>
      </c>
      <c r="W2233" s="70">
        <f>IF($A2233="","",SUMIFS('Mouvements stock'!$H$5:$H$3004,'Mouvements stock'!$I$5:$I$3004,$A2233,'Mouvements stock'!$C$5:$C$3004,"Sortie")-SUMIFS('Mouvements stock'!$H$5:$H$3004,'Mouvements stock'!$I$5:$I$3004,$A2233,'Mouvements stock'!$C$5:$C$3004,"Retour"))</f>
        <v/>
      </c>
      <c r="X2233" s="66" t="n"/>
      <c r="Y2233" s="66" t="n"/>
      <c r="Z2233" s="7" t="n"/>
      <c r="AA2233" s="70">
        <f>IF($A2233="","",N(V2233)+N(W2233)+N(X2233)+N(Y2233))</f>
        <v/>
      </c>
      <c r="AB2233" s="70">
        <f>IF($A2233="","",N(S2233)*'Paramètres'!$AA$9*IFERROR(INDEX('Paramètres'!$O$5:$O$7,MATCH(G2233,'Paramètres'!$N$5:$N$7,0)),0))</f>
        <v/>
      </c>
      <c r="AC2233" s="7" t="n"/>
      <c r="AD2233" s="69">
        <f>IF(OR($A2233="",Q2233=""),"",(Q2233-B2233)*24)</f>
        <v/>
      </c>
      <c r="AE2233" s="69">
        <f>IF(OR(Q2233="",R2233=""),"",(R2233-Q2233)*24)</f>
        <v/>
      </c>
      <c r="AF2233" s="77">
        <f>IF(OR($A2233="",B2233=""),"",YEAR(B2233))</f>
        <v/>
      </c>
      <c r="AG2233" s="77">
        <f>IF(OR($A2233="",B2233=""),"",MONTH(B2233))</f>
        <v/>
      </c>
    </row>
    <row r="2234">
      <c r="A2234" s="7" t="n"/>
      <c r="B2234" s="75" t="n"/>
      <c r="C2234" s="7" t="n"/>
      <c r="D2234" s="7" t="n"/>
      <c r="E2234" s="9">
        <f>IF(D2234="","",IFERROR(INDEX('Équipements'!$B$5:$B$304,MATCH(D2234,'Équipements'!$A$5:$A$304,0)),"Code inconnu"))</f>
        <v/>
      </c>
      <c r="F2234" s="9">
        <f>IF(D2234="","",IFERROR(INDEX('Équipements'!$D$5:$D$304,MATCH(D2234,'Équipements'!$A$5:$A$304,0)),""))</f>
        <v/>
      </c>
      <c r="G2234" s="9">
        <f>IF(D2234="","",IFERROR(INDEX('Équipements'!$K$5:$K$304,MATCH(D2234,'Équipements'!$A$5:$A$304,0)),""))</f>
        <v/>
      </c>
      <c r="H2234" s="7" t="n"/>
      <c r="I2234" s="7" t="n"/>
      <c r="J2234" s="7" t="n"/>
      <c r="K2234" s="7" t="n"/>
      <c r="L2234" s="7" t="n"/>
      <c r="M2234" s="7" t="n"/>
      <c r="N2234" s="7" t="n"/>
      <c r="O2234" s="7" t="n"/>
      <c r="P2234" s="65" t="n"/>
      <c r="Q2234" s="75" t="n"/>
      <c r="R2234" s="75" t="n"/>
      <c r="S2234" s="76" t="n"/>
      <c r="T2234" s="76" t="n"/>
      <c r="U2234" s="70">
        <f>IF($A2234="","",IFERROR(INDEX('Techniciens'!$F$5:$F$44,MATCH(O2234,'Techniciens'!$B$5:$B$44,0)),'Paramètres'!$AA$10))</f>
        <v/>
      </c>
      <c r="V2234" s="70">
        <f>IF($A2234="","",IF(OR(AC2234="Demandé",AC2234="Planifié",AC2234="Annulé"),0,N(T2234)*N(U2234)))</f>
        <v/>
      </c>
      <c r="W2234" s="70">
        <f>IF($A2234="","",SUMIFS('Mouvements stock'!$H$5:$H$3004,'Mouvements stock'!$I$5:$I$3004,$A2234,'Mouvements stock'!$C$5:$C$3004,"Sortie")-SUMIFS('Mouvements stock'!$H$5:$H$3004,'Mouvements stock'!$I$5:$I$3004,$A2234,'Mouvements stock'!$C$5:$C$3004,"Retour"))</f>
        <v/>
      </c>
      <c r="X2234" s="66" t="n"/>
      <c r="Y2234" s="66" t="n"/>
      <c r="Z2234" s="7" t="n"/>
      <c r="AA2234" s="70">
        <f>IF($A2234="","",N(V2234)+N(W2234)+N(X2234)+N(Y2234))</f>
        <v/>
      </c>
      <c r="AB2234" s="70">
        <f>IF($A2234="","",N(S2234)*'Paramètres'!$AA$9*IFERROR(INDEX('Paramètres'!$O$5:$O$7,MATCH(G2234,'Paramètres'!$N$5:$N$7,0)),0))</f>
        <v/>
      </c>
      <c r="AC2234" s="7" t="n"/>
      <c r="AD2234" s="69">
        <f>IF(OR($A2234="",Q2234=""),"",(Q2234-B2234)*24)</f>
        <v/>
      </c>
      <c r="AE2234" s="69">
        <f>IF(OR(Q2234="",R2234=""),"",(R2234-Q2234)*24)</f>
        <v/>
      </c>
      <c r="AF2234" s="77">
        <f>IF(OR($A2234="",B2234=""),"",YEAR(B2234))</f>
        <v/>
      </c>
      <c r="AG2234" s="77">
        <f>IF(OR($A2234="",B2234=""),"",MONTH(B2234))</f>
        <v/>
      </c>
    </row>
    <row r="2235">
      <c r="A2235" s="7" t="n"/>
      <c r="B2235" s="75" t="n"/>
      <c r="C2235" s="7" t="n"/>
      <c r="D2235" s="7" t="n"/>
      <c r="E2235" s="9">
        <f>IF(D2235="","",IFERROR(INDEX('Équipements'!$B$5:$B$304,MATCH(D2235,'Équipements'!$A$5:$A$304,0)),"Code inconnu"))</f>
        <v/>
      </c>
      <c r="F2235" s="9">
        <f>IF(D2235="","",IFERROR(INDEX('Équipements'!$D$5:$D$304,MATCH(D2235,'Équipements'!$A$5:$A$304,0)),""))</f>
        <v/>
      </c>
      <c r="G2235" s="9">
        <f>IF(D2235="","",IFERROR(INDEX('Équipements'!$K$5:$K$304,MATCH(D2235,'Équipements'!$A$5:$A$304,0)),""))</f>
        <v/>
      </c>
      <c r="H2235" s="7" t="n"/>
      <c r="I2235" s="7" t="n"/>
      <c r="J2235" s="7" t="n"/>
      <c r="K2235" s="7" t="n"/>
      <c r="L2235" s="7" t="n"/>
      <c r="M2235" s="7" t="n"/>
      <c r="N2235" s="7" t="n"/>
      <c r="O2235" s="7" t="n"/>
      <c r="P2235" s="65" t="n"/>
      <c r="Q2235" s="75" t="n"/>
      <c r="R2235" s="75" t="n"/>
      <c r="S2235" s="76" t="n"/>
      <c r="T2235" s="76" t="n"/>
      <c r="U2235" s="70">
        <f>IF($A2235="","",IFERROR(INDEX('Techniciens'!$F$5:$F$44,MATCH(O2235,'Techniciens'!$B$5:$B$44,0)),'Paramètres'!$AA$10))</f>
        <v/>
      </c>
      <c r="V2235" s="70">
        <f>IF($A2235="","",IF(OR(AC2235="Demandé",AC2235="Planifié",AC2235="Annulé"),0,N(T2235)*N(U2235)))</f>
        <v/>
      </c>
      <c r="W2235" s="70">
        <f>IF($A2235="","",SUMIFS('Mouvements stock'!$H$5:$H$3004,'Mouvements stock'!$I$5:$I$3004,$A2235,'Mouvements stock'!$C$5:$C$3004,"Sortie")-SUMIFS('Mouvements stock'!$H$5:$H$3004,'Mouvements stock'!$I$5:$I$3004,$A2235,'Mouvements stock'!$C$5:$C$3004,"Retour"))</f>
        <v/>
      </c>
      <c r="X2235" s="66" t="n"/>
      <c r="Y2235" s="66" t="n"/>
      <c r="Z2235" s="7" t="n"/>
      <c r="AA2235" s="70">
        <f>IF($A2235="","",N(V2235)+N(W2235)+N(X2235)+N(Y2235))</f>
        <v/>
      </c>
      <c r="AB2235" s="70">
        <f>IF($A2235="","",N(S2235)*'Paramètres'!$AA$9*IFERROR(INDEX('Paramètres'!$O$5:$O$7,MATCH(G2235,'Paramètres'!$N$5:$N$7,0)),0))</f>
        <v/>
      </c>
      <c r="AC2235" s="7" t="n"/>
      <c r="AD2235" s="69">
        <f>IF(OR($A2235="",Q2235=""),"",(Q2235-B2235)*24)</f>
        <v/>
      </c>
      <c r="AE2235" s="69">
        <f>IF(OR(Q2235="",R2235=""),"",(R2235-Q2235)*24)</f>
        <v/>
      </c>
      <c r="AF2235" s="77">
        <f>IF(OR($A2235="",B2235=""),"",YEAR(B2235))</f>
        <v/>
      </c>
      <c r="AG2235" s="77">
        <f>IF(OR($A2235="",B2235=""),"",MONTH(B2235))</f>
        <v/>
      </c>
    </row>
    <row r="2236">
      <c r="A2236" s="7" t="n"/>
      <c r="B2236" s="75" t="n"/>
      <c r="C2236" s="7" t="n"/>
      <c r="D2236" s="7" t="n"/>
      <c r="E2236" s="9">
        <f>IF(D2236="","",IFERROR(INDEX('Équipements'!$B$5:$B$304,MATCH(D2236,'Équipements'!$A$5:$A$304,0)),"Code inconnu"))</f>
        <v/>
      </c>
      <c r="F2236" s="9">
        <f>IF(D2236="","",IFERROR(INDEX('Équipements'!$D$5:$D$304,MATCH(D2236,'Équipements'!$A$5:$A$304,0)),""))</f>
        <v/>
      </c>
      <c r="G2236" s="9">
        <f>IF(D2236="","",IFERROR(INDEX('Équipements'!$K$5:$K$304,MATCH(D2236,'Équipements'!$A$5:$A$304,0)),""))</f>
        <v/>
      </c>
      <c r="H2236" s="7" t="n"/>
      <c r="I2236" s="7" t="n"/>
      <c r="J2236" s="7" t="n"/>
      <c r="K2236" s="7" t="n"/>
      <c r="L2236" s="7" t="n"/>
      <c r="M2236" s="7" t="n"/>
      <c r="N2236" s="7" t="n"/>
      <c r="O2236" s="7" t="n"/>
      <c r="P2236" s="65" t="n"/>
      <c r="Q2236" s="75" t="n"/>
      <c r="R2236" s="75" t="n"/>
      <c r="S2236" s="76" t="n"/>
      <c r="T2236" s="76" t="n"/>
      <c r="U2236" s="70">
        <f>IF($A2236="","",IFERROR(INDEX('Techniciens'!$F$5:$F$44,MATCH(O2236,'Techniciens'!$B$5:$B$44,0)),'Paramètres'!$AA$10))</f>
        <v/>
      </c>
      <c r="V2236" s="70">
        <f>IF($A2236="","",IF(OR(AC2236="Demandé",AC2236="Planifié",AC2236="Annulé"),0,N(T2236)*N(U2236)))</f>
        <v/>
      </c>
      <c r="W2236" s="70">
        <f>IF($A2236="","",SUMIFS('Mouvements stock'!$H$5:$H$3004,'Mouvements stock'!$I$5:$I$3004,$A2236,'Mouvements stock'!$C$5:$C$3004,"Sortie")-SUMIFS('Mouvements stock'!$H$5:$H$3004,'Mouvements stock'!$I$5:$I$3004,$A2236,'Mouvements stock'!$C$5:$C$3004,"Retour"))</f>
        <v/>
      </c>
      <c r="X2236" s="66" t="n"/>
      <c r="Y2236" s="66" t="n"/>
      <c r="Z2236" s="7" t="n"/>
      <c r="AA2236" s="70">
        <f>IF($A2236="","",N(V2236)+N(W2236)+N(X2236)+N(Y2236))</f>
        <v/>
      </c>
      <c r="AB2236" s="70">
        <f>IF($A2236="","",N(S2236)*'Paramètres'!$AA$9*IFERROR(INDEX('Paramètres'!$O$5:$O$7,MATCH(G2236,'Paramètres'!$N$5:$N$7,0)),0))</f>
        <v/>
      </c>
      <c r="AC2236" s="7" t="n"/>
      <c r="AD2236" s="69">
        <f>IF(OR($A2236="",Q2236=""),"",(Q2236-B2236)*24)</f>
        <v/>
      </c>
      <c r="AE2236" s="69">
        <f>IF(OR(Q2236="",R2236=""),"",(R2236-Q2236)*24)</f>
        <v/>
      </c>
      <c r="AF2236" s="77">
        <f>IF(OR($A2236="",B2236=""),"",YEAR(B2236))</f>
        <v/>
      </c>
      <c r="AG2236" s="77">
        <f>IF(OR($A2236="",B2236=""),"",MONTH(B2236))</f>
        <v/>
      </c>
    </row>
    <row r="2237">
      <c r="A2237" s="7" t="n"/>
      <c r="B2237" s="75" t="n"/>
      <c r="C2237" s="7" t="n"/>
      <c r="D2237" s="7" t="n"/>
      <c r="E2237" s="9">
        <f>IF(D2237="","",IFERROR(INDEX('Équipements'!$B$5:$B$304,MATCH(D2237,'Équipements'!$A$5:$A$304,0)),"Code inconnu"))</f>
        <v/>
      </c>
      <c r="F2237" s="9">
        <f>IF(D2237="","",IFERROR(INDEX('Équipements'!$D$5:$D$304,MATCH(D2237,'Équipements'!$A$5:$A$304,0)),""))</f>
        <v/>
      </c>
      <c r="G2237" s="9">
        <f>IF(D2237="","",IFERROR(INDEX('Équipements'!$K$5:$K$304,MATCH(D2237,'Équipements'!$A$5:$A$304,0)),""))</f>
        <v/>
      </c>
      <c r="H2237" s="7" t="n"/>
      <c r="I2237" s="7" t="n"/>
      <c r="J2237" s="7" t="n"/>
      <c r="K2237" s="7" t="n"/>
      <c r="L2237" s="7" t="n"/>
      <c r="M2237" s="7" t="n"/>
      <c r="N2237" s="7" t="n"/>
      <c r="O2237" s="7" t="n"/>
      <c r="P2237" s="65" t="n"/>
      <c r="Q2237" s="75" t="n"/>
      <c r="R2237" s="75" t="n"/>
      <c r="S2237" s="76" t="n"/>
      <c r="T2237" s="76" t="n"/>
      <c r="U2237" s="70">
        <f>IF($A2237="","",IFERROR(INDEX('Techniciens'!$F$5:$F$44,MATCH(O2237,'Techniciens'!$B$5:$B$44,0)),'Paramètres'!$AA$10))</f>
        <v/>
      </c>
      <c r="V2237" s="70">
        <f>IF($A2237="","",IF(OR(AC2237="Demandé",AC2237="Planifié",AC2237="Annulé"),0,N(T2237)*N(U2237)))</f>
        <v/>
      </c>
      <c r="W2237" s="70">
        <f>IF($A2237="","",SUMIFS('Mouvements stock'!$H$5:$H$3004,'Mouvements stock'!$I$5:$I$3004,$A2237,'Mouvements stock'!$C$5:$C$3004,"Sortie")-SUMIFS('Mouvements stock'!$H$5:$H$3004,'Mouvements stock'!$I$5:$I$3004,$A2237,'Mouvements stock'!$C$5:$C$3004,"Retour"))</f>
        <v/>
      </c>
      <c r="X2237" s="66" t="n"/>
      <c r="Y2237" s="66" t="n"/>
      <c r="Z2237" s="7" t="n"/>
      <c r="AA2237" s="70">
        <f>IF($A2237="","",N(V2237)+N(W2237)+N(X2237)+N(Y2237))</f>
        <v/>
      </c>
      <c r="AB2237" s="70">
        <f>IF($A2237="","",N(S2237)*'Paramètres'!$AA$9*IFERROR(INDEX('Paramètres'!$O$5:$O$7,MATCH(G2237,'Paramètres'!$N$5:$N$7,0)),0))</f>
        <v/>
      </c>
      <c r="AC2237" s="7" t="n"/>
      <c r="AD2237" s="69">
        <f>IF(OR($A2237="",Q2237=""),"",(Q2237-B2237)*24)</f>
        <v/>
      </c>
      <c r="AE2237" s="69">
        <f>IF(OR(Q2237="",R2237=""),"",(R2237-Q2237)*24)</f>
        <v/>
      </c>
      <c r="AF2237" s="77">
        <f>IF(OR($A2237="",B2237=""),"",YEAR(B2237))</f>
        <v/>
      </c>
      <c r="AG2237" s="77">
        <f>IF(OR($A2237="",B2237=""),"",MONTH(B2237))</f>
        <v/>
      </c>
    </row>
    <row r="2238">
      <c r="A2238" s="7" t="n"/>
      <c r="B2238" s="75" t="n"/>
      <c r="C2238" s="7" t="n"/>
      <c r="D2238" s="7" t="n"/>
      <c r="E2238" s="9">
        <f>IF(D2238="","",IFERROR(INDEX('Équipements'!$B$5:$B$304,MATCH(D2238,'Équipements'!$A$5:$A$304,0)),"Code inconnu"))</f>
        <v/>
      </c>
      <c r="F2238" s="9">
        <f>IF(D2238="","",IFERROR(INDEX('Équipements'!$D$5:$D$304,MATCH(D2238,'Équipements'!$A$5:$A$304,0)),""))</f>
        <v/>
      </c>
      <c r="G2238" s="9">
        <f>IF(D2238="","",IFERROR(INDEX('Équipements'!$K$5:$K$304,MATCH(D2238,'Équipements'!$A$5:$A$304,0)),""))</f>
        <v/>
      </c>
      <c r="H2238" s="7" t="n"/>
      <c r="I2238" s="7" t="n"/>
      <c r="J2238" s="7" t="n"/>
      <c r="K2238" s="7" t="n"/>
      <c r="L2238" s="7" t="n"/>
      <c r="M2238" s="7" t="n"/>
      <c r="N2238" s="7" t="n"/>
      <c r="O2238" s="7" t="n"/>
      <c r="P2238" s="65" t="n"/>
      <c r="Q2238" s="75" t="n"/>
      <c r="R2238" s="75" t="n"/>
      <c r="S2238" s="76" t="n"/>
      <c r="T2238" s="76" t="n"/>
      <c r="U2238" s="70">
        <f>IF($A2238="","",IFERROR(INDEX('Techniciens'!$F$5:$F$44,MATCH(O2238,'Techniciens'!$B$5:$B$44,0)),'Paramètres'!$AA$10))</f>
        <v/>
      </c>
      <c r="V2238" s="70">
        <f>IF($A2238="","",IF(OR(AC2238="Demandé",AC2238="Planifié",AC2238="Annulé"),0,N(T2238)*N(U2238)))</f>
        <v/>
      </c>
      <c r="W2238" s="70">
        <f>IF($A2238="","",SUMIFS('Mouvements stock'!$H$5:$H$3004,'Mouvements stock'!$I$5:$I$3004,$A2238,'Mouvements stock'!$C$5:$C$3004,"Sortie")-SUMIFS('Mouvements stock'!$H$5:$H$3004,'Mouvements stock'!$I$5:$I$3004,$A2238,'Mouvements stock'!$C$5:$C$3004,"Retour"))</f>
        <v/>
      </c>
      <c r="X2238" s="66" t="n"/>
      <c r="Y2238" s="66" t="n"/>
      <c r="Z2238" s="7" t="n"/>
      <c r="AA2238" s="70">
        <f>IF($A2238="","",N(V2238)+N(W2238)+N(X2238)+N(Y2238))</f>
        <v/>
      </c>
      <c r="AB2238" s="70">
        <f>IF($A2238="","",N(S2238)*'Paramètres'!$AA$9*IFERROR(INDEX('Paramètres'!$O$5:$O$7,MATCH(G2238,'Paramètres'!$N$5:$N$7,0)),0))</f>
        <v/>
      </c>
      <c r="AC2238" s="7" t="n"/>
      <c r="AD2238" s="69">
        <f>IF(OR($A2238="",Q2238=""),"",(Q2238-B2238)*24)</f>
        <v/>
      </c>
      <c r="AE2238" s="69">
        <f>IF(OR(Q2238="",R2238=""),"",(R2238-Q2238)*24)</f>
        <v/>
      </c>
      <c r="AF2238" s="77">
        <f>IF(OR($A2238="",B2238=""),"",YEAR(B2238))</f>
        <v/>
      </c>
      <c r="AG2238" s="77">
        <f>IF(OR($A2238="",B2238=""),"",MONTH(B2238))</f>
        <v/>
      </c>
    </row>
    <row r="2239">
      <c r="A2239" s="7" t="n"/>
      <c r="B2239" s="75" t="n"/>
      <c r="C2239" s="7" t="n"/>
      <c r="D2239" s="7" t="n"/>
      <c r="E2239" s="9">
        <f>IF(D2239="","",IFERROR(INDEX('Équipements'!$B$5:$B$304,MATCH(D2239,'Équipements'!$A$5:$A$304,0)),"Code inconnu"))</f>
        <v/>
      </c>
      <c r="F2239" s="9">
        <f>IF(D2239="","",IFERROR(INDEX('Équipements'!$D$5:$D$304,MATCH(D2239,'Équipements'!$A$5:$A$304,0)),""))</f>
        <v/>
      </c>
      <c r="G2239" s="9">
        <f>IF(D2239="","",IFERROR(INDEX('Équipements'!$K$5:$K$304,MATCH(D2239,'Équipements'!$A$5:$A$304,0)),""))</f>
        <v/>
      </c>
      <c r="H2239" s="7" t="n"/>
      <c r="I2239" s="7" t="n"/>
      <c r="J2239" s="7" t="n"/>
      <c r="K2239" s="7" t="n"/>
      <c r="L2239" s="7" t="n"/>
      <c r="M2239" s="7" t="n"/>
      <c r="N2239" s="7" t="n"/>
      <c r="O2239" s="7" t="n"/>
      <c r="P2239" s="65" t="n"/>
      <c r="Q2239" s="75" t="n"/>
      <c r="R2239" s="75" t="n"/>
      <c r="S2239" s="76" t="n"/>
      <c r="T2239" s="76" t="n"/>
      <c r="U2239" s="70">
        <f>IF($A2239="","",IFERROR(INDEX('Techniciens'!$F$5:$F$44,MATCH(O2239,'Techniciens'!$B$5:$B$44,0)),'Paramètres'!$AA$10))</f>
        <v/>
      </c>
      <c r="V2239" s="70">
        <f>IF($A2239="","",IF(OR(AC2239="Demandé",AC2239="Planifié",AC2239="Annulé"),0,N(T2239)*N(U2239)))</f>
        <v/>
      </c>
      <c r="W2239" s="70">
        <f>IF($A2239="","",SUMIFS('Mouvements stock'!$H$5:$H$3004,'Mouvements stock'!$I$5:$I$3004,$A2239,'Mouvements stock'!$C$5:$C$3004,"Sortie")-SUMIFS('Mouvements stock'!$H$5:$H$3004,'Mouvements stock'!$I$5:$I$3004,$A2239,'Mouvements stock'!$C$5:$C$3004,"Retour"))</f>
        <v/>
      </c>
      <c r="X2239" s="66" t="n"/>
      <c r="Y2239" s="66" t="n"/>
      <c r="Z2239" s="7" t="n"/>
      <c r="AA2239" s="70">
        <f>IF($A2239="","",N(V2239)+N(W2239)+N(X2239)+N(Y2239))</f>
        <v/>
      </c>
      <c r="AB2239" s="70">
        <f>IF($A2239="","",N(S2239)*'Paramètres'!$AA$9*IFERROR(INDEX('Paramètres'!$O$5:$O$7,MATCH(G2239,'Paramètres'!$N$5:$N$7,0)),0))</f>
        <v/>
      </c>
      <c r="AC2239" s="7" t="n"/>
      <c r="AD2239" s="69">
        <f>IF(OR($A2239="",Q2239=""),"",(Q2239-B2239)*24)</f>
        <v/>
      </c>
      <c r="AE2239" s="69">
        <f>IF(OR(Q2239="",R2239=""),"",(R2239-Q2239)*24)</f>
        <v/>
      </c>
      <c r="AF2239" s="77">
        <f>IF(OR($A2239="",B2239=""),"",YEAR(B2239))</f>
        <v/>
      </c>
      <c r="AG2239" s="77">
        <f>IF(OR($A2239="",B2239=""),"",MONTH(B2239))</f>
        <v/>
      </c>
    </row>
    <row r="2240">
      <c r="A2240" s="7" t="n"/>
      <c r="B2240" s="75" t="n"/>
      <c r="C2240" s="7" t="n"/>
      <c r="D2240" s="7" t="n"/>
      <c r="E2240" s="9">
        <f>IF(D2240="","",IFERROR(INDEX('Équipements'!$B$5:$B$304,MATCH(D2240,'Équipements'!$A$5:$A$304,0)),"Code inconnu"))</f>
        <v/>
      </c>
      <c r="F2240" s="9">
        <f>IF(D2240="","",IFERROR(INDEX('Équipements'!$D$5:$D$304,MATCH(D2240,'Équipements'!$A$5:$A$304,0)),""))</f>
        <v/>
      </c>
      <c r="G2240" s="9">
        <f>IF(D2240="","",IFERROR(INDEX('Équipements'!$K$5:$K$304,MATCH(D2240,'Équipements'!$A$5:$A$304,0)),""))</f>
        <v/>
      </c>
      <c r="H2240" s="7" t="n"/>
      <c r="I2240" s="7" t="n"/>
      <c r="J2240" s="7" t="n"/>
      <c r="K2240" s="7" t="n"/>
      <c r="L2240" s="7" t="n"/>
      <c r="M2240" s="7" t="n"/>
      <c r="N2240" s="7" t="n"/>
      <c r="O2240" s="7" t="n"/>
      <c r="P2240" s="65" t="n"/>
      <c r="Q2240" s="75" t="n"/>
      <c r="R2240" s="75" t="n"/>
      <c r="S2240" s="76" t="n"/>
      <c r="T2240" s="76" t="n"/>
      <c r="U2240" s="70">
        <f>IF($A2240="","",IFERROR(INDEX('Techniciens'!$F$5:$F$44,MATCH(O2240,'Techniciens'!$B$5:$B$44,0)),'Paramètres'!$AA$10))</f>
        <v/>
      </c>
      <c r="V2240" s="70">
        <f>IF($A2240="","",IF(OR(AC2240="Demandé",AC2240="Planifié",AC2240="Annulé"),0,N(T2240)*N(U2240)))</f>
        <v/>
      </c>
      <c r="W2240" s="70">
        <f>IF($A2240="","",SUMIFS('Mouvements stock'!$H$5:$H$3004,'Mouvements stock'!$I$5:$I$3004,$A2240,'Mouvements stock'!$C$5:$C$3004,"Sortie")-SUMIFS('Mouvements stock'!$H$5:$H$3004,'Mouvements stock'!$I$5:$I$3004,$A2240,'Mouvements stock'!$C$5:$C$3004,"Retour"))</f>
        <v/>
      </c>
      <c r="X2240" s="66" t="n"/>
      <c r="Y2240" s="66" t="n"/>
      <c r="Z2240" s="7" t="n"/>
      <c r="AA2240" s="70">
        <f>IF($A2240="","",N(V2240)+N(W2240)+N(X2240)+N(Y2240))</f>
        <v/>
      </c>
      <c r="AB2240" s="70">
        <f>IF($A2240="","",N(S2240)*'Paramètres'!$AA$9*IFERROR(INDEX('Paramètres'!$O$5:$O$7,MATCH(G2240,'Paramètres'!$N$5:$N$7,0)),0))</f>
        <v/>
      </c>
      <c r="AC2240" s="7" t="n"/>
      <c r="AD2240" s="69">
        <f>IF(OR($A2240="",Q2240=""),"",(Q2240-B2240)*24)</f>
        <v/>
      </c>
      <c r="AE2240" s="69">
        <f>IF(OR(Q2240="",R2240=""),"",(R2240-Q2240)*24)</f>
        <v/>
      </c>
      <c r="AF2240" s="77">
        <f>IF(OR($A2240="",B2240=""),"",YEAR(B2240))</f>
        <v/>
      </c>
      <c r="AG2240" s="77">
        <f>IF(OR($A2240="",B2240=""),"",MONTH(B2240))</f>
        <v/>
      </c>
    </row>
    <row r="2241">
      <c r="A2241" s="7" t="n"/>
      <c r="B2241" s="75" t="n"/>
      <c r="C2241" s="7" t="n"/>
      <c r="D2241" s="7" t="n"/>
      <c r="E2241" s="9">
        <f>IF(D2241="","",IFERROR(INDEX('Équipements'!$B$5:$B$304,MATCH(D2241,'Équipements'!$A$5:$A$304,0)),"Code inconnu"))</f>
        <v/>
      </c>
      <c r="F2241" s="9">
        <f>IF(D2241="","",IFERROR(INDEX('Équipements'!$D$5:$D$304,MATCH(D2241,'Équipements'!$A$5:$A$304,0)),""))</f>
        <v/>
      </c>
      <c r="G2241" s="9">
        <f>IF(D2241="","",IFERROR(INDEX('Équipements'!$K$5:$K$304,MATCH(D2241,'Équipements'!$A$5:$A$304,0)),""))</f>
        <v/>
      </c>
      <c r="H2241" s="7" t="n"/>
      <c r="I2241" s="7" t="n"/>
      <c r="J2241" s="7" t="n"/>
      <c r="K2241" s="7" t="n"/>
      <c r="L2241" s="7" t="n"/>
      <c r="M2241" s="7" t="n"/>
      <c r="N2241" s="7" t="n"/>
      <c r="O2241" s="7" t="n"/>
      <c r="P2241" s="65" t="n"/>
      <c r="Q2241" s="75" t="n"/>
      <c r="R2241" s="75" t="n"/>
      <c r="S2241" s="76" t="n"/>
      <c r="T2241" s="76" t="n"/>
      <c r="U2241" s="70">
        <f>IF($A2241="","",IFERROR(INDEX('Techniciens'!$F$5:$F$44,MATCH(O2241,'Techniciens'!$B$5:$B$44,0)),'Paramètres'!$AA$10))</f>
        <v/>
      </c>
      <c r="V2241" s="70">
        <f>IF($A2241="","",IF(OR(AC2241="Demandé",AC2241="Planifié",AC2241="Annulé"),0,N(T2241)*N(U2241)))</f>
        <v/>
      </c>
      <c r="W2241" s="70">
        <f>IF($A2241="","",SUMIFS('Mouvements stock'!$H$5:$H$3004,'Mouvements stock'!$I$5:$I$3004,$A2241,'Mouvements stock'!$C$5:$C$3004,"Sortie")-SUMIFS('Mouvements stock'!$H$5:$H$3004,'Mouvements stock'!$I$5:$I$3004,$A2241,'Mouvements stock'!$C$5:$C$3004,"Retour"))</f>
        <v/>
      </c>
      <c r="X2241" s="66" t="n"/>
      <c r="Y2241" s="66" t="n"/>
      <c r="Z2241" s="7" t="n"/>
      <c r="AA2241" s="70">
        <f>IF($A2241="","",N(V2241)+N(W2241)+N(X2241)+N(Y2241))</f>
        <v/>
      </c>
      <c r="AB2241" s="70">
        <f>IF($A2241="","",N(S2241)*'Paramètres'!$AA$9*IFERROR(INDEX('Paramètres'!$O$5:$O$7,MATCH(G2241,'Paramètres'!$N$5:$N$7,0)),0))</f>
        <v/>
      </c>
      <c r="AC2241" s="7" t="n"/>
      <c r="AD2241" s="69">
        <f>IF(OR($A2241="",Q2241=""),"",(Q2241-B2241)*24)</f>
        <v/>
      </c>
      <c r="AE2241" s="69">
        <f>IF(OR(Q2241="",R2241=""),"",(R2241-Q2241)*24)</f>
        <v/>
      </c>
      <c r="AF2241" s="77">
        <f>IF(OR($A2241="",B2241=""),"",YEAR(B2241))</f>
        <v/>
      </c>
      <c r="AG2241" s="77">
        <f>IF(OR($A2241="",B2241=""),"",MONTH(B2241))</f>
        <v/>
      </c>
    </row>
    <row r="2242">
      <c r="A2242" s="7" t="n"/>
      <c r="B2242" s="75" t="n"/>
      <c r="C2242" s="7" t="n"/>
      <c r="D2242" s="7" t="n"/>
      <c r="E2242" s="9">
        <f>IF(D2242="","",IFERROR(INDEX('Équipements'!$B$5:$B$304,MATCH(D2242,'Équipements'!$A$5:$A$304,0)),"Code inconnu"))</f>
        <v/>
      </c>
      <c r="F2242" s="9">
        <f>IF(D2242="","",IFERROR(INDEX('Équipements'!$D$5:$D$304,MATCH(D2242,'Équipements'!$A$5:$A$304,0)),""))</f>
        <v/>
      </c>
      <c r="G2242" s="9">
        <f>IF(D2242="","",IFERROR(INDEX('Équipements'!$K$5:$K$304,MATCH(D2242,'Équipements'!$A$5:$A$304,0)),""))</f>
        <v/>
      </c>
      <c r="H2242" s="7" t="n"/>
      <c r="I2242" s="7" t="n"/>
      <c r="J2242" s="7" t="n"/>
      <c r="K2242" s="7" t="n"/>
      <c r="L2242" s="7" t="n"/>
      <c r="M2242" s="7" t="n"/>
      <c r="N2242" s="7" t="n"/>
      <c r="O2242" s="7" t="n"/>
      <c r="P2242" s="65" t="n"/>
      <c r="Q2242" s="75" t="n"/>
      <c r="R2242" s="75" t="n"/>
      <c r="S2242" s="76" t="n"/>
      <c r="T2242" s="76" t="n"/>
      <c r="U2242" s="70">
        <f>IF($A2242="","",IFERROR(INDEX('Techniciens'!$F$5:$F$44,MATCH(O2242,'Techniciens'!$B$5:$B$44,0)),'Paramètres'!$AA$10))</f>
        <v/>
      </c>
      <c r="V2242" s="70">
        <f>IF($A2242="","",IF(OR(AC2242="Demandé",AC2242="Planifié",AC2242="Annulé"),0,N(T2242)*N(U2242)))</f>
        <v/>
      </c>
      <c r="W2242" s="70">
        <f>IF($A2242="","",SUMIFS('Mouvements stock'!$H$5:$H$3004,'Mouvements stock'!$I$5:$I$3004,$A2242,'Mouvements stock'!$C$5:$C$3004,"Sortie")-SUMIFS('Mouvements stock'!$H$5:$H$3004,'Mouvements stock'!$I$5:$I$3004,$A2242,'Mouvements stock'!$C$5:$C$3004,"Retour"))</f>
        <v/>
      </c>
      <c r="X2242" s="66" t="n"/>
      <c r="Y2242" s="66" t="n"/>
      <c r="Z2242" s="7" t="n"/>
      <c r="AA2242" s="70">
        <f>IF($A2242="","",N(V2242)+N(W2242)+N(X2242)+N(Y2242))</f>
        <v/>
      </c>
      <c r="AB2242" s="70">
        <f>IF($A2242="","",N(S2242)*'Paramètres'!$AA$9*IFERROR(INDEX('Paramètres'!$O$5:$O$7,MATCH(G2242,'Paramètres'!$N$5:$N$7,0)),0))</f>
        <v/>
      </c>
      <c r="AC2242" s="7" t="n"/>
      <c r="AD2242" s="69">
        <f>IF(OR($A2242="",Q2242=""),"",(Q2242-B2242)*24)</f>
        <v/>
      </c>
      <c r="AE2242" s="69">
        <f>IF(OR(Q2242="",R2242=""),"",(R2242-Q2242)*24)</f>
        <v/>
      </c>
      <c r="AF2242" s="77">
        <f>IF(OR($A2242="",B2242=""),"",YEAR(B2242))</f>
        <v/>
      </c>
      <c r="AG2242" s="77">
        <f>IF(OR($A2242="",B2242=""),"",MONTH(B2242))</f>
        <v/>
      </c>
    </row>
    <row r="2243">
      <c r="A2243" s="7" t="n"/>
      <c r="B2243" s="75" t="n"/>
      <c r="C2243" s="7" t="n"/>
      <c r="D2243" s="7" t="n"/>
      <c r="E2243" s="9">
        <f>IF(D2243="","",IFERROR(INDEX('Équipements'!$B$5:$B$304,MATCH(D2243,'Équipements'!$A$5:$A$304,0)),"Code inconnu"))</f>
        <v/>
      </c>
      <c r="F2243" s="9">
        <f>IF(D2243="","",IFERROR(INDEX('Équipements'!$D$5:$D$304,MATCH(D2243,'Équipements'!$A$5:$A$304,0)),""))</f>
        <v/>
      </c>
      <c r="G2243" s="9">
        <f>IF(D2243="","",IFERROR(INDEX('Équipements'!$K$5:$K$304,MATCH(D2243,'Équipements'!$A$5:$A$304,0)),""))</f>
        <v/>
      </c>
      <c r="H2243" s="7" t="n"/>
      <c r="I2243" s="7" t="n"/>
      <c r="J2243" s="7" t="n"/>
      <c r="K2243" s="7" t="n"/>
      <c r="L2243" s="7" t="n"/>
      <c r="M2243" s="7" t="n"/>
      <c r="N2243" s="7" t="n"/>
      <c r="O2243" s="7" t="n"/>
      <c r="P2243" s="65" t="n"/>
      <c r="Q2243" s="75" t="n"/>
      <c r="R2243" s="75" t="n"/>
      <c r="S2243" s="76" t="n"/>
      <c r="T2243" s="76" t="n"/>
      <c r="U2243" s="70">
        <f>IF($A2243="","",IFERROR(INDEX('Techniciens'!$F$5:$F$44,MATCH(O2243,'Techniciens'!$B$5:$B$44,0)),'Paramètres'!$AA$10))</f>
        <v/>
      </c>
      <c r="V2243" s="70">
        <f>IF($A2243="","",IF(OR(AC2243="Demandé",AC2243="Planifié",AC2243="Annulé"),0,N(T2243)*N(U2243)))</f>
        <v/>
      </c>
      <c r="W2243" s="70">
        <f>IF($A2243="","",SUMIFS('Mouvements stock'!$H$5:$H$3004,'Mouvements stock'!$I$5:$I$3004,$A2243,'Mouvements stock'!$C$5:$C$3004,"Sortie")-SUMIFS('Mouvements stock'!$H$5:$H$3004,'Mouvements stock'!$I$5:$I$3004,$A2243,'Mouvements stock'!$C$5:$C$3004,"Retour"))</f>
        <v/>
      </c>
      <c r="X2243" s="66" t="n"/>
      <c r="Y2243" s="66" t="n"/>
      <c r="Z2243" s="7" t="n"/>
      <c r="AA2243" s="70">
        <f>IF($A2243="","",N(V2243)+N(W2243)+N(X2243)+N(Y2243))</f>
        <v/>
      </c>
      <c r="AB2243" s="70">
        <f>IF($A2243="","",N(S2243)*'Paramètres'!$AA$9*IFERROR(INDEX('Paramètres'!$O$5:$O$7,MATCH(G2243,'Paramètres'!$N$5:$N$7,0)),0))</f>
        <v/>
      </c>
      <c r="AC2243" s="7" t="n"/>
      <c r="AD2243" s="69">
        <f>IF(OR($A2243="",Q2243=""),"",(Q2243-B2243)*24)</f>
        <v/>
      </c>
      <c r="AE2243" s="69">
        <f>IF(OR(Q2243="",R2243=""),"",(R2243-Q2243)*24)</f>
        <v/>
      </c>
      <c r="AF2243" s="77">
        <f>IF(OR($A2243="",B2243=""),"",YEAR(B2243))</f>
        <v/>
      </c>
      <c r="AG2243" s="77">
        <f>IF(OR($A2243="",B2243=""),"",MONTH(B2243))</f>
        <v/>
      </c>
    </row>
    <row r="2244">
      <c r="A2244" s="7" t="n"/>
      <c r="B2244" s="75" t="n"/>
      <c r="C2244" s="7" t="n"/>
      <c r="D2244" s="7" t="n"/>
      <c r="E2244" s="9">
        <f>IF(D2244="","",IFERROR(INDEX('Équipements'!$B$5:$B$304,MATCH(D2244,'Équipements'!$A$5:$A$304,0)),"Code inconnu"))</f>
        <v/>
      </c>
      <c r="F2244" s="9">
        <f>IF(D2244="","",IFERROR(INDEX('Équipements'!$D$5:$D$304,MATCH(D2244,'Équipements'!$A$5:$A$304,0)),""))</f>
        <v/>
      </c>
      <c r="G2244" s="9">
        <f>IF(D2244="","",IFERROR(INDEX('Équipements'!$K$5:$K$304,MATCH(D2244,'Équipements'!$A$5:$A$304,0)),""))</f>
        <v/>
      </c>
      <c r="H2244" s="7" t="n"/>
      <c r="I2244" s="7" t="n"/>
      <c r="J2244" s="7" t="n"/>
      <c r="K2244" s="7" t="n"/>
      <c r="L2244" s="7" t="n"/>
      <c r="M2244" s="7" t="n"/>
      <c r="N2244" s="7" t="n"/>
      <c r="O2244" s="7" t="n"/>
      <c r="P2244" s="65" t="n"/>
      <c r="Q2244" s="75" t="n"/>
      <c r="R2244" s="75" t="n"/>
      <c r="S2244" s="76" t="n"/>
      <c r="T2244" s="76" t="n"/>
      <c r="U2244" s="70">
        <f>IF($A2244="","",IFERROR(INDEX('Techniciens'!$F$5:$F$44,MATCH(O2244,'Techniciens'!$B$5:$B$44,0)),'Paramètres'!$AA$10))</f>
        <v/>
      </c>
      <c r="V2244" s="70">
        <f>IF($A2244="","",IF(OR(AC2244="Demandé",AC2244="Planifié",AC2244="Annulé"),0,N(T2244)*N(U2244)))</f>
        <v/>
      </c>
      <c r="W2244" s="70">
        <f>IF($A2244="","",SUMIFS('Mouvements stock'!$H$5:$H$3004,'Mouvements stock'!$I$5:$I$3004,$A2244,'Mouvements stock'!$C$5:$C$3004,"Sortie")-SUMIFS('Mouvements stock'!$H$5:$H$3004,'Mouvements stock'!$I$5:$I$3004,$A2244,'Mouvements stock'!$C$5:$C$3004,"Retour"))</f>
        <v/>
      </c>
      <c r="X2244" s="66" t="n"/>
      <c r="Y2244" s="66" t="n"/>
      <c r="Z2244" s="7" t="n"/>
      <c r="AA2244" s="70">
        <f>IF($A2244="","",N(V2244)+N(W2244)+N(X2244)+N(Y2244))</f>
        <v/>
      </c>
      <c r="AB2244" s="70">
        <f>IF($A2244="","",N(S2244)*'Paramètres'!$AA$9*IFERROR(INDEX('Paramètres'!$O$5:$O$7,MATCH(G2244,'Paramètres'!$N$5:$N$7,0)),0))</f>
        <v/>
      </c>
      <c r="AC2244" s="7" t="n"/>
      <c r="AD2244" s="69">
        <f>IF(OR($A2244="",Q2244=""),"",(Q2244-B2244)*24)</f>
        <v/>
      </c>
      <c r="AE2244" s="69">
        <f>IF(OR(Q2244="",R2244=""),"",(R2244-Q2244)*24)</f>
        <v/>
      </c>
      <c r="AF2244" s="77">
        <f>IF(OR($A2244="",B2244=""),"",YEAR(B2244))</f>
        <v/>
      </c>
      <c r="AG2244" s="77">
        <f>IF(OR($A2244="",B2244=""),"",MONTH(B2244))</f>
        <v/>
      </c>
    </row>
    <row r="2245">
      <c r="A2245" s="7" t="n"/>
      <c r="B2245" s="75" t="n"/>
      <c r="C2245" s="7" t="n"/>
      <c r="D2245" s="7" t="n"/>
      <c r="E2245" s="9">
        <f>IF(D2245="","",IFERROR(INDEX('Équipements'!$B$5:$B$304,MATCH(D2245,'Équipements'!$A$5:$A$304,0)),"Code inconnu"))</f>
        <v/>
      </c>
      <c r="F2245" s="9">
        <f>IF(D2245="","",IFERROR(INDEX('Équipements'!$D$5:$D$304,MATCH(D2245,'Équipements'!$A$5:$A$304,0)),""))</f>
        <v/>
      </c>
      <c r="G2245" s="9">
        <f>IF(D2245="","",IFERROR(INDEX('Équipements'!$K$5:$K$304,MATCH(D2245,'Équipements'!$A$5:$A$304,0)),""))</f>
        <v/>
      </c>
      <c r="H2245" s="7" t="n"/>
      <c r="I2245" s="7" t="n"/>
      <c r="J2245" s="7" t="n"/>
      <c r="K2245" s="7" t="n"/>
      <c r="L2245" s="7" t="n"/>
      <c r="M2245" s="7" t="n"/>
      <c r="N2245" s="7" t="n"/>
      <c r="O2245" s="7" t="n"/>
      <c r="P2245" s="65" t="n"/>
      <c r="Q2245" s="75" t="n"/>
      <c r="R2245" s="75" t="n"/>
      <c r="S2245" s="76" t="n"/>
      <c r="T2245" s="76" t="n"/>
      <c r="U2245" s="70">
        <f>IF($A2245="","",IFERROR(INDEX('Techniciens'!$F$5:$F$44,MATCH(O2245,'Techniciens'!$B$5:$B$44,0)),'Paramètres'!$AA$10))</f>
        <v/>
      </c>
      <c r="V2245" s="70">
        <f>IF($A2245="","",IF(OR(AC2245="Demandé",AC2245="Planifié",AC2245="Annulé"),0,N(T2245)*N(U2245)))</f>
        <v/>
      </c>
      <c r="W2245" s="70">
        <f>IF($A2245="","",SUMIFS('Mouvements stock'!$H$5:$H$3004,'Mouvements stock'!$I$5:$I$3004,$A2245,'Mouvements stock'!$C$5:$C$3004,"Sortie")-SUMIFS('Mouvements stock'!$H$5:$H$3004,'Mouvements stock'!$I$5:$I$3004,$A2245,'Mouvements stock'!$C$5:$C$3004,"Retour"))</f>
        <v/>
      </c>
      <c r="X2245" s="66" t="n"/>
      <c r="Y2245" s="66" t="n"/>
      <c r="Z2245" s="7" t="n"/>
      <c r="AA2245" s="70">
        <f>IF($A2245="","",N(V2245)+N(W2245)+N(X2245)+N(Y2245))</f>
        <v/>
      </c>
      <c r="AB2245" s="70">
        <f>IF($A2245="","",N(S2245)*'Paramètres'!$AA$9*IFERROR(INDEX('Paramètres'!$O$5:$O$7,MATCH(G2245,'Paramètres'!$N$5:$N$7,0)),0))</f>
        <v/>
      </c>
      <c r="AC2245" s="7" t="n"/>
      <c r="AD2245" s="69">
        <f>IF(OR($A2245="",Q2245=""),"",(Q2245-B2245)*24)</f>
        <v/>
      </c>
      <c r="AE2245" s="69">
        <f>IF(OR(Q2245="",R2245=""),"",(R2245-Q2245)*24)</f>
        <v/>
      </c>
      <c r="AF2245" s="77">
        <f>IF(OR($A2245="",B2245=""),"",YEAR(B2245))</f>
        <v/>
      </c>
      <c r="AG2245" s="77">
        <f>IF(OR($A2245="",B2245=""),"",MONTH(B2245))</f>
        <v/>
      </c>
    </row>
    <row r="2246">
      <c r="A2246" s="7" t="n"/>
      <c r="B2246" s="75" t="n"/>
      <c r="C2246" s="7" t="n"/>
      <c r="D2246" s="7" t="n"/>
      <c r="E2246" s="9">
        <f>IF(D2246="","",IFERROR(INDEX('Équipements'!$B$5:$B$304,MATCH(D2246,'Équipements'!$A$5:$A$304,0)),"Code inconnu"))</f>
        <v/>
      </c>
      <c r="F2246" s="9">
        <f>IF(D2246="","",IFERROR(INDEX('Équipements'!$D$5:$D$304,MATCH(D2246,'Équipements'!$A$5:$A$304,0)),""))</f>
        <v/>
      </c>
      <c r="G2246" s="9">
        <f>IF(D2246="","",IFERROR(INDEX('Équipements'!$K$5:$K$304,MATCH(D2246,'Équipements'!$A$5:$A$304,0)),""))</f>
        <v/>
      </c>
      <c r="H2246" s="7" t="n"/>
      <c r="I2246" s="7" t="n"/>
      <c r="J2246" s="7" t="n"/>
      <c r="K2246" s="7" t="n"/>
      <c r="L2246" s="7" t="n"/>
      <c r="M2246" s="7" t="n"/>
      <c r="N2246" s="7" t="n"/>
      <c r="O2246" s="7" t="n"/>
      <c r="P2246" s="65" t="n"/>
      <c r="Q2246" s="75" t="n"/>
      <c r="R2246" s="75" t="n"/>
      <c r="S2246" s="76" t="n"/>
      <c r="T2246" s="76" t="n"/>
      <c r="U2246" s="70">
        <f>IF($A2246="","",IFERROR(INDEX('Techniciens'!$F$5:$F$44,MATCH(O2246,'Techniciens'!$B$5:$B$44,0)),'Paramètres'!$AA$10))</f>
        <v/>
      </c>
      <c r="V2246" s="70">
        <f>IF($A2246="","",IF(OR(AC2246="Demandé",AC2246="Planifié",AC2246="Annulé"),0,N(T2246)*N(U2246)))</f>
        <v/>
      </c>
      <c r="W2246" s="70">
        <f>IF($A2246="","",SUMIFS('Mouvements stock'!$H$5:$H$3004,'Mouvements stock'!$I$5:$I$3004,$A2246,'Mouvements stock'!$C$5:$C$3004,"Sortie")-SUMIFS('Mouvements stock'!$H$5:$H$3004,'Mouvements stock'!$I$5:$I$3004,$A2246,'Mouvements stock'!$C$5:$C$3004,"Retour"))</f>
        <v/>
      </c>
      <c r="X2246" s="66" t="n"/>
      <c r="Y2246" s="66" t="n"/>
      <c r="Z2246" s="7" t="n"/>
      <c r="AA2246" s="70">
        <f>IF($A2246="","",N(V2246)+N(W2246)+N(X2246)+N(Y2246))</f>
        <v/>
      </c>
      <c r="AB2246" s="70">
        <f>IF($A2246="","",N(S2246)*'Paramètres'!$AA$9*IFERROR(INDEX('Paramètres'!$O$5:$O$7,MATCH(G2246,'Paramètres'!$N$5:$N$7,0)),0))</f>
        <v/>
      </c>
      <c r="AC2246" s="7" t="n"/>
      <c r="AD2246" s="69">
        <f>IF(OR($A2246="",Q2246=""),"",(Q2246-B2246)*24)</f>
        <v/>
      </c>
      <c r="AE2246" s="69">
        <f>IF(OR(Q2246="",R2246=""),"",(R2246-Q2246)*24)</f>
        <v/>
      </c>
      <c r="AF2246" s="77">
        <f>IF(OR($A2246="",B2246=""),"",YEAR(B2246))</f>
        <v/>
      </c>
      <c r="AG2246" s="77">
        <f>IF(OR($A2246="",B2246=""),"",MONTH(B2246))</f>
        <v/>
      </c>
    </row>
    <row r="2247">
      <c r="A2247" s="7" t="n"/>
      <c r="B2247" s="75" t="n"/>
      <c r="C2247" s="7" t="n"/>
      <c r="D2247" s="7" t="n"/>
      <c r="E2247" s="9">
        <f>IF(D2247="","",IFERROR(INDEX('Équipements'!$B$5:$B$304,MATCH(D2247,'Équipements'!$A$5:$A$304,0)),"Code inconnu"))</f>
        <v/>
      </c>
      <c r="F2247" s="9">
        <f>IF(D2247="","",IFERROR(INDEX('Équipements'!$D$5:$D$304,MATCH(D2247,'Équipements'!$A$5:$A$304,0)),""))</f>
        <v/>
      </c>
      <c r="G2247" s="9">
        <f>IF(D2247="","",IFERROR(INDEX('Équipements'!$K$5:$K$304,MATCH(D2247,'Équipements'!$A$5:$A$304,0)),""))</f>
        <v/>
      </c>
      <c r="H2247" s="7" t="n"/>
      <c r="I2247" s="7" t="n"/>
      <c r="J2247" s="7" t="n"/>
      <c r="K2247" s="7" t="n"/>
      <c r="L2247" s="7" t="n"/>
      <c r="M2247" s="7" t="n"/>
      <c r="N2247" s="7" t="n"/>
      <c r="O2247" s="7" t="n"/>
      <c r="P2247" s="65" t="n"/>
      <c r="Q2247" s="75" t="n"/>
      <c r="R2247" s="75" t="n"/>
      <c r="S2247" s="76" t="n"/>
      <c r="T2247" s="76" t="n"/>
      <c r="U2247" s="70">
        <f>IF($A2247="","",IFERROR(INDEX('Techniciens'!$F$5:$F$44,MATCH(O2247,'Techniciens'!$B$5:$B$44,0)),'Paramètres'!$AA$10))</f>
        <v/>
      </c>
      <c r="V2247" s="70">
        <f>IF($A2247="","",IF(OR(AC2247="Demandé",AC2247="Planifié",AC2247="Annulé"),0,N(T2247)*N(U2247)))</f>
        <v/>
      </c>
      <c r="W2247" s="70">
        <f>IF($A2247="","",SUMIFS('Mouvements stock'!$H$5:$H$3004,'Mouvements stock'!$I$5:$I$3004,$A2247,'Mouvements stock'!$C$5:$C$3004,"Sortie")-SUMIFS('Mouvements stock'!$H$5:$H$3004,'Mouvements stock'!$I$5:$I$3004,$A2247,'Mouvements stock'!$C$5:$C$3004,"Retour"))</f>
        <v/>
      </c>
      <c r="X2247" s="66" t="n"/>
      <c r="Y2247" s="66" t="n"/>
      <c r="Z2247" s="7" t="n"/>
      <c r="AA2247" s="70">
        <f>IF($A2247="","",N(V2247)+N(W2247)+N(X2247)+N(Y2247))</f>
        <v/>
      </c>
      <c r="AB2247" s="70">
        <f>IF($A2247="","",N(S2247)*'Paramètres'!$AA$9*IFERROR(INDEX('Paramètres'!$O$5:$O$7,MATCH(G2247,'Paramètres'!$N$5:$N$7,0)),0))</f>
        <v/>
      </c>
      <c r="AC2247" s="7" t="n"/>
      <c r="AD2247" s="69">
        <f>IF(OR($A2247="",Q2247=""),"",(Q2247-B2247)*24)</f>
        <v/>
      </c>
      <c r="AE2247" s="69">
        <f>IF(OR(Q2247="",R2247=""),"",(R2247-Q2247)*24)</f>
        <v/>
      </c>
      <c r="AF2247" s="77">
        <f>IF(OR($A2247="",B2247=""),"",YEAR(B2247))</f>
        <v/>
      </c>
      <c r="AG2247" s="77">
        <f>IF(OR($A2247="",B2247=""),"",MONTH(B2247))</f>
        <v/>
      </c>
    </row>
    <row r="2248">
      <c r="A2248" s="7" t="n"/>
      <c r="B2248" s="75" t="n"/>
      <c r="C2248" s="7" t="n"/>
      <c r="D2248" s="7" t="n"/>
      <c r="E2248" s="9">
        <f>IF(D2248="","",IFERROR(INDEX('Équipements'!$B$5:$B$304,MATCH(D2248,'Équipements'!$A$5:$A$304,0)),"Code inconnu"))</f>
        <v/>
      </c>
      <c r="F2248" s="9">
        <f>IF(D2248="","",IFERROR(INDEX('Équipements'!$D$5:$D$304,MATCH(D2248,'Équipements'!$A$5:$A$304,0)),""))</f>
        <v/>
      </c>
      <c r="G2248" s="9">
        <f>IF(D2248="","",IFERROR(INDEX('Équipements'!$K$5:$K$304,MATCH(D2248,'Équipements'!$A$5:$A$304,0)),""))</f>
        <v/>
      </c>
      <c r="H2248" s="7" t="n"/>
      <c r="I2248" s="7" t="n"/>
      <c r="J2248" s="7" t="n"/>
      <c r="K2248" s="7" t="n"/>
      <c r="L2248" s="7" t="n"/>
      <c r="M2248" s="7" t="n"/>
      <c r="N2248" s="7" t="n"/>
      <c r="O2248" s="7" t="n"/>
      <c r="P2248" s="65" t="n"/>
      <c r="Q2248" s="75" t="n"/>
      <c r="R2248" s="75" t="n"/>
      <c r="S2248" s="76" t="n"/>
      <c r="T2248" s="76" t="n"/>
      <c r="U2248" s="70">
        <f>IF($A2248="","",IFERROR(INDEX('Techniciens'!$F$5:$F$44,MATCH(O2248,'Techniciens'!$B$5:$B$44,0)),'Paramètres'!$AA$10))</f>
        <v/>
      </c>
      <c r="V2248" s="70">
        <f>IF($A2248="","",IF(OR(AC2248="Demandé",AC2248="Planifié",AC2248="Annulé"),0,N(T2248)*N(U2248)))</f>
        <v/>
      </c>
      <c r="W2248" s="70">
        <f>IF($A2248="","",SUMIFS('Mouvements stock'!$H$5:$H$3004,'Mouvements stock'!$I$5:$I$3004,$A2248,'Mouvements stock'!$C$5:$C$3004,"Sortie")-SUMIFS('Mouvements stock'!$H$5:$H$3004,'Mouvements stock'!$I$5:$I$3004,$A2248,'Mouvements stock'!$C$5:$C$3004,"Retour"))</f>
        <v/>
      </c>
      <c r="X2248" s="66" t="n"/>
      <c r="Y2248" s="66" t="n"/>
      <c r="Z2248" s="7" t="n"/>
      <c r="AA2248" s="70">
        <f>IF($A2248="","",N(V2248)+N(W2248)+N(X2248)+N(Y2248))</f>
        <v/>
      </c>
      <c r="AB2248" s="70">
        <f>IF($A2248="","",N(S2248)*'Paramètres'!$AA$9*IFERROR(INDEX('Paramètres'!$O$5:$O$7,MATCH(G2248,'Paramètres'!$N$5:$N$7,0)),0))</f>
        <v/>
      </c>
      <c r="AC2248" s="7" t="n"/>
      <c r="AD2248" s="69">
        <f>IF(OR($A2248="",Q2248=""),"",(Q2248-B2248)*24)</f>
        <v/>
      </c>
      <c r="AE2248" s="69">
        <f>IF(OR(Q2248="",R2248=""),"",(R2248-Q2248)*24)</f>
        <v/>
      </c>
      <c r="AF2248" s="77">
        <f>IF(OR($A2248="",B2248=""),"",YEAR(B2248))</f>
        <v/>
      </c>
      <c r="AG2248" s="77">
        <f>IF(OR($A2248="",B2248=""),"",MONTH(B2248))</f>
        <v/>
      </c>
    </row>
    <row r="2249">
      <c r="A2249" s="7" t="n"/>
      <c r="B2249" s="75" t="n"/>
      <c r="C2249" s="7" t="n"/>
      <c r="D2249" s="7" t="n"/>
      <c r="E2249" s="9">
        <f>IF(D2249="","",IFERROR(INDEX('Équipements'!$B$5:$B$304,MATCH(D2249,'Équipements'!$A$5:$A$304,0)),"Code inconnu"))</f>
        <v/>
      </c>
      <c r="F2249" s="9">
        <f>IF(D2249="","",IFERROR(INDEX('Équipements'!$D$5:$D$304,MATCH(D2249,'Équipements'!$A$5:$A$304,0)),""))</f>
        <v/>
      </c>
      <c r="G2249" s="9">
        <f>IF(D2249="","",IFERROR(INDEX('Équipements'!$K$5:$K$304,MATCH(D2249,'Équipements'!$A$5:$A$304,0)),""))</f>
        <v/>
      </c>
      <c r="H2249" s="7" t="n"/>
      <c r="I2249" s="7" t="n"/>
      <c r="J2249" s="7" t="n"/>
      <c r="K2249" s="7" t="n"/>
      <c r="L2249" s="7" t="n"/>
      <c r="M2249" s="7" t="n"/>
      <c r="N2249" s="7" t="n"/>
      <c r="O2249" s="7" t="n"/>
      <c r="P2249" s="65" t="n"/>
      <c r="Q2249" s="75" t="n"/>
      <c r="R2249" s="75" t="n"/>
      <c r="S2249" s="76" t="n"/>
      <c r="T2249" s="76" t="n"/>
      <c r="U2249" s="70">
        <f>IF($A2249="","",IFERROR(INDEX('Techniciens'!$F$5:$F$44,MATCH(O2249,'Techniciens'!$B$5:$B$44,0)),'Paramètres'!$AA$10))</f>
        <v/>
      </c>
      <c r="V2249" s="70">
        <f>IF($A2249="","",IF(OR(AC2249="Demandé",AC2249="Planifié",AC2249="Annulé"),0,N(T2249)*N(U2249)))</f>
        <v/>
      </c>
      <c r="W2249" s="70">
        <f>IF($A2249="","",SUMIFS('Mouvements stock'!$H$5:$H$3004,'Mouvements stock'!$I$5:$I$3004,$A2249,'Mouvements stock'!$C$5:$C$3004,"Sortie")-SUMIFS('Mouvements stock'!$H$5:$H$3004,'Mouvements stock'!$I$5:$I$3004,$A2249,'Mouvements stock'!$C$5:$C$3004,"Retour"))</f>
        <v/>
      </c>
      <c r="X2249" s="66" t="n"/>
      <c r="Y2249" s="66" t="n"/>
      <c r="Z2249" s="7" t="n"/>
      <c r="AA2249" s="70">
        <f>IF($A2249="","",N(V2249)+N(W2249)+N(X2249)+N(Y2249))</f>
        <v/>
      </c>
      <c r="AB2249" s="70">
        <f>IF($A2249="","",N(S2249)*'Paramètres'!$AA$9*IFERROR(INDEX('Paramètres'!$O$5:$O$7,MATCH(G2249,'Paramètres'!$N$5:$N$7,0)),0))</f>
        <v/>
      </c>
      <c r="AC2249" s="7" t="n"/>
      <c r="AD2249" s="69">
        <f>IF(OR($A2249="",Q2249=""),"",(Q2249-B2249)*24)</f>
        <v/>
      </c>
      <c r="AE2249" s="69">
        <f>IF(OR(Q2249="",R2249=""),"",(R2249-Q2249)*24)</f>
        <v/>
      </c>
      <c r="AF2249" s="77">
        <f>IF(OR($A2249="",B2249=""),"",YEAR(B2249))</f>
        <v/>
      </c>
      <c r="AG2249" s="77">
        <f>IF(OR($A2249="",B2249=""),"",MONTH(B2249))</f>
        <v/>
      </c>
    </row>
    <row r="2250">
      <c r="A2250" s="7" t="n"/>
      <c r="B2250" s="75" t="n"/>
      <c r="C2250" s="7" t="n"/>
      <c r="D2250" s="7" t="n"/>
      <c r="E2250" s="9">
        <f>IF(D2250="","",IFERROR(INDEX('Équipements'!$B$5:$B$304,MATCH(D2250,'Équipements'!$A$5:$A$304,0)),"Code inconnu"))</f>
        <v/>
      </c>
      <c r="F2250" s="9">
        <f>IF(D2250="","",IFERROR(INDEX('Équipements'!$D$5:$D$304,MATCH(D2250,'Équipements'!$A$5:$A$304,0)),""))</f>
        <v/>
      </c>
      <c r="G2250" s="9">
        <f>IF(D2250="","",IFERROR(INDEX('Équipements'!$K$5:$K$304,MATCH(D2250,'Équipements'!$A$5:$A$304,0)),""))</f>
        <v/>
      </c>
      <c r="H2250" s="7" t="n"/>
      <c r="I2250" s="7" t="n"/>
      <c r="J2250" s="7" t="n"/>
      <c r="K2250" s="7" t="n"/>
      <c r="L2250" s="7" t="n"/>
      <c r="M2250" s="7" t="n"/>
      <c r="N2250" s="7" t="n"/>
      <c r="O2250" s="7" t="n"/>
      <c r="P2250" s="65" t="n"/>
      <c r="Q2250" s="75" t="n"/>
      <c r="R2250" s="75" t="n"/>
      <c r="S2250" s="76" t="n"/>
      <c r="T2250" s="76" t="n"/>
      <c r="U2250" s="70">
        <f>IF($A2250="","",IFERROR(INDEX('Techniciens'!$F$5:$F$44,MATCH(O2250,'Techniciens'!$B$5:$B$44,0)),'Paramètres'!$AA$10))</f>
        <v/>
      </c>
      <c r="V2250" s="70">
        <f>IF($A2250="","",IF(OR(AC2250="Demandé",AC2250="Planifié",AC2250="Annulé"),0,N(T2250)*N(U2250)))</f>
        <v/>
      </c>
      <c r="W2250" s="70">
        <f>IF($A2250="","",SUMIFS('Mouvements stock'!$H$5:$H$3004,'Mouvements stock'!$I$5:$I$3004,$A2250,'Mouvements stock'!$C$5:$C$3004,"Sortie")-SUMIFS('Mouvements stock'!$H$5:$H$3004,'Mouvements stock'!$I$5:$I$3004,$A2250,'Mouvements stock'!$C$5:$C$3004,"Retour"))</f>
        <v/>
      </c>
      <c r="X2250" s="66" t="n"/>
      <c r="Y2250" s="66" t="n"/>
      <c r="Z2250" s="7" t="n"/>
      <c r="AA2250" s="70">
        <f>IF($A2250="","",N(V2250)+N(W2250)+N(X2250)+N(Y2250))</f>
        <v/>
      </c>
      <c r="AB2250" s="70">
        <f>IF($A2250="","",N(S2250)*'Paramètres'!$AA$9*IFERROR(INDEX('Paramètres'!$O$5:$O$7,MATCH(G2250,'Paramètres'!$N$5:$N$7,0)),0))</f>
        <v/>
      </c>
      <c r="AC2250" s="7" t="n"/>
      <c r="AD2250" s="69">
        <f>IF(OR($A2250="",Q2250=""),"",(Q2250-B2250)*24)</f>
        <v/>
      </c>
      <c r="AE2250" s="69">
        <f>IF(OR(Q2250="",R2250=""),"",(R2250-Q2250)*24)</f>
        <v/>
      </c>
      <c r="AF2250" s="77">
        <f>IF(OR($A2250="",B2250=""),"",YEAR(B2250))</f>
        <v/>
      </c>
      <c r="AG2250" s="77">
        <f>IF(OR($A2250="",B2250=""),"",MONTH(B2250))</f>
        <v/>
      </c>
    </row>
    <row r="2251">
      <c r="A2251" s="7" t="n"/>
      <c r="B2251" s="75" t="n"/>
      <c r="C2251" s="7" t="n"/>
      <c r="D2251" s="7" t="n"/>
      <c r="E2251" s="9">
        <f>IF(D2251="","",IFERROR(INDEX('Équipements'!$B$5:$B$304,MATCH(D2251,'Équipements'!$A$5:$A$304,0)),"Code inconnu"))</f>
        <v/>
      </c>
      <c r="F2251" s="9">
        <f>IF(D2251="","",IFERROR(INDEX('Équipements'!$D$5:$D$304,MATCH(D2251,'Équipements'!$A$5:$A$304,0)),""))</f>
        <v/>
      </c>
      <c r="G2251" s="9">
        <f>IF(D2251="","",IFERROR(INDEX('Équipements'!$K$5:$K$304,MATCH(D2251,'Équipements'!$A$5:$A$304,0)),""))</f>
        <v/>
      </c>
      <c r="H2251" s="7" t="n"/>
      <c r="I2251" s="7" t="n"/>
      <c r="J2251" s="7" t="n"/>
      <c r="K2251" s="7" t="n"/>
      <c r="L2251" s="7" t="n"/>
      <c r="M2251" s="7" t="n"/>
      <c r="N2251" s="7" t="n"/>
      <c r="O2251" s="7" t="n"/>
      <c r="P2251" s="65" t="n"/>
      <c r="Q2251" s="75" t="n"/>
      <c r="R2251" s="75" t="n"/>
      <c r="S2251" s="76" t="n"/>
      <c r="T2251" s="76" t="n"/>
      <c r="U2251" s="70">
        <f>IF($A2251="","",IFERROR(INDEX('Techniciens'!$F$5:$F$44,MATCH(O2251,'Techniciens'!$B$5:$B$44,0)),'Paramètres'!$AA$10))</f>
        <v/>
      </c>
      <c r="V2251" s="70">
        <f>IF($A2251="","",IF(OR(AC2251="Demandé",AC2251="Planifié",AC2251="Annulé"),0,N(T2251)*N(U2251)))</f>
        <v/>
      </c>
      <c r="W2251" s="70">
        <f>IF($A2251="","",SUMIFS('Mouvements stock'!$H$5:$H$3004,'Mouvements stock'!$I$5:$I$3004,$A2251,'Mouvements stock'!$C$5:$C$3004,"Sortie")-SUMIFS('Mouvements stock'!$H$5:$H$3004,'Mouvements stock'!$I$5:$I$3004,$A2251,'Mouvements stock'!$C$5:$C$3004,"Retour"))</f>
        <v/>
      </c>
      <c r="X2251" s="66" t="n"/>
      <c r="Y2251" s="66" t="n"/>
      <c r="Z2251" s="7" t="n"/>
      <c r="AA2251" s="70">
        <f>IF($A2251="","",N(V2251)+N(W2251)+N(X2251)+N(Y2251))</f>
        <v/>
      </c>
      <c r="AB2251" s="70">
        <f>IF($A2251="","",N(S2251)*'Paramètres'!$AA$9*IFERROR(INDEX('Paramètres'!$O$5:$O$7,MATCH(G2251,'Paramètres'!$N$5:$N$7,0)),0))</f>
        <v/>
      </c>
      <c r="AC2251" s="7" t="n"/>
      <c r="AD2251" s="69">
        <f>IF(OR($A2251="",Q2251=""),"",(Q2251-B2251)*24)</f>
        <v/>
      </c>
      <c r="AE2251" s="69">
        <f>IF(OR(Q2251="",R2251=""),"",(R2251-Q2251)*24)</f>
        <v/>
      </c>
      <c r="AF2251" s="77">
        <f>IF(OR($A2251="",B2251=""),"",YEAR(B2251))</f>
        <v/>
      </c>
      <c r="AG2251" s="77">
        <f>IF(OR($A2251="",B2251=""),"",MONTH(B2251))</f>
        <v/>
      </c>
    </row>
    <row r="2252">
      <c r="A2252" s="7" t="n"/>
      <c r="B2252" s="75" t="n"/>
      <c r="C2252" s="7" t="n"/>
      <c r="D2252" s="7" t="n"/>
      <c r="E2252" s="9">
        <f>IF(D2252="","",IFERROR(INDEX('Équipements'!$B$5:$B$304,MATCH(D2252,'Équipements'!$A$5:$A$304,0)),"Code inconnu"))</f>
        <v/>
      </c>
      <c r="F2252" s="9">
        <f>IF(D2252="","",IFERROR(INDEX('Équipements'!$D$5:$D$304,MATCH(D2252,'Équipements'!$A$5:$A$304,0)),""))</f>
        <v/>
      </c>
      <c r="G2252" s="9">
        <f>IF(D2252="","",IFERROR(INDEX('Équipements'!$K$5:$K$304,MATCH(D2252,'Équipements'!$A$5:$A$304,0)),""))</f>
        <v/>
      </c>
      <c r="H2252" s="7" t="n"/>
      <c r="I2252" s="7" t="n"/>
      <c r="J2252" s="7" t="n"/>
      <c r="K2252" s="7" t="n"/>
      <c r="L2252" s="7" t="n"/>
      <c r="M2252" s="7" t="n"/>
      <c r="N2252" s="7" t="n"/>
      <c r="O2252" s="7" t="n"/>
      <c r="P2252" s="65" t="n"/>
      <c r="Q2252" s="75" t="n"/>
      <c r="R2252" s="75" t="n"/>
      <c r="S2252" s="76" t="n"/>
      <c r="T2252" s="76" t="n"/>
      <c r="U2252" s="70">
        <f>IF($A2252="","",IFERROR(INDEX('Techniciens'!$F$5:$F$44,MATCH(O2252,'Techniciens'!$B$5:$B$44,0)),'Paramètres'!$AA$10))</f>
        <v/>
      </c>
      <c r="V2252" s="70">
        <f>IF($A2252="","",IF(OR(AC2252="Demandé",AC2252="Planifié",AC2252="Annulé"),0,N(T2252)*N(U2252)))</f>
        <v/>
      </c>
      <c r="W2252" s="70">
        <f>IF($A2252="","",SUMIFS('Mouvements stock'!$H$5:$H$3004,'Mouvements stock'!$I$5:$I$3004,$A2252,'Mouvements stock'!$C$5:$C$3004,"Sortie")-SUMIFS('Mouvements stock'!$H$5:$H$3004,'Mouvements stock'!$I$5:$I$3004,$A2252,'Mouvements stock'!$C$5:$C$3004,"Retour"))</f>
        <v/>
      </c>
      <c r="X2252" s="66" t="n"/>
      <c r="Y2252" s="66" t="n"/>
      <c r="Z2252" s="7" t="n"/>
      <c r="AA2252" s="70">
        <f>IF($A2252="","",N(V2252)+N(W2252)+N(X2252)+N(Y2252))</f>
        <v/>
      </c>
      <c r="AB2252" s="70">
        <f>IF($A2252="","",N(S2252)*'Paramètres'!$AA$9*IFERROR(INDEX('Paramètres'!$O$5:$O$7,MATCH(G2252,'Paramètres'!$N$5:$N$7,0)),0))</f>
        <v/>
      </c>
      <c r="AC2252" s="7" t="n"/>
      <c r="AD2252" s="69">
        <f>IF(OR($A2252="",Q2252=""),"",(Q2252-B2252)*24)</f>
        <v/>
      </c>
      <c r="AE2252" s="69">
        <f>IF(OR(Q2252="",R2252=""),"",(R2252-Q2252)*24)</f>
        <v/>
      </c>
      <c r="AF2252" s="77">
        <f>IF(OR($A2252="",B2252=""),"",YEAR(B2252))</f>
        <v/>
      </c>
      <c r="AG2252" s="77">
        <f>IF(OR($A2252="",B2252=""),"",MONTH(B2252))</f>
        <v/>
      </c>
    </row>
    <row r="2253">
      <c r="A2253" s="7" t="n"/>
      <c r="B2253" s="75" t="n"/>
      <c r="C2253" s="7" t="n"/>
      <c r="D2253" s="7" t="n"/>
      <c r="E2253" s="9">
        <f>IF(D2253="","",IFERROR(INDEX('Équipements'!$B$5:$B$304,MATCH(D2253,'Équipements'!$A$5:$A$304,0)),"Code inconnu"))</f>
        <v/>
      </c>
      <c r="F2253" s="9">
        <f>IF(D2253="","",IFERROR(INDEX('Équipements'!$D$5:$D$304,MATCH(D2253,'Équipements'!$A$5:$A$304,0)),""))</f>
        <v/>
      </c>
      <c r="G2253" s="9">
        <f>IF(D2253="","",IFERROR(INDEX('Équipements'!$K$5:$K$304,MATCH(D2253,'Équipements'!$A$5:$A$304,0)),""))</f>
        <v/>
      </c>
      <c r="H2253" s="7" t="n"/>
      <c r="I2253" s="7" t="n"/>
      <c r="J2253" s="7" t="n"/>
      <c r="K2253" s="7" t="n"/>
      <c r="L2253" s="7" t="n"/>
      <c r="M2253" s="7" t="n"/>
      <c r="N2253" s="7" t="n"/>
      <c r="O2253" s="7" t="n"/>
      <c r="P2253" s="65" t="n"/>
      <c r="Q2253" s="75" t="n"/>
      <c r="R2253" s="75" t="n"/>
      <c r="S2253" s="76" t="n"/>
      <c r="T2253" s="76" t="n"/>
      <c r="U2253" s="70">
        <f>IF($A2253="","",IFERROR(INDEX('Techniciens'!$F$5:$F$44,MATCH(O2253,'Techniciens'!$B$5:$B$44,0)),'Paramètres'!$AA$10))</f>
        <v/>
      </c>
      <c r="V2253" s="70">
        <f>IF($A2253="","",IF(OR(AC2253="Demandé",AC2253="Planifié",AC2253="Annulé"),0,N(T2253)*N(U2253)))</f>
        <v/>
      </c>
      <c r="W2253" s="70">
        <f>IF($A2253="","",SUMIFS('Mouvements stock'!$H$5:$H$3004,'Mouvements stock'!$I$5:$I$3004,$A2253,'Mouvements stock'!$C$5:$C$3004,"Sortie")-SUMIFS('Mouvements stock'!$H$5:$H$3004,'Mouvements stock'!$I$5:$I$3004,$A2253,'Mouvements stock'!$C$5:$C$3004,"Retour"))</f>
        <v/>
      </c>
      <c r="X2253" s="66" t="n"/>
      <c r="Y2253" s="66" t="n"/>
      <c r="Z2253" s="7" t="n"/>
      <c r="AA2253" s="70">
        <f>IF($A2253="","",N(V2253)+N(W2253)+N(X2253)+N(Y2253))</f>
        <v/>
      </c>
      <c r="AB2253" s="70">
        <f>IF($A2253="","",N(S2253)*'Paramètres'!$AA$9*IFERROR(INDEX('Paramètres'!$O$5:$O$7,MATCH(G2253,'Paramètres'!$N$5:$N$7,0)),0))</f>
        <v/>
      </c>
      <c r="AC2253" s="7" t="n"/>
      <c r="AD2253" s="69">
        <f>IF(OR($A2253="",Q2253=""),"",(Q2253-B2253)*24)</f>
        <v/>
      </c>
      <c r="AE2253" s="69">
        <f>IF(OR(Q2253="",R2253=""),"",(R2253-Q2253)*24)</f>
        <v/>
      </c>
      <c r="AF2253" s="77">
        <f>IF(OR($A2253="",B2253=""),"",YEAR(B2253))</f>
        <v/>
      </c>
      <c r="AG2253" s="77">
        <f>IF(OR($A2253="",B2253=""),"",MONTH(B2253))</f>
        <v/>
      </c>
    </row>
    <row r="2254">
      <c r="A2254" s="7" t="n"/>
      <c r="B2254" s="75" t="n"/>
      <c r="C2254" s="7" t="n"/>
      <c r="D2254" s="7" t="n"/>
      <c r="E2254" s="9">
        <f>IF(D2254="","",IFERROR(INDEX('Équipements'!$B$5:$B$304,MATCH(D2254,'Équipements'!$A$5:$A$304,0)),"Code inconnu"))</f>
        <v/>
      </c>
      <c r="F2254" s="9">
        <f>IF(D2254="","",IFERROR(INDEX('Équipements'!$D$5:$D$304,MATCH(D2254,'Équipements'!$A$5:$A$304,0)),""))</f>
        <v/>
      </c>
      <c r="G2254" s="9">
        <f>IF(D2254="","",IFERROR(INDEX('Équipements'!$K$5:$K$304,MATCH(D2254,'Équipements'!$A$5:$A$304,0)),""))</f>
        <v/>
      </c>
      <c r="H2254" s="7" t="n"/>
      <c r="I2254" s="7" t="n"/>
      <c r="J2254" s="7" t="n"/>
      <c r="K2254" s="7" t="n"/>
      <c r="L2254" s="7" t="n"/>
      <c r="M2254" s="7" t="n"/>
      <c r="N2254" s="7" t="n"/>
      <c r="O2254" s="7" t="n"/>
      <c r="P2254" s="65" t="n"/>
      <c r="Q2254" s="75" t="n"/>
      <c r="R2254" s="75" t="n"/>
      <c r="S2254" s="76" t="n"/>
      <c r="T2254" s="76" t="n"/>
      <c r="U2254" s="70">
        <f>IF($A2254="","",IFERROR(INDEX('Techniciens'!$F$5:$F$44,MATCH(O2254,'Techniciens'!$B$5:$B$44,0)),'Paramètres'!$AA$10))</f>
        <v/>
      </c>
      <c r="V2254" s="70">
        <f>IF($A2254="","",IF(OR(AC2254="Demandé",AC2254="Planifié",AC2254="Annulé"),0,N(T2254)*N(U2254)))</f>
        <v/>
      </c>
      <c r="W2254" s="70">
        <f>IF($A2254="","",SUMIFS('Mouvements stock'!$H$5:$H$3004,'Mouvements stock'!$I$5:$I$3004,$A2254,'Mouvements stock'!$C$5:$C$3004,"Sortie")-SUMIFS('Mouvements stock'!$H$5:$H$3004,'Mouvements stock'!$I$5:$I$3004,$A2254,'Mouvements stock'!$C$5:$C$3004,"Retour"))</f>
        <v/>
      </c>
      <c r="X2254" s="66" t="n"/>
      <c r="Y2254" s="66" t="n"/>
      <c r="Z2254" s="7" t="n"/>
      <c r="AA2254" s="70">
        <f>IF($A2254="","",N(V2254)+N(W2254)+N(X2254)+N(Y2254))</f>
        <v/>
      </c>
      <c r="AB2254" s="70">
        <f>IF($A2254="","",N(S2254)*'Paramètres'!$AA$9*IFERROR(INDEX('Paramètres'!$O$5:$O$7,MATCH(G2254,'Paramètres'!$N$5:$N$7,0)),0))</f>
        <v/>
      </c>
      <c r="AC2254" s="7" t="n"/>
      <c r="AD2254" s="69">
        <f>IF(OR($A2254="",Q2254=""),"",(Q2254-B2254)*24)</f>
        <v/>
      </c>
      <c r="AE2254" s="69">
        <f>IF(OR(Q2254="",R2254=""),"",(R2254-Q2254)*24)</f>
        <v/>
      </c>
      <c r="AF2254" s="77">
        <f>IF(OR($A2254="",B2254=""),"",YEAR(B2254))</f>
        <v/>
      </c>
      <c r="AG2254" s="77">
        <f>IF(OR($A2254="",B2254=""),"",MONTH(B2254))</f>
        <v/>
      </c>
    </row>
    <row r="2255">
      <c r="A2255" s="7" t="n"/>
      <c r="B2255" s="75" t="n"/>
      <c r="C2255" s="7" t="n"/>
      <c r="D2255" s="7" t="n"/>
      <c r="E2255" s="9">
        <f>IF(D2255="","",IFERROR(INDEX('Équipements'!$B$5:$B$304,MATCH(D2255,'Équipements'!$A$5:$A$304,0)),"Code inconnu"))</f>
        <v/>
      </c>
      <c r="F2255" s="9">
        <f>IF(D2255="","",IFERROR(INDEX('Équipements'!$D$5:$D$304,MATCH(D2255,'Équipements'!$A$5:$A$304,0)),""))</f>
        <v/>
      </c>
      <c r="G2255" s="9">
        <f>IF(D2255="","",IFERROR(INDEX('Équipements'!$K$5:$K$304,MATCH(D2255,'Équipements'!$A$5:$A$304,0)),""))</f>
        <v/>
      </c>
      <c r="H2255" s="7" t="n"/>
      <c r="I2255" s="7" t="n"/>
      <c r="J2255" s="7" t="n"/>
      <c r="K2255" s="7" t="n"/>
      <c r="L2255" s="7" t="n"/>
      <c r="M2255" s="7" t="n"/>
      <c r="N2255" s="7" t="n"/>
      <c r="O2255" s="7" t="n"/>
      <c r="P2255" s="65" t="n"/>
      <c r="Q2255" s="75" t="n"/>
      <c r="R2255" s="75" t="n"/>
      <c r="S2255" s="76" t="n"/>
      <c r="T2255" s="76" t="n"/>
      <c r="U2255" s="70">
        <f>IF($A2255="","",IFERROR(INDEX('Techniciens'!$F$5:$F$44,MATCH(O2255,'Techniciens'!$B$5:$B$44,0)),'Paramètres'!$AA$10))</f>
        <v/>
      </c>
      <c r="V2255" s="70">
        <f>IF($A2255="","",IF(OR(AC2255="Demandé",AC2255="Planifié",AC2255="Annulé"),0,N(T2255)*N(U2255)))</f>
        <v/>
      </c>
      <c r="W2255" s="70">
        <f>IF($A2255="","",SUMIFS('Mouvements stock'!$H$5:$H$3004,'Mouvements stock'!$I$5:$I$3004,$A2255,'Mouvements stock'!$C$5:$C$3004,"Sortie")-SUMIFS('Mouvements stock'!$H$5:$H$3004,'Mouvements stock'!$I$5:$I$3004,$A2255,'Mouvements stock'!$C$5:$C$3004,"Retour"))</f>
        <v/>
      </c>
      <c r="X2255" s="66" t="n"/>
      <c r="Y2255" s="66" t="n"/>
      <c r="Z2255" s="7" t="n"/>
      <c r="AA2255" s="70">
        <f>IF($A2255="","",N(V2255)+N(W2255)+N(X2255)+N(Y2255))</f>
        <v/>
      </c>
      <c r="AB2255" s="70">
        <f>IF($A2255="","",N(S2255)*'Paramètres'!$AA$9*IFERROR(INDEX('Paramètres'!$O$5:$O$7,MATCH(G2255,'Paramètres'!$N$5:$N$7,0)),0))</f>
        <v/>
      </c>
      <c r="AC2255" s="7" t="n"/>
      <c r="AD2255" s="69">
        <f>IF(OR($A2255="",Q2255=""),"",(Q2255-B2255)*24)</f>
        <v/>
      </c>
      <c r="AE2255" s="69">
        <f>IF(OR(Q2255="",R2255=""),"",(R2255-Q2255)*24)</f>
        <v/>
      </c>
      <c r="AF2255" s="77">
        <f>IF(OR($A2255="",B2255=""),"",YEAR(B2255))</f>
        <v/>
      </c>
      <c r="AG2255" s="77">
        <f>IF(OR($A2255="",B2255=""),"",MONTH(B2255))</f>
        <v/>
      </c>
    </row>
    <row r="2256">
      <c r="A2256" s="7" t="n"/>
      <c r="B2256" s="75" t="n"/>
      <c r="C2256" s="7" t="n"/>
      <c r="D2256" s="7" t="n"/>
      <c r="E2256" s="9">
        <f>IF(D2256="","",IFERROR(INDEX('Équipements'!$B$5:$B$304,MATCH(D2256,'Équipements'!$A$5:$A$304,0)),"Code inconnu"))</f>
        <v/>
      </c>
      <c r="F2256" s="9">
        <f>IF(D2256="","",IFERROR(INDEX('Équipements'!$D$5:$D$304,MATCH(D2256,'Équipements'!$A$5:$A$304,0)),""))</f>
        <v/>
      </c>
      <c r="G2256" s="9">
        <f>IF(D2256="","",IFERROR(INDEX('Équipements'!$K$5:$K$304,MATCH(D2256,'Équipements'!$A$5:$A$304,0)),""))</f>
        <v/>
      </c>
      <c r="H2256" s="7" t="n"/>
      <c r="I2256" s="7" t="n"/>
      <c r="J2256" s="7" t="n"/>
      <c r="K2256" s="7" t="n"/>
      <c r="L2256" s="7" t="n"/>
      <c r="M2256" s="7" t="n"/>
      <c r="N2256" s="7" t="n"/>
      <c r="O2256" s="7" t="n"/>
      <c r="P2256" s="65" t="n"/>
      <c r="Q2256" s="75" t="n"/>
      <c r="R2256" s="75" t="n"/>
      <c r="S2256" s="76" t="n"/>
      <c r="T2256" s="76" t="n"/>
      <c r="U2256" s="70">
        <f>IF($A2256="","",IFERROR(INDEX('Techniciens'!$F$5:$F$44,MATCH(O2256,'Techniciens'!$B$5:$B$44,0)),'Paramètres'!$AA$10))</f>
        <v/>
      </c>
      <c r="V2256" s="70">
        <f>IF($A2256="","",IF(OR(AC2256="Demandé",AC2256="Planifié",AC2256="Annulé"),0,N(T2256)*N(U2256)))</f>
        <v/>
      </c>
      <c r="W2256" s="70">
        <f>IF($A2256="","",SUMIFS('Mouvements stock'!$H$5:$H$3004,'Mouvements stock'!$I$5:$I$3004,$A2256,'Mouvements stock'!$C$5:$C$3004,"Sortie")-SUMIFS('Mouvements stock'!$H$5:$H$3004,'Mouvements stock'!$I$5:$I$3004,$A2256,'Mouvements stock'!$C$5:$C$3004,"Retour"))</f>
        <v/>
      </c>
      <c r="X2256" s="66" t="n"/>
      <c r="Y2256" s="66" t="n"/>
      <c r="Z2256" s="7" t="n"/>
      <c r="AA2256" s="70">
        <f>IF($A2256="","",N(V2256)+N(W2256)+N(X2256)+N(Y2256))</f>
        <v/>
      </c>
      <c r="AB2256" s="70">
        <f>IF($A2256="","",N(S2256)*'Paramètres'!$AA$9*IFERROR(INDEX('Paramètres'!$O$5:$O$7,MATCH(G2256,'Paramètres'!$N$5:$N$7,0)),0))</f>
        <v/>
      </c>
      <c r="AC2256" s="7" t="n"/>
      <c r="AD2256" s="69">
        <f>IF(OR($A2256="",Q2256=""),"",(Q2256-B2256)*24)</f>
        <v/>
      </c>
      <c r="AE2256" s="69">
        <f>IF(OR(Q2256="",R2256=""),"",(R2256-Q2256)*24)</f>
        <v/>
      </c>
      <c r="AF2256" s="77">
        <f>IF(OR($A2256="",B2256=""),"",YEAR(B2256))</f>
        <v/>
      </c>
      <c r="AG2256" s="77">
        <f>IF(OR($A2256="",B2256=""),"",MONTH(B2256))</f>
        <v/>
      </c>
    </row>
    <row r="2257">
      <c r="A2257" s="7" t="n"/>
      <c r="B2257" s="75" t="n"/>
      <c r="C2257" s="7" t="n"/>
      <c r="D2257" s="7" t="n"/>
      <c r="E2257" s="9">
        <f>IF(D2257="","",IFERROR(INDEX('Équipements'!$B$5:$B$304,MATCH(D2257,'Équipements'!$A$5:$A$304,0)),"Code inconnu"))</f>
        <v/>
      </c>
      <c r="F2257" s="9">
        <f>IF(D2257="","",IFERROR(INDEX('Équipements'!$D$5:$D$304,MATCH(D2257,'Équipements'!$A$5:$A$304,0)),""))</f>
        <v/>
      </c>
      <c r="G2257" s="9">
        <f>IF(D2257="","",IFERROR(INDEX('Équipements'!$K$5:$K$304,MATCH(D2257,'Équipements'!$A$5:$A$304,0)),""))</f>
        <v/>
      </c>
      <c r="H2257" s="7" t="n"/>
      <c r="I2257" s="7" t="n"/>
      <c r="J2257" s="7" t="n"/>
      <c r="K2257" s="7" t="n"/>
      <c r="L2257" s="7" t="n"/>
      <c r="M2257" s="7" t="n"/>
      <c r="N2257" s="7" t="n"/>
      <c r="O2257" s="7" t="n"/>
      <c r="P2257" s="65" t="n"/>
      <c r="Q2257" s="75" t="n"/>
      <c r="R2257" s="75" t="n"/>
      <c r="S2257" s="76" t="n"/>
      <c r="T2257" s="76" t="n"/>
      <c r="U2257" s="70">
        <f>IF($A2257="","",IFERROR(INDEX('Techniciens'!$F$5:$F$44,MATCH(O2257,'Techniciens'!$B$5:$B$44,0)),'Paramètres'!$AA$10))</f>
        <v/>
      </c>
      <c r="V2257" s="70">
        <f>IF($A2257="","",IF(OR(AC2257="Demandé",AC2257="Planifié",AC2257="Annulé"),0,N(T2257)*N(U2257)))</f>
        <v/>
      </c>
      <c r="W2257" s="70">
        <f>IF($A2257="","",SUMIFS('Mouvements stock'!$H$5:$H$3004,'Mouvements stock'!$I$5:$I$3004,$A2257,'Mouvements stock'!$C$5:$C$3004,"Sortie")-SUMIFS('Mouvements stock'!$H$5:$H$3004,'Mouvements stock'!$I$5:$I$3004,$A2257,'Mouvements stock'!$C$5:$C$3004,"Retour"))</f>
        <v/>
      </c>
      <c r="X2257" s="66" t="n"/>
      <c r="Y2257" s="66" t="n"/>
      <c r="Z2257" s="7" t="n"/>
      <c r="AA2257" s="70">
        <f>IF($A2257="","",N(V2257)+N(W2257)+N(X2257)+N(Y2257))</f>
        <v/>
      </c>
      <c r="AB2257" s="70">
        <f>IF($A2257="","",N(S2257)*'Paramètres'!$AA$9*IFERROR(INDEX('Paramètres'!$O$5:$O$7,MATCH(G2257,'Paramètres'!$N$5:$N$7,0)),0))</f>
        <v/>
      </c>
      <c r="AC2257" s="7" t="n"/>
      <c r="AD2257" s="69">
        <f>IF(OR($A2257="",Q2257=""),"",(Q2257-B2257)*24)</f>
        <v/>
      </c>
      <c r="AE2257" s="69">
        <f>IF(OR(Q2257="",R2257=""),"",(R2257-Q2257)*24)</f>
        <v/>
      </c>
      <c r="AF2257" s="77">
        <f>IF(OR($A2257="",B2257=""),"",YEAR(B2257))</f>
        <v/>
      </c>
      <c r="AG2257" s="77">
        <f>IF(OR($A2257="",B2257=""),"",MONTH(B2257))</f>
        <v/>
      </c>
    </row>
    <row r="2258">
      <c r="A2258" s="7" t="n"/>
      <c r="B2258" s="75" t="n"/>
      <c r="C2258" s="7" t="n"/>
      <c r="D2258" s="7" t="n"/>
      <c r="E2258" s="9">
        <f>IF(D2258="","",IFERROR(INDEX('Équipements'!$B$5:$B$304,MATCH(D2258,'Équipements'!$A$5:$A$304,0)),"Code inconnu"))</f>
        <v/>
      </c>
      <c r="F2258" s="9">
        <f>IF(D2258="","",IFERROR(INDEX('Équipements'!$D$5:$D$304,MATCH(D2258,'Équipements'!$A$5:$A$304,0)),""))</f>
        <v/>
      </c>
      <c r="G2258" s="9">
        <f>IF(D2258="","",IFERROR(INDEX('Équipements'!$K$5:$K$304,MATCH(D2258,'Équipements'!$A$5:$A$304,0)),""))</f>
        <v/>
      </c>
      <c r="H2258" s="7" t="n"/>
      <c r="I2258" s="7" t="n"/>
      <c r="J2258" s="7" t="n"/>
      <c r="K2258" s="7" t="n"/>
      <c r="L2258" s="7" t="n"/>
      <c r="M2258" s="7" t="n"/>
      <c r="N2258" s="7" t="n"/>
      <c r="O2258" s="7" t="n"/>
      <c r="P2258" s="65" t="n"/>
      <c r="Q2258" s="75" t="n"/>
      <c r="R2258" s="75" t="n"/>
      <c r="S2258" s="76" t="n"/>
      <c r="T2258" s="76" t="n"/>
      <c r="U2258" s="70">
        <f>IF($A2258="","",IFERROR(INDEX('Techniciens'!$F$5:$F$44,MATCH(O2258,'Techniciens'!$B$5:$B$44,0)),'Paramètres'!$AA$10))</f>
        <v/>
      </c>
      <c r="V2258" s="70">
        <f>IF($A2258="","",IF(OR(AC2258="Demandé",AC2258="Planifié",AC2258="Annulé"),0,N(T2258)*N(U2258)))</f>
        <v/>
      </c>
      <c r="W2258" s="70">
        <f>IF($A2258="","",SUMIFS('Mouvements stock'!$H$5:$H$3004,'Mouvements stock'!$I$5:$I$3004,$A2258,'Mouvements stock'!$C$5:$C$3004,"Sortie")-SUMIFS('Mouvements stock'!$H$5:$H$3004,'Mouvements stock'!$I$5:$I$3004,$A2258,'Mouvements stock'!$C$5:$C$3004,"Retour"))</f>
        <v/>
      </c>
      <c r="X2258" s="66" t="n"/>
      <c r="Y2258" s="66" t="n"/>
      <c r="Z2258" s="7" t="n"/>
      <c r="AA2258" s="70">
        <f>IF($A2258="","",N(V2258)+N(W2258)+N(X2258)+N(Y2258))</f>
        <v/>
      </c>
      <c r="AB2258" s="70">
        <f>IF($A2258="","",N(S2258)*'Paramètres'!$AA$9*IFERROR(INDEX('Paramètres'!$O$5:$O$7,MATCH(G2258,'Paramètres'!$N$5:$N$7,0)),0))</f>
        <v/>
      </c>
      <c r="AC2258" s="7" t="n"/>
      <c r="AD2258" s="69">
        <f>IF(OR($A2258="",Q2258=""),"",(Q2258-B2258)*24)</f>
        <v/>
      </c>
      <c r="AE2258" s="69">
        <f>IF(OR(Q2258="",R2258=""),"",(R2258-Q2258)*24)</f>
        <v/>
      </c>
      <c r="AF2258" s="77">
        <f>IF(OR($A2258="",B2258=""),"",YEAR(B2258))</f>
        <v/>
      </c>
      <c r="AG2258" s="77">
        <f>IF(OR($A2258="",B2258=""),"",MONTH(B2258))</f>
        <v/>
      </c>
    </row>
    <row r="2259">
      <c r="A2259" s="7" t="n"/>
      <c r="B2259" s="75" t="n"/>
      <c r="C2259" s="7" t="n"/>
      <c r="D2259" s="7" t="n"/>
      <c r="E2259" s="9">
        <f>IF(D2259="","",IFERROR(INDEX('Équipements'!$B$5:$B$304,MATCH(D2259,'Équipements'!$A$5:$A$304,0)),"Code inconnu"))</f>
        <v/>
      </c>
      <c r="F2259" s="9">
        <f>IF(D2259="","",IFERROR(INDEX('Équipements'!$D$5:$D$304,MATCH(D2259,'Équipements'!$A$5:$A$304,0)),""))</f>
        <v/>
      </c>
      <c r="G2259" s="9">
        <f>IF(D2259="","",IFERROR(INDEX('Équipements'!$K$5:$K$304,MATCH(D2259,'Équipements'!$A$5:$A$304,0)),""))</f>
        <v/>
      </c>
      <c r="H2259" s="7" t="n"/>
      <c r="I2259" s="7" t="n"/>
      <c r="J2259" s="7" t="n"/>
      <c r="K2259" s="7" t="n"/>
      <c r="L2259" s="7" t="n"/>
      <c r="M2259" s="7" t="n"/>
      <c r="N2259" s="7" t="n"/>
      <c r="O2259" s="7" t="n"/>
      <c r="P2259" s="65" t="n"/>
      <c r="Q2259" s="75" t="n"/>
      <c r="R2259" s="75" t="n"/>
      <c r="S2259" s="76" t="n"/>
      <c r="T2259" s="76" t="n"/>
      <c r="U2259" s="70">
        <f>IF($A2259="","",IFERROR(INDEX('Techniciens'!$F$5:$F$44,MATCH(O2259,'Techniciens'!$B$5:$B$44,0)),'Paramètres'!$AA$10))</f>
        <v/>
      </c>
      <c r="V2259" s="70">
        <f>IF($A2259="","",IF(OR(AC2259="Demandé",AC2259="Planifié",AC2259="Annulé"),0,N(T2259)*N(U2259)))</f>
        <v/>
      </c>
      <c r="W2259" s="70">
        <f>IF($A2259="","",SUMIFS('Mouvements stock'!$H$5:$H$3004,'Mouvements stock'!$I$5:$I$3004,$A2259,'Mouvements stock'!$C$5:$C$3004,"Sortie")-SUMIFS('Mouvements stock'!$H$5:$H$3004,'Mouvements stock'!$I$5:$I$3004,$A2259,'Mouvements stock'!$C$5:$C$3004,"Retour"))</f>
        <v/>
      </c>
      <c r="X2259" s="66" t="n"/>
      <c r="Y2259" s="66" t="n"/>
      <c r="Z2259" s="7" t="n"/>
      <c r="AA2259" s="70">
        <f>IF($A2259="","",N(V2259)+N(W2259)+N(X2259)+N(Y2259))</f>
        <v/>
      </c>
      <c r="AB2259" s="70">
        <f>IF($A2259="","",N(S2259)*'Paramètres'!$AA$9*IFERROR(INDEX('Paramètres'!$O$5:$O$7,MATCH(G2259,'Paramètres'!$N$5:$N$7,0)),0))</f>
        <v/>
      </c>
      <c r="AC2259" s="7" t="n"/>
      <c r="AD2259" s="69">
        <f>IF(OR($A2259="",Q2259=""),"",(Q2259-B2259)*24)</f>
        <v/>
      </c>
      <c r="AE2259" s="69">
        <f>IF(OR(Q2259="",R2259=""),"",(R2259-Q2259)*24)</f>
        <v/>
      </c>
      <c r="AF2259" s="77">
        <f>IF(OR($A2259="",B2259=""),"",YEAR(B2259))</f>
        <v/>
      </c>
      <c r="AG2259" s="77">
        <f>IF(OR($A2259="",B2259=""),"",MONTH(B2259))</f>
        <v/>
      </c>
    </row>
    <row r="2260">
      <c r="A2260" s="7" t="n"/>
      <c r="B2260" s="75" t="n"/>
      <c r="C2260" s="7" t="n"/>
      <c r="D2260" s="7" t="n"/>
      <c r="E2260" s="9">
        <f>IF(D2260="","",IFERROR(INDEX('Équipements'!$B$5:$B$304,MATCH(D2260,'Équipements'!$A$5:$A$304,0)),"Code inconnu"))</f>
        <v/>
      </c>
      <c r="F2260" s="9">
        <f>IF(D2260="","",IFERROR(INDEX('Équipements'!$D$5:$D$304,MATCH(D2260,'Équipements'!$A$5:$A$304,0)),""))</f>
        <v/>
      </c>
      <c r="G2260" s="9">
        <f>IF(D2260="","",IFERROR(INDEX('Équipements'!$K$5:$K$304,MATCH(D2260,'Équipements'!$A$5:$A$304,0)),""))</f>
        <v/>
      </c>
      <c r="H2260" s="7" t="n"/>
      <c r="I2260" s="7" t="n"/>
      <c r="J2260" s="7" t="n"/>
      <c r="K2260" s="7" t="n"/>
      <c r="L2260" s="7" t="n"/>
      <c r="M2260" s="7" t="n"/>
      <c r="N2260" s="7" t="n"/>
      <c r="O2260" s="7" t="n"/>
      <c r="P2260" s="65" t="n"/>
      <c r="Q2260" s="75" t="n"/>
      <c r="R2260" s="75" t="n"/>
      <c r="S2260" s="76" t="n"/>
      <c r="T2260" s="76" t="n"/>
      <c r="U2260" s="70">
        <f>IF($A2260="","",IFERROR(INDEX('Techniciens'!$F$5:$F$44,MATCH(O2260,'Techniciens'!$B$5:$B$44,0)),'Paramètres'!$AA$10))</f>
        <v/>
      </c>
      <c r="V2260" s="70">
        <f>IF($A2260="","",IF(OR(AC2260="Demandé",AC2260="Planifié",AC2260="Annulé"),0,N(T2260)*N(U2260)))</f>
        <v/>
      </c>
      <c r="W2260" s="70">
        <f>IF($A2260="","",SUMIFS('Mouvements stock'!$H$5:$H$3004,'Mouvements stock'!$I$5:$I$3004,$A2260,'Mouvements stock'!$C$5:$C$3004,"Sortie")-SUMIFS('Mouvements stock'!$H$5:$H$3004,'Mouvements stock'!$I$5:$I$3004,$A2260,'Mouvements stock'!$C$5:$C$3004,"Retour"))</f>
        <v/>
      </c>
      <c r="X2260" s="66" t="n"/>
      <c r="Y2260" s="66" t="n"/>
      <c r="Z2260" s="7" t="n"/>
      <c r="AA2260" s="70">
        <f>IF($A2260="","",N(V2260)+N(W2260)+N(X2260)+N(Y2260))</f>
        <v/>
      </c>
      <c r="AB2260" s="70">
        <f>IF($A2260="","",N(S2260)*'Paramètres'!$AA$9*IFERROR(INDEX('Paramètres'!$O$5:$O$7,MATCH(G2260,'Paramètres'!$N$5:$N$7,0)),0))</f>
        <v/>
      </c>
      <c r="AC2260" s="7" t="n"/>
      <c r="AD2260" s="69">
        <f>IF(OR($A2260="",Q2260=""),"",(Q2260-B2260)*24)</f>
        <v/>
      </c>
      <c r="AE2260" s="69">
        <f>IF(OR(Q2260="",R2260=""),"",(R2260-Q2260)*24)</f>
        <v/>
      </c>
      <c r="AF2260" s="77">
        <f>IF(OR($A2260="",B2260=""),"",YEAR(B2260))</f>
        <v/>
      </c>
      <c r="AG2260" s="77">
        <f>IF(OR($A2260="",B2260=""),"",MONTH(B2260))</f>
        <v/>
      </c>
    </row>
    <row r="2261">
      <c r="A2261" s="7" t="n"/>
      <c r="B2261" s="75" t="n"/>
      <c r="C2261" s="7" t="n"/>
      <c r="D2261" s="7" t="n"/>
      <c r="E2261" s="9">
        <f>IF(D2261="","",IFERROR(INDEX('Équipements'!$B$5:$B$304,MATCH(D2261,'Équipements'!$A$5:$A$304,0)),"Code inconnu"))</f>
        <v/>
      </c>
      <c r="F2261" s="9">
        <f>IF(D2261="","",IFERROR(INDEX('Équipements'!$D$5:$D$304,MATCH(D2261,'Équipements'!$A$5:$A$304,0)),""))</f>
        <v/>
      </c>
      <c r="G2261" s="9">
        <f>IF(D2261="","",IFERROR(INDEX('Équipements'!$K$5:$K$304,MATCH(D2261,'Équipements'!$A$5:$A$304,0)),""))</f>
        <v/>
      </c>
      <c r="H2261" s="7" t="n"/>
      <c r="I2261" s="7" t="n"/>
      <c r="J2261" s="7" t="n"/>
      <c r="K2261" s="7" t="n"/>
      <c r="L2261" s="7" t="n"/>
      <c r="M2261" s="7" t="n"/>
      <c r="N2261" s="7" t="n"/>
      <c r="O2261" s="7" t="n"/>
      <c r="P2261" s="65" t="n"/>
      <c r="Q2261" s="75" t="n"/>
      <c r="R2261" s="75" t="n"/>
      <c r="S2261" s="76" t="n"/>
      <c r="T2261" s="76" t="n"/>
      <c r="U2261" s="70">
        <f>IF($A2261="","",IFERROR(INDEX('Techniciens'!$F$5:$F$44,MATCH(O2261,'Techniciens'!$B$5:$B$44,0)),'Paramètres'!$AA$10))</f>
        <v/>
      </c>
      <c r="V2261" s="70">
        <f>IF($A2261="","",IF(OR(AC2261="Demandé",AC2261="Planifié",AC2261="Annulé"),0,N(T2261)*N(U2261)))</f>
        <v/>
      </c>
      <c r="W2261" s="70">
        <f>IF($A2261="","",SUMIFS('Mouvements stock'!$H$5:$H$3004,'Mouvements stock'!$I$5:$I$3004,$A2261,'Mouvements stock'!$C$5:$C$3004,"Sortie")-SUMIFS('Mouvements stock'!$H$5:$H$3004,'Mouvements stock'!$I$5:$I$3004,$A2261,'Mouvements stock'!$C$5:$C$3004,"Retour"))</f>
        <v/>
      </c>
      <c r="X2261" s="66" t="n"/>
      <c r="Y2261" s="66" t="n"/>
      <c r="Z2261" s="7" t="n"/>
      <c r="AA2261" s="70">
        <f>IF($A2261="","",N(V2261)+N(W2261)+N(X2261)+N(Y2261))</f>
        <v/>
      </c>
      <c r="AB2261" s="70">
        <f>IF($A2261="","",N(S2261)*'Paramètres'!$AA$9*IFERROR(INDEX('Paramètres'!$O$5:$O$7,MATCH(G2261,'Paramètres'!$N$5:$N$7,0)),0))</f>
        <v/>
      </c>
      <c r="AC2261" s="7" t="n"/>
      <c r="AD2261" s="69">
        <f>IF(OR($A2261="",Q2261=""),"",(Q2261-B2261)*24)</f>
        <v/>
      </c>
      <c r="AE2261" s="69">
        <f>IF(OR(Q2261="",R2261=""),"",(R2261-Q2261)*24)</f>
        <v/>
      </c>
      <c r="AF2261" s="77">
        <f>IF(OR($A2261="",B2261=""),"",YEAR(B2261))</f>
        <v/>
      </c>
      <c r="AG2261" s="77">
        <f>IF(OR($A2261="",B2261=""),"",MONTH(B2261))</f>
        <v/>
      </c>
    </row>
    <row r="2262">
      <c r="A2262" s="7" t="n"/>
      <c r="B2262" s="75" t="n"/>
      <c r="C2262" s="7" t="n"/>
      <c r="D2262" s="7" t="n"/>
      <c r="E2262" s="9">
        <f>IF(D2262="","",IFERROR(INDEX('Équipements'!$B$5:$B$304,MATCH(D2262,'Équipements'!$A$5:$A$304,0)),"Code inconnu"))</f>
        <v/>
      </c>
      <c r="F2262" s="9">
        <f>IF(D2262="","",IFERROR(INDEX('Équipements'!$D$5:$D$304,MATCH(D2262,'Équipements'!$A$5:$A$304,0)),""))</f>
        <v/>
      </c>
      <c r="G2262" s="9">
        <f>IF(D2262="","",IFERROR(INDEX('Équipements'!$K$5:$K$304,MATCH(D2262,'Équipements'!$A$5:$A$304,0)),""))</f>
        <v/>
      </c>
      <c r="H2262" s="7" t="n"/>
      <c r="I2262" s="7" t="n"/>
      <c r="J2262" s="7" t="n"/>
      <c r="K2262" s="7" t="n"/>
      <c r="L2262" s="7" t="n"/>
      <c r="M2262" s="7" t="n"/>
      <c r="N2262" s="7" t="n"/>
      <c r="O2262" s="7" t="n"/>
      <c r="P2262" s="65" t="n"/>
      <c r="Q2262" s="75" t="n"/>
      <c r="R2262" s="75" t="n"/>
      <c r="S2262" s="76" t="n"/>
      <c r="T2262" s="76" t="n"/>
      <c r="U2262" s="70">
        <f>IF($A2262="","",IFERROR(INDEX('Techniciens'!$F$5:$F$44,MATCH(O2262,'Techniciens'!$B$5:$B$44,0)),'Paramètres'!$AA$10))</f>
        <v/>
      </c>
      <c r="V2262" s="70">
        <f>IF($A2262="","",IF(OR(AC2262="Demandé",AC2262="Planifié",AC2262="Annulé"),0,N(T2262)*N(U2262)))</f>
        <v/>
      </c>
      <c r="W2262" s="70">
        <f>IF($A2262="","",SUMIFS('Mouvements stock'!$H$5:$H$3004,'Mouvements stock'!$I$5:$I$3004,$A2262,'Mouvements stock'!$C$5:$C$3004,"Sortie")-SUMIFS('Mouvements stock'!$H$5:$H$3004,'Mouvements stock'!$I$5:$I$3004,$A2262,'Mouvements stock'!$C$5:$C$3004,"Retour"))</f>
        <v/>
      </c>
      <c r="X2262" s="66" t="n"/>
      <c r="Y2262" s="66" t="n"/>
      <c r="Z2262" s="7" t="n"/>
      <c r="AA2262" s="70">
        <f>IF($A2262="","",N(V2262)+N(W2262)+N(X2262)+N(Y2262))</f>
        <v/>
      </c>
      <c r="AB2262" s="70">
        <f>IF($A2262="","",N(S2262)*'Paramètres'!$AA$9*IFERROR(INDEX('Paramètres'!$O$5:$O$7,MATCH(G2262,'Paramètres'!$N$5:$N$7,0)),0))</f>
        <v/>
      </c>
      <c r="AC2262" s="7" t="n"/>
      <c r="AD2262" s="69">
        <f>IF(OR($A2262="",Q2262=""),"",(Q2262-B2262)*24)</f>
        <v/>
      </c>
      <c r="AE2262" s="69">
        <f>IF(OR(Q2262="",R2262=""),"",(R2262-Q2262)*24)</f>
        <v/>
      </c>
      <c r="AF2262" s="77">
        <f>IF(OR($A2262="",B2262=""),"",YEAR(B2262))</f>
        <v/>
      </c>
      <c r="AG2262" s="77">
        <f>IF(OR($A2262="",B2262=""),"",MONTH(B2262))</f>
        <v/>
      </c>
    </row>
    <row r="2263">
      <c r="A2263" s="7" t="n"/>
      <c r="B2263" s="75" t="n"/>
      <c r="C2263" s="7" t="n"/>
      <c r="D2263" s="7" t="n"/>
      <c r="E2263" s="9">
        <f>IF(D2263="","",IFERROR(INDEX('Équipements'!$B$5:$B$304,MATCH(D2263,'Équipements'!$A$5:$A$304,0)),"Code inconnu"))</f>
        <v/>
      </c>
      <c r="F2263" s="9">
        <f>IF(D2263="","",IFERROR(INDEX('Équipements'!$D$5:$D$304,MATCH(D2263,'Équipements'!$A$5:$A$304,0)),""))</f>
        <v/>
      </c>
      <c r="G2263" s="9">
        <f>IF(D2263="","",IFERROR(INDEX('Équipements'!$K$5:$K$304,MATCH(D2263,'Équipements'!$A$5:$A$304,0)),""))</f>
        <v/>
      </c>
      <c r="H2263" s="7" t="n"/>
      <c r="I2263" s="7" t="n"/>
      <c r="J2263" s="7" t="n"/>
      <c r="K2263" s="7" t="n"/>
      <c r="L2263" s="7" t="n"/>
      <c r="M2263" s="7" t="n"/>
      <c r="N2263" s="7" t="n"/>
      <c r="O2263" s="7" t="n"/>
      <c r="P2263" s="65" t="n"/>
      <c r="Q2263" s="75" t="n"/>
      <c r="R2263" s="75" t="n"/>
      <c r="S2263" s="76" t="n"/>
      <c r="T2263" s="76" t="n"/>
      <c r="U2263" s="70">
        <f>IF($A2263="","",IFERROR(INDEX('Techniciens'!$F$5:$F$44,MATCH(O2263,'Techniciens'!$B$5:$B$44,0)),'Paramètres'!$AA$10))</f>
        <v/>
      </c>
      <c r="V2263" s="70">
        <f>IF($A2263="","",IF(OR(AC2263="Demandé",AC2263="Planifié",AC2263="Annulé"),0,N(T2263)*N(U2263)))</f>
        <v/>
      </c>
      <c r="W2263" s="70">
        <f>IF($A2263="","",SUMIFS('Mouvements stock'!$H$5:$H$3004,'Mouvements stock'!$I$5:$I$3004,$A2263,'Mouvements stock'!$C$5:$C$3004,"Sortie")-SUMIFS('Mouvements stock'!$H$5:$H$3004,'Mouvements stock'!$I$5:$I$3004,$A2263,'Mouvements stock'!$C$5:$C$3004,"Retour"))</f>
        <v/>
      </c>
      <c r="X2263" s="66" t="n"/>
      <c r="Y2263" s="66" t="n"/>
      <c r="Z2263" s="7" t="n"/>
      <c r="AA2263" s="70">
        <f>IF($A2263="","",N(V2263)+N(W2263)+N(X2263)+N(Y2263))</f>
        <v/>
      </c>
      <c r="AB2263" s="70">
        <f>IF($A2263="","",N(S2263)*'Paramètres'!$AA$9*IFERROR(INDEX('Paramètres'!$O$5:$O$7,MATCH(G2263,'Paramètres'!$N$5:$N$7,0)),0))</f>
        <v/>
      </c>
      <c r="AC2263" s="7" t="n"/>
      <c r="AD2263" s="69">
        <f>IF(OR($A2263="",Q2263=""),"",(Q2263-B2263)*24)</f>
        <v/>
      </c>
      <c r="AE2263" s="69">
        <f>IF(OR(Q2263="",R2263=""),"",(R2263-Q2263)*24)</f>
        <v/>
      </c>
      <c r="AF2263" s="77">
        <f>IF(OR($A2263="",B2263=""),"",YEAR(B2263))</f>
        <v/>
      </c>
      <c r="AG2263" s="77">
        <f>IF(OR($A2263="",B2263=""),"",MONTH(B2263))</f>
        <v/>
      </c>
    </row>
    <row r="2264">
      <c r="A2264" s="7" t="n"/>
      <c r="B2264" s="75" t="n"/>
      <c r="C2264" s="7" t="n"/>
      <c r="D2264" s="7" t="n"/>
      <c r="E2264" s="9">
        <f>IF(D2264="","",IFERROR(INDEX('Équipements'!$B$5:$B$304,MATCH(D2264,'Équipements'!$A$5:$A$304,0)),"Code inconnu"))</f>
        <v/>
      </c>
      <c r="F2264" s="9">
        <f>IF(D2264="","",IFERROR(INDEX('Équipements'!$D$5:$D$304,MATCH(D2264,'Équipements'!$A$5:$A$304,0)),""))</f>
        <v/>
      </c>
      <c r="G2264" s="9">
        <f>IF(D2264="","",IFERROR(INDEX('Équipements'!$K$5:$K$304,MATCH(D2264,'Équipements'!$A$5:$A$304,0)),""))</f>
        <v/>
      </c>
      <c r="H2264" s="7" t="n"/>
      <c r="I2264" s="7" t="n"/>
      <c r="J2264" s="7" t="n"/>
      <c r="K2264" s="7" t="n"/>
      <c r="L2264" s="7" t="n"/>
      <c r="M2264" s="7" t="n"/>
      <c r="N2264" s="7" t="n"/>
      <c r="O2264" s="7" t="n"/>
      <c r="P2264" s="65" t="n"/>
      <c r="Q2264" s="75" t="n"/>
      <c r="R2264" s="75" t="n"/>
      <c r="S2264" s="76" t="n"/>
      <c r="T2264" s="76" t="n"/>
      <c r="U2264" s="70">
        <f>IF($A2264="","",IFERROR(INDEX('Techniciens'!$F$5:$F$44,MATCH(O2264,'Techniciens'!$B$5:$B$44,0)),'Paramètres'!$AA$10))</f>
        <v/>
      </c>
      <c r="V2264" s="70">
        <f>IF($A2264="","",IF(OR(AC2264="Demandé",AC2264="Planifié",AC2264="Annulé"),0,N(T2264)*N(U2264)))</f>
        <v/>
      </c>
      <c r="W2264" s="70">
        <f>IF($A2264="","",SUMIFS('Mouvements stock'!$H$5:$H$3004,'Mouvements stock'!$I$5:$I$3004,$A2264,'Mouvements stock'!$C$5:$C$3004,"Sortie")-SUMIFS('Mouvements stock'!$H$5:$H$3004,'Mouvements stock'!$I$5:$I$3004,$A2264,'Mouvements stock'!$C$5:$C$3004,"Retour"))</f>
        <v/>
      </c>
      <c r="X2264" s="66" t="n"/>
      <c r="Y2264" s="66" t="n"/>
      <c r="Z2264" s="7" t="n"/>
      <c r="AA2264" s="70">
        <f>IF($A2264="","",N(V2264)+N(W2264)+N(X2264)+N(Y2264))</f>
        <v/>
      </c>
      <c r="AB2264" s="70">
        <f>IF($A2264="","",N(S2264)*'Paramètres'!$AA$9*IFERROR(INDEX('Paramètres'!$O$5:$O$7,MATCH(G2264,'Paramètres'!$N$5:$N$7,0)),0))</f>
        <v/>
      </c>
      <c r="AC2264" s="7" t="n"/>
      <c r="AD2264" s="69">
        <f>IF(OR($A2264="",Q2264=""),"",(Q2264-B2264)*24)</f>
        <v/>
      </c>
      <c r="AE2264" s="69">
        <f>IF(OR(Q2264="",R2264=""),"",(R2264-Q2264)*24)</f>
        <v/>
      </c>
      <c r="AF2264" s="77">
        <f>IF(OR($A2264="",B2264=""),"",YEAR(B2264))</f>
        <v/>
      </c>
      <c r="AG2264" s="77">
        <f>IF(OR($A2264="",B2264=""),"",MONTH(B2264))</f>
        <v/>
      </c>
    </row>
    <row r="2265">
      <c r="A2265" s="7" t="n"/>
      <c r="B2265" s="75" t="n"/>
      <c r="C2265" s="7" t="n"/>
      <c r="D2265" s="7" t="n"/>
      <c r="E2265" s="9">
        <f>IF(D2265="","",IFERROR(INDEX('Équipements'!$B$5:$B$304,MATCH(D2265,'Équipements'!$A$5:$A$304,0)),"Code inconnu"))</f>
        <v/>
      </c>
      <c r="F2265" s="9">
        <f>IF(D2265="","",IFERROR(INDEX('Équipements'!$D$5:$D$304,MATCH(D2265,'Équipements'!$A$5:$A$304,0)),""))</f>
        <v/>
      </c>
      <c r="G2265" s="9">
        <f>IF(D2265="","",IFERROR(INDEX('Équipements'!$K$5:$K$304,MATCH(D2265,'Équipements'!$A$5:$A$304,0)),""))</f>
        <v/>
      </c>
      <c r="H2265" s="7" t="n"/>
      <c r="I2265" s="7" t="n"/>
      <c r="J2265" s="7" t="n"/>
      <c r="K2265" s="7" t="n"/>
      <c r="L2265" s="7" t="n"/>
      <c r="M2265" s="7" t="n"/>
      <c r="N2265" s="7" t="n"/>
      <c r="O2265" s="7" t="n"/>
      <c r="P2265" s="65" t="n"/>
      <c r="Q2265" s="75" t="n"/>
      <c r="R2265" s="75" t="n"/>
      <c r="S2265" s="76" t="n"/>
      <c r="T2265" s="76" t="n"/>
      <c r="U2265" s="70">
        <f>IF($A2265="","",IFERROR(INDEX('Techniciens'!$F$5:$F$44,MATCH(O2265,'Techniciens'!$B$5:$B$44,0)),'Paramètres'!$AA$10))</f>
        <v/>
      </c>
      <c r="V2265" s="70">
        <f>IF($A2265="","",IF(OR(AC2265="Demandé",AC2265="Planifié",AC2265="Annulé"),0,N(T2265)*N(U2265)))</f>
        <v/>
      </c>
      <c r="W2265" s="70">
        <f>IF($A2265="","",SUMIFS('Mouvements stock'!$H$5:$H$3004,'Mouvements stock'!$I$5:$I$3004,$A2265,'Mouvements stock'!$C$5:$C$3004,"Sortie")-SUMIFS('Mouvements stock'!$H$5:$H$3004,'Mouvements stock'!$I$5:$I$3004,$A2265,'Mouvements stock'!$C$5:$C$3004,"Retour"))</f>
        <v/>
      </c>
      <c r="X2265" s="66" t="n"/>
      <c r="Y2265" s="66" t="n"/>
      <c r="Z2265" s="7" t="n"/>
      <c r="AA2265" s="70">
        <f>IF($A2265="","",N(V2265)+N(W2265)+N(X2265)+N(Y2265))</f>
        <v/>
      </c>
      <c r="AB2265" s="70">
        <f>IF($A2265="","",N(S2265)*'Paramètres'!$AA$9*IFERROR(INDEX('Paramètres'!$O$5:$O$7,MATCH(G2265,'Paramètres'!$N$5:$N$7,0)),0))</f>
        <v/>
      </c>
      <c r="AC2265" s="7" t="n"/>
      <c r="AD2265" s="69">
        <f>IF(OR($A2265="",Q2265=""),"",(Q2265-B2265)*24)</f>
        <v/>
      </c>
      <c r="AE2265" s="69">
        <f>IF(OR(Q2265="",R2265=""),"",(R2265-Q2265)*24)</f>
        <v/>
      </c>
      <c r="AF2265" s="77">
        <f>IF(OR($A2265="",B2265=""),"",YEAR(B2265))</f>
        <v/>
      </c>
      <c r="AG2265" s="77">
        <f>IF(OR($A2265="",B2265=""),"",MONTH(B2265))</f>
        <v/>
      </c>
    </row>
    <row r="2266">
      <c r="A2266" s="7" t="n"/>
      <c r="B2266" s="75" t="n"/>
      <c r="C2266" s="7" t="n"/>
      <c r="D2266" s="7" t="n"/>
      <c r="E2266" s="9">
        <f>IF(D2266="","",IFERROR(INDEX('Équipements'!$B$5:$B$304,MATCH(D2266,'Équipements'!$A$5:$A$304,0)),"Code inconnu"))</f>
        <v/>
      </c>
      <c r="F2266" s="9">
        <f>IF(D2266="","",IFERROR(INDEX('Équipements'!$D$5:$D$304,MATCH(D2266,'Équipements'!$A$5:$A$304,0)),""))</f>
        <v/>
      </c>
      <c r="G2266" s="9">
        <f>IF(D2266="","",IFERROR(INDEX('Équipements'!$K$5:$K$304,MATCH(D2266,'Équipements'!$A$5:$A$304,0)),""))</f>
        <v/>
      </c>
      <c r="H2266" s="7" t="n"/>
      <c r="I2266" s="7" t="n"/>
      <c r="J2266" s="7" t="n"/>
      <c r="K2266" s="7" t="n"/>
      <c r="L2266" s="7" t="n"/>
      <c r="M2266" s="7" t="n"/>
      <c r="N2266" s="7" t="n"/>
      <c r="O2266" s="7" t="n"/>
      <c r="P2266" s="65" t="n"/>
      <c r="Q2266" s="75" t="n"/>
      <c r="R2266" s="75" t="n"/>
      <c r="S2266" s="76" t="n"/>
      <c r="T2266" s="76" t="n"/>
      <c r="U2266" s="70">
        <f>IF($A2266="","",IFERROR(INDEX('Techniciens'!$F$5:$F$44,MATCH(O2266,'Techniciens'!$B$5:$B$44,0)),'Paramètres'!$AA$10))</f>
        <v/>
      </c>
      <c r="V2266" s="70">
        <f>IF($A2266="","",IF(OR(AC2266="Demandé",AC2266="Planifié",AC2266="Annulé"),0,N(T2266)*N(U2266)))</f>
        <v/>
      </c>
      <c r="W2266" s="70">
        <f>IF($A2266="","",SUMIFS('Mouvements stock'!$H$5:$H$3004,'Mouvements stock'!$I$5:$I$3004,$A2266,'Mouvements stock'!$C$5:$C$3004,"Sortie")-SUMIFS('Mouvements stock'!$H$5:$H$3004,'Mouvements stock'!$I$5:$I$3004,$A2266,'Mouvements stock'!$C$5:$C$3004,"Retour"))</f>
        <v/>
      </c>
      <c r="X2266" s="66" t="n"/>
      <c r="Y2266" s="66" t="n"/>
      <c r="Z2266" s="7" t="n"/>
      <c r="AA2266" s="70">
        <f>IF($A2266="","",N(V2266)+N(W2266)+N(X2266)+N(Y2266))</f>
        <v/>
      </c>
      <c r="AB2266" s="70">
        <f>IF($A2266="","",N(S2266)*'Paramètres'!$AA$9*IFERROR(INDEX('Paramètres'!$O$5:$O$7,MATCH(G2266,'Paramètres'!$N$5:$N$7,0)),0))</f>
        <v/>
      </c>
      <c r="AC2266" s="7" t="n"/>
      <c r="AD2266" s="69">
        <f>IF(OR($A2266="",Q2266=""),"",(Q2266-B2266)*24)</f>
        <v/>
      </c>
      <c r="AE2266" s="69">
        <f>IF(OR(Q2266="",R2266=""),"",(R2266-Q2266)*24)</f>
        <v/>
      </c>
      <c r="AF2266" s="77">
        <f>IF(OR($A2266="",B2266=""),"",YEAR(B2266))</f>
        <v/>
      </c>
      <c r="AG2266" s="77">
        <f>IF(OR($A2266="",B2266=""),"",MONTH(B2266))</f>
        <v/>
      </c>
    </row>
    <row r="2267">
      <c r="A2267" s="7" t="n"/>
      <c r="B2267" s="75" t="n"/>
      <c r="C2267" s="7" t="n"/>
      <c r="D2267" s="7" t="n"/>
      <c r="E2267" s="9">
        <f>IF(D2267="","",IFERROR(INDEX('Équipements'!$B$5:$B$304,MATCH(D2267,'Équipements'!$A$5:$A$304,0)),"Code inconnu"))</f>
        <v/>
      </c>
      <c r="F2267" s="9">
        <f>IF(D2267="","",IFERROR(INDEX('Équipements'!$D$5:$D$304,MATCH(D2267,'Équipements'!$A$5:$A$304,0)),""))</f>
        <v/>
      </c>
      <c r="G2267" s="9">
        <f>IF(D2267="","",IFERROR(INDEX('Équipements'!$K$5:$K$304,MATCH(D2267,'Équipements'!$A$5:$A$304,0)),""))</f>
        <v/>
      </c>
      <c r="H2267" s="7" t="n"/>
      <c r="I2267" s="7" t="n"/>
      <c r="J2267" s="7" t="n"/>
      <c r="K2267" s="7" t="n"/>
      <c r="L2267" s="7" t="n"/>
      <c r="M2267" s="7" t="n"/>
      <c r="N2267" s="7" t="n"/>
      <c r="O2267" s="7" t="n"/>
      <c r="P2267" s="65" t="n"/>
      <c r="Q2267" s="75" t="n"/>
      <c r="R2267" s="75" t="n"/>
      <c r="S2267" s="76" t="n"/>
      <c r="T2267" s="76" t="n"/>
      <c r="U2267" s="70">
        <f>IF($A2267="","",IFERROR(INDEX('Techniciens'!$F$5:$F$44,MATCH(O2267,'Techniciens'!$B$5:$B$44,0)),'Paramètres'!$AA$10))</f>
        <v/>
      </c>
      <c r="V2267" s="70">
        <f>IF($A2267="","",IF(OR(AC2267="Demandé",AC2267="Planifié",AC2267="Annulé"),0,N(T2267)*N(U2267)))</f>
        <v/>
      </c>
      <c r="W2267" s="70">
        <f>IF($A2267="","",SUMIFS('Mouvements stock'!$H$5:$H$3004,'Mouvements stock'!$I$5:$I$3004,$A2267,'Mouvements stock'!$C$5:$C$3004,"Sortie")-SUMIFS('Mouvements stock'!$H$5:$H$3004,'Mouvements stock'!$I$5:$I$3004,$A2267,'Mouvements stock'!$C$5:$C$3004,"Retour"))</f>
        <v/>
      </c>
      <c r="X2267" s="66" t="n"/>
      <c r="Y2267" s="66" t="n"/>
      <c r="Z2267" s="7" t="n"/>
      <c r="AA2267" s="70">
        <f>IF($A2267="","",N(V2267)+N(W2267)+N(X2267)+N(Y2267))</f>
        <v/>
      </c>
      <c r="AB2267" s="70">
        <f>IF($A2267="","",N(S2267)*'Paramètres'!$AA$9*IFERROR(INDEX('Paramètres'!$O$5:$O$7,MATCH(G2267,'Paramètres'!$N$5:$N$7,0)),0))</f>
        <v/>
      </c>
      <c r="AC2267" s="7" t="n"/>
      <c r="AD2267" s="69">
        <f>IF(OR($A2267="",Q2267=""),"",(Q2267-B2267)*24)</f>
        <v/>
      </c>
      <c r="AE2267" s="69">
        <f>IF(OR(Q2267="",R2267=""),"",(R2267-Q2267)*24)</f>
        <v/>
      </c>
      <c r="AF2267" s="77">
        <f>IF(OR($A2267="",B2267=""),"",YEAR(B2267))</f>
        <v/>
      </c>
      <c r="AG2267" s="77">
        <f>IF(OR($A2267="",B2267=""),"",MONTH(B2267))</f>
        <v/>
      </c>
    </row>
    <row r="2268">
      <c r="A2268" s="7" t="n"/>
      <c r="B2268" s="75" t="n"/>
      <c r="C2268" s="7" t="n"/>
      <c r="D2268" s="7" t="n"/>
      <c r="E2268" s="9">
        <f>IF(D2268="","",IFERROR(INDEX('Équipements'!$B$5:$B$304,MATCH(D2268,'Équipements'!$A$5:$A$304,0)),"Code inconnu"))</f>
        <v/>
      </c>
      <c r="F2268" s="9">
        <f>IF(D2268="","",IFERROR(INDEX('Équipements'!$D$5:$D$304,MATCH(D2268,'Équipements'!$A$5:$A$304,0)),""))</f>
        <v/>
      </c>
      <c r="G2268" s="9">
        <f>IF(D2268="","",IFERROR(INDEX('Équipements'!$K$5:$K$304,MATCH(D2268,'Équipements'!$A$5:$A$304,0)),""))</f>
        <v/>
      </c>
      <c r="H2268" s="7" t="n"/>
      <c r="I2268" s="7" t="n"/>
      <c r="J2268" s="7" t="n"/>
      <c r="K2268" s="7" t="n"/>
      <c r="L2268" s="7" t="n"/>
      <c r="M2268" s="7" t="n"/>
      <c r="N2268" s="7" t="n"/>
      <c r="O2268" s="7" t="n"/>
      <c r="P2268" s="65" t="n"/>
      <c r="Q2268" s="75" t="n"/>
      <c r="R2268" s="75" t="n"/>
      <c r="S2268" s="76" t="n"/>
      <c r="T2268" s="76" t="n"/>
      <c r="U2268" s="70">
        <f>IF($A2268="","",IFERROR(INDEX('Techniciens'!$F$5:$F$44,MATCH(O2268,'Techniciens'!$B$5:$B$44,0)),'Paramètres'!$AA$10))</f>
        <v/>
      </c>
      <c r="V2268" s="70">
        <f>IF($A2268="","",IF(OR(AC2268="Demandé",AC2268="Planifié",AC2268="Annulé"),0,N(T2268)*N(U2268)))</f>
        <v/>
      </c>
      <c r="W2268" s="70">
        <f>IF($A2268="","",SUMIFS('Mouvements stock'!$H$5:$H$3004,'Mouvements stock'!$I$5:$I$3004,$A2268,'Mouvements stock'!$C$5:$C$3004,"Sortie")-SUMIFS('Mouvements stock'!$H$5:$H$3004,'Mouvements stock'!$I$5:$I$3004,$A2268,'Mouvements stock'!$C$5:$C$3004,"Retour"))</f>
        <v/>
      </c>
      <c r="X2268" s="66" t="n"/>
      <c r="Y2268" s="66" t="n"/>
      <c r="Z2268" s="7" t="n"/>
      <c r="AA2268" s="70">
        <f>IF($A2268="","",N(V2268)+N(W2268)+N(X2268)+N(Y2268))</f>
        <v/>
      </c>
      <c r="AB2268" s="70">
        <f>IF($A2268="","",N(S2268)*'Paramètres'!$AA$9*IFERROR(INDEX('Paramètres'!$O$5:$O$7,MATCH(G2268,'Paramètres'!$N$5:$N$7,0)),0))</f>
        <v/>
      </c>
      <c r="AC2268" s="7" t="n"/>
      <c r="AD2268" s="69">
        <f>IF(OR($A2268="",Q2268=""),"",(Q2268-B2268)*24)</f>
        <v/>
      </c>
      <c r="AE2268" s="69">
        <f>IF(OR(Q2268="",R2268=""),"",(R2268-Q2268)*24)</f>
        <v/>
      </c>
      <c r="AF2268" s="77">
        <f>IF(OR($A2268="",B2268=""),"",YEAR(B2268))</f>
        <v/>
      </c>
      <c r="AG2268" s="77">
        <f>IF(OR($A2268="",B2268=""),"",MONTH(B2268))</f>
        <v/>
      </c>
    </row>
    <row r="2269">
      <c r="A2269" s="7" t="n"/>
      <c r="B2269" s="75" t="n"/>
      <c r="C2269" s="7" t="n"/>
      <c r="D2269" s="7" t="n"/>
      <c r="E2269" s="9">
        <f>IF(D2269="","",IFERROR(INDEX('Équipements'!$B$5:$B$304,MATCH(D2269,'Équipements'!$A$5:$A$304,0)),"Code inconnu"))</f>
        <v/>
      </c>
      <c r="F2269" s="9">
        <f>IF(D2269="","",IFERROR(INDEX('Équipements'!$D$5:$D$304,MATCH(D2269,'Équipements'!$A$5:$A$304,0)),""))</f>
        <v/>
      </c>
      <c r="G2269" s="9">
        <f>IF(D2269="","",IFERROR(INDEX('Équipements'!$K$5:$K$304,MATCH(D2269,'Équipements'!$A$5:$A$304,0)),""))</f>
        <v/>
      </c>
      <c r="H2269" s="7" t="n"/>
      <c r="I2269" s="7" t="n"/>
      <c r="J2269" s="7" t="n"/>
      <c r="K2269" s="7" t="n"/>
      <c r="L2269" s="7" t="n"/>
      <c r="M2269" s="7" t="n"/>
      <c r="N2269" s="7" t="n"/>
      <c r="O2269" s="7" t="n"/>
      <c r="P2269" s="65" t="n"/>
      <c r="Q2269" s="75" t="n"/>
      <c r="R2269" s="75" t="n"/>
      <c r="S2269" s="76" t="n"/>
      <c r="T2269" s="76" t="n"/>
      <c r="U2269" s="70">
        <f>IF($A2269="","",IFERROR(INDEX('Techniciens'!$F$5:$F$44,MATCH(O2269,'Techniciens'!$B$5:$B$44,0)),'Paramètres'!$AA$10))</f>
        <v/>
      </c>
      <c r="V2269" s="70">
        <f>IF($A2269="","",IF(OR(AC2269="Demandé",AC2269="Planifié",AC2269="Annulé"),0,N(T2269)*N(U2269)))</f>
        <v/>
      </c>
      <c r="W2269" s="70">
        <f>IF($A2269="","",SUMIFS('Mouvements stock'!$H$5:$H$3004,'Mouvements stock'!$I$5:$I$3004,$A2269,'Mouvements stock'!$C$5:$C$3004,"Sortie")-SUMIFS('Mouvements stock'!$H$5:$H$3004,'Mouvements stock'!$I$5:$I$3004,$A2269,'Mouvements stock'!$C$5:$C$3004,"Retour"))</f>
        <v/>
      </c>
      <c r="X2269" s="66" t="n"/>
      <c r="Y2269" s="66" t="n"/>
      <c r="Z2269" s="7" t="n"/>
      <c r="AA2269" s="70">
        <f>IF($A2269="","",N(V2269)+N(W2269)+N(X2269)+N(Y2269))</f>
        <v/>
      </c>
      <c r="AB2269" s="70">
        <f>IF($A2269="","",N(S2269)*'Paramètres'!$AA$9*IFERROR(INDEX('Paramètres'!$O$5:$O$7,MATCH(G2269,'Paramètres'!$N$5:$N$7,0)),0))</f>
        <v/>
      </c>
      <c r="AC2269" s="7" t="n"/>
      <c r="AD2269" s="69">
        <f>IF(OR($A2269="",Q2269=""),"",(Q2269-B2269)*24)</f>
        <v/>
      </c>
      <c r="AE2269" s="69">
        <f>IF(OR(Q2269="",R2269=""),"",(R2269-Q2269)*24)</f>
        <v/>
      </c>
      <c r="AF2269" s="77">
        <f>IF(OR($A2269="",B2269=""),"",YEAR(B2269))</f>
        <v/>
      </c>
      <c r="AG2269" s="77">
        <f>IF(OR($A2269="",B2269=""),"",MONTH(B2269))</f>
        <v/>
      </c>
    </row>
    <row r="2270">
      <c r="A2270" s="7" t="n"/>
      <c r="B2270" s="75" t="n"/>
      <c r="C2270" s="7" t="n"/>
      <c r="D2270" s="7" t="n"/>
      <c r="E2270" s="9">
        <f>IF(D2270="","",IFERROR(INDEX('Équipements'!$B$5:$B$304,MATCH(D2270,'Équipements'!$A$5:$A$304,0)),"Code inconnu"))</f>
        <v/>
      </c>
      <c r="F2270" s="9">
        <f>IF(D2270="","",IFERROR(INDEX('Équipements'!$D$5:$D$304,MATCH(D2270,'Équipements'!$A$5:$A$304,0)),""))</f>
        <v/>
      </c>
      <c r="G2270" s="9">
        <f>IF(D2270="","",IFERROR(INDEX('Équipements'!$K$5:$K$304,MATCH(D2270,'Équipements'!$A$5:$A$304,0)),""))</f>
        <v/>
      </c>
      <c r="H2270" s="7" t="n"/>
      <c r="I2270" s="7" t="n"/>
      <c r="J2270" s="7" t="n"/>
      <c r="K2270" s="7" t="n"/>
      <c r="L2270" s="7" t="n"/>
      <c r="M2270" s="7" t="n"/>
      <c r="N2270" s="7" t="n"/>
      <c r="O2270" s="7" t="n"/>
      <c r="P2270" s="65" t="n"/>
      <c r="Q2270" s="75" t="n"/>
      <c r="R2270" s="75" t="n"/>
      <c r="S2270" s="76" t="n"/>
      <c r="T2270" s="76" t="n"/>
      <c r="U2270" s="70">
        <f>IF($A2270="","",IFERROR(INDEX('Techniciens'!$F$5:$F$44,MATCH(O2270,'Techniciens'!$B$5:$B$44,0)),'Paramètres'!$AA$10))</f>
        <v/>
      </c>
      <c r="V2270" s="70">
        <f>IF($A2270="","",IF(OR(AC2270="Demandé",AC2270="Planifié",AC2270="Annulé"),0,N(T2270)*N(U2270)))</f>
        <v/>
      </c>
      <c r="W2270" s="70">
        <f>IF($A2270="","",SUMIFS('Mouvements stock'!$H$5:$H$3004,'Mouvements stock'!$I$5:$I$3004,$A2270,'Mouvements stock'!$C$5:$C$3004,"Sortie")-SUMIFS('Mouvements stock'!$H$5:$H$3004,'Mouvements stock'!$I$5:$I$3004,$A2270,'Mouvements stock'!$C$5:$C$3004,"Retour"))</f>
        <v/>
      </c>
      <c r="X2270" s="66" t="n"/>
      <c r="Y2270" s="66" t="n"/>
      <c r="Z2270" s="7" t="n"/>
      <c r="AA2270" s="70">
        <f>IF($A2270="","",N(V2270)+N(W2270)+N(X2270)+N(Y2270))</f>
        <v/>
      </c>
      <c r="AB2270" s="70">
        <f>IF($A2270="","",N(S2270)*'Paramètres'!$AA$9*IFERROR(INDEX('Paramètres'!$O$5:$O$7,MATCH(G2270,'Paramètres'!$N$5:$N$7,0)),0))</f>
        <v/>
      </c>
      <c r="AC2270" s="7" t="n"/>
      <c r="AD2270" s="69">
        <f>IF(OR($A2270="",Q2270=""),"",(Q2270-B2270)*24)</f>
        <v/>
      </c>
      <c r="AE2270" s="69">
        <f>IF(OR(Q2270="",R2270=""),"",(R2270-Q2270)*24)</f>
        <v/>
      </c>
      <c r="AF2270" s="77">
        <f>IF(OR($A2270="",B2270=""),"",YEAR(B2270))</f>
        <v/>
      </c>
      <c r="AG2270" s="77">
        <f>IF(OR($A2270="",B2270=""),"",MONTH(B2270))</f>
        <v/>
      </c>
    </row>
    <row r="2271">
      <c r="A2271" s="7" t="n"/>
      <c r="B2271" s="75" t="n"/>
      <c r="C2271" s="7" t="n"/>
      <c r="D2271" s="7" t="n"/>
      <c r="E2271" s="9">
        <f>IF(D2271="","",IFERROR(INDEX('Équipements'!$B$5:$B$304,MATCH(D2271,'Équipements'!$A$5:$A$304,0)),"Code inconnu"))</f>
        <v/>
      </c>
      <c r="F2271" s="9">
        <f>IF(D2271="","",IFERROR(INDEX('Équipements'!$D$5:$D$304,MATCH(D2271,'Équipements'!$A$5:$A$304,0)),""))</f>
        <v/>
      </c>
      <c r="G2271" s="9">
        <f>IF(D2271="","",IFERROR(INDEX('Équipements'!$K$5:$K$304,MATCH(D2271,'Équipements'!$A$5:$A$304,0)),""))</f>
        <v/>
      </c>
      <c r="H2271" s="7" t="n"/>
      <c r="I2271" s="7" t="n"/>
      <c r="J2271" s="7" t="n"/>
      <c r="K2271" s="7" t="n"/>
      <c r="L2271" s="7" t="n"/>
      <c r="M2271" s="7" t="n"/>
      <c r="N2271" s="7" t="n"/>
      <c r="O2271" s="7" t="n"/>
      <c r="P2271" s="65" t="n"/>
      <c r="Q2271" s="75" t="n"/>
      <c r="R2271" s="75" t="n"/>
      <c r="S2271" s="76" t="n"/>
      <c r="T2271" s="76" t="n"/>
      <c r="U2271" s="70">
        <f>IF($A2271="","",IFERROR(INDEX('Techniciens'!$F$5:$F$44,MATCH(O2271,'Techniciens'!$B$5:$B$44,0)),'Paramètres'!$AA$10))</f>
        <v/>
      </c>
      <c r="V2271" s="70">
        <f>IF($A2271="","",IF(OR(AC2271="Demandé",AC2271="Planifié",AC2271="Annulé"),0,N(T2271)*N(U2271)))</f>
        <v/>
      </c>
      <c r="W2271" s="70">
        <f>IF($A2271="","",SUMIFS('Mouvements stock'!$H$5:$H$3004,'Mouvements stock'!$I$5:$I$3004,$A2271,'Mouvements stock'!$C$5:$C$3004,"Sortie")-SUMIFS('Mouvements stock'!$H$5:$H$3004,'Mouvements stock'!$I$5:$I$3004,$A2271,'Mouvements stock'!$C$5:$C$3004,"Retour"))</f>
        <v/>
      </c>
      <c r="X2271" s="66" t="n"/>
      <c r="Y2271" s="66" t="n"/>
      <c r="Z2271" s="7" t="n"/>
      <c r="AA2271" s="70">
        <f>IF($A2271="","",N(V2271)+N(W2271)+N(X2271)+N(Y2271))</f>
        <v/>
      </c>
      <c r="AB2271" s="70">
        <f>IF($A2271="","",N(S2271)*'Paramètres'!$AA$9*IFERROR(INDEX('Paramètres'!$O$5:$O$7,MATCH(G2271,'Paramètres'!$N$5:$N$7,0)),0))</f>
        <v/>
      </c>
      <c r="AC2271" s="7" t="n"/>
      <c r="AD2271" s="69">
        <f>IF(OR($A2271="",Q2271=""),"",(Q2271-B2271)*24)</f>
        <v/>
      </c>
      <c r="AE2271" s="69">
        <f>IF(OR(Q2271="",R2271=""),"",(R2271-Q2271)*24)</f>
        <v/>
      </c>
      <c r="AF2271" s="77">
        <f>IF(OR($A2271="",B2271=""),"",YEAR(B2271))</f>
        <v/>
      </c>
      <c r="AG2271" s="77">
        <f>IF(OR($A2271="",B2271=""),"",MONTH(B2271))</f>
        <v/>
      </c>
    </row>
    <row r="2272">
      <c r="A2272" s="7" t="n"/>
      <c r="B2272" s="75" t="n"/>
      <c r="C2272" s="7" t="n"/>
      <c r="D2272" s="7" t="n"/>
      <c r="E2272" s="9">
        <f>IF(D2272="","",IFERROR(INDEX('Équipements'!$B$5:$B$304,MATCH(D2272,'Équipements'!$A$5:$A$304,0)),"Code inconnu"))</f>
        <v/>
      </c>
      <c r="F2272" s="9">
        <f>IF(D2272="","",IFERROR(INDEX('Équipements'!$D$5:$D$304,MATCH(D2272,'Équipements'!$A$5:$A$304,0)),""))</f>
        <v/>
      </c>
      <c r="G2272" s="9">
        <f>IF(D2272="","",IFERROR(INDEX('Équipements'!$K$5:$K$304,MATCH(D2272,'Équipements'!$A$5:$A$304,0)),""))</f>
        <v/>
      </c>
      <c r="H2272" s="7" t="n"/>
      <c r="I2272" s="7" t="n"/>
      <c r="J2272" s="7" t="n"/>
      <c r="K2272" s="7" t="n"/>
      <c r="L2272" s="7" t="n"/>
      <c r="M2272" s="7" t="n"/>
      <c r="N2272" s="7" t="n"/>
      <c r="O2272" s="7" t="n"/>
      <c r="P2272" s="65" t="n"/>
      <c r="Q2272" s="75" t="n"/>
      <c r="R2272" s="75" t="n"/>
      <c r="S2272" s="76" t="n"/>
      <c r="T2272" s="76" t="n"/>
      <c r="U2272" s="70">
        <f>IF($A2272="","",IFERROR(INDEX('Techniciens'!$F$5:$F$44,MATCH(O2272,'Techniciens'!$B$5:$B$44,0)),'Paramètres'!$AA$10))</f>
        <v/>
      </c>
      <c r="V2272" s="70">
        <f>IF($A2272="","",IF(OR(AC2272="Demandé",AC2272="Planifié",AC2272="Annulé"),0,N(T2272)*N(U2272)))</f>
        <v/>
      </c>
      <c r="W2272" s="70">
        <f>IF($A2272="","",SUMIFS('Mouvements stock'!$H$5:$H$3004,'Mouvements stock'!$I$5:$I$3004,$A2272,'Mouvements stock'!$C$5:$C$3004,"Sortie")-SUMIFS('Mouvements stock'!$H$5:$H$3004,'Mouvements stock'!$I$5:$I$3004,$A2272,'Mouvements stock'!$C$5:$C$3004,"Retour"))</f>
        <v/>
      </c>
      <c r="X2272" s="66" t="n"/>
      <c r="Y2272" s="66" t="n"/>
      <c r="Z2272" s="7" t="n"/>
      <c r="AA2272" s="70">
        <f>IF($A2272="","",N(V2272)+N(W2272)+N(X2272)+N(Y2272))</f>
        <v/>
      </c>
      <c r="AB2272" s="70">
        <f>IF($A2272="","",N(S2272)*'Paramètres'!$AA$9*IFERROR(INDEX('Paramètres'!$O$5:$O$7,MATCH(G2272,'Paramètres'!$N$5:$N$7,0)),0))</f>
        <v/>
      </c>
      <c r="AC2272" s="7" t="n"/>
      <c r="AD2272" s="69">
        <f>IF(OR($A2272="",Q2272=""),"",(Q2272-B2272)*24)</f>
        <v/>
      </c>
      <c r="AE2272" s="69">
        <f>IF(OR(Q2272="",R2272=""),"",(R2272-Q2272)*24)</f>
        <v/>
      </c>
      <c r="AF2272" s="77">
        <f>IF(OR($A2272="",B2272=""),"",YEAR(B2272))</f>
        <v/>
      </c>
      <c r="AG2272" s="77">
        <f>IF(OR($A2272="",B2272=""),"",MONTH(B2272))</f>
        <v/>
      </c>
    </row>
    <row r="2273">
      <c r="A2273" s="7" t="n"/>
      <c r="B2273" s="75" t="n"/>
      <c r="C2273" s="7" t="n"/>
      <c r="D2273" s="7" t="n"/>
      <c r="E2273" s="9">
        <f>IF(D2273="","",IFERROR(INDEX('Équipements'!$B$5:$B$304,MATCH(D2273,'Équipements'!$A$5:$A$304,0)),"Code inconnu"))</f>
        <v/>
      </c>
      <c r="F2273" s="9">
        <f>IF(D2273="","",IFERROR(INDEX('Équipements'!$D$5:$D$304,MATCH(D2273,'Équipements'!$A$5:$A$304,0)),""))</f>
        <v/>
      </c>
      <c r="G2273" s="9">
        <f>IF(D2273="","",IFERROR(INDEX('Équipements'!$K$5:$K$304,MATCH(D2273,'Équipements'!$A$5:$A$304,0)),""))</f>
        <v/>
      </c>
      <c r="H2273" s="7" t="n"/>
      <c r="I2273" s="7" t="n"/>
      <c r="J2273" s="7" t="n"/>
      <c r="K2273" s="7" t="n"/>
      <c r="L2273" s="7" t="n"/>
      <c r="M2273" s="7" t="n"/>
      <c r="N2273" s="7" t="n"/>
      <c r="O2273" s="7" t="n"/>
      <c r="P2273" s="65" t="n"/>
      <c r="Q2273" s="75" t="n"/>
      <c r="R2273" s="75" t="n"/>
      <c r="S2273" s="76" t="n"/>
      <c r="T2273" s="76" t="n"/>
      <c r="U2273" s="70">
        <f>IF($A2273="","",IFERROR(INDEX('Techniciens'!$F$5:$F$44,MATCH(O2273,'Techniciens'!$B$5:$B$44,0)),'Paramètres'!$AA$10))</f>
        <v/>
      </c>
      <c r="V2273" s="70">
        <f>IF($A2273="","",IF(OR(AC2273="Demandé",AC2273="Planifié",AC2273="Annulé"),0,N(T2273)*N(U2273)))</f>
        <v/>
      </c>
      <c r="W2273" s="70">
        <f>IF($A2273="","",SUMIFS('Mouvements stock'!$H$5:$H$3004,'Mouvements stock'!$I$5:$I$3004,$A2273,'Mouvements stock'!$C$5:$C$3004,"Sortie")-SUMIFS('Mouvements stock'!$H$5:$H$3004,'Mouvements stock'!$I$5:$I$3004,$A2273,'Mouvements stock'!$C$5:$C$3004,"Retour"))</f>
        <v/>
      </c>
      <c r="X2273" s="66" t="n"/>
      <c r="Y2273" s="66" t="n"/>
      <c r="Z2273" s="7" t="n"/>
      <c r="AA2273" s="70">
        <f>IF($A2273="","",N(V2273)+N(W2273)+N(X2273)+N(Y2273))</f>
        <v/>
      </c>
      <c r="AB2273" s="70">
        <f>IF($A2273="","",N(S2273)*'Paramètres'!$AA$9*IFERROR(INDEX('Paramètres'!$O$5:$O$7,MATCH(G2273,'Paramètres'!$N$5:$N$7,0)),0))</f>
        <v/>
      </c>
      <c r="AC2273" s="7" t="n"/>
      <c r="AD2273" s="69">
        <f>IF(OR($A2273="",Q2273=""),"",(Q2273-B2273)*24)</f>
        <v/>
      </c>
      <c r="AE2273" s="69">
        <f>IF(OR(Q2273="",R2273=""),"",(R2273-Q2273)*24)</f>
        <v/>
      </c>
      <c r="AF2273" s="77">
        <f>IF(OR($A2273="",B2273=""),"",YEAR(B2273))</f>
        <v/>
      </c>
      <c r="AG2273" s="77">
        <f>IF(OR($A2273="",B2273=""),"",MONTH(B2273))</f>
        <v/>
      </c>
    </row>
    <row r="2274">
      <c r="A2274" s="7" t="n"/>
      <c r="B2274" s="75" t="n"/>
      <c r="C2274" s="7" t="n"/>
      <c r="D2274" s="7" t="n"/>
      <c r="E2274" s="9">
        <f>IF(D2274="","",IFERROR(INDEX('Équipements'!$B$5:$B$304,MATCH(D2274,'Équipements'!$A$5:$A$304,0)),"Code inconnu"))</f>
        <v/>
      </c>
      <c r="F2274" s="9">
        <f>IF(D2274="","",IFERROR(INDEX('Équipements'!$D$5:$D$304,MATCH(D2274,'Équipements'!$A$5:$A$304,0)),""))</f>
        <v/>
      </c>
      <c r="G2274" s="9">
        <f>IF(D2274="","",IFERROR(INDEX('Équipements'!$K$5:$K$304,MATCH(D2274,'Équipements'!$A$5:$A$304,0)),""))</f>
        <v/>
      </c>
      <c r="H2274" s="7" t="n"/>
      <c r="I2274" s="7" t="n"/>
      <c r="J2274" s="7" t="n"/>
      <c r="K2274" s="7" t="n"/>
      <c r="L2274" s="7" t="n"/>
      <c r="M2274" s="7" t="n"/>
      <c r="N2274" s="7" t="n"/>
      <c r="O2274" s="7" t="n"/>
      <c r="P2274" s="65" t="n"/>
      <c r="Q2274" s="75" t="n"/>
      <c r="R2274" s="75" t="n"/>
      <c r="S2274" s="76" t="n"/>
      <c r="T2274" s="76" t="n"/>
      <c r="U2274" s="70">
        <f>IF($A2274="","",IFERROR(INDEX('Techniciens'!$F$5:$F$44,MATCH(O2274,'Techniciens'!$B$5:$B$44,0)),'Paramètres'!$AA$10))</f>
        <v/>
      </c>
      <c r="V2274" s="70">
        <f>IF($A2274="","",IF(OR(AC2274="Demandé",AC2274="Planifié",AC2274="Annulé"),0,N(T2274)*N(U2274)))</f>
        <v/>
      </c>
      <c r="W2274" s="70">
        <f>IF($A2274="","",SUMIFS('Mouvements stock'!$H$5:$H$3004,'Mouvements stock'!$I$5:$I$3004,$A2274,'Mouvements stock'!$C$5:$C$3004,"Sortie")-SUMIFS('Mouvements stock'!$H$5:$H$3004,'Mouvements stock'!$I$5:$I$3004,$A2274,'Mouvements stock'!$C$5:$C$3004,"Retour"))</f>
        <v/>
      </c>
      <c r="X2274" s="66" t="n"/>
      <c r="Y2274" s="66" t="n"/>
      <c r="Z2274" s="7" t="n"/>
      <c r="AA2274" s="70">
        <f>IF($A2274="","",N(V2274)+N(W2274)+N(X2274)+N(Y2274))</f>
        <v/>
      </c>
      <c r="AB2274" s="70">
        <f>IF($A2274="","",N(S2274)*'Paramètres'!$AA$9*IFERROR(INDEX('Paramètres'!$O$5:$O$7,MATCH(G2274,'Paramètres'!$N$5:$N$7,0)),0))</f>
        <v/>
      </c>
      <c r="AC2274" s="7" t="n"/>
      <c r="AD2274" s="69">
        <f>IF(OR($A2274="",Q2274=""),"",(Q2274-B2274)*24)</f>
        <v/>
      </c>
      <c r="AE2274" s="69">
        <f>IF(OR(Q2274="",R2274=""),"",(R2274-Q2274)*24)</f>
        <v/>
      </c>
      <c r="AF2274" s="77">
        <f>IF(OR($A2274="",B2274=""),"",YEAR(B2274))</f>
        <v/>
      </c>
      <c r="AG2274" s="77">
        <f>IF(OR($A2274="",B2274=""),"",MONTH(B2274))</f>
        <v/>
      </c>
    </row>
    <row r="2275">
      <c r="A2275" s="7" t="n"/>
      <c r="B2275" s="75" t="n"/>
      <c r="C2275" s="7" t="n"/>
      <c r="D2275" s="7" t="n"/>
      <c r="E2275" s="9">
        <f>IF(D2275="","",IFERROR(INDEX('Équipements'!$B$5:$B$304,MATCH(D2275,'Équipements'!$A$5:$A$304,0)),"Code inconnu"))</f>
        <v/>
      </c>
      <c r="F2275" s="9">
        <f>IF(D2275="","",IFERROR(INDEX('Équipements'!$D$5:$D$304,MATCH(D2275,'Équipements'!$A$5:$A$304,0)),""))</f>
        <v/>
      </c>
      <c r="G2275" s="9">
        <f>IF(D2275="","",IFERROR(INDEX('Équipements'!$K$5:$K$304,MATCH(D2275,'Équipements'!$A$5:$A$304,0)),""))</f>
        <v/>
      </c>
      <c r="H2275" s="7" t="n"/>
      <c r="I2275" s="7" t="n"/>
      <c r="J2275" s="7" t="n"/>
      <c r="K2275" s="7" t="n"/>
      <c r="L2275" s="7" t="n"/>
      <c r="M2275" s="7" t="n"/>
      <c r="N2275" s="7" t="n"/>
      <c r="O2275" s="7" t="n"/>
      <c r="P2275" s="65" t="n"/>
      <c r="Q2275" s="75" t="n"/>
      <c r="R2275" s="75" t="n"/>
      <c r="S2275" s="76" t="n"/>
      <c r="T2275" s="76" t="n"/>
      <c r="U2275" s="70">
        <f>IF($A2275="","",IFERROR(INDEX('Techniciens'!$F$5:$F$44,MATCH(O2275,'Techniciens'!$B$5:$B$44,0)),'Paramètres'!$AA$10))</f>
        <v/>
      </c>
      <c r="V2275" s="70">
        <f>IF($A2275="","",IF(OR(AC2275="Demandé",AC2275="Planifié",AC2275="Annulé"),0,N(T2275)*N(U2275)))</f>
        <v/>
      </c>
      <c r="W2275" s="70">
        <f>IF($A2275="","",SUMIFS('Mouvements stock'!$H$5:$H$3004,'Mouvements stock'!$I$5:$I$3004,$A2275,'Mouvements stock'!$C$5:$C$3004,"Sortie")-SUMIFS('Mouvements stock'!$H$5:$H$3004,'Mouvements stock'!$I$5:$I$3004,$A2275,'Mouvements stock'!$C$5:$C$3004,"Retour"))</f>
        <v/>
      </c>
      <c r="X2275" s="66" t="n"/>
      <c r="Y2275" s="66" t="n"/>
      <c r="Z2275" s="7" t="n"/>
      <c r="AA2275" s="70">
        <f>IF($A2275="","",N(V2275)+N(W2275)+N(X2275)+N(Y2275))</f>
        <v/>
      </c>
      <c r="AB2275" s="70">
        <f>IF($A2275="","",N(S2275)*'Paramètres'!$AA$9*IFERROR(INDEX('Paramètres'!$O$5:$O$7,MATCH(G2275,'Paramètres'!$N$5:$N$7,0)),0))</f>
        <v/>
      </c>
      <c r="AC2275" s="7" t="n"/>
      <c r="AD2275" s="69">
        <f>IF(OR($A2275="",Q2275=""),"",(Q2275-B2275)*24)</f>
        <v/>
      </c>
      <c r="AE2275" s="69">
        <f>IF(OR(Q2275="",R2275=""),"",(R2275-Q2275)*24)</f>
        <v/>
      </c>
      <c r="AF2275" s="77">
        <f>IF(OR($A2275="",B2275=""),"",YEAR(B2275))</f>
        <v/>
      </c>
      <c r="AG2275" s="77">
        <f>IF(OR($A2275="",B2275=""),"",MONTH(B2275))</f>
        <v/>
      </c>
    </row>
    <row r="2276">
      <c r="A2276" s="7" t="n"/>
      <c r="B2276" s="75" t="n"/>
      <c r="C2276" s="7" t="n"/>
      <c r="D2276" s="7" t="n"/>
      <c r="E2276" s="9">
        <f>IF(D2276="","",IFERROR(INDEX('Équipements'!$B$5:$B$304,MATCH(D2276,'Équipements'!$A$5:$A$304,0)),"Code inconnu"))</f>
        <v/>
      </c>
      <c r="F2276" s="9">
        <f>IF(D2276="","",IFERROR(INDEX('Équipements'!$D$5:$D$304,MATCH(D2276,'Équipements'!$A$5:$A$304,0)),""))</f>
        <v/>
      </c>
      <c r="G2276" s="9">
        <f>IF(D2276="","",IFERROR(INDEX('Équipements'!$K$5:$K$304,MATCH(D2276,'Équipements'!$A$5:$A$304,0)),""))</f>
        <v/>
      </c>
      <c r="H2276" s="7" t="n"/>
      <c r="I2276" s="7" t="n"/>
      <c r="J2276" s="7" t="n"/>
      <c r="K2276" s="7" t="n"/>
      <c r="L2276" s="7" t="n"/>
      <c r="M2276" s="7" t="n"/>
      <c r="N2276" s="7" t="n"/>
      <c r="O2276" s="7" t="n"/>
      <c r="P2276" s="65" t="n"/>
      <c r="Q2276" s="75" t="n"/>
      <c r="R2276" s="75" t="n"/>
      <c r="S2276" s="76" t="n"/>
      <c r="T2276" s="76" t="n"/>
      <c r="U2276" s="70">
        <f>IF($A2276="","",IFERROR(INDEX('Techniciens'!$F$5:$F$44,MATCH(O2276,'Techniciens'!$B$5:$B$44,0)),'Paramètres'!$AA$10))</f>
        <v/>
      </c>
      <c r="V2276" s="70">
        <f>IF($A2276="","",IF(OR(AC2276="Demandé",AC2276="Planifié",AC2276="Annulé"),0,N(T2276)*N(U2276)))</f>
        <v/>
      </c>
      <c r="W2276" s="70">
        <f>IF($A2276="","",SUMIFS('Mouvements stock'!$H$5:$H$3004,'Mouvements stock'!$I$5:$I$3004,$A2276,'Mouvements stock'!$C$5:$C$3004,"Sortie")-SUMIFS('Mouvements stock'!$H$5:$H$3004,'Mouvements stock'!$I$5:$I$3004,$A2276,'Mouvements stock'!$C$5:$C$3004,"Retour"))</f>
        <v/>
      </c>
      <c r="X2276" s="66" t="n"/>
      <c r="Y2276" s="66" t="n"/>
      <c r="Z2276" s="7" t="n"/>
      <c r="AA2276" s="70">
        <f>IF($A2276="","",N(V2276)+N(W2276)+N(X2276)+N(Y2276))</f>
        <v/>
      </c>
      <c r="AB2276" s="70">
        <f>IF($A2276="","",N(S2276)*'Paramètres'!$AA$9*IFERROR(INDEX('Paramètres'!$O$5:$O$7,MATCH(G2276,'Paramètres'!$N$5:$N$7,0)),0))</f>
        <v/>
      </c>
      <c r="AC2276" s="7" t="n"/>
      <c r="AD2276" s="69">
        <f>IF(OR($A2276="",Q2276=""),"",(Q2276-B2276)*24)</f>
        <v/>
      </c>
      <c r="AE2276" s="69">
        <f>IF(OR(Q2276="",R2276=""),"",(R2276-Q2276)*24)</f>
        <v/>
      </c>
      <c r="AF2276" s="77">
        <f>IF(OR($A2276="",B2276=""),"",YEAR(B2276))</f>
        <v/>
      </c>
      <c r="AG2276" s="77">
        <f>IF(OR($A2276="",B2276=""),"",MONTH(B2276))</f>
        <v/>
      </c>
    </row>
    <row r="2277">
      <c r="A2277" s="7" t="n"/>
      <c r="B2277" s="75" t="n"/>
      <c r="C2277" s="7" t="n"/>
      <c r="D2277" s="7" t="n"/>
      <c r="E2277" s="9">
        <f>IF(D2277="","",IFERROR(INDEX('Équipements'!$B$5:$B$304,MATCH(D2277,'Équipements'!$A$5:$A$304,0)),"Code inconnu"))</f>
        <v/>
      </c>
      <c r="F2277" s="9">
        <f>IF(D2277="","",IFERROR(INDEX('Équipements'!$D$5:$D$304,MATCH(D2277,'Équipements'!$A$5:$A$304,0)),""))</f>
        <v/>
      </c>
      <c r="G2277" s="9">
        <f>IF(D2277="","",IFERROR(INDEX('Équipements'!$K$5:$K$304,MATCH(D2277,'Équipements'!$A$5:$A$304,0)),""))</f>
        <v/>
      </c>
      <c r="H2277" s="7" t="n"/>
      <c r="I2277" s="7" t="n"/>
      <c r="J2277" s="7" t="n"/>
      <c r="K2277" s="7" t="n"/>
      <c r="L2277" s="7" t="n"/>
      <c r="M2277" s="7" t="n"/>
      <c r="N2277" s="7" t="n"/>
      <c r="O2277" s="7" t="n"/>
      <c r="P2277" s="65" t="n"/>
      <c r="Q2277" s="75" t="n"/>
      <c r="R2277" s="75" t="n"/>
      <c r="S2277" s="76" t="n"/>
      <c r="T2277" s="76" t="n"/>
      <c r="U2277" s="70">
        <f>IF($A2277="","",IFERROR(INDEX('Techniciens'!$F$5:$F$44,MATCH(O2277,'Techniciens'!$B$5:$B$44,0)),'Paramètres'!$AA$10))</f>
        <v/>
      </c>
      <c r="V2277" s="70">
        <f>IF($A2277="","",IF(OR(AC2277="Demandé",AC2277="Planifié",AC2277="Annulé"),0,N(T2277)*N(U2277)))</f>
        <v/>
      </c>
      <c r="W2277" s="70">
        <f>IF($A2277="","",SUMIFS('Mouvements stock'!$H$5:$H$3004,'Mouvements stock'!$I$5:$I$3004,$A2277,'Mouvements stock'!$C$5:$C$3004,"Sortie")-SUMIFS('Mouvements stock'!$H$5:$H$3004,'Mouvements stock'!$I$5:$I$3004,$A2277,'Mouvements stock'!$C$5:$C$3004,"Retour"))</f>
        <v/>
      </c>
      <c r="X2277" s="66" t="n"/>
      <c r="Y2277" s="66" t="n"/>
      <c r="Z2277" s="7" t="n"/>
      <c r="AA2277" s="70">
        <f>IF($A2277="","",N(V2277)+N(W2277)+N(X2277)+N(Y2277))</f>
        <v/>
      </c>
      <c r="AB2277" s="70">
        <f>IF($A2277="","",N(S2277)*'Paramètres'!$AA$9*IFERROR(INDEX('Paramètres'!$O$5:$O$7,MATCH(G2277,'Paramètres'!$N$5:$N$7,0)),0))</f>
        <v/>
      </c>
      <c r="AC2277" s="7" t="n"/>
      <c r="AD2277" s="69">
        <f>IF(OR($A2277="",Q2277=""),"",(Q2277-B2277)*24)</f>
        <v/>
      </c>
      <c r="AE2277" s="69">
        <f>IF(OR(Q2277="",R2277=""),"",(R2277-Q2277)*24)</f>
        <v/>
      </c>
      <c r="AF2277" s="77">
        <f>IF(OR($A2277="",B2277=""),"",YEAR(B2277))</f>
        <v/>
      </c>
      <c r="AG2277" s="77">
        <f>IF(OR($A2277="",B2277=""),"",MONTH(B2277))</f>
        <v/>
      </c>
    </row>
    <row r="2278">
      <c r="A2278" s="7" t="n"/>
      <c r="B2278" s="75" t="n"/>
      <c r="C2278" s="7" t="n"/>
      <c r="D2278" s="7" t="n"/>
      <c r="E2278" s="9">
        <f>IF(D2278="","",IFERROR(INDEX('Équipements'!$B$5:$B$304,MATCH(D2278,'Équipements'!$A$5:$A$304,0)),"Code inconnu"))</f>
        <v/>
      </c>
      <c r="F2278" s="9">
        <f>IF(D2278="","",IFERROR(INDEX('Équipements'!$D$5:$D$304,MATCH(D2278,'Équipements'!$A$5:$A$304,0)),""))</f>
        <v/>
      </c>
      <c r="G2278" s="9">
        <f>IF(D2278="","",IFERROR(INDEX('Équipements'!$K$5:$K$304,MATCH(D2278,'Équipements'!$A$5:$A$304,0)),""))</f>
        <v/>
      </c>
      <c r="H2278" s="7" t="n"/>
      <c r="I2278" s="7" t="n"/>
      <c r="J2278" s="7" t="n"/>
      <c r="K2278" s="7" t="n"/>
      <c r="L2278" s="7" t="n"/>
      <c r="M2278" s="7" t="n"/>
      <c r="N2278" s="7" t="n"/>
      <c r="O2278" s="7" t="n"/>
      <c r="P2278" s="65" t="n"/>
      <c r="Q2278" s="75" t="n"/>
      <c r="R2278" s="75" t="n"/>
      <c r="S2278" s="76" t="n"/>
      <c r="T2278" s="76" t="n"/>
      <c r="U2278" s="70">
        <f>IF($A2278="","",IFERROR(INDEX('Techniciens'!$F$5:$F$44,MATCH(O2278,'Techniciens'!$B$5:$B$44,0)),'Paramètres'!$AA$10))</f>
        <v/>
      </c>
      <c r="V2278" s="70">
        <f>IF($A2278="","",IF(OR(AC2278="Demandé",AC2278="Planifié",AC2278="Annulé"),0,N(T2278)*N(U2278)))</f>
        <v/>
      </c>
      <c r="W2278" s="70">
        <f>IF($A2278="","",SUMIFS('Mouvements stock'!$H$5:$H$3004,'Mouvements stock'!$I$5:$I$3004,$A2278,'Mouvements stock'!$C$5:$C$3004,"Sortie")-SUMIFS('Mouvements stock'!$H$5:$H$3004,'Mouvements stock'!$I$5:$I$3004,$A2278,'Mouvements stock'!$C$5:$C$3004,"Retour"))</f>
        <v/>
      </c>
      <c r="X2278" s="66" t="n"/>
      <c r="Y2278" s="66" t="n"/>
      <c r="Z2278" s="7" t="n"/>
      <c r="AA2278" s="70">
        <f>IF($A2278="","",N(V2278)+N(W2278)+N(X2278)+N(Y2278))</f>
        <v/>
      </c>
      <c r="AB2278" s="70">
        <f>IF($A2278="","",N(S2278)*'Paramètres'!$AA$9*IFERROR(INDEX('Paramètres'!$O$5:$O$7,MATCH(G2278,'Paramètres'!$N$5:$N$7,0)),0))</f>
        <v/>
      </c>
      <c r="AC2278" s="7" t="n"/>
      <c r="AD2278" s="69">
        <f>IF(OR($A2278="",Q2278=""),"",(Q2278-B2278)*24)</f>
        <v/>
      </c>
      <c r="AE2278" s="69">
        <f>IF(OR(Q2278="",R2278=""),"",(R2278-Q2278)*24)</f>
        <v/>
      </c>
      <c r="AF2278" s="77">
        <f>IF(OR($A2278="",B2278=""),"",YEAR(B2278))</f>
        <v/>
      </c>
      <c r="AG2278" s="77">
        <f>IF(OR($A2278="",B2278=""),"",MONTH(B2278))</f>
        <v/>
      </c>
    </row>
    <row r="2279">
      <c r="A2279" s="7" t="n"/>
      <c r="B2279" s="75" t="n"/>
      <c r="C2279" s="7" t="n"/>
      <c r="D2279" s="7" t="n"/>
      <c r="E2279" s="9">
        <f>IF(D2279="","",IFERROR(INDEX('Équipements'!$B$5:$B$304,MATCH(D2279,'Équipements'!$A$5:$A$304,0)),"Code inconnu"))</f>
        <v/>
      </c>
      <c r="F2279" s="9">
        <f>IF(D2279="","",IFERROR(INDEX('Équipements'!$D$5:$D$304,MATCH(D2279,'Équipements'!$A$5:$A$304,0)),""))</f>
        <v/>
      </c>
      <c r="G2279" s="9">
        <f>IF(D2279="","",IFERROR(INDEX('Équipements'!$K$5:$K$304,MATCH(D2279,'Équipements'!$A$5:$A$304,0)),""))</f>
        <v/>
      </c>
      <c r="H2279" s="7" t="n"/>
      <c r="I2279" s="7" t="n"/>
      <c r="J2279" s="7" t="n"/>
      <c r="K2279" s="7" t="n"/>
      <c r="L2279" s="7" t="n"/>
      <c r="M2279" s="7" t="n"/>
      <c r="N2279" s="7" t="n"/>
      <c r="O2279" s="7" t="n"/>
      <c r="P2279" s="65" t="n"/>
      <c r="Q2279" s="75" t="n"/>
      <c r="R2279" s="75" t="n"/>
      <c r="S2279" s="76" t="n"/>
      <c r="T2279" s="76" t="n"/>
      <c r="U2279" s="70">
        <f>IF($A2279="","",IFERROR(INDEX('Techniciens'!$F$5:$F$44,MATCH(O2279,'Techniciens'!$B$5:$B$44,0)),'Paramètres'!$AA$10))</f>
        <v/>
      </c>
      <c r="V2279" s="70">
        <f>IF($A2279="","",IF(OR(AC2279="Demandé",AC2279="Planifié",AC2279="Annulé"),0,N(T2279)*N(U2279)))</f>
        <v/>
      </c>
      <c r="W2279" s="70">
        <f>IF($A2279="","",SUMIFS('Mouvements stock'!$H$5:$H$3004,'Mouvements stock'!$I$5:$I$3004,$A2279,'Mouvements stock'!$C$5:$C$3004,"Sortie")-SUMIFS('Mouvements stock'!$H$5:$H$3004,'Mouvements stock'!$I$5:$I$3004,$A2279,'Mouvements stock'!$C$5:$C$3004,"Retour"))</f>
        <v/>
      </c>
      <c r="X2279" s="66" t="n"/>
      <c r="Y2279" s="66" t="n"/>
      <c r="Z2279" s="7" t="n"/>
      <c r="AA2279" s="70">
        <f>IF($A2279="","",N(V2279)+N(W2279)+N(X2279)+N(Y2279))</f>
        <v/>
      </c>
      <c r="AB2279" s="70">
        <f>IF($A2279="","",N(S2279)*'Paramètres'!$AA$9*IFERROR(INDEX('Paramètres'!$O$5:$O$7,MATCH(G2279,'Paramètres'!$N$5:$N$7,0)),0))</f>
        <v/>
      </c>
      <c r="AC2279" s="7" t="n"/>
      <c r="AD2279" s="69">
        <f>IF(OR($A2279="",Q2279=""),"",(Q2279-B2279)*24)</f>
        <v/>
      </c>
      <c r="AE2279" s="69">
        <f>IF(OR(Q2279="",R2279=""),"",(R2279-Q2279)*24)</f>
        <v/>
      </c>
      <c r="AF2279" s="77">
        <f>IF(OR($A2279="",B2279=""),"",YEAR(B2279))</f>
        <v/>
      </c>
      <c r="AG2279" s="77">
        <f>IF(OR($A2279="",B2279=""),"",MONTH(B2279))</f>
        <v/>
      </c>
    </row>
    <row r="2280">
      <c r="A2280" s="7" t="n"/>
      <c r="B2280" s="75" t="n"/>
      <c r="C2280" s="7" t="n"/>
      <c r="D2280" s="7" t="n"/>
      <c r="E2280" s="9">
        <f>IF(D2280="","",IFERROR(INDEX('Équipements'!$B$5:$B$304,MATCH(D2280,'Équipements'!$A$5:$A$304,0)),"Code inconnu"))</f>
        <v/>
      </c>
      <c r="F2280" s="9">
        <f>IF(D2280="","",IFERROR(INDEX('Équipements'!$D$5:$D$304,MATCH(D2280,'Équipements'!$A$5:$A$304,0)),""))</f>
        <v/>
      </c>
      <c r="G2280" s="9">
        <f>IF(D2280="","",IFERROR(INDEX('Équipements'!$K$5:$K$304,MATCH(D2280,'Équipements'!$A$5:$A$304,0)),""))</f>
        <v/>
      </c>
      <c r="H2280" s="7" t="n"/>
      <c r="I2280" s="7" t="n"/>
      <c r="J2280" s="7" t="n"/>
      <c r="K2280" s="7" t="n"/>
      <c r="L2280" s="7" t="n"/>
      <c r="M2280" s="7" t="n"/>
      <c r="N2280" s="7" t="n"/>
      <c r="O2280" s="7" t="n"/>
      <c r="P2280" s="65" t="n"/>
      <c r="Q2280" s="75" t="n"/>
      <c r="R2280" s="75" t="n"/>
      <c r="S2280" s="76" t="n"/>
      <c r="T2280" s="76" t="n"/>
      <c r="U2280" s="70">
        <f>IF($A2280="","",IFERROR(INDEX('Techniciens'!$F$5:$F$44,MATCH(O2280,'Techniciens'!$B$5:$B$44,0)),'Paramètres'!$AA$10))</f>
        <v/>
      </c>
      <c r="V2280" s="70">
        <f>IF($A2280="","",IF(OR(AC2280="Demandé",AC2280="Planifié",AC2280="Annulé"),0,N(T2280)*N(U2280)))</f>
        <v/>
      </c>
      <c r="W2280" s="70">
        <f>IF($A2280="","",SUMIFS('Mouvements stock'!$H$5:$H$3004,'Mouvements stock'!$I$5:$I$3004,$A2280,'Mouvements stock'!$C$5:$C$3004,"Sortie")-SUMIFS('Mouvements stock'!$H$5:$H$3004,'Mouvements stock'!$I$5:$I$3004,$A2280,'Mouvements stock'!$C$5:$C$3004,"Retour"))</f>
        <v/>
      </c>
      <c r="X2280" s="66" t="n"/>
      <c r="Y2280" s="66" t="n"/>
      <c r="Z2280" s="7" t="n"/>
      <c r="AA2280" s="70">
        <f>IF($A2280="","",N(V2280)+N(W2280)+N(X2280)+N(Y2280))</f>
        <v/>
      </c>
      <c r="AB2280" s="70">
        <f>IF($A2280="","",N(S2280)*'Paramètres'!$AA$9*IFERROR(INDEX('Paramètres'!$O$5:$O$7,MATCH(G2280,'Paramètres'!$N$5:$N$7,0)),0))</f>
        <v/>
      </c>
      <c r="AC2280" s="7" t="n"/>
      <c r="AD2280" s="69">
        <f>IF(OR($A2280="",Q2280=""),"",(Q2280-B2280)*24)</f>
        <v/>
      </c>
      <c r="AE2280" s="69">
        <f>IF(OR(Q2280="",R2280=""),"",(R2280-Q2280)*24)</f>
        <v/>
      </c>
      <c r="AF2280" s="77">
        <f>IF(OR($A2280="",B2280=""),"",YEAR(B2280))</f>
        <v/>
      </c>
      <c r="AG2280" s="77">
        <f>IF(OR($A2280="",B2280=""),"",MONTH(B2280))</f>
        <v/>
      </c>
    </row>
    <row r="2281">
      <c r="A2281" s="7" t="n"/>
      <c r="B2281" s="75" t="n"/>
      <c r="C2281" s="7" t="n"/>
      <c r="D2281" s="7" t="n"/>
      <c r="E2281" s="9">
        <f>IF(D2281="","",IFERROR(INDEX('Équipements'!$B$5:$B$304,MATCH(D2281,'Équipements'!$A$5:$A$304,0)),"Code inconnu"))</f>
        <v/>
      </c>
      <c r="F2281" s="9">
        <f>IF(D2281="","",IFERROR(INDEX('Équipements'!$D$5:$D$304,MATCH(D2281,'Équipements'!$A$5:$A$304,0)),""))</f>
        <v/>
      </c>
      <c r="G2281" s="9">
        <f>IF(D2281="","",IFERROR(INDEX('Équipements'!$K$5:$K$304,MATCH(D2281,'Équipements'!$A$5:$A$304,0)),""))</f>
        <v/>
      </c>
      <c r="H2281" s="7" t="n"/>
      <c r="I2281" s="7" t="n"/>
      <c r="J2281" s="7" t="n"/>
      <c r="K2281" s="7" t="n"/>
      <c r="L2281" s="7" t="n"/>
      <c r="M2281" s="7" t="n"/>
      <c r="N2281" s="7" t="n"/>
      <c r="O2281" s="7" t="n"/>
      <c r="P2281" s="65" t="n"/>
      <c r="Q2281" s="75" t="n"/>
      <c r="R2281" s="75" t="n"/>
      <c r="S2281" s="76" t="n"/>
      <c r="T2281" s="76" t="n"/>
      <c r="U2281" s="70">
        <f>IF($A2281="","",IFERROR(INDEX('Techniciens'!$F$5:$F$44,MATCH(O2281,'Techniciens'!$B$5:$B$44,0)),'Paramètres'!$AA$10))</f>
        <v/>
      </c>
      <c r="V2281" s="70">
        <f>IF($A2281="","",IF(OR(AC2281="Demandé",AC2281="Planifié",AC2281="Annulé"),0,N(T2281)*N(U2281)))</f>
        <v/>
      </c>
      <c r="W2281" s="70">
        <f>IF($A2281="","",SUMIFS('Mouvements stock'!$H$5:$H$3004,'Mouvements stock'!$I$5:$I$3004,$A2281,'Mouvements stock'!$C$5:$C$3004,"Sortie")-SUMIFS('Mouvements stock'!$H$5:$H$3004,'Mouvements stock'!$I$5:$I$3004,$A2281,'Mouvements stock'!$C$5:$C$3004,"Retour"))</f>
        <v/>
      </c>
      <c r="X2281" s="66" t="n"/>
      <c r="Y2281" s="66" t="n"/>
      <c r="Z2281" s="7" t="n"/>
      <c r="AA2281" s="70">
        <f>IF($A2281="","",N(V2281)+N(W2281)+N(X2281)+N(Y2281))</f>
        <v/>
      </c>
      <c r="AB2281" s="70">
        <f>IF($A2281="","",N(S2281)*'Paramètres'!$AA$9*IFERROR(INDEX('Paramètres'!$O$5:$O$7,MATCH(G2281,'Paramètres'!$N$5:$N$7,0)),0))</f>
        <v/>
      </c>
      <c r="AC2281" s="7" t="n"/>
      <c r="AD2281" s="69">
        <f>IF(OR($A2281="",Q2281=""),"",(Q2281-B2281)*24)</f>
        <v/>
      </c>
      <c r="AE2281" s="69">
        <f>IF(OR(Q2281="",R2281=""),"",(R2281-Q2281)*24)</f>
        <v/>
      </c>
      <c r="AF2281" s="77">
        <f>IF(OR($A2281="",B2281=""),"",YEAR(B2281))</f>
        <v/>
      </c>
      <c r="AG2281" s="77">
        <f>IF(OR($A2281="",B2281=""),"",MONTH(B2281))</f>
        <v/>
      </c>
    </row>
    <row r="2282">
      <c r="A2282" s="7" t="n"/>
      <c r="B2282" s="75" t="n"/>
      <c r="C2282" s="7" t="n"/>
      <c r="D2282" s="7" t="n"/>
      <c r="E2282" s="9">
        <f>IF(D2282="","",IFERROR(INDEX('Équipements'!$B$5:$B$304,MATCH(D2282,'Équipements'!$A$5:$A$304,0)),"Code inconnu"))</f>
        <v/>
      </c>
      <c r="F2282" s="9">
        <f>IF(D2282="","",IFERROR(INDEX('Équipements'!$D$5:$D$304,MATCH(D2282,'Équipements'!$A$5:$A$304,0)),""))</f>
        <v/>
      </c>
      <c r="G2282" s="9">
        <f>IF(D2282="","",IFERROR(INDEX('Équipements'!$K$5:$K$304,MATCH(D2282,'Équipements'!$A$5:$A$304,0)),""))</f>
        <v/>
      </c>
      <c r="H2282" s="7" t="n"/>
      <c r="I2282" s="7" t="n"/>
      <c r="J2282" s="7" t="n"/>
      <c r="K2282" s="7" t="n"/>
      <c r="L2282" s="7" t="n"/>
      <c r="M2282" s="7" t="n"/>
      <c r="N2282" s="7" t="n"/>
      <c r="O2282" s="7" t="n"/>
      <c r="P2282" s="65" t="n"/>
      <c r="Q2282" s="75" t="n"/>
      <c r="R2282" s="75" t="n"/>
      <c r="S2282" s="76" t="n"/>
      <c r="T2282" s="76" t="n"/>
      <c r="U2282" s="70">
        <f>IF($A2282="","",IFERROR(INDEX('Techniciens'!$F$5:$F$44,MATCH(O2282,'Techniciens'!$B$5:$B$44,0)),'Paramètres'!$AA$10))</f>
        <v/>
      </c>
      <c r="V2282" s="70">
        <f>IF($A2282="","",IF(OR(AC2282="Demandé",AC2282="Planifié",AC2282="Annulé"),0,N(T2282)*N(U2282)))</f>
        <v/>
      </c>
      <c r="W2282" s="70">
        <f>IF($A2282="","",SUMIFS('Mouvements stock'!$H$5:$H$3004,'Mouvements stock'!$I$5:$I$3004,$A2282,'Mouvements stock'!$C$5:$C$3004,"Sortie")-SUMIFS('Mouvements stock'!$H$5:$H$3004,'Mouvements stock'!$I$5:$I$3004,$A2282,'Mouvements stock'!$C$5:$C$3004,"Retour"))</f>
        <v/>
      </c>
      <c r="X2282" s="66" t="n"/>
      <c r="Y2282" s="66" t="n"/>
      <c r="Z2282" s="7" t="n"/>
      <c r="AA2282" s="70">
        <f>IF($A2282="","",N(V2282)+N(W2282)+N(X2282)+N(Y2282))</f>
        <v/>
      </c>
      <c r="AB2282" s="70">
        <f>IF($A2282="","",N(S2282)*'Paramètres'!$AA$9*IFERROR(INDEX('Paramètres'!$O$5:$O$7,MATCH(G2282,'Paramètres'!$N$5:$N$7,0)),0))</f>
        <v/>
      </c>
      <c r="AC2282" s="7" t="n"/>
      <c r="AD2282" s="69">
        <f>IF(OR($A2282="",Q2282=""),"",(Q2282-B2282)*24)</f>
        <v/>
      </c>
      <c r="AE2282" s="69">
        <f>IF(OR(Q2282="",R2282=""),"",(R2282-Q2282)*24)</f>
        <v/>
      </c>
      <c r="AF2282" s="77">
        <f>IF(OR($A2282="",B2282=""),"",YEAR(B2282))</f>
        <v/>
      </c>
      <c r="AG2282" s="77">
        <f>IF(OR($A2282="",B2282=""),"",MONTH(B2282))</f>
        <v/>
      </c>
    </row>
    <row r="2283">
      <c r="A2283" s="7" t="n"/>
      <c r="B2283" s="75" t="n"/>
      <c r="C2283" s="7" t="n"/>
      <c r="D2283" s="7" t="n"/>
      <c r="E2283" s="9">
        <f>IF(D2283="","",IFERROR(INDEX('Équipements'!$B$5:$B$304,MATCH(D2283,'Équipements'!$A$5:$A$304,0)),"Code inconnu"))</f>
        <v/>
      </c>
      <c r="F2283" s="9">
        <f>IF(D2283="","",IFERROR(INDEX('Équipements'!$D$5:$D$304,MATCH(D2283,'Équipements'!$A$5:$A$304,0)),""))</f>
        <v/>
      </c>
      <c r="G2283" s="9">
        <f>IF(D2283="","",IFERROR(INDEX('Équipements'!$K$5:$K$304,MATCH(D2283,'Équipements'!$A$5:$A$304,0)),""))</f>
        <v/>
      </c>
      <c r="H2283" s="7" t="n"/>
      <c r="I2283" s="7" t="n"/>
      <c r="J2283" s="7" t="n"/>
      <c r="K2283" s="7" t="n"/>
      <c r="L2283" s="7" t="n"/>
      <c r="M2283" s="7" t="n"/>
      <c r="N2283" s="7" t="n"/>
      <c r="O2283" s="7" t="n"/>
      <c r="P2283" s="65" t="n"/>
      <c r="Q2283" s="75" t="n"/>
      <c r="R2283" s="75" t="n"/>
      <c r="S2283" s="76" t="n"/>
      <c r="T2283" s="76" t="n"/>
      <c r="U2283" s="70">
        <f>IF($A2283="","",IFERROR(INDEX('Techniciens'!$F$5:$F$44,MATCH(O2283,'Techniciens'!$B$5:$B$44,0)),'Paramètres'!$AA$10))</f>
        <v/>
      </c>
      <c r="V2283" s="70">
        <f>IF($A2283="","",IF(OR(AC2283="Demandé",AC2283="Planifié",AC2283="Annulé"),0,N(T2283)*N(U2283)))</f>
        <v/>
      </c>
      <c r="W2283" s="70">
        <f>IF($A2283="","",SUMIFS('Mouvements stock'!$H$5:$H$3004,'Mouvements stock'!$I$5:$I$3004,$A2283,'Mouvements stock'!$C$5:$C$3004,"Sortie")-SUMIFS('Mouvements stock'!$H$5:$H$3004,'Mouvements stock'!$I$5:$I$3004,$A2283,'Mouvements stock'!$C$5:$C$3004,"Retour"))</f>
        <v/>
      </c>
      <c r="X2283" s="66" t="n"/>
      <c r="Y2283" s="66" t="n"/>
      <c r="Z2283" s="7" t="n"/>
      <c r="AA2283" s="70">
        <f>IF($A2283="","",N(V2283)+N(W2283)+N(X2283)+N(Y2283))</f>
        <v/>
      </c>
      <c r="AB2283" s="70">
        <f>IF($A2283="","",N(S2283)*'Paramètres'!$AA$9*IFERROR(INDEX('Paramètres'!$O$5:$O$7,MATCH(G2283,'Paramètres'!$N$5:$N$7,0)),0))</f>
        <v/>
      </c>
      <c r="AC2283" s="7" t="n"/>
      <c r="AD2283" s="69">
        <f>IF(OR($A2283="",Q2283=""),"",(Q2283-B2283)*24)</f>
        <v/>
      </c>
      <c r="AE2283" s="69">
        <f>IF(OR(Q2283="",R2283=""),"",(R2283-Q2283)*24)</f>
        <v/>
      </c>
      <c r="AF2283" s="77">
        <f>IF(OR($A2283="",B2283=""),"",YEAR(B2283))</f>
        <v/>
      </c>
      <c r="AG2283" s="77">
        <f>IF(OR($A2283="",B2283=""),"",MONTH(B2283))</f>
        <v/>
      </c>
    </row>
    <row r="2284">
      <c r="A2284" s="7" t="n"/>
      <c r="B2284" s="75" t="n"/>
      <c r="C2284" s="7" t="n"/>
      <c r="D2284" s="7" t="n"/>
      <c r="E2284" s="9">
        <f>IF(D2284="","",IFERROR(INDEX('Équipements'!$B$5:$B$304,MATCH(D2284,'Équipements'!$A$5:$A$304,0)),"Code inconnu"))</f>
        <v/>
      </c>
      <c r="F2284" s="9">
        <f>IF(D2284="","",IFERROR(INDEX('Équipements'!$D$5:$D$304,MATCH(D2284,'Équipements'!$A$5:$A$304,0)),""))</f>
        <v/>
      </c>
      <c r="G2284" s="9">
        <f>IF(D2284="","",IFERROR(INDEX('Équipements'!$K$5:$K$304,MATCH(D2284,'Équipements'!$A$5:$A$304,0)),""))</f>
        <v/>
      </c>
      <c r="H2284" s="7" t="n"/>
      <c r="I2284" s="7" t="n"/>
      <c r="J2284" s="7" t="n"/>
      <c r="K2284" s="7" t="n"/>
      <c r="L2284" s="7" t="n"/>
      <c r="M2284" s="7" t="n"/>
      <c r="N2284" s="7" t="n"/>
      <c r="O2284" s="7" t="n"/>
      <c r="P2284" s="65" t="n"/>
      <c r="Q2284" s="75" t="n"/>
      <c r="R2284" s="75" t="n"/>
      <c r="S2284" s="76" t="n"/>
      <c r="T2284" s="76" t="n"/>
      <c r="U2284" s="70">
        <f>IF($A2284="","",IFERROR(INDEX('Techniciens'!$F$5:$F$44,MATCH(O2284,'Techniciens'!$B$5:$B$44,0)),'Paramètres'!$AA$10))</f>
        <v/>
      </c>
      <c r="V2284" s="70">
        <f>IF($A2284="","",IF(OR(AC2284="Demandé",AC2284="Planifié",AC2284="Annulé"),0,N(T2284)*N(U2284)))</f>
        <v/>
      </c>
      <c r="W2284" s="70">
        <f>IF($A2284="","",SUMIFS('Mouvements stock'!$H$5:$H$3004,'Mouvements stock'!$I$5:$I$3004,$A2284,'Mouvements stock'!$C$5:$C$3004,"Sortie")-SUMIFS('Mouvements stock'!$H$5:$H$3004,'Mouvements stock'!$I$5:$I$3004,$A2284,'Mouvements stock'!$C$5:$C$3004,"Retour"))</f>
        <v/>
      </c>
      <c r="X2284" s="66" t="n"/>
      <c r="Y2284" s="66" t="n"/>
      <c r="Z2284" s="7" t="n"/>
      <c r="AA2284" s="70">
        <f>IF($A2284="","",N(V2284)+N(W2284)+N(X2284)+N(Y2284))</f>
        <v/>
      </c>
      <c r="AB2284" s="70">
        <f>IF($A2284="","",N(S2284)*'Paramètres'!$AA$9*IFERROR(INDEX('Paramètres'!$O$5:$O$7,MATCH(G2284,'Paramètres'!$N$5:$N$7,0)),0))</f>
        <v/>
      </c>
      <c r="AC2284" s="7" t="n"/>
      <c r="AD2284" s="69">
        <f>IF(OR($A2284="",Q2284=""),"",(Q2284-B2284)*24)</f>
        <v/>
      </c>
      <c r="AE2284" s="69">
        <f>IF(OR(Q2284="",R2284=""),"",(R2284-Q2284)*24)</f>
        <v/>
      </c>
      <c r="AF2284" s="77">
        <f>IF(OR($A2284="",B2284=""),"",YEAR(B2284))</f>
        <v/>
      </c>
      <c r="AG2284" s="77">
        <f>IF(OR($A2284="",B2284=""),"",MONTH(B2284))</f>
        <v/>
      </c>
    </row>
    <row r="2285">
      <c r="A2285" s="7" t="n"/>
      <c r="B2285" s="75" t="n"/>
      <c r="C2285" s="7" t="n"/>
      <c r="D2285" s="7" t="n"/>
      <c r="E2285" s="9">
        <f>IF(D2285="","",IFERROR(INDEX('Équipements'!$B$5:$B$304,MATCH(D2285,'Équipements'!$A$5:$A$304,0)),"Code inconnu"))</f>
        <v/>
      </c>
      <c r="F2285" s="9">
        <f>IF(D2285="","",IFERROR(INDEX('Équipements'!$D$5:$D$304,MATCH(D2285,'Équipements'!$A$5:$A$304,0)),""))</f>
        <v/>
      </c>
      <c r="G2285" s="9">
        <f>IF(D2285="","",IFERROR(INDEX('Équipements'!$K$5:$K$304,MATCH(D2285,'Équipements'!$A$5:$A$304,0)),""))</f>
        <v/>
      </c>
      <c r="H2285" s="7" t="n"/>
      <c r="I2285" s="7" t="n"/>
      <c r="J2285" s="7" t="n"/>
      <c r="K2285" s="7" t="n"/>
      <c r="L2285" s="7" t="n"/>
      <c r="M2285" s="7" t="n"/>
      <c r="N2285" s="7" t="n"/>
      <c r="O2285" s="7" t="n"/>
      <c r="P2285" s="65" t="n"/>
      <c r="Q2285" s="75" t="n"/>
      <c r="R2285" s="75" t="n"/>
      <c r="S2285" s="76" t="n"/>
      <c r="T2285" s="76" t="n"/>
      <c r="U2285" s="70">
        <f>IF($A2285="","",IFERROR(INDEX('Techniciens'!$F$5:$F$44,MATCH(O2285,'Techniciens'!$B$5:$B$44,0)),'Paramètres'!$AA$10))</f>
        <v/>
      </c>
      <c r="V2285" s="70">
        <f>IF($A2285="","",IF(OR(AC2285="Demandé",AC2285="Planifié",AC2285="Annulé"),0,N(T2285)*N(U2285)))</f>
        <v/>
      </c>
      <c r="W2285" s="70">
        <f>IF($A2285="","",SUMIFS('Mouvements stock'!$H$5:$H$3004,'Mouvements stock'!$I$5:$I$3004,$A2285,'Mouvements stock'!$C$5:$C$3004,"Sortie")-SUMIFS('Mouvements stock'!$H$5:$H$3004,'Mouvements stock'!$I$5:$I$3004,$A2285,'Mouvements stock'!$C$5:$C$3004,"Retour"))</f>
        <v/>
      </c>
      <c r="X2285" s="66" t="n"/>
      <c r="Y2285" s="66" t="n"/>
      <c r="Z2285" s="7" t="n"/>
      <c r="AA2285" s="70">
        <f>IF($A2285="","",N(V2285)+N(W2285)+N(X2285)+N(Y2285))</f>
        <v/>
      </c>
      <c r="AB2285" s="70">
        <f>IF($A2285="","",N(S2285)*'Paramètres'!$AA$9*IFERROR(INDEX('Paramètres'!$O$5:$O$7,MATCH(G2285,'Paramètres'!$N$5:$N$7,0)),0))</f>
        <v/>
      </c>
      <c r="AC2285" s="7" t="n"/>
      <c r="AD2285" s="69">
        <f>IF(OR($A2285="",Q2285=""),"",(Q2285-B2285)*24)</f>
        <v/>
      </c>
      <c r="AE2285" s="69">
        <f>IF(OR(Q2285="",R2285=""),"",(R2285-Q2285)*24)</f>
        <v/>
      </c>
      <c r="AF2285" s="77">
        <f>IF(OR($A2285="",B2285=""),"",YEAR(B2285))</f>
        <v/>
      </c>
      <c r="AG2285" s="77">
        <f>IF(OR($A2285="",B2285=""),"",MONTH(B2285))</f>
        <v/>
      </c>
    </row>
    <row r="2286">
      <c r="A2286" s="7" t="n"/>
      <c r="B2286" s="75" t="n"/>
      <c r="C2286" s="7" t="n"/>
      <c r="D2286" s="7" t="n"/>
      <c r="E2286" s="9">
        <f>IF(D2286="","",IFERROR(INDEX('Équipements'!$B$5:$B$304,MATCH(D2286,'Équipements'!$A$5:$A$304,0)),"Code inconnu"))</f>
        <v/>
      </c>
      <c r="F2286" s="9">
        <f>IF(D2286="","",IFERROR(INDEX('Équipements'!$D$5:$D$304,MATCH(D2286,'Équipements'!$A$5:$A$304,0)),""))</f>
        <v/>
      </c>
      <c r="G2286" s="9">
        <f>IF(D2286="","",IFERROR(INDEX('Équipements'!$K$5:$K$304,MATCH(D2286,'Équipements'!$A$5:$A$304,0)),""))</f>
        <v/>
      </c>
      <c r="H2286" s="7" t="n"/>
      <c r="I2286" s="7" t="n"/>
      <c r="J2286" s="7" t="n"/>
      <c r="K2286" s="7" t="n"/>
      <c r="L2286" s="7" t="n"/>
      <c r="M2286" s="7" t="n"/>
      <c r="N2286" s="7" t="n"/>
      <c r="O2286" s="7" t="n"/>
      <c r="P2286" s="65" t="n"/>
      <c r="Q2286" s="75" t="n"/>
      <c r="R2286" s="75" t="n"/>
      <c r="S2286" s="76" t="n"/>
      <c r="T2286" s="76" t="n"/>
      <c r="U2286" s="70">
        <f>IF($A2286="","",IFERROR(INDEX('Techniciens'!$F$5:$F$44,MATCH(O2286,'Techniciens'!$B$5:$B$44,0)),'Paramètres'!$AA$10))</f>
        <v/>
      </c>
      <c r="V2286" s="70">
        <f>IF($A2286="","",IF(OR(AC2286="Demandé",AC2286="Planifié",AC2286="Annulé"),0,N(T2286)*N(U2286)))</f>
        <v/>
      </c>
      <c r="W2286" s="70">
        <f>IF($A2286="","",SUMIFS('Mouvements stock'!$H$5:$H$3004,'Mouvements stock'!$I$5:$I$3004,$A2286,'Mouvements stock'!$C$5:$C$3004,"Sortie")-SUMIFS('Mouvements stock'!$H$5:$H$3004,'Mouvements stock'!$I$5:$I$3004,$A2286,'Mouvements stock'!$C$5:$C$3004,"Retour"))</f>
        <v/>
      </c>
      <c r="X2286" s="66" t="n"/>
      <c r="Y2286" s="66" t="n"/>
      <c r="Z2286" s="7" t="n"/>
      <c r="AA2286" s="70">
        <f>IF($A2286="","",N(V2286)+N(W2286)+N(X2286)+N(Y2286))</f>
        <v/>
      </c>
      <c r="AB2286" s="70">
        <f>IF($A2286="","",N(S2286)*'Paramètres'!$AA$9*IFERROR(INDEX('Paramètres'!$O$5:$O$7,MATCH(G2286,'Paramètres'!$N$5:$N$7,0)),0))</f>
        <v/>
      </c>
      <c r="AC2286" s="7" t="n"/>
      <c r="AD2286" s="69">
        <f>IF(OR($A2286="",Q2286=""),"",(Q2286-B2286)*24)</f>
        <v/>
      </c>
      <c r="AE2286" s="69">
        <f>IF(OR(Q2286="",R2286=""),"",(R2286-Q2286)*24)</f>
        <v/>
      </c>
      <c r="AF2286" s="77">
        <f>IF(OR($A2286="",B2286=""),"",YEAR(B2286))</f>
        <v/>
      </c>
      <c r="AG2286" s="77">
        <f>IF(OR($A2286="",B2286=""),"",MONTH(B2286))</f>
        <v/>
      </c>
    </row>
    <row r="2287">
      <c r="A2287" s="7" t="n"/>
      <c r="B2287" s="75" t="n"/>
      <c r="C2287" s="7" t="n"/>
      <c r="D2287" s="7" t="n"/>
      <c r="E2287" s="9">
        <f>IF(D2287="","",IFERROR(INDEX('Équipements'!$B$5:$B$304,MATCH(D2287,'Équipements'!$A$5:$A$304,0)),"Code inconnu"))</f>
        <v/>
      </c>
      <c r="F2287" s="9">
        <f>IF(D2287="","",IFERROR(INDEX('Équipements'!$D$5:$D$304,MATCH(D2287,'Équipements'!$A$5:$A$304,0)),""))</f>
        <v/>
      </c>
      <c r="G2287" s="9">
        <f>IF(D2287="","",IFERROR(INDEX('Équipements'!$K$5:$K$304,MATCH(D2287,'Équipements'!$A$5:$A$304,0)),""))</f>
        <v/>
      </c>
      <c r="H2287" s="7" t="n"/>
      <c r="I2287" s="7" t="n"/>
      <c r="J2287" s="7" t="n"/>
      <c r="K2287" s="7" t="n"/>
      <c r="L2287" s="7" t="n"/>
      <c r="M2287" s="7" t="n"/>
      <c r="N2287" s="7" t="n"/>
      <c r="O2287" s="7" t="n"/>
      <c r="P2287" s="65" t="n"/>
      <c r="Q2287" s="75" t="n"/>
      <c r="R2287" s="75" t="n"/>
      <c r="S2287" s="76" t="n"/>
      <c r="T2287" s="76" t="n"/>
      <c r="U2287" s="70">
        <f>IF($A2287="","",IFERROR(INDEX('Techniciens'!$F$5:$F$44,MATCH(O2287,'Techniciens'!$B$5:$B$44,0)),'Paramètres'!$AA$10))</f>
        <v/>
      </c>
      <c r="V2287" s="70">
        <f>IF($A2287="","",IF(OR(AC2287="Demandé",AC2287="Planifié",AC2287="Annulé"),0,N(T2287)*N(U2287)))</f>
        <v/>
      </c>
      <c r="W2287" s="70">
        <f>IF($A2287="","",SUMIFS('Mouvements stock'!$H$5:$H$3004,'Mouvements stock'!$I$5:$I$3004,$A2287,'Mouvements stock'!$C$5:$C$3004,"Sortie")-SUMIFS('Mouvements stock'!$H$5:$H$3004,'Mouvements stock'!$I$5:$I$3004,$A2287,'Mouvements stock'!$C$5:$C$3004,"Retour"))</f>
        <v/>
      </c>
      <c r="X2287" s="66" t="n"/>
      <c r="Y2287" s="66" t="n"/>
      <c r="Z2287" s="7" t="n"/>
      <c r="AA2287" s="70">
        <f>IF($A2287="","",N(V2287)+N(W2287)+N(X2287)+N(Y2287))</f>
        <v/>
      </c>
      <c r="AB2287" s="70">
        <f>IF($A2287="","",N(S2287)*'Paramètres'!$AA$9*IFERROR(INDEX('Paramètres'!$O$5:$O$7,MATCH(G2287,'Paramètres'!$N$5:$N$7,0)),0))</f>
        <v/>
      </c>
      <c r="AC2287" s="7" t="n"/>
      <c r="AD2287" s="69">
        <f>IF(OR($A2287="",Q2287=""),"",(Q2287-B2287)*24)</f>
        <v/>
      </c>
      <c r="AE2287" s="69">
        <f>IF(OR(Q2287="",R2287=""),"",(R2287-Q2287)*24)</f>
        <v/>
      </c>
      <c r="AF2287" s="77">
        <f>IF(OR($A2287="",B2287=""),"",YEAR(B2287))</f>
        <v/>
      </c>
      <c r="AG2287" s="77">
        <f>IF(OR($A2287="",B2287=""),"",MONTH(B2287))</f>
        <v/>
      </c>
    </row>
    <row r="2288">
      <c r="A2288" s="7" t="n"/>
      <c r="B2288" s="75" t="n"/>
      <c r="C2288" s="7" t="n"/>
      <c r="D2288" s="7" t="n"/>
      <c r="E2288" s="9">
        <f>IF(D2288="","",IFERROR(INDEX('Équipements'!$B$5:$B$304,MATCH(D2288,'Équipements'!$A$5:$A$304,0)),"Code inconnu"))</f>
        <v/>
      </c>
      <c r="F2288" s="9">
        <f>IF(D2288="","",IFERROR(INDEX('Équipements'!$D$5:$D$304,MATCH(D2288,'Équipements'!$A$5:$A$304,0)),""))</f>
        <v/>
      </c>
      <c r="G2288" s="9">
        <f>IF(D2288="","",IFERROR(INDEX('Équipements'!$K$5:$K$304,MATCH(D2288,'Équipements'!$A$5:$A$304,0)),""))</f>
        <v/>
      </c>
      <c r="H2288" s="7" t="n"/>
      <c r="I2288" s="7" t="n"/>
      <c r="J2288" s="7" t="n"/>
      <c r="K2288" s="7" t="n"/>
      <c r="L2288" s="7" t="n"/>
      <c r="M2288" s="7" t="n"/>
      <c r="N2288" s="7" t="n"/>
      <c r="O2288" s="7" t="n"/>
      <c r="P2288" s="65" t="n"/>
      <c r="Q2288" s="75" t="n"/>
      <c r="R2288" s="75" t="n"/>
      <c r="S2288" s="76" t="n"/>
      <c r="T2288" s="76" t="n"/>
      <c r="U2288" s="70">
        <f>IF($A2288="","",IFERROR(INDEX('Techniciens'!$F$5:$F$44,MATCH(O2288,'Techniciens'!$B$5:$B$44,0)),'Paramètres'!$AA$10))</f>
        <v/>
      </c>
      <c r="V2288" s="70">
        <f>IF($A2288="","",IF(OR(AC2288="Demandé",AC2288="Planifié",AC2288="Annulé"),0,N(T2288)*N(U2288)))</f>
        <v/>
      </c>
      <c r="W2288" s="70">
        <f>IF($A2288="","",SUMIFS('Mouvements stock'!$H$5:$H$3004,'Mouvements stock'!$I$5:$I$3004,$A2288,'Mouvements stock'!$C$5:$C$3004,"Sortie")-SUMIFS('Mouvements stock'!$H$5:$H$3004,'Mouvements stock'!$I$5:$I$3004,$A2288,'Mouvements stock'!$C$5:$C$3004,"Retour"))</f>
        <v/>
      </c>
      <c r="X2288" s="66" t="n"/>
      <c r="Y2288" s="66" t="n"/>
      <c r="Z2288" s="7" t="n"/>
      <c r="AA2288" s="70">
        <f>IF($A2288="","",N(V2288)+N(W2288)+N(X2288)+N(Y2288))</f>
        <v/>
      </c>
      <c r="AB2288" s="70">
        <f>IF($A2288="","",N(S2288)*'Paramètres'!$AA$9*IFERROR(INDEX('Paramètres'!$O$5:$O$7,MATCH(G2288,'Paramètres'!$N$5:$N$7,0)),0))</f>
        <v/>
      </c>
      <c r="AC2288" s="7" t="n"/>
      <c r="AD2288" s="69">
        <f>IF(OR($A2288="",Q2288=""),"",(Q2288-B2288)*24)</f>
        <v/>
      </c>
      <c r="AE2288" s="69">
        <f>IF(OR(Q2288="",R2288=""),"",(R2288-Q2288)*24)</f>
        <v/>
      </c>
      <c r="AF2288" s="77">
        <f>IF(OR($A2288="",B2288=""),"",YEAR(B2288))</f>
        <v/>
      </c>
      <c r="AG2288" s="77">
        <f>IF(OR($A2288="",B2288=""),"",MONTH(B2288))</f>
        <v/>
      </c>
    </row>
    <row r="2289">
      <c r="A2289" s="7" t="n"/>
      <c r="B2289" s="75" t="n"/>
      <c r="C2289" s="7" t="n"/>
      <c r="D2289" s="7" t="n"/>
      <c r="E2289" s="9">
        <f>IF(D2289="","",IFERROR(INDEX('Équipements'!$B$5:$B$304,MATCH(D2289,'Équipements'!$A$5:$A$304,0)),"Code inconnu"))</f>
        <v/>
      </c>
      <c r="F2289" s="9">
        <f>IF(D2289="","",IFERROR(INDEX('Équipements'!$D$5:$D$304,MATCH(D2289,'Équipements'!$A$5:$A$304,0)),""))</f>
        <v/>
      </c>
      <c r="G2289" s="9">
        <f>IF(D2289="","",IFERROR(INDEX('Équipements'!$K$5:$K$304,MATCH(D2289,'Équipements'!$A$5:$A$304,0)),""))</f>
        <v/>
      </c>
      <c r="H2289" s="7" t="n"/>
      <c r="I2289" s="7" t="n"/>
      <c r="J2289" s="7" t="n"/>
      <c r="K2289" s="7" t="n"/>
      <c r="L2289" s="7" t="n"/>
      <c r="M2289" s="7" t="n"/>
      <c r="N2289" s="7" t="n"/>
      <c r="O2289" s="7" t="n"/>
      <c r="P2289" s="65" t="n"/>
      <c r="Q2289" s="75" t="n"/>
      <c r="R2289" s="75" t="n"/>
      <c r="S2289" s="76" t="n"/>
      <c r="T2289" s="76" t="n"/>
      <c r="U2289" s="70">
        <f>IF($A2289="","",IFERROR(INDEX('Techniciens'!$F$5:$F$44,MATCH(O2289,'Techniciens'!$B$5:$B$44,0)),'Paramètres'!$AA$10))</f>
        <v/>
      </c>
      <c r="V2289" s="70">
        <f>IF($A2289="","",IF(OR(AC2289="Demandé",AC2289="Planifié",AC2289="Annulé"),0,N(T2289)*N(U2289)))</f>
        <v/>
      </c>
      <c r="W2289" s="70">
        <f>IF($A2289="","",SUMIFS('Mouvements stock'!$H$5:$H$3004,'Mouvements stock'!$I$5:$I$3004,$A2289,'Mouvements stock'!$C$5:$C$3004,"Sortie")-SUMIFS('Mouvements stock'!$H$5:$H$3004,'Mouvements stock'!$I$5:$I$3004,$A2289,'Mouvements stock'!$C$5:$C$3004,"Retour"))</f>
        <v/>
      </c>
      <c r="X2289" s="66" t="n"/>
      <c r="Y2289" s="66" t="n"/>
      <c r="Z2289" s="7" t="n"/>
      <c r="AA2289" s="70">
        <f>IF($A2289="","",N(V2289)+N(W2289)+N(X2289)+N(Y2289))</f>
        <v/>
      </c>
      <c r="AB2289" s="70">
        <f>IF($A2289="","",N(S2289)*'Paramètres'!$AA$9*IFERROR(INDEX('Paramètres'!$O$5:$O$7,MATCH(G2289,'Paramètres'!$N$5:$N$7,0)),0))</f>
        <v/>
      </c>
      <c r="AC2289" s="7" t="n"/>
      <c r="AD2289" s="69">
        <f>IF(OR($A2289="",Q2289=""),"",(Q2289-B2289)*24)</f>
        <v/>
      </c>
      <c r="AE2289" s="69">
        <f>IF(OR(Q2289="",R2289=""),"",(R2289-Q2289)*24)</f>
        <v/>
      </c>
      <c r="AF2289" s="77">
        <f>IF(OR($A2289="",B2289=""),"",YEAR(B2289))</f>
        <v/>
      </c>
      <c r="AG2289" s="77">
        <f>IF(OR($A2289="",B2289=""),"",MONTH(B2289))</f>
        <v/>
      </c>
    </row>
    <row r="2290">
      <c r="A2290" s="7" t="n"/>
      <c r="B2290" s="75" t="n"/>
      <c r="C2290" s="7" t="n"/>
      <c r="D2290" s="7" t="n"/>
      <c r="E2290" s="9">
        <f>IF(D2290="","",IFERROR(INDEX('Équipements'!$B$5:$B$304,MATCH(D2290,'Équipements'!$A$5:$A$304,0)),"Code inconnu"))</f>
        <v/>
      </c>
      <c r="F2290" s="9">
        <f>IF(D2290="","",IFERROR(INDEX('Équipements'!$D$5:$D$304,MATCH(D2290,'Équipements'!$A$5:$A$304,0)),""))</f>
        <v/>
      </c>
      <c r="G2290" s="9">
        <f>IF(D2290="","",IFERROR(INDEX('Équipements'!$K$5:$K$304,MATCH(D2290,'Équipements'!$A$5:$A$304,0)),""))</f>
        <v/>
      </c>
      <c r="H2290" s="7" t="n"/>
      <c r="I2290" s="7" t="n"/>
      <c r="J2290" s="7" t="n"/>
      <c r="K2290" s="7" t="n"/>
      <c r="L2290" s="7" t="n"/>
      <c r="M2290" s="7" t="n"/>
      <c r="N2290" s="7" t="n"/>
      <c r="O2290" s="7" t="n"/>
      <c r="P2290" s="65" t="n"/>
      <c r="Q2290" s="75" t="n"/>
      <c r="R2290" s="75" t="n"/>
      <c r="S2290" s="76" t="n"/>
      <c r="T2290" s="76" t="n"/>
      <c r="U2290" s="70">
        <f>IF($A2290="","",IFERROR(INDEX('Techniciens'!$F$5:$F$44,MATCH(O2290,'Techniciens'!$B$5:$B$44,0)),'Paramètres'!$AA$10))</f>
        <v/>
      </c>
      <c r="V2290" s="70">
        <f>IF($A2290="","",IF(OR(AC2290="Demandé",AC2290="Planifié",AC2290="Annulé"),0,N(T2290)*N(U2290)))</f>
        <v/>
      </c>
      <c r="W2290" s="70">
        <f>IF($A2290="","",SUMIFS('Mouvements stock'!$H$5:$H$3004,'Mouvements stock'!$I$5:$I$3004,$A2290,'Mouvements stock'!$C$5:$C$3004,"Sortie")-SUMIFS('Mouvements stock'!$H$5:$H$3004,'Mouvements stock'!$I$5:$I$3004,$A2290,'Mouvements stock'!$C$5:$C$3004,"Retour"))</f>
        <v/>
      </c>
      <c r="X2290" s="66" t="n"/>
      <c r="Y2290" s="66" t="n"/>
      <c r="Z2290" s="7" t="n"/>
      <c r="AA2290" s="70">
        <f>IF($A2290="","",N(V2290)+N(W2290)+N(X2290)+N(Y2290))</f>
        <v/>
      </c>
      <c r="AB2290" s="70">
        <f>IF($A2290="","",N(S2290)*'Paramètres'!$AA$9*IFERROR(INDEX('Paramètres'!$O$5:$O$7,MATCH(G2290,'Paramètres'!$N$5:$N$7,0)),0))</f>
        <v/>
      </c>
      <c r="AC2290" s="7" t="n"/>
      <c r="AD2290" s="69">
        <f>IF(OR($A2290="",Q2290=""),"",(Q2290-B2290)*24)</f>
        <v/>
      </c>
      <c r="AE2290" s="69">
        <f>IF(OR(Q2290="",R2290=""),"",(R2290-Q2290)*24)</f>
        <v/>
      </c>
      <c r="AF2290" s="77">
        <f>IF(OR($A2290="",B2290=""),"",YEAR(B2290))</f>
        <v/>
      </c>
      <c r="AG2290" s="77">
        <f>IF(OR($A2290="",B2290=""),"",MONTH(B2290))</f>
        <v/>
      </c>
    </row>
    <row r="2291">
      <c r="A2291" s="7" t="n"/>
      <c r="B2291" s="75" t="n"/>
      <c r="C2291" s="7" t="n"/>
      <c r="D2291" s="7" t="n"/>
      <c r="E2291" s="9">
        <f>IF(D2291="","",IFERROR(INDEX('Équipements'!$B$5:$B$304,MATCH(D2291,'Équipements'!$A$5:$A$304,0)),"Code inconnu"))</f>
        <v/>
      </c>
      <c r="F2291" s="9">
        <f>IF(D2291="","",IFERROR(INDEX('Équipements'!$D$5:$D$304,MATCH(D2291,'Équipements'!$A$5:$A$304,0)),""))</f>
        <v/>
      </c>
      <c r="G2291" s="9">
        <f>IF(D2291="","",IFERROR(INDEX('Équipements'!$K$5:$K$304,MATCH(D2291,'Équipements'!$A$5:$A$304,0)),""))</f>
        <v/>
      </c>
      <c r="H2291" s="7" t="n"/>
      <c r="I2291" s="7" t="n"/>
      <c r="J2291" s="7" t="n"/>
      <c r="K2291" s="7" t="n"/>
      <c r="L2291" s="7" t="n"/>
      <c r="M2291" s="7" t="n"/>
      <c r="N2291" s="7" t="n"/>
      <c r="O2291" s="7" t="n"/>
      <c r="P2291" s="65" t="n"/>
      <c r="Q2291" s="75" t="n"/>
      <c r="R2291" s="75" t="n"/>
      <c r="S2291" s="76" t="n"/>
      <c r="T2291" s="76" t="n"/>
      <c r="U2291" s="70">
        <f>IF($A2291="","",IFERROR(INDEX('Techniciens'!$F$5:$F$44,MATCH(O2291,'Techniciens'!$B$5:$B$44,0)),'Paramètres'!$AA$10))</f>
        <v/>
      </c>
      <c r="V2291" s="70">
        <f>IF($A2291="","",IF(OR(AC2291="Demandé",AC2291="Planifié",AC2291="Annulé"),0,N(T2291)*N(U2291)))</f>
        <v/>
      </c>
      <c r="W2291" s="70">
        <f>IF($A2291="","",SUMIFS('Mouvements stock'!$H$5:$H$3004,'Mouvements stock'!$I$5:$I$3004,$A2291,'Mouvements stock'!$C$5:$C$3004,"Sortie")-SUMIFS('Mouvements stock'!$H$5:$H$3004,'Mouvements stock'!$I$5:$I$3004,$A2291,'Mouvements stock'!$C$5:$C$3004,"Retour"))</f>
        <v/>
      </c>
      <c r="X2291" s="66" t="n"/>
      <c r="Y2291" s="66" t="n"/>
      <c r="Z2291" s="7" t="n"/>
      <c r="AA2291" s="70">
        <f>IF($A2291="","",N(V2291)+N(W2291)+N(X2291)+N(Y2291))</f>
        <v/>
      </c>
      <c r="AB2291" s="70">
        <f>IF($A2291="","",N(S2291)*'Paramètres'!$AA$9*IFERROR(INDEX('Paramètres'!$O$5:$O$7,MATCH(G2291,'Paramètres'!$N$5:$N$7,0)),0))</f>
        <v/>
      </c>
      <c r="AC2291" s="7" t="n"/>
      <c r="AD2291" s="69">
        <f>IF(OR($A2291="",Q2291=""),"",(Q2291-B2291)*24)</f>
        <v/>
      </c>
      <c r="AE2291" s="69">
        <f>IF(OR(Q2291="",R2291=""),"",(R2291-Q2291)*24)</f>
        <v/>
      </c>
      <c r="AF2291" s="77">
        <f>IF(OR($A2291="",B2291=""),"",YEAR(B2291))</f>
        <v/>
      </c>
      <c r="AG2291" s="77">
        <f>IF(OR($A2291="",B2291=""),"",MONTH(B2291))</f>
        <v/>
      </c>
    </row>
    <row r="2292">
      <c r="A2292" s="7" t="n"/>
      <c r="B2292" s="75" t="n"/>
      <c r="C2292" s="7" t="n"/>
      <c r="D2292" s="7" t="n"/>
      <c r="E2292" s="9">
        <f>IF(D2292="","",IFERROR(INDEX('Équipements'!$B$5:$B$304,MATCH(D2292,'Équipements'!$A$5:$A$304,0)),"Code inconnu"))</f>
        <v/>
      </c>
      <c r="F2292" s="9">
        <f>IF(D2292="","",IFERROR(INDEX('Équipements'!$D$5:$D$304,MATCH(D2292,'Équipements'!$A$5:$A$304,0)),""))</f>
        <v/>
      </c>
      <c r="G2292" s="9">
        <f>IF(D2292="","",IFERROR(INDEX('Équipements'!$K$5:$K$304,MATCH(D2292,'Équipements'!$A$5:$A$304,0)),""))</f>
        <v/>
      </c>
      <c r="H2292" s="7" t="n"/>
      <c r="I2292" s="7" t="n"/>
      <c r="J2292" s="7" t="n"/>
      <c r="K2292" s="7" t="n"/>
      <c r="L2292" s="7" t="n"/>
      <c r="M2292" s="7" t="n"/>
      <c r="N2292" s="7" t="n"/>
      <c r="O2292" s="7" t="n"/>
      <c r="P2292" s="65" t="n"/>
      <c r="Q2292" s="75" t="n"/>
      <c r="R2292" s="75" t="n"/>
      <c r="S2292" s="76" t="n"/>
      <c r="T2292" s="76" t="n"/>
      <c r="U2292" s="70">
        <f>IF($A2292="","",IFERROR(INDEX('Techniciens'!$F$5:$F$44,MATCH(O2292,'Techniciens'!$B$5:$B$44,0)),'Paramètres'!$AA$10))</f>
        <v/>
      </c>
      <c r="V2292" s="70">
        <f>IF($A2292="","",IF(OR(AC2292="Demandé",AC2292="Planifié",AC2292="Annulé"),0,N(T2292)*N(U2292)))</f>
        <v/>
      </c>
      <c r="W2292" s="70">
        <f>IF($A2292="","",SUMIFS('Mouvements stock'!$H$5:$H$3004,'Mouvements stock'!$I$5:$I$3004,$A2292,'Mouvements stock'!$C$5:$C$3004,"Sortie")-SUMIFS('Mouvements stock'!$H$5:$H$3004,'Mouvements stock'!$I$5:$I$3004,$A2292,'Mouvements stock'!$C$5:$C$3004,"Retour"))</f>
        <v/>
      </c>
      <c r="X2292" s="66" t="n"/>
      <c r="Y2292" s="66" t="n"/>
      <c r="Z2292" s="7" t="n"/>
      <c r="AA2292" s="70">
        <f>IF($A2292="","",N(V2292)+N(W2292)+N(X2292)+N(Y2292))</f>
        <v/>
      </c>
      <c r="AB2292" s="70">
        <f>IF($A2292="","",N(S2292)*'Paramètres'!$AA$9*IFERROR(INDEX('Paramètres'!$O$5:$O$7,MATCH(G2292,'Paramètres'!$N$5:$N$7,0)),0))</f>
        <v/>
      </c>
      <c r="AC2292" s="7" t="n"/>
      <c r="AD2292" s="69">
        <f>IF(OR($A2292="",Q2292=""),"",(Q2292-B2292)*24)</f>
        <v/>
      </c>
      <c r="AE2292" s="69">
        <f>IF(OR(Q2292="",R2292=""),"",(R2292-Q2292)*24)</f>
        <v/>
      </c>
      <c r="AF2292" s="77">
        <f>IF(OR($A2292="",B2292=""),"",YEAR(B2292))</f>
        <v/>
      </c>
      <c r="AG2292" s="77">
        <f>IF(OR($A2292="",B2292=""),"",MONTH(B2292))</f>
        <v/>
      </c>
    </row>
    <row r="2293">
      <c r="A2293" s="7" t="n"/>
      <c r="B2293" s="75" t="n"/>
      <c r="C2293" s="7" t="n"/>
      <c r="D2293" s="7" t="n"/>
      <c r="E2293" s="9">
        <f>IF(D2293="","",IFERROR(INDEX('Équipements'!$B$5:$B$304,MATCH(D2293,'Équipements'!$A$5:$A$304,0)),"Code inconnu"))</f>
        <v/>
      </c>
      <c r="F2293" s="9">
        <f>IF(D2293="","",IFERROR(INDEX('Équipements'!$D$5:$D$304,MATCH(D2293,'Équipements'!$A$5:$A$304,0)),""))</f>
        <v/>
      </c>
      <c r="G2293" s="9">
        <f>IF(D2293="","",IFERROR(INDEX('Équipements'!$K$5:$K$304,MATCH(D2293,'Équipements'!$A$5:$A$304,0)),""))</f>
        <v/>
      </c>
      <c r="H2293" s="7" t="n"/>
      <c r="I2293" s="7" t="n"/>
      <c r="J2293" s="7" t="n"/>
      <c r="K2293" s="7" t="n"/>
      <c r="L2293" s="7" t="n"/>
      <c r="M2293" s="7" t="n"/>
      <c r="N2293" s="7" t="n"/>
      <c r="O2293" s="7" t="n"/>
      <c r="P2293" s="65" t="n"/>
      <c r="Q2293" s="75" t="n"/>
      <c r="R2293" s="75" t="n"/>
      <c r="S2293" s="76" t="n"/>
      <c r="T2293" s="76" t="n"/>
      <c r="U2293" s="70">
        <f>IF($A2293="","",IFERROR(INDEX('Techniciens'!$F$5:$F$44,MATCH(O2293,'Techniciens'!$B$5:$B$44,0)),'Paramètres'!$AA$10))</f>
        <v/>
      </c>
      <c r="V2293" s="70">
        <f>IF($A2293="","",IF(OR(AC2293="Demandé",AC2293="Planifié",AC2293="Annulé"),0,N(T2293)*N(U2293)))</f>
        <v/>
      </c>
      <c r="W2293" s="70">
        <f>IF($A2293="","",SUMIFS('Mouvements stock'!$H$5:$H$3004,'Mouvements stock'!$I$5:$I$3004,$A2293,'Mouvements stock'!$C$5:$C$3004,"Sortie")-SUMIFS('Mouvements stock'!$H$5:$H$3004,'Mouvements stock'!$I$5:$I$3004,$A2293,'Mouvements stock'!$C$5:$C$3004,"Retour"))</f>
        <v/>
      </c>
      <c r="X2293" s="66" t="n"/>
      <c r="Y2293" s="66" t="n"/>
      <c r="Z2293" s="7" t="n"/>
      <c r="AA2293" s="70">
        <f>IF($A2293="","",N(V2293)+N(W2293)+N(X2293)+N(Y2293))</f>
        <v/>
      </c>
      <c r="AB2293" s="70">
        <f>IF($A2293="","",N(S2293)*'Paramètres'!$AA$9*IFERROR(INDEX('Paramètres'!$O$5:$O$7,MATCH(G2293,'Paramètres'!$N$5:$N$7,0)),0))</f>
        <v/>
      </c>
      <c r="AC2293" s="7" t="n"/>
      <c r="AD2293" s="69">
        <f>IF(OR($A2293="",Q2293=""),"",(Q2293-B2293)*24)</f>
        <v/>
      </c>
      <c r="AE2293" s="69">
        <f>IF(OR(Q2293="",R2293=""),"",(R2293-Q2293)*24)</f>
        <v/>
      </c>
      <c r="AF2293" s="77">
        <f>IF(OR($A2293="",B2293=""),"",YEAR(B2293))</f>
        <v/>
      </c>
      <c r="AG2293" s="77">
        <f>IF(OR($A2293="",B2293=""),"",MONTH(B2293))</f>
        <v/>
      </c>
    </row>
    <row r="2294">
      <c r="A2294" s="7" t="n"/>
      <c r="B2294" s="75" t="n"/>
      <c r="C2294" s="7" t="n"/>
      <c r="D2294" s="7" t="n"/>
      <c r="E2294" s="9">
        <f>IF(D2294="","",IFERROR(INDEX('Équipements'!$B$5:$B$304,MATCH(D2294,'Équipements'!$A$5:$A$304,0)),"Code inconnu"))</f>
        <v/>
      </c>
      <c r="F2294" s="9">
        <f>IF(D2294="","",IFERROR(INDEX('Équipements'!$D$5:$D$304,MATCH(D2294,'Équipements'!$A$5:$A$304,0)),""))</f>
        <v/>
      </c>
      <c r="G2294" s="9">
        <f>IF(D2294="","",IFERROR(INDEX('Équipements'!$K$5:$K$304,MATCH(D2294,'Équipements'!$A$5:$A$304,0)),""))</f>
        <v/>
      </c>
      <c r="H2294" s="7" t="n"/>
      <c r="I2294" s="7" t="n"/>
      <c r="J2294" s="7" t="n"/>
      <c r="K2294" s="7" t="n"/>
      <c r="L2294" s="7" t="n"/>
      <c r="M2294" s="7" t="n"/>
      <c r="N2294" s="7" t="n"/>
      <c r="O2294" s="7" t="n"/>
      <c r="P2294" s="65" t="n"/>
      <c r="Q2294" s="75" t="n"/>
      <c r="R2294" s="75" t="n"/>
      <c r="S2294" s="76" t="n"/>
      <c r="T2294" s="76" t="n"/>
      <c r="U2294" s="70">
        <f>IF($A2294="","",IFERROR(INDEX('Techniciens'!$F$5:$F$44,MATCH(O2294,'Techniciens'!$B$5:$B$44,0)),'Paramètres'!$AA$10))</f>
        <v/>
      </c>
      <c r="V2294" s="70">
        <f>IF($A2294="","",IF(OR(AC2294="Demandé",AC2294="Planifié",AC2294="Annulé"),0,N(T2294)*N(U2294)))</f>
        <v/>
      </c>
      <c r="W2294" s="70">
        <f>IF($A2294="","",SUMIFS('Mouvements stock'!$H$5:$H$3004,'Mouvements stock'!$I$5:$I$3004,$A2294,'Mouvements stock'!$C$5:$C$3004,"Sortie")-SUMIFS('Mouvements stock'!$H$5:$H$3004,'Mouvements stock'!$I$5:$I$3004,$A2294,'Mouvements stock'!$C$5:$C$3004,"Retour"))</f>
        <v/>
      </c>
      <c r="X2294" s="66" t="n"/>
      <c r="Y2294" s="66" t="n"/>
      <c r="Z2294" s="7" t="n"/>
      <c r="AA2294" s="70">
        <f>IF($A2294="","",N(V2294)+N(W2294)+N(X2294)+N(Y2294))</f>
        <v/>
      </c>
      <c r="AB2294" s="70">
        <f>IF($A2294="","",N(S2294)*'Paramètres'!$AA$9*IFERROR(INDEX('Paramètres'!$O$5:$O$7,MATCH(G2294,'Paramètres'!$N$5:$N$7,0)),0))</f>
        <v/>
      </c>
      <c r="AC2294" s="7" t="n"/>
      <c r="AD2294" s="69">
        <f>IF(OR($A2294="",Q2294=""),"",(Q2294-B2294)*24)</f>
        <v/>
      </c>
      <c r="AE2294" s="69">
        <f>IF(OR(Q2294="",R2294=""),"",(R2294-Q2294)*24)</f>
        <v/>
      </c>
      <c r="AF2294" s="77">
        <f>IF(OR($A2294="",B2294=""),"",YEAR(B2294))</f>
        <v/>
      </c>
      <c r="AG2294" s="77">
        <f>IF(OR($A2294="",B2294=""),"",MONTH(B2294))</f>
        <v/>
      </c>
    </row>
    <row r="2295">
      <c r="A2295" s="7" t="n"/>
      <c r="B2295" s="75" t="n"/>
      <c r="C2295" s="7" t="n"/>
      <c r="D2295" s="7" t="n"/>
      <c r="E2295" s="9">
        <f>IF(D2295="","",IFERROR(INDEX('Équipements'!$B$5:$B$304,MATCH(D2295,'Équipements'!$A$5:$A$304,0)),"Code inconnu"))</f>
        <v/>
      </c>
      <c r="F2295" s="9">
        <f>IF(D2295="","",IFERROR(INDEX('Équipements'!$D$5:$D$304,MATCH(D2295,'Équipements'!$A$5:$A$304,0)),""))</f>
        <v/>
      </c>
      <c r="G2295" s="9">
        <f>IF(D2295="","",IFERROR(INDEX('Équipements'!$K$5:$K$304,MATCH(D2295,'Équipements'!$A$5:$A$304,0)),""))</f>
        <v/>
      </c>
      <c r="H2295" s="7" t="n"/>
      <c r="I2295" s="7" t="n"/>
      <c r="J2295" s="7" t="n"/>
      <c r="K2295" s="7" t="n"/>
      <c r="L2295" s="7" t="n"/>
      <c r="M2295" s="7" t="n"/>
      <c r="N2295" s="7" t="n"/>
      <c r="O2295" s="7" t="n"/>
      <c r="P2295" s="65" t="n"/>
      <c r="Q2295" s="75" t="n"/>
      <c r="R2295" s="75" t="n"/>
      <c r="S2295" s="76" t="n"/>
      <c r="T2295" s="76" t="n"/>
      <c r="U2295" s="70">
        <f>IF($A2295="","",IFERROR(INDEX('Techniciens'!$F$5:$F$44,MATCH(O2295,'Techniciens'!$B$5:$B$44,0)),'Paramètres'!$AA$10))</f>
        <v/>
      </c>
      <c r="V2295" s="70">
        <f>IF($A2295="","",IF(OR(AC2295="Demandé",AC2295="Planifié",AC2295="Annulé"),0,N(T2295)*N(U2295)))</f>
        <v/>
      </c>
      <c r="W2295" s="70">
        <f>IF($A2295="","",SUMIFS('Mouvements stock'!$H$5:$H$3004,'Mouvements stock'!$I$5:$I$3004,$A2295,'Mouvements stock'!$C$5:$C$3004,"Sortie")-SUMIFS('Mouvements stock'!$H$5:$H$3004,'Mouvements stock'!$I$5:$I$3004,$A2295,'Mouvements stock'!$C$5:$C$3004,"Retour"))</f>
        <v/>
      </c>
      <c r="X2295" s="66" t="n"/>
      <c r="Y2295" s="66" t="n"/>
      <c r="Z2295" s="7" t="n"/>
      <c r="AA2295" s="70">
        <f>IF($A2295="","",N(V2295)+N(W2295)+N(X2295)+N(Y2295))</f>
        <v/>
      </c>
      <c r="AB2295" s="70">
        <f>IF($A2295="","",N(S2295)*'Paramètres'!$AA$9*IFERROR(INDEX('Paramètres'!$O$5:$O$7,MATCH(G2295,'Paramètres'!$N$5:$N$7,0)),0))</f>
        <v/>
      </c>
      <c r="AC2295" s="7" t="n"/>
      <c r="AD2295" s="69">
        <f>IF(OR($A2295="",Q2295=""),"",(Q2295-B2295)*24)</f>
        <v/>
      </c>
      <c r="AE2295" s="69">
        <f>IF(OR(Q2295="",R2295=""),"",(R2295-Q2295)*24)</f>
        <v/>
      </c>
      <c r="AF2295" s="77">
        <f>IF(OR($A2295="",B2295=""),"",YEAR(B2295))</f>
        <v/>
      </c>
      <c r="AG2295" s="77">
        <f>IF(OR($A2295="",B2295=""),"",MONTH(B2295))</f>
        <v/>
      </c>
    </row>
    <row r="2296">
      <c r="A2296" s="7" t="n"/>
      <c r="B2296" s="75" t="n"/>
      <c r="C2296" s="7" t="n"/>
      <c r="D2296" s="7" t="n"/>
      <c r="E2296" s="9">
        <f>IF(D2296="","",IFERROR(INDEX('Équipements'!$B$5:$B$304,MATCH(D2296,'Équipements'!$A$5:$A$304,0)),"Code inconnu"))</f>
        <v/>
      </c>
      <c r="F2296" s="9">
        <f>IF(D2296="","",IFERROR(INDEX('Équipements'!$D$5:$D$304,MATCH(D2296,'Équipements'!$A$5:$A$304,0)),""))</f>
        <v/>
      </c>
      <c r="G2296" s="9">
        <f>IF(D2296="","",IFERROR(INDEX('Équipements'!$K$5:$K$304,MATCH(D2296,'Équipements'!$A$5:$A$304,0)),""))</f>
        <v/>
      </c>
      <c r="H2296" s="7" t="n"/>
      <c r="I2296" s="7" t="n"/>
      <c r="J2296" s="7" t="n"/>
      <c r="K2296" s="7" t="n"/>
      <c r="L2296" s="7" t="n"/>
      <c r="M2296" s="7" t="n"/>
      <c r="N2296" s="7" t="n"/>
      <c r="O2296" s="7" t="n"/>
      <c r="P2296" s="65" t="n"/>
      <c r="Q2296" s="75" t="n"/>
      <c r="R2296" s="75" t="n"/>
      <c r="S2296" s="76" t="n"/>
      <c r="T2296" s="76" t="n"/>
      <c r="U2296" s="70">
        <f>IF($A2296="","",IFERROR(INDEX('Techniciens'!$F$5:$F$44,MATCH(O2296,'Techniciens'!$B$5:$B$44,0)),'Paramètres'!$AA$10))</f>
        <v/>
      </c>
      <c r="V2296" s="70">
        <f>IF($A2296="","",IF(OR(AC2296="Demandé",AC2296="Planifié",AC2296="Annulé"),0,N(T2296)*N(U2296)))</f>
        <v/>
      </c>
      <c r="W2296" s="70">
        <f>IF($A2296="","",SUMIFS('Mouvements stock'!$H$5:$H$3004,'Mouvements stock'!$I$5:$I$3004,$A2296,'Mouvements stock'!$C$5:$C$3004,"Sortie")-SUMIFS('Mouvements stock'!$H$5:$H$3004,'Mouvements stock'!$I$5:$I$3004,$A2296,'Mouvements stock'!$C$5:$C$3004,"Retour"))</f>
        <v/>
      </c>
      <c r="X2296" s="66" t="n"/>
      <c r="Y2296" s="66" t="n"/>
      <c r="Z2296" s="7" t="n"/>
      <c r="AA2296" s="70">
        <f>IF($A2296="","",N(V2296)+N(W2296)+N(X2296)+N(Y2296))</f>
        <v/>
      </c>
      <c r="AB2296" s="70">
        <f>IF($A2296="","",N(S2296)*'Paramètres'!$AA$9*IFERROR(INDEX('Paramètres'!$O$5:$O$7,MATCH(G2296,'Paramètres'!$N$5:$N$7,0)),0))</f>
        <v/>
      </c>
      <c r="AC2296" s="7" t="n"/>
      <c r="AD2296" s="69">
        <f>IF(OR($A2296="",Q2296=""),"",(Q2296-B2296)*24)</f>
        <v/>
      </c>
      <c r="AE2296" s="69">
        <f>IF(OR(Q2296="",R2296=""),"",(R2296-Q2296)*24)</f>
        <v/>
      </c>
      <c r="AF2296" s="77">
        <f>IF(OR($A2296="",B2296=""),"",YEAR(B2296))</f>
        <v/>
      </c>
      <c r="AG2296" s="77">
        <f>IF(OR($A2296="",B2296=""),"",MONTH(B2296))</f>
        <v/>
      </c>
    </row>
    <row r="2297">
      <c r="A2297" s="7" t="n"/>
      <c r="B2297" s="75" t="n"/>
      <c r="C2297" s="7" t="n"/>
      <c r="D2297" s="7" t="n"/>
      <c r="E2297" s="9">
        <f>IF(D2297="","",IFERROR(INDEX('Équipements'!$B$5:$B$304,MATCH(D2297,'Équipements'!$A$5:$A$304,0)),"Code inconnu"))</f>
        <v/>
      </c>
      <c r="F2297" s="9">
        <f>IF(D2297="","",IFERROR(INDEX('Équipements'!$D$5:$D$304,MATCH(D2297,'Équipements'!$A$5:$A$304,0)),""))</f>
        <v/>
      </c>
      <c r="G2297" s="9">
        <f>IF(D2297="","",IFERROR(INDEX('Équipements'!$K$5:$K$304,MATCH(D2297,'Équipements'!$A$5:$A$304,0)),""))</f>
        <v/>
      </c>
      <c r="H2297" s="7" t="n"/>
      <c r="I2297" s="7" t="n"/>
      <c r="J2297" s="7" t="n"/>
      <c r="K2297" s="7" t="n"/>
      <c r="L2297" s="7" t="n"/>
      <c r="M2297" s="7" t="n"/>
      <c r="N2297" s="7" t="n"/>
      <c r="O2297" s="7" t="n"/>
      <c r="P2297" s="65" t="n"/>
      <c r="Q2297" s="75" t="n"/>
      <c r="R2297" s="75" t="n"/>
      <c r="S2297" s="76" t="n"/>
      <c r="T2297" s="76" t="n"/>
      <c r="U2297" s="70">
        <f>IF($A2297="","",IFERROR(INDEX('Techniciens'!$F$5:$F$44,MATCH(O2297,'Techniciens'!$B$5:$B$44,0)),'Paramètres'!$AA$10))</f>
        <v/>
      </c>
      <c r="V2297" s="70">
        <f>IF($A2297="","",IF(OR(AC2297="Demandé",AC2297="Planifié",AC2297="Annulé"),0,N(T2297)*N(U2297)))</f>
        <v/>
      </c>
      <c r="W2297" s="70">
        <f>IF($A2297="","",SUMIFS('Mouvements stock'!$H$5:$H$3004,'Mouvements stock'!$I$5:$I$3004,$A2297,'Mouvements stock'!$C$5:$C$3004,"Sortie")-SUMIFS('Mouvements stock'!$H$5:$H$3004,'Mouvements stock'!$I$5:$I$3004,$A2297,'Mouvements stock'!$C$5:$C$3004,"Retour"))</f>
        <v/>
      </c>
      <c r="X2297" s="66" t="n"/>
      <c r="Y2297" s="66" t="n"/>
      <c r="Z2297" s="7" t="n"/>
      <c r="AA2297" s="70">
        <f>IF($A2297="","",N(V2297)+N(W2297)+N(X2297)+N(Y2297))</f>
        <v/>
      </c>
      <c r="AB2297" s="70">
        <f>IF($A2297="","",N(S2297)*'Paramètres'!$AA$9*IFERROR(INDEX('Paramètres'!$O$5:$O$7,MATCH(G2297,'Paramètres'!$N$5:$N$7,0)),0))</f>
        <v/>
      </c>
      <c r="AC2297" s="7" t="n"/>
      <c r="AD2297" s="69">
        <f>IF(OR($A2297="",Q2297=""),"",(Q2297-B2297)*24)</f>
        <v/>
      </c>
      <c r="AE2297" s="69">
        <f>IF(OR(Q2297="",R2297=""),"",(R2297-Q2297)*24)</f>
        <v/>
      </c>
      <c r="AF2297" s="77">
        <f>IF(OR($A2297="",B2297=""),"",YEAR(B2297))</f>
        <v/>
      </c>
      <c r="AG2297" s="77">
        <f>IF(OR($A2297="",B2297=""),"",MONTH(B2297))</f>
        <v/>
      </c>
    </row>
    <row r="2298">
      <c r="A2298" s="7" t="n"/>
      <c r="B2298" s="75" t="n"/>
      <c r="C2298" s="7" t="n"/>
      <c r="D2298" s="7" t="n"/>
      <c r="E2298" s="9">
        <f>IF(D2298="","",IFERROR(INDEX('Équipements'!$B$5:$B$304,MATCH(D2298,'Équipements'!$A$5:$A$304,0)),"Code inconnu"))</f>
        <v/>
      </c>
      <c r="F2298" s="9">
        <f>IF(D2298="","",IFERROR(INDEX('Équipements'!$D$5:$D$304,MATCH(D2298,'Équipements'!$A$5:$A$304,0)),""))</f>
        <v/>
      </c>
      <c r="G2298" s="9">
        <f>IF(D2298="","",IFERROR(INDEX('Équipements'!$K$5:$K$304,MATCH(D2298,'Équipements'!$A$5:$A$304,0)),""))</f>
        <v/>
      </c>
      <c r="H2298" s="7" t="n"/>
      <c r="I2298" s="7" t="n"/>
      <c r="J2298" s="7" t="n"/>
      <c r="K2298" s="7" t="n"/>
      <c r="L2298" s="7" t="n"/>
      <c r="M2298" s="7" t="n"/>
      <c r="N2298" s="7" t="n"/>
      <c r="O2298" s="7" t="n"/>
      <c r="P2298" s="65" t="n"/>
      <c r="Q2298" s="75" t="n"/>
      <c r="R2298" s="75" t="n"/>
      <c r="S2298" s="76" t="n"/>
      <c r="T2298" s="76" t="n"/>
      <c r="U2298" s="70">
        <f>IF($A2298="","",IFERROR(INDEX('Techniciens'!$F$5:$F$44,MATCH(O2298,'Techniciens'!$B$5:$B$44,0)),'Paramètres'!$AA$10))</f>
        <v/>
      </c>
      <c r="V2298" s="70">
        <f>IF($A2298="","",IF(OR(AC2298="Demandé",AC2298="Planifié",AC2298="Annulé"),0,N(T2298)*N(U2298)))</f>
        <v/>
      </c>
      <c r="W2298" s="70">
        <f>IF($A2298="","",SUMIFS('Mouvements stock'!$H$5:$H$3004,'Mouvements stock'!$I$5:$I$3004,$A2298,'Mouvements stock'!$C$5:$C$3004,"Sortie")-SUMIFS('Mouvements stock'!$H$5:$H$3004,'Mouvements stock'!$I$5:$I$3004,$A2298,'Mouvements stock'!$C$5:$C$3004,"Retour"))</f>
        <v/>
      </c>
      <c r="X2298" s="66" t="n"/>
      <c r="Y2298" s="66" t="n"/>
      <c r="Z2298" s="7" t="n"/>
      <c r="AA2298" s="70">
        <f>IF($A2298="","",N(V2298)+N(W2298)+N(X2298)+N(Y2298))</f>
        <v/>
      </c>
      <c r="AB2298" s="70">
        <f>IF($A2298="","",N(S2298)*'Paramètres'!$AA$9*IFERROR(INDEX('Paramètres'!$O$5:$O$7,MATCH(G2298,'Paramètres'!$N$5:$N$7,0)),0))</f>
        <v/>
      </c>
      <c r="AC2298" s="7" t="n"/>
      <c r="AD2298" s="69">
        <f>IF(OR($A2298="",Q2298=""),"",(Q2298-B2298)*24)</f>
        <v/>
      </c>
      <c r="AE2298" s="69">
        <f>IF(OR(Q2298="",R2298=""),"",(R2298-Q2298)*24)</f>
        <v/>
      </c>
      <c r="AF2298" s="77">
        <f>IF(OR($A2298="",B2298=""),"",YEAR(B2298))</f>
        <v/>
      </c>
      <c r="AG2298" s="77">
        <f>IF(OR($A2298="",B2298=""),"",MONTH(B2298))</f>
        <v/>
      </c>
    </row>
    <row r="2299">
      <c r="A2299" s="7" t="n"/>
      <c r="B2299" s="75" t="n"/>
      <c r="C2299" s="7" t="n"/>
      <c r="D2299" s="7" t="n"/>
      <c r="E2299" s="9">
        <f>IF(D2299="","",IFERROR(INDEX('Équipements'!$B$5:$B$304,MATCH(D2299,'Équipements'!$A$5:$A$304,0)),"Code inconnu"))</f>
        <v/>
      </c>
      <c r="F2299" s="9">
        <f>IF(D2299="","",IFERROR(INDEX('Équipements'!$D$5:$D$304,MATCH(D2299,'Équipements'!$A$5:$A$304,0)),""))</f>
        <v/>
      </c>
      <c r="G2299" s="9">
        <f>IF(D2299="","",IFERROR(INDEX('Équipements'!$K$5:$K$304,MATCH(D2299,'Équipements'!$A$5:$A$304,0)),""))</f>
        <v/>
      </c>
      <c r="H2299" s="7" t="n"/>
      <c r="I2299" s="7" t="n"/>
      <c r="J2299" s="7" t="n"/>
      <c r="K2299" s="7" t="n"/>
      <c r="L2299" s="7" t="n"/>
      <c r="M2299" s="7" t="n"/>
      <c r="N2299" s="7" t="n"/>
      <c r="O2299" s="7" t="n"/>
      <c r="P2299" s="65" t="n"/>
      <c r="Q2299" s="75" t="n"/>
      <c r="R2299" s="75" t="n"/>
      <c r="S2299" s="76" t="n"/>
      <c r="T2299" s="76" t="n"/>
      <c r="U2299" s="70">
        <f>IF($A2299="","",IFERROR(INDEX('Techniciens'!$F$5:$F$44,MATCH(O2299,'Techniciens'!$B$5:$B$44,0)),'Paramètres'!$AA$10))</f>
        <v/>
      </c>
      <c r="V2299" s="70">
        <f>IF($A2299="","",IF(OR(AC2299="Demandé",AC2299="Planifié",AC2299="Annulé"),0,N(T2299)*N(U2299)))</f>
        <v/>
      </c>
      <c r="W2299" s="70">
        <f>IF($A2299="","",SUMIFS('Mouvements stock'!$H$5:$H$3004,'Mouvements stock'!$I$5:$I$3004,$A2299,'Mouvements stock'!$C$5:$C$3004,"Sortie")-SUMIFS('Mouvements stock'!$H$5:$H$3004,'Mouvements stock'!$I$5:$I$3004,$A2299,'Mouvements stock'!$C$5:$C$3004,"Retour"))</f>
        <v/>
      </c>
      <c r="X2299" s="66" t="n"/>
      <c r="Y2299" s="66" t="n"/>
      <c r="Z2299" s="7" t="n"/>
      <c r="AA2299" s="70">
        <f>IF($A2299="","",N(V2299)+N(W2299)+N(X2299)+N(Y2299))</f>
        <v/>
      </c>
      <c r="AB2299" s="70">
        <f>IF($A2299="","",N(S2299)*'Paramètres'!$AA$9*IFERROR(INDEX('Paramètres'!$O$5:$O$7,MATCH(G2299,'Paramètres'!$N$5:$N$7,0)),0))</f>
        <v/>
      </c>
      <c r="AC2299" s="7" t="n"/>
      <c r="AD2299" s="69">
        <f>IF(OR($A2299="",Q2299=""),"",(Q2299-B2299)*24)</f>
        <v/>
      </c>
      <c r="AE2299" s="69">
        <f>IF(OR(Q2299="",R2299=""),"",(R2299-Q2299)*24)</f>
        <v/>
      </c>
      <c r="AF2299" s="77">
        <f>IF(OR($A2299="",B2299=""),"",YEAR(B2299))</f>
        <v/>
      </c>
      <c r="AG2299" s="77">
        <f>IF(OR($A2299="",B2299=""),"",MONTH(B2299))</f>
        <v/>
      </c>
    </row>
    <row r="2300">
      <c r="A2300" s="7" t="n"/>
      <c r="B2300" s="75" t="n"/>
      <c r="C2300" s="7" t="n"/>
      <c r="D2300" s="7" t="n"/>
      <c r="E2300" s="9">
        <f>IF(D2300="","",IFERROR(INDEX('Équipements'!$B$5:$B$304,MATCH(D2300,'Équipements'!$A$5:$A$304,0)),"Code inconnu"))</f>
        <v/>
      </c>
      <c r="F2300" s="9">
        <f>IF(D2300="","",IFERROR(INDEX('Équipements'!$D$5:$D$304,MATCH(D2300,'Équipements'!$A$5:$A$304,0)),""))</f>
        <v/>
      </c>
      <c r="G2300" s="9">
        <f>IF(D2300="","",IFERROR(INDEX('Équipements'!$K$5:$K$304,MATCH(D2300,'Équipements'!$A$5:$A$304,0)),""))</f>
        <v/>
      </c>
      <c r="H2300" s="7" t="n"/>
      <c r="I2300" s="7" t="n"/>
      <c r="J2300" s="7" t="n"/>
      <c r="K2300" s="7" t="n"/>
      <c r="L2300" s="7" t="n"/>
      <c r="M2300" s="7" t="n"/>
      <c r="N2300" s="7" t="n"/>
      <c r="O2300" s="7" t="n"/>
      <c r="P2300" s="65" t="n"/>
      <c r="Q2300" s="75" t="n"/>
      <c r="R2300" s="75" t="n"/>
      <c r="S2300" s="76" t="n"/>
      <c r="T2300" s="76" t="n"/>
      <c r="U2300" s="70">
        <f>IF($A2300="","",IFERROR(INDEX('Techniciens'!$F$5:$F$44,MATCH(O2300,'Techniciens'!$B$5:$B$44,0)),'Paramètres'!$AA$10))</f>
        <v/>
      </c>
      <c r="V2300" s="70">
        <f>IF($A2300="","",IF(OR(AC2300="Demandé",AC2300="Planifié",AC2300="Annulé"),0,N(T2300)*N(U2300)))</f>
        <v/>
      </c>
      <c r="W2300" s="70">
        <f>IF($A2300="","",SUMIFS('Mouvements stock'!$H$5:$H$3004,'Mouvements stock'!$I$5:$I$3004,$A2300,'Mouvements stock'!$C$5:$C$3004,"Sortie")-SUMIFS('Mouvements stock'!$H$5:$H$3004,'Mouvements stock'!$I$5:$I$3004,$A2300,'Mouvements stock'!$C$5:$C$3004,"Retour"))</f>
        <v/>
      </c>
      <c r="X2300" s="66" t="n"/>
      <c r="Y2300" s="66" t="n"/>
      <c r="Z2300" s="7" t="n"/>
      <c r="AA2300" s="70">
        <f>IF($A2300="","",N(V2300)+N(W2300)+N(X2300)+N(Y2300))</f>
        <v/>
      </c>
      <c r="AB2300" s="70">
        <f>IF($A2300="","",N(S2300)*'Paramètres'!$AA$9*IFERROR(INDEX('Paramètres'!$O$5:$O$7,MATCH(G2300,'Paramètres'!$N$5:$N$7,0)),0))</f>
        <v/>
      </c>
      <c r="AC2300" s="7" t="n"/>
      <c r="AD2300" s="69">
        <f>IF(OR($A2300="",Q2300=""),"",(Q2300-B2300)*24)</f>
        <v/>
      </c>
      <c r="AE2300" s="69">
        <f>IF(OR(Q2300="",R2300=""),"",(R2300-Q2300)*24)</f>
        <v/>
      </c>
      <c r="AF2300" s="77">
        <f>IF(OR($A2300="",B2300=""),"",YEAR(B2300))</f>
        <v/>
      </c>
      <c r="AG2300" s="77">
        <f>IF(OR($A2300="",B2300=""),"",MONTH(B2300))</f>
        <v/>
      </c>
    </row>
    <row r="2301">
      <c r="A2301" s="7" t="n"/>
      <c r="B2301" s="75" t="n"/>
      <c r="C2301" s="7" t="n"/>
      <c r="D2301" s="7" t="n"/>
      <c r="E2301" s="9">
        <f>IF(D2301="","",IFERROR(INDEX('Équipements'!$B$5:$B$304,MATCH(D2301,'Équipements'!$A$5:$A$304,0)),"Code inconnu"))</f>
        <v/>
      </c>
      <c r="F2301" s="9">
        <f>IF(D2301="","",IFERROR(INDEX('Équipements'!$D$5:$D$304,MATCH(D2301,'Équipements'!$A$5:$A$304,0)),""))</f>
        <v/>
      </c>
      <c r="G2301" s="9">
        <f>IF(D2301="","",IFERROR(INDEX('Équipements'!$K$5:$K$304,MATCH(D2301,'Équipements'!$A$5:$A$304,0)),""))</f>
        <v/>
      </c>
      <c r="H2301" s="7" t="n"/>
      <c r="I2301" s="7" t="n"/>
      <c r="J2301" s="7" t="n"/>
      <c r="K2301" s="7" t="n"/>
      <c r="L2301" s="7" t="n"/>
      <c r="M2301" s="7" t="n"/>
      <c r="N2301" s="7" t="n"/>
      <c r="O2301" s="7" t="n"/>
      <c r="P2301" s="65" t="n"/>
      <c r="Q2301" s="75" t="n"/>
      <c r="R2301" s="75" t="n"/>
      <c r="S2301" s="76" t="n"/>
      <c r="T2301" s="76" t="n"/>
      <c r="U2301" s="70">
        <f>IF($A2301="","",IFERROR(INDEX('Techniciens'!$F$5:$F$44,MATCH(O2301,'Techniciens'!$B$5:$B$44,0)),'Paramètres'!$AA$10))</f>
        <v/>
      </c>
      <c r="V2301" s="70">
        <f>IF($A2301="","",IF(OR(AC2301="Demandé",AC2301="Planifié",AC2301="Annulé"),0,N(T2301)*N(U2301)))</f>
        <v/>
      </c>
      <c r="W2301" s="70">
        <f>IF($A2301="","",SUMIFS('Mouvements stock'!$H$5:$H$3004,'Mouvements stock'!$I$5:$I$3004,$A2301,'Mouvements stock'!$C$5:$C$3004,"Sortie")-SUMIFS('Mouvements stock'!$H$5:$H$3004,'Mouvements stock'!$I$5:$I$3004,$A2301,'Mouvements stock'!$C$5:$C$3004,"Retour"))</f>
        <v/>
      </c>
      <c r="X2301" s="66" t="n"/>
      <c r="Y2301" s="66" t="n"/>
      <c r="Z2301" s="7" t="n"/>
      <c r="AA2301" s="70">
        <f>IF($A2301="","",N(V2301)+N(W2301)+N(X2301)+N(Y2301))</f>
        <v/>
      </c>
      <c r="AB2301" s="70">
        <f>IF($A2301="","",N(S2301)*'Paramètres'!$AA$9*IFERROR(INDEX('Paramètres'!$O$5:$O$7,MATCH(G2301,'Paramètres'!$N$5:$N$7,0)),0))</f>
        <v/>
      </c>
      <c r="AC2301" s="7" t="n"/>
      <c r="AD2301" s="69">
        <f>IF(OR($A2301="",Q2301=""),"",(Q2301-B2301)*24)</f>
        <v/>
      </c>
      <c r="AE2301" s="69">
        <f>IF(OR(Q2301="",R2301=""),"",(R2301-Q2301)*24)</f>
        <v/>
      </c>
      <c r="AF2301" s="77">
        <f>IF(OR($A2301="",B2301=""),"",YEAR(B2301))</f>
        <v/>
      </c>
      <c r="AG2301" s="77">
        <f>IF(OR($A2301="",B2301=""),"",MONTH(B2301))</f>
        <v/>
      </c>
    </row>
    <row r="2302">
      <c r="A2302" s="7" t="n"/>
      <c r="B2302" s="75" t="n"/>
      <c r="C2302" s="7" t="n"/>
      <c r="D2302" s="7" t="n"/>
      <c r="E2302" s="9">
        <f>IF(D2302="","",IFERROR(INDEX('Équipements'!$B$5:$B$304,MATCH(D2302,'Équipements'!$A$5:$A$304,0)),"Code inconnu"))</f>
        <v/>
      </c>
      <c r="F2302" s="9">
        <f>IF(D2302="","",IFERROR(INDEX('Équipements'!$D$5:$D$304,MATCH(D2302,'Équipements'!$A$5:$A$304,0)),""))</f>
        <v/>
      </c>
      <c r="G2302" s="9">
        <f>IF(D2302="","",IFERROR(INDEX('Équipements'!$K$5:$K$304,MATCH(D2302,'Équipements'!$A$5:$A$304,0)),""))</f>
        <v/>
      </c>
      <c r="H2302" s="7" t="n"/>
      <c r="I2302" s="7" t="n"/>
      <c r="J2302" s="7" t="n"/>
      <c r="K2302" s="7" t="n"/>
      <c r="L2302" s="7" t="n"/>
      <c r="M2302" s="7" t="n"/>
      <c r="N2302" s="7" t="n"/>
      <c r="O2302" s="7" t="n"/>
      <c r="P2302" s="65" t="n"/>
      <c r="Q2302" s="75" t="n"/>
      <c r="R2302" s="75" t="n"/>
      <c r="S2302" s="76" t="n"/>
      <c r="T2302" s="76" t="n"/>
      <c r="U2302" s="70">
        <f>IF($A2302="","",IFERROR(INDEX('Techniciens'!$F$5:$F$44,MATCH(O2302,'Techniciens'!$B$5:$B$44,0)),'Paramètres'!$AA$10))</f>
        <v/>
      </c>
      <c r="V2302" s="70">
        <f>IF($A2302="","",IF(OR(AC2302="Demandé",AC2302="Planifié",AC2302="Annulé"),0,N(T2302)*N(U2302)))</f>
        <v/>
      </c>
      <c r="W2302" s="70">
        <f>IF($A2302="","",SUMIFS('Mouvements stock'!$H$5:$H$3004,'Mouvements stock'!$I$5:$I$3004,$A2302,'Mouvements stock'!$C$5:$C$3004,"Sortie")-SUMIFS('Mouvements stock'!$H$5:$H$3004,'Mouvements stock'!$I$5:$I$3004,$A2302,'Mouvements stock'!$C$5:$C$3004,"Retour"))</f>
        <v/>
      </c>
      <c r="X2302" s="66" t="n"/>
      <c r="Y2302" s="66" t="n"/>
      <c r="Z2302" s="7" t="n"/>
      <c r="AA2302" s="70">
        <f>IF($A2302="","",N(V2302)+N(W2302)+N(X2302)+N(Y2302))</f>
        <v/>
      </c>
      <c r="AB2302" s="70">
        <f>IF($A2302="","",N(S2302)*'Paramètres'!$AA$9*IFERROR(INDEX('Paramètres'!$O$5:$O$7,MATCH(G2302,'Paramètres'!$N$5:$N$7,0)),0))</f>
        <v/>
      </c>
      <c r="AC2302" s="7" t="n"/>
      <c r="AD2302" s="69">
        <f>IF(OR($A2302="",Q2302=""),"",(Q2302-B2302)*24)</f>
        <v/>
      </c>
      <c r="AE2302" s="69">
        <f>IF(OR(Q2302="",R2302=""),"",(R2302-Q2302)*24)</f>
        <v/>
      </c>
      <c r="AF2302" s="77">
        <f>IF(OR($A2302="",B2302=""),"",YEAR(B2302))</f>
        <v/>
      </c>
      <c r="AG2302" s="77">
        <f>IF(OR($A2302="",B2302=""),"",MONTH(B2302))</f>
        <v/>
      </c>
    </row>
    <row r="2303">
      <c r="A2303" s="7" t="n"/>
      <c r="B2303" s="75" t="n"/>
      <c r="C2303" s="7" t="n"/>
      <c r="D2303" s="7" t="n"/>
      <c r="E2303" s="9">
        <f>IF(D2303="","",IFERROR(INDEX('Équipements'!$B$5:$B$304,MATCH(D2303,'Équipements'!$A$5:$A$304,0)),"Code inconnu"))</f>
        <v/>
      </c>
      <c r="F2303" s="9">
        <f>IF(D2303="","",IFERROR(INDEX('Équipements'!$D$5:$D$304,MATCH(D2303,'Équipements'!$A$5:$A$304,0)),""))</f>
        <v/>
      </c>
      <c r="G2303" s="9">
        <f>IF(D2303="","",IFERROR(INDEX('Équipements'!$K$5:$K$304,MATCH(D2303,'Équipements'!$A$5:$A$304,0)),""))</f>
        <v/>
      </c>
      <c r="H2303" s="7" t="n"/>
      <c r="I2303" s="7" t="n"/>
      <c r="J2303" s="7" t="n"/>
      <c r="K2303" s="7" t="n"/>
      <c r="L2303" s="7" t="n"/>
      <c r="M2303" s="7" t="n"/>
      <c r="N2303" s="7" t="n"/>
      <c r="O2303" s="7" t="n"/>
      <c r="P2303" s="65" t="n"/>
      <c r="Q2303" s="75" t="n"/>
      <c r="R2303" s="75" t="n"/>
      <c r="S2303" s="76" t="n"/>
      <c r="T2303" s="76" t="n"/>
      <c r="U2303" s="70">
        <f>IF($A2303="","",IFERROR(INDEX('Techniciens'!$F$5:$F$44,MATCH(O2303,'Techniciens'!$B$5:$B$44,0)),'Paramètres'!$AA$10))</f>
        <v/>
      </c>
      <c r="V2303" s="70">
        <f>IF($A2303="","",IF(OR(AC2303="Demandé",AC2303="Planifié",AC2303="Annulé"),0,N(T2303)*N(U2303)))</f>
        <v/>
      </c>
      <c r="W2303" s="70">
        <f>IF($A2303="","",SUMIFS('Mouvements stock'!$H$5:$H$3004,'Mouvements stock'!$I$5:$I$3004,$A2303,'Mouvements stock'!$C$5:$C$3004,"Sortie")-SUMIFS('Mouvements stock'!$H$5:$H$3004,'Mouvements stock'!$I$5:$I$3004,$A2303,'Mouvements stock'!$C$5:$C$3004,"Retour"))</f>
        <v/>
      </c>
      <c r="X2303" s="66" t="n"/>
      <c r="Y2303" s="66" t="n"/>
      <c r="Z2303" s="7" t="n"/>
      <c r="AA2303" s="70">
        <f>IF($A2303="","",N(V2303)+N(W2303)+N(X2303)+N(Y2303))</f>
        <v/>
      </c>
      <c r="AB2303" s="70">
        <f>IF($A2303="","",N(S2303)*'Paramètres'!$AA$9*IFERROR(INDEX('Paramètres'!$O$5:$O$7,MATCH(G2303,'Paramètres'!$N$5:$N$7,0)),0))</f>
        <v/>
      </c>
      <c r="AC2303" s="7" t="n"/>
      <c r="AD2303" s="69">
        <f>IF(OR($A2303="",Q2303=""),"",(Q2303-B2303)*24)</f>
        <v/>
      </c>
      <c r="AE2303" s="69">
        <f>IF(OR(Q2303="",R2303=""),"",(R2303-Q2303)*24)</f>
        <v/>
      </c>
      <c r="AF2303" s="77">
        <f>IF(OR($A2303="",B2303=""),"",YEAR(B2303))</f>
        <v/>
      </c>
      <c r="AG2303" s="77">
        <f>IF(OR($A2303="",B2303=""),"",MONTH(B2303))</f>
        <v/>
      </c>
    </row>
    <row r="2304">
      <c r="A2304" s="7" t="n"/>
      <c r="B2304" s="75" t="n"/>
      <c r="C2304" s="7" t="n"/>
      <c r="D2304" s="7" t="n"/>
      <c r="E2304" s="9">
        <f>IF(D2304="","",IFERROR(INDEX('Équipements'!$B$5:$B$304,MATCH(D2304,'Équipements'!$A$5:$A$304,0)),"Code inconnu"))</f>
        <v/>
      </c>
      <c r="F2304" s="9">
        <f>IF(D2304="","",IFERROR(INDEX('Équipements'!$D$5:$D$304,MATCH(D2304,'Équipements'!$A$5:$A$304,0)),""))</f>
        <v/>
      </c>
      <c r="G2304" s="9">
        <f>IF(D2304="","",IFERROR(INDEX('Équipements'!$K$5:$K$304,MATCH(D2304,'Équipements'!$A$5:$A$304,0)),""))</f>
        <v/>
      </c>
      <c r="H2304" s="7" t="n"/>
      <c r="I2304" s="7" t="n"/>
      <c r="J2304" s="7" t="n"/>
      <c r="K2304" s="7" t="n"/>
      <c r="L2304" s="7" t="n"/>
      <c r="M2304" s="7" t="n"/>
      <c r="N2304" s="7" t="n"/>
      <c r="O2304" s="7" t="n"/>
      <c r="P2304" s="65" t="n"/>
      <c r="Q2304" s="75" t="n"/>
      <c r="R2304" s="75" t="n"/>
      <c r="S2304" s="76" t="n"/>
      <c r="T2304" s="76" t="n"/>
      <c r="U2304" s="70">
        <f>IF($A2304="","",IFERROR(INDEX('Techniciens'!$F$5:$F$44,MATCH(O2304,'Techniciens'!$B$5:$B$44,0)),'Paramètres'!$AA$10))</f>
        <v/>
      </c>
      <c r="V2304" s="70">
        <f>IF($A2304="","",IF(OR(AC2304="Demandé",AC2304="Planifié",AC2304="Annulé"),0,N(T2304)*N(U2304)))</f>
        <v/>
      </c>
      <c r="W2304" s="70">
        <f>IF($A2304="","",SUMIFS('Mouvements stock'!$H$5:$H$3004,'Mouvements stock'!$I$5:$I$3004,$A2304,'Mouvements stock'!$C$5:$C$3004,"Sortie")-SUMIFS('Mouvements stock'!$H$5:$H$3004,'Mouvements stock'!$I$5:$I$3004,$A2304,'Mouvements stock'!$C$5:$C$3004,"Retour"))</f>
        <v/>
      </c>
      <c r="X2304" s="66" t="n"/>
      <c r="Y2304" s="66" t="n"/>
      <c r="Z2304" s="7" t="n"/>
      <c r="AA2304" s="70">
        <f>IF($A2304="","",N(V2304)+N(W2304)+N(X2304)+N(Y2304))</f>
        <v/>
      </c>
      <c r="AB2304" s="70">
        <f>IF($A2304="","",N(S2304)*'Paramètres'!$AA$9*IFERROR(INDEX('Paramètres'!$O$5:$O$7,MATCH(G2304,'Paramètres'!$N$5:$N$7,0)),0))</f>
        <v/>
      </c>
      <c r="AC2304" s="7" t="n"/>
      <c r="AD2304" s="69">
        <f>IF(OR($A2304="",Q2304=""),"",(Q2304-B2304)*24)</f>
        <v/>
      </c>
      <c r="AE2304" s="69">
        <f>IF(OR(Q2304="",R2304=""),"",(R2304-Q2304)*24)</f>
        <v/>
      </c>
      <c r="AF2304" s="77">
        <f>IF(OR($A2304="",B2304=""),"",YEAR(B2304))</f>
        <v/>
      </c>
      <c r="AG2304" s="77">
        <f>IF(OR($A2304="",B2304=""),"",MONTH(B2304))</f>
        <v/>
      </c>
    </row>
    <row r="2305">
      <c r="A2305" s="7" t="n"/>
      <c r="B2305" s="75" t="n"/>
      <c r="C2305" s="7" t="n"/>
      <c r="D2305" s="7" t="n"/>
      <c r="E2305" s="9">
        <f>IF(D2305="","",IFERROR(INDEX('Équipements'!$B$5:$B$304,MATCH(D2305,'Équipements'!$A$5:$A$304,0)),"Code inconnu"))</f>
        <v/>
      </c>
      <c r="F2305" s="9">
        <f>IF(D2305="","",IFERROR(INDEX('Équipements'!$D$5:$D$304,MATCH(D2305,'Équipements'!$A$5:$A$304,0)),""))</f>
        <v/>
      </c>
      <c r="G2305" s="9">
        <f>IF(D2305="","",IFERROR(INDEX('Équipements'!$K$5:$K$304,MATCH(D2305,'Équipements'!$A$5:$A$304,0)),""))</f>
        <v/>
      </c>
      <c r="H2305" s="7" t="n"/>
      <c r="I2305" s="7" t="n"/>
      <c r="J2305" s="7" t="n"/>
      <c r="K2305" s="7" t="n"/>
      <c r="L2305" s="7" t="n"/>
      <c r="M2305" s="7" t="n"/>
      <c r="N2305" s="7" t="n"/>
      <c r="O2305" s="7" t="n"/>
      <c r="P2305" s="65" t="n"/>
      <c r="Q2305" s="75" t="n"/>
      <c r="R2305" s="75" t="n"/>
      <c r="S2305" s="76" t="n"/>
      <c r="T2305" s="76" t="n"/>
      <c r="U2305" s="70">
        <f>IF($A2305="","",IFERROR(INDEX('Techniciens'!$F$5:$F$44,MATCH(O2305,'Techniciens'!$B$5:$B$44,0)),'Paramètres'!$AA$10))</f>
        <v/>
      </c>
      <c r="V2305" s="70">
        <f>IF($A2305="","",IF(OR(AC2305="Demandé",AC2305="Planifié",AC2305="Annulé"),0,N(T2305)*N(U2305)))</f>
        <v/>
      </c>
      <c r="W2305" s="70">
        <f>IF($A2305="","",SUMIFS('Mouvements stock'!$H$5:$H$3004,'Mouvements stock'!$I$5:$I$3004,$A2305,'Mouvements stock'!$C$5:$C$3004,"Sortie")-SUMIFS('Mouvements stock'!$H$5:$H$3004,'Mouvements stock'!$I$5:$I$3004,$A2305,'Mouvements stock'!$C$5:$C$3004,"Retour"))</f>
        <v/>
      </c>
      <c r="X2305" s="66" t="n"/>
      <c r="Y2305" s="66" t="n"/>
      <c r="Z2305" s="7" t="n"/>
      <c r="AA2305" s="70">
        <f>IF($A2305="","",N(V2305)+N(W2305)+N(X2305)+N(Y2305))</f>
        <v/>
      </c>
      <c r="AB2305" s="70">
        <f>IF($A2305="","",N(S2305)*'Paramètres'!$AA$9*IFERROR(INDEX('Paramètres'!$O$5:$O$7,MATCH(G2305,'Paramètres'!$N$5:$N$7,0)),0))</f>
        <v/>
      </c>
      <c r="AC2305" s="7" t="n"/>
      <c r="AD2305" s="69">
        <f>IF(OR($A2305="",Q2305=""),"",(Q2305-B2305)*24)</f>
        <v/>
      </c>
      <c r="AE2305" s="69">
        <f>IF(OR(Q2305="",R2305=""),"",(R2305-Q2305)*24)</f>
        <v/>
      </c>
      <c r="AF2305" s="77">
        <f>IF(OR($A2305="",B2305=""),"",YEAR(B2305))</f>
        <v/>
      </c>
      <c r="AG2305" s="77">
        <f>IF(OR($A2305="",B2305=""),"",MONTH(B2305))</f>
        <v/>
      </c>
    </row>
    <row r="2306">
      <c r="A2306" s="7" t="n"/>
      <c r="B2306" s="75" t="n"/>
      <c r="C2306" s="7" t="n"/>
      <c r="D2306" s="7" t="n"/>
      <c r="E2306" s="9">
        <f>IF(D2306="","",IFERROR(INDEX('Équipements'!$B$5:$B$304,MATCH(D2306,'Équipements'!$A$5:$A$304,0)),"Code inconnu"))</f>
        <v/>
      </c>
      <c r="F2306" s="9">
        <f>IF(D2306="","",IFERROR(INDEX('Équipements'!$D$5:$D$304,MATCH(D2306,'Équipements'!$A$5:$A$304,0)),""))</f>
        <v/>
      </c>
      <c r="G2306" s="9">
        <f>IF(D2306="","",IFERROR(INDEX('Équipements'!$K$5:$K$304,MATCH(D2306,'Équipements'!$A$5:$A$304,0)),""))</f>
        <v/>
      </c>
      <c r="H2306" s="7" t="n"/>
      <c r="I2306" s="7" t="n"/>
      <c r="J2306" s="7" t="n"/>
      <c r="K2306" s="7" t="n"/>
      <c r="L2306" s="7" t="n"/>
      <c r="M2306" s="7" t="n"/>
      <c r="N2306" s="7" t="n"/>
      <c r="O2306" s="7" t="n"/>
      <c r="P2306" s="65" t="n"/>
      <c r="Q2306" s="75" t="n"/>
      <c r="R2306" s="75" t="n"/>
      <c r="S2306" s="76" t="n"/>
      <c r="T2306" s="76" t="n"/>
      <c r="U2306" s="70">
        <f>IF($A2306="","",IFERROR(INDEX('Techniciens'!$F$5:$F$44,MATCH(O2306,'Techniciens'!$B$5:$B$44,0)),'Paramètres'!$AA$10))</f>
        <v/>
      </c>
      <c r="V2306" s="70">
        <f>IF($A2306="","",IF(OR(AC2306="Demandé",AC2306="Planifié",AC2306="Annulé"),0,N(T2306)*N(U2306)))</f>
        <v/>
      </c>
      <c r="W2306" s="70">
        <f>IF($A2306="","",SUMIFS('Mouvements stock'!$H$5:$H$3004,'Mouvements stock'!$I$5:$I$3004,$A2306,'Mouvements stock'!$C$5:$C$3004,"Sortie")-SUMIFS('Mouvements stock'!$H$5:$H$3004,'Mouvements stock'!$I$5:$I$3004,$A2306,'Mouvements stock'!$C$5:$C$3004,"Retour"))</f>
        <v/>
      </c>
      <c r="X2306" s="66" t="n"/>
      <c r="Y2306" s="66" t="n"/>
      <c r="Z2306" s="7" t="n"/>
      <c r="AA2306" s="70">
        <f>IF($A2306="","",N(V2306)+N(W2306)+N(X2306)+N(Y2306))</f>
        <v/>
      </c>
      <c r="AB2306" s="70">
        <f>IF($A2306="","",N(S2306)*'Paramètres'!$AA$9*IFERROR(INDEX('Paramètres'!$O$5:$O$7,MATCH(G2306,'Paramètres'!$N$5:$N$7,0)),0))</f>
        <v/>
      </c>
      <c r="AC2306" s="7" t="n"/>
      <c r="AD2306" s="69">
        <f>IF(OR($A2306="",Q2306=""),"",(Q2306-B2306)*24)</f>
        <v/>
      </c>
      <c r="AE2306" s="69">
        <f>IF(OR(Q2306="",R2306=""),"",(R2306-Q2306)*24)</f>
        <v/>
      </c>
      <c r="AF2306" s="77">
        <f>IF(OR($A2306="",B2306=""),"",YEAR(B2306))</f>
        <v/>
      </c>
      <c r="AG2306" s="77">
        <f>IF(OR($A2306="",B2306=""),"",MONTH(B2306))</f>
        <v/>
      </c>
    </row>
    <row r="2307">
      <c r="A2307" s="7" t="n"/>
      <c r="B2307" s="75" t="n"/>
      <c r="C2307" s="7" t="n"/>
      <c r="D2307" s="7" t="n"/>
      <c r="E2307" s="9">
        <f>IF(D2307="","",IFERROR(INDEX('Équipements'!$B$5:$B$304,MATCH(D2307,'Équipements'!$A$5:$A$304,0)),"Code inconnu"))</f>
        <v/>
      </c>
      <c r="F2307" s="9">
        <f>IF(D2307="","",IFERROR(INDEX('Équipements'!$D$5:$D$304,MATCH(D2307,'Équipements'!$A$5:$A$304,0)),""))</f>
        <v/>
      </c>
      <c r="G2307" s="9">
        <f>IF(D2307="","",IFERROR(INDEX('Équipements'!$K$5:$K$304,MATCH(D2307,'Équipements'!$A$5:$A$304,0)),""))</f>
        <v/>
      </c>
      <c r="H2307" s="7" t="n"/>
      <c r="I2307" s="7" t="n"/>
      <c r="J2307" s="7" t="n"/>
      <c r="K2307" s="7" t="n"/>
      <c r="L2307" s="7" t="n"/>
      <c r="M2307" s="7" t="n"/>
      <c r="N2307" s="7" t="n"/>
      <c r="O2307" s="7" t="n"/>
      <c r="P2307" s="65" t="n"/>
      <c r="Q2307" s="75" t="n"/>
      <c r="R2307" s="75" t="n"/>
      <c r="S2307" s="76" t="n"/>
      <c r="T2307" s="76" t="n"/>
      <c r="U2307" s="70">
        <f>IF($A2307="","",IFERROR(INDEX('Techniciens'!$F$5:$F$44,MATCH(O2307,'Techniciens'!$B$5:$B$44,0)),'Paramètres'!$AA$10))</f>
        <v/>
      </c>
      <c r="V2307" s="70">
        <f>IF($A2307="","",IF(OR(AC2307="Demandé",AC2307="Planifié",AC2307="Annulé"),0,N(T2307)*N(U2307)))</f>
        <v/>
      </c>
      <c r="W2307" s="70">
        <f>IF($A2307="","",SUMIFS('Mouvements stock'!$H$5:$H$3004,'Mouvements stock'!$I$5:$I$3004,$A2307,'Mouvements stock'!$C$5:$C$3004,"Sortie")-SUMIFS('Mouvements stock'!$H$5:$H$3004,'Mouvements stock'!$I$5:$I$3004,$A2307,'Mouvements stock'!$C$5:$C$3004,"Retour"))</f>
        <v/>
      </c>
      <c r="X2307" s="66" t="n"/>
      <c r="Y2307" s="66" t="n"/>
      <c r="Z2307" s="7" t="n"/>
      <c r="AA2307" s="70">
        <f>IF($A2307="","",N(V2307)+N(W2307)+N(X2307)+N(Y2307))</f>
        <v/>
      </c>
      <c r="AB2307" s="70">
        <f>IF($A2307="","",N(S2307)*'Paramètres'!$AA$9*IFERROR(INDEX('Paramètres'!$O$5:$O$7,MATCH(G2307,'Paramètres'!$N$5:$N$7,0)),0))</f>
        <v/>
      </c>
      <c r="AC2307" s="7" t="n"/>
      <c r="AD2307" s="69">
        <f>IF(OR($A2307="",Q2307=""),"",(Q2307-B2307)*24)</f>
        <v/>
      </c>
      <c r="AE2307" s="69">
        <f>IF(OR(Q2307="",R2307=""),"",(R2307-Q2307)*24)</f>
        <v/>
      </c>
      <c r="AF2307" s="77">
        <f>IF(OR($A2307="",B2307=""),"",YEAR(B2307))</f>
        <v/>
      </c>
      <c r="AG2307" s="77">
        <f>IF(OR($A2307="",B2307=""),"",MONTH(B2307))</f>
        <v/>
      </c>
    </row>
    <row r="2308">
      <c r="A2308" s="7" t="n"/>
      <c r="B2308" s="75" t="n"/>
      <c r="C2308" s="7" t="n"/>
      <c r="D2308" s="7" t="n"/>
      <c r="E2308" s="9">
        <f>IF(D2308="","",IFERROR(INDEX('Équipements'!$B$5:$B$304,MATCH(D2308,'Équipements'!$A$5:$A$304,0)),"Code inconnu"))</f>
        <v/>
      </c>
      <c r="F2308" s="9">
        <f>IF(D2308="","",IFERROR(INDEX('Équipements'!$D$5:$D$304,MATCH(D2308,'Équipements'!$A$5:$A$304,0)),""))</f>
        <v/>
      </c>
      <c r="G2308" s="9">
        <f>IF(D2308="","",IFERROR(INDEX('Équipements'!$K$5:$K$304,MATCH(D2308,'Équipements'!$A$5:$A$304,0)),""))</f>
        <v/>
      </c>
      <c r="H2308" s="7" t="n"/>
      <c r="I2308" s="7" t="n"/>
      <c r="J2308" s="7" t="n"/>
      <c r="K2308" s="7" t="n"/>
      <c r="L2308" s="7" t="n"/>
      <c r="M2308" s="7" t="n"/>
      <c r="N2308" s="7" t="n"/>
      <c r="O2308" s="7" t="n"/>
      <c r="P2308" s="65" t="n"/>
      <c r="Q2308" s="75" t="n"/>
      <c r="R2308" s="75" t="n"/>
      <c r="S2308" s="76" t="n"/>
      <c r="T2308" s="76" t="n"/>
      <c r="U2308" s="70">
        <f>IF($A2308="","",IFERROR(INDEX('Techniciens'!$F$5:$F$44,MATCH(O2308,'Techniciens'!$B$5:$B$44,0)),'Paramètres'!$AA$10))</f>
        <v/>
      </c>
      <c r="V2308" s="70">
        <f>IF($A2308="","",IF(OR(AC2308="Demandé",AC2308="Planifié",AC2308="Annulé"),0,N(T2308)*N(U2308)))</f>
        <v/>
      </c>
      <c r="W2308" s="70">
        <f>IF($A2308="","",SUMIFS('Mouvements stock'!$H$5:$H$3004,'Mouvements stock'!$I$5:$I$3004,$A2308,'Mouvements stock'!$C$5:$C$3004,"Sortie")-SUMIFS('Mouvements stock'!$H$5:$H$3004,'Mouvements stock'!$I$5:$I$3004,$A2308,'Mouvements stock'!$C$5:$C$3004,"Retour"))</f>
        <v/>
      </c>
      <c r="X2308" s="66" t="n"/>
      <c r="Y2308" s="66" t="n"/>
      <c r="Z2308" s="7" t="n"/>
      <c r="AA2308" s="70">
        <f>IF($A2308="","",N(V2308)+N(W2308)+N(X2308)+N(Y2308))</f>
        <v/>
      </c>
      <c r="AB2308" s="70">
        <f>IF($A2308="","",N(S2308)*'Paramètres'!$AA$9*IFERROR(INDEX('Paramètres'!$O$5:$O$7,MATCH(G2308,'Paramètres'!$N$5:$N$7,0)),0))</f>
        <v/>
      </c>
      <c r="AC2308" s="7" t="n"/>
      <c r="AD2308" s="69">
        <f>IF(OR($A2308="",Q2308=""),"",(Q2308-B2308)*24)</f>
        <v/>
      </c>
      <c r="AE2308" s="69">
        <f>IF(OR(Q2308="",R2308=""),"",(R2308-Q2308)*24)</f>
        <v/>
      </c>
      <c r="AF2308" s="77">
        <f>IF(OR($A2308="",B2308=""),"",YEAR(B2308))</f>
        <v/>
      </c>
      <c r="AG2308" s="77">
        <f>IF(OR($A2308="",B2308=""),"",MONTH(B2308))</f>
        <v/>
      </c>
    </row>
    <row r="2309">
      <c r="A2309" s="7" t="n"/>
      <c r="B2309" s="75" t="n"/>
      <c r="C2309" s="7" t="n"/>
      <c r="D2309" s="7" t="n"/>
      <c r="E2309" s="9">
        <f>IF(D2309="","",IFERROR(INDEX('Équipements'!$B$5:$B$304,MATCH(D2309,'Équipements'!$A$5:$A$304,0)),"Code inconnu"))</f>
        <v/>
      </c>
      <c r="F2309" s="9">
        <f>IF(D2309="","",IFERROR(INDEX('Équipements'!$D$5:$D$304,MATCH(D2309,'Équipements'!$A$5:$A$304,0)),""))</f>
        <v/>
      </c>
      <c r="G2309" s="9">
        <f>IF(D2309="","",IFERROR(INDEX('Équipements'!$K$5:$K$304,MATCH(D2309,'Équipements'!$A$5:$A$304,0)),""))</f>
        <v/>
      </c>
      <c r="H2309" s="7" t="n"/>
      <c r="I2309" s="7" t="n"/>
      <c r="J2309" s="7" t="n"/>
      <c r="K2309" s="7" t="n"/>
      <c r="L2309" s="7" t="n"/>
      <c r="M2309" s="7" t="n"/>
      <c r="N2309" s="7" t="n"/>
      <c r="O2309" s="7" t="n"/>
      <c r="P2309" s="65" t="n"/>
      <c r="Q2309" s="75" t="n"/>
      <c r="R2309" s="75" t="n"/>
      <c r="S2309" s="76" t="n"/>
      <c r="T2309" s="76" t="n"/>
      <c r="U2309" s="70">
        <f>IF($A2309="","",IFERROR(INDEX('Techniciens'!$F$5:$F$44,MATCH(O2309,'Techniciens'!$B$5:$B$44,0)),'Paramètres'!$AA$10))</f>
        <v/>
      </c>
      <c r="V2309" s="70">
        <f>IF($A2309="","",IF(OR(AC2309="Demandé",AC2309="Planifié",AC2309="Annulé"),0,N(T2309)*N(U2309)))</f>
        <v/>
      </c>
      <c r="W2309" s="70">
        <f>IF($A2309="","",SUMIFS('Mouvements stock'!$H$5:$H$3004,'Mouvements stock'!$I$5:$I$3004,$A2309,'Mouvements stock'!$C$5:$C$3004,"Sortie")-SUMIFS('Mouvements stock'!$H$5:$H$3004,'Mouvements stock'!$I$5:$I$3004,$A2309,'Mouvements stock'!$C$5:$C$3004,"Retour"))</f>
        <v/>
      </c>
      <c r="X2309" s="66" t="n"/>
      <c r="Y2309" s="66" t="n"/>
      <c r="Z2309" s="7" t="n"/>
      <c r="AA2309" s="70">
        <f>IF($A2309="","",N(V2309)+N(W2309)+N(X2309)+N(Y2309))</f>
        <v/>
      </c>
      <c r="AB2309" s="70">
        <f>IF($A2309="","",N(S2309)*'Paramètres'!$AA$9*IFERROR(INDEX('Paramètres'!$O$5:$O$7,MATCH(G2309,'Paramètres'!$N$5:$N$7,0)),0))</f>
        <v/>
      </c>
      <c r="AC2309" s="7" t="n"/>
      <c r="AD2309" s="69">
        <f>IF(OR($A2309="",Q2309=""),"",(Q2309-B2309)*24)</f>
        <v/>
      </c>
      <c r="AE2309" s="69">
        <f>IF(OR(Q2309="",R2309=""),"",(R2309-Q2309)*24)</f>
        <v/>
      </c>
      <c r="AF2309" s="77">
        <f>IF(OR($A2309="",B2309=""),"",YEAR(B2309))</f>
        <v/>
      </c>
      <c r="AG2309" s="77">
        <f>IF(OR($A2309="",B2309=""),"",MONTH(B2309))</f>
        <v/>
      </c>
    </row>
    <row r="2310">
      <c r="A2310" s="7" t="n"/>
      <c r="B2310" s="75" t="n"/>
      <c r="C2310" s="7" t="n"/>
      <c r="D2310" s="7" t="n"/>
      <c r="E2310" s="9">
        <f>IF(D2310="","",IFERROR(INDEX('Équipements'!$B$5:$B$304,MATCH(D2310,'Équipements'!$A$5:$A$304,0)),"Code inconnu"))</f>
        <v/>
      </c>
      <c r="F2310" s="9">
        <f>IF(D2310="","",IFERROR(INDEX('Équipements'!$D$5:$D$304,MATCH(D2310,'Équipements'!$A$5:$A$304,0)),""))</f>
        <v/>
      </c>
      <c r="G2310" s="9">
        <f>IF(D2310="","",IFERROR(INDEX('Équipements'!$K$5:$K$304,MATCH(D2310,'Équipements'!$A$5:$A$304,0)),""))</f>
        <v/>
      </c>
      <c r="H2310" s="7" t="n"/>
      <c r="I2310" s="7" t="n"/>
      <c r="J2310" s="7" t="n"/>
      <c r="K2310" s="7" t="n"/>
      <c r="L2310" s="7" t="n"/>
      <c r="M2310" s="7" t="n"/>
      <c r="N2310" s="7" t="n"/>
      <c r="O2310" s="7" t="n"/>
      <c r="P2310" s="65" t="n"/>
      <c r="Q2310" s="75" t="n"/>
      <c r="R2310" s="75" t="n"/>
      <c r="S2310" s="76" t="n"/>
      <c r="T2310" s="76" t="n"/>
      <c r="U2310" s="70">
        <f>IF($A2310="","",IFERROR(INDEX('Techniciens'!$F$5:$F$44,MATCH(O2310,'Techniciens'!$B$5:$B$44,0)),'Paramètres'!$AA$10))</f>
        <v/>
      </c>
      <c r="V2310" s="70">
        <f>IF($A2310="","",IF(OR(AC2310="Demandé",AC2310="Planifié",AC2310="Annulé"),0,N(T2310)*N(U2310)))</f>
        <v/>
      </c>
      <c r="W2310" s="70">
        <f>IF($A2310="","",SUMIFS('Mouvements stock'!$H$5:$H$3004,'Mouvements stock'!$I$5:$I$3004,$A2310,'Mouvements stock'!$C$5:$C$3004,"Sortie")-SUMIFS('Mouvements stock'!$H$5:$H$3004,'Mouvements stock'!$I$5:$I$3004,$A2310,'Mouvements stock'!$C$5:$C$3004,"Retour"))</f>
        <v/>
      </c>
      <c r="X2310" s="66" t="n"/>
      <c r="Y2310" s="66" t="n"/>
      <c r="Z2310" s="7" t="n"/>
      <c r="AA2310" s="70">
        <f>IF($A2310="","",N(V2310)+N(W2310)+N(X2310)+N(Y2310))</f>
        <v/>
      </c>
      <c r="AB2310" s="70">
        <f>IF($A2310="","",N(S2310)*'Paramètres'!$AA$9*IFERROR(INDEX('Paramètres'!$O$5:$O$7,MATCH(G2310,'Paramètres'!$N$5:$N$7,0)),0))</f>
        <v/>
      </c>
      <c r="AC2310" s="7" t="n"/>
      <c r="AD2310" s="69">
        <f>IF(OR($A2310="",Q2310=""),"",(Q2310-B2310)*24)</f>
        <v/>
      </c>
      <c r="AE2310" s="69">
        <f>IF(OR(Q2310="",R2310=""),"",(R2310-Q2310)*24)</f>
        <v/>
      </c>
      <c r="AF2310" s="77">
        <f>IF(OR($A2310="",B2310=""),"",YEAR(B2310))</f>
        <v/>
      </c>
      <c r="AG2310" s="77">
        <f>IF(OR($A2310="",B2310=""),"",MONTH(B2310))</f>
        <v/>
      </c>
    </row>
    <row r="2311">
      <c r="A2311" s="7" t="n"/>
      <c r="B2311" s="75" t="n"/>
      <c r="C2311" s="7" t="n"/>
      <c r="D2311" s="7" t="n"/>
      <c r="E2311" s="9">
        <f>IF(D2311="","",IFERROR(INDEX('Équipements'!$B$5:$B$304,MATCH(D2311,'Équipements'!$A$5:$A$304,0)),"Code inconnu"))</f>
        <v/>
      </c>
      <c r="F2311" s="9">
        <f>IF(D2311="","",IFERROR(INDEX('Équipements'!$D$5:$D$304,MATCH(D2311,'Équipements'!$A$5:$A$304,0)),""))</f>
        <v/>
      </c>
      <c r="G2311" s="9">
        <f>IF(D2311="","",IFERROR(INDEX('Équipements'!$K$5:$K$304,MATCH(D2311,'Équipements'!$A$5:$A$304,0)),""))</f>
        <v/>
      </c>
      <c r="H2311" s="7" t="n"/>
      <c r="I2311" s="7" t="n"/>
      <c r="J2311" s="7" t="n"/>
      <c r="K2311" s="7" t="n"/>
      <c r="L2311" s="7" t="n"/>
      <c r="M2311" s="7" t="n"/>
      <c r="N2311" s="7" t="n"/>
      <c r="O2311" s="7" t="n"/>
      <c r="P2311" s="65" t="n"/>
      <c r="Q2311" s="75" t="n"/>
      <c r="R2311" s="75" t="n"/>
      <c r="S2311" s="76" t="n"/>
      <c r="T2311" s="76" t="n"/>
      <c r="U2311" s="70">
        <f>IF($A2311="","",IFERROR(INDEX('Techniciens'!$F$5:$F$44,MATCH(O2311,'Techniciens'!$B$5:$B$44,0)),'Paramètres'!$AA$10))</f>
        <v/>
      </c>
      <c r="V2311" s="70">
        <f>IF($A2311="","",IF(OR(AC2311="Demandé",AC2311="Planifié",AC2311="Annulé"),0,N(T2311)*N(U2311)))</f>
        <v/>
      </c>
      <c r="W2311" s="70">
        <f>IF($A2311="","",SUMIFS('Mouvements stock'!$H$5:$H$3004,'Mouvements stock'!$I$5:$I$3004,$A2311,'Mouvements stock'!$C$5:$C$3004,"Sortie")-SUMIFS('Mouvements stock'!$H$5:$H$3004,'Mouvements stock'!$I$5:$I$3004,$A2311,'Mouvements stock'!$C$5:$C$3004,"Retour"))</f>
        <v/>
      </c>
      <c r="X2311" s="66" t="n"/>
      <c r="Y2311" s="66" t="n"/>
      <c r="Z2311" s="7" t="n"/>
      <c r="AA2311" s="70">
        <f>IF($A2311="","",N(V2311)+N(W2311)+N(X2311)+N(Y2311))</f>
        <v/>
      </c>
      <c r="AB2311" s="70">
        <f>IF($A2311="","",N(S2311)*'Paramètres'!$AA$9*IFERROR(INDEX('Paramètres'!$O$5:$O$7,MATCH(G2311,'Paramètres'!$N$5:$N$7,0)),0))</f>
        <v/>
      </c>
      <c r="AC2311" s="7" t="n"/>
      <c r="AD2311" s="69">
        <f>IF(OR($A2311="",Q2311=""),"",(Q2311-B2311)*24)</f>
        <v/>
      </c>
      <c r="AE2311" s="69">
        <f>IF(OR(Q2311="",R2311=""),"",(R2311-Q2311)*24)</f>
        <v/>
      </c>
      <c r="AF2311" s="77">
        <f>IF(OR($A2311="",B2311=""),"",YEAR(B2311))</f>
        <v/>
      </c>
      <c r="AG2311" s="77">
        <f>IF(OR($A2311="",B2311=""),"",MONTH(B2311))</f>
        <v/>
      </c>
    </row>
    <row r="2312">
      <c r="A2312" s="7" t="n"/>
      <c r="B2312" s="75" t="n"/>
      <c r="C2312" s="7" t="n"/>
      <c r="D2312" s="7" t="n"/>
      <c r="E2312" s="9">
        <f>IF(D2312="","",IFERROR(INDEX('Équipements'!$B$5:$B$304,MATCH(D2312,'Équipements'!$A$5:$A$304,0)),"Code inconnu"))</f>
        <v/>
      </c>
      <c r="F2312" s="9">
        <f>IF(D2312="","",IFERROR(INDEX('Équipements'!$D$5:$D$304,MATCH(D2312,'Équipements'!$A$5:$A$304,0)),""))</f>
        <v/>
      </c>
      <c r="G2312" s="9">
        <f>IF(D2312="","",IFERROR(INDEX('Équipements'!$K$5:$K$304,MATCH(D2312,'Équipements'!$A$5:$A$304,0)),""))</f>
        <v/>
      </c>
      <c r="H2312" s="7" t="n"/>
      <c r="I2312" s="7" t="n"/>
      <c r="J2312" s="7" t="n"/>
      <c r="K2312" s="7" t="n"/>
      <c r="L2312" s="7" t="n"/>
      <c r="M2312" s="7" t="n"/>
      <c r="N2312" s="7" t="n"/>
      <c r="O2312" s="7" t="n"/>
      <c r="P2312" s="65" t="n"/>
      <c r="Q2312" s="75" t="n"/>
      <c r="R2312" s="75" t="n"/>
      <c r="S2312" s="76" t="n"/>
      <c r="T2312" s="76" t="n"/>
      <c r="U2312" s="70">
        <f>IF($A2312="","",IFERROR(INDEX('Techniciens'!$F$5:$F$44,MATCH(O2312,'Techniciens'!$B$5:$B$44,0)),'Paramètres'!$AA$10))</f>
        <v/>
      </c>
      <c r="V2312" s="70">
        <f>IF($A2312="","",IF(OR(AC2312="Demandé",AC2312="Planifié",AC2312="Annulé"),0,N(T2312)*N(U2312)))</f>
        <v/>
      </c>
      <c r="W2312" s="70">
        <f>IF($A2312="","",SUMIFS('Mouvements stock'!$H$5:$H$3004,'Mouvements stock'!$I$5:$I$3004,$A2312,'Mouvements stock'!$C$5:$C$3004,"Sortie")-SUMIFS('Mouvements stock'!$H$5:$H$3004,'Mouvements stock'!$I$5:$I$3004,$A2312,'Mouvements stock'!$C$5:$C$3004,"Retour"))</f>
        <v/>
      </c>
      <c r="X2312" s="66" t="n"/>
      <c r="Y2312" s="66" t="n"/>
      <c r="Z2312" s="7" t="n"/>
      <c r="AA2312" s="70">
        <f>IF($A2312="","",N(V2312)+N(W2312)+N(X2312)+N(Y2312))</f>
        <v/>
      </c>
      <c r="AB2312" s="70">
        <f>IF($A2312="","",N(S2312)*'Paramètres'!$AA$9*IFERROR(INDEX('Paramètres'!$O$5:$O$7,MATCH(G2312,'Paramètres'!$N$5:$N$7,0)),0))</f>
        <v/>
      </c>
      <c r="AC2312" s="7" t="n"/>
      <c r="AD2312" s="69">
        <f>IF(OR($A2312="",Q2312=""),"",(Q2312-B2312)*24)</f>
        <v/>
      </c>
      <c r="AE2312" s="69">
        <f>IF(OR(Q2312="",R2312=""),"",(R2312-Q2312)*24)</f>
        <v/>
      </c>
      <c r="AF2312" s="77">
        <f>IF(OR($A2312="",B2312=""),"",YEAR(B2312))</f>
        <v/>
      </c>
      <c r="AG2312" s="77">
        <f>IF(OR($A2312="",B2312=""),"",MONTH(B2312))</f>
        <v/>
      </c>
    </row>
    <row r="2313">
      <c r="A2313" s="7" t="n"/>
      <c r="B2313" s="75" t="n"/>
      <c r="C2313" s="7" t="n"/>
      <c r="D2313" s="7" t="n"/>
      <c r="E2313" s="9">
        <f>IF(D2313="","",IFERROR(INDEX('Équipements'!$B$5:$B$304,MATCH(D2313,'Équipements'!$A$5:$A$304,0)),"Code inconnu"))</f>
        <v/>
      </c>
      <c r="F2313" s="9">
        <f>IF(D2313="","",IFERROR(INDEX('Équipements'!$D$5:$D$304,MATCH(D2313,'Équipements'!$A$5:$A$304,0)),""))</f>
        <v/>
      </c>
      <c r="G2313" s="9">
        <f>IF(D2313="","",IFERROR(INDEX('Équipements'!$K$5:$K$304,MATCH(D2313,'Équipements'!$A$5:$A$304,0)),""))</f>
        <v/>
      </c>
      <c r="H2313" s="7" t="n"/>
      <c r="I2313" s="7" t="n"/>
      <c r="J2313" s="7" t="n"/>
      <c r="K2313" s="7" t="n"/>
      <c r="L2313" s="7" t="n"/>
      <c r="M2313" s="7" t="n"/>
      <c r="N2313" s="7" t="n"/>
      <c r="O2313" s="7" t="n"/>
      <c r="P2313" s="65" t="n"/>
      <c r="Q2313" s="75" t="n"/>
      <c r="R2313" s="75" t="n"/>
      <c r="S2313" s="76" t="n"/>
      <c r="T2313" s="76" t="n"/>
      <c r="U2313" s="70">
        <f>IF($A2313="","",IFERROR(INDEX('Techniciens'!$F$5:$F$44,MATCH(O2313,'Techniciens'!$B$5:$B$44,0)),'Paramètres'!$AA$10))</f>
        <v/>
      </c>
      <c r="V2313" s="70">
        <f>IF($A2313="","",IF(OR(AC2313="Demandé",AC2313="Planifié",AC2313="Annulé"),0,N(T2313)*N(U2313)))</f>
        <v/>
      </c>
      <c r="W2313" s="70">
        <f>IF($A2313="","",SUMIFS('Mouvements stock'!$H$5:$H$3004,'Mouvements stock'!$I$5:$I$3004,$A2313,'Mouvements stock'!$C$5:$C$3004,"Sortie")-SUMIFS('Mouvements stock'!$H$5:$H$3004,'Mouvements stock'!$I$5:$I$3004,$A2313,'Mouvements stock'!$C$5:$C$3004,"Retour"))</f>
        <v/>
      </c>
      <c r="X2313" s="66" t="n"/>
      <c r="Y2313" s="66" t="n"/>
      <c r="Z2313" s="7" t="n"/>
      <c r="AA2313" s="70">
        <f>IF($A2313="","",N(V2313)+N(W2313)+N(X2313)+N(Y2313))</f>
        <v/>
      </c>
      <c r="AB2313" s="70">
        <f>IF($A2313="","",N(S2313)*'Paramètres'!$AA$9*IFERROR(INDEX('Paramètres'!$O$5:$O$7,MATCH(G2313,'Paramètres'!$N$5:$N$7,0)),0))</f>
        <v/>
      </c>
      <c r="AC2313" s="7" t="n"/>
      <c r="AD2313" s="69">
        <f>IF(OR($A2313="",Q2313=""),"",(Q2313-B2313)*24)</f>
        <v/>
      </c>
      <c r="AE2313" s="69">
        <f>IF(OR(Q2313="",R2313=""),"",(R2313-Q2313)*24)</f>
        <v/>
      </c>
      <c r="AF2313" s="77">
        <f>IF(OR($A2313="",B2313=""),"",YEAR(B2313))</f>
        <v/>
      </c>
      <c r="AG2313" s="77">
        <f>IF(OR($A2313="",B2313=""),"",MONTH(B2313))</f>
        <v/>
      </c>
    </row>
    <row r="2314">
      <c r="A2314" s="7" t="n"/>
      <c r="B2314" s="75" t="n"/>
      <c r="C2314" s="7" t="n"/>
      <c r="D2314" s="7" t="n"/>
      <c r="E2314" s="9">
        <f>IF(D2314="","",IFERROR(INDEX('Équipements'!$B$5:$B$304,MATCH(D2314,'Équipements'!$A$5:$A$304,0)),"Code inconnu"))</f>
        <v/>
      </c>
      <c r="F2314" s="9">
        <f>IF(D2314="","",IFERROR(INDEX('Équipements'!$D$5:$D$304,MATCH(D2314,'Équipements'!$A$5:$A$304,0)),""))</f>
        <v/>
      </c>
      <c r="G2314" s="9">
        <f>IF(D2314="","",IFERROR(INDEX('Équipements'!$K$5:$K$304,MATCH(D2314,'Équipements'!$A$5:$A$304,0)),""))</f>
        <v/>
      </c>
      <c r="H2314" s="7" t="n"/>
      <c r="I2314" s="7" t="n"/>
      <c r="J2314" s="7" t="n"/>
      <c r="K2314" s="7" t="n"/>
      <c r="L2314" s="7" t="n"/>
      <c r="M2314" s="7" t="n"/>
      <c r="N2314" s="7" t="n"/>
      <c r="O2314" s="7" t="n"/>
      <c r="P2314" s="65" t="n"/>
      <c r="Q2314" s="75" t="n"/>
      <c r="R2314" s="75" t="n"/>
      <c r="S2314" s="76" t="n"/>
      <c r="T2314" s="76" t="n"/>
      <c r="U2314" s="70">
        <f>IF($A2314="","",IFERROR(INDEX('Techniciens'!$F$5:$F$44,MATCH(O2314,'Techniciens'!$B$5:$B$44,0)),'Paramètres'!$AA$10))</f>
        <v/>
      </c>
      <c r="V2314" s="70">
        <f>IF($A2314="","",IF(OR(AC2314="Demandé",AC2314="Planifié",AC2314="Annulé"),0,N(T2314)*N(U2314)))</f>
        <v/>
      </c>
      <c r="W2314" s="70">
        <f>IF($A2314="","",SUMIFS('Mouvements stock'!$H$5:$H$3004,'Mouvements stock'!$I$5:$I$3004,$A2314,'Mouvements stock'!$C$5:$C$3004,"Sortie")-SUMIFS('Mouvements stock'!$H$5:$H$3004,'Mouvements stock'!$I$5:$I$3004,$A2314,'Mouvements stock'!$C$5:$C$3004,"Retour"))</f>
        <v/>
      </c>
      <c r="X2314" s="66" t="n"/>
      <c r="Y2314" s="66" t="n"/>
      <c r="Z2314" s="7" t="n"/>
      <c r="AA2314" s="70">
        <f>IF($A2314="","",N(V2314)+N(W2314)+N(X2314)+N(Y2314))</f>
        <v/>
      </c>
      <c r="AB2314" s="70">
        <f>IF($A2314="","",N(S2314)*'Paramètres'!$AA$9*IFERROR(INDEX('Paramètres'!$O$5:$O$7,MATCH(G2314,'Paramètres'!$N$5:$N$7,0)),0))</f>
        <v/>
      </c>
      <c r="AC2314" s="7" t="n"/>
      <c r="AD2314" s="69">
        <f>IF(OR($A2314="",Q2314=""),"",(Q2314-B2314)*24)</f>
        <v/>
      </c>
      <c r="AE2314" s="69">
        <f>IF(OR(Q2314="",R2314=""),"",(R2314-Q2314)*24)</f>
        <v/>
      </c>
      <c r="AF2314" s="77">
        <f>IF(OR($A2314="",B2314=""),"",YEAR(B2314))</f>
        <v/>
      </c>
      <c r="AG2314" s="77">
        <f>IF(OR($A2314="",B2314=""),"",MONTH(B2314))</f>
        <v/>
      </c>
    </row>
    <row r="2315">
      <c r="A2315" s="7" t="n"/>
      <c r="B2315" s="75" t="n"/>
      <c r="C2315" s="7" t="n"/>
      <c r="D2315" s="7" t="n"/>
      <c r="E2315" s="9">
        <f>IF(D2315="","",IFERROR(INDEX('Équipements'!$B$5:$B$304,MATCH(D2315,'Équipements'!$A$5:$A$304,0)),"Code inconnu"))</f>
        <v/>
      </c>
      <c r="F2315" s="9">
        <f>IF(D2315="","",IFERROR(INDEX('Équipements'!$D$5:$D$304,MATCH(D2315,'Équipements'!$A$5:$A$304,0)),""))</f>
        <v/>
      </c>
      <c r="G2315" s="9">
        <f>IF(D2315="","",IFERROR(INDEX('Équipements'!$K$5:$K$304,MATCH(D2315,'Équipements'!$A$5:$A$304,0)),""))</f>
        <v/>
      </c>
      <c r="H2315" s="7" t="n"/>
      <c r="I2315" s="7" t="n"/>
      <c r="J2315" s="7" t="n"/>
      <c r="K2315" s="7" t="n"/>
      <c r="L2315" s="7" t="n"/>
      <c r="M2315" s="7" t="n"/>
      <c r="N2315" s="7" t="n"/>
      <c r="O2315" s="7" t="n"/>
      <c r="P2315" s="65" t="n"/>
      <c r="Q2315" s="75" t="n"/>
      <c r="R2315" s="75" t="n"/>
      <c r="S2315" s="76" t="n"/>
      <c r="T2315" s="76" t="n"/>
      <c r="U2315" s="70">
        <f>IF($A2315="","",IFERROR(INDEX('Techniciens'!$F$5:$F$44,MATCH(O2315,'Techniciens'!$B$5:$B$44,0)),'Paramètres'!$AA$10))</f>
        <v/>
      </c>
      <c r="V2315" s="70">
        <f>IF($A2315="","",IF(OR(AC2315="Demandé",AC2315="Planifié",AC2315="Annulé"),0,N(T2315)*N(U2315)))</f>
        <v/>
      </c>
      <c r="W2315" s="70">
        <f>IF($A2315="","",SUMIFS('Mouvements stock'!$H$5:$H$3004,'Mouvements stock'!$I$5:$I$3004,$A2315,'Mouvements stock'!$C$5:$C$3004,"Sortie")-SUMIFS('Mouvements stock'!$H$5:$H$3004,'Mouvements stock'!$I$5:$I$3004,$A2315,'Mouvements stock'!$C$5:$C$3004,"Retour"))</f>
        <v/>
      </c>
      <c r="X2315" s="66" t="n"/>
      <c r="Y2315" s="66" t="n"/>
      <c r="Z2315" s="7" t="n"/>
      <c r="AA2315" s="70">
        <f>IF($A2315="","",N(V2315)+N(W2315)+N(X2315)+N(Y2315))</f>
        <v/>
      </c>
      <c r="AB2315" s="70">
        <f>IF($A2315="","",N(S2315)*'Paramètres'!$AA$9*IFERROR(INDEX('Paramètres'!$O$5:$O$7,MATCH(G2315,'Paramètres'!$N$5:$N$7,0)),0))</f>
        <v/>
      </c>
      <c r="AC2315" s="7" t="n"/>
      <c r="AD2315" s="69">
        <f>IF(OR($A2315="",Q2315=""),"",(Q2315-B2315)*24)</f>
        <v/>
      </c>
      <c r="AE2315" s="69">
        <f>IF(OR(Q2315="",R2315=""),"",(R2315-Q2315)*24)</f>
        <v/>
      </c>
      <c r="AF2315" s="77">
        <f>IF(OR($A2315="",B2315=""),"",YEAR(B2315))</f>
        <v/>
      </c>
      <c r="AG2315" s="77">
        <f>IF(OR($A2315="",B2315=""),"",MONTH(B2315))</f>
        <v/>
      </c>
    </row>
    <row r="2316">
      <c r="A2316" s="7" t="n"/>
      <c r="B2316" s="75" t="n"/>
      <c r="C2316" s="7" t="n"/>
      <c r="D2316" s="7" t="n"/>
      <c r="E2316" s="9">
        <f>IF(D2316="","",IFERROR(INDEX('Équipements'!$B$5:$B$304,MATCH(D2316,'Équipements'!$A$5:$A$304,0)),"Code inconnu"))</f>
        <v/>
      </c>
      <c r="F2316" s="9">
        <f>IF(D2316="","",IFERROR(INDEX('Équipements'!$D$5:$D$304,MATCH(D2316,'Équipements'!$A$5:$A$304,0)),""))</f>
        <v/>
      </c>
      <c r="G2316" s="9">
        <f>IF(D2316="","",IFERROR(INDEX('Équipements'!$K$5:$K$304,MATCH(D2316,'Équipements'!$A$5:$A$304,0)),""))</f>
        <v/>
      </c>
      <c r="H2316" s="7" t="n"/>
      <c r="I2316" s="7" t="n"/>
      <c r="J2316" s="7" t="n"/>
      <c r="K2316" s="7" t="n"/>
      <c r="L2316" s="7" t="n"/>
      <c r="M2316" s="7" t="n"/>
      <c r="N2316" s="7" t="n"/>
      <c r="O2316" s="7" t="n"/>
      <c r="P2316" s="65" t="n"/>
      <c r="Q2316" s="75" t="n"/>
      <c r="R2316" s="75" t="n"/>
      <c r="S2316" s="76" t="n"/>
      <c r="T2316" s="76" t="n"/>
      <c r="U2316" s="70">
        <f>IF($A2316="","",IFERROR(INDEX('Techniciens'!$F$5:$F$44,MATCH(O2316,'Techniciens'!$B$5:$B$44,0)),'Paramètres'!$AA$10))</f>
        <v/>
      </c>
      <c r="V2316" s="70">
        <f>IF($A2316="","",IF(OR(AC2316="Demandé",AC2316="Planifié",AC2316="Annulé"),0,N(T2316)*N(U2316)))</f>
        <v/>
      </c>
      <c r="W2316" s="70">
        <f>IF($A2316="","",SUMIFS('Mouvements stock'!$H$5:$H$3004,'Mouvements stock'!$I$5:$I$3004,$A2316,'Mouvements stock'!$C$5:$C$3004,"Sortie")-SUMIFS('Mouvements stock'!$H$5:$H$3004,'Mouvements stock'!$I$5:$I$3004,$A2316,'Mouvements stock'!$C$5:$C$3004,"Retour"))</f>
        <v/>
      </c>
      <c r="X2316" s="66" t="n"/>
      <c r="Y2316" s="66" t="n"/>
      <c r="Z2316" s="7" t="n"/>
      <c r="AA2316" s="70">
        <f>IF($A2316="","",N(V2316)+N(W2316)+N(X2316)+N(Y2316))</f>
        <v/>
      </c>
      <c r="AB2316" s="70">
        <f>IF($A2316="","",N(S2316)*'Paramètres'!$AA$9*IFERROR(INDEX('Paramètres'!$O$5:$O$7,MATCH(G2316,'Paramètres'!$N$5:$N$7,0)),0))</f>
        <v/>
      </c>
      <c r="AC2316" s="7" t="n"/>
      <c r="AD2316" s="69">
        <f>IF(OR($A2316="",Q2316=""),"",(Q2316-B2316)*24)</f>
        <v/>
      </c>
      <c r="AE2316" s="69">
        <f>IF(OR(Q2316="",R2316=""),"",(R2316-Q2316)*24)</f>
        <v/>
      </c>
      <c r="AF2316" s="77">
        <f>IF(OR($A2316="",B2316=""),"",YEAR(B2316))</f>
        <v/>
      </c>
      <c r="AG2316" s="77">
        <f>IF(OR($A2316="",B2316=""),"",MONTH(B2316))</f>
        <v/>
      </c>
    </row>
    <row r="2317">
      <c r="A2317" s="7" t="n"/>
      <c r="B2317" s="75" t="n"/>
      <c r="C2317" s="7" t="n"/>
      <c r="D2317" s="7" t="n"/>
      <c r="E2317" s="9">
        <f>IF(D2317="","",IFERROR(INDEX('Équipements'!$B$5:$B$304,MATCH(D2317,'Équipements'!$A$5:$A$304,0)),"Code inconnu"))</f>
        <v/>
      </c>
      <c r="F2317" s="9">
        <f>IF(D2317="","",IFERROR(INDEX('Équipements'!$D$5:$D$304,MATCH(D2317,'Équipements'!$A$5:$A$304,0)),""))</f>
        <v/>
      </c>
      <c r="G2317" s="9">
        <f>IF(D2317="","",IFERROR(INDEX('Équipements'!$K$5:$K$304,MATCH(D2317,'Équipements'!$A$5:$A$304,0)),""))</f>
        <v/>
      </c>
      <c r="H2317" s="7" t="n"/>
      <c r="I2317" s="7" t="n"/>
      <c r="J2317" s="7" t="n"/>
      <c r="K2317" s="7" t="n"/>
      <c r="L2317" s="7" t="n"/>
      <c r="M2317" s="7" t="n"/>
      <c r="N2317" s="7" t="n"/>
      <c r="O2317" s="7" t="n"/>
      <c r="P2317" s="65" t="n"/>
      <c r="Q2317" s="75" t="n"/>
      <c r="R2317" s="75" t="n"/>
      <c r="S2317" s="76" t="n"/>
      <c r="T2317" s="76" t="n"/>
      <c r="U2317" s="70">
        <f>IF($A2317="","",IFERROR(INDEX('Techniciens'!$F$5:$F$44,MATCH(O2317,'Techniciens'!$B$5:$B$44,0)),'Paramètres'!$AA$10))</f>
        <v/>
      </c>
      <c r="V2317" s="70">
        <f>IF($A2317="","",IF(OR(AC2317="Demandé",AC2317="Planifié",AC2317="Annulé"),0,N(T2317)*N(U2317)))</f>
        <v/>
      </c>
      <c r="W2317" s="70">
        <f>IF($A2317="","",SUMIFS('Mouvements stock'!$H$5:$H$3004,'Mouvements stock'!$I$5:$I$3004,$A2317,'Mouvements stock'!$C$5:$C$3004,"Sortie")-SUMIFS('Mouvements stock'!$H$5:$H$3004,'Mouvements stock'!$I$5:$I$3004,$A2317,'Mouvements stock'!$C$5:$C$3004,"Retour"))</f>
        <v/>
      </c>
      <c r="X2317" s="66" t="n"/>
      <c r="Y2317" s="66" t="n"/>
      <c r="Z2317" s="7" t="n"/>
      <c r="AA2317" s="70">
        <f>IF($A2317="","",N(V2317)+N(W2317)+N(X2317)+N(Y2317))</f>
        <v/>
      </c>
      <c r="AB2317" s="70">
        <f>IF($A2317="","",N(S2317)*'Paramètres'!$AA$9*IFERROR(INDEX('Paramètres'!$O$5:$O$7,MATCH(G2317,'Paramètres'!$N$5:$N$7,0)),0))</f>
        <v/>
      </c>
      <c r="AC2317" s="7" t="n"/>
      <c r="AD2317" s="69">
        <f>IF(OR($A2317="",Q2317=""),"",(Q2317-B2317)*24)</f>
        <v/>
      </c>
      <c r="AE2317" s="69">
        <f>IF(OR(Q2317="",R2317=""),"",(R2317-Q2317)*24)</f>
        <v/>
      </c>
      <c r="AF2317" s="77">
        <f>IF(OR($A2317="",B2317=""),"",YEAR(B2317))</f>
        <v/>
      </c>
      <c r="AG2317" s="77">
        <f>IF(OR($A2317="",B2317=""),"",MONTH(B2317))</f>
        <v/>
      </c>
    </row>
    <row r="2318">
      <c r="A2318" s="7" t="n"/>
      <c r="B2318" s="75" t="n"/>
      <c r="C2318" s="7" t="n"/>
      <c r="D2318" s="7" t="n"/>
      <c r="E2318" s="9">
        <f>IF(D2318="","",IFERROR(INDEX('Équipements'!$B$5:$B$304,MATCH(D2318,'Équipements'!$A$5:$A$304,0)),"Code inconnu"))</f>
        <v/>
      </c>
      <c r="F2318" s="9">
        <f>IF(D2318="","",IFERROR(INDEX('Équipements'!$D$5:$D$304,MATCH(D2318,'Équipements'!$A$5:$A$304,0)),""))</f>
        <v/>
      </c>
      <c r="G2318" s="9">
        <f>IF(D2318="","",IFERROR(INDEX('Équipements'!$K$5:$K$304,MATCH(D2318,'Équipements'!$A$5:$A$304,0)),""))</f>
        <v/>
      </c>
      <c r="H2318" s="7" t="n"/>
      <c r="I2318" s="7" t="n"/>
      <c r="J2318" s="7" t="n"/>
      <c r="K2318" s="7" t="n"/>
      <c r="L2318" s="7" t="n"/>
      <c r="M2318" s="7" t="n"/>
      <c r="N2318" s="7" t="n"/>
      <c r="O2318" s="7" t="n"/>
      <c r="P2318" s="65" t="n"/>
      <c r="Q2318" s="75" t="n"/>
      <c r="R2318" s="75" t="n"/>
      <c r="S2318" s="76" t="n"/>
      <c r="T2318" s="76" t="n"/>
      <c r="U2318" s="70">
        <f>IF($A2318="","",IFERROR(INDEX('Techniciens'!$F$5:$F$44,MATCH(O2318,'Techniciens'!$B$5:$B$44,0)),'Paramètres'!$AA$10))</f>
        <v/>
      </c>
      <c r="V2318" s="70">
        <f>IF($A2318="","",IF(OR(AC2318="Demandé",AC2318="Planifié",AC2318="Annulé"),0,N(T2318)*N(U2318)))</f>
        <v/>
      </c>
      <c r="W2318" s="70">
        <f>IF($A2318="","",SUMIFS('Mouvements stock'!$H$5:$H$3004,'Mouvements stock'!$I$5:$I$3004,$A2318,'Mouvements stock'!$C$5:$C$3004,"Sortie")-SUMIFS('Mouvements stock'!$H$5:$H$3004,'Mouvements stock'!$I$5:$I$3004,$A2318,'Mouvements stock'!$C$5:$C$3004,"Retour"))</f>
        <v/>
      </c>
      <c r="X2318" s="66" t="n"/>
      <c r="Y2318" s="66" t="n"/>
      <c r="Z2318" s="7" t="n"/>
      <c r="AA2318" s="70">
        <f>IF($A2318="","",N(V2318)+N(W2318)+N(X2318)+N(Y2318))</f>
        <v/>
      </c>
      <c r="AB2318" s="70">
        <f>IF($A2318="","",N(S2318)*'Paramètres'!$AA$9*IFERROR(INDEX('Paramètres'!$O$5:$O$7,MATCH(G2318,'Paramètres'!$N$5:$N$7,0)),0))</f>
        <v/>
      </c>
      <c r="AC2318" s="7" t="n"/>
      <c r="AD2318" s="69">
        <f>IF(OR($A2318="",Q2318=""),"",(Q2318-B2318)*24)</f>
        <v/>
      </c>
      <c r="AE2318" s="69">
        <f>IF(OR(Q2318="",R2318=""),"",(R2318-Q2318)*24)</f>
        <v/>
      </c>
      <c r="AF2318" s="77">
        <f>IF(OR($A2318="",B2318=""),"",YEAR(B2318))</f>
        <v/>
      </c>
      <c r="AG2318" s="77">
        <f>IF(OR($A2318="",B2318=""),"",MONTH(B2318))</f>
        <v/>
      </c>
    </row>
    <row r="2319">
      <c r="A2319" s="7" t="n"/>
      <c r="B2319" s="75" t="n"/>
      <c r="C2319" s="7" t="n"/>
      <c r="D2319" s="7" t="n"/>
      <c r="E2319" s="9">
        <f>IF(D2319="","",IFERROR(INDEX('Équipements'!$B$5:$B$304,MATCH(D2319,'Équipements'!$A$5:$A$304,0)),"Code inconnu"))</f>
        <v/>
      </c>
      <c r="F2319" s="9">
        <f>IF(D2319="","",IFERROR(INDEX('Équipements'!$D$5:$D$304,MATCH(D2319,'Équipements'!$A$5:$A$304,0)),""))</f>
        <v/>
      </c>
      <c r="G2319" s="9">
        <f>IF(D2319="","",IFERROR(INDEX('Équipements'!$K$5:$K$304,MATCH(D2319,'Équipements'!$A$5:$A$304,0)),""))</f>
        <v/>
      </c>
      <c r="H2319" s="7" t="n"/>
      <c r="I2319" s="7" t="n"/>
      <c r="J2319" s="7" t="n"/>
      <c r="K2319" s="7" t="n"/>
      <c r="L2319" s="7" t="n"/>
      <c r="M2319" s="7" t="n"/>
      <c r="N2319" s="7" t="n"/>
      <c r="O2319" s="7" t="n"/>
      <c r="P2319" s="65" t="n"/>
      <c r="Q2319" s="75" t="n"/>
      <c r="R2319" s="75" t="n"/>
      <c r="S2319" s="76" t="n"/>
      <c r="T2319" s="76" t="n"/>
      <c r="U2319" s="70">
        <f>IF($A2319="","",IFERROR(INDEX('Techniciens'!$F$5:$F$44,MATCH(O2319,'Techniciens'!$B$5:$B$44,0)),'Paramètres'!$AA$10))</f>
        <v/>
      </c>
      <c r="V2319" s="70">
        <f>IF($A2319="","",IF(OR(AC2319="Demandé",AC2319="Planifié",AC2319="Annulé"),0,N(T2319)*N(U2319)))</f>
        <v/>
      </c>
      <c r="W2319" s="70">
        <f>IF($A2319="","",SUMIFS('Mouvements stock'!$H$5:$H$3004,'Mouvements stock'!$I$5:$I$3004,$A2319,'Mouvements stock'!$C$5:$C$3004,"Sortie")-SUMIFS('Mouvements stock'!$H$5:$H$3004,'Mouvements stock'!$I$5:$I$3004,$A2319,'Mouvements stock'!$C$5:$C$3004,"Retour"))</f>
        <v/>
      </c>
      <c r="X2319" s="66" t="n"/>
      <c r="Y2319" s="66" t="n"/>
      <c r="Z2319" s="7" t="n"/>
      <c r="AA2319" s="70">
        <f>IF($A2319="","",N(V2319)+N(W2319)+N(X2319)+N(Y2319))</f>
        <v/>
      </c>
      <c r="AB2319" s="70">
        <f>IF($A2319="","",N(S2319)*'Paramètres'!$AA$9*IFERROR(INDEX('Paramètres'!$O$5:$O$7,MATCH(G2319,'Paramètres'!$N$5:$N$7,0)),0))</f>
        <v/>
      </c>
      <c r="AC2319" s="7" t="n"/>
      <c r="AD2319" s="69">
        <f>IF(OR($A2319="",Q2319=""),"",(Q2319-B2319)*24)</f>
        <v/>
      </c>
      <c r="AE2319" s="69">
        <f>IF(OR(Q2319="",R2319=""),"",(R2319-Q2319)*24)</f>
        <v/>
      </c>
      <c r="AF2319" s="77">
        <f>IF(OR($A2319="",B2319=""),"",YEAR(B2319))</f>
        <v/>
      </c>
      <c r="AG2319" s="77">
        <f>IF(OR($A2319="",B2319=""),"",MONTH(B2319))</f>
        <v/>
      </c>
    </row>
    <row r="2320">
      <c r="A2320" s="7" t="n"/>
      <c r="B2320" s="75" t="n"/>
      <c r="C2320" s="7" t="n"/>
      <c r="D2320" s="7" t="n"/>
      <c r="E2320" s="9">
        <f>IF(D2320="","",IFERROR(INDEX('Équipements'!$B$5:$B$304,MATCH(D2320,'Équipements'!$A$5:$A$304,0)),"Code inconnu"))</f>
        <v/>
      </c>
      <c r="F2320" s="9">
        <f>IF(D2320="","",IFERROR(INDEX('Équipements'!$D$5:$D$304,MATCH(D2320,'Équipements'!$A$5:$A$304,0)),""))</f>
        <v/>
      </c>
      <c r="G2320" s="9">
        <f>IF(D2320="","",IFERROR(INDEX('Équipements'!$K$5:$K$304,MATCH(D2320,'Équipements'!$A$5:$A$304,0)),""))</f>
        <v/>
      </c>
      <c r="H2320" s="7" t="n"/>
      <c r="I2320" s="7" t="n"/>
      <c r="J2320" s="7" t="n"/>
      <c r="K2320" s="7" t="n"/>
      <c r="L2320" s="7" t="n"/>
      <c r="M2320" s="7" t="n"/>
      <c r="N2320" s="7" t="n"/>
      <c r="O2320" s="7" t="n"/>
      <c r="P2320" s="65" t="n"/>
      <c r="Q2320" s="75" t="n"/>
      <c r="R2320" s="75" t="n"/>
      <c r="S2320" s="76" t="n"/>
      <c r="T2320" s="76" t="n"/>
      <c r="U2320" s="70">
        <f>IF($A2320="","",IFERROR(INDEX('Techniciens'!$F$5:$F$44,MATCH(O2320,'Techniciens'!$B$5:$B$44,0)),'Paramètres'!$AA$10))</f>
        <v/>
      </c>
      <c r="V2320" s="70">
        <f>IF($A2320="","",IF(OR(AC2320="Demandé",AC2320="Planifié",AC2320="Annulé"),0,N(T2320)*N(U2320)))</f>
        <v/>
      </c>
      <c r="W2320" s="70">
        <f>IF($A2320="","",SUMIFS('Mouvements stock'!$H$5:$H$3004,'Mouvements stock'!$I$5:$I$3004,$A2320,'Mouvements stock'!$C$5:$C$3004,"Sortie")-SUMIFS('Mouvements stock'!$H$5:$H$3004,'Mouvements stock'!$I$5:$I$3004,$A2320,'Mouvements stock'!$C$5:$C$3004,"Retour"))</f>
        <v/>
      </c>
      <c r="X2320" s="66" t="n"/>
      <c r="Y2320" s="66" t="n"/>
      <c r="Z2320" s="7" t="n"/>
      <c r="AA2320" s="70">
        <f>IF($A2320="","",N(V2320)+N(W2320)+N(X2320)+N(Y2320))</f>
        <v/>
      </c>
      <c r="AB2320" s="70">
        <f>IF($A2320="","",N(S2320)*'Paramètres'!$AA$9*IFERROR(INDEX('Paramètres'!$O$5:$O$7,MATCH(G2320,'Paramètres'!$N$5:$N$7,0)),0))</f>
        <v/>
      </c>
      <c r="AC2320" s="7" t="n"/>
      <c r="AD2320" s="69">
        <f>IF(OR($A2320="",Q2320=""),"",(Q2320-B2320)*24)</f>
        <v/>
      </c>
      <c r="AE2320" s="69">
        <f>IF(OR(Q2320="",R2320=""),"",(R2320-Q2320)*24)</f>
        <v/>
      </c>
      <c r="AF2320" s="77">
        <f>IF(OR($A2320="",B2320=""),"",YEAR(B2320))</f>
        <v/>
      </c>
      <c r="AG2320" s="77">
        <f>IF(OR($A2320="",B2320=""),"",MONTH(B2320))</f>
        <v/>
      </c>
    </row>
    <row r="2321">
      <c r="A2321" s="7" t="n"/>
      <c r="B2321" s="75" t="n"/>
      <c r="C2321" s="7" t="n"/>
      <c r="D2321" s="7" t="n"/>
      <c r="E2321" s="9">
        <f>IF(D2321="","",IFERROR(INDEX('Équipements'!$B$5:$B$304,MATCH(D2321,'Équipements'!$A$5:$A$304,0)),"Code inconnu"))</f>
        <v/>
      </c>
      <c r="F2321" s="9">
        <f>IF(D2321="","",IFERROR(INDEX('Équipements'!$D$5:$D$304,MATCH(D2321,'Équipements'!$A$5:$A$304,0)),""))</f>
        <v/>
      </c>
      <c r="G2321" s="9">
        <f>IF(D2321="","",IFERROR(INDEX('Équipements'!$K$5:$K$304,MATCH(D2321,'Équipements'!$A$5:$A$304,0)),""))</f>
        <v/>
      </c>
      <c r="H2321" s="7" t="n"/>
      <c r="I2321" s="7" t="n"/>
      <c r="J2321" s="7" t="n"/>
      <c r="K2321" s="7" t="n"/>
      <c r="L2321" s="7" t="n"/>
      <c r="M2321" s="7" t="n"/>
      <c r="N2321" s="7" t="n"/>
      <c r="O2321" s="7" t="n"/>
      <c r="P2321" s="65" t="n"/>
      <c r="Q2321" s="75" t="n"/>
      <c r="R2321" s="75" t="n"/>
      <c r="S2321" s="76" t="n"/>
      <c r="T2321" s="76" t="n"/>
      <c r="U2321" s="70">
        <f>IF($A2321="","",IFERROR(INDEX('Techniciens'!$F$5:$F$44,MATCH(O2321,'Techniciens'!$B$5:$B$44,0)),'Paramètres'!$AA$10))</f>
        <v/>
      </c>
      <c r="V2321" s="70">
        <f>IF($A2321="","",IF(OR(AC2321="Demandé",AC2321="Planifié",AC2321="Annulé"),0,N(T2321)*N(U2321)))</f>
        <v/>
      </c>
      <c r="W2321" s="70">
        <f>IF($A2321="","",SUMIFS('Mouvements stock'!$H$5:$H$3004,'Mouvements stock'!$I$5:$I$3004,$A2321,'Mouvements stock'!$C$5:$C$3004,"Sortie")-SUMIFS('Mouvements stock'!$H$5:$H$3004,'Mouvements stock'!$I$5:$I$3004,$A2321,'Mouvements stock'!$C$5:$C$3004,"Retour"))</f>
        <v/>
      </c>
      <c r="X2321" s="66" t="n"/>
      <c r="Y2321" s="66" t="n"/>
      <c r="Z2321" s="7" t="n"/>
      <c r="AA2321" s="70">
        <f>IF($A2321="","",N(V2321)+N(W2321)+N(X2321)+N(Y2321))</f>
        <v/>
      </c>
      <c r="AB2321" s="70">
        <f>IF($A2321="","",N(S2321)*'Paramètres'!$AA$9*IFERROR(INDEX('Paramètres'!$O$5:$O$7,MATCH(G2321,'Paramètres'!$N$5:$N$7,0)),0))</f>
        <v/>
      </c>
      <c r="AC2321" s="7" t="n"/>
      <c r="AD2321" s="69">
        <f>IF(OR($A2321="",Q2321=""),"",(Q2321-B2321)*24)</f>
        <v/>
      </c>
      <c r="AE2321" s="69">
        <f>IF(OR(Q2321="",R2321=""),"",(R2321-Q2321)*24)</f>
        <v/>
      </c>
      <c r="AF2321" s="77">
        <f>IF(OR($A2321="",B2321=""),"",YEAR(B2321))</f>
        <v/>
      </c>
      <c r="AG2321" s="77">
        <f>IF(OR($A2321="",B2321=""),"",MONTH(B2321))</f>
        <v/>
      </c>
    </row>
    <row r="2322">
      <c r="A2322" s="7" t="n"/>
      <c r="B2322" s="75" t="n"/>
      <c r="C2322" s="7" t="n"/>
      <c r="D2322" s="7" t="n"/>
      <c r="E2322" s="9">
        <f>IF(D2322="","",IFERROR(INDEX('Équipements'!$B$5:$B$304,MATCH(D2322,'Équipements'!$A$5:$A$304,0)),"Code inconnu"))</f>
        <v/>
      </c>
      <c r="F2322" s="9">
        <f>IF(D2322="","",IFERROR(INDEX('Équipements'!$D$5:$D$304,MATCH(D2322,'Équipements'!$A$5:$A$304,0)),""))</f>
        <v/>
      </c>
      <c r="G2322" s="9">
        <f>IF(D2322="","",IFERROR(INDEX('Équipements'!$K$5:$K$304,MATCH(D2322,'Équipements'!$A$5:$A$304,0)),""))</f>
        <v/>
      </c>
      <c r="H2322" s="7" t="n"/>
      <c r="I2322" s="7" t="n"/>
      <c r="J2322" s="7" t="n"/>
      <c r="K2322" s="7" t="n"/>
      <c r="L2322" s="7" t="n"/>
      <c r="M2322" s="7" t="n"/>
      <c r="N2322" s="7" t="n"/>
      <c r="O2322" s="7" t="n"/>
      <c r="P2322" s="65" t="n"/>
      <c r="Q2322" s="75" t="n"/>
      <c r="R2322" s="75" t="n"/>
      <c r="S2322" s="76" t="n"/>
      <c r="T2322" s="76" t="n"/>
      <c r="U2322" s="70">
        <f>IF($A2322="","",IFERROR(INDEX('Techniciens'!$F$5:$F$44,MATCH(O2322,'Techniciens'!$B$5:$B$44,0)),'Paramètres'!$AA$10))</f>
        <v/>
      </c>
      <c r="V2322" s="70">
        <f>IF($A2322="","",IF(OR(AC2322="Demandé",AC2322="Planifié",AC2322="Annulé"),0,N(T2322)*N(U2322)))</f>
        <v/>
      </c>
      <c r="W2322" s="70">
        <f>IF($A2322="","",SUMIFS('Mouvements stock'!$H$5:$H$3004,'Mouvements stock'!$I$5:$I$3004,$A2322,'Mouvements stock'!$C$5:$C$3004,"Sortie")-SUMIFS('Mouvements stock'!$H$5:$H$3004,'Mouvements stock'!$I$5:$I$3004,$A2322,'Mouvements stock'!$C$5:$C$3004,"Retour"))</f>
        <v/>
      </c>
      <c r="X2322" s="66" t="n"/>
      <c r="Y2322" s="66" t="n"/>
      <c r="Z2322" s="7" t="n"/>
      <c r="AA2322" s="70">
        <f>IF($A2322="","",N(V2322)+N(W2322)+N(X2322)+N(Y2322))</f>
        <v/>
      </c>
      <c r="AB2322" s="70">
        <f>IF($A2322="","",N(S2322)*'Paramètres'!$AA$9*IFERROR(INDEX('Paramètres'!$O$5:$O$7,MATCH(G2322,'Paramètres'!$N$5:$N$7,0)),0))</f>
        <v/>
      </c>
      <c r="AC2322" s="7" t="n"/>
      <c r="AD2322" s="69">
        <f>IF(OR($A2322="",Q2322=""),"",(Q2322-B2322)*24)</f>
        <v/>
      </c>
      <c r="AE2322" s="69">
        <f>IF(OR(Q2322="",R2322=""),"",(R2322-Q2322)*24)</f>
        <v/>
      </c>
      <c r="AF2322" s="77">
        <f>IF(OR($A2322="",B2322=""),"",YEAR(B2322))</f>
        <v/>
      </c>
      <c r="AG2322" s="77">
        <f>IF(OR($A2322="",B2322=""),"",MONTH(B2322))</f>
        <v/>
      </c>
    </row>
    <row r="2323">
      <c r="A2323" s="7" t="n"/>
      <c r="B2323" s="75" t="n"/>
      <c r="C2323" s="7" t="n"/>
      <c r="D2323" s="7" t="n"/>
      <c r="E2323" s="9">
        <f>IF(D2323="","",IFERROR(INDEX('Équipements'!$B$5:$B$304,MATCH(D2323,'Équipements'!$A$5:$A$304,0)),"Code inconnu"))</f>
        <v/>
      </c>
      <c r="F2323" s="9">
        <f>IF(D2323="","",IFERROR(INDEX('Équipements'!$D$5:$D$304,MATCH(D2323,'Équipements'!$A$5:$A$304,0)),""))</f>
        <v/>
      </c>
      <c r="G2323" s="9">
        <f>IF(D2323="","",IFERROR(INDEX('Équipements'!$K$5:$K$304,MATCH(D2323,'Équipements'!$A$5:$A$304,0)),""))</f>
        <v/>
      </c>
      <c r="H2323" s="7" t="n"/>
      <c r="I2323" s="7" t="n"/>
      <c r="J2323" s="7" t="n"/>
      <c r="K2323" s="7" t="n"/>
      <c r="L2323" s="7" t="n"/>
      <c r="M2323" s="7" t="n"/>
      <c r="N2323" s="7" t="n"/>
      <c r="O2323" s="7" t="n"/>
      <c r="P2323" s="65" t="n"/>
      <c r="Q2323" s="75" t="n"/>
      <c r="R2323" s="75" t="n"/>
      <c r="S2323" s="76" t="n"/>
      <c r="T2323" s="76" t="n"/>
      <c r="U2323" s="70">
        <f>IF($A2323="","",IFERROR(INDEX('Techniciens'!$F$5:$F$44,MATCH(O2323,'Techniciens'!$B$5:$B$44,0)),'Paramètres'!$AA$10))</f>
        <v/>
      </c>
      <c r="V2323" s="70">
        <f>IF($A2323="","",IF(OR(AC2323="Demandé",AC2323="Planifié",AC2323="Annulé"),0,N(T2323)*N(U2323)))</f>
        <v/>
      </c>
      <c r="W2323" s="70">
        <f>IF($A2323="","",SUMIFS('Mouvements stock'!$H$5:$H$3004,'Mouvements stock'!$I$5:$I$3004,$A2323,'Mouvements stock'!$C$5:$C$3004,"Sortie")-SUMIFS('Mouvements stock'!$H$5:$H$3004,'Mouvements stock'!$I$5:$I$3004,$A2323,'Mouvements stock'!$C$5:$C$3004,"Retour"))</f>
        <v/>
      </c>
      <c r="X2323" s="66" t="n"/>
      <c r="Y2323" s="66" t="n"/>
      <c r="Z2323" s="7" t="n"/>
      <c r="AA2323" s="70">
        <f>IF($A2323="","",N(V2323)+N(W2323)+N(X2323)+N(Y2323))</f>
        <v/>
      </c>
      <c r="AB2323" s="70">
        <f>IF($A2323="","",N(S2323)*'Paramètres'!$AA$9*IFERROR(INDEX('Paramètres'!$O$5:$O$7,MATCH(G2323,'Paramètres'!$N$5:$N$7,0)),0))</f>
        <v/>
      </c>
      <c r="AC2323" s="7" t="n"/>
      <c r="AD2323" s="69">
        <f>IF(OR($A2323="",Q2323=""),"",(Q2323-B2323)*24)</f>
        <v/>
      </c>
      <c r="AE2323" s="69">
        <f>IF(OR(Q2323="",R2323=""),"",(R2323-Q2323)*24)</f>
        <v/>
      </c>
      <c r="AF2323" s="77">
        <f>IF(OR($A2323="",B2323=""),"",YEAR(B2323))</f>
        <v/>
      </c>
      <c r="AG2323" s="77">
        <f>IF(OR($A2323="",B2323=""),"",MONTH(B2323))</f>
        <v/>
      </c>
    </row>
    <row r="2324">
      <c r="A2324" s="7" t="n"/>
      <c r="B2324" s="75" t="n"/>
      <c r="C2324" s="7" t="n"/>
      <c r="D2324" s="7" t="n"/>
      <c r="E2324" s="9">
        <f>IF(D2324="","",IFERROR(INDEX('Équipements'!$B$5:$B$304,MATCH(D2324,'Équipements'!$A$5:$A$304,0)),"Code inconnu"))</f>
        <v/>
      </c>
      <c r="F2324" s="9">
        <f>IF(D2324="","",IFERROR(INDEX('Équipements'!$D$5:$D$304,MATCH(D2324,'Équipements'!$A$5:$A$304,0)),""))</f>
        <v/>
      </c>
      <c r="G2324" s="9">
        <f>IF(D2324="","",IFERROR(INDEX('Équipements'!$K$5:$K$304,MATCH(D2324,'Équipements'!$A$5:$A$304,0)),""))</f>
        <v/>
      </c>
      <c r="H2324" s="7" t="n"/>
      <c r="I2324" s="7" t="n"/>
      <c r="J2324" s="7" t="n"/>
      <c r="K2324" s="7" t="n"/>
      <c r="L2324" s="7" t="n"/>
      <c r="M2324" s="7" t="n"/>
      <c r="N2324" s="7" t="n"/>
      <c r="O2324" s="7" t="n"/>
      <c r="P2324" s="65" t="n"/>
      <c r="Q2324" s="75" t="n"/>
      <c r="R2324" s="75" t="n"/>
      <c r="S2324" s="76" t="n"/>
      <c r="T2324" s="76" t="n"/>
      <c r="U2324" s="70">
        <f>IF($A2324="","",IFERROR(INDEX('Techniciens'!$F$5:$F$44,MATCH(O2324,'Techniciens'!$B$5:$B$44,0)),'Paramètres'!$AA$10))</f>
        <v/>
      </c>
      <c r="V2324" s="70">
        <f>IF($A2324="","",IF(OR(AC2324="Demandé",AC2324="Planifié",AC2324="Annulé"),0,N(T2324)*N(U2324)))</f>
        <v/>
      </c>
      <c r="W2324" s="70">
        <f>IF($A2324="","",SUMIFS('Mouvements stock'!$H$5:$H$3004,'Mouvements stock'!$I$5:$I$3004,$A2324,'Mouvements stock'!$C$5:$C$3004,"Sortie")-SUMIFS('Mouvements stock'!$H$5:$H$3004,'Mouvements stock'!$I$5:$I$3004,$A2324,'Mouvements stock'!$C$5:$C$3004,"Retour"))</f>
        <v/>
      </c>
      <c r="X2324" s="66" t="n"/>
      <c r="Y2324" s="66" t="n"/>
      <c r="Z2324" s="7" t="n"/>
      <c r="AA2324" s="70">
        <f>IF($A2324="","",N(V2324)+N(W2324)+N(X2324)+N(Y2324))</f>
        <v/>
      </c>
      <c r="AB2324" s="70">
        <f>IF($A2324="","",N(S2324)*'Paramètres'!$AA$9*IFERROR(INDEX('Paramètres'!$O$5:$O$7,MATCH(G2324,'Paramètres'!$N$5:$N$7,0)),0))</f>
        <v/>
      </c>
      <c r="AC2324" s="7" t="n"/>
      <c r="AD2324" s="69">
        <f>IF(OR($A2324="",Q2324=""),"",(Q2324-B2324)*24)</f>
        <v/>
      </c>
      <c r="AE2324" s="69">
        <f>IF(OR(Q2324="",R2324=""),"",(R2324-Q2324)*24)</f>
        <v/>
      </c>
      <c r="AF2324" s="77">
        <f>IF(OR($A2324="",B2324=""),"",YEAR(B2324))</f>
        <v/>
      </c>
      <c r="AG2324" s="77">
        <f>IF(OR($A2324="",B2324=""),"",MONTH(B2324))</f>
        <v/>
      </c>
    </row>
    <row r="2325">
      <c r="A2325" s="7" t="n"/>
      <c r="B2325" s="75" t="n"/>
      <c r="C2325" s="7" t="n"/>
      <c r="D2325" s="7" t="n"/>
      <c r="E2325" s="9">
        <f>IF(D2325="","",IFERROR(INDEX('Équipements'!$B$5:$B$304,MATCH(D2325,'Équipements'!$A$5:$A$304,0)),"Code inconnu"))</f>
        <v/>
      </c>
      <c r="F2325" s="9">
        <f>IF(D2325="","",IFERROR(INDEX('Équipements'!$D$5:$D$304,MATCH(D2325,'Équipements'!$A$5:$A$304,0)),""))</f>
        <v/>
      </c>
      <c r="G2325" s="9">
        <f>IF(D2325="","",IFERROR(INDEX('Équipements'!$K$5:$K$304,MATCH(D2325,'Équipements'!$A$5:$A$304,0)),""))</f>
        <v/>
      </c>
      <c r="H2325" s="7" t="n"/>
      <c r="I2325" s="7" t="n"/>
      <c r="J2325" s="7" t="n"/>
      <c r="K2325" s="7" t="n"/>
      <c r="L2325" s="7" t="n"/>
      <c r="M2325" s="7" t="n"/>
      <c r="N2325" s="7" t="n"/>
      <c r="O2325" s="7" t="n"/>
      <c r="P2325" s="65" t="n"/>
      <c r="Q2325" s="75" t="n"/>
      <c r="R2325" s="75" t="n"/>
      <c r="S2325" s="76" t="n"/>
      <c r="T2325" s="76" t="n"/>
      <c r="U2325" s="70">
        <f>IF($A2325="","",IFERROR(INDEX('Techniciens'!$F$5:$F$44,MATCH(O2325,'Techniciens'!$B$5:$B$44,0)),'Paramètres'!$AA$10))</f>
        <v/>
      </c>
      <c r="V2325" s="70">
        <f>IF($A2325="","",IF(OR(AC2325="Demandé",AC2325="Planifié",AC2325="Annulé"),0,N(T2325)*N(U2325)))</f>
        <v/>
      </c>
      <c r="W2325" s="70">
        <f>IF($A2325="","",SUMIFS('Mouvements stock'!$H$5:$H$3004,'Mouvements stock'!$I$5:$I$3004,$A2325,'Mouvements stock'!$C$5:$C$3004,"Sortie")-SUMIFS('Mouvements stock'!$H$5:$H$3004,'Mouvements stock'!$I$5:$I$3004,$A2325,'Mouvements stock'!$C$5:$C$3004,"Retour"))</f>
        <v/>
      </c>
      <c r="X2325" s="66" t="n"/>
      <c r="Y2325" s="66" t="n"/>
      <c r="Z2325" s="7" t="n"/>
      <c r="AA2325" s="70">
        <f>IF($A2325="","",N(V2325)+N(W2325)+N(X2325)+N(Y2325))</f>
        <v/>
      </c>
      <c r="AB2325" s="70">
        <f>IF($A2325="","",N(S2325)*'Paramètres'!$AA$9*IFERROR(INDEX('Paramètres'!$O$5:$O$7,MATCH(G2325,'Paramètres'!$N$5:$N$7,0)),0))</f>
        <v/>
      </c>
      <c r="AC2325" s="7" t="n"/>
      <c r="AD2325" s="69">
        <f>IF(OR($A2325="",Q2325=""),"",(Q2325-B2325)*24)</f>
        <v/>
      </c>
      <c r="AE2325" s="69">
        <f>IF(OR(Q2325="",R2325=""),"",(R2325-Q2325)*24)</f>
        <v/>
      </c>
      <c r="AF2325" s="77">
        <f>IF(OR($A2325="",B2325=""),"",YEAR(B2325))</f>
        <v/>
      </c>
      <c r="AG2325" s="77">
        <f>IF(OR($A2325="",B2325=""),"",MONTH(B2325))</f>
        <v/>
      </c>
    </row>
    <row r="2326">
      <c r="A2326" s="7" t="n"/>
      <c r="B2326" s="75" t="n"/>
      <c r="C2326" s="7" t="n"/>
      <c r="D2326" s="7" t="n"/>
      <c r="E2326" s="9">
        <f>IF(D2326="","",IFERROR(INDEX('Équipements'!$B$5:$B$304,MATCH(D2326,'Équipements'!$A$5:$A$304,0)),"Code inconnu"))</f>
        <v/>
      </c>
      <c r="F2326" s="9">
        <f>IF(D2326="","",IFERROR(INDEX('Équipements'!$D$5:$D$304,MATCH(D2326,'Équipements'!$A$5:$A$304,0)),""))</f>
        <v/>
      </c>
      <c r="G2326" s="9">
        <f>IF(D2326="","",IFERROR(INDEX('Équipements'!$K$5:$K$304,MATCH(D2326,'Équipements'!$A$5:$A$304,0)),""))</f>
        <v/>
      </c>
      <c r="H2326" s="7" t="n"/>
      <c r="I2326" s="7" t="n"/>
      <c r="J2326" s="7" t="n"/>
      <c r="K2326" s="7" t="n"/>
      <c r="L2326" s="7" t="n"/>
      <c r="M2326" s="7" t="n"/>
      <c r="N2326" s="7" t="n"/>
      <c r="O2326" s="7" t="n"/>
      <c r="P2326" s="65" t="n"/>
      <c r="Q2326" s="75" t="n"/>
      <c r="R2326" s="75" t="n"/>
      <c r="S2326" s="76" t="n"/>
      <c r="T2326" s="76" t="n"/>
      <c r="U2326" s="70">
        <f>IF($A2326="","",IFERROR(INDEX('Techniciens'!$F$5:$F$44,MATCH(O2326,'Techniciens'!$B$5:$B$44,0)),'Paramètres'!$AA$10))</f>
        <v/>
      </c>
      <c r="V2326" s="70">
        <f>IF($A2326="","",IF(OR(AC2326="Demandé",AC2326="Planifié",AC2326="Annulé"),0,N(T2326)*N(U2326)))</f>
        <v/>
      </c>
      <c r="W2326" s="70">
        <f>IF($A2326="","",SUMIFS('Mouvements stock'!$H$5:$H$3004,'Mouvements stock'!$I$5:$I$3004,$A2326,'Mouvements stock'!$C$5:$C$3004,"Sortie")-SUMIFS('Mouvements stock'!$H$5:$H$3004,'Mouvements stock'!$I$5:$I$3004,$A2326,'Mouvements stock'!$C$5:$C$3004,"Retour"))</f>
        <v/>
      </c>
      <c r="X2326" s="66" t="n"/>
      <c r="Y2326" s="66" t="n"/>
      <c r="Z2326" s="7" t="n"/>
      <c r="AA2326" s="70">
        <f>IF($A2326="","",N(V2326)+N(W2326)+N(X2326)+N(Y2326))</f>
        <v/>
      </c>
      <c r="AB2326" s="70">
        <f>IF($A2326="","",N(S2326)*'Paramètres'!$AA$9*IFERROR(INDEX('Paramètres'!$O$5:$O$7,MATCH(G2326,'Paramètres'!$N$5:$N$7,0)),0))</f>
        <v/>
      </c>
      <c r="AC2326" s="7" t="n"/>
      <c r="AD2326" s="69">
        <f>IF(OR($A2326="",Q2326=""),"",(Q2326-B2326)*24)</f>
        <v/>
      </c>
      <c r="AE2326" s="69">
        <f>IF(OR(Q2326="",R2326=""),"",(R2326-Q2326)*24)</f>
        <v/>
      </c>
      <c r="AF2326" s="77">
        <f>IF(OR($A2326="",B2326=""),"",YEAR(B2326))</f>
        <v/>
      </c>
      <c r="AG2326" s="77">
        <f>IF(OR($A2326="",B2326=""),"",MONTH(B2326))</f>
        <v/>
      </c>
    </row>
    <row r="2327">
      <c r="A2327" s="7" t="n"/>
      <c r="B2327" s="75" t="n"/>
      <c r="C2327" s="7" t="n"/>
      <c r="D2327" s="7" t="n"/>
      <c r="E2327" s="9">
        <f>IF(D2327="","",IFERROR(INDEX('Équipements'!$B$5:$B$304,MATCH(D2327,'Équipements'!$A$5:$A$304,0)),"Code inconnu"))</f>
        <v/>
      </c>
      <c r="F2327" s="9">
        <f>IF(D2327="","",IFERROR(INDEX('Équipements'!$D$5:$D$304,MATCH(D2327,'Équipements'!$A$5:$A$304,0)),""))</f>
        <v/>
      </c>
      <c r="G2327" s="9">
        <f>IF(D2327="","",IFERROR(INDEX('Équipements'!$K$5:$K$304,MATCH(D2327,'Équipements'!$A$5:$A$304,0)),""))</f>
        <v/>
      </c>
      <c r="H2327" s="7" t="n"/>
      <c r="I2327" s="7" t="n"/>
      <c r="J2327" s="7" t="n"/>
      <c r="K2327" s="7" t="n"/>
      <c r="L2327" s="7" t="n"/>
      <c r="M2327" s="7" t="n"/>
      <c r="N2327" s="7" t="n"/>
      <c r="O2327" s="7" t="n"/>
      <c r="P2327" s="65" t="n"/>
      <c r="Q2327" s="75" t="n"/>
      <c r="R2327" s="75" t="n"/>
      <c r="S2327" s="76" t="n"/>
      <c r="T2327" s="76" t="n"/>
      <c r="U2327" s="70">
        <f>IF($A2327="","",IFERROR(INDEX('Techniciens'!$F$5:$F$44,MATCH(O2327,'Techniciens'!$B$5:$B$44,0)),'Paramètres'!$AA$10))</f>
        <v/>
      </c>
      <c r="V2327" s="70">
        <f>IF($A2327="","",IF(OR(AC2327="Demandé",AC2327="Planifié",AC2327="Annulé"),0,N(T2327)*N(U2327)))</f>
        <v/>
      </c>
      <c r="W2327" s="70">
        <f>IF($A2327="","",SUMIFS('Mouvements stock'!$H$5:$H$3004,'Mouvements stock'!$I$5:$I$3004,$A2327,'Mouvements stock'!$C$5:$C$3004,"Sortie")-SUMIFS('Mouvements stock'!$H$5:$H$3004,'Mouvements stock'!$I$5:$I$3004,$A2327,'Mouvements stock'!$C$5:$C$3004,"Retour"))</f>
        <v/>
      </c>
      <c r="X2327" s="66" t="n"/>
      <c r="Y2327" s="66" t="n"/>
      <c r="Z2327" s="7" t="n"/>
      <c r="AA2327" s="70">
        <f>IF($A2327="","",N(V2327)+N(W2327)+N(X2327)+N(Y2327))</f>
        <v/>
      </c>
      <c r="AB2327" s="70">
        <f>IF($A2327="","",N(S2327)*'Paramètres'!$AA$9*IFERROR(INDEX('Paramètres'!$O$5:$O$7,MATCH(G2327,'Paramètres'!$N$5:$N$7,0)),0))</f>
        <v/>
      </c>
      <c r="AC2327" s="7" t="n"/>
      <c r="AD2327" s="69">
        <f>IF(OR($A2327="",Q2327=""),"",(Q2327-B2327)*24)</f>
        <v/>
      </c>
      <c r="AE2327" s="69">
        <f>IF(OR(Q2327="",R2327=""),"",(R2327-Q2327)*24)</f>
        <v/>
      </c>
      <c r="AF2327" s="77">
        <f>IF(OR($A2327="",B2327=""),"",YEAR(B2327))</f>
        <v/>
      </c>
      <c r="AG2327" s="77">
        <f>IF(OR($A2327="",B2327=""),"",MONTH(B2327))</f>
        <v/>
      </c>
    </row>
    <row r="2328">
      <c r="A2328" s="7" t="n"/>
      <c r="B2328" s="75" t="n"/>
      <c r="C2328" s="7" t="n"/>
      <c r="D2328" s="7" t="n"/>
      <c r="E2328" s="9">
        <f>IF(D2328="","",IFERROR(INDEX('Équipements'!$B$5:$B$304,MATCH(D2328,'Équipements'!$A$5:$A$304,0)),"Code inconnu"))</f>
        <v/>
      </c>
      <c r="F2328" s="9">
        <f>IF(D2328="","",IFERROR(INDEX('Équipements'!$D$5:$D$304,MATCH(D2328,'Équipements'!$A$5:$A$304,0)),""))</f>
        <v/>
      </c>
      <c r="G2328" s="9">
        <f>IF(D2328="","",IFERROR(INDEX('Équipements'!$K$5:$K$304,MATCH(D2328,'Équipements'!$A$5:$A$304,0)),""))</f>
        <v/>
      </c>
      <c r="H2328" s="7" t="n"/>
      <c r="I2328" s="7" t="n"/>
      <c r="J2328" s="7" t="n"/>
      <c r="K2328" s="7" t="n"/>
      <c r="L2328" s="7" t="n"/>
      <c r="M2328" s="7" t="n"/>
      <c r="N2328" s="7" t="n"/>
      <c r="O2328" s="7" t="n"/>
      <c r="P2328" s="65" t="n"/>
      <c r="Q2328" s="75" t="n"/>
      <c r="R2328" s="75" t="n"/>
      <c r="S2328" s="76" t="n"/>
      <c r="T2328" s="76" t="n"/>
      <c r="U2328" s="70">
        <f>IF($A2328="","",IFERROR(INDEX('Techniciens'!$F$5:$F$44,MATCH(O2328,'Techniciens'!$B$5:$B$44,0)),'Paramètres'!$AA$10))</f>
        <v/>
      </c>
      <c r="V2328" s="70">
        <f>IF($A2328="","",IF(OR(AC2328="Demandé",AC2328="Planifié",AC2328="Annulé"),0,N(T2328)*N(U2328)))</f>
        <v/>
      </c>
      <c r="W2328" s="70">
        <f>IF($A2328="","",SUMIFS('Mouvements stock'!$H$5:$H$3004,'Mouvements stock'!$I$5:$I$3004,$A2328,'Mouvements stock'!$C$5:$C$3004,"Sortie")-SUMIFS('Mouvements stock'!$H$5:$H$3004,'Mouvements stock'!$I$5:$I$3004,$A2328,'Mouvements stock'!$C$5:$C$3004,"Retour"))</f>
        <v/>
      </c>
      <c r="X2328" s="66" t="n"/>
      <c r="Y2328" s="66" t="n"/>
      <c r="Z2328" s="7" t="n"/>
      <c r="AA2328" s="70">
        <f>IF($A2328="","",N(V2328)+N(W2328)+N(X2328)+N(Y2328))</f>
        <v/>
      </c>
      <c r="AB2328" s="70">
        <f>IF($A2328="","",N(S2328)*'Paramètres'!$AA$9*IFERROR(INDEX('Paramètres'!$O$5:$O$7,MATCH(G2328,'Paramètres'!$N$5:$N$7,0)),0))</f>
        <v/>
      </c>
      <c r="AC2328" s="7" t="n"/>
      <c r="AD2328" s="69">
        <f>IF(OR($A2328="",Q2328=""),"",(Q2328-B2328)*24)</f>
        <v/>
      </c>
      <c r="AE2328" s="69">
        <f>IF(OR(Q2328="",R2328=""),"",(R2328-Q2328)*24)</f>
        <v/>
      </c>
      <c r="AF2328" s="77">
        <f>IF(OR($A2328="",B2328=""),"",YEAR(B2328))</f>
        <v/>
      </c>
      <c r="AG2328" s="77">
        <f>IF(OR($A2328="",B2328=""),"",MONTH(B2328))</f>
        <v/>
      </c>
    </row>
    <row r="2329">
      <c r="A2329" s="7" t="n"/>
      <c r="B2329" s="75" t="n"/>
      <c r="C2329" s="7" t="n"/>
      <c r="D2329" s="7" t="n"/>
      <c r="E2329" s="9">
        <f>IF(D2329="","",IFERROR(INDEX('Équipements'!$B$5:$B$304,MATCH(D2329,'Équipements'!$A$5:$A$304,0)),"Code inconnu"))</f>
        <v/>
      </c>
      <c r="F2329" s="9">
        <f>IF(D2329="","",IFERROR(INDEX('Équipements'!$D$5:$D$304,MATCH(D2329,'Équipements'!$A$5:$A$304,0)),""))</f>
        <v/>
      </c>
      <c r="G2329" s="9">
        <f>IF(D2329="","",IFERROR(INDEX('Équipements'!$K$5:$K$304,MATCH(D2329,'Équipements'!$A$5:$A$304,0)),""))</f>
        <v/>
      </c>
      <c r="H2329" s="7" t="n"/>
      <c r="I2329" s="7" t="n"/>
      <c r="J2329" s="7" t="n"/>
      <c r="K2329" s="7" t="n"/>
      <c r="L2329" s="7" t="n"/>
      <c r="M2329" s="7" t="n"/>
      <c r="N2329" s="7" t="n"/>
      <c r="O2329" s="7" t="n"/>
      <c r="P2329" s="65" t="n"/>
      <c r="Q2329" s="75" t="n"/>
      <c r="R2329" s="75" t="n"/>
      <c r="S2329" s="76" t="n"/>
      <c r="T2329" s="76" t="n"/>
      <c r="U2329" s="70">
        <f>IF($A2329="","",IFERROR(INDEX('Techniciens'!$F$5:$F$44,MATCH(O2329,'Techniciens'!$B$5:$B$44,0)),'Paramètres'!$AA$10))</f>
        <v/>
      </c>
      <c r="V2329" s="70">
        <f>IF($A2329="","",IF(OR(AC2329="Demandé",AC2329="Planifié",AC2329="Annulé"),0,N(T2329)*N(U2329)))</f>
        <v/>
      </c>
      <c r="W2329" s="70">
        <f>IF($A2329="","",SUMIFS('Mouvements stock'!$H$5:$H$3004,'Mouvements stock'!$I$5:$I$3004,$A2329,'Mouvements stock'!$C$5:$C$3004,"Sortie")-SUMIFS('Mouvements stock'!$H$5:$H$3004,'Mouvements stock'!$I$5:$I$3004,$A2329,'Mouvements stock'!$C$5:$C$3004,"Retour"))</f>
        <v/>
      </c>
      <c r="X2329" s="66" t="n"/>
      <c r="Y2329" s="66" t="n"/>
      <c r="Z2329" s="7" t="n"/>
      <c r="AA2329" s="70">
        <f>IF($A2329="","",N(V2329)+N(W2329)+N(X2329)+N(Y2329))</f>
        <v/>
      </c>
      <c r="AB2329" s="70">
        <f>IF($A2329="","",N(S2329)*'Paramètres'!$AA$9*IFERROR(INDEX('Paramètres'!$O$5:$O$7,MATCH(G2329,'Paramètres'!$N$5:$N$7,0)),0))</f>
        <v/>
      </c>
      <c r="AC2329" s="7" t="n"/>
      <c r="AD2329" s="69">
        <f>IF(OR($A2329="",Q2329=""),"",(Q2329-B2329)*24)</f>
        <v/>
      </c>
      <c r="AE2329" s="69">
        <f>IF(OR(Q2329="",R2329=""),"",(R2329-Q2329)*24)</f>
        <v/>
      </c>
      <c r="AF2329" s="77">
        <f>IF(OR($A2329="",B2329=""),"",YEAR(B2329))</f>
        <v/>
      </c>
      <c r="AG2329" s="77">
        <f>IF(OR($A2329="",B2329=""),"",MONTH(B2329))</f>
        <v/>
      </c>
    </row>
    <row r="2330">
      <c r="A2330" s="7" t="n"/>
      <c r="B2330" s="75" t="n"/>
      <c r="C2330" s="7" t="n"/>
      <c r="D2330" s="7" t="n"/>
      <c r="E2330" s="9">
        <f>IF(D2330="","",IFERROR(INDEX('Équipements'!$B$5:$B$304,MATCH(D2330,'Équipements'!$A$5:$A$304,0)),"Code inconnu"))</f>
        <v/>
      </c>
      <c r="F2330" s="9">
        <f>IF(D2330="","",IFERROR(INDEX('Équipements'!$D$5:$D$304,MATCH(D2330,'Équipements'!$A$5:$A$304,0)),""))</f>
        <v/>
      </c>
      <c r="G2330" s="9">
        <f>IF(D2330="","",IFERROR(INDEX('Équipements'!$K$5:$K$304,MATCH(D2330,'Équipements'!$A$5:$A$304,0)),""))</f>
        <v/>
      </c>
      <c r="H2330" s="7" t="n"/>
      <c r="I2330" s="7" t="n"/>
      <c r="J2330" s="7" t="n"/>
      <c r="K2330" s="7" t="n"/>
      <c r="L2330" s="7" t="n"/>
      <c r="M2330" s="7" t="n"/>
      <c r="N2330" s="7" t="n"/>
      <c r="O2330" s="7" t="n"/>
      <c r="P2330" s="65" t="n"/>
      <c r="Q2330" s="75" t="n"/>
      <c r="R2330" s="75" t="n"/>
      <c r="S2330" s="76" t="n"/>
      <c r="T2330" s="76" t="n"/>
      <c r="U2330" s="70">
        <f>IF($A2330="","",IFERROR(INDEX('Techniciens'!$F$5:$F$44,MATCH(O2330,'Techniciens'!$B$5:$B$44,0)),'Paramètres'!$AA$10))</f>
        <v/>
      </c>
      <c r="V2330" s="70">
        <f>IF($A2330="","",IF(OR(AC2330="Demandé",AC2330="Planifié",AC2330="Annulé"),0,N(T2330)*N(U2330)))</f>
        <v/>
      </c>
      <c r="W2330" s="70">
        <f>IF($A2330="","",SUMIFS('Mouvements stock'!$H$5:$H$3004,'Mouvements stock'!$I$5:$I$3004,$A2330,'Mouvements stock'!$C$5:$C$3004,"Sortie")-SUMIFS('Mouvements stock'!$H$5:$H$3004,'Mouvements stock'!$I$5:$I$3004,$A2330,'Mouvements stock'!$C$5:$C$3004,"Retour"))</f>
        <v/>
      </c>
      <c r="X2330" s="66" t="n"/>
      <c r="Y2330" s="66" t="n"/>
      <c r="Z2330" s="7" t="n"/>
      <c r="AA2330" s="70">
        <f>IF($A2330="","",N(V2330)+N(W2330)+N(X2330)+N(Y2330))</f>
        <v/>
      </c>
      <c r="AB2330" s="70">
        <f>IF($A2330="","",N(S2330)*'Paramètres'!$AA$9*IFERROR(INDEX('Paramètres'!$O$5:$O$7,MATCH(G2330,'Paramètres'!$N$5:$N$7,0)),0))</f>
        <v/>
      </c>
      <c r="AC2330" s="7" t="n"/>
      <c r="AD2330" s="69">
        <f>IF(OR($A2330="",Q2330=""),"",(Q2330-B2330)*24)</f>
        <v/>
      </c>
      <c r="AE2330" s="69">
        <f>IF(OR(Q2330="",R2330=""),"",(R2330-Q2330)*24)</f>
        <v/>
      </c>
      <c r="AF2330" s="77">
        <f>IF(OR($A2330="",B2330=""),"",YEAR(B2330))</f>
        <v/>
      </c>
      <c r="AG2330" s="77">
        <f>IF(OR($A2330="",B2330=""),"",MONTH(B2330))</f>
        <v/>
      </c>
    </row>
    <row r="2331">
      <c r="A2331" s="7" t="n"/>
      <c r="B2331" s="75" t="n"/>
      <c r="C2331" s="7" t="n"/>
      <c r="D2331" s="7" t="n"/>
      <c r="E2331" s="9">
        <f>IF(D2331="","",IFERROR(INDEX('Équipements'!$B$5:$B$304,MATCH(D2331,'Équipements'!$A$5:$A$304,0)),"Code inconnu"))</f>
        <v/>
      </c>
      <c r="F2331" s="9">
        <f>IF(D2331="","",IFERROR(INDEX('Équipements'!$D$5:$D$304,MATCH(D2331,'Équipements'!$A$5:$A$304,0)),""))</f>
        <v/>
      </c>
      <c r="G2331" s="9">
        <f>IF(D2331="","",IFERROR(INDEX('Équipements'!$K$5:$K$304,MATCH(D2331,'Équipements'!$A$5:$A$304,0)),""))</f>
        <v/>
      </c>
      <c r="H2331" s="7" t="n"/>
      <c r="I2331" s="7" t="n"/>
      <c r="J2331" s="7" t="n"/>
      <c r="K2331" s="7" t="n"/>
      <c r="L2331" s="7" t="n"/>
      <c r="M2331" s="7" t="n"/>
      <c r="N2331" s="7" t="n"/>
      <c r="O2331" s="7" t="n"/>
      <c r="P2331" s="65" t="n"/>
      <c r="Q2331" s="75" t="n"/>
      <c r="R2331" s="75" t="n"/>
      <c r="S2331" s="76" t="n"/>
      <c r="T2331" s="76" t="n"/>
      <c r="U2331" s="70">
        <f>IF($A2331="","",IFERROR(INDEX('Techniciens'!$F$5:$F$44,MATCH(O2331,'Techniciens'!$B$5:$B$44,0)),'Paramètres'!$AA$10))</f>
        <v/>
      </c>
      <c r="V2331" s="70">
        <f>IF($A2331="","",IF(OR(AC2331="Demandé",AC2331="Planifié",AC2331="Annulé"),0,N(T2331)*N(U2331)))</f>
        <v/>
      </c>
      <c r="W2331" s="70">
        <f>IF($A2331="","",SUMIFS('Mouvements stock'!$H$5:$H$3004,'Mouvements stock'!$I$5:$I$3004,$A2331,'Mouvements stock'!$C$5:$C$3004,"Sortie")-SUMIFS('Mouvements stock'!$H$5:$H$3004,'Mouvements stock'!$I$5:$I$3004,$A2331,'Mouvements stock'!$C$5:$C$3004,"Retour"))</f>
        <v/>
      </c>
      <c r="X2331" s="66" t="n"/>
      <c r="Y2331" s="66" t="n"/>
      <c r="Z2331" s="7" t="n"/>
      <c r="AA2331" s="70">
        <f>IF($A2331="","",N(V2331)+N(W2331)+N(X2331)+N(Y2331))</f>
        <v/>
      </c>
      <c r="AB2331" s="70">
        <f>IF($A2331="","",N(S2331)*'Paramètres'!$AA$9*IFERROR(INDEX('Paramètres'!$O$5:$O$7,MATCH(G2331,'Paramètres'!$N$5:$N$7,0)),0))</f>
        <v/>
      </c>
      <c r="AC2331" s="7" t="n"/>
      <c r="AD2331" s="69">
        <f>IF(OR($A2331="",Q2331=""),"",(Q2331-B2331)*24)</f>
        <v/>
      </c>
      <c r="AE2331" s="69">
        <f>IF(OR(Q2331="",R2331=""),"",(R2331-Q2331)*24)</f>
        <v/>
      </c>
      <c r="AF2331" s="77">
        <f>IF(OR($A2331="",B2331=""),"",YEAR(B2331))</f>
        <v/>
      </c>
      <c r="AG2331" s="77">
        <f>IF(OR($A2331="",B2331=""),"",MONTH(B2331))</f>
        <v/>
      </c>
    </row>
    <row r="2332">
      <c r="A2332" s="7" t="n"/>
      <c r="B2332" s="75" t="n"/>
      <c r="C2332" s="7" t="n"/>
      <c r="D2332" s="7" t="n"/>
      <c r="E2332" s="9">
        <f>IF(D2332="","",IFERROR(INDEX('Équipements'!$B$5:$B$304,MATCH(D2332,'Équipements'!$A$5:$A$304,0)),"Code inconnu"))</f>
        <v/>
      </c>
      <c r="F2332" s="9">
        <f>IF(D2332="","",IFERROR(INDEX('Équipements'!$D$5:$D$304,MATCH(D2332,'Équipements'!$A$5:$A$304,0)),""))</f>
        <v/>
      </c>
      <c r="G2332" s="9">
        <f>IF(D2332="","",IFERROR(INDEX('Équipements'!$K$5:$K$304,MATCH(D2332,'Équipements'!$A$5:$A$304,0)),""))</f>
        <v/>
      </c>
      <c r="H2332" s="7" t="n"/>
      <c r="I2332" s="7" t="n"/>
      <c r="J2332" s="7" t="n"/>
      <c r="K2332" s="7" t="n"/>
      <c r="L2332" s="7" t="n"/>
      <c r="M2332" s="7" t="n"/>
      <c r="N2332" s="7" t="n"/>
      <c r="O2332" s="7" t="n"/>
      <c r="P2332" s="65" t="n"/>
      <c r="Q2332" s="75" t="n"/>
      <c r="R2332" s="75" t="n"/>
      <c r="S2332" s="76" t="n"/>
      <c r="T2332" s="76" t="n"/>
      <c r="U2332" s="70">
        <f>IF($A2332="","",IFERROR(INDEX('Techniciens'!$F$5:$F$44,MATCH(O2332,'Techniciens'!$B$5:$B$44,0)),'Paramètres'!$AA$10))</f>
        <v/>
      </c>
      <c r="V2332" s="70">
        <f>IF($A2332="","",IF(OR(AC2332="Demandé",AC2332="Planifié",AC2332="Annulé"),0,N(T2332)*N(U2332)))</f>
        <v/>
      </c>
      <c r="W2332" s="70">
        <f>IF($A2332="","",SUMIFS('Mouvements stock'!$H$5:$H$3004,'Mouvements stock'!$I$5:$I$3004,$A2332,'Mouvements stock'!$C$5:$C$3004,"Sortie")-SUMIFS('Mouvements stock'!$H$5:$H$3004,'Mouvements stock'!$I$5:$I$3004,$A2332,'Mouvements stock'!$C$5:$C$3004,"Retour"))</f>
        <v/>
      </c>
      <c r="X2332" s="66" t="n"/>
      <c r="Y2332" s="66" t="n"/>
      <c r="Z2332" s="7" t="n"/>
      <c r="AA2332" s="70">
        <f>IF($A2332="","",N(V2332)+N(W2332)+N(X2332)+N(Y2332))</f>
        <v/>
      </c>
      <c r="AB2332" s="70">
        <f>IF($A2332="","",N(S2332)*'Paramètres'!$AA$9*IFERROR(INDEX('Paramètres'!$O$5:$O$7,MATCH(G2332,'Paramètres'!$N$5:$N$7,0)),0))</f>
        <v/>
      </c>
      <c r="AC2332" s="7" t="n"/>
      <c r="AD2332" s="69">
        <f>IF(OR($A2332="",Q2332=""),"",(Q2332-B2332)*24)</f>
        <v/>
      </c>
      <c r="AE2332" s="69">
        <f>IF(OR(Q2332="",R2332=""),"",(R2332-Q2332)*24)</f>
        <v/>
      </c>
      <c r="AF2332" s="77">
        <f>IF(OR($A2332="",B2332=""),"",YEAR(B2332))</f>
        <v/>
      </c>
      <c r="AG2332" s="77">
        <f>IF(OR($A2332="",B2332=""),"",MONTH(B2332))</f>
        <v/>
      </c>
    </row>
    <row r="2333">
      <c r="A2333" s="7" t="n"/>
      <c r="B2333" s="75" t="n"/>
      <c r="C2333" s="7" t="n"/>
      <c r="D2333" s="7" t="n"/>
      <c r="E2333" s="9">
        <f>IF(D2333="","",IFERROR(INDEX('Équipements'!$B$5:$B$304,MATCH(D2333,'Équipements'!$A$5:$A$304,0)),"Code inconnu"))</f>
        <v/>
      </c>
      <c r="F2333" s="9">
        <f>IF(D2333="","",IFERROR(INDEX('Équipements'!$D$5:$D$304,MATCH(D2333,'Équipements'!$A$5:$A$304,0)),""))</f>
        <v/>
      </c>
      <c r="G2333" s="9">
        <f>IF(D2333="","",IFERROR(INDEX('Équipements'!$K$5:$K$304,MATCH(D2333,'Équipements'!$A$5:$A$304,0)),""))</f>
        <v/>
      </c>
      <c r="H2333" s="7" t="n"/>
      <c r="I2333" s="7" t="n"/>
      <c r="J2333" s="7" t="n"/>
      <c r="K2333" s="7" t="n"/>
      <c r="L2333" s="7" t="n"/>
      <c r="M2333" s="7" t="n"/>
      <c r="N2333" s="7" t="n"/>
      <c r="O2333" s="7" t="n"/>
      <c r="P2333" s="65" t="n"/>
      <c r="Q2333" s="75" t="n"/>
      <c r="R2333" s="75" t="n"/>
      <c r="S2333" s="76" t="n"/>
      <c r="T2333" s="76" t="n"/>
      <c r="U2333" s="70">
        <f>IF($A2333="","",IFERROR(INDEX('Techniciens'!$F$5:$F$44,MATCH(O2333,'Techniciens'!$B$5:$B$44,0)),'Paramètres'!$AA$10))</f>
        <v/>
      </c>
      <c r="V2333" s="70">
        <f>IF($A2333="","",IF(OR(AC2333="Demandé",AC2333="Planifié",AC2333="Annulé"),0,N(T2333)*N(U2333)))</f>
        <v/>
      </c>
      <c r="W2333" s="70">
        <f>IF($A2333="","",SUMIFS('Mouvements stock'!$H$5:$H$3004,'Mouvements stock'!$I$5:$I$3004,$A2333,'Mouvements stock'!$C$5:$C$3004,"Sortie")-SUMIFS('Mouvements stock'!$H$5:$H$3004,'Mouvements stock'!$I$5:$I$3004,$A2333,'Mouvements stock'!$C$5:$C$3004,"Retour"))</f>
        <v/>
      </c>
      <c r="X2333" s="66" t="n"/>
      <c r="Y2333" s="66" t="n"/>
      <c r="Z2333" s="7" t="n"/>
      <c r="AA2333" s="70">
        <f>IF($A2333="","",N(V2333)+N(W2333)+N(X2333)+N(Y2333))</f>
        <v/>
      </c>
      <c r="AB2333" s="70">
        <f>IF($A2333="","",N(S2333)*'Paramètres'!$AA$9*IFERROR(INDEX('Paramètres'!$O$5:$O$7,MATCH(G2333,'Paramètres'!$N$5:$N$7,0)),0))</f>
        <v/>
      </c>
      <c r="AC2333" s="7" t="n"/>
      <c r="AD2333" s="69">
        <f>IF(OR($A2333="",Q2333=""),"",(Q2333-B2333)*24)</f>
        <v/>
      </c>
      <c r="AE2333" s="69">
        <f>IF(OR(Q2333="",R2333=""),"",(R2333-Q2333)*24)</f>
        <v/>
      </c>
      <c r="AF2333" s="77">
        <f>IF(OR($A2333="",B2333=""),"",YEAR(B2333))</f>
        <v/>
      </c>
      <c r="AG2333" s="77">
        <f>IF(OR($A2333="",B2333=""),"",MONTH(B2333))</f>
        <v/>
      </c>
    </row>
    <row r="2334">
      <c r="A2334" s="7" t="n"/>
      <c r="B2334" s="75" t="n"/>
      <c r="C2334" s="7" t="n"/>
      <c r="D2334" s="7" t="n"/>
      <c r="E2334" s="9">
        <f>IF(D2334="","",IFERROR(INDEX('Équipements'!$B$5:$B$304,MATCH(D2334,'Équipements'!$A$5:$A$304,0)),"Code inconnu"))</f>
        <v/>
      </c>
      <c r="F2334" s="9">
        <f>IF(D2334="","",IFERROR(INDEX('Équipements'!$D$5:$D$304,MATCH(D2334,'Équipements'!$A$5:$A$304,0)),""))</f>
        <v/>
      </c>
      <c r="G2334" s="9">
        <f>IF(D2334="","",IFERROR(INDEX('Équipements'!$K$5:$K$304,MATCH(D2334,'Équipements'!$A$5:$A$304,0)),""))</f>
        <v/>
      </c>
      <c r="H2334" s="7" t="n"/>
      <c r="I2334" s="7" t="n"/>
      <c r="J2334" s="7" t="n"/>
      <c r="K2334" s="7" t="n"/>
      <c r="L2334" s="7" t="n"/>
      <c r="M2334" s="7" t="n"/>
      <c r="N2334" s="7" t="n"/>
      <c r="O2334" s="7" t="n"/>
      <c r="P2334" s="65" t="n"/>
      <c r="Q2334" s="75" t="n"/>
      <c r="R2334" s="75" t="n"/>
      <c r="S2334" s="76" t="n"/>
      <c r="T2334" s="76" t="n"/>
      <c r="U2334" s="70">
        <f>IF($A2334="","",IFERROR(INDEX('Techniciens'!$F$5:$F$44,MATCH(O2334,'Techniciens'!$B$5:$B$44,0)),'Paramètres'!$AA$10))</f>
        <v/>
      </c>
      <c r="V2334" s="70">
        <f>IF($A2334="","",IF(OR(AC2334="Demandé",AC2334="Planifié",AC2334="Annulé"),0,N(T2334)*N(U2334)))</f>
        <v/>
      </c>
      <c r="W2334" s="70">
        <f>IF($A2334="","",SUMIFS('Mouvements stock'!$H$5:$H$3004,'Mouvements stock'!$I$5:$I$3004,$A2334,'Mouvements stock'!$C$5:$C$3004,"Sortie")-SUMIFS('Mouvements stock'!$H$5:$H$3004,'Mouvements stock'!$I$5:$I$3004,$A2334,'Mouvements stock'!$C$5:$C$3004,"Retour"))</f>
        <v/>
      </c>
      <c r="X2334" s="66" t="n"/>
      <c r="Y2334" s="66" t="n"/>
      <c r="Z2334" s="7" t="n"/>
      <c r="AA2334" s="70">
        <f>IF($A2334="","",N(V2334)+N(W2334)+N(X2334)+N(Y2334))</f>
        <v/>
      </c>
      <c r="AB2334" s="70">
        <f>IF($A2334="","",N(S2334)*'Paramètres'!$AA$9*IFERROR(INDEX('Paramètres'!$O$5:$O$7,MATCH(G2334,'Paramètres'!$N$5:$N$7,0)),0))</f>
        <v/>
      </c>
      <c r="AC2334" s="7" t="n"/>
      <c r="AD2334" s="69">
        <f>IF(OR($A2334="",Q2334=""),"",(Q2334-B2334)*24)</f>
        <v/>
      </c>
      <c r="AE2334" s="69">
        <f>IF(OR(Q2334="",R2334=""),"",(R2334-Q2334)*24)</f>
        <v/>
      </c>
      <c r="AF2334" s="77">
        <f>IF(OR($A2334="",B2334=""),"",YEAR(B2334))</f>
        <v/>
      </c>
      <c r="AG2334" s="77">
        <f>IF(OR($A2334="",B2334=""),"",MONTH(B2334))</f>
        <v/>
      </c>
    </row>
    <row r="2335">
      <c r="A2335" s="7" t="n"/>
      <c r="B2335" s="75" t="n"/>
      <c r="C2335" s="7" t="n"/>
      <c r="D2335" s="7" t="n"/>
      <c r="E2335" s="9">
        <f>IF(D2335="","",IFERROR(INDEX('Équipements'!$B$5:$B$304,MATCH(D2335,'Équipements'!$A$5:$A$304,0)),"Code inconnu"))</f>
        <v/>
      </c>
      <c r="F2335" s="9">
        <f>IF(D2335="","",IFERROR(INDEX('Équipements'!$D$5:$D$304,MATCH(D2335,'Équipements'!$A$5:$A$304,0)),""))</f>
        <v/>
      </c>
      <c r="G2335" s="9">
        <f>IF(D2335="","",IFERROR(INDEX('Équipements'!$K$5:$K$304,MATCH(D2335,'Équipements'!$A$5:$A$304,0)),""))</f>
        <v/>
      </c>
      <c r="H2335" s="7" t="n"/>
      <c r="I2335" s="7" t="n"/>
      <c r="J2335" s="7" t="n"/>
      <c r="K2335" s="7" t="n"/>
      <c r="L2335" s="7" t="n"/>
      <c r="M2335" s="7" t="n"/>
      <c r="N2335" s="7" t="n"/>
      <c r="O2335" s="7" t="n"/>
      <c r="P2335" s="65" t="n"/>
      <c r="Q2335" s="75" t="n"/>
      <c r="R2335" s="75" t="n"/>
      <c r="S2335" s="76" t="n"/>
      <c r="T2335" s="76" t="n"/>
      <c r="U2335" s="70">
        <f>IF($A2335="","",IFERROR(INDEX('Techniciens'!$F$5:$F$44,MATCH(O2335,'Techniciens'!$B$5:$B$44,0)),'Paramètres'!$AA$10))</f>
        <v/>
      </c>
      <c r="V2335" s="70">
        <f>IF($A2335="","",IF(OR(AC2335="Demandé",AC2335="Planifié",AC2335="Annulé"),0,N(T2335)*N(U2335)))</f>
        <v/>
      </c>
      <c r="W2335" s="70">
        <f>IF($A2335="","",SUMIFS('Mouvements stock'!$H$5:$H$3004,'Mouvements stock'!$I$5:$I$3004,$A2335,'Mouvements stock'!$C$5:$C$3004,"Sortie")-SUMIFS('Mouvements stock'!$H$5:$H$3004,'Mouvements stock'!$I$5:$I$3004,$A2335,'Mouvements stock'!$C$5:$C$3004,"Retour"))</f>
        <v/>
      </c>
      <c r="X2335" s="66" t="n"/>
      <c r="Y2335" s="66" t="n"/>
      <c r="Z2335" s="7" t="n"/>
      <c r="AA2335" s="70">
        <f>IF($A2335="","",N(V2335)+N(W2335)+N(X2335)+N(Y2335))</f>
        <v/>
      </c>
      <c r="AB2335" s="70">
        <f>IF($A2335="","",N(S2335)*'Paramètres'!$AA$9*IFERROR(INDEX('Paramètres'!$O$5:$O$7,MATCH(G2335,'Paramètres'!$N$5:$N$7,0)),0))</f>
        <v/>
      </c>
      <c r="AC2335" s="7" t="n"/>
      <c r="AD2335" s="69">
        <f>IF(OR($A2335="",Q2335=""),"",(Q2335-B2335)*24)</f>
        <v/>
      </c>
      <c r="AE2335" s="69">
        <f>IF(OR(Q2335="",R2335=""),"",(R2335-Q2335)*24)</f>
        <v/>
      </c>
      <c r="AF2335" s="77">
        <f>IF(OR($A2335="",B2335=""),"",YEAR(B2335))</f>
        <v/>
      </c>
      <c r="AG2335" s="77">
        <f>IF(OR($A2335="",B2335=""),"",MONTH(B2335))</f>
        <v/>
      </c>
    </row>
    <row r="2336">
      <c r="A2336" s="7" t="n"/>
      <c r="B2336" s="75" t="n"/>
      <c r="C2336" s="7" t="n"/>
      <c r="D2336" s="7" t="n"/>
      <c r="E2336" s="9">
        <f>IF(D2336="","",IFERROR(INDEX('Équipements'!$B$5:$B$304,MATCH(D2336,'Équipements'!$A$5:$A$304,0)),"Code inconnu"))</f>
        <v/>
      </c>
      <c r="F2336" s="9">
        <f>IF(D2336="","",IFERROR(INDEX('Équipements'!$D$5:$D$304,MATCH(D2336,'Équipements'!$A$5:$A$304,0)),""))</f>
        <v/>
      </c>
      <c r="G2336" s="9">
        <f>IF(D2336="","",IFERROR(INDEX('Équipements'!$K$5:$K$304,MATCH(D2336,'Équipements'!$A$5:$A$304,0)),""))</f>
        <v/>
      </c>
      <c r="H2336" s="7" t="n"/>
      <c r="I2336" s="7" t="n"/>
      <c r="J2336" s="7" t="n"/>
      <c r="K2336" s="7" t="n"/>
      <c r="L2336" s="7" t="n"/>
      <c r="M2336" s="7" t="n"/>
      <c r="N2336" s="7" t="n"/>
      <c r="O2336" s="7" t="n"/>
      <c r="P2336" s="65" t="n"/>
      <c r="Q2336" s="75" t="n"/>
      <c r="R2336" s="75" t="n"/>
      <c r="S2336" s="76" t="n"/>
      <c r="T2336" s="76" t="n"/>
      <c r="U2336" s="70">
        <f>IF($A2336="","",IFERROR(INDEX('Techniciens'!$F$5:$F$44,MATCH(O2336,'Techniciens'!$B$5:$B$44,0)),'Paramètres'!$AA$10))</f>
        <v/>
      </c>
      <c r="V2336" s="70">
        <f>IF($A2336="","",IF(OR(AC2336="Demandé",AC2336="Planifié",AC2336="Annulé"),0,N(T2336)*N(U2336)))</f>
        <v/>
      </c>
      <c r="W2336" s="70">
        <f>IF($A2336="","",SUMIFS('Mouvements stock'!$H$5:$H$3004,'Mouvements stock'!$I$5:$I$3004,$A2336,'Mouvements stock'!$C$5:$C$3004,"Sortie")-SUMIFS('Mouvements stock'!$H$5:$H$3004,'Mouvements stock'!$I$5:$I$3004,$A2336,'Mouvements stock'!$C$5:$C$3004,"Retour"))</f>
        <v/>
      </c>
      <c r="X2336" s="66" t="n"/>
      <c r="Y2336" s="66" t="n"/>
      <c r="Z2336" s="7" t="n"/>
      <c r="AA2336" s="70">
        <f>IF($A2336="","",N(V2336)+N(W2336)+N(X2336)+N(Y2336))</f>
        <v/>
      </c>
      <c r="AB2336" s="70">
        <f>IF($A2336="","",N(S2336)*'Paramètres'!$AA$9*IFERROR(INDEX('Paramètres'!$O$5:$O$7,MATCH(G2336,'Paramètres'!$N$5:$N$7,0)),0))</f>
        <v/>
      </c>
      <c r="AC2336" s="7" t="n"/>
      <c r="AD2336" s="69">
        <f>IF(OR($A2336="",Q2336=""),"",(Q2336-B2336)*24)</f>
        <v/>
      </c>
      <c r="AE2336" s="69">
        <f>IF(OR(Q2336="",R2336=""),"",(R2336-Q2336)*24)</f>
        <v/>
      </c>
      <c r="AF2336" s="77">
        <f>IF(OR($A2336="",B2336=""),"",YEAR(B2336))</f>
        <v/>
      </c>
      <c r="AG2336" s="77">
        <f>IF(OR($A2336="",B2336=""),"",MONTH(B2336))</f>
        <v/>
      </c>
    </row>
    <row r="2337">
      <c r="A2337" s="7" t="n"/>
      <c r="B2337" s="75" t="n"/>
      <c r="C2337" s="7" t="n"/>
      <c r="D2337" s="7" t="n"/>
      <c r="E2337" s="9">
        <f>IF(D2337="","",IFERROR(INDEX('Équipements'!$B$5:$B$304,MATCH(D2337,'Équipements'!$A$5:$A$304,0)),"Code inconnu"))</f>
        <v/>
      </c>
      <c r="F2337" s="9">
        <f>IF(D2337="","",IFERROR(INDEX('Équipements'!$D$5:$D$304,MATCH(D2337,'Équipements'!$A$5:$A$304,0)),""))</f>
        <v/>
      </c>
      <c r="G2337" s="9">
        <f>IF(D2337="","",IFERROR(INDEX('Équipements'!$K$5:$K$304,MATCH(D2337,'Équipements'!$A$5:$A$304,0)),""))</f>
        <v/>
      </c>
      <c r="H2337" s="7" t="n"/>
      <c r="I2337" s="7" t="n"/>
      <c r="J2337" s="7" t="n"/>
      <c r="K2337" s="7" t="n"/>
      <c r="L2337" s="7" t="n"/>
      <c r="M2337" s="7" t="n"/>
      <c r="N2337" s="7" t="n"/>
      <c r="O2337" s="7" t="n"/>
      <c r="P2337" s="65" t="n"/>
      <c r="Q2337" s="75" t="n"/>
      <c r="R2337" s="75" t="n"/>
      <c r="S2337" s="76" t="n"/>
      <c r="T2337" s="76" t="n"/>
      <c r="U2337" s="70">
        <f>IF($A2337="","",IFERROR(INDEX('Techniciens'!$F$5:$F$44,MATCH(O2337,'Techniciens'!$B$5:$B$44,0)),'Paramètres'!$AA$10))</f>
        <v/>
      </c>
      <c r="V2337" s="70">
        <f>IF($A2337="","",IF(OR(AC2337="Demandé",AC2337="Planifié",AC2337="Annulé"),0,N(T2337)*N(U2337)))</f>
        <v/>
      </c>
      <c r="W2337" s="70">
        <f>IF($A2337="","",SUMIFS('Mouvements stock'!$H$5:$H$3004,'Mouvements stock'!$I$5:$I$3004,$A2337,'Mouvements stock'!$C$5:$C$3004,"Sortie")-SUMIFS('Mouvements stock'!$H$5:$H$3004,'Mouvements stock'!$I$5:$I$3004,$A2337,'Mouvements stock'!$C$5:$C$3004,"Retour"))</f>
        <v/>
      </c>
      <c r="X2337" s="66" t="n"/>
      <c r="Y2337" s="66" t="n"/>
      <c r="Z2337" s="7" t="n"/>
      <c r="AA2337" s="70">
        <f>IF($A2337="","",N(V2337)+N(W2337)+N(X2337)+N(Y2337))</f>
        <v/>
      </c>
      <c r="AB2337" s="70">
        <f>IF($A2337="","",N(S2337)*'Paramètres'!$AA$9*IFERROR(INDEX('Paramètres'!$O$5:$O$7,MATCH(G2337,'Paramètres'!$N$5:$N$7,0)),0))</f>
        <v/>
      </c>
      <c r="AC2337" s="7" t="n"/>
      <c r="AD2337" s="69">
        <f>IF(OR($A2337="",Q2337=""),"",(Q2337-B2337)*24)</f>
        <v/>
      </c>
      <c r="AE2337" s="69">
        <f>IF(OR(Q2337="",R2337=""),"",(R2337-Q2337)*24)</f>
        <v/>
      </c>
      <c r="AF2337" s="77">
        <f>IF(OR($A2337="",B2337=""),"",YEAR(B2337))</f>
        <v/>
      </c>
      <c r="AG2337" s="77">
        <f>IF(OR($A2337="",B2337=""),"",MONTH(B2337))</f>
        <v/>
      </c>
    </row>
    <row r="2338">
      <c r="A2338" s="7" t="n"/>
      <c r="B2338" s="75" t="n"/>
      <c r="C2338" s="7" t="n"/>
      <c r="D2338" s="7" t="n"/>
      <c r="E2338" s="9">
        <f>IF(D2338="","",IFERROR(INDEX('Équipements'!$B$5:$B$304,MATCH(D2338,'Équipements'!$A$5:$A$304,0)),"Code inconnu"))</f>
        <v/>
      </c>
      <c r="F2338" s="9">
        <f>IF(D2338="","",IFERROR(INDEX('Équipements'!$D$5:$D$304,MATCH(D2338,'Équipements'!$A$5:$A$304,0)),""))</f>
        <v/>
      </c>
      <c r="G2338" s="9">
        <f>IF(D2338="","",IFERROR(INDEX('Équipements'!$K$5:$K$304,MATCH(D2338,'Équipements'!$A$5:$A$304,0)),""))</f>
        <v/>
      </c>
      <c r="H2338" s="7" t="n"/>
      <c r="I2338" s="7" t="n"/>
      <c r="J2338" s="7" t="n"/>
      <c r="K2338" s="7" t="n"/>
      <c r="L2338" s="7" t="n"/>
      <c r="M2338" s="7" t="n"/>
      <c r="N2338" s="7" t="n"/>
      <c r="O2338" s="7" t="n"/>
      <c r="P2338" s="65" t="n"/>
      <c r="Q2338" s="75" t="n"/>
      <c r="R2338" s="75" t="n"/>
      <c r="S2338" s="76" t="n"/>
      <c r="T2338" s="76" t="n"/>
      <c r="U2338" s="70">
        <f>IF($A2338="","",IFERROR(INDEX('Techniciens'!$F$5:$F$44,MATCH(O2338,'Techniciens'!$B$5:$B$44,0)),'Paramètres'!$AA$10))</f>
        <v/>
      </c>
      <c r="V2338" s="70">
        <f>IF($A2338="","",IF(OR(AC2338="Demandé",AC2338="Planifié",AC2338="Annulé"),0,N(T2338)*N(U2338)))</f>
        <v/>
      </c>
      <c r="W2338" s="70">
        <f>IF($A2338="","",SUMIFS('Mouvements stock'!$H$5:$H$3004,'Mouvements stock'!$I$5:$I$3004,$A2338,'Mouvements stock'!$C$5:$C$3004,"Sortie")-SUMIFS('Mouvements stock'!$H$5:$H$3004,'Mouvements stock'!$I$5:$I$3004,$A2338,'Mouvements stock'!$C$5:$C$3004,"Retour"))</f>
        <v/>
      </c>
      <c r="X2338" s="66" t="n"/>
      <c r="Y2338" s="66" t="n"/>
      <c r="Z2338" s="7" t="n"/>
      <c r="AA2338" s="70">
        <f>IF($A2338="","",N(V2338)+N(W2338)+N(X2338)+N(Y2338))</f>
        <v/>
      </c>
      <c r="AB2338" s="70">
        <f>IF($A2338="","",N(S2338)*'Paramètres'!$AA$9*IFERROR(INDEX('Paramètres'!$O$5:$O$7,MATCH(G2338,'Paramètres'!$N$5:$N$7,0)),0))</f>
        <v/>
      </c>
      <c r="AC2338" s="7" t="n"/>
      <c r="AD2338" s="69">
        <f>IF(OR($A2338="",Q2338=""),"",(Q2338-B2338)*24)</f>
        <v/>
      </c>
      <c r="AE2338" s="69">
        <f>IF(OR(Q2338="",R2338=""),"",(R2338-Q2338)*24)</f>
        <v/>
      </c>
      <c r="AF2338" s="77">
        <f>IF(OR($A2338="",B2338=""),"",YEAR(B2338))</f>
        <v/>
      </c>
      <c r="AG2338" s="77">
        <f>IF(OR($A2338="",B2338=""),"",MONTH(B2338))</f>
        <v/>
      </c>
    </row>
    <row r="2339">
      <c r="A2339" s="7" t="n"/>
      <c r="B2339" s="75" t="n"/>
      <c r="C2339" s="7" t="n"/>
      <c r="D2339" s="7" t="n"/>
      <c r="E2339" s="9">
        <f>IF(D2339="","",IFERROR(INDEX('Équipements'!$B$5:$B$304,MATCH(D2339,'Équipements'!$A$5:$A$304,0)),"Code inconnu"))</f>
        <v/>
      </c>
      <c r="F2339" s="9">
        <f>IF(D2339="","",IFERROR(INDEX('Équipements'!$D$5:$D$304,MATCH(D2339,'Équipements'!$A$5:$A$304,0)),""))</f>
        <v/>
      </c>
      <c r="G2339" s="9">
        <f>IF(D2339="","",IFERROR(INDEX('Équipements'!$K$5:$K$304,MATCH(D2339,'Équipements'!$A$5:$A$304,0)),""))</f>
        <v/>
      </c>
      <c r="H2339" s="7" t="n"/>
      <c r="I2339" s="7" t="n"/>
      <c r="J2339" s="7" t="n"/>
      <c r="K2339" s="7" t="n"/>
      <c r="L2339" s="7" t="n"/>
      <c r="M2339" s="7" t="n"/>
      <c r="N2339" s="7" t="n"/>
      <c r="O2339" s="7" t="n"/>
      <c r="P2339" s="65" t="n"/>
      <c r="Q2339" s="75" t="n"/>
      <c r="R2339" s="75" t="n"/>
      <c r="S2339" s="76" t="n"/>
      <c r="T2339" s="76" t="n"/>
      <c r="U2339" s="70">
        <f>IF($A2339="","",IFERROR(INDEX('Techniciens'!$F$5:$F$44,MATCH(O2339,'Techniciens'!$B$5:$B$44,0)),'Paramètres'!$AA$10))</f>
        <v/>
      </c>
      <c r="V2339" s="70">
        <f>IF($A2339="","",IF(OR(AC2339="Demandé",AC2339="Planifié",AC2339="Annulé"),0,N(T2339)*N(U2339)))</f>
        <v/>
      </c>
      <c r="W2339" s="70">
        <f>IF($A2339="","",SUMIFS('Mouvements stock'!$H$5:$H$3004,'Mouvements stock'!$I$5:$I$3004,$A2339,'Mouvements stock'!$C$5:$C$3004,"Sortie")-SUMIFS('Mouvements stock'!$H$5:$H$3004,'Mouvements stock'!$I$5:$I$3004,$A2339,'Mouvements stock'!$C$5:$C$3004,"Retour"))</f>
        <v/>
      </c>
      <c r="X2339" s="66" t="n"/>
      <c r="Y2339" s="66" t="n"/>
      <c r="Z2339" s="7" t="n"/>
      <c r="AA2339" s="70">
        <f>IF($A2339="","",N(V2339)+N(W2339)+N(X2339)+N(Y2339))</f>
        <v/>
      </c>
      <c r="AB2339" s="70">
        <f>IF($A2339="","",N(S2339)*'Paramètres'!$AA$9*IFERROR(INDEX('Paramètres'!$O$5:$O$7,MATCH(G2339,'Paramètres'!$N$5:$N$7,0)),0))</f>
        <v/>
      </c>
      <c r="AC2339" s="7" t="n"/>
      <c r="AD2339" s="69">
        <f>IF(OR($A2339="",Q2339=""),"",(Q2339-B2339)*24)</f>
        <v/>
      </c>
      <c r="AE2339" s="69">
        <f>IF(OR(Q2339="",R2339=""),"",(R2339-Q2339)*24)</f>
        <v/>
      </c>
      <c r="AF2339" s="77">
        <f>IF(OR($A2339="",B2339=""),"",YEAR(B2339))</f>
        <v/>
      </c>
      <c r="AG2339" s="77">
        <f>IF(OR($A2339="",B2339=""),"",MONTH(B2339))</f>
        <v/>
      </c>
    </row>
    <row r="2340">
      <c r="A2340" s="7" t="n"/>
      <c r="B2340" s="75" t="n"/>
      <c r="C2340" s="7" t="n"/>
      <c r="D2340" s="7" t="n"/>
      <c r="E2340" s="9">
        <f>IF(D2340="","",IFERROR(INDEX('Équipements'!$B$5:$B$304,MATCH(D2340,'Équipements'!$A$5:$A$304,0)),"Code inconnu"))</f>
        <v/>
      </c>
      <c r="F2340" s="9">
        <f>IF(D2340="","",IFERROR(INDEX('Équipements'!$D$5:$D$304,MATCH(D2340,'Équipements'!$A$5:$A$304,0)),""))</f>
        <v/>
      </c>
      <c r="G2340" s="9">
        <f>IF(D2340="","",IFERROR(INDEX('Équipements'!$K$5:$K$304,MATCH(D2340,'Équipements'!$A$5:$A$304,0)),""))</f>
        <v/>
      </c>
      <c r="H2340" s="7" t="n"/>
      <c r="I2340" s="7" t="n"/>
      <c r="J2340" s="7" t="n"/>
      <c r="K2340" s="7" t="n"/>
      <c r="L2340" s="7" t="n"/>
      <c r="M2340" s="7" t="n"/>
      <c r="N2340" s="7" t="n"/>
      <c r="O2340" s="7" t="n"/>
      <c r="P2340" s="65" t="n"/>
      <c r="Q2340" s="75" t="n"/>
      <c r="R2340" s="75" t="n"/>
      <c r="S2340" s="76" t="n"/>
      <c r="T2340" s="76" t="n"/>
      <c r="U2340" s="70">
        <f>IF($A2340="","",IFERROR(INDEX('Techniciens'!$F$5:$F$44,MATCH(O2340,'Techniciens'!$B$5:$B$44,0)),'Paramètres'!$AA$10))</f>
        <v/>
      </c>
      <c r="V2340" s="70">
        <f>IF($A2340="","",IF(OR(AC2340="Demandé",AC2340="Planifié",AC2340="Annulé"),0,N(T2340)*N(U2340)))</f>
        <v/>
      </c>
      <c r="W2340" s="70">
        <f>IF($A2340="","",SUMIFS('Mouvements stock'!$H$5:$H$3004,'Mouvements stock'!$I$5:$I$3004,$A2340,'Mouvements stock'!$C$5:$C$3004,"Sortie")-SUMIFS('Mouvements stock'!$H$5:$H$3004,'Mouvements stock'!$I$5:$I$3004,$A2340,'Mouvements stock'!$C$5:$C$3004,"Retour"))</f>
        <v/>
      </c>
      <c r="X2340" s="66" t="n"/>
      <c r="Y2340" s="66" t="n"/>
      <c r="Z2340" s="7" t="n"/>
      <c r="AA2340" s="70">
        <f>IF($A2340="","",N(V2340)+N(W2340)+N(X2340)+N(Y2340))</f>
        <v/>
      </c>
      <c r="AB2340" s="70">
        <f>IF($A2340="","",N(S2340)*'Paramètres'!$AA$9*IFERROR(INDEX('Paramètres'!$O$5:$O$7,MATCH(G2340,'Paramètres'!$N$5:$N$7,0)),0))</f>
        <v/>
      </c>
      <c r="AC2340" s="7" t="n"/>
      <c r="AD2340" s="69">
        <f>IF(OR($A2340="",Q2340=""),"",(Q2340-B2340)*24)</f>
        <v/>
      </c>
      <c r="AE2340" s="69">
        <f>IF(OR(Q2340="",R2340=""),"",(R2340-Q2340)*24)</f>
        <v/>
      </c>
      <c r="AF2340" s="77">
        <f>IF(OR($A2340="",B2340=""),"",YEAR(B2340))</f>
        <v/>
      </c>
      <c r="AG2340" s="77">
        <f>IF(OR($A2340="",B2340=""),"",MONTH(B2340))</f>
        <v/>
      </c>
    </row>
    <row r="2341">
      <c r="A2341" s="7" t="n"/>
      <c r="B2341" s="75" t="n"/>
      <c r="C2341" s="7" t="n"/>
      <c r="D2341" s="7" t="n"/>
      <c r="E2341" s="9">
        <f>IF(D2341="","",IFERROR(INDEX('Équipements'!$B$5:$B$304,MATCH(D2341,'Équipements'!$A$5:$A$304,0)),"Code inconnu"))</f>
        <v/>
      </c>
      <c r="F2341" s="9">
        <f>IF(D2341="","",IFERROR(INDEX('Équipements'!$D$5:$D$304,MATCH(D2341,'Équipements'!$A$5:$A$304,0)),""))</f>
        <v/>
      </c>
      <c r="G2341" s="9">
        <f>IF(D2341="","",IFERROR(INDEX('Équipements'!$K$5:$K$304,MATCH(D2341,'Équipements'!$A$5:$A$304,0)),""))</f>
        <v/>
      </c>
      <c r="H2341" s="7" t="n"/>
      <c r="I2341" s="7" t="n"/>
      <c r="J2341" s="7" t="n"/>
      <c r="K2341" s="7" t="n"/>
      <c r="L2341" s="7" t="n"/>
      <c r="M2341" s="7" t="n"/>
      <c r="N2341" s="7" t="n"/>
      <c r="O2341" s="7" t="n"/>
      <c r="P2341" s="65" t="n"/>
      <c r="Q2341" s="75" t="n"/>
      <c r="R2341" s="75" t="n"/>
      <c r="S2341" s="76" t="n"/>
      <c r="T2341" s="76" t="n"/>
      <c r="U2341" s="70">
        <f>IF($A2341="","",IFERROR(INDEX('Techniciens'!$F$5:$F$44,MATCH(O2341,'Techniciens'!$B$5:$B$44,0)),'Paramètres'!$AA$10))</f>
        <v/>
      </c>
      <c r="V2341" s="70">
        <f>IF($A2341="","",IF(OR(AC2341="Demandé",AC2341="Planifié",AC2341="Annulé"),0,N(T2341)*N(U2341)))</f>
        <v/>
      </c>
      <c r="W2341" s="70">
        <f>IF($A2341="","",SUMIFS('Mouvements stock'!$H$5:$H$3004,'Mouvements stock'!$I$5:$I$3004,$A2341,'Mouvements stock'!$C$5:$C$3004,"Sortie")-SUMIFS('Mouvements stock'!$H$5:$H$3004,'Mouvements stock'!$I$5:$I$3004,$A2341,'Mouvements stock'!$C$5:$C$3004,"Retour"))</f>
        <v/>
      </c>
      <c r="X2341" s="66" t="n"/>
      <c r="Y2341" s="66" t="n"/>
      <c r="Z2341" s="7" t="n"/>
      <c r="AA2341" s="70">
        <f>IF($A2341="","",N(V2341)+N(W2341)+N(X2341)+N(Y2341))</f>
        <v/>
      </c>
      <c r="AB2341" s="70">
        <f>IF($A2341="","",N(S2341)*'Paramètres'!$AA$9*IFERROR(INDEX('Paramètres'!$O$5:$O$7,MATCH(G2341,'Paramètres'!$N$5:$N$7,0)),0))</f>
        <v/>
      </c>
      <c r="AC2341" s="7" t="n"/>
      <c r="AD2341" s="69">
        <f>IF(OR($A2341="",Q2341=""),"",(Q2341-B2341)*24)</f>
        <v/>
      </c>
      <c r="AE2341" s="69">
        <f>IF(OR(Q2341="",R2341=""),"",(R2341-Q2341)*24)</f>
        <v/>
      </c>
      <c r="AF2341" s="77">
        <f>IF(OR($A2341="",B2341=""),"",YEAR(B2341))</f>
        <v/>
      </c>
      <c r="AG2341" s="77">
        <f>IF(OR($A2341="",B2341=""),"",MONTH(B2341))</f>
        <v/>
      </c>
    </row>
    <row r="2342">
      <c r="A2342" s="7" t="n"/>
      <c r="B2342" s="75" t="n"/>
      <c r="C2342" s="7" t="n"/>
      <c r="D2342" s="7" t="n"/>
      <c r="E2342" s="9">
        <f>IF(D2342="","",IFERROR(INDEX('Équipements'!$B$5:$B$304,MATCH(D2342,'Équipements'!$A$5:$A$304,0)),"Code inconnu"))</f>
        <v/>
      </c>
      <c r="F2342" s="9">
        <f>IF(D2342="","",IFERROR(INDEX('Équipements'!$D$5:$D$304,MATCH(D2342,'Équipements'!$A$5:$A$304,0)),""))</f>
        <v/>
      </c>
      <c r="G2342" s="9">
        <f>IF(D2342="","",IFERROR(INDEX('Équipements'!$K$5:$K$304,MATCH(D2342,'Équipements'!$A$5:$A$304,0)),""))</f>
        <v/>
      </c>
      <c r="H2342" s="7" t="n"/>
      <c r="I2342" s="7" t="n"/>
      <c r="J2342" s="7" t="n"/>
      <c r="K2342" s="7" t="n"/>
      <c r="L2342" s="7" t="n"/>
      <c r="M2342" s="7" t="n"/>
      <c r="N2342" s="7" t="n"/>
      <c r="O2342" s="7" t="n"/>
      <c r="P2342" s="65" t="n"/>
      <c r="Q2342" s="75" t="n"/>
      <c r="R2342" s="75" t="n"/>
      <c r="S2342" s="76" t="n"/>
      <c r="T2342" s="76" t="n"/>
      <c r="U2342" s="70">
        <f>IF($A2342="","",IFERROR(INDEX('Techniciens'!$F$5:$F$44,MATCH(O2342,'Techniciens'!$B$5:$B$44,0)),'Paramètres'!$AA$10))</f>
        <v/>
      </c>
      <c r="V2342" s="70">
        <f>IF($A2342="","",IF(OR(AC2342="Demandé",AC2342="Planifié",AC2342="Annulé"),0,N(T2342)*N(U2342)))</f>
        <v/>
      </c>
      <c r="W2342" s="70">
        <f>IF($A2342="","",SUMIFS('Mouvements stock'!$H$5:$H$3004,'Mouvements stock'!$I$5:$I$3004,$A2342,'Mouvements stock'!$C$5:$C$3004,"Sortie")-SUMIFS('Mouvements stock'!$H$5:$H$3004,'Mouvements stock'!$I$5:$I$3004,$A2342,'Mouvements stock'!$C$5:$C$3004,"Retour"))</f>
        <v/>
      </c>
      <c r="X2342" s="66" t="n"/>
      <c r="Y2342" s="66" t="n"/>
      <c r="Z2342" s="7" t="n"/>
      <c r="AA2342" s="70">
        <f>IF($A2342="","",N(V2342)+N(W2342)+N(X2342)+N(Y2342))</f>
        <v/>
      </c>
      <c r="AB2342" s="70">
        <f>IF($A2342="","",N(S2342)*'Paramètres'!$AA$9*IFERROR(INDEX('Paramètres'!$O$5:$O$7,MATCH(G2342,'Paramètres'!$N$5:$N$7,0)),0))</f>
        <v/>
      </c>
      <c r="AC2342" s="7" t="n"/>
      <c r="AD2342" s="69">
        <f>IF(OR($A2342="",Q2342=""),"",(Q2342-B2342)*24)</f>
        <v/>
      </c>
      <c r="AE2342" s="69">
        <f>IF(OR(Q2342="",R2342=""),"",(R2342-Q2342)*24)</f>
        <v/>
      </c>
      <c r="AF2342" s="77">
        <f>IF(OR($A2342="",B2342=""),"",YEAR(B2342))</f>
        <v/>
      </c>
      <c r="AG2342" s="77">
        <f>IF(OR($A2342="",B2342=""),"",MONTH(B2342))</f>
        <v/>
      </c>
    </row>
    <row r="2343">
      <c r="A2343" s="7" t="n"/>
      <c r="B2343" s="75" t="n"/>
      <c r="C2343" s="7" t="n"/>
      <c r="D2343" s="7" t="n"/>
      <c r="E2343" s="9">
        <f>IF(D2343="","",IFERROR(INDEX('Équipements'!$B$5:$B$304,MATCH(D2343,'Équipements'!$A$5:$A$304,0)),"Code inconnu"))</f>
        <v/>
      </c>
      <c r="F2343" s="9">
        <f>IF(D2343="","",IFERROR(INDEX('Équipements'!$D$5:$D$304,MATCH(D2343,'Équipements'!$A$5:$A$304,0)),""))</f>
        <v/>
      </c>
      <c r="G2343" s="9">
        <f>IF(D2343="","",IFERROR(INDEX('Équipements'!$K$5:$K$304,MATCH(D2343,'Équipements'!$A$5:$A$304,0)),""))</f>
        <v/>
      </c>
      <c r="H2343" s="7" t="n"/>
      <c r="I2343" s="7" t="n"/>
      <c r="J2343" s="7" t="n"/>
      <c r="K2343" s="7" t="n"/>
      <c r="L2343" s="7" t="n"/>
      <c r="M2343" s="7" t="n"/>
      <c r="N2343" s="7" t="n"/>
      <c r="O2343" s="7" t="n"/>
      <c r="P2343" s="65" t="n"/>
      <c r="Q2343" s="75" t="n"/>
      <c r="R2343" s="75" t="n"/>
      <c r="S2343" s="76" t="n"/>
      <c r="T2343" s="76" t="n"/>
      <c r="U2343" s="70">
        <f>IF($A2343="","",IFERROR(INDEX('Techniciens'!$F$5:$F$44,MATCH(O2343,'Techniciens'!$B$5:$B$44,0)),'Paramètres'!$AA$10))</f>
        <v/>
      </c>
      <c r="V2343" s="70">
        <f>IF($A2343="","",IF(OR(AC2343="Demandé",AC2343="Planifié",AC2343="Annulé"),0,N(T2343)*N(U2343)))</f>
        <v/>
      </c>
      <c r="W2343" s="70">
        <f>IF($A2343="","",SUMIFS('Mouvements stock'!$H$5:$H$3004,'Mouvements stock'!$I$5:$I$3004,$A2343,'Mouvements stock'!$C$5:$C$3004,"Sortie")-SUMIFS('Mouvements stock'!$H$5:$H$3004,'Mouvements stock'!$I$5:$I$3004,$A2343,'Mouvements stock'!$C$5:$C$3004,"Retour"))</f>
        <v/>
      </c>
      <c r="X2343" s="66" t="n"/>
      <c r="Y2343" s="66" t="n"/>
      <c r="Z2343" s="7" t="n"/>
      <c r="AA2343" s="70">
        <f>IF($A2343="","",N(V2343)+N(W2343)+N(X2343)+N(Y2343))</f>
        <v/>
      </c>
      <c r="AB2343" s="70">
        <f>IF($A2343="","",N(S2343)*'Paramètres'!$AA$9*IFERROR(INDEX('Paramètres'!$O$5:$O$7,MATCH(G2343,'Paramètres'!$N$5:$N$7,0)),0))</f>
        <v/>
      </c>
      <c r="AC2343" s="7" t="n"/>
      <c r="AD2343" s="69">
        <f>IF(OR($A2343="",Q2343=""),"",(Q2343-B2343)*24)</f>
        <v/>
      </c>
      <c r="AE2343" s="69">
        <f>IF(OR(Q2343="",R2343=""),"",(R2343-Q2343)*24)</f>
        <v/>
      </c>
      <c r="AF2343" s="77">
        <f>IF(OR($A2343="",B2343=""),"",YEAR(B2343))</f>
        <v/>
      </c>
      <c r="AG2343" s="77">
        <f>IF(OR($A2343="",B2343=""),"",MONTH(B2343))</f>
        <v/>
      </c>
    </row>
    <row r="2344">
      <c r="A2344" s="7" t="n"/>
      <c r="B2344" s="75" t="n"/>
      <c r="C2344" s="7" t="n"/>
      <c r="D2344" s="7" t="n"/>
      <c r="E2344" s="9">
        <f>IF(D2344="","",IFERROR(INDEX('Équipements'!$B$5:$B$304,MATCH(D2344,'Équipements'!$A$5:$A$304,0)),"Code inconnu"))</f>
        <v/>
      </c>
      <c r="F2344" s="9">
        <f>IF(D2344="","",IFERROR(INDEX('Équipements'!$D$5:$D$304,MATCH(D2344,'Équipements'!$A$5:$A$304,0)),""))</f>
        <v/>
      </c>
      <c r="G2344" s="9">
        <f>IF(D2344="","",IFERROR(INDEX('Équipements'!$K$5:$K$304,MATCH(D2344,'Équipements'!$A$5:$A$304,0)),""))</f>
        <v/>
      </c>
      <c r="H2344" s="7" t="n"/>
      <c r="I2344" s="7" t="n"/>
      <c r="J2344" s="7" t="n"/>
      <c r="K2344" s="7" t="n"/>
      <c r="L2344" s="7" t="n"/>
      <c r="M2344" s="7" t="n"/>
      <c r="N2344" s="7" t="n"/>
      <c r="O2344" s="7" t="n"/>
      <c r="P2344" s="65" t="n"/>
      <c r="Q2344" s="75" t="n"/>
      <c r="R2344" s="75" t="n"/>
      <c r="S2344" s="76" t="n"/>
      <c r="T2344" s="76" t="n"/>
      <c r="U2344" s="70">
        <f>IF($A2344="","",IFERROR(INDEX('Techniciens'!$F$5:$F$44,MATCH(O2344,'Techniciens'!$B$5:$B$44,0)),'Paramètres'!$AA$10))</f>
        <v/>
      </c>
      <c r="V2344" s="70">
        <f>IF($A2344="","",IF(OR(AC2344="Demandé",AC2344="Planifié",AC2344="Annulé"),0,N(T2344)*N(U2344)))</f>
        <v/>
      </c>
      <c r="W2344" s="70">
        <f>IF($A2344="","",SUMIFS('Mouvements stock'!$H$5:$H$3004,'Mouvements stock'!$I$5:$I$3004,$A2344,'Mouvements stock'!$C$5:$C$3004,"Sortie")-SUMIFS('Mouvements stock'!$H$5:$H$3004,'Mouvements stock'!$I$5:$I$3004,$A2344,'Mouvements stock'!$C$5:$C$3004,"Retour"))</f>
        <v/>
      </c>
      <c r="X2344" s="66" t="n"/>
      <c r="Y2344" s="66" t="n"/>
      <c r="Z2344" s="7" t="n"/>
      <c r="AA2344" s="70">
        <f>IF($A2344="","",N(V2344)+N(W2344)+N(X2344)+N(Y2344))</f>
        <v/>
      </c>
      <c r="AB2344" s="70">
        <f>IF($A2344="","",N(S2344)*'Paramètres'!$AA$9*IFERROR(INDEX('Paramètres'!$O$5:$O$7,MATCH(G2344,'Paramètres'!$N$5:$N$7,0)),0))</f>
        <v/>
      </c>
      <c r="AC2344" s="7" t="n"/>
      <c r="AD2344" s="69">
        <f>IF(OR($A2344="",Q2344=""),"",(Q2344-B2344)*24)</f>
        <v/>
      </c>
      <c r="AE2344" s="69">
        <f>IF(OR(Q2344="",R2344=""),"",(R2344-Q2344)*24)</f>
        <v/>
      </c>
      <c r="AF2344" s="77">
        <f>IF(OR($A2344="",B2344=""),"",YEAR(B2344))</f>
        <v/>
      </c>
      <c r="AG2344" s="77">
        <f>IF(OR($A2344="",B2344=""),"",MONTH(B2344))</f>
        <v/>
      </c>
    </row>
    <row r="2345">
      <c r="A2345" s="7" t="n"/>
      <c r="B2345" s="75" t="n"/>
      <c r="C2345" s="7" t="n"/>
      <c r="D2345" s="7" t="n"/>
      <c r="E2345" s="9">
        <f>IF(D2345="","",IFERROR(INDEX('Équipements'!$B$5:$B$304,MATCH(D2345,'Équipements'!$A$5:$A$304,0)),"Code inconnu"))</f>
        <v/>
      </c>
      <c r="F2345" s="9">
        <f>IF(D2345="","",IFERROR(INDEX('Équipements'!$D$5:$D$304,MATCH(D2345,'Équipements'!$A$5:$A$304,0)),""))</f>
        <v/>
      </c>
      <c r="G2345" s="9">
        <f>IF(D2345="","",IFERROR(INDEX('Équipements'!$K$5:$K$304,MATCH(D2345,'Équipements'!$A$5:$A$304,0)),""))</f>
        <v/>
      </c>
      <c r="H2345" s="7" t="n"/>
      <c r="I2345" s="7" t="n"/>
      <c r="J2345" s="7" t="n"/>
      <c r="K2345" s="7" t="n"/>
      <c r="L2345" s="7" t="n"/>
      <c r="M2345" s="7" t="n"/>
      <c r="N2345" s="7" t="n"/>
      <c r="O2345" s="7" t="n"/>
      <c r="P2345" s="65" t="n"/>
      <c r="Q2345" s="75" t="n"/>
      <c r="R2345" s="75" t="n"/>
      <c r="S2345" s="76" t="n"/>
      <c r="T2345" s="76" t="n"/>
      <c r="U2345" s="70">
        <f>IF($A2345="","",IFERROR(INDEX('Techniciens'!$F$5:$F$44,MATCH(O2345,'Techniciens'!$B$5:$B$44,0)),'Paramètres'!$AA$10))</f>
        <v/>
      </c>
      <c r="V2345" s="70">
        <f>IF($A2345="","",IF(OR(AC2345="Demandé",AC2345="Planifié",AC2345="Annulé"),0,N(T2345)*N(U2345)))</f>
        <v/>
      </c>
      <c r="W2345" s="70">
        <f>IF($A2345="","",SUMIFS('Mouvements stock'!$H$5:$H$3004,'Mouvements stock'!$I$5:$I$3004,$A2345,'Mouvements stock'!$C$5:$C$3004,"Sortie")-SUMIFS('Mouvements stock'!$H$5:$H$3004,'Mouvements stock'!$I$5:$I$3004,$A2345,'Mouvements stock'!$C$5:$C$3004,"Retour"))</f>
        <v/>
      </c>
      <c r="X2345" s="66" t="n"/>
      <c r="Y2345" s="66" t="n"/>
      <c r="Z2345" s="7" t="n"/>
      <c r="AA2345" s="70">
        <f>IF($A2345="","",N(V2345)+N(W2345)+N(X2345)+N(Y2345))</f>
        <v/>
      </c>
      <c r="AB2345" s="70">
        <f>IF($A2345="","",N(S2345)*'Paramètres'!$AA$9*IFERROR(INDEX('Paramètres'!$O$5:$O$7,MATCH(G2345,'Paramètres'!$N$5:$N$7,0)),0))</f>
        <v/>
      </c>
      <c r="AC2345" s="7" t="n"/>
      <c r="AD2345" s="69">
        <f>IF(OR($A2345="",Q2345=""),"",(Q2345-B2345)*24)</f>
        <v/>
      </c>
      <c r="AE2345" s="69">
        <f>IF(OR(Q2345="",R2345=""),"",(R2345-Q2345)*24)</f>
        <v/>
      </c>
      <c r="AF2345" s="77">
        <f>IF(OR($A2345="",B2345=""),"",YEAR(B2345))</f>
        <v/>
      </c>
      <c r="AG2345" s="77">
        <f>IF(OR($A2345="",B2345=""),"",MONTH(B2345))</f>
        <v/>
      </c>
    </row>
    <row r="2346">
      <c r="A2346" s="7" t="n"/>
      <c r="B2346" s="75" t="n"/>
      <c r="C2346" s="7" t="n"/>
      <c r="D2346" s="7" t="n"/>
      <c r="E2346" s="9">
        <f>IF(D2346="","",IFERROR(INDEX('Équipements'!$B$5:$B$304,MATCH(D2346,'Équipements'!$A$5:$A$304,0)),"Code inconnu"))</f>
        <v/>
      </c>
      <c r="F2346" s="9">
        <f>IF(D2346="","",IFERROR(INDEX('Équipements'!$D$5:$D$304,MATCH(D2346,'Équipements'!$A$5:$A$304,0)),""))</f>
        <v/>
      </c>
      <c r="G2346" s="9">
        <f>IF(D2346="","",IFERROR(INDEX('Équipements'!$K$5:$K$304,MATCH(D2346,'Équipements'!$A$5:$A$304,0)),""))</f>
        <v/>
      </c>
      <c r="H2346" s="7" t="n"/>
      <c r="I2346" s="7" t="n"/>
      <c r="J2346" s="7" t="n"/>
      <c r="K2346" s="7" t="n"/>
      <c r="L2346" s="7" t="n"/>
      <c r="M2346" s="7" t="n"/>
      <c r="N2346" s="7" t="n"/>
      <c r="O2346" s="7" t="n"/>
      <c r="P2346" s="65" t="n"/>
      <c r="Q2346" s="75" t="n"/>
      <c r="R2346" s="75" t="n"/>
      <c r="S2346" s="76" t="n"/>
      <c r="T2346" s="76" t="n"/>
      <c r="U2346" s="70">
        <f>IF($A2346="","",IFERROR(INDEX('Techniciens'!$F$5:$F$44,MATCH(O2346,'Techniciens'!$B$5:$B$44,0)),'Paramètres'!$AA$10))</f>
        <v/>
      </c>
      <c r="V2346" s="70">
        <f>IF($A2346="","",IF(OR(AC2346="Demandé",AC2346="Planifié",AC2346="Annulé"),0,N(T2346)*N(U2346)))</f>
        <v/>
      </c>
      <c r="W2346" s="70">
        <f>IF($A2346="","",SUMIFS('Mouvements stock'!$H$5:$H$3004,'Mouvements stock'!$I$5:$I$3004,$A2346,'Mouvements stock'!$C$5:$C$3004,"Sortie")-SUMIFS('Mouvements stock'!$H$5:$H$3004,'Mouvements stock'!$I$5:$I$3004,$A2346,'Mouvements stock'!$C$5:$C$3004,"Retour"))</f>
        <v/>
      </c>
      <c r="X2346" s="66" t="n"/>
      <c r="Y2346" s="66" t="n"/>
      <c r="Z2346" s="7" t="n"/>
      <c r="AA2346" s="70">
        <f>IF($A2346="","",N(V2346)+N(W2346)+N(X2346)+N(Y2346))</f>
        <v/>
      </c>
      <c r="AB2346" s="70">
        <f>IF($A2346="","",N(S2346)*'Paramètres'!$AA$9*IFERROR(INDEX('Paramètres'!$O$5:$O$7,MATCH(G2346,'Paramètres'!$N$5:$N$7,0)),0))</f>
        <v/>
      </c>
      <c r="AC2346" s="7" t="n"/>
      <c r="AD2346" s="69">
        <f>IF(OR($A2346="",Q2346=""),"",(Q2346-B2346)*24)</f>
        <v/>
      </c>
      <c r="AE2346" s="69">
        <f>IF(OR(Q2346="",R2346=""),"",(R2346-Q2346)*24)</f>
        <v/>
      </c>
      <c r="AF2346" s="77">
        <f>IF(OR($A2346="",B2346=""),"",YEAR(B2346))</f>
        <v/>
      </c>
      <c r="AG2346" s="77">
        <f>IF(OR($A2346="",B2346=""),"",MONTH(B2346))</f>
        <v/>
      </c>
    </row>
    <row r="2347">
      <c r="A2347" s="7" t="n"/>
      <c r="B2347" s="75" t="n"/>
      <c r="C2347" s="7" t="n"/>
      <c r="D2347" s="7" t="n"/>
      <c r="E2347" s="9">
        <f>IF(D2347="","",IFERROR(INDEX('Équipements'!$B$5:$B$304,MATCH(D2347,'Équipements'!$A$5:$A$304,0)),"Code inconnu"))</f>
        <v/>
      </c>
      <c r="F2347" s="9">
        <f>IF(D2347="","",IFERROR(INDEX('Équipements'!$D$5:$D$304,MATCH(D2347,'Équipements'!$A$5:$A$304,0)),""))</f>
        <v/>
      </c>
      <c r="G2347" s="9">
        <f>IF(D2347="","",IFERROR(INDEX('Équipements'!$K$5:$K$304,MATCH(D2347,'Équipements'!$A$5:$A$304,0)),""))</f>
        <v/>
      </c>
      <c r="H2347" s="7" t="n"/>
      <c r="I2347" s="7" t="n"/>
      <c r="J2347" s="7" t="n"/>
      <c r="K2347" s="7" t="n"/>
      <c r="L2347" s="7" t="n"/>
      <c r="M2347" s="7" t="n"/>
      <c r="N2347" s="7" t="n"/>
      <c r="O2347" s="7" t="n"/>
      <c r="P2347" s="65" t="n"/>
      <c r="Q2347" s="75" t="n"/>
      <c r="R2347" s="75" t="n"/>
      <c r="S2347" s="76" t="n"/>
      <c r="T2347" s="76" t="n"/>
      <c r="U2347" s="70">
        <f>IF($A2347="","",IFERROR(INDEX('Techniciens'!$F$5:$F$44,MATCH(O2347,'Techniciens'!$B$5:$B$44,0)),'Paramètres'!$AA$10))</f>
        <v/>
      </c>
      <c r="V2347" s="70">
        <f>IF($A2347="","",IF(OR(AC2347="Demandé",AC2347="Planifié",AC2347="Annulé"),0,N(T2347)*N(U2347)))</f>
        <v/>
      </c>
      <c r="W2347" s="70">
        <f>IF($A2347="","",SUMIFS('Mouvements stock'!$H$5:$H$3004,'Mouvements stock'!$I$5:$I$3004,$A2347,'Mouvements stock'!$C$5:$C$3004,"Sortie")-SUMIFS('Mouvements stock'!$H$5:$H$3004,'Mouvements stock'!$I$5:$I$3004,$A2347,'Mouvements stock'!$C$5:$C$3004,"Retour"))</f>
        <v/>
      </c>
      <c r="X2347" s="66" t="n"/>
      <c r="Y2347" s="66" t="n"/>
      <c r="Z2347" s="7" t="n"/>
      <c r="AA2347" s="70">
        <f>IF($A2347="","",N(V2347)+N(W2347)+N(X2347)+N(Y2347))</f>
        <v/>
      </c>
      <c r="AB2347" s="70">
        <f>IF($A2347="","",N(S2347)*'Paramètres'!$AA$9*IFERROR(INDEX('Paramètres'!$O$5:$O$7,MATCH(G2347,'Paramètres'!$N$5:$N$7,0)),0))</f>
        <v/>
      </c>
      <c r="AC2347" s="7" t="n"/>
      <c r="AD2347" s="69">
        <f>IF(OR($A2347="",Q2347=""),"",(Q2347-B2347)*24)</f>
        <v/>
      </c>
      <c r="AE2347" s="69">
        <f>IF(OR(Q2347="",R2347=""),"",(R2347-Q2347)*24)</f>
        <v/>
      </c>
      <c r="AF2347" s="77">
        <f>IF(OR($A2347="",B2347=""),"",YEAR(B2347))</f>
        <v/>
      </c>
      <c r="AG2347" s="77">
        <f>IF(OR($A2347="",B2347=""),"",MONTH(B2347))</f>
        <v/>
      </c>
    </row>
    <row r="2348">
      <c r="A2348" s="7" t="n"/>
      <c r="B2348" s="75" t="n"/>
      <c r="C2348" s="7" t="n"/>
      <c r="D2348" s="7" t="n"/>
      <c r="E2348" s="9">
        <f>IF(D2348="","",IFERROR(INDEX('Équipements'!$B$5:$B$304,MATCH(D2348,'Équipements'!$A$5:$A$304,0)),"Code inconnu"))</f>
        <v/>
      </c>
      <c r="F2348" s="9">
        <f>IF(D2348="","",IFERROR(INDEX('Équipements'!$D$5:$D$304,MATCH(D2348,'Équipements'!$A$5:$A$304,0)),""))</f>
        <v/>
      </c>
      <c r="G2348" s="9">
        <f>IF(D2348="","",IFERROR(INDEX('Équipements'!$K$5:$K$304,MATCH(D2348,'Équipements'!$A$5:$A$304,0)),""))</f>
        <v/>
      </c>
      <c r="H2348" s="7" t="n"/>
      <c r="I2348" s="7" t="n"/>
      <c r="J2348" s="7" t="n"/>
      <c r="K2348" s="7" t="n"/>
      <c r="L2348" s="7" t="n"/>
      <c r="M2348" s="7" t="n"/>
      <c r="N2348" s="7" t="n"/>
      <c r="O2348" s="7" t="n"/>
      <c r="P2348" s="65" t="n"/>
      <c r="Q2348" s="75" t="n"/>
      <c r="R2348" s="75" t="n"/>
      <c r="S2348" s="76" t="n"/>
      <c r="T2348" s="76" t="n"/>
      <c r="U2348" s="70">
        <f>IF($A2348="","",IFERROR(INDEX('Techniciens'!$F$5:$F$44,MATCH(O2348,'Techniciens'!$B$5:$B$44,0)),'Paramètres'!$AA$10))</f>
        <v/>
      </c>
      <c r="V2348" s="70">
        <f>IF($A2348="","",IF(OR(AC2348="Demandé",AC2348="Planifié",AC2348="Annulé"),0,N(T2348)*N(U2348)))</f>
        <v/>
      </c>
      <c r="W2348" s="70">
        <f>IF($A2348="","",SUMIFS('Mouvements stock'!$H$5:$H$3004,'Mouvements stock'!$I$5:$I$3004,$A2348,'Mouvements stock'!$C$5:$C$3004,"Sortie")-SUMIFS('Mouvements stock'!$H$5:$H$3004,'Mouvements stock'!$I$5:$I$3004,$A2348,'Mouvements stock'!$C$5:$C$3004,"Retour"))</f>
        <v/>
      </c>
      <c r="X2348" s="66" t="n"/>
      <c r="Y2348" s="66" t="n"/>
      <c r="Z2348" s="7" t="n"/>
      <c r="AA2348" s="70">
        <f>IF($A2348="","",N(V2348)+N(W2348)+N(X2348)+N(Y2348))</f>
        <v/>
      </c>
      <c r="AB2348" s="70">
        <f>IF($A2348="","",N(S2348)*'Paramètres'!$AA$9*IFERROR(INDEX('Paramètres'!$O$5:$O$7,MATCH(G2348,'Paramètres'!$N$5:$N$7,0)),0))</f>
        <v/>
      </c>
      <c r="AC2348" s="7" t="n"/>
      <c r="AD2348" s="69">
        <f>IF(OR($A2348="",Q2348=""),"",(Q2348-B2348)*24)</f>
        <v/>
      </c>
      <c r="AE2348" s="69">
        <f>IF(OR(Q2348="",R2348=""),"",(R2348-Q2348)*24)</f>
        <v/>
      </c>
      <c r="AF2348" s="77">
        <f>IF(OR($A2348="",B2348=""),"",YEAR(B2348))</f>
        <v/>
      </c>
      <c r="AG2348" s="77">
        <f>IF(OR($A2348="",B2348=""),"",MONTH(B2348))</f>
        <v/>
      </c>
    </row>
    <row r="2349">
      <c r="A2349" s="7" t="n"/>
      <c r="B2349" s="75" t="n"/>
      <c r="C2349" s="7" t="n"/>
      <c r="D2349" s="7" t="n"/>
      <c r="E2349" s="9">
        <f>IF(D2349="","",IFERROR(INDEX('Équipements'!$B$5:$B$304,MATCH(D2349,'Équipements'!$A$5:$A$304,0)),"Code inconnu"))</f>
        <v/>
      </c>
      <c r="F2349" s="9">
        <f>IF(D2349="","",IFERROR(INDEX('Équipements'!$D$5:$D$304,MATCH(D2349,'Équipements'!$A$5:$A$304,0)),""))</f>
        <v/>
      </c>
      <c r="G2349" s="9">
        <f>IF(D2349="","",IFERROR(INDEX('Équipements'!$K$5:$K$304,MATCH(D2349,'Équipements'!$A$5:$A$304,0)),""))</f>
        <v/>
      </c>
      <c r="H2349" s="7" t="n"/>
      <c r="I2349" s="7" t="n"/>
      <c r="J2349" s="7" t="n"/>
      <c r="K2349" s="7" t="n"/>
      <c r="L2349" s="7" t="n"/>
      <c r="M2349" s="7" t="n"/>
      <c r="N2349" s="7" t="n"/>
      <c r="O2349" s="7" t="n"/>
      <c r="P2349" s="65" t="n"/>
      <c r="Q2349" s="75" t="n"/>
      <c r="R2349" s="75" t="n"/>
      <c r="S2349" s="76" t="n"/>
      <c r="T2349" s="76" t="n"/>
      <c r="U2349" s="70">
        <f>IF($A2349="","",IFERROR(INDEX('Techniciens'!$F$5:$F$44,MATCH(O2349,'Techniciens'!$B$5:$B$44,0)),'Paramètres'!$AA$10))</f>
        <v/>
      </c>
      <c r="V2349" s="70">
        <f>IF($A2349="","",IF(OR(AC2349="Demandé",AC2349="Planifié",AC2349="Annulé"),0,N(T2349)*N(U2349)))</f>
        <v/>
      </c>
      <c r="W2349" s="70">
        <f>IF($A2349="","",SUMIFS('Mouvements stock'!$H$5:$H$3004,'Mouvements stock'!$I$5:$I$3004,$A2349,'Mouvements stock'!$C$5:$C$3004,"Sortie")-SUMIFS('Mouvements stock'!$H$5:$H$3004,'Mouvements stock'!$I$5:$I$3004,$A2349,'Mouvements stock'!$C$5:$C$3004,"Retour"))</f>
        <v/>
      </c>
      <c r="X2349" s="66" t="n"/>
      <c r="Y2349" s="66" t="n"/>
      <c r="Z2349" s="7" t="n"/>
      <c r="AA2349" s="70">
        <f>IF($A2349="","",N(V2349)+N(W2349)+N(X2349)+N(Y2349))</f>
        <v/>
      </c>
      <c r="AB2349" s="70">
        <f>IF($A2349="","",N(S2349)*'Paramètres'!$AA$9*IFERROR(INDEX('Paramètres'!$O$5:$O$7,MATCH(G2349,'Paramètres'!$N$5:$N$7,0)),0))</f>
        <v/>
      </c>
      <c r="AC2349" s="7" t="n"/>
      <c r="AD2349" s="69">
        <f>IF(OR($A2349="",Q2349=""),"",(Q2349-B2349)*24)</f>
        <v/>
      </c>
      <c r="AE2349" s="69">
        <f>IF(OR(Q2349="",R2349=""),"",(R2349-Q2349)*24)</f>
        <v/>
      </c>
      <c r="AF2349" s="77">
        <f>IF(OR($A2349="",B2349=""),"",YEAR(B2349))</f>
        <v/>
      </c>
      <c r="AG2349" s="77">
        <f>IF(OR($A2349="",B2349=""),"",MONTH(B2349))</f>
        <v/>
      </c>
    </row>
    <row r="2350">
      <c r="A2350" s="7" t="n"/>
      <c r="B2350" s="75" t="n"/>
      <c r="C2350" s="7" t="n"/>
      <c r="D2350" s="7" t="n"/>
      <c r="E2350" s="9">
        <f>IF(D2350="","",IFERROR(INDEX('Équipements'!$B$5:$B$304,MATCH(D2350,'Équipements'!$A$5:$A$304,0)),"Code inconnu"))</f>
        <v/>
      </c>
      <c r="F2350" s="9">
        <f>IF(D2350="","",IFERROR(INDEX('Équipements'!$D$5:$D$304,MATCH(D2350,'Équipements'!$A$5:$A$304,0)),""))</f>
        <v/>
      </c>
      <c r="G2350" s="9">
        <f>IF(D2350="","",IFERROR(INDEX('Équipements'!$K$5:$K$304,MATCH(D2350,'Équipements'!$A$5:$A$304,0)),""))</f>
        <v/>
      </c>
      <c r="H2350" s="7" t="n"/>
      <c r="I2350" s="7" t="n"/>
      <c r="J2350" s="7" t="n"/>
      <c r="K2350" s="7" t="n"/>
      <c r="L2350" s="7" t="n"/>
      <c r="M2350" s="7" t="n"/>
      <c r="N2350" s="7" t="n"/>
      <c r="O2350" s="7" t="n"/>
      <c r="P2350" s="65" t="n"/>
      <c r="Q2350" s="75" t="n"/>
      <c r="R2350" s="75" t="n"/>
      <c r="S2350" s="76" t="n"/>
      <c r="T2350" s="76" t="n"/>
      <c r="U2350" s="70">
        <f>IF($A2350="","",IFERROR(INDEX('Techniciens'!$F$5:$F$44,MATCH(O2350,'Techniciens'!$B$5:$B$44,0)),'Paramètres'!$AA$10))</f>
        <v/>
      </c>
      <c r="V2350" s="70">
        <f>IF($A2350="","",IF(OR(AC2350="Demandé",AC2350="Planifié",AC2350="Annulé"),0,N(T2350)*N(U2350)))</f>
        <v/>
      </c>
      <c r="W2350" s="70">
        <f>IF($A2350="","",SUMIFS('Mouvements stock'!$H$5:$H$3004,'Mouvements stock'!$I$5:$I$3004,$A2350,'Mouvements stock'!$C$5:$C$3004,"Sortie")-SUMIFS('Mouvements stock'!$H$5:$H$3004,'Mouvements stock'!$I$5:$I$3004,$A2350,'Mouvements stock'!$C$5:$C$3004,"Retour"))</f>
        <v/>
      </c>
      <c r="X2350" s="66" t="n"/>
      <c r="Y2350" s="66" t="n"/>
      <c r="Z2350" s="7" t="n"/>
      <c r="AA2350" s="70">
        <f>IF($A2350="","",N(V2350)+N(W2350)+N(X2350)+N(Y2350))</f>
        <v/>
      </c>
      <c r="AB2350" s="70">
        <f>IF($A2350="","",N(S2350)*'Paramètres'!$AA$9*IFERROR(INDEX('Paramètres'!$O$5:$O$7,MATCH(G2350,'Paramètres'!$N$5:$N$7,0)),0))</f>
        <v/>
      </c>
      <c r="AC2350" s="7" t="n"/>
      <c r="AD2350" s="69">
        <f>IF(OR($A2350="",Q2350=""),"",(Q2350-B2350)*24)</f>
        <v/>
      </c>
      <c r="AE2350" s="69">
        <f>IF(OR(Q2350="",R2350=""),"",(R2350-Q2350)*24)</f>
        <v/>
      </c>
      <c r="AF2350" s="77">
        <f>IF(OR($A2350="",B2350=""),"",YEAR(B2350))</f>
        <v/>
      </c>
      <c r="AG2350" s="77">
        <f>IF(OR($A2350="",B2350=""),"",MONTH(B2350))</f>
        <v/>
      </c>
    </row>
    <row r="2351">
      <c r="A2351" s="7" t="n"/>
      <c r="B2351" s="75" t="n"/>
      <c r="C2351" s="7" t="n"/>
      <c r="D2351" s="7" t="n"/>
      <c r="E2351" s="9">
        <f>IF(D2351="","",IFERROR(INDEX('Équipements'!$B$5:$B$304,MATCH(D2351,'Équipements'!$A$5:$A$304,0)),"Code inconnu"))</f>
        <v/>
      </c>
      <c r="F2351" s="9">
        <f>IF(D2351="","",IFERROR(INDEX('Équipements'!$D$5:$D$304,MATCH(D2351,'Équipements'!$A$5:$A$304,0)),""))</f>
        <v/>
      </c>
      <c r="G2351" s="9">
        <f>IF(D2351="","",IFERROR(INDEX('Équipements'!$K$5:$K$304,MATCH(D2351,'Équipements'!$A$5:$A$304,0)),""))</f>
        <v/>
      </c>
      <c r="H2351" s="7" t="n"/>
      <c r="I2351" s="7" t="n"/>
      <c r="J2351" s="7" t="n"/>
      <c r="K2351" s="7" t="n"/>
      <c r="L2351" s="7" t="n"/>
      <c r="M2351" s="7" t="n"/>
      <c r="N2351" s="7" t="n"/>
      <c r="O2351" s="7" t="n"/>
      <c r="P2351" s="65" t="n"/>
      <c r="Q2351" s="75" t="n"/>
      <c r="R2351" s="75" t="n"/>
      <c r="S2351" s="76" t="n"/>
      <c r="T2351" s="76" t="n"/>
      <c r="U2351" s="70">
        <f>IF($A2351="","",IFERROR(INDEX('Techniciens'!$F$5:$F$44,MATCH(O2351,'Techniciens'!$B$5:$B$44,0)),'Paramètres'!$AA$10))</f>
        <v/>
      </c>
      <c r="V2351" s="70">
        <f>IF($A2351="","",IF(OR(AC2351="Demandé",AC2351="Planifié",AC2351="Annulé"),0,N(T2351)*N(U2351)))</f>
        <v/>
      </c>
      <c r="W2351" s="70">
        <f>IF($A2351="","",SUMIFS('Mouvements stock'!$H$5:$H$3004,'Mouvements stock'!$I$5:$I$3004,$A2351,'Mouvements stock'!$C$5:$C$3004,"Sortie")-SUMIFS('Mouvements stock'!$H$5:$H$3004,'Mouvements stock'!$I$5:$I$3004,$A2351,'Mouvements stock'!$C$5:$C$3004,"Retour"))</f>
        <v/>
      </c>
      <c r="X2351" s="66" t="n"/>
      <c r="Y2351" s="66" t="n"/>
      <c r="Z2351" s="7" t="n"/>
      <c r="AA2351" s="70">
        <f>IF($A2351="","",N(V2351)+N(W2351)+N(X2351)+N(Y2351))</f>
        <v/>
      </c>
      <c r="AB2351" s="70">
        <f>IF($A2351="","",N(S2351)*'Paramètres'!$AA$9*IFERROR(INDEX('Paramètres'!$O$5:$O$7,MATCH(G2351,'Paramètres'!$N$5:$N$7,0)),0))</f>
        <v/>
      </c>
      <c r="AC2351" s="7" t="n"/>
      <c r="AD2351" s="69">
        <f>IF(OR($A2351="",Q2351=""),"",(Q2351-B2351)*24)</f>
        <v/>
      </c>
      <c r="AE2351" s="69">
        <f>IF(OR(Q2351="",R2351=""),"",(R2351-Q2351)*24)</f>
        <v/>
      </c>
      <c r="AF2351" s="77">
        <f>IF(OR($A2351="",B2351=""),"",YEAR(B2351))</f>
        <v/>
      </c>
      <c r="AG2351" s="77">
        <f>IF(OR($A2351="",B2351=""),"",MONTH(B2351))</f>
        <v/>
      </c>
    </row>
    <row r="2352">
      <c r="A2352" s="7" t="n"/>
      <c r="B2352" s="75" t="n"/>
      <c r="C2352" s="7" t="n"/>
      <c r="D2352" s="7" t="n"/>
      <c r="E2352" s="9">
        <f>IF(D2352="","",IFERROR(INDEX('Équipements'!$B$5:$B$304,MATCH(D2352,'Équipements'!$A$5:$A$304,0)),"Code inconnu"))</f>
        <v/>
      </c>
      <c r="F2352" s="9">
        <f>IF(D2352="","",IFERROR(INDEX('Équipements'!$D$5:$D$304,MATCH(D2352,'Équipements'!$A$5:$A$304,0)),""))</f>
        <v/>
      </c>
      <c r="G2352" s="9">
        <f>IF(D2352="","",IFERROR(INDEX('Équipements'!$K$5:$K$304,MATCH(D2352,'Équipements'!$A$5:$A$304,0)),""))</f>
        <v/>
      </c>
      <c r="H2352" s="7" t="n"/>
      <c r="I2352" s="7" t="n"/>
      <c r="J2352" s="7" t="n"/>
      <c r="K2352" s="7" t="n"/>
      <c r="L2352" s="7" t="n"/>
      <c r="M2352" s="7" t="n"/>
      <c r="N2352" s="7" t="n"/>
      <c r="O2352" s="7" t="n"/>
      <c r="P2352" s="65" t="n"/>
      <c r="Q2352" s="75" t="n"/>
      <c r="R2352" s="75" t="n"/>
      <c r="S2352" s="76" t="n"/>
      <c r="T2352" s="76" t="n"/>
      <c r="U2352" s="70">
        <f>IF($A2352="","",IFERROR(INDEX('Techniciens'!$F$5:$F$44,MATCH(O2352,'Techniciens'!$B$5:$B$44,0)),'Paramètres'!$AA$10))</f>
        <v/>
      </c>
      <c r="V2352" s="70">
        <f>IF($A2352="","",IF(OR(AC2352="Demandé",AC2352="Planifié",AC2352="Annulé"),0,N(T2352)*N(U2352)))</f>
        <v/>
      </c>
      <c r="W2352" s="70">
        <f>IF($A2352="","",SUMIFS('Mouvements stock'!$H$5:$H$3004,'Mouvements stock'!$I$5:$I$3004,$A2352,'Mouvements stock'!$C$5:$C$3004,"Sortie")-SUMIFS('Mouvements stock'!$H$5:$H$3004,'Mouvements stock'!$I$5:$I$3004,$A2352,'Mouvements stock'!$C$5:$C$3004,"Retour"))</f>
        <v/>
      </c>
      <c r="X2352" s="66" t="n"/>
      <c r="Y2352" s="66" t="n"/>
      <c r="Z2352" s="7" t="n"/>
      <c r="AA2352" s="70">
        <f>IF($A2352="","",N(V2352)+N(W2352)+N(X2352)+N(Y2352))</f>
        <v/>
      </c>
      <c r="AB2352" s="70">
        <f>IF($A2352="","",N(S2352)*'Paramètres'!$AA$9*IFERROR(INDEX('Paramètres'!$O$5:$O$7,MATCH(G2352,'Paramètres'!$N$5:$N$7,0)),0))</f>
        <v/>
      </c>
      <c r="AC2352" s="7" t="n"/>
      <c r="AD2352" s="69">
        <f>IF(OR($A2352="",Q2352=""),"",(Q2352-B2352)*24)</f>
        <v/>
      </c>
      <c r="AE2352" s="69">
        <f>IF(OR(Q2352="",R2352=""),"",(R2352-Q2352)*24)</f>
        <v/>
      </c>
      <c r="AF2352" s="77">
        <f>IF(OR($A2352="",B2352=""),"",YEAR(B2352))</f>
        <v/>
      </c>
      <c r="AG2352" s="77">
        <f>IF(OR($A2352="",B2352=""),"",MONTH(B2352))</f>
        <v/>
      </c>
    </row>
    <row r="2353">
      <c r="A2353" s="7" t="n"/>
      <c r="B2353" s="75" t="n"/>
      <c r="C2353" s="7" t="n"/>
      <c r="D2353" s="7" t="n"/>
      <c r="E2353" s="9">
        <f>IF(D2353="","",IFERROR(INDEX('Équipements'!$B$5:$B$304,MATCH(D2353,'Équipements'!$A$5:$A$304,0)),"Code inconnu"))</f>
        <v/>
      </c>
      <c r="F2353" s="9">
        <f>IF(D2353="","",IFERROR(INDEX('Équipements'!$D$5:$D$304,MATCH(D2353,'Équipements'!$A$5:$A$304,0)),""))</f>
        <v/>
      </c>
      <c r="G2353" s="9">
        <f>IF(D2353="","",IFERROR(INDEX('Équipements'!$K$5:$K$304,MATCH(D2353,'Équipements'!$A$5:$A$304,0)),""))</f>
        <v/>
      </c>
      <c r="H2353" s="7" t="n"/>
      <c r="I2353" s="7" t="n"/>
      <c r="J2353" s="7" t="n"/>
      <c r="K2353" s="7" t="n"/>
      <c r="L2353" s="7" t="n"/>
      <c r="M2353" s="7" t="n"/>
      <c r="N2353" s="7" t="n"/>
      <c r="O2353" s="7" t="n"/>
      <c r="P2353" s="65" t="n"/>
      <c r="Q2353" s="75" t="n"/>
      <c r="R2353" s="75" t="n"/>
      <c r="S2353" s="76" t="n"/>
      <c r="T2353" s="76" t="n"/>
      <c r="U2353" s="70">
        <f>IF($A2353="","",IFERROR(INDEX('Techniciens'!$F$5:$F$44,MATCH(O2353,'Techniciens'!$B$5:$B$44,0)),'Paramètres'!$AA$10))</f>
        <v/>
      </c>
      <c r="V2353" s="70">
        <f>IF($A2353="","",IF(OR(AC2353="Demandé",AC2353="Planifié",AC2353="Annulé"),0,N(T2353)*N(U2353)))</f>
        <v/>
      </c>
      <c r="W2353" s="70">
        <f>IF($A2353="","",SUMIFS('Mouvements stock'!$H$5:$H$3004,'Mouvements stock'!$I$5:$I$3004,$A2353,'Mouvements stock'!$C$5:$C$3004,"Sortie")-SUMIFS('Mouvements stock'!$H$5:$H$3004,'Mouvements stock'!$I$5:$I$3004,$A2353,'Mouvements stock'!$C$5:$C$3004,"Retour"))</f>
        <v/>
      </c>
      <c r="X2353" s="66" t="n"/>
      <c r="Y2353" s="66" t="n"/>
      <c r="Z2353" s="7" t="n"/>
      <c r="AA2353" s="70">
        <f>IF($A2353="","",N(V2353)+N(W2353)+N(X2353)+N(Y2353))</f>
        <v/>
      </c>
      <c r="AB2353" s="70">
        <f>IF($A2353="","",N(S2353)*'Paramètres'!$AA$9*IFERROR(INDEX('Paramètres'!$O$5:$O$7,MATCH(G2353,'Paramètres'!$N$5:$N$7,0)),0))</f>
        <v/>
      </c>
      <c r="AC2353" s="7" t="n"/>
      <c r="AD2353" s="69">
        <f>IF(OR($A2353="",Q2353=""),"",(Q2353-B2353)*24)</f>
        <v/>
      </c>
      <c r="AE2353" s="69">
        <f>IF(OR(Q2353="",R2353=""),"",(R2353-Q2353)*24)</f>
        <v/>
      </c>
      <c r="AF2353" s="77">
        <f>IF(OR($A2353="",B2353=""),"",YEAR(B2353))</f>
        <v/>
      </c>
      <c r="AG2353" s="77">
        <f>IF(OR($A2353="",B2353=""),"",MONTH(B2353))</f>
        <v/>
      </c>
    </row>
    <row r="2354">
      <c r="A2354" s="7" t="n"/>
      <c r="B2354" s="75" t="n"/>
      <c r="C2354" s="7" t="n"/>
      <c r="D2354" s="7" t="n"/>
      <c r="E2354" s="9">
        <f>IF(D2354="","",IFERROR(INDEX('Équipements'!$B$5:$B$304,MATCH(D2354,'Équipements'!$A$5:$A$304,0)),"Code inconnu"))</f>
        <v/>
      </c>
      <c r="F2354" s="9">
        <f>IF(D2354="","",IFERROR(INDEX('Équipements'!$D$5:$D$304,MATCH(D2354,'Équipements'!$A$5:$A$304,0)),""))</f>
        <v/>
      </c>
      <c r="G2354" s="9">
        <f>IF(D2354="","",IFERROR(INDEX('Équipements'!$K$5:$K$304,MATCH(D2354,'Équipements'!$A$5:$A$304,0)),""))</f>
        <v/>
      </c>
      <c r="H2354" s="7" t="n"/>
      <c r="I2354" s="7" t="n"/>
      <c r="J2354" s="7" t="n"/>
      <c r="K2354" s="7" t="n"/>
      <c r="L2354" s="7" t="n"/>
      <c r="M2354" s="7" t="n"/>
      <c r="N2354" s="7" t="n"/>
      <c r="O2354" s="7" t="n"/>
      <c r="P2354" s="65" t="n"/>
      <c r="Q2354" s="75" t="n"/>
      <c r="R2354" s="75" t="n"/>
      <c r="S2354" s="76" t="n"/>
      <c r="T2354" s="76" t="n"/>
      <c r="U2354" s="70">
        <f>IF($A2354="","",IFERROR(INDEX('Techniciens'!$F$5:$F$44,MATCH(O2354,'Techniciens'!$B$5:$B$44,0)),'Paramètres'!$AA$10))</f>
        <v/>
      </c>
      <c r="V2354" s="70">
        <f>IF($A2354="","",IF(OR(AC2354="Demandé",AC2354="Planifié",AC2354="Annulé"),0,N(T2354)*N(U2354)))</f>
        <v/>
      </c>
      <c r="W2354" s="70">
        <f>IF($A2354="","",SUMIFS('Mouvements stock'!$H$5:$H$3004,'Mouvements stock'!$I$5:$I$3004,$A2354,'Mouvements stock'!$C$5:$C$3004,"Sortie")-SUMIFS('Mouvements stock'!$H$5:$H$3004,'Mouvements stock'!$I$5:$I$3004,$A2354,'Mouvements stock'!$C$5:$C$3004,"Retour"))</f>
        <v/>
      </c>
      <c r="X2354" s="66" t="n"/>
      <c r="Y2354" s="66" t="n"/>
      <c r="Z2354" s="7" t="n"/>
      <c r="AA2354" s="70">
        <f>IF($A2354="","",N(V2354)+N(W2354)+N(X2354)+N(Y2354))</f>
        <v/>
      </c>
      <c r="AB2354" s="70">
        <f>IF($A2354="","",N(S2354)*'Paramètres'!$AA$9*IFERROR(INDEX('Paramètres'!$O$5:$O$7,MATCH(G2354,'Paramètres'!$N$5:$N$7,0)),0))</f>
        <v/>
      </c>
      <c r="AC2354" s="7" t="n"/>
      <c r="AD2354" s="69">
        <f>IF(OR($A2354="",Q2354=""),"",(Q2354-B2354)*24)</f>
        <v/>
      </c>
      <c r="AE2354" s="69">
        <f>IF(OR(Q2354="",R2354=""),"",(R2354-Q2354)*24)</f>
        <v/>
      </c>
      <c r="AF2354" s="77">
        <f>IF(OR($A2354="",B2354=""),"",YEAR(B2354))</f>
        <v/>
      </c>
      <c r="AG2354" s="77">
        <f>IF(OR($A2354="",B2354=""),"",MONTH(B2354))</f>
        <v/>
      </c>
    </row>
    <row r="2355">
      <c r="A2355" s="7" t="n"/>
      <c r="B2355" s="75" t="n"/>
      <c r="C2355" s="7" t="n"/>
      <c r="D2355" s="7" t="n"/>
      <c r="E2355" s="9">
        <f>IF(D2355="","",IFERROR(INDEX('Équipements'!$B$5:$B$304,MATCH(D2355,'Équipements'!$A$5:$A$304,0)),"Code inconnu"))</f>
        <v/>
      </c>
      <c r="F2355" s="9">
        <f>IF(D2355="","",IFERROR(INDEX('Équipements'!$D$5:$D$304,MATCH(D2355,'Équipements'!$A$5:$A$304,0)),""))</f>
        <v/>
      </c>
      <c r="G2355" s="9">
        <f>IF(D2355="","",IFERROR(INDEX('Équipements'!$K$5:$K$304,MATCH(D2355,'Équipements'!$A$5:$A$304,0)),""))</f>
        <v/>
      </c>
      <c r="H2355" s="7" t="n"/>
      <c r="I2355" s="7" t="n"/>
      <c r="J2355" s="7" t="n"/>
      <c r="K2355" s="7" t="n"/>
      <c r="L2355" s="7" t="n"/>
      <c r="M2355" s="7" t="n"/>
      <c r="N2355" s="7" t="n"/>
      <c r="O2355" s="7" t="n"/>
      <c r="P2355" s="65" t="n"/>
      <c r="Q2355" s="75" t="n"/>
      <c r="R2355" s="75" t="n"/>
      <c r="S2355" s="76" t="n"/>
      <c r="T2355" s="76" t="n"/>
      <c r="U2355" s="70">
        <f>IF($A2355="","",IFERROR(INDEX('Techniciens'!$F$5:$F$44,MATCH(O2355,'Techniciens'!$B$5:$B$44,0)),'Paramètres'!$AA$10))</f>
        <v/>
      </c>
      <c r="V2355" s="70">
        <f>IF($A2355="","",IF(OR(AC2355="Demandé",AC2355="Planifié",AC2355="Annulé"),0,N(T2355)*N(U2355)))</f>
        <v/>
      </c>
      <c r="W2355" s="70">
        <f>IF($A2355="","",SUMIFS('Mouvements stock'!$H$5:$H$3004,'Mouvements stock'!$I$5:$I$3004,$A2355,'Mouvements stock'!$C$5:$C$3004,"Sortie")-SUMIFS('Mouvements stock'!$H$5:$H$3004,'Mouvements stock'!$I$5:$I$3004,$A2355,'Mouvements stock'!$C$5:$C$3004,"Retour"))</f>
        <v/>
      </c>
      <c r="X2355" s="66" t="n"/>
      <c r="Y2355" s="66" t="n"/>
      <c r="Z2355" s="7" t="n"/>
      <c r="AA2355" s="70">
        <f>IF($A2355="","",N(V2355)+N(W2355)+N(X2355)+N(Y2355))</f>
        <v/>
      </c>
      <c r="AB2355" s="70">
        <f>IF($A2355="","",N(S2355)*'Paramètres'!$AA$9*IFERROR(INDEX('Paramètres'!$O$5:$O$7,MATCH(G2355,'Paramètres'!$N$5:$N$7,0)),0))</f>
        <v/>
      </c>
      <c r="AC2355" s="7" t="n"/>
      <c r="AD2355" s="69">
        <f>IF(OR($A2355="",Q2355=""),"",(Q2355-B2355)*24)</f>
        <v/>
      </c>
      <c r="AE2355" s="69">
        <f>IF(OR(Q2355="",R2355=""),"",(R2355-Q2355)*24)</f>
        <v/>
      </c>
      <c r="AF2355" s="77">
        <f>IF(OR($A2355="",B2355=""),"",YEAR(B2355))</f>
        <v/>
      </c>
      <c r="AG2355" s="77">
        <f>IF(OR($A2355="",B2355=""),"",MONTH(B2355))</f>
        <v/>
      </c>
    </row>
    <row r="2356">
      <c r="A2356" s="7" t="n"/>
      <c r="B2356" s="75" t="n"/>
      <c r="C2356" s="7" t="n"/>
      <c r="D2356" s="7" t="n"/>
      <c r="E2356" s="9">
        <f>IF(D2356="","",IFERROR(INDEX('Équipements'!$B$5:$B$304,MATCH(D2356,'Équipements'!$A$5:$A$304,0)),"Code inconnu"))</f>
        <v/>
      </c>
      <c r="F2356" s="9">
        <f>IF(D2356="","",IFERROR(INDEX('Équipements'!$D$5:$D$304,MATCH(D2356,'Équipements'!$A$5:$A$304,0)),""))</f>
        <v/>
      </c>
      <c r="G2356" s="9">
        <f>IF(D2356="","",IFERROR(INDEX('Équipements'!$K$5:$K$304,MATCH(D2356,'Équipements'!$A$5:$A$304,0)),""))</f>
        <v/>
      </c>
      <c r="H2356" s="7" t="n"/>
      <c r="I2356" s="7" t="n"/>
      <c r="J2356" s="7" t="n"/>
      <c r="K2356" s="7" t="n"/>
      <c r="L2356" s="7" t="n"/>
      <c r="M2356" s="7" t="n"/>
      <c r="N2356" s="7" t="n"/>
      <c r="O2356" s="7" t="n"/>
      <c r="P2356" s="65" t="n"/>
      <c r="Q2356" s="75" t="n"/>
      <c r="R2356" s="75" t="n"/>
      <c r="S2356" s="76" t="n"/>
      <c r="T2356" s="76" t="n"/>
      <c r="U2356" s="70">
        <f>IF($A2356="","",IFERROR(INDEX('Techniciens'!$F$5:$F$44,MATCH(O2356,'Techniciens'!$B$5:$B$44,0)),'Paramètres'!$AA$10))</f>
        <v/>
      </c>
      <c r="V2356" s="70">
        <f>IF($A2356="","",IF(OR(AC2356="Demandé",AC2356="Planifié",AC2356="Annulé"),0,N(T2356)*N(U2356)))</f>
        <v/>
      </c>
      <c r="W2356" s="70">
        <f>IF($A2356="","",SUMIFS('Mouvements stock'!$H$5:$H$3004,'Mouvements stock'!$I$5:$I$3004,$A2356,'Mouvements stock'!$C$5:$C$3004,"Sortie")-SUMIFS('Mouvements stock'!$H$5:$H$3004,'Mouvements stock'!$I$5:$I$3004,$A2356,'Mouvements stock'!$C$5:$C$3004,"Retour"))</f>
        <v/>
      </c>
      <c r="X2356" s="66" t="n"/>
      <c r="Y2356" s="66" t="n"/>
      <c r="Z2356" s="7" t="n"/>
      <c r="AA2356" s="70">
        <f>IF($A2356="","",N(V2356)+N(W2356)+N(X2356)+N(Y2356))</f>
        <v/>
      </c>
      <c r="AB2356" s="70">
        <f>IF($A2356="","",N(S2356)*'Paramètres'!$AA$9*IFERROR(INDEX('Paramètres'!$O$5:$O$7,MATCH(G2356,'Paramètres'!$N$5:$N$7,0)),0))</f>
        <v/>
      </c>
      <c r="AC2356" s="7" t="n"/>
      <c r="AD2356" s="69">
        <f>IF(OR($A2356="",Q2356=""),"",(Q2356-B2356)*24)</f>
        <v/>
      </c>
      <c r="AE2356" s="69">
        <f>IF(OR(Q2356="",R2356=""),"",(R2356-Q2356)*24)</f>
        <v/>
      </c>
      <c r="AF2356" s="77">
        <f>IF(OR($A2356="",B2356=""),"",YEAR(B2356))</f>
        <v/>
      </c>
      <c r="AG2356" s="77">
        <f>IF(OR($A2356="",B2356=""),"",MONTH(B2356))</f>
        <v/>
      </c>
    </row>
    <row r="2357">
      <c r="A2357" s="7" t="n"/>
      <c r="B2357" s="75" t="n"/>
      <c r="C2357" s="7" t="n"/>
      <c r="D2357" s="7" t="n"/>
      <c r="E2357" s="9">
        <f>IF(D2357="","",IFERROR(INDEX('Équipements'!$B$5:$B$304,MATCH(D2357,'Équipements'!$A$5:$A$304,0)),"Code inconnu"))</f>
        <v/>
      </c>
      <c r="F2357" s="9">
        <f>IF(D2357="","",IFERROR(INDEX('Équipements'!$D$5:$D$304,MATCH(D2357,'Équipements'!$A$5:$A$304,0)),""))</f>
        <v/>
      </c>
      <c r="G2357" s="9">
        <f>IF(D2357="","",IFERROR(INDEX('Équipements'!$K$5:$K$304,MATCH(D2357,'Équipements'!$A$5:$A$304,0)),""))</f>
        <v/>
      </c>
      <c r="H2357" s="7" t="n"/>
      <c r="I2357" s="7" t="n"/>
      <c r="J2357" s="7" t="n"/>
      <c r="K2357" s="7" t="n"/>
      <c r="L2357" s="7" t="n"/>
      <c r="M2357" s="7" t="n"/>
      <c r="N2357" s="7" t="n"/>
      <c r="O2357" s="7" t="n"/>
      <c r="P2357" s="65" t="n"/>
      <c r="Q2357" s="75" t="n"/>
      <c r="R2357" s="75" t="n"/>
      <c r="S2357" s="76" t="n"/>
      <c r="T2357" s="76" t="n"/>
      <c r="U2357" s="70">
        <f>IF($A2357="","",IFERROR(INDEX('Techniciens'!$F$5:$F$44,MATCH(O2357,'Techniciens'!$B$5:$B$44,0)),'Paramètres'!$AA$10))</f>
        <v/>
      </c>
      <c r="V2357" s="70">
        <f>IF($A2357="","",IF(OR(AC2357="Demandé",AC2357="Planifié",AC2357="Annulé"),0,N(T2357)*N(U2357)))</f>
        <v/>
      </c>
      <c r="W2357" s="70">
        <f>IF($A2357="","",SUMIFS('Mouvements stock'!$H$5:$H$3004,'Mouvements stock'!$I$5:$I$3004,$A2357,'Mouvements stock'!$C$5:$C$3004,"Sortie")-SUMIFS('Mouvements stock'!$H$5:$H$3004,'Mouvements stock'!$I$5:$I$3004,$A2357,'Mouvements stock'!$C$5:$C$3004,"Retour"))</f>
        <v/>
      </c>
      <c r="X2357" s="66" t="n"/>
      <c r="Y2357" s="66" t="n"/>
      <c r="Z2357" s="7" t="n"/>
      <c r="AA2357" s="70">
        <f>IF($A2357="","",N(V2357)+N(W2357)+N(X2357)+N(Y2357))</f>
        <v/>
      </c>
      <c r="AB2357" s="70">
        <f>IF($A2357="","",N(S2357)*'Paramètres'!$AA$9*IFERROR(INDEX('Paramètres'!$O$5:$O$7,MATCH(G2357,'Paramètres'!$N$5:$N$7,0)),0))</f>
        <v/>
      </c>
      <c r="AC2357" s="7" t="n"/>
      <c r="AD2357" s="69">
        <f>IF(OR($A2357="",Q2357=""),"",(Q2357-B2357)*24)</f>
        <v/>
      </c>
      <c r="AE2357" s="69">
        <f>IF(OR(Q2357="",R2357=""),"",(R2357-Q2357)*24)</f>
        <v/>
      </c>
      <c r="AF2357" s="77">
        <f>IF(OR($A2357="",B2357=""),"",YEAR(B2357))</f>
        <v/>
      </c>
      <c r="AG2357" s="77">
        <f>IF(OR($A2357="",B2357=""),"",MONTH(B2357))</f>
        <v/>
      </c>
    </row>
    <row r="2358">
      <c r="A2358" s="7" t="n"/>
      <c r="B2358" s="75" t="n"/>
      <c r="C2358" s="7" t="n"/>
      <c r="D2358" s="7" t="n"/>
      <c r="E2358" s="9">
        <f>IF(D2358="","",IFERROR(INDEX('Équipements'!$B$5:$B$304,MATCH(D2358,'Équipements'!$A$5:$A$304,0)),"Code inconnu"))</f>
        <v/>
      </c>
      <c r="F2358" s="9">
        <f>IF(D2358="","",IFERROR(INDEX('Équipements'!$D$5:$D$304,MATCH(D2358,'Équipements'!$A$5:$A$304,0)),""))</f>
        <v/>
      </c>
      <c r="G2358" s="9">
        <f>IF(D2358="","",IFERROR(INDEX('Équipements'!$K$5:$K$304,MATCH(D2358,'Équipements'!$A$5:$A$304,0)),""))</f>
        <v/>
      </c>
      <c r="H2358" s="7" t="n"/>
      <c r="I2358" s="7" t="n"/>
      <c r="J2358" s="7" t="n"/>
      <c r="K2358" s="7" t="n"/>
      <c r="L2358" s="7" t="n"/>
      <c r="M2358" s="7" t="n"/>
      <c r="N2358" s="7" t="n"/>
      <c r="O2358" s="7" t="n"/>
      <c r="P2358" s="65" t="n"/>
      <c r="Q2358" s="75" t="n"/>
      <c r="R2358" s="75" t="n"/>
      <c r="S2358" s="76" t="n"/>
      <c r="T2358" s="76" t="n"/>
      <c r="U2358" s="70">
        <f>IF($A2358="","",IFERROR(INDEX('Techniciens'!$F$5:$F$44,MATCH(O2358,'Techniciens'!$B$5:$B$44,0)),'Paramètres'!$AA$10))</f>
        <v/>
      </c>
      <c r="V2358" s="70">
        <f>IF($A2358="","",IF(OR(AC2358="Demandé",AC2358="Planifié",AC2358="Annulé"),0,N(T2358)*N(U2358)))</f>
        <v/>
      </c>
      <c r="W2358" s="70">
        <f>IF($A2358="","",SUMIFS('Mouvements stock'!$H$5:$H$3004,'Mouvements stock'!$I$5:$I$3004,$A2358,'Mouvements stock'!$C$5:$C$3004,"Sortie")-SUMIFS('Mouvements stock'!$H$5:$H$3004,'Mouvements stock'!$I$5:$I$3004,$A2358,'Mouvements stock'!$C$5:$C$3004,"Retour"))</f>
        <v/>
      </c>
      <c r="X2358" s="66" t="n"/>
      <c r="Y2358" s="66" t="n"/>
      <c r="Z2358" s="7" t="n"/>
      <c r="AA2358" s="70">
        <f>IF($A2358="","",N(V2358)+N(W2358)+N(X2358)+N(Y2358))</f>
        <v/>
      </c>
      <c r="AB2358" s="70">
        <f>IF($A2358="","",N(S2358)*'Paramètres'!$AA$9*IFERROR(INDEX('Paramètres'!$O$5:$O$7,MATCH(G2358,'Paramètres'!$N$5:$N$7,0)),0))</f>
        <v/>
      </c>
      <c r="AC2358" s="7" t="n"/>
      <c r="AD2358" s="69">
        <f>IF(OR($A2358="",Q2358=""),"",(Q2358-B2358)*24)</f>
        <v/>
      </c>
      <c r="AE2358" s="69">
        <f>IF(OR(Q2358="",R2358=""),"",(R2358-Q2358)*24)</f>
        <v/>
      </c>
      <c r="AF2358" s="77">
        <f>IF(OR($A2358="",B2358=""),"",YEAR(B2358))</f>
        <v/>
      </c>
      <c r="AG2358" s="77">
        <f>IF(OR($A2358="",B2358=""),"",MONTH(B2358))</f>
        <v/>
      </c>
    </row>
    <row r="2359">
      <c r="A2359" s="7" t="n"/>
      <c r="B2359" s="75" t="n"/>
      <c r="C2359" s="7" t="n"/>
      <c r="D2359" s="7" t="n"/>
      <c r="E2359" s="9">
        <f>IF(D2359="","",IFERROR(INDEX('Équipements'!$B$5:$B$304,MATCH(D2359,'Équipements'!$A$5:$A$304,0)),"Code inconnu"))</f>
        <v/>
      </c>
      <c r="F2359" s="9">
        <f>IF(D2359="","",IFERROR(INDEX('Équipements'!$D$5:$D$304,MATCH(D2359,'Équipements'!$A$5:$A$304,0)),""))</f>
        <v/>
      </c>
      <c r="G2359" s="9">
        <f>IF(D2359="","",IFERROR(INDEX('Équipements'!$K$5:$K$304,MATCH(D2359,'Équipements'!$A$5:$A$304,0)),""))</f>
        <v/>
      </c>
      <c r="H2359" s="7" t="n"/>
      <c r="I2359" s="7" t="n"/>
      <c r="J2359" s="7" t="n"/>
      <c r="K2359" s="7" t="n"/>
      <c r="L2359" s="7" t="n"/>
      <c r="M2359" s="7" t="n"/>
      <c r="N2359" s="7" t="n"/>
      <c r="O2359" s="7" t="n"/>
      <c r="P2359" s="65" t="n"/>
      <c r="Q2359" s="75" t="n"/>
      <c r="R2359" s="75" t="n"/>
      <c r="S2359" s="76" t="n"/>
      <c r="T2359" s="76" t="n"/>
      <c r="U2359" s="70">
        <f>IF($A2359="","",IFERROR(INDEX('Techniciens'!$F$5:$F$44,MATCH(O2359,'Techniciens'!$B$5:$B$44,0)),'Paramètres'!$AA$10))</f>
        <v/>
      </c>
      <c r="V2359" s="70">
        <f>IF($A2359="","",IF(OR(AC2359="Demandé",AC2359="Planifié",AC2359="Annulé"),0,N(T2359)*N(U2359)))</f>
        <v/>
      </c>
      <c r="W2359" s="70">
        <f>IF($A2359="","",SUMIFS('Mouvements stock'!$H$5:$H$3004,'Mouvements stock'!$I$5:$I$3004,$A2359,'Mouvements stock'!$C$5:$C$3004,"Sortie")-SUMIFS('Mouvements stock'!$H$5:$H$3004,'Mouvements stock'!$I$5:$I$3004,$A2359,'Mouvements stock'!$C$5:$C$3004,"Retour"))</f>
        <v/>
      </c>
      <c r="X2359" s="66" t="n"/>
      <c r="Y2359" s="66" t="n"/>
      <c r="Z2359" s="7" t="n"/>
      <c r="AA2359" s="70">
        <f>IF($A2359="","",N(V2359)+N(W2359)+N(X2359)+N(Y2359))</f>
        <v/>
      </c>
      <c r="AB2359" s="70">
        <f>IF($A2359="","",N(S2359)*'Paramètres'!$AA$9*IFERROR(INDEX('Paramètres'!$O$5:$O$7,MATCH(G2359,'Paramètres'!$N$5:$N$7,0)),0))</f>
        <v/>
      </c>
      <c r="AC2359" s="7" t="n"/>
      <c r="AD2359" s="69">
        <f>IF(OR($A2359="",Q2359=""),"",(Q2359-B2359)*24)</f>
        <v/>
      </c>
      <c r="AE2359" s="69">
        <f>IF(OR(Q2359="",R2359=""),"",(R2359-Q2359)*24)</f>
        <v/>
      </c>
      <c r="AF2359" s="77">
        <f>IF(OR($A2359="",B2359=""),"",YEAR(B2359))</f>
        <v/>
      </c>
      <c r="AG2359" s="77">
        <f>IF(OR($A2359="",B2359=""),"",MONTH(B2359))</f>
        <v/>
      </c>
    </row>
    <row r="2360">
      <c r="A2360" s="7" t="n"/>
      <c r="B2360" s="75" t="n"/>
      <c r="C2360" s="7" t="n"/>
      <c r="D2360" s="7" t="n"/>
      <c r="E2360" s="9">
        <f>IF(D2360="","",IFERROR(INDEX('Équipements'!$B$5:$B$304,MATCH(D2360,'Équipements'!$A$5:$A$304,0)),"Code inconnu"))</f>
        <v/>
      </c>
      <c r="F2360" s="9">
        <f>IF(D2360="","",IFERROR(INDEX('Équipements'!$D$5:$D$304,MATCH(D2360,'Équipements'!$A$5:$A$304,0)),""))</f>
        <v/>
      </c>
      <c r="G2360" s="9">
        <f>IF(D2360="","",IFERROR(INDEX('Équipements'!$K$5:$K$304,MATCH(D2360,'Équipements'!$A$5:$A$304,0)),""))</f>
        <v/>
      </c>
      <c r="H2360" s="7" t="n"/>
      <c r="I2360" s="7" t="n"/>
      <c r="J2360" s="7" t="n"/>
      <c r="K2360" s="7" t="n"/>
      <c r="L2360" s="7" t="n"/>
      <c r="M2360" s="7" t="n"/>
      <c r="N2360" s="7" t="n"/>
      <c r="O2360" s="7" t="n"/>
      <c r="P2360" s="65" t="n"/>
      <c r="Q2360" s="75" t="n"/>
      <c r="R2360" s="75" t="n"/>
      <c r="S2360" s="76" t="n"/>
      <c r="T2360" s="76" t="n"/>
      <c r="U2360" s="70">
        <f>IF($A2360="","",IFERROR(INDEX('Techniciens'!$F$5:$F$44,MATCH(O2360,'Techniciens'!$B$5:$B$44,0)),'Paramètres'!$AA$10))</f>
        <v/>
      </c>
      <c r="V2360" s="70">
        <f>IF($A2360="","",IF(OR(AC2360="Demandé",AC2360="Planifié",AC2360="Annulé"),0,N(T2360)*N(U2360)))</f>
        <v/>
      </c>
      <c r="W2360" s="70">
        <f>IF($A2360="","",SUMIFS('Mouvements stock'!$H$5:$H$3004,'Mouvements stock'!$I$5:$I$3004,$A2360,'Mouvements stock'!$C$5:$C$3004,"Sortie")-SUMIFS('Mouvements stock'!$H$5:$H$3004,'Mouvements stock'!$I$5:$I$3004,$A2360,'Mouvements stock'!$C$5:$C$3004,"Retour"))</f>
        <v/>
      </c>
      <c r="X2360" s="66" t="n"/>
      <c r="Y2360" s="66" t="n"/>
      <c r="Z2360" s="7" t="n"/>
      <c r="AA2360" s="70">
        <f>IF($A2360="","",N(V2360)+N(W2360)+N(X2360)+N(Y2360))</f>
        <v/>
      </c>
      <c r="AB2360" s="70">
        <f>IF($A2360="","",N(S2360)*'Paramètres'!$AA$9*IFERROR(INDEX('Paramètres'!$O$5:$O$7,MATCH(G2360,'Paramètres'!$N$5:$N$7,0)),0))</f>
        <v/>
      </c>
      <c r="AC2360" s="7" t="n"/>
      <c r="AD2360" s="69">
        <f>IF(OR($A2360="",Q2360=""),"",(Q2360-B2360)*24)</f>
        <v/>
      </c>
      <c r="AE2360" s="69">
        <f>IF(OR(Q2360="",R2360=""),"",(R2360-Q2360)*24)</f>
        <v/>
      </c>
      <c r="AF2360" s="77">
        <f>IF(OR($A2360="",B2360=""),"",YEAR(B2360))</f>
        <v/>
      </c>
      <c r="AG2360" s="77">
        <f>IF(OR($A2360="",B2360=""),"",MONTH(B2360))</f>
        <v/>
      </c>
    </row>
    <row r="2361">
      <c r="A2361" s="7" t="n"/>
      <c r="B2361" s="75" t="n"/>
      <c r="C2361" s="7" t="n"/>
      <c r="D2361" s="7" t="n"/>
      <c r="E2361" s="9">
        <f>IF(D2361="","",IFERROR(INDEX('Équipements'!$B$5:$B$304,MATCH(D2361,'Équipements'!$A$5:$A$304,0)),"Code inconnu"))</f>
        <v/>
      </c>
      <c r="F2361" s="9">
        <f>IF(D2361="","",IFERROR(INDEX('Équipements'!$D$5:$D$304,MATCH(D2361,'Équipements'!$A$5:$A$304,0)),""))</f>
        <v/>
      </c>
      <c r="G2361" s="9">
        <f>IF(D2361="","",IFERROR(INDEX('Équipements'!$K$5:$K$304,MATCH(D2361,'Équipements'!$A$5:$A$304,0)),""))</f>
        <v/>
      </c>
      <c r="H2361" s="7" t="n"/>
      <c r="I2361" s="7" t="n"/>
      <c r="J2361" s="7" t="n"/>
      <c r="K2361" s="7" t="n"/>
      <c r="L2361" s="7" t="n"/>
      <c r="M2361" s="7" t="n"/>
      <c r="N2361" s="7" t="n"/>
      <c r="O2361" s="7" t="n"/>
      <c r="P2361" s="65" t="n"/>
      <c r="Q2361" s="75" t="n"/>
      <c r="R2361" s="75" t="n"/>
      <c r="S2361" s="76" t="n"/>
      <c r="T2361" s="76" t="n"/>
      <c r="U2361" s="70">
        <f>IF($A2361="","",IFERROR(INDEX('Techniciens'!$F$5:$F$44,MATCH(O2361,'Techniciens'!$B$5:$B$44,0)),'Paramètres'!$AA$10))</f>
        <v/>
      </c>
      <c r="V2361" s="70">
        <f>IF($A2361="","",IF(OR(AC2361="Demandé",AC2361="Planifié",AC2361="Annulé"),0,N(T2361)*N(U2361)))</f>
        <v/>
      </c>
      <c r="W2361" s="70">
        <f>IF($A2361="","",SUMIFS('Mouvements stock'!$H$5:$H$3004,'Mouvements stock'!$I$5:$I$3004,$A2361,'Mouvements stock'!$C$5:$C$3004,"Sortie")-SUMIFS('Mouvements stock'!$H$5:$H$3004,'Mouvements stock'!$I$5:$I$3004,$A2361,'Mouvements stock'!$C$5:$C$3004,"Retour"))</f>
        <v/>
      </c>
      <c r="X2361" s="66" t="n"/>
      <c r="Y2361" s="66" t="n"/>
      <c r="Z2361" s="7" t="n"/>
      <c r="AA2361" s="70">
        <f>IF($A2361="","",N(V2361)+N(W2361)+N(X2361)+N(Y2361))</f>
        <v/>
      </c>
      <c r="AB2361" s="70">
        <f>IF($A2361="","",N(S2361)*'Paramètres'!$AA$9*IFERROR(INDEX('Paramètres'!$O$5:$O$7,MATCH(G2361,'Paramètres'!$N$5:$N$7,0)),0))</f>
        <v/>
      </c>
      <c r="AC2361" s="7" t="n"/>
      <c r="AD2361" s="69">
        <f>IF(OR($A2361="",Q2361=""),"",(Q2361-B2361)*24)</f>
        <v/>
      </c>
      <c r="AE2361" s="69">
        <f>IF(OR(Q2361="",R2361=""),"",(R2361-Q2361)*24)</f>
        <v/>
      </c>
      <c r="AF2361" s="77">
        <f>IF(OR($A2361="",B2361=""),"",YEAR(B2361))</f>
        <v/>
      </c>
      <c r="AG2361" s="77">
        <f>IF(OR($A2361="",B2361=""),"",MONTH(B2361))</f>
        <v/>
      </c>
    </row>
    <row r="2362">
      <c r="A2362" s="7" t="n"/>
      <c r="B2362" s="75" t="n"/>
      <c r="C2362" s="7" t="n"/>
      <c r="D2362" s="7" t="n"/>
      <c r="E2362" s="9">
        <f>IF(D2362="","",IFERROR(INDEX('Équipements'!$B$5:$B$304,MATCH(D2362,'Équipements'!$A$5:$A$304,0)),"Code inconnu"))</f>
        <v/>
      </c>
      <c r="F2362" s="9">
        <f>IF(D2362="","",IFERROR(INDEX('Équipements'!$D$5:$D$304,MATCH(D2362,'Équipements'!$A$5:$A$304,0)),""))</f>
        <v/>
      </c>
      <c r="G2362" s="9">
        <f>IF(D2362="","",IFERROR(INDEX('Équipements'!$K$5:$K$304,MATCH(D2362,'Équipements'!$A$5:$A$304,0)),""))</f>
        <v/>
      </c>
      <c r="H2362" s="7" t="n"/>
      <c r="I2362" s="7" t="n"/>
      <c r="J2362" s="7" t="n"/>
      <c r="K2362" s="7" t="n"/>
      <c r="L2362" s="7" t="n"/>
      <c r="M2362" s="7" t="n"/>
      <c r="N2362" s="7" t="n"/>
      <c r="O2362" s="7" t="n"/>
      <c r="P2362" s="65" t="n"/>
      <c r="Q2362" s="75" t="n"/>
      <c r="R2362" s="75" t="n"/>
      <c r="S2362" s="76" t="n"/>
      <c r="T2362" s="76" t="n"/>
      <c r="U2362" s="70">
        <f>IF($A2362="","",IFERROR(INDEX('Techniciens'!$F$5:$F$44,MATCH(O2362,'Techniciens'!$B$5:$B$44,0)),'Paramètres'!$AA$10))</f>
        <v/>
      </c>
      <c r="V2362" s="70">
        <f>IF($A2362="","",IF(OR(AC2362="Demandé",AC2362="Planifié",AC2362="Annulé"),0,N(T2362)*N(U2362)))</f>
        <v/>
      </c>
      <c r="W2362" s="70">
        <f>IF($A2362="","",SUMIFS('Mouvements stock'!$H$5:$H$3004,'Mouvements stock'!$I$5:$I$3004,$A2362,'Mouvements stock'!$C$5:$C$3004,"Sortie")-SUMIFS('Mouvements stock'!$H$5:$H$3004,'Mouvements stock'!$I$5:$I$3004,$A2362,'Mouvements stock'!$C$5:$C$3004,"Retour"))</f>
        <v/>
      </c>
      <c r="X2362" s="66" t="n"/>
      <c r="Y2362" s="66" t="n"/>
      <c r="Z2362" s="7" t="n"/>
      <c r="AA2362" s="70">
        <f>IF($A2362="","",N(V2362)+N(W2362)+N(X2362)+N(Y2362))</f>
        <v/>
      </c>
      <c r="AB2362" s="70">
        <f>IF($A2362="","",N(S2362)*'Paramètres'!$AA$9*IFERROR(INDEX('Paramètres'!$O$5:$O$7,MATCH(G2362,'Paramètres'!$N$5:$N$7,0)),0))</f>
        <v/>
      </c>
      <c r="AC2362" s="7" t="n"/>
      <c r="AD2362" s="69">
        <f>IF(OR($A2362="",Q2362=""),"",(Q2362-B2362)*24)</f>
        <v/>
      </c>
      <c r="AE2362" s="69">
        <f>IF(OR(Q2362="",R2362=""),"",(R2362-Q2362)*24)</f>
        <v/>
      </c>
      <c r="AF2362" s="77">
        <f>IF(OR($A2362="",B2362=""),"",YEAR(B2362))</f>
        <v/>
      </c>
      <c r="AG2362" s="77">
        <f>IF(OR($A2362="",B2362=""),"",MONTH(B2362))</f>
        <v/>
      </c>
    </row>
    <row r="2363">
      <c r="A2363" s="7" t="n"/>
      <c r="B2363" s="75" t="n"/>
      <c r="C2363" s="7" t="n"/>
      <c r="D2363" s="7" t="n"/>
      <c r="E2363" s="9">
        <f>IF(D2363="","",IFERROR(INDEX('Équipements'!$B$5:$B$304,MATCH(D2363,'Équipements'!$A$5:$A$304,0)),"Code inconnu"))</f>
        <v/>
      </c>
      <c r="F2363" s="9">
        <f>IF(D2363="","",IFERROR(INDEX('Équipements'!$D$5:$D$304,MATCH(D2363,'Équipements'!$A$5:$A$304,0)),""))</f>
        <v/>
      </c>
      <c r="G2363" s="9">
        <f>IF(D2363="","",IFERROR(INDEX('Équipements'!$K$5:$K$304,MATCH(D2363,'Équipements'!$A$5:$A$304,0)),""))</f>
        <v/>
      </c>
      <c r="H2363" s="7" t="n"/>
      <c r="I2363" s="7" t="n"/>
      <c r="J2363" s="7" t="n"/>
      <c r="K2363" s="7" t="n"/>
      <c r="L2363" s="7" t="n"/>
      <c r="M2363" s="7" t="n"/>
      <c r="N2363" s="7" t="n"/>
      <c r="O2363" s="7" t="n"/>
      <c r="P2363" s="65" t="n"/>
      <c r="Q2363" s="75" t="n"/>
      <c r="R2363" s="75" t="n"/>
      <c r="S2363" s="76" t="n"/>
      <c r="T2363" s="76" t="n"/>
      <c r="U2363" s="70">
        <f>IF($A2363="","",IFERROR(INDEX('Techniciens'!$F$5:$F$44,MATCH(O2363,'Techniciens'!$B$5:$B$44,0)),'Paramètres'!$AA$10))</f>
        <v/>
      </c>
      <c r="V2363" s="70">
        <f>IF($A2363="","",IF(OR(AC2363="Demandé",AC2363="Planifié",AC2363="Annulé"),0,N(T2363)*N(U2363)))</f>
        <v/>
      </c>
      <c r="W2363" s="70">
        <f>IF($A2363="","",SUMIFS('Mouvements stock'!$H$5:$H$3004,'Mouvements stock'!$I$5:$I$3004,$A2363,'Mouvements stock'!$C$5:$C$3004,"Sortie")-SUMIFS('Mouvements stock'!$H$5:$H$3004,'Mouvements stock'!$I$5:$I$3004,$A2363,'Mouvements stock'!$C$5:$C$3004,"Retour"))</f>
        <v/>
      </c>
      <c r="X2363" s="66" t="n"/>
      <c r="Y2363" s="66" t="n"/>
      <c r="Z2363" s="7" t="n"/>
      <c r="AA2363" s="70">
        <f>IF($A2363="","",N(V2363)+N(W2363)+N(X2363)+N(Y2363))</f>
        <v/>
      </c>
      <c r="AB2363" s="70">
        <f>IF($A2363="","",N(S2363)*'Paramètres'!$AA$9*IFERROR(INDEX('Paramètres'!$O$5:$O$7,MATCH(G2363,'Paramètres'!$N$5:$N$7,0)),0))</f>
        <v/>
      </c>
      <c r="AC2363" s="7" t="n"/>
      <c r="AD2363" s="69">
        <f>IF(OR($A2363="",Q2363=""),"",(Q2363-B2363)*24)</f>
        <v/>
      </c>
      <c r="AE2363" s="69">
        <f>IF(OR(Q2363="",R2363=""),"",(R2363-Q2363)*24)</f>
        <v/>
      </c>
      <c r="AF2363" s="77">
        <f>IF(OR($A2363="",B2363=""),"",YEAR(B2363))</f>
        <v/>
      </c>
      <c r="AG2363" s="77">
        <f>IF(OR($A2363="",B2363=""),"",MONTH(B2363))</f>
        <v/>
      </c>
    </row>
    <row r="2364">
      <c r="A2364" s="7" t="n"/>
      <c r="B2364" s="75" t="n"/>
      <c r="C2364" s="7" t="n"/>
      <c r="D2364" s="7" t="n"/>
      <c r="E2364" s="9">
        <f>IF(D2364="","",IFERROR(INDEX('Équipements'!$B$5:$B$304,MATCH(D2364,'Équipements'!$A$5:$A$304,0)),"Code inconnu"))</f>
        <v/>
      </c>
      <c r="F2364" s="9">
        <f>IF(D2364="","",IFERROR(INDEX('Équipements'!$D$5:$D$304,MATCH(D2364,'Équipements'!$A$5:$A$304,0)),""))</f>
        <v/>
      </c>
      <c r="G2364" s="9">
        <f>IF(D2364="","",IFERROR(INDEX('Équipements'!$K$5:$K$304,MATCH(D2364,'Équipements'!$A$5:$A$304,0)),""))</f>
        <v/>
      </c>
      <c r="H2364" s="7" t="n"/>
      <c r="I2364" s="7" t="n"/>
      <c r="J2364" s="7" t="n"/>
      <c r="K2364" s="7" t="n"/>
      <c r="L2364" s="7" t="n"/>
      <c r="M2364" s="7" t="n"/>
      <c r="N2364" s="7" t="n"/>
      <c r="O2364" s="7" t="n"/>
      <c r="P2364" s="65" t="n"/>
      <c r="Q2364" s="75" t="n"/>
      <c r="R2364" s="75" t="n"/>
      <c r="S2364" s="76" t="n"/>
      <c r="T2364" s="76" t="n"/>
      <c r="U2364" s="70">
        <f>IF($A2364="","",IFERROR(INDEX('Techniciens'!$F$5:$F$44,MATCH(O2364,'Techniciens'!$B$5:$B$44,0)),'Paramètres'!$AA$10))</f>
        <v/>
      </c>
      <c r="V2364" s="70">
        <f>IF($A2364="","",IF(OR(AC2364="Demandé",AC2364="Planifié",AC2364="Annulé"),0,N(T2364)*N(U2364)))</f>
        <v/>
      </c>
      <c r="W2364" s="70">
        <f>IF($A2364="","",SUMIFS('Mouvements stock'!$H$5:$H$3004,'Mouvements stock'!$I$5:$I$3004,$A2364,'Mouvements stock'!$C$5:$C$3004,"Sortie")-SUMIFS('Mouvements stock'!$H$5:$H$3004,'Mouvements stock'!$I$5:$I$3004,$A2364,'Mouvements stock'!$C$5:$C$3004,"Retour"))</f>
        <v/>
      </c>
      <c r="X2364" s="66" t="n"/>
      <c r="Y2364" s="66" t="n"/>
      <c r="Z2364" s="7" t="n"/>
      <c r="AA2364" s="70">
        <f>IF($A2364="","",N(V2364)+N(W2364)+N(X2364)+N(Y2364))</f>
        <v/>
      </c>
      <c r="AB2364" s="70">
        <f>IF($A2364="","",N(S2364)*'Paramètres'!$AA$9*IFERROR(INDEX('Paramètres'!$O$5:$O$7,MATCH(G2364,'Paramètres'!$N$5:$N$7,0)),0))</f>
        <v/>
      </c>
      <c r="AC2364" s="7" t="n"/>
      <c r="AD2364" s="69">
        <f>IF(OR($A2364="",Q2364=""),"",(Q2364-B2364)*24)</f>
        <v/>
      </c>
      <c r="AE2364" s="69">
        <f>IF(OR(Q2364="",R2364=""),"",(R2364-Q2364)*24)</f>
        <v/>
      </c>
      <c r="AF2364" s="77">
        <f>IF(OR($A2364="",B2364=""),"",YEAR(B2364))</f>
        <v/>
      </c>
      <c r="AG2364" s="77">
        <f>IF(OR($A2364="",B2364=""),"",MONTH(B2364))</f>
        <v/>
      </c>
    </row>
    <row r="2365">
      <c r="A2365" s="7" t="n"/>
      <c r="B2365" s="75" t="n"/>
      <c r="C2365" s="7" t="n"/>
      <c r="D2365" s="7" t="n"/>
      <c r="E2365" s="9">
        <f>IF(D2365="","",IFERROR(INDEX('Équipements'!$B$5:$B$304,MATCH(D2365,'Équipements'!$A$5:$A$304,0)),"Code inconnu"))</f>
        <v/>
      </c>
      <c r="F2365" s="9">
        <f>IF(D2365="","",IFERROR(INDEX('Équipements'!$D$5:$D$304,MATCH(D2365,'Équipements'!$A$5:$A$304,0)),""))</f>
        <v/>
      </c>
      <c r="G2365" s="9">
        <f>IF(D2365="","",IFERROR(INDEX('Équipements'!$K$5:$K$304,MATCH(D2365,'Équipements'!$A$5:$A$304,0)),""))</f>
        <v/>
      </c>
      <c r="H2365" s="7" t="n"/>
      <c r="I2365" s="7" t="n"/>
      <c r="J2365" s="7" t="n"/>
      <c r="K2365" s="7" t="n"/>
      <c r="L2365" s="7" t="n"/>
      <c r="M2365" s="7" t="n"/>
      <c r="N2365" s="7" t="n"/>
      <c r="O2365" s="7" t="n"/>
      <c r="P2365" s="65" t="n"/>
      <c r="Q2365" s="75" t="n"/>
      <c r="R2365" s="75" t="n"/>
      <c r="S2365" s="76" t="n"/>
      <c r="T2365" s="76" t="n"/>
      <c r="U2365" s="70">
        <f>IF($A2365="","",IFERROR(INDEX('Techniciens'!$F$5:$F$44,MATCH(O2365,'Techniciens'!$B$5:$B$44,0)),'Paramètres'!$AA$10))</f>
        <v/>
      </c>
      <c r="V2365" s="70">
        <f>IF($A2365="","",IF(OR(AC2365="Demandé",AC2365="Planifié",AC2365="Annulé"),0,N(T2365)*N(U2365)))</f>
        <v/>
      </c>
      <c r="W2365" s="70">
        <f>IF($A2365="","",SUMIFS('Mouvements stock'!$H$5:$H$3004,'Mouvements stock'!$I$5:$I$3004,$A2365,'Mouvements stock'!$C$5:$C$3004,"Sortie")-SUMIFS('Mouvements stock'!$H$5:$H$3004,'Mouvements stock'!$I$5:$I$3004,$A2365,'Mouvements stock'!$C$5:$C$3004,"Retour"))</f>
        <v/>
      </c>
      <c r="X2365" s="66" t="n"/>
      <c r="Y2365" s="66" t="n"/>
      <c r="Z2365" s="7" t="n"/>
      <c r="AA2365" s="70">
        <f>IF($A2365="","",N(V2365)+N(W2365)+N(X2365)+N(Y2365))</f>
        <v/>
      </c>
      <c r="AB2365" s="70">
        <f>IF($A2365="","",N(S2365)*'Paramètres'!$AA$9*IFERROR(INDEX('Paramètres'!$O$5:$O$7,MATCH(G2365,'Paramètres'!$N$5:$N$7,0)),0))</f>
        <v/>
      </c>
      <c r="AC2365" s="7" t="n"/>
      <c r="AD2365" s="69">
        <f>IF(OR($A2365="",Q2365=""),"",(Q2365-B2365)*24)</f>
        <v/>
      </c>
      <c r="AE2365" s="69">
        <f>IF(OR(Q2365="",R2365=""),"",(R2365-Q2365)*24)</f>
        <v/>
      </c>
      <c r="AF2365" s="77">
        <f>IF(OR($A2365="",B2365=""),"",YEAR(B2365))</f>
        <v/>
      </c>
      <c r="AG2365" s="77">
        <f>IF(OR($A2365="",B2365=""),"",MONTH(B2365))</f>
        <v/>
      </c>
    </row>
    <row r="2366">
      <c r="A2366" s="7" t="n"/>
      <c r="B2366" s="75" t="n"/>
      <c r="C2366" s="7" t="n"/>
      <c r="D2366" s="7" t="n"/>
      <c r="E2366" s="9">
        <f>IF(D2366="","",IFERROR(INDEX('Équipements'!$B$5:$B$304,MATCH(D2366,'Équipements'!$A$5:$A$304,0)),"Code inconnu"))</f>
        <v/>
      </c>
      <c r="F2366" s="9">
        <f>IF(D2366="","",IFERROR(INDEX('Équipements'!$D$5:$D$304,MATCH(D2366,'Équipements'!$A$5:$A$304,0)),""))</f>
        <v/>
      </c>
      <c r="G2366" s="9">
        <f>IF(D2366="","",IFERROR(INDEX('Équipements'!$K$5:$K$304,MATCH(D2366,'Équipements'!$A$5:$A$304,0)),""))</f>
        <v/>
      </c>
      <c r="H2366" s="7" t="n"/>
      <c r="I2366" s="7" t="n"/>
      <c r="J2366" s="7" t="n"/>
      <c r="K2366" s="7" t="n"/>
      <c r="L2366" s="7" t="n"/>
      <c r="M2366" s="7" t="n"/>
      <c r="N2366" s="7" t="n"/>
      <c r="O2366" s="7" t="n"/>
      <c r="P2366" s="65" t="n"/>
      <c r="Q2366" s="75" t="n"/>
      <c r="R2366" s="75" t="n"/>
      <c r="S2366" s="76" t="n"/>
      <c r="T2366" s="76" t="n"/>
      <c r="U2366" s="70">
        <f>IF($A2366="","",IFERROR(INDEX('Techniciens'!$F$5:$F$44,MATCH(O2366,'Techniciens'!$B$5:$B$44,0)),'Paramètres'!$AA$10))</f>
        <v/>
      </c>
      <c r="V2366" s="70">
        <f>IF($A2366="","",IF(OR(AC2366="Demandé",AC2366="Planifié",AC2366="Annulé"),0,N(T2366)*N(U2366)))</f>
        <v/>
      </c>
      <c r="W2366" s="70">
        <f>IF($A2366="","",SUMIFS('Mouvements stock'!$H$5:$H$3004,'Mouvements stock'!$I$5:$I$3004,$A2366,'Mouvements stock'!$C$5:$C$3004,"Sortie")-SUMIFS('Mouvements stock'!$H$5:$H$3004,'Mouvements stock'!$I$5:$I$3004,$A2366,'Mouvements stock'!$C$5:$C$3004,"Retour"))</f>
        <v/>
      </c>
      <c r="X2366" s="66" t="n"/>
      <c r="Y2366" s="66" t="n"/>
      <c r="Z2366" s="7" t="n"/>
      <c r="AA2366" s="70">
        <f>IF($A2366="","",N(V2366)+N(W2366)+N(X2366)+N(Y2366))</f>
        <v/>
      </c>
      <c r="AB2366" s="70">
        <f>IF($A2366="","",N(S2366)*'Paramètres'!$AA$9*IFERROR(INDEX('Paramètres'!$O$5:$O$7,MATCH(G2366,'Paramètres'!$N$5:$N$7,0)),0))</f>
        <v/>
      </c>
      <c r="AC2366" s="7" t="n"/>
      <c r="AD2366" s="69">
        <f>IF(OR($A2366="",Q2366=""),"",(Q2366-B2366)*24)</f>
        <v/>
      </c>
      <c r="AE2366" s="69">
        <f>IF(OR(Q2366="",R2366=""),"",(R2366-Q2366)*24)</f>
        <v/>
      </c>
      <c r="AF2366" s="77">
        <f>IF(OR($A2366="",B2366=""),"",YEAR(B2366))</f>
        <v/>
      </c>
      <c r="AG2366" s="77">
        <f>IF(OR($A2366="",B2366=""),"",MONTH(B2366))</f>
        <v/>
      </c>
    </row>
    <row r="2367">
      <c r="A2367" s="7" t="n"/>
      <c r="B2367" s="75" t="n"/>
      <c r="C2367" s="7" t="n"/>
      <c r="D2367" s="7" t="n"/>
      <c r="E2367" s="9">
        <f>IF(D2367="","",IFERROR(INDEX('Équipements'!$B$5:$B$304,MATCH(D2367,'Équipements'!$A$5:$A$304,0)),"Code inconnu"))</f>
        <v/>
      </c>
      <c r="F2367" s="9">
        <f>IF(D2367="","",IFERROR(INDEX('Équipements'!$D$5:$D$304,MATCH(D2367,'Équipements'!$A$5:$A$304,0)),""))</f>
        <v/>
      </c>
      <c r="G2367" s="9">
        <f>IF(D2367="","",IFERROR(INDEX('Équipements'!$K$5:$K$304,MATCH(D2367,'Équipements'!$A$5:$A$304,0)),""))</f>
        <v/>
      </c>
      <c r="H2367" s="7" t="n"/>
      <c r="I2367" s="7" t="n"/>
      <c r="J2367" s="7" t="n"/>
      <c r="K2367" s="7" t="n"/>
      <c r="L2367" s="7" t="n"/>
      <c r="M2367" s="7" t="n"/>
      <c r="N2367" s="7" t="n"/>
      <c r="O2367" s="7" t="n"/>
      <c r="P2367" s="65" t="n"/>
      <c r="Q2367" s="75" t="n"/>
      <c r="R2367" s="75" t="n"/>
      <c r="S2367" s="76" t="n"/>
      <c r="T2367" s="76" t="n"/>
      <c r="U2367" s="70">
        <f>IF($A2367="","",IFERROR(INDEX('Techniciens'!$F$5:$F$44,MATCH(O2367,'Techniciens'!$B$5:$B$44,0)),'Paramètres'!$AA$10))</f>
        <v/>
      </c>
      <c r="V2367" s="70">
        <f>IF($A2367="","",IF(OR(AC2367="Demandé",AC2367="Planifié",AC2367="Annulé"),0,N(T2367)*N(U2367)))</f>
        <v/>
      </c>
      <c r="W2367" s="70">
        <f>IF($A2367="","",SUMIFS('Mouvements stock'!$H$5:$H$3004,'Mouvements stock'!$I$5:$I$3004,$A2367,'Mouvements stock'!$C$5:$C$3004,"Sortie")-SUMIFS('Mouvements stock'!$H$5:$H$3004,'Mouvements stock'!$I$5:$I$3004,$A2367,'Mouvements stock'!$C$5:$C$3004,"Retour"))</f>
        <v/>
      </c>
      <c r="X2367" s="66" t="n"/>
      <c r="Y2367" s="66" t="n"/>
      <c r="Z2367" s="7" t="n"/>
      <c r="AA2367" s="70">
        <f>IF($A2367="","",N(V2367)+N(W2367)+N(X2367)+N(Y2367))</f>
        <v/>
      </c>
      <c r="AB2367" s="70">
        <f>IF($A2367="","",N(S2367)*'Paramètres'!$AA$9*IFERROR(INDEX('Paramètres'!$O$5:$O$7,MATCH(G2367,'Paramètres'!$N$5:$N$7,0)),0))</f>
        <v/>
      </c>
      <c r="AC2367" s="7" t="n"/>
      <c r="AD2367" s="69">
        <f>IF(OR($A2367="",Q2367=""),"",(Q2367-B2367)*24)</f>
        <v/>
      </c>
      <c r="AE2367" s="69">
        <f>IF(OR(Q2367="",R2367=""),"",(R2367-Q2367)*24)</f>
        <v/>
      </c>
      <c r="AF2367" s="77">
        <f>IF(OR($A2367="",B2367=""),"",YEAR(B2367))</f>
        <v/>
      </c>
      <c r="AG2367" s="77">
        <f>IF(OR($A2367="",B2367=""),"",MONTH(B2367))</f>
        <v/>
      </c>
    </row>
    <row r="2368">
      <c r="A2368" s="7" t="n"/>
      <c r="B2368" s="75" t="n"/>
      <c r="C2368" s="7" t="n"/>
      <c r="D2368" s="7" t="n"/>
      <c r="E2368" s="9">
        <f>IF(D2368="","",IFERROR(INDEX('Équipements'!$B$5:$B$304,MATCH(D2368,'Équipements'!$A$5:$A$304,0)),"Code inconnu"))</f>
        <v/>
      </c>
      <c r="F2368" s="9">
        <f>IF(D2368="","",IFERROR(INDEX('Équipements'!$D$5:$D$304,MATCH(D2368,'Équipements'!$A$5:$A$304,0)),""))</f>
        <v/>
      </c>
      <c r="G2368" s="9">
        <f>IF(D2368="","",IFERROR(INDEX('Équipements'!$K$5:$K$304,MATCH(D2368,'Équipements'!$A$5:$A$304,0)),""))</f>
        <v/>
      </c>
      <c r="H2368" s="7" t="n"/>
      <c r="I2368" s="7" t="n"/>
      <c r="J2368" s="7" t="n"/>
      <c r="K2368" s="7" t="n"/>
      <c r="L2368" s="7" t="n"/>
      <c r="M2368" s="7" t="n"/>
      <c r="N2368" s="7" t="n"/>
      <c r="O2368" s="7" t="n"/>
      <c r="P2368" s="65" t="n"/>
      <c r="Q2368" s="75" t="n"/>
      <c r="R2368" s="75" t="n"/>
      <c r="S2368" s="76" t="n"/>
      <c r="T2368" s="76" t="n"/>
      <c r="U2368" s="70">
        <f>IF($A2368="","",IFERROR(INDEX('Techniciens'!$F$5:$F$44,MATCH(O2368,'Techniciens'!$B$5:$B$44,0)),'Paramètres'!$AA$10))</f>
        <v/>
      </c>
      <c r="V2368" s="70">
        <f>IF($A2368="","",IF(OR(AC2368="Demandé",AC2368="Planifié",AC2368="Annulé"),0,N(T2368)*N(U2368)))</f>
        <v/>
      </c>
      <c r="W2368" s="70">
        <f>IF($A2368="","",SUMIFS('Mouvements stock'!$H$5:$H$3004,'Mouvements stock'!$I$5:$I$3004,$A2368,'Mouvements stock'!$C$5:$C$3004,"Sortie")-SUMIFS('Mouvements stock'!$H$5:$H$3004,'Mouvements stock'!$I$5:$I$3004,$A2368,'Mouvements stock'!$C$5:$C$3004,"Retour"))</f>
        <v/>
      </c>
      <c r="X2368" s="66" t="n"/>
      <c r="Y2368" s="66" t="n"/>
      <c r="Z2368" s="7" t="n"/>
      <c r="AA2368" s="70">
        <f>IF($A2368="","",N(V2368)+N(W2368)+N(X2368)+N(Y2368))</f>
        <v/>
      </c>
      <c r="AB2368" s="70">
        <f>IF($A2368="","",N(S2368)*'Paramètres'!$AA$9*IFERROR(INDEX('Paramètres'!$O$5:$O$7,MATCH(G2368,'Paramètres'!$N$5:$N$7,0)),0))</f>
        <v/>
      </c>
      <c r="AC2368" s="7" t="n"/>
      <c r="AD2368" s="69">
        <f>IF(OR($A2368="",Q2368=""),"",(Q2368-B2368)*24)</f>
        <v/>
      </c>
      <c r="AE2368" s="69">
        <f>IF(OR(Q2368="",R2368=""),"",(R2368-Q2368)*24)</f>
        <v/>
      </c>
      <c r="AF2368" s="77">
        <f>IF(OR($A2368="",B2368=""),"",YEAR(B2368))</f>
        <v/>
      </c>
      <c r="AG2368" s="77">
        <f>IF(OR($A2368="",B2368=""),"",MONTH(B2368))</f>
        <v/>
      </c>
    </row>
    <row r="2369">
      <c r="A2369" s="7" t="n"/>
      <c r="B2369" s="75" t="n"/>
      <c r="C2369" s="7" t="n"/>
      <c r="D2369" s="7" t="n"/>
      <c r="E2369" s="9">
        <f>IF(D2369="","",IFERROR(INDEX('Équipements'!$B$5:$B$304,MATCH(D2369,'Équipements'!$A$5:$A$304,0)),"Code inconnu"))</f>
        <v/>
      </c>
      <c r="F2369" s="9">
        <f>IF(D2369="","",IFERROR(INDEX('Équipements'!$D$5:$D$304,MATCH(D2369,'Équipements'!$A$5:$A$304,0)),""))</f>
        <v/>
      </c>
      <c r="G2369" s="9">
        <f>IF(D2369="","",IFERROR(INDEX('Équipements'!$K$5:$K$304,MATCH(D2369,'Équipements'!$A$5:$A$304,0)),""))</f>
        <v/>
      </c>
      <c r="H2369" s="7" t="n"/>
      <c r="I2369" s="7" t="n"/>
      <c r="J2369" s="7" t="n"/>
      <c r="K2369" s="7" t="n"/>
      <c r="L2369" s="7" t="n"/>
      <c r="M2369" s="7" t="n"/>
      <c r="N2369" s="7" t="n"/>
      <c r="O2369" s="7" t="n"/>
      <c r="P2369" s="65" t="n"/>
      <c r="Q2369" s="75" t="n"/>
      <c r="R2369" s="75" t="n"/>
      <c r="S2369" s="76" t="n"/>
      <c r="T2369" s="76" t="n"/>
      <c r="U2369" s="70">
        <f>IF($A2369="","",IFERROR(INDEX('Techniciens'!$F$5:$F$44,MATCH(O2369,'Techniciens'!$B$5:$B$44,0)),'Paramètres'!$AA$10))</f>
        <v/>
      </c>
      <c r="V2369" s="70">
        <f>IF($A2369="","",IF(OR(AC2369="Demandé",AC2369="Planifié",AC2369="Annulé"),0,N(T2369)*N(U2369)))</f>
        <v/>
      </c>
      <c r="W2369" s="70">
        <f>IF($A2369="","",SUMIFS('Mouvements stock'!$H$5:$H$3004,'Mouvements stock'!$I$5:$I$3004,$A2369,'Mouvements stock'!$C$5:$C$3004,"Sortie")-SUMIFS('Mouvements stock'!$H$5:$H$3004,'Mouvements stock'!$I$5:$I$3004,$A2369,'Mouvements stock'!$C$5:$C$3004,"Retour"))</f>
        <v/>
      </c>
      <c r="X2369" s="66" t="n"/>
      <c r="Y2369" s="66" t="n"/>
      <c r="Z2369" s="7" t="n"/>
      <c r="AA2369" s="70">
        <f>IF($A2369="","",N(V2369)+N(W2369)+N(X2369)+N(Y2369))</f>
        <v/>
      </c>
      <c r="AB2369" s="70">
        <f>IF($A2369="","",N(S2369)*'Paramètres'!$AA$9*IFERROR(INDEX('Paramètres'!$O$5:$O$7,MATCH(G2369,'Paramètres'!$N$5:$N$7,0)),0))</f>
        <v/>
      </c>
      <c r="AC2369" s="7" t="n"/>
      <c r="AD2369" s="69">
        <f>IF(OR($A2369="",Q2369=""),"",(Q2369-B2369)*24)</f>
        <v/>
      </c>
      <c r="AE2369" s="69">
        <f>IF(OR(Q2369="",R2369=""),"",(R2369-Q2369)*24)</f>
        <v/>
      </c>
      <c r="AF2369" s="77">
        <f>IF(OR($A2369="",B2369=""),"",YEAR(B2369))</f>
        <v/>
      </c>
      <c r="AG2369" s="77">
        <f>IF(OR($A2369="",B2369=""),"",MONTH(B2369))</f>
        <v/>
      </c>
    </row>
    <row r="2370">
      <c r="A2370" s="7" t="n"/>
      <c r="B2370" s="75" t="n"/>
      <c r="C2370" s="7" t="n"/>
      <c r="D2370" s="7" t="n"/>
      <c r="E2370" s="9">
        <f>IF(D2370="","",IFERROR(INDEX('Équipements'!$B$5:$B$304,MATCH(D2370,'Équipements'!$A$5:$A$304,0)),"Code inconnu"))</f>
        <v/>
      </c>
      <c r="F2370" s="9">
        <f>IF(D2370="","",IFERROR(INDEX('Équipements'!$D$5:$D$304,MATCH(D2370,'Équipements'!$A$5:$A$304,0)),""))</f>
        <v/>
      </c>
      <c r="G2370" s="9">
        <f>IF(D2370="","",IFERROR(INDEX('Équipements'!$K$5:$K$304,MATCH(D2370,'Équipements'!$A$5:$A$304,0)),""))</f>
        <v/>
      </c>
      <c r="H2370" s="7" t="n"/>
      <c r="I2370" s="7" t="n"/>
      <c r="J2370" s="7" t="n"/>
      <c r="K2370" s="7" t="n"/>
      <c r="L2370" s="7" t="n"/>
      <c r="M2370" s="7" t="n"/>
      <c r="N2370" s="7" t="n"/>
      <c r="O2370" s="7" t="n"/>
      <c r="P2370" s="65" t="n"/>
      <c r="Q2370" s="75" t="n"/>
      <c r="R2370" s="75" t="n"/>
      <c r="S2370" s="76" t="n"/>
      <c r="T2370" s="76" t="n"/>
      <c r="U2370" s="70">
        <f>IF($A2370="","",IFERROR(INDEX('Techniciens'!$F$5:$F$44,MATCH(O2370,'Techniciens'!$B$5:$B$44,0)),'Paramètres'!$AA$10))</f>
        <v/>
      </c>
      <c r="V2370" s="70">
        <f>IF($A2370="","",IF(OR(AC2370="Demandé",AC2370="Planifié",AC2370="Annulé"),0,N(T2370)*N(U2370)))</f>
        <v/>
      </c>
      <c r="W2370" s="70">
        <f>IF($A2370="","",SUMIFS('Mouvements stock'!$H$5:$H$3004,'Mouvements stock'!$I$5:$I$3004,$A2370,'Mouvements stock'!$C$5:$C$3004,"Sortie")-SUMIFS('Mouvements stock'!$H$5:$H$3004,'Mouvements stock'!$I$5:$I$3004,$A2370,'Mouvements stock'!$C$5:$C$3004,"Retour"))</f>
        <v/>
      </c>
      <c r="X2370" s="66" t="n"/>
      <c r="Y2370" s="66" t="n"/>
      <c r="Z2370" s="7" t="n"/>
      <c r="AA2370" s="70">
        <f>IF($A2370="","",N(V2370)+N(W2370)+N(X2370)+N(Y2370))</f>
        <v/>
      </c>
      <c r="AB2370" s="70">
        <f>IF($A2370="","",N(S2370)*'Paramètres'!$AA$9*IFERROR(INDEX('Paramètres'!$O$5:$O$7,MATCH(G2370,'Paramètres'!$N$5:$N$7,0)),0))</f>
        <v/>
      </c>
      <c r="AC2370" s="7" t="n"/>
      <c r="AD2370" s="69">
        <f>IF(OR($A2370="",Q2370=""),"",(Q2370-B2370)*24)</f>
        <v/>
      </c>
      <c r="AE2370" s="69">
        <f>IF(OR(Q2370="",R2370=""),"",(R2370-Q2370)*24)</f>
        <v/>
      </c>
      <c r="AF2370" s="77">
        <f>IF(OR($A2370="",B2370=""),"",YEAR(B2370))</f>
        <v/>
      </c>
      <c r="AG2370" s="77">
        <f>IF(OR($A2370="",B2370=""),"",MONTH(B2370))</f>
        <v/>
      </c>
    </row>
    <row r="2371">
      <c r="A2371" s="7" t="n"/>
      <c r="B2371" s="75" t="n"/>
      <c r="C2371" s="7" t="n"/>
      <c r="D2371" s="7" t="n"/>
      <c r="E2371" s="9">
        <f>IF(D2371="","",IFERROR(INDEX('Équipements'!$B$5:$B$304,MATCH(D2371,'Équipements'!$A$5:$A$304,0)),"Code inconnu"))</f>
        <v/>
      </c>
      <c r="F2371" s="9">
        <f>IF(D2371="","",IFERROR(INDEX('Équipements'!$D$5:$D$304,MATCH(D2371,'Équipements'!$A$5:$A$304,0)),""))</f>
        <v/>
      </c>
      <c r="G2371" s="9">
        <f>IF(D2371="","",IFERROR(INDEX('Équipements'!$K$5:$K$304,MATCH(D2371,'Équipements'!$A$5:$A$304,0)),""))</f>
        <v/>
      </c>
      <c r="H2371" s="7" t="n"/>
      <c r="I2371" s="7" t="n"/>
      <c r="J2371" s="7" t="n"/>
      <c r="K2371" s="7" t="n"/>
      <c r="L2371" s="7" t="n"/>
      <c r="M2371" s="7" t="n"/>
      <c r="N2371" s="7" t="n"/>
      <c r="O2371" s="7" t="n"/>
      <c r="P2371" s="65" t="n"/>
      <c r="Q2371" s="75" t="n"/>
      <c r="R2371" s="75" t="n"/>
      <c r="S2371" s="76" t="n"/>
      <c r="T2371" s="76" t="n"/>
      <c r="U2371" s="70">
        <f>IF($A2371="","",IFERROR(INDEX('Techniciens'!$F$5:$F$44,MATCH(O2371,'Techniciens'!$B$5:$B$44,0)),'Paramètres'!$AA$10))</f>
        <v/>
      </c>
      <c r="V2371" s="70">
        <f>IF($A2371="","",IF(OR(AC2371="Demandé",AC2371="Planifié",AC2371="Annulé"),0,N(T2371)*N(U2371)))</f>
        <v/>
      </c>
      <c r="W2371" s="70">
        <f>IF($A2371="","",SUMIFS('Mouvements stock'!$H$5:$H$3004,'Mouvements stock'!$I$5:$I$3004,$A2371,'Mouvements stock'!$C$5:$C$3004,"Sortie")-SUMIFS('Mouvements stock'!$H$5:$H$3004,'Mouvements stock'!$I$5:$I$3004,$A2371,'Mouvements stock'!$C$5:$C$3004,"Retour"))</f>
        <v/>
      </c>
      <c r="X2371" s="66" t="n"/>
      <c r="Y2371" s="66" t="n"/>
      <c r="Z2371" s="7" t="n"/>
      <c r="AA2371" s="70">
        <f>IF($A2371="","",N(V2371)+N(W2371)+N(X2371)+N(Y2371))</f>
        <v/>
      </c>
      <c r="AB2371" s="70">
        <f>IF($A2371="","",N(S2371)*'Paramètres'!$AA$9*IFERROR(INDEX('Paramètres'!$O$5:$O$7,MATCH(G2371,'Paramètres'!$N$5:$N$7,0)),0))</f>
        <v/>
      </c>
      <c r="AC2371" s="7" t="n"/>
      <c r="AD2371" s="69">
        <f>IF(OR($A2371="",Q2371=""),"",(Q2371-B2371)*24)</f>
        <v/>
      </c>
      <c r="AE2371" s="69">
        <f>IF(OR(Q2371="",R2371=""),"",(R2371-Q2371)*24)</f>
        <v/>
      </c>
      <c r="AF2371" s="77">
        <f>IF(OR($A2371="",B2371=""),"",YEAR(B2371))</f>
        <v/>
      </c>
      <c r="AG2371" s="77">
        <f>IF(OR($A2371="",B2371=""),"",MONTH(B2371))</f>
        <v/>
      </c>
    </row>
    <row r="2372">
      <c r="A2372" s="7" t="n"/>
      <c r="B2372" s="75" t="n"/>
      <c r="C2372" s="7" t="n"/>
      <c r="D2372" s="7" t="n"/>
      <c r="E2372" s="9">
        <f>IF(D2372="","",IFERROR(INDEX('Équipements'!$B$5:$B$304,MATCH(D2372,'Équipements'!$A$5:$A$304,0)),"Code inconnu"))</f>
        <v/>
      </c>
      <c r="F2372" s="9">
        <f>IF(D2372="","",IFERROR(INDEX('Équipements'!$D$5:$D$304,MATCH(D2372,'Équipements'!$A$5:$A$304,0)),""))</f>
        <v/>
      </c>
      <c r="G2372" s="9">
        <f>IF(D2372="","",IFERROR(INDEX('Équipements'!$K$5:$K$304,MATCH(D2372,'Équipements'!$A$5:$A$304,0)),""))</f>
        <v/>
      </c>
      <c r="H2372" s="7" t="n"/>
      <c r="I2372" s="7" t="n"/>
      <c r="J2372" s="7" t="n"/>
      <c r="K2372" s="7" t="n"/>
      <c r="L2372" s="7" t="n"/>
      <c r="M2372" s="7" t="n"/>
      <c r="N2372" s="7" t="n"/>
      <c r="O2372" s="7" t="n"/>
      <c r="P2372" s="65" t="n"/>
      <c r="Q2372" s="75" t="n"/>
      <c r="R2372" s="75" t="n"/>
      <c r="S2372" s="76" t="n"/>
      <c r="T2372" s="76" t="n"/>
      <c r="U2372" s="70">
        <f>IF($A2372="","",IFERROR(INDEX('Techniciens'!$F$5:$F$44,MATCH(O2372,'Techniciens'!$B$5:$B$44,0)),'Paramètres'!$AA$10))</f>
        <v/>
      </c>
      <c r="V2372" s="70">
        <f>IF($A2372="","",IF(OR(AC2372="Demandé",AC2372="Planifié",AC2372="Annulé"),0,N(T2372)*N(U2372)))</f>
        <v/>
      </c>
      <c r="W2372" s="70">
        <f>IF($A2372="","",SUMIFS('Mouvements stock'!$H$5:$H$3004,'Mouvements stock'!$I$5:$I$3004,$A2372,'Mouvements stock'!$C$5:$C$3004,"Sortie")-SUMIFS('Mouvements stock'!$H$5:$H$3004,'Mouvements stock'!$I$5:$I$3004,$A2372,'Mouvements stock'!$C$5:$C$3004,"Retour"))</f>
        <v/>
      </c>
      <c r="X2372" s="66" t="n"/>
      <c r="Y2372" s="66" t="n"/>
      <c r="Z2372" s="7" t="n"/>
      <c r="AA2372" s="70">
        <f>IF($A2372="","",N(V2372)+N(W2372)+N(X2372)+N(Y2372))</f>
        <v/>
      </c>
      <c r="AB2372" s="70">
        <f>IF($A2372="","",N(S2372)*'Paramètres'!$AA$9*IFERROR(INDEX('Paramètres'!$O$5:$O$7,MATCH(G2372,'Paramètres'!$N$5:$N$7,0)),0))</f>
        <v/>
      </c>
      <c r="AC2372" s="7" t="n"/>
      <c r="AD2372" s="69">
        <f>IF(OR($A2372="",Q2372=""),"",(Q2372-B2372)*24)</f>
        <v/>
      </c>
      <c r="AE2372" s="69">
        <f>IF(OR(Q2372="",R2372=""),"",(R2372-Q2372)*24)</f>
        <v/>
      </c>
      <c r="AF2372" s="77">
        <f>IF(OR($A2372="",B2372=""),"",YEAR(B2372))</f>
        <v/>
      </c>
      <c r="AG2372" s="77">
        <f>IF(OR($A2372="",B2372=""),"",MONTH(B2372))</f>
        <v/>
      </c>
    </row>
    <row r="2373">
      <c r="A2373" s="7" t="n"/>
      <c r="B2373" s="75" t="n"/>
      <c r="C2373" s="7" t="n"/>
      <c r="D2373" s="7" t="n"/>
      <c r="E2373" s="9">
        <f>IF(D2373="","",IFERROR(INDEX('Équipements'!$B$5:$B$304,MATCH(D2373,'Équipements'!$A$5:$A$304,0)),"Code inconnu"))</f>
        <v/>
      </c>
      <c r="F2373" s="9">
        <f>IF(D2373="","",IFERROR(INDEX('Équipements'!$D$5:$D$304,MATCH(D2373,'Équipements'!$A$5:$A$304,0)),""))</f>
        <v/>
      </c>
      <c r="G2373" s="9">
        <f>IF(D2373="","",IFERROR(INDEX('Équipements'!$K$5:$K$304,MATCH(D2373,'Équipements'!$A$5:$A$304,0)),""))</f>
        <v/>
      </c>
      <c r="H2373" s="7" t="n"/>
      <c r="I2373" s="7" t="n"/>
      <c r="J2373" s="7" t="n"/>
      <c r="K2373" s="7" t="n"/>
      <c r="L2373" s="7" t="n"/>
      <c r="M2373" s="7" t="n"/>
      <c r="N2373" s="7" t="n"/>
      <c r="O2373" s="7" t="n"/>
      <c r="P2373" s="65" t="n"/>
      <c r="Q2373" s="75" t="n"/>
      <c r="R2373" s="75" t="n"/>
      <c r="S2373" s="76" t="n"/>
      <c r="T2373" s="76" t="n"/>
      <c r="U2373" s="70">
        <f>IF($A2373="","",IFERROR(INDEX('Techniciens'!$F$5:$F$44,MATCH(O2373,'Techniciens'!$B$5:$B$44,0)),'Paramètres'!$AA$10))</f>
        <v/>
      </c>
      <c r="V2373" s="70">
        <f>IF($A2373="","",IF(OR(AC2373="Demandé",AC2373="Planifié",AC2373="Annulé"),0,N(T2373)*N(U2373)))</f>
        <v/>
      </c>
      <c r="W2373" s="70">
        <f>IF($A2373="","",SUMIFS('Mouvements stock'!$H$5:$H$3004,'Mouvements stock'!$I$5:$I$3004,$A2373,'Mouvements stock'!$C$5:$C$3004,"Sortie")-SUMIFS('Mouvements stock'!$H$5:$H$3004,'Mouvements stock'!$I$5:$I$3004,$A2373,'Mouvements stock'!$C$5:$C$3004,"Retour"))</f>
        <v/>
      </c>
      <c r="X2373" s="66" t="n"/>
      <c r="Y2373" s="66" t="n"/>
      <c r="Z2373" s="7" t="n"/>
      <c r="AA2373" s="70">
        <f>IF($A2373="","",N(V2373)+N(W2373)+N(X2373)+N(Y2373))</f>
        <v/>
      </c>
      <c r="AB2373" s="70">
        <f>IF($A2373="","",N(S2373)*'Paramètres'!$AA$9*IFERROR(INDEX('Paramètres'!$O$5:$O$7,MATCH(G2373,'Paramètres'!$N$5:$N$7,0)),0))</f>
        <v/>
      </c>
      <c r="AC2373" s="7" t="n"/>
      <c r="AD2373" s="69">
        <f>IF(OR($A2373="",Q2373=""),"",(Q2373-B2373)*24)</f>
        <v/>
      </c>
      <c r="AE2373" s="69">
        <f>IF(OR(Q2373="",R2373=""),"",(R2373-Q2373)*24)</f>
        <v/>
      </c>
      <c r="AF2373" s="77">
        <f>IF(OR($A2373="",B2373=""),"",YEAR(B2373))</f>
        <v/>
      </c>
      <c r="AG2373" s="77">
        <f>IF(OR($A2373="",B2373=""),"",MONTH(B2373))</f>
        <v/>
      </c>
    </row>
    <row r="2374">
      <c r="A2374" s="7" t="n"/>
      <c r="B2374" s="75" t="n"/>
      <c r="C2374" s="7" t="n"/>
      <c r="D2374" s="7" t="n"/>
      <c r="E2374" s="9">
        <f>IF(D2374="","",IFERROR(INDEX('Équipements'!$B$5:$B$304,MATCH(D2374,'Équipements'!$A$5:$A$304,0)),"Code inconnu"))</f>
        <v/>
      </c>
      <c r="F2374" s="9">
        <f>IF(D2374="","",IFERROR(INDEX('Équipements'!$D$5:$D$304,MATCH(D2374,'Équipements'!$A$5:$A$304,0)),""))</f>
        <v/>
      </c>
      <c r="G2374" s="9">
        <f>IF(D2374="","",IFERROR(INDEX('Équipements'!$K$5:$K$304,MATCH(D2374,'Équipements'!$A$5:$A$304,0)),""))</f>
        <v/>
      </c>
      <c r="H2374" s="7" t="n"/>
      <c r="I2374" s="7" t="n"/>
      <c r="J2374" s="7" t="n"/>
      <c r="K2374" s="7" t="n"/>
      <c r="L2374" s="7" t="n"/>
      <c r="M2374" s="7" t="n"/>
      <c r="N2374" s="7" t="n"/>
      <c r="O2374" s="7" t="n"/>
      <c r="P2374" s="65" t="n"/>
      <c r="Q2374" s="75" t="n"/>
      <c r="R2374" s="75" t="n"/>
      <c r="S2374" s="76" t="n"/>
      <c r="T2374" s="76" t="n"/>
      <c r="U2374" s="70">
        <f>IF($A2374="","",IFERROR(INDEX('Techniciens'!$F$5:$F$44,MATCH(O2374,'Techniciens'!$B$5:$B$44,0)),'Paramètres'!$AA$10))</f>
        <v/>
      </c>
      <c r="V2374" s="70">
        <f>IF($A2374="","",IF(OR(AC2374="Demandé",AC2374="Planifié",AC2374="Annulé"),0,N(T2374)*N(U2374)))</f>
        <v/>
      </c>
      <c r="W2374" s="70">
        <f>IF($A2374="","",SUMIFS('Mouvements stock'!$H$5:$H$3004,'Mouvements stock'!$I$5:$I$3004,$A2374,'Mouvements stock'!$C$5:$C$3004,"Sortie")-SUMIFS('Mouvements stock'!$H$5:$H$3004,'Mouvements stock'!$I$5:$I$3004,$A2374,'Mouvements stock'!$C$5:$C$3004,"Retour"))</f>
        <v/>
      </c>
      <c r="X2374" s="66" t="n"/>
      <c r="Y2374" s="66" t="n"/>
      <c r="Z2374" s="7" t="n"/>
      <c r="AA2374" s="70">
        <f>IF($A2374="","",N(V2374)+N(W2374)+N(X2374)+N(Y2374))</f>
        <v/>
      </c>
      <c r="AB2374" s="70">
        <f>IF($A2374="","",N(S2374)*'Paramètres'!$AA$9*IFERROR(INDEX('Paramètres'!$O$5:$O$7,MATCH(G2374,'Paramètres'!$N$5:$N$7,0)),0))</f>
        <v/>
      </c>
      <c r="AC2374" s="7" t="n"/>
      <c r="AD2374" s="69">
        <f>IF(OR($A2374="",Q2374=""),"",(Q2374-B2374)*24)</f>
        <v/>
      </c>
      <c r="AE2374" s="69">
        <f>IF(OR(Q2374="",R2374=""),"",(R2374-Q2374)*24)</f>
        <v/>
      </c>
      <c r="AF2374" s="77">
        <f>IF(OR($A2374="",B2374=""),"",YEAR(B2374))</f>
        <v/>
      </c>
      <c r="AG2374" s="77">
        <f>IF(OR($A2374="",B2374=""),"",MONTH(B2374))</f>
        <v/>
      </c>
    </row>
    <row r="2375">
      <c r="A2375" s="7" t="n"/>
      <c r="B2375" s="75" t="n"/>
      <c r="C2375" s="7" t="n"/>
      <c r="D2375" s="7" t="n"/>
      <c r="E2375" s="9">
        <f>IF(D2375="","",IFERROR(INDEX('Équipements'!$B$5:$B$304,MATCH(D2375,'Équipements'!$A$5:$A$304,0)),"Code inconnu"))</f>
        <v/>
      </c>
      <c r="F2375" s="9">
        <f>IF(D2375="","",IFERROR(INDEX('Équipements'!$D$5:$D$304,MATCH(D2375,'Équipements'!$A$5:$A$304,0)),""))</f>
        <v/>
      </c>
      <c r="G2375" s="9">
        <f>IF(D2375="","",IFERROR(INDEX('Équipements'!$K$5:$K$304,MATCH(D2375,'Équipements'!$A$5:$A$304,0)),""))</f>
        <v/>
      </c>
      <c r="H2375" s="7" t="n"/>
      <c r="I2375" s="7" t="n"/>
      <c r="J2375" s="7" t="n"/>
      <c r="K2375" s="7" t="n"/>
      <c r="L2375" s="7" t="n"/>
      <c r="M2375" s="7" t="n"/>
      <c r="N2375" s="7" t="n"/>
      <c r="O2375" s="7" t="n"/>
      <c r="P2375" s="65" t="n"/>
      <c r="Q2375" s="75" t="n"/>
      <c r="R2375" s="75" t="n"/>
      <c r="S2375" s="76" t="n"/>
      <c r="T2375" s="76" t="n"/>
      <c r="U2375" s="70">
        <f>IF($A2375="","",IFERROR(INDEX('Techniciens'!$F$5:$F$44,MATCH(O2375,'Techniciens'!$B$5:$B$44,0)),'Paramètres'!$AA$10))</f>
        <v/>
      </c>
      <c r="V2375" s="70">
        <f>IF($A2375="","",IF(OR(AC2375="Demandé",AC2375="Planifié",AC2375="Annulé"),0,N(T2375)*N(U2375)))</f>
        <v/>
      </c>
      <c r="W2375" s="70">
        <f>IF($A2375="","",SUMIFS('Mouvements stock'!$H$5:$H$3004,'Mouvements stock'!$I$5:$I$3004,$A2375,'Mouvements stock'!$C$5:$C$3004,"Sortie")-SUMIFS('Mouvements stock'!$H$5:$H$3004,'Mouvements stock'!$I$5:$I$3004,$A2375,'Mouvements stock'!$C$5:$C$3004,"Retour"))</f>
        <v/>
      </c>
      <c r="X2375" s="66" t="n"/>
      <c r="Y2375" s="66" t="n"/>
      <c r="Z2375" s="7" t="n"/>
      <c r="AA2375" s="70">
        <f>IF($A2375="","",N(V2375)+N(W2375)+N(X2375)+N(Y2375))</f>
        <v/>
      </c>
      <c r="AB2375" s="70">
        <f>IF($A2375="","",N(S2375)*'Paramètres'!$AA$9*IFERROR(INDEX('Paramètres'!$O$5:$O$7,MATCH(G2375,'Paramètres'!$N$5:$N$7,0)),0))</f>
        <v/>
      </c>
      <c r="AC2375" s="7" t="n"/>
      <c r="AD2375" s="69">
        <f>IF(OR($A2375="",Q2375=""),"",(Q2375-B2375)*24)</f>
        <v/>
      </c>
      <c r="AE2375" s="69">
        <f>IF(OR(Q2375="",R2375=""),"",(R2375-Q2375)*24)</f>
        <v/>
      </c>
      <c r="AF2375" s="77">
        <f>IF(OR($A2375="",B2375=""),"",YEAR(B2375))</f>
        <v/>
      </c>
      <c r="AG2375" s="77">
        <f>IF(OR($A2375="",B2375=""),"",MONTH(B2375))</f>
        <v/>
      </c>
    </row>
    <row r="2376">
      <c r="A2376" s="7" t="n"/>
      <c r="B2376" s="75" t="n"/>
      <c r="C2376" s="7" t="n"/>
      <c r="D2376" s="7" t="n"/>
      <c r="E2376" s="9">
        <f>IF(D2376="","",IFERROR(INDEX('Équipements'!$B$5:$B$304,MATCH(D2376,'Équipements'!$A$5:$A$304,0)),"Code inconnu"))</f>
        <v/>
      </c>
      <c r="F2376" s="9">
        <f>IF(D2376="","",IFERROR(INDEX('Équipements'!$D$5:$D$304,MATCH(D2376,'Équipements'!$A$5:$A$304,0)),""))</f>
        <v/>
      </c>
      <c r="G2376" s="9">
        <f>IF(D2376="","",IFERROR(INDEX('Équipements'!$K$5:$K$304,MATCH(D2376,'Équipements'!$A$5:$A$304,0)),""))</f>
        <v/>
      </c>
      <c r="H2376" s="7" t="n"/>
      <c r="I2376" s="7" t="n"/>
      <c r="J2376" s="7" t="n"/>
      <c r="K2376" s="7" t="n"/>
      <c r="L2376" s="7" t="n"/>
      <c r="M2376" s="7" t="n"/>
      <c r="N2376" s="7" t="n"/>
      <c r="O2376" s="7" t="n"/>
      <c r="P2376" s="65" t="n"/>
      <c r="Q2376" s="75" t="n"/>
      <c r="R2376" s="75" t="n"/>
      <c r="S2376" s="76" t="n"/>
      <c r="T2376" s="76" t="n"/>
      <c r="U2376" s="70">
        <f>IF($A2376="","",IFERROR(INDEX('Techniciens'!$F$5:$F$44,MATCH(O2376,'Techniciens'!$B$5:$B$44,0)),'Paramètres'!$AA$10))</f>
        <v/>
      </c>
      <c r="V2376" s="70">
        <f>IF($A2376="","",IF(OR(AC2376="Demandé",AC2376="Planifié",AC2376="Annulé"),0,N(T2376)*N(U2376)))</f>
        <v/>
      </c>
      <c r="W2376" s="70">
        <f>IF($A2376="","",SUMIFS('Mouvements stock'!$H$5:$H$3004,'Mouvements stock'!$I$5:$I$3004,$A2376,'Mouvements stock'!$C$5:$C$3004,"Sortie")-SUMIFS('Mouvements stock'!$H$5:$H$3004,'Mouvements stock'!$I$5:$I$3004,$A2376,'Mouvements stock'!$C$5:$C$3004,"Retour"))</f>
        <v/>
      </c>
      <c r="X2376" s="66" t="n"/>
      <c r="Y2376" s="66" t="n"/>
      <c r="Z2376" s="7" t="n"/>
      <c r="AA2376" s="70">
        <f>IF($A2376="","",N(V2376)+N(W2376)+N(X2376)+N(Y2376))</f>
        <v/>
      </c>
      <c r="AB2376" s="70">
        <f>IF($A2376="","",N(S2376)*'Paramètres'!$AA$9*IFERROR(INDEX('Paramètres'!$O$5:$O$7,MATCH(G2376,'Paramètres'!$N$5:$N$7,0)),0))</f>
        <v/>
      </c>
      <c r="AC2376" s="7" t="n"/>
      <c r="AD2376" s="69">
        <f>IF(OR($A2376="",Q2376=""),"",(Q2376-B2376)*24)</f>
        <v/>
      </c>
      <c r="AE2376" s="69">
        <f>IF(OR(Q2376="",R2376=""),"",(R2376-Q2376)*24)</f>
        <v/>
      </c>
      <c r="AF2376" s="77">
        <f>IF(OR($A2376="",B2376=""),"",YEAR(B2376))</f>
        <v/>
      </c>
      <c r="AG2376" s="77">
        <f>IF(OR($A2376="",B2376=""),"",MONTH(B2376))</f>
        <v/>
      </c>
    </row>
    <row r="2377">
      <c r="A2377" s="7" t="n"/>
      <c r="B2377" s="75" t="n"/>
      <c r="C2377" s="7" t="n"/>
      <c r="D2377" s="7" t="n"/>
      <c r="E2377" s="9">
        <f>IF(D2377="","",IFERROR(INDEX('Équipements'!$B$5:$B$304,MATCH(D2377,'Équipements'!$A$5:$A$304,0)),"Code inconnu"))</f>
        <v/>
      </c>
      <c r="F2377" s="9">
        <f>IF(D2377="","",IFERROR(INDEX('Équipements'!$D$5:$D$304,MATCH(D2377,'Équipements'!$A$5:$A$304,0)),""))</f>
        <v/>
      </c>
      <c r="G2377" s="9">
        <f>IF(D2377="","",IFERROR(INDEX('Équipements'!$K$5:$K$304,MATCH(D2377,'Équipements'!$A$5:$A$304,0)),""))</f>
        <v/>
      </c>
      <c r="H2377" s="7" t="n"/>
      <c r="I2377" s="7" t="n"/>
      <c r="J2377" s="7" t="n"/>
      <c r="K2377" s="7" t="n"/>
      <c r="L2377" s="7" t="n"/>
      <c r="M2377" s="7" t="n"/>
      <c r="N2377" s="7" t="n"/>
      <c r="O2377" s="7" t="n"/>
      <c r="P2377" s="65" t="n"/>
      <c r="Q2377" s="75" t="n"/>
      <c r="R2377" s="75" t="n"/>
      <c r="S2377" s="76" t="n"/>
      <c r="T2377" s="76" t="n"/>
      <c r="U2377" s="70">
        <f>IF($A2377="","",IFERROR(INDEX('Techniciens'!$F$5:$F$44,MATCH(O2377,'Techniciens'!$B$5:$B$44,0)),'Paramètres'!$AA$10))</f>
        <v/>
      </c>
      <c r="V2377" s="70">
        <f>IF($A2377="","",IF(OR(AC2377="Demandé",AC2377="Planifié",AC2377="Annulé"),0,N(T2377)*N(U2377)))</f>
        <v/>
      </c>
      <c r="W2377" s="70">
        <f>IF($A2377="","",SUMIFS('Mouvements stock'!$H$5:$H$3004,'Mouvements stock'!$I$5:$I$3004,$A2377,'Mouvements stock'!$C$5:$C$3004,"Sortie")-SUMIFS('Mouvements stock'!$H$5:$H$3004,'Mouvements stock'!$I$5:$I$3004,$A2377,'Mouvements stock'!$C$5:$C$3004,"Retour"))</f>
        <v/>
      </c>
      <c r="X2377" s="66" t="n"/>
      <c r="Y2377" s="66" t="n"/>
      <c r="Z2377" s="7" t="n"/>
      <c r="AA2377" s="70">
        <f>IF($A2377="","",N(V2377)+N(W2377)+N(X2377)+N(Y2377))</f>
        <v/>
      </c>
      <c r="AB2377" s="70">
        <f>IF($A2377="","",N(S2377)*'Paramètres'!$AA$9*IFERROR(INDEX('Paramètres'!$O$5:$O$7,MATCH(G2377,'Paramètres'!$N$5:$N$7,0)),0))</f>
        <v/>
      </c>
      <c r="AC2377" s="7" t="n"/>
      <c r="AD2377" s="69">
        <f>IF(OR($A2377="",Q2377=""),"",(Q2377-B2377)*24)</f>
        <v/>
      </c>
      <c r="AE2377" s="69">
        <f>IF(OR(Q2377="",R2377=""),"",(R2377-Q2377)*24)</f>
        <v/>
      </c>
      <c r="AF2377" s="77">
        <f>IF(OR($A2377="",B2377=""),"",YEAR(B2377))</f>
        <v/>
      </c>
      <c r="AG2377" s="77">
        <f>IF(OR($A2377="",B2377=""),"",MONTH(B2377))</f>
        <v/>
      </c>
    </row>
    <row r="2378">
      <c r="A2378" s="7" t="n"/>
      <c r="B2378" s="75" t="n"/>
      <c r="C2378" s="7" t="n"/>
      <c r="D2378" s="7" t="n"/>
      <c r="E2378" s="9">
        <f>IF(D2378="","",IFERROR(INDEX('Équipements'!$B$5:$B$304,MATCH(D2378,'Équipements'!$A$5:$A$304,0)),"Code inconnu"))</f>
        <v/>
      </c>
      <c r="F2378" s="9">
        <f>IF(D2378="","",IFERROR(INDEX('Équipements'!$D$5:$D$304,MATCH(D2378,'Équipements'!$A$5:$A$304,0)),""))</f>
        <v/>
      </c>
      <c r="G2378" s="9">
        <f>IF(D2378="","",IFERROR(INDEX('Équipements'!$K$5:$K$304,MATCH(D2378,'Équipements'!$A$5:$A$304,0)),""))</f>
        <v/>
      </c>
      <c r="H2378" s="7" t="n"/>
      <c r="I2378" s="7" t="n"/>
      <c r="J2378" s="7" t="n"/>
      <c r="K2378" s="7" t="n"/>
      <c r="L2378" s="7" t="n"/>
      <c r="M2378" s="7" t="n"/>
      <c r="N2378" s="7" t="n"/>
      <c r="O2378" s="7" t="n"/>
      <c r="P2378" s="65" t="n"/>
      <c r="Q2378" s="75" t="n"/>
      <c r="R2378" s="75" t="n"/>
      <c r="S2378" s="76" t="n"/>
      <c r="T2378" s="76" t="n"/>
      <c r="U2378" s="70">
        <f>IF($A2378="","",IFERROR(INDEX('Techniciens'!$F$5:$F$44,MATCH(O2378,'Techniciens'!$B$5:$B$44,0)),'Paramètres'!$AA$10))</f>
        <v/>
      </c>
      <c r="V2378" s="70">
        <f>IF($A2378="","",IF(OR(AC2378="Demandé",AC2378="Planifié",AC2378="Annulé"),0,N(T2378)*N(U2378)))</f>
        <v/>
      </c>
      <c r="W2378" s="70">
        <f>IF($A2378="","",SUMIFS('Mouvements stock'!$H$5:$H$3004,'Mouvements stock'!$I$5:$I$3004,$A2378,'Mouvements stock'!$C$5:$C$3004,"Sortie")-SUMIFS('Mouvements stock'!$H$5:$H$3004,'Mouvements stock'!$I$5:$I$3004,$A2378,'Mouvements stock'!$C$5:$C$3004,"Retour"))</f>
        <v/>
      </c>
      <c r="X2378" s="66" t="n"/>
      <c r="Y2378" s="66" t="n"/>
      <c r="Z2378" s="7" t="n"/>
      <c r="AA2378" s="70">
        <f>IF($A2378="","",N(V2378)+N(W2378)+N(X2378)+N(Y2378))</f>
        <v/>
      </c>
      <c r="AB2378" s="70">
        <f>IF($A2378="","",N(S2378)*'Paramètres'!$AA$9*IFERROR(INDEX('Paramètres'!$O$5:$O$7,MATCH(G2378,'Paramètres'!$N$5:$N$7,0)),0))</f>
        <v/>
      </c>
      <c r="AC2378" s="7" t="n"/>
      <c r="AD2378" s="69">
        <f>IF(OR($A2378="",Q2378=""),"",(Q2378-B2378)*24)</f>
        <v/>
      </c>
      <c r="AE2378" s="69">
        <f>IF(OR(Q2378="",R2378=""),"",(R2378-Q2378)*24)</f>
        <v/>
      </c>
      <c r="AF2378" s="77">
        <f>IF(OR($A2378="",B2378=""),"",YEAR(B2378))</f>
        <v/>
      </c>
      <c r="AG2378" s="77">
        <f>IF(OR($A2378="",B2378=""),"",MONTH(B2378))</f>
        <v/>
      </c>
    </row>
    <row r="2379">
      <c r="A2379" s="7" t="n"/>
      <c r="B2379" s="75" t="n"/>
      <c r="C2379" s="7" t="n"/>
      <c r="D2379" s="7" t="n"/>
      <c r="E2379" s="9">
        <f>IF(D2379="","",IFERROR(INDEX('Équipements'!$B$5:$B$304,MATCH(D2379,'Équipements'!$A$5:$A$304,0)),"Code inconnu"))</f>
        <v/>
      </c>
      <c r="F2379" s="9">
        <f>IF(D2379="","",IFERROR(INDEX('Équipements'!$D$5:$D$304,MATCH(D2379,'Équipements'!$A$5:$A$304,0)),""))</f>
        <v/>
      </c>
      <c r="G2379" s="9">
        <f>IF(D2379="","",IFERROR(INDEX('Équipements'!$K$5:$K$304,MATCH(D2379,'Équipements'!$A$5:$A$304,0)),""))</f>
        <v/>
      </c>
      <c r="H2379" s="7" t="n"/>
      <c r="I2379" s="7" t="n"/>
      <c r="J2379" s="7" t="n"/>
      <c r="K2379" s="7" t="n"/>
      <c r="L2379" s="7" t="n"/>
      <c r="M2379" s="7" t="n"/>
      <c r="N2379" s="7" t="n"/>
      <c r="O2379" s="7" t="n"/>
      <c r="P2379" s="65" t="n"/>
      <c r="Q2379" s="75" t="n"/>
      <c r="R2379" s="75" t="n"/>
      <c r="S2379" s="76" t="n"/>
      <c r="T2379" s="76" t="n"/>
      <c r="U2379" s="70">
        <f>IF($A2379="","",IFERROR(INDEX('Techniciens'!$F$5:$F$44,MATCH(O2379,'Techniciens'!$B$5:$B$44,0)),'Paramètres'!$AA$10))</f>
        <v/>
      </c>
      <c r="V2379" s="70">
        <f>IF($A2379="","",IF(OR(AC2379="Demandé",AC2379="Planifié",AC2379="Annulé"),0,N(T2379)*N(U2379)))</f>
        <v/>
      </c>
      <c r="W2379" s="70">
        <f>IF($A2379="","",SUMIFS('Mouvements stock'!$H$5:$H$3004,'Mouvements stock'!$I$5:$I$3004,$A2379,'Mouvements stock'!$C$5:$C$3004,"Sortie")-SUMIFS('Mouvements stock'!$H$5:$H$3004,'Mouvements stock'!$I$5:$I$3004,$A2379,'Mouvements stock'!$C$5:$C$3004,"Retour"))</f>
        <v/>
      </c>
      <c r="X2379" s="66" t="n"/>
      <c r="Y2379" s="66" t="n"/>
      <c r="Z2379" s="7" t="n"/>
      <c r="AA2379" s="70">
        <f>IF($A2379="","",N(V2379)+N(W2379)+N(X2379)+N(Y2379))</f>
        <v/>
      </c>
      <c r="AB2379" s="70">
        <f>IF($A2379="","",N(S2379)*'Paramètres'!$AA$9*IFERROR(INDEX('Paramètres'!$O$5:$O$7,MATCH(G2379,'Paramètres'!$N$5:$N$7,0)),0))</f>
        <v/>
      </c>
      <c r="AC2379" s="7" t="n"/>
      <c r="AD2379" s="69">
        <f>IF(OR($A2379="",Q2379=""),"",(Q2379-B2379)*24)</f>
        <v/>
      </c>
      <c r="AE2379" s="69">
        <f>IF(OR(Q2379="",R2379=""),"",(R2379-Q2379)*24)</f>
        <v/>
      </c>
      <c r="AF2379" s="77">
        <f>IF(OR($A2379="",B2379=""),"",YEAR(B2379))</f>
        <v/>
      </c>
      <c r="AG2379" s="77">
        <f>IF(OR($A2379="",B2379=""),"",MONTH(B2379))</f>
        <v/>
      </c>
    </row>
    <row r="2380">
      <c r="A2380" s="7" t="n"/>
      <c r="B2380" s="75" t="n"/>
      <c r="C2380" s="7" t="n"/>
      <c r="D2380" s="7" t="n"/>
      <c r="E2380" s="9">
        <f>IF(D2380="","",IFERROR(INDEX('Équipements'!$B$5:$B$304,MATCH(D2380,'Équipements'!$A$5:$A$304,0)),"Code inconnu"))</f>
        <v/>
      </c>
      <c r="F2380" s="9">
        <f>IF(D2380="","",IFERROR(INDEX('Équipements'!$D$5:$D$304,MATCH(D2380,'Équipements'!$A$5:$A$304,0)),""))</f>
        <v/>
      </c>
      <c r="G2380" s="9">
        <f>IF(D2380="","",IFERROR(INDEX('Équipements'!$K$5:$K$304,MATCH(D2380,'Équipements'!$A$5:$A$304,0)),""))</f>
        <v/>
      </c>
      <c r="H2380" s="7" t="n"/>
      <c r="I2380" s="7" t="n"/>
      <c r="J2380" s="7" t="n"/>
      <c r="K2380" s="7" t="n"/>
      <c r="L2380" s="7" t="n"/>
      <c r="M2380" s="7" t="n"/>
      <c r="N2380" s="7" t="n"/>
      <c r="O2380" s="7" t="n"/>
      <c r="P2380" s="65" t="n"/>
      <c r="Q2380" s="75" t="n"/>
      <c r="R2380" s="75" t="n"/>
      <c r="S2380" s="76" t="n"/>
      <c r="T2380" s="76" t="n"/>
      <c r="U2380" s="70">
        <f>IF($A2380="","",IFERROR(INDEX('Techniciens'!$F$5:$F$44,MATCH(O2380,'Techniciens'!$B$5:$B$44,0)),'Paramètres'!$AA$10))</f>
        <v/>
      </c>
      <c r="V2380" s="70">
        <f>IF($A2380="","",IF(OR(AC2380="Demandé",AC2380="Planifié",AC2380="Annulé"),0,N(T2380)*N(U2380)))</f>
        <v/>
      </c>
      <c r="W2380" s="70">
        <f>IF($A2380="","",SUMIFS('Mouvements stock'!$H$5:$H$3004,'Mouvements stock'!$I$5:$I$3004,$A2380,'Mouvements stock'!$C$5:$C$3004,"Sortie")-SUMIFS('Mouvements stock'!$H$5:$H$3004,'Mouvements stock'!$I$5:$I$3004,$A2380,'Mouvements stock'!$C$5:$C$3004,"Retour"))</f>
        <v/>
      </c>
      <c r="X2380" s="66" t="n"/>
      <c r="Y2380" s="66" t="n"/>
      <c r="Z2380" s="7" t="n"/>
      <c r="AA2380" s="70">
        <f>IF($A2380="","",N(V2380)+N(W2380)+N(X2380)+N(Y2380))</f>
        <v/>
      </c>
      <c r="AB2380" s="70">
        <f>IF($A2380="","",N(S2380)*'Paramètres'!$AA$9*IFERROR(INDEX('Paramètres'!$O$5:$O$7,MATCH(G2380,'Paramètres'!$N$5:$N$7,0)),0))</f>
        <v/>
      </c>
      <c r="AC2380" s="7" t="n"/>
      <c r="AD2380" s="69">
        <f>IF(OR($A2380="",Q2380=""),"",(Q2380-B2380)*24)</f>
        <v/>
      </c>
      <c r="AE2380" s="69">
        <f>IF(OR(Q2380="",R2380=""),"",(R2380-Q2380)*24)</f>
        <v/>
      </c>
      <c r="AF2380" s="77">
        <f>IF(OR($A2380="",B2380=""),"",YEAR(B2380))</f>
        <v/>
      </c>
      <c r="AG2380" s="77">
        <f>IF(OR($A2380="",B2380=""),"",MONTH(B2380))</f>
        <v/>
      </c>
    </row>
    <row r="2381">
      <c r="A2381" s="7" t="n"/>
      <c r="B2381" s="75" t="n"/>
      <c r="C2381" s="7" t="n"/>
      <c r="D2381" s="7" t="n"/>
      <c r="E2381" s="9">
        <f>IF(D2381="","",IFERROR(INDEX('Équipements'!$B$5:$B$304,MATCH(D2381,'Équipements'!$A$5:$A$304,0)),"Code inconnu"))</f>
        <v/>
      </c>
      <c r="F2381" s="9">
        <f>IF(D2381="","",IFERROR(INDEX('Équipements'!$D$5:$D$304,MATCH(D2381,'Équipements'!$A$5:$A$304,0)),""))</f>
        <v/>
      </c>
      <c r="G2381" s="9">
        <f>IF(D2381="","",IFERROR(INDEX('Équipements'!$K$5:$K$304,MATCH(D2381,'Équipements'!$A$5:$A$304,0)),""))</f>
        <v/>
      </c>
      <c r="H2381" s="7" t="n"/>
      <c r="I2381" s="7" t="n"/>
      <c r="J2381" s="7" t="n"/>
      <c r="K2381" s="7" t="n"/>
      <c r="L2381" s="7" t="n"/>
      <c r="M2381" s="7" t="n"/>
      <c r="N2381" s="7" t="n"/>
      <c r="O2381" s="7" t="n"/>
      <c r="P2381" s="65" t="n"/>
      <c r="Q2381" s="75" t="n"/>
      <c r="R2381" s="75" t="n"/>
      <c r="S2381" s="76" t="n"/>
      <c r="T2381" s="76" t="n"/>
      <c r="U2381" s="70">
        <f>IF($A2381="","",IFERROR(INDEX('Techniciens'!$F$5:$F$44,MATCH(O2381,'Techniciens'!$B$5:$B$44,0)),'Paramètres'!$AA$10))</f>
        <v/>
      </c>
      <c r="V2381" s="70">
        <f>IF($A2381="","",IF(OR(AC2381="Demandé",AC2381="Planifié",AC2381="Annulé"),0,N(T2381)*N(U2381)))</f>
        <v/>
      </c>
      <c r="W2381" s="70">
        <f>IF($A2381="","",SUMIFS('Mouvements stock'!$H$5:$H$3004,'Mouvements stock'!$I$5:$I$3004,$A2381,'Mouvements stock'!$C$5:$C$3004,"Sortie")-SUMIFS('Mouvements stock'!$H$5:$H$3004,'Mouvements stock'!$I$5:$I$3004,$A2381,'Mouvements stock'!$C$5:$C$3004,"Retour"))</f>
        <v/>
      </c>
      <c r="X2381" s="66" t="n"/>
      <c r="Y2381" s="66" t="n"/>
      <c r="Z2381" s="7" t="n"/>
      <c r="AA2381" s="70">
        <f>IF($A2381="","",N(V2381)+N(W2381)+N(X2381)+N(Y2381))</f>
        <v/>
      </c>
      <c r="AB2381" s="70">
        <f>IF($A2381="","",N(S2381)*'Paramètres'!$AA$9*IFERROR(INDEX('Paramètres'!$O$5:$O$7,MATCH(G2381,'Paramètres'!$N$5:$N$7,0)),0))</f>
        <v/>
      </c>
      <c r="AC2381" s="7" t="n"/>
      <c r="AD2381" s="69">
        <f>IF(OR($A2381="",Q2381=""),"",(Q2381-B2381)*24)</f>
        <v/>
      </c>
      <c r="AE2381" s="69">
        <f>IF(OR(Q2381="",R2381=""),"",(R2381-Q2381)*24)</f>
        <v/>
      </c>
      <c r="AF2381" s="77">
        <f>IF(OR($A2381="",B2381=""),"",YEAR(B2381))</f>
        <v/>
      </c>
      <c r="AG2381" s="77">
        <f>IF(OR($A2381="",B2381=""),"",MONTH(B2381))</f>
        <v/>
      </c>
    </row>
    <row r="2382">
      <c r="A2382" s="7" t="n"/>
      <c r="B2382" s="75" t="n"/>
      <c r="C2382" s="7" t="n"/>
      <c r="D2382" s="7" t="n"/>
      <c r="E2382" s="9">
        <f>IF(D2382="","",IFERROR(INDEX('Équipements'!$B$5:$B$304,MATCH(D2382,'Équipements'!$A$5:$A$304,0)),"Code inconnu"))</f>
        <v/>
      </c>
      <c r="F2382" s="9">
        <f>IF(D2382="","",IFERROR(INDEX('Équipements'!$D$5:$D$304,MATCH(D2382,'Équipements'!$A$5:$A$304,0)),""))</f>
        <v/>
      </c>
      <c r="G2382" s="9">
        <f>IF(D2382="","",IFERROR(INDEX('Équipements'!$K$5:$K$304,MATCH(D2382,'Équipements'!$A$5:$A$304,0)),""))</f>
        <v/>
      </c>
      <c r="H2382" s="7" t="n"/>
      <c r="I2382" s="7" t="n"/>
      <c r="J2382" s="7" t="n"/>
      <c r="K2382" s="7" t="n"/>
      <c r="L2382" s="7" t="n"/>
      <c r="M2382" s="7" t="n"/>
      <c r="N2382" s="7" t="n"/>
      <c r="O2382" s="7" t="n"/>
      <c r="P2382" s="65" t="n"/>
      <c r="Q2382" s="75" t="n"/>
      <c r="R2382" s="75" t="n"/>
      <c r="S2382" s="76" t="n"/>
      <c r="T2382" s="76" t="n"/>
      <c r="U2382" s="70">
        <f>IF($A2382="","",IFERROR(INDEX('Techniciens'!$F$5:$F$44,MATCH(O2382,'Techniciens'!$B$5:$B$44,0)),'Paramètres'!$AA$10))</f>
        <v/>
      </c>
      <c r="V2382" s="70">
        <f>IF($A2382="","",IF(OR(AC2382="Demandé",AC2382="Planifié",AC2382="Annulé"),0,N(T2382)*N(U2382)))</f>
        <v/>
      </c>
      <c r="W2382" s="70">
        <f>IF($A2382="","",SUMIFS('Mouvements stock'!$H$5:$H$3004,'Mouvements stock'!$I$5:$I$3004,$A2382,'Mouvements stock'!$C$5:$C$3004,"Sortie")-SUMIFS('Mouvements stock'!$H$5:$H$3004,'Mouvements stock'!$I$5:$I$3004,$A2382,'Mouvements stock'!$C$5:$C$3004,"Retour"))</f>
        <v/>
      </c>
      <c r="X2382" s="66" t="n"/>
      <c r="Y2382" s="66" t="n"/>
      <c r="Z2382" s="7" t="n"/>
      <c r="AA2382" s="70">
        <f>IF($A2382="","",N(V2382)+N(W2382)+N(X2382)+N(Y2382))</f>
        <v/>
      </c>
      <c r="AB2382" s="70">
        <f>IF($A2382="","",N(S2382)*'Paramètres'!$AA$9*IFERROR(INDEX('Paramètres'!$O$5:$O$7,MATCH(G2382,'Paramètres'!$N$5:$N$7,0)),0))</f>
        <v/>
      </c>
      <c r="AC2382" s="7" t="n"/>
      <c r="AD2382" s="69">
        <f>IF(OR($A2382="",Q2382=""),"",(Q2382-B2382)*24)</f>
        <v/>
      </c>
      <c r="AE2382" s="69">
        <f>IF(OR(Q2382="",R2382=""),"",(R2382-Q2382)*24)</f>
        <v/>
      </c>
      <c r="AF2382" s="77">
        <f>IF(OR($A2382="",B2382=""),"",YEAR(B2382))</f>
        <v/>
      </c>
      <c r="AG2382" s="77">
        <f>IF(OR($A2382="",B2382=""),"",MONTH(B2382))</f>
        <v/>
      </c>
    </row>
    <row r="2383">
      <c r="A2383" s="7" t="n"/>
      <c r="B2383" s="75" t="n"/>
      <c r="C2383" s="7" t="n"/>
      <c r="D2383" s="7" t="n"/>
      <c r="E2383" s="9">
        <f>IF(D2383="","",IFERROR(INDEX('Équipements'!$B$5:$B$304,MATCH(D2383,'Équipements'!$A$5:$A$304,0)),"Code inconnu"))</f>
        <v/>
      </c>
      <c r="F2383" s="9">
        <f>IF(D2383="","",IFERROR(INDEX('Équipements'!$D$5:$D$304,MATCH(D2383,'Équipements'!$A$5:$A$304,0)),""))</f>
        <v/>
      </c>
      <c r="G2383" s="9">
        <f>IF(D2383="","",IFERROR(INDEX('Équipements'!$K$5:$K$304,MATCH(D2383,'Équipements'!$A$5:$A$304,0)),""))</f>
        <v/>
      </c>
      <c r="H2383" s="7" t="n"/>
      <c r="I2383" s="7" t="n"/>
      <c r="J2383" s="7" t="n"/>
      <c r="K2383" s="7" t="n"/>
      <c r="L2383" s="7" t="n"/>
      <c r="M2383" s="7" t="n"/>
      <c r="N2383" s="7" t="n"/>
      <c r="O2383" s="7" t="n"/>
      <c r="P2383" s="65" t="n"/>
      <c r="Q2383" s="75" t="n"/>
      <c r="R2383" s="75" t="n"/>
      <c r="S2383" s="76" t="n"/>
      <c r="T2383" s="76" t="n"/>
      <c r="U2383" s="70">
        <f>IF($A2383="","",IFERROR(INDEX('Techniciens'!$F$5:$F$44,MATCH(O2383,'Techniciens'!$B$5:$B$44,0)),'Paramètres'!$AA$10))</f>
        <v/>
      </c>
      <c r="V2383" s="70">
        <f>IF($A2383="","",IF(OR(AC2383="Demandé",AC2383="Planifié",AC2383="Annulé"),0,N(T2383)*N(U2383)))</f>
        <v/>
      </c>
      <c r="W2383" s="70">
        <f>IF($A2383="","",SUMIFS('Mouvements stock'!$H$5:$H$3004,'Mouvements stock'!$I$5:$I$3004,$A2383,'Mouvements stock'!$C$5:$C$3004,"Sortie")-SUMIFS('Mouvements stock'!$H$5:$H$3004,'Mouvements stock'!$I$5:$I$3004,$A2383,'Mouvements stock'!$C$5:$C$3004,"Retour"))</f>
        <v/>
      </c>
      <c r="X2383" s="66" t="n"/>
      <c r="Y2383" s="66" t="n"/>
      <c r="Z2383" s="7" t="n"/>
      <c r="AA2383" s="70">
        <f>IF($A2383="","",N(V2383)+N(W2383)+N(X2383)+N(Y2383))</f>
        <v/>
      </c>
      <c r="AB2383" s="70">
        <f>IF($A2383="","",N(S2383)*'Paramètres'!$AA$9*IFERROR(INDEX('Paramètres'!$O$5:$O$7,MATCH(G2383,'Paramètres'!$N$5:$N$7,0)),0))</f>
        <v/>
      </c>
      <c r="AC2383" s="7" t="n"/>
      <c r="AD2383" s="69">
        <f>IF(OR($A2383="",Q2383=""),"",(Q2383-B2383)*24)</f>
        <v/>
      </c>
      <c r="AE2383" s="69">
        <f>IF(OR(Q2383="",R2383=""),"",(R2383-Q2383)*24)</f>
        <v/>
      </c>
      <c r="AF2383" s="77">
        <f>IF(OR($A2383="",B2383=""),"",YEAR(B2383))</f>
        <v/>
      </c>
      <c r="AG2383" s="77">
        <f>IF(OR($A2383="",B2383=""),"",MONTH(B2383))</f>
        <v/>
      </c>
    </row>
    <row r="2384">
      <c r="A2384" s="7" t="n"/>
      <c r="B2384" s="75" t="n"/>
      <c r="C2384" s="7" t="n"/>
      <c r="D2384" s="7" t="n"/>
      <c r="E2384" s="9">
        <f>IF(D2384="","",IFERROR(INDEX('Équipements'!$B$5:$B$304,MATCH(D2384,'Équipements'!$A$5:$A$304,0)),"Code inconnu"))</f>
        <v/>
      </c>
      <c r="F2384" s="9">
        <f>IF(D2384="","",IFERROR(INDEX('Équipements'!$D$5:$D$304,MATCH(D2384,'Équipements'!$A$5:$A$304,0)),""))</f>
        <v/>
      </c>
      <c r="G2384" s="9">
        <f>IF(D2384="","",IFERROR(INDEX('Équipements'!$K$5:$K$304,MATCH(D2384,'Équipements'!$A$5:$A$304,0)),""))</f>
        <v/>
      </c>
      <c r="H2384" s="7" t="n"/>
      <c r="I2384" s="7" t="n"/>
      <c r="J2384" s="7" t="n"/>
      <c r="K2384" s="7" t="n"/>
      <c r="L2384" s="7" t="n"/>
      <c r="M2384" s="7" t="n"/>
      <c r="N2384" s="7" t="n"/>
      <c r="O2384" s="7" t="n"/>
      <c r="P2384" s="65" t="n"/>
      <c r="Q2384" s="75" t="n"/>
      <c r="R2384" s="75" t="n"/>
      <c r="S2384" s="76" t="n"/>
      <c r="T2384" s="76" t="n"/>
      <c r="U2384" s="70">
        <f>IF($A2384="","",IFERROR(INDEX('Techniciens'!$F$5:$F$44,MATCH(O2384,'Techniciens'!$B$5:$B$44,0)),'Paramètres'!$AA$10))</f>
        <v/>
      </c>
      <c r="V2384" s="70">
        <f>IF($A2384="","",IF(OR(AC2384="Demandé",AC2384="Planifié",AC2384="Annulé"),0,N(T2384)*N(U2384)))</f>
        <v/>
      </c>
      <c r="W2384" s="70">
        <f>IF($A2384="","",SUMIFS('Mouvements stock'!$H$5:$H$3004,'Mouvements stock'!$I$5:$I$3004,$A2384,'Mouvements stock'!$C$5:$C$3004,"Sortie")-SUMIFS('Mouvements stock'!$H$5:$H$3004,'Mouvements stock'!$I$5:$I$3004,$A2384,'Mouvements stock'!$C$5:$C$3004,"Retour"))</f>
        <v/>
      </c>
      <c r="X2384" s="66" t="n"/>
      <c r="Y2384" s="66" t="n"/>
      <c r="Z2384" s="7" t="n"/>
      <c r="AA2384" s="70">
        <f>IF($A2384="","",N(V2384)+N(W2384)+N(X2384)+N(Y2384))</f>
        <v/>
      </c>
      <c r="AB2384" s="70">
        <f>IF($A2384="","",N(S2384)*'Paramètres'!$AA$9*IFERROR(INDEX('Paramètres'!$O$5:$O$7,MATCH(G2384,'Paramètres'!$N$5:$N$7,0)),0))</f>
        <v/>
      </c>
      <c r="AC2384" s="7" t="n"/>
      <c r="AD2384" s="69">
        <f>IF(OR($A2384="",Q2384=""),"",(Q2384-B2384)*24)</f>
        <v/>
      </c>
      <c r="AE2384" s="69">
        <f>IF(OR(Q2384="",R2384=""),"",(R2384-Q2384)*24)</f>
        <v/>
      </c>
      <c r="AF2384" s="77">
        <f>IF(OR($A2384="",B2384=""),"",YEAR(B2384))</f>
        <v/>
      </c>
      <c r="AG2384" s="77">
        <f>IF(OR($A2384="",B2384=""),"",MONTH(B2384))</f>
        <v/>
      </c>
    </row>
    <row r="2385">
      <c r="A2385" s="7" t="n"/>
      <c r="B2385" s="75" t="n"/>
      <c r="C2385" s="7" t="n"/>
      <c r="D2385" s="7" t="n"/>
      <c r="E2385" s="9">
        <f>IF(D2385="","",IFERROR(INDEX('Équipements'!$B$5:$B$304,MATCH(D2385,'Équipements'!$A$5:$A$304,0)),"Code inconnu"))</f>
        <v/>
      </c>
      <c r="F2385" s="9">
        <f>IF(D2385="","",IFERROR(INDEX('Équipements'!$D$5:$D$304,MATCH(D2385,'Équipements'!$A$5:$A$304,0)),""))</f>
        <v/>
      </c>
      <c r="G2385" s="9">
        <f>IF(D2385="","",IFERROR(INDEX('Équipements'!$K$5:$K$304,MATCH(D2385,'Équipements'!$A$5:$A$304,0)),""))</f>
        <v/>
      </c>
      <c r="H2385" s="7" t="n"/>
      <c r="I2385" s="7" t="n"/>
      <c r="J2385" s="7" t="n"/>
      <c r="K2385" s="7" t="n"/>
      <c r="L2385" s="7" t="n"/>
      <c r="M2385" s="7" t="n"/>
      <c r="N2385" s="7" t="n"/>
      <c r="O2385" s="7" t="n"/>
      <c r="P2385" s="65" t="n"/>
      <c r="Q2385" s="75" t="n"/>
      <c r="R2385" s="75" t="n"/>
      <c r="S2385" s="76" t="n"/>
      <c r="T2385" s="76" t="n"/>
      <c r="U2385" s="70">
        <f>IF($A2385="","",IFERROR(INDEX('Techniciens'!$F$5:$F$44,MATCH(O2385,'Techniciens'!$B$5:$B$44,0)),'Paramètres'!$AA$10))</f>
        <v/>
      </c>
      <c r="V2385" s="70">
        <f>IF($A2385="","",IF(OR(AC2385="Demandé",AC2385="Planifié",AC2385="Annulé"),0,N(T2385)*N(U2385)))</f>
        <v/>
      </c>
      <c r="W2385" s="70">
        <f>IF($A2385="","",SUMIFS('Mouvements stock'!$H$5:$H$3004,'Mouvements stock'!$I$5:$I$3004,$A2385,'Mouvements stock'!$C$5:$C$3004,"Sortie")-SUMIFS('Mouvements stock'!$H$5:$H$3004,'Mouvements stock'!$I$5:$I$3004,$A2385,'Mouvements stock'!$C$5:$C$3004,"Retour"))</f>
        <v/>
      </c>
      <c r="X2385" s="66" t="n"/>
      <c r="Y2385" s="66" t="n"/>
      <c r="Z2385" s="7" t="n"/>
      <c r="AA2385" s="70">
        <f>IF($A2385="","",N(V2385)+N(W2385)+N(X2385)+N(Y2385))</f>
        <v/>
      </c>
      <c r="AB2385" s="70">
        <f>IF($A2385="","",N(S2385)*'Paramètres'!$AA$9*IFERROR(INDEX('Paramètres'!$O$5:$O$7,MATCH(G2385,'Paramètres'!$N$5:$N$7,0)),0))</f>
        <v/>
      </c>
      <c r="AC2385" s="7" t="n"/>
      <c r="AD2385" s="69">
        <f>IF(OR($A2385="",Q2385=""),"",(Q2385-B2385)*24)</f>
        <v/>
      </c>
      <c r="AE2385" s="69">
        <f>IF(OR(Q2385="",R2385=""),"",(R2385-Q2385)*24)</f>
        <v/>
      </c>
      <c r="AF2385" s="77">
        <f>IF(OR($A2385="",B2385=""),"",YEAR(B2385))</f>
        <v/>
      </c>
      <c r="AG2385" s="77">
        <f>IF(OR($A2385="",B2385=""),"",MONTH(B2385))</f>
        <v/>
      </c>
    </row>
    <row r="2386">
      <c r="A2386" s="7" t="n"/>
      <c r="B2386" s="75" t="n"/>
      <c r="C2386" s="7" t="n"/>
      <c r="D2386" s="7" t="n"/>
      <c r="E2386" s="9">
        <f>IF(D2386="","",IFERROR(INDEX('Équipements'!$B$5:$B$304,MATCH(D2386,'Équipements'!$A$5:$A$304,0)),"Code inconnu"))</f>
        <v/>
      </c>
      <c r="F2386" s="9">
        <f>IF(D2386="","",IFERROR(INDEX('Équipements'!$D$5:$D$304,MATCH(D2386,'Équipements'!$A$5:$A$304,0)),""))</f>
        <v/>
      </c>
      <c r="G2386" s="9">
        <f>IF(D2386="","",IFERROR(INDEX('Équipements'!$K$5:$K$304,MATCH(D2386,'Équipements'!$A$5:$A$304,0)),""))</f>
        <v/>
      </c>
      <c r="H2386" s="7" t="n"/>
      <c r="I2386" s="7" t="n"/>
      <c r="J2386" s="7" t="n"/>
      <c r="K2386" s="7" t="n"/>
      <c r="L2386" s="7" t="n"/>
      <c r="M2386" s="7" t="n"/>
      <c r="N2386" s="7" t="n"/>
      <c r="O2386" s="7" t="n"/>
      <c r="P2386" s="65" t="n"/>
      <c r="Q2386" s="75" t="n"/>
      <c r="R2386" s="75" t="n"/>
      <c r="S2386" s="76" t="n"/>
      <c r="T2386" s="76" t="n"/>
      <c r="U2386" s="70">
        <f>IF($A2386="","",IFERROR(INDEX('Techniciens'!$F$5:$F$44,MATCH(O2386,'Techniciens'!$B$5:$B$44,0)),'Paramètres'!$AA$10))</f>
        <v/>
      </c>
      <c r="V2386" s="70">
        <f>IF($A2386="","",IF(OR(AC2386="Demandé",AC2386="Planifié",AC2386="Annulé"),0,N(T2386)*N(U2386)))</f>
        <v/>
      </c>
      <c r="W2386" s="70">
        <f>IF($A2386="","",SUMIFS('Mouvements stock'!$H$5:$H$3004,'Mouvements stock'!$I$5:$I$3004,$A2386,'Mouvements stock'!$C$5:$C$3004,"Sortie")-SUMIFS('Mouvements stock'!$H$5:$H$3004,'Mouvements stock'!$I$5:$I$3004,$A2386,'Mouvements stock'!$C$5:$C$3004,"Retour"))</f>
        <v/>
      </c>
      <c r="X2386" s="66" t="n"/>
      <c r="Y2386" s="66" t="n"/>
      <c r="Z2386" s="7" t="n"/>
      <c r="AA2386" s="70">
        <f>IF($A2386="","",N(V2386)+N(W2386)+N(X2386)+N(Y2386))</f>
        <v/>
      </c>
      <c r="AB2386" s="70">
        <f>IF($A2386="","",N(S2386)*'Paramètres'!$AA$9*IFERROR(INDEX('Paramètres'!$O$5:$O$7,MATCH(G2386,'Paramètres'!$N$5:$N$7,0)),0))</f>
        <v/>
      </c>
      <c r="AC2386" s="7" t="n"/>
      <c r="AD2386" s="69">
        <f>IF(OR($A2386="",Q2386=""),"",(Q2386-B2386)*24)</f>
        <v/>
      </c>
      <c r="AE2386" s="69">
        <f>IF(OR(Q2386="",R2386=""),"",(R2386-Q2386)*24)</f>
        <v/>
      </c>
      <c r="AF2386" s="77">
        <f>IF(OR($A2386="",B2386=""),"",YEAR(B2386))</f>
        <v/>
      </c>
      <c r="AG2386" s="77">
        <f>IF(OR($A2386="",B2386=""),"",MONTH(B2386))</f>
        <v/>
      </c>
    </row>
    <row r="2387">
      <c r="A2387" s="7" t="n"/>
      <c r="B2387" s="75" t="n"/>
      <c r="C2387" s="7" t="n"/>
      <c r="D2387" s="7" t="n"/>
      <c r="E2387" s="9">
        <f>IF(D2387="","",IFERROR(INDEX('Équipements'!$B$5:$B$304,MATCH(D2387,'Équipements'!$A$5:$A$304,0)),"Code inconnu"))</f>
        <v/>
      </c>
      <c r="F2387" s="9">
        <f>IF(D2387="","",IFERROR(INDEX('Équipements'!$D$5:$D$304,MATCH(D2387,'Équipements'!$A$5:$A$304,0)),""))</f>
        <v/>
      </c>
      <c r="G2387" s="9">
        <f>IF(D2387="","",IFERROR(INDEX('Équipements'!$K$5:$K$304,MATCH(D2387,'Équipements'!$A$5:$A$304,0)),""))</f>
        <v/>
      </c>
      <c r="H2387" s="7" t="n"/>
      <c r="I2387" s="7" t="n"/>
      <c r="J2387" s="7" t="n"/>
      <c r="K2387" s="7" t="n"/>
      <c r="L2387" s="7" t="n"/>
      <c r="M2387" s="7" t="n"/>
      <c r="N2387" s="7" t="n"/>
      <c r="O2387" s="7" t="n"/>
      <c r="P2387" s="65" t="n"/>
      <c r="Q2387" s="75" t="n"/>
      <c r="R2387" s="75" t="n"/>
      <c r="S2387" s="76" t="n"/>
      <c r="T2387" s="76" t="n"/>
      <c r="U2387" s="70">
        <f>IF($A2387="","",IFERROR(INDEX('Techniciens'!$F$5:$F$44,MATCH(O2387,'Techniciens'!$B$5:$B$44,0)),'Paramètres'!$AA$10))</f>
        <v/>
      </c>
      <c r="V2387" s="70">
        <f>IF($A2387="","",IF(OR(AC2387="Demandé",AC2387="Planifié",AC2387="Annulé"),0,N(T2387)*N(U2387)))</f>
        <v/>
      </c>
      <c r="W2387" s="70">
        <f>IF($A2387="","",SUMIFS('Mouvements stock'!$H$5:$H$3004,'Mouvements stock'!$I$5:$I$3004,$A2387,'Mouvements stock'!$C$5:$C$3004,"Sortie")-SUMIFS('Mouvements stock'!$H$5:$H$3004,'Mouvements stock'!$I$5:$I$3004,$A2387,'Mouvements stock'!$C$5:$C$3004,"Retour"))</f>
        <v/>
      </c>
      <c r="X2387" s="66" t="n"/>
      <c r="Y2387" s="66" t="n"/>
      <c r="Z2387" s="7" t="n"/>
      <c r="AA2387" s="70">
        <f>IF($A2387="","",N(V2387)+N(W2387)+N(X2387)+N(Y2387))</f>
        <v/>
      </c>
      <c r="AB2387" s="70">
        <f>IF($A2387="","",N(S2387)*'Paramètres'!$AA$9*IFERROR(INDEX('Paramètres'!$O$5:$O$7,MATCH(G2387,'Paramètres'!$N$5:$N$7,0)),0))</f>
        <v/>
      </c>
      <c r="AC2387" s="7" t="n"/>
      <c r="AD2387" s="69">
        <f>IF(OR($A2387="",Q2387=""),"",(Q2387-B2387)*24)</f>
        <v/>
      </c>
      <c r="AE2387" s="69">
        <f>IF(OR(Q2387="",R2387=""),"",(R2387-Q2387)*24)</f>
        <v/>
      </c>
      <c r="AF2387" s="77">
        <f>IF(OR($A2387="",B2387=""),"",YEAR(B2387))</f>
        <v/>
      </c>
      <c r="AG2387" s="77">
        <f>IF(OR($A2387="",B2387=""),"",MONTH(B2387))</f>
        <v/>
      </c>
    </row>
    <row r="2388">
      <c r="A2388" s="7" t="n"/>
      <c r="B2388" s="75" t="n"/>
      <c r="C2388" s="7" t="n"/>
      <c r="D2388" s="7" t="n"/>
      <c r="E2388" s="9">
        <f>IF(D2388="","",IFERROR(INDEX('Équipements'!$B$5:$B$304,MATCH(D2388,'Équipements'!$A$5:$A$304,0)),"Code inconnu"))</f>
        <v/>
      </c>
      <c r="F2388" s="9">
        <f>IF(D2388="","",IFERROR(INDEX('Équipements'!$D$5:$D$304,MATCH(D2388,'Équipements'!$A$5:$A$304,0)),""))</f>
        <v/>
      </c>
      <c r="G2388" s="9">
        <f>IF(D2388="","",IFERROR(INDEX('Équipements'!$K$5:$K$304,MATCH(D2388,'Équipements'!$A$5:$A$304,0)),""))</f>
        <v/>
      </c>
      <c r="H2388" s="7" t="n"/>
      <c r="I2388" s="7" t="n"/>
      <c r="J2388" s="7" t="n"/>
      <c r="K2388" s="7" t="n"/>
      <c r="L2388" s="7" t="n"/>
      <c r="M2388" s="7" t="n"/>
      <c r="N2388" s="7" t="n"/>
      <c r="O2388" s="7" t="n"/>
      <c r="P2388" s="65" t="n"/>
      <c r="Q2388" s="75" t="n"/>
      <c r="R2388" s="75" t="n"/>
      <c r="S2388" s="76" t="n"/>
      <c r="T2388" s="76" t="n"/>
      <c r="U2388" s="70">
        <f>IF($A2388="","",IFERROR(INDEX('Techniciens'!$F$5:$F$44,MATCH(O2388,'Techniciens'!$B$5:$B$44,0)),'Paramètres'!$AA$10))</f>
        <v/>
      </c>
      <c r="V2388" s="70">
        <f>IF($A2388="","",IF(OR(AC2388="Demandé",AC2388="Planifié",AC2388="Annulé"),0,N(T2388)*N(U2388)))</f>
        <v/>
      </c>
      <c r="W2388" s="70">
        <f>IF($A2388="","",SUMIFS('Mouvements stock'!$H$5:$H$3004,'Mouvements stock'!$I$5:$I$3004,$A2388,'Mouvements stock'!$C$5:$C$3004,"Sortie")-SUMIFS('Mouvements stock'!$H$5:$H$3004,'Mouvements stock'!$I$5:$I$3004,$A2388,'Mouvements stock'!$C$5:$C$3004,"Retour"))</f>
        <v/>
      </c>
      <c r="X2388" s="66" t="n"/>
      <c r="Y2388" s="66" t="n"/>
      <c r="Z2388" s="7" t="n"/>
      <c r="AA2388" s="70">
        <f>IF($A2388="","",N(V2388)+N(W2388)+N(X2388)+N(Y2388))</f>
        <v/>
      </c>
      <c r="AB2388" s="70">
        <f>IF($A2388="","",N(S2388)*'Paramètres'!$AA$9*IFERROR(INDEX('Paramètres'!$O$5:$O$7,MATCH(G2388,'Paramètres'!$N$5:$N$7,0)),0))</f>
        <v/>
      </c>
      <c r="AC2388" s="7" t="n"/>
      <c r="AD2388" s="69">
        <f>IF(OR($A2388="",Q2388=""),"",(Q2388-B2388)*24)</f>
        <v/>
      </c>
      <c r="AE2388" s="69">
        <f>IF(OR(Q2388="",R2388=""),"",(R2388-Q2388)*24)</f>
        <v/>
      </c>
      <c r="AF2388" s="77">
        <f>IF(OR($A2388="",B2388=""),"",YEAR(B2388))</f>
        <v/>
      </c>
      <c r="AG2388" s="77">
        <f>IF(OR($A2388="",B2388=""),"",MONTH(B2388))</f>
        <v/>
      </c>
    </row>
    <row r="2389">
      <c r="A2389" s="7" t="n"/>
      <c r="B2389" s="75" t="n"/>
      <c r="C2389" s="7" t="n"/>
      <c r="D2389" s="7" t="n"/>
      <c r="E2389" s="9">
        <f>IF(D2389="","",IFERROR(INDEX('Équipements'!$B$5:$B$304,MATCH(D2389,'Équipements'!$A$5:$A$304,0)),"Code inconnu"))</f>
        <v/>
      </c>
      <c r="F2389" s="9">
        <f>IF(D2389="","",IFERROR(INDEX('Équipements'!$D$5:$D$304,MATCH(D2389,'Équipements'!$A$5:$A$304,0)),""))</f>
        <v/>
      </c>
      <c r="G2389" s="9">
        <f>IF(D2389="","",IFERROR(INDEX('Équipements'!$K$5:$K$304,MATCH(D2389,'Équipements'!$A$5:$A$304,0)),""))</f>
        <v/>
      </c>
      <c r="H2389" s="7" t="n"/>
      <c r="I2389" s="7" t="n"/>
      <c r="J2389" s="7" t="n"/>
      <c r="K2389" s="7" t="n"/>
      <c r="L2389" s="7" t="n"/>
      <c r="M2389" s="7" t="n"/>
      <c r="N2389" s="7" t="n"/>
      <c r="O2389" s="7" t="n"/>
      <c r="P2389" s="65" t="n"/>
      <c r="Q2389" s="75" t="n"/>
      <c r="R2389" s="75" t="n"/>
      <c r="S2389" s="76" t="n"/>
      <c r="T2389" s="76" t="n"/>
      <c r="U2389" s="70">
        <f>IF($A2389="","",IFERROR(INDEX('Techniciens'!$F$5:$F$44,MATCH(O2389,'Techniciens'!$B$5:$B$44,0)),'Paramètres'!$AA$10))</f>
        <v/>
      </c>
      <c r="V2389" s="70">
        <f>IF($A2389="","",IF(OR(AC2389="Demandé",AC2389="Planifié",AC2389="Annulé"),0,N(T2389)*N(U2389)))</f>
        <v/>
      </c>
      <c r="W2389" s="70">
        <f>IF($A2389="","",SUMIFS('Mouvements stock'!$H$5:$H$3004,'Mouvements stock'!$I$5:$I$3004,$A2389,'Mouvements stock'!$C$5:$C$3004,"Sortie")-SUMIFS('Mouvements stock'!$H$5:$H$3004,'Mouvements stock'!$I$5:$I$3004,$A2389,'Mouvements stock'!$C$5:$C$3004,"Retour"))</f>
        <v/>
      </c>
      <c r="X2389" s="66" t="n"/>
      <c r="Y2389" s="66" t="n"/>
      <c r="Z2389" s="7" t="n"/>
      <c r="AA2389" s="70">
        <f>IF($A2389="","",N(V2389)+N(W2389)+N(X2389)+N(Y2389))</f>
        <v/>
      </c>
      <c r="AB2389" s="70">
        <f>IF($A2389="","",N(S2389)*'Paramètres'!$AA$9*IFERROR(INDEX('Paramètres'!$O$5:$O$7,MATCH(G2389,'Paramètres'!$N$5:$N$7,0)),0))</f>
        <v/>
      </c>
      <c r="AC2389" s="7" t="n"/>
      <c r="AD2389" s="69">
        <f>IF(OR($A2389="",Q2389=""),"",(Q2389-B2389)*24)</f>
        <v/>
      </c>
      <c r="AE2389" s="69">
        <f>IF(OR(Q2389="",R2389=""),"",(R2389-Q2389)*24)</f>
        <v/>
      </c>
      <c r="AF2389" s="77">
        <f>IF(OR($A2389="",B2389=""),"",YEAR(B2389))</f>
        <v/>
      </c>
      <c r="AG2389" s="77">
        <f>IF(OR($A2389="",B2389=""),"",MONTH(B2389))</f>
        <v/>
      </c>
    </row>
    <row r="2390">
      <c r="A2390" s="7" t="n"/>
      <c r="B2390" s="75" t="n"/>
      <c r="C2390" s="7" t="n"/>
      <c r="D2390" s="7" t="n"/>
      <c r="E2390" s="9">
        <f>IF(D2390="","",IFERROR(INDEX('Équipements'!$B$5:$B$304,MATCH(D2390,'Équipements'!$A$5:$A$304,0)),"Code inconnu"))</f>
        <v/>
      </c>
      <c r="F2390" s="9">
        <f>IF(D2390="","",IFERROR(INDEX('Équipements'!$D$5:$D$304,MATCH(D2390,'Équipements'!$A$5:$A$304,0)),""))</f>
        <v/>
      </c>
      <c r="G2390" s="9">
        <f>IF(D2390="","",IFERROR(INDEX('Équipements'!$K$5:$K$304,MATCH(D2390,'Équipements'!$A$5:$A$304,0)),""))</f>
        <v/>
      </c>
      <c r="H2390" s="7" t="n"/>
      <c r="I2390" s="7" t="n"/>
      <c r="J2390" s="7" t="n"/>
      <c r="K2390" s="7" t="n"/>
      <c r="L2390" s="7" t="n"/>
      <c r="M2390" s="7" t="n"/>
      <c r="N2390" s="7" t="n"/>
      <c r="O2390" s="7" t="n"/>
      <c r="P2390" s="65" t="n"/>
      <c r="Q2390" s="75" t="n"/>
      <c r="R2390" s="75" t="n"/>
      <c r="S2390" s="76" t="n"/>
      <c r="T2390" s="76" t="n"/>
      <c r="U2390" s="70">
        <f>IF($A2390="","",IFERROR(INDEX('Techniciens'!$F$5:$F$44,MATCH(O2390,'Techniciens'!$B$5:$B$44,0)),'Paramètres'!$AA$10))</f>
        <v/>
      </c>
      <c r="V2390" s="70">
        <f>IF($A2390="","",IF(OR(AC2390="Demandé",AC2390="Planifié",AC2390="Annulé"),0,N(T2390)*N(U2390)))</f>
        <v/>
      </c>
      <c r="W2390" s="70">
        <f>IF($A2390="","",SUMIFS('Mouvements stock'!$H$5:$H$3004,'Mouvements stock'!$I$5:$I$3004,$A2390,'Mouvements stock'!$C$5:$C$3004,"Sortie")-SUMIFS('Mouvements stock'!$H$5:$H$3004,'Mouvements stock'!$I$5:$I$3004,$A2390,'Mouvements stock'!$C$5:$C$3004,"Retour"))</f>
        <v/>
      </c>
      <c r="X2390" s="66" t="n"/>
      <c r="Y2390" s="66" t="n"/>
      <c r="Z2390" s="7" t="n"/>
      <c r="AA2390" s="70">
        <f>IF($A2390="","",N(V2390)+N(W2390)+N(X2390)+N(Y2390))</f>
        <v/>
      </c>
      <c r="AB2390" s="70">
        <f>IF($A2390="","",N(S2390)*'Paramètres'!$AA$9*IFERROR(INDEX('Paramètres'!$O$5:$O$7,MATCH(G2390,'Paramètres'!$N$5:$N$7,0)),0))</f>
        <v/>
      </c>
      <c r="AC2390" s="7" t="n"/>
      <c r="AD2390" s="69">
        <f>IF(OR($A2390="",Q2390=""),"",(Q2390-B2390)*24)</f>
        <v/>
      </c>
      <c r="AE2390" s="69">
        <f>IF(OR(Q2390="",R2390=""),"",(R2390-Q2390)*24)</f>
        <v/>
      </c>
      <c r="AF2390" s="77">
        <f>IF(OR($A2390="",B2390=""),"",YEAR(B2390))</f>
        <v/>
      </c>
      <c r="AG2390" s="77">
        <f>IF(OR($A2390="",B2390=""),"",MONTH(B2390))</f>
        <v/>
      </c>
    </row>
    <row r="2391">
      <c r="A2391" s="7" t="n"/>
      <c r="B2391" s="75" t="n"/>
      <c r="C2391" s="7" t="n"/>
      <c r="D2391" s="7" t="n"/>
      <c r="E2391" s="9">
        <f>IF(D2391="","",IFERROR(INDEX('Équipements'!$B$5:$B$304,MATCH(D2391,'Équipements'!$A$5:$A$304,0)),"Code inconnu"))</f>
        <v/>
      </c>
      <c r="F2391" s="9">
        <f>IF(D2391="","",IFERROR(INDEX('Équipements'!$D$5:$D$304,MATCH(D2391,'Équipements'!$A$5:$A$304,0)),""))</f>
        <v/>
      </c>
      <c r="G2391" s="9">
        <f>IF(D2391="","",IFERROR(INDEX('Équipements'!$K$5:$K$304,MATCH(D2391,'Équipements'!$A$5:$A$304,0)),""))</f>
        <v/>
      </c>
      <c r="H2391" s="7" t="n"/>
      <c r="I2391" s="7" t="n"/>
      <c r="J2391" s="7" t="n"/>
      <c r="K2391" s="7" t="n"/>
      <c r="L2391" s="7" t="n"/>
      <c r="M2391" s="7" t="n"/>
      <c r="N2391" s="7" t="n"/>
      <c r="O2391" s="7" t="n"/>
      <c r="P2391" s="65" t="n"/>
      <c r="Q2391" s="75" t="n"/>
      <c r="R2391" s="75" t="n"/>
      <c r="S2391" s="76" t="n"/>
      <c r="T2391" s="76" t="n"/>
      <c r="U2391" s="70">
        <f>IF($A2391="","",IFERROR(INDEX('Techniciens'!$F$5:$F$44,MATCH(O2391,'Techniciens'!$B$5:$B$44,0)),'Paramètres'!$AA$10))</f>
        <v/>
      </c>
      <c r="V2391" s="70">
        <f>IF($A2391="","",IF(OR(AC2391="Demandé",AC2391="Planifié",AC2391="Annulé"),0,N(T2391)*N(U2391)))</f>
        <v/>
      </c>
      <c r="W2391" s="70">
        <f>IF($A2391="","",SUMIFS('Mouvements stock'!$H$5:$H$3004,'Mouvements stock'!$I$5:$I$3004,$A2391,'Mouvements stock'!$C$5:$C$3004,"Sortie")-SUMIFS('Mouvements stock'!$H$5:$H$3004,'Mouvements stock'!$I$5:$I$3004,$A2391,'Mouvements stock'!$C$5:$C$3004,"Retour"))</f>
        <v/>
      </c>
      <c r="X2391" s="66" t="n"/>
      <c r="Y2391" s="66" t="n"/>
      <c r="Z2391" s="7" t="n"/>
      <c r="AA2391" s="70">
        <f>IF($A2391="","",N(V2391)+N(W2391)+N(X2391)+N(Y2391))</f>
        <v/>
      </c>
      <c r="AB2391" s="70">
        <f>IF($A2391="","",N(S2391)*'Paramètres'!$AA$9*IFERROR(INDEX('Paramètres'!$O$5:$O$7,MATCH(G2391,'Paramètres'!$N$5:$N$7,0)),0))</f>
        <v/>
      </c>
      <c r="AC2391" s="7" t="n"/>
      <c r="AD2391" s="69">
        <f>IF(OR($A2391="",Q2391=""),"",(Q2391-B2391)*24)</f>
        <v/>
      </c>
      <c r="AE2391" s="69">
        <f>IF(OR(Q2391="",R2391=""),"",(R2391-Q2391)*24)</f>
        <v/>
      </c>
      <c r="AF2391" s="77">
        <f>IF(OR($A2391="",B2391=""),"",YEAR(B2391))</f>
        <v/>
      </c>
      <c r="AG2391" s="77">
        <f>IF(OR($A2391="",B2391=""),"",MONTH(B2391))</f>
        <v/>
      </c>
    </row>
    <row r="2392">
      <c r="A2392" s="7" t="n"/>
      <c r="B2392" s="75" t="n"/>
      <c r="C2392" s="7" t="n"/>
      <c r="D2392" s="7" t="n"/>
      <c r="E2392" s="9">
        <f>IF(D2392="","",IFERROR(INDEX('Équipements'!$B$5:$B$304,MATCH(D2392,'Équipements'!$A$5:$A$304,0)),"Code inconnu"))</f>
        <v/>
      </c>
      <c r="F2392" s="9">
        <f>IF(D2392="","",IFERROR(INDEX('Équipements'!$D$5:$D$304,MATCH(D2392,'Équipements'!$A$5:$A$304,0)),""))</f>
        <v/>
      </c>
      <c r="G2392" s="9">
        <f>IF(D2392="","",IFERROR(INDEX('Équipements'!$K$5:$K$304,MATCH(D2392,'Équipements'!$A$5:$A$304,0)),""))</f>
        <v/>
      </c>
      <c r="H2392" s="7" t="n"/>
      <c r="I2392" s="7" t="n"/>
      <c r="J2392" s="7" t="n"/>
      <c r="K2392" s="7" t="n"/>
      <c r="L2392" s="7" t="n"/>
      <c r="M2392" s="7" t="n"/>
      <c r="N2392" s="7" t="n"/>
      <c r="O2392" s="7" t="n"/>
      <c r="P2392" s="65" t="n"/>
      <c r="Q2392" s="75" t="n"/>
      <c r="R2392" s="75" t="n"/>
      <c r="S2392" s="76" t="n"/>
      <c r="T2392" s="76" t="n"/>
      <c r="U2392" s="70">
        <f>IF($A2392="","",IFERROR(INDEX('Techniciens'!$F$5:$F$44,MATCH(O2392,'Techniciens'!$B$5:$B$44,0)),'Paramètres'!$AA$10))</f>
        <v/>
      </c>
      <c r="V2392" s="70">
        <f>IF($A2392="","",IF(OR(AC2392="Demandé",AC2392="Planifié",AC2392="Annulé"),0,N(T2392)*N(U2392)))</f>
        <v/>
      </c>
      <c r="W2392" s="70">
        <f>IF($A2392="","",SUMIFS('Mouvements stock'!$H$5:$H$3004,'Mouvements stock'!$I$5:$I$3004,$A2392,'Mouvements stock'!$C$5:$C$3004,"Sortie")-SUMIFS('Mouvements stock'!$H$5:$H$3004,'Mouvements stock'!$I$5:$I$3004,$A2392,'Mouvements stock'!$C$5:$C$3004,"Retour"))</f>
        <v/>
      </c>
      <c r="X2392" s="66" t="n"/>
      <c r="Y2392" s="66" t="n"/>
      <c r="Z2392" s="7" t="n"/>
      <c r="AA2392" s="70">
        <f>IF($A2392="","",N(V2392)+N(W2392)+N(X2392)+N(Y2392))</f>
        <v/>
      </c>
      <c r="AB2392" s="70">
        <f>IF($A2392="","",N(S2392)*'Paramètres'!$AA$9*IFERROR(INDEX('Paramètres'!$O$5:$O$7,MATCH(G2392,'Paramètres'!$N$5:$N$7,0)),0))</f>
        <v/>
      </c>
      <c r="AC2392" s="7" t="n"/>
      <c r="AD2392" s="69">
        <f>IF(OR($A2392="",Q2392=""),"",(Q2392-B2392)*24)</f>
        <v/>
      </c>
      <c r="AE2392" s="69">
        <f>IF(OR(Q2392="",R2392=""),"",(R2392-Q2392)*24)</f>
        <v/>
      </c>
      <c r="AF2392" s="77">
        <f>IF(OR($A2392="",B2392=""),"",YEAR(B2392))</f>
        <v/>
      </c>
      <c r="AG2392" s="77">
        <f>IF(OR($A2392="",B2392=""),"",MONTH(B2392))</f>
        <v/>
      </c>
    </row>
    <row r="2393">
      <c r="A2393" s="7" t="n"/>
      <c r="B2393" s="75" t="n"/>
      <c r="C2393" s="7" t="n"/>
      <c r="D2393" s="7" t="n"/>
      <c r="E2393" s="9">
        <f>IF(D2393="","",IFERROR(INDEX('Équipements'!$B$5:$B$304,MATCH(D2393,'Équipements'!$A$5:$A$304,0)),"Code inconnu"))</f>
        <v/>
      </c>
      <c r="F2393" s="9">
        <f>IF(D2393="","",IFERROR(INDEX('Équipements'!$D$5:$D$304,MATCH(D2393,'Équipements'!$A$5:$A$304,0)),""))</f>
        <v/>
      </c>
      <c r="G2393" s="9">
        <f>IF(D2393="","",IFERROR(INDEX('Équipements'!$K$5:$K$304,MATCH(D2393,'Équipements'!$A$5:$A$304,0)),""))</f>
        <v/>
      </c>
      <c r="H2393" s="7" t="n"/>
      <c r="I2393" s="7" t="n"/>
      <c r="J2393" s="7" t="n"/>
      <c r="K2393" s="7" t="n"/>
      <c r="L2393" s="7" t="n"/>
      <c r="M2393" s="7" t="n"/>
      <c r="N2393" s="7" t="n"/>
      <c r="O2393" s="7" t="n"/>
      <c r="P2393" s="65" t="n"/>
      <c r="Q2393" s="75" t="n"/>
      <c r="R2393" s="75" t="n"/>
      <c r="S2393" s="76" t="n"/>
      <c r="T2393" s="76" t="n"/>
      <c r="U2393" s="70">
        <f>IF($A2393="","",IFERROR(INDEX('Techniciens'!$F$5:$F$44,MATCH(O2393,'Techniciens'!$B$5:$B$44,0)),'Paramètres'!$AA$10))</f>
        <v/>
      </c>
      <c r="V2393" s="70">
        <f>IF($A2393="","",IF(OR(AC2393="Demandé",AC2393="Planifié",AC2393="Annulé"),0,N(T2393)*N(U2393)))</f>
        <v/>
      </c>
      <c r="W2393" s="70">
        <f>IF($A2393="","",SUMIFS('Mouvements stock'!$H$5:$H$3004,'Mouvements stock'!$I$5:$I$3004,$A2393,'Mouvements stock'!$C$5:$C$3004,"Sortie")-SUMIFS('Mouvements stock'!$H$5:$H$3004,'Mouvements stock'!$I$5:$I$3004,$A2393,'Mouvements stock'!$C$5:$C$3004,"Retour"))</f>
        <v/>
      </c>
      <c r="X2393" s="66" t="n"/>
      <c r="Y2393" s="66" t="n"/>
      <c r="Z2393" s="7" t="n"/>
      <c r="AA2393" s="70">
        <f>IF($A2393="","",N(V2393)+N(W2393)+N(X2393)+N(Y2393))</f>
        <v/>
      </c>
      <c r="AB2393" s="70">
        <f>IF($A2393="","",N(S2393)*'Paramètres'!$AA$9*IFERROR(INDEX('Paramètres'!$O$5:$O$7,MATCH(G2393,'Paramètres'!$N$5:$N$7,0)),0))</f>
        <v/>
      </c>
      <c r="AC2393" s="7" t="n"/>
      <c r="AD2393" s="69">
        <f>IF(OR($A2393="",Q2393=""),"",(Q2393-B2393)*24)</f>
        <v/>
      </c>
      <c r="AE2393" s="69">
        <f>IF(OR(Q2393="",R2393=""),"",(R2393-Q2393)*24)</f>
        <v/>
      </c>
      <c r="AF2393" s="77">
        <f>IF(OR($A2393="",B2393=""),"",YEAR(B2393))</f>
        <v/>
      </c>
      <c r="AG2393" s="77">
        <f>IF(OR($A2393="",B2393=""),"",MONTH(B2393))</f>
        <v/>
      </c>
    </row>
    <row r="2394">
      <c r="A2394" s="7" t="n"/>
      <c r="B2394" s="75" t="n"/>
      <c r="C2394" s="7" t="n"/>
      <c r="D2394" s="7" t="n"/>
      <c r="E2394" s="9">
        <f>IF(D2394="","",IFERROR(INDEX('Équipements'!$B$5:$B$304,MATCH(D2394,'Équipements'!$A$5:$A$304,0)),"Code inconnu"))</f>
        <v/>
      </c>
      <c r="F2394" s="9">
        <f>IF(D2394="","",IFERROR(INDEX('Équipements'!$D$5:$D$304,MATCH(D2394,'Équipements'!$A$5:$A$304,0)),""))</f>
        <v/>
      </c>
      <c r="G2394" s="9">
        <f>IF(D2394="","",IFERROR(INDEX('Équipements'!$K$5:$K$304,MATCH(D2394,'Équipements'!$A$5:$A$304,0)),""))</f>
        <v/>
      </c>
      <c r="H2394" s="7" t="n"/>
      <c r="I2394" s="7" t="n"/>
      <c r="J2394" s="7" t="n"/>
      <c r="K2394" s="7" t="n"/>
      <c r="L2394" s="7" t="n"/>
      <c r="M2394" s="7" t="n"/>
      <c r="N2394" s="7" t="n"/>
      <c r="O2394" s="7" t="n"/>
      <c r="P2394" s="65" t="n"/>
      <c r="Q2394" s="75" t="n"/>
      <c r="R2394" s="75" t="n"/>
      <c r="S2394" s="76" t="n"/>
      <c r="T2394" s="76" t="n"/>
      <c r="U2394" s="70">
        <f>IF($A2394="","",IFERROR(INDEX('Techniciens'!$F$5:$F$44,MATCH(O2394,'Techniciens'!$B$5:$B$44,0)),'Paramètres'!$AA$10))</f>
        <v/>
      </c>
      <c r="V2394" s="70">
        <f>IF($A2394="","",IF(OR(AC2394="Demandé",AC2394="Planifié",AC2394="Annulé"),0,N(T2394)*N(U2394)))</f>
        <v/>
      </c>
      <c r="W2394" s="70">
        <f>IF($A2394="","",SUMIFS('Mouvements stock'!$H$5:$H$3004,'Mouvements stock'!$I$5:$I$3004,$A2394,'Mouvements stock'!$C$5:$C$3004,"Sortie")-SUMIFS('Mouvements stock'!$H$5:$H$3004,'Mouvements stock'!$I$5:$I$3004,$A2394,'Mouvements stock'!$C$5:$C$3004,"Retour"))</f>
        <v/>
      </c>
      <c r="X2394" s="66" t="n"/>
      <c r="Y2394" s="66" t="n"/>
      <c r="Z2394" s="7" t="n"/>
      <c r="AA2394" s="70">
        <f>IF($A2394="","",N(V2394)+N(W2394)+N(X2394)+N(Y2394))</f>
        <v/>
      </c>
      <c r="AB2394" s="70">
        <f>IF($A2394="","",N(S2394)*'Paramètres'!$AA$9*IFERROR(INDEX('Paramètres'!$O$5:$O$7,MATCH(G2394,'Paramètres'!$N$5:$N$7,0)),0))</f>
        <v/>
      </c>
      <c r="AC2394" s="7" t="n"/>
      <c r="AD2394" s="69">
        <f>IF(OR($A2394="",Q2394=""),"",(Q2394-B2394)*24)</f>
        <v/>
      </c>
      <c r="AE2394" s="69">
        <f>IF(OR(Q2394="",R2394=""),"",(R2394-Q2394)*24)</f>
        <v/>
      </c>
      <c r="AF2394" s="77">
        <f>IF(OR($A2394="",B2394=""),"",YEAR(B2394))</f>
        <v/>
      </c>
      <c r="AG2394" s="77">
        <f>IF(OR($A2394="",B2394=""),"",MONTH(B2394))</f>
        <v/>
      </c>
    </row>
    <row r="2395">
      <c r="A2395" s="7" t="n"/>
      <c r="B2395" s="75" t="n"/>
      <c r="C2395" s="7" t="n"/>
      <c r="D2395" s="7" t="n"/>
      <c r="E2395" s="9">
        <f>IF(D2395="","",IFERROR(INDEX('Équipements'!$B$5:$B$304,MATCH(D2395,'Équipements'!$A$5:$A$304,0)),"Code inconnu"))</f>
        <v/>
      </c>
      <c r="F2395" s="9">
        <f>IF(D2395="","",IFERROR(INDEX('Équipements'!$D$5:$D$304,MATCH(D2395,'Équipements'!$A$5:$A$304,0)),""))</f>
        <v/>
      </c>
      <c r="G2395" s="9">
        <f>IF(D2395="","",IFERROR(INDEX('Équipements'!$K$5:$K$304,MATCH(D2395,'Équipements'!$A$5:$A$304,0)),""))</f>
        <v/>
      </c>
      <c r="H2395" s="7" t="n"/>
      <c r="I2395" s="7" t="n"/>
      <c r="J2395" s="7" t="n"/>
      <c r="K2395" s="7" t="n"/>
      <c r="L2395" s="7" t="n"/>
      <c r="M2395" s="7" t="n"/>
      <c r="N2395" s="7" t="n"/>
      <c r="O2395" s="7" t="n"/>
      <c r="P2395" s="65" t="n"/>
      <c r="Q2395" s="75" t="n"/>
      <c r="R2395" s="75" t="n"/>
      <c r="S2395" s="76" t="n"/>
      <c r="T2395" s="76" t="n"/>
      <c r="U2395" s="70">
        <f>IF($A2395="","",IFERROR(INDEX('Techniciens'!$F$5:$F$44,MATCH(O2395,'Techniciens'!$B$5:$B$44,0)),'Paramètres'!$AA$10))</f>
        <v/>
      </c>
      <c r="V2395" s="70">
        <f>IF($A2395="","",IF(OR(AC2395="Demandé",AC2395="Planifié",AC2395="Annulé"),0,N(T2395)*N(U2395)))</f>
        <v/>
      </c>
      <c r="W2395" s="70">
        <f>IF($A2395="","",SUMIFS('Mouvements stock'!$H$5:$H$3004,'Mouvements stock'!$I$5:$I$3004,$A2395,'Mouvements stock'!$C$5:$C$3004,"Sortie")-SUMIFS('Mouvements stock'!$H$5:$H$3004,'Mouvements stock'!$I$5:$I$3004,$A2395,'Mouvements stock'!$C$5:$C$3004,"Retour"))</f>
        <v/>
      </c>
      <c r="X2395" s="66" t="n"/>
      <c r="Y2395" s="66" t="n"/>
      <c r="Z2395" s="7" t="n"/>
      <c r="AA2395" s="70">
        <f>IF($A2395="","",N(V2395)+N(W2395)+N(X2395)+N(Y2395))</f>
        <v/>
      </c>
      <c r="AB2395" s="70">
        <f>IF($A2395="","",N(S2395)*'Paramètres'!$AA$9*IFERROR(INDEX('Paramètres'!$O$5:$O$7,MATCH(G2395,'Paramètres'!$N$5:$N$7,0)),0))</f>
        <v/>
      </c>
      <c r="AC2395" s="7" t="n"/>
      <c r="AD2395" s="69">
        <f>IF(OR($A2395="",Q2395=""),"",(Q2395-B2395)*24)</f>
        <v/>
      </c>
      <c r="AE2395" s="69">
        <f>IF(OR(Q2395="",R2395=""),"",(R2395-Q2395)*24)</f>
        <v/>
      </c>
      <c r="AF2395" s="77">
        <f>IF(OR($A2395="",B2395=""),"",YEAR(B2395))</f>
        <v/>
      </c>
      <c r="AG2395" s="77">
        <f>IF(OR($A2395="",B2395=""),"",MONTH(B2395))</f>
        <v/>
      </c>
    </row>
    <row r="2396">
      <c r="A2396" s="7" t="n"/>
      <c r="B2396" s="75" t="n"/>
      <c r="C2396" s="7" t="n"/>
      <c r="D2396" s="7" t="n"/>
      <c r="E2396" s="9">
        <f>IF(D2396="","",IFERROR(INDEX('Équipements'!$B$5:$B$304,MATCH(D2396,'Équipements'!$A$5:$A$304,0)),"Code inconnu"))</f>
        <v/>
      </c>
      <c r="F2396" s="9">
        <f>IF(D2396="","",IFERROR(INDEX('Équipements'!$D$5:$D$304,MATCH(D2396,'Équipements'!$A$5:$A$304,0)),""))</f>
        <v/>
      </c>
      <c r="G2396" s="9">
        <f>IF(D2396="","",IFERROR(INDEX('Équipements'!$K$5:$K$304,MATCH(D2396,'Équipements'!$A$5:$A$304,0)),""))</f>
        <v/>
      </c>
      <c r="H2396" s="7" t="n"/>
      <c r="I2396" s="7" t="n"/>
      <c r="J2396" s="7" t="n"/>
      <c r="K2396" s="7" t="n"/>
      <c r="L2396" s="7" t="n"/>
      <c r="M2396" s="7" t="n"/>
      <c r="N2396" s="7" t="n"/>
      <c r="O2396" s="7" t="n"/>
      <c r="P2396" s="65" t="n"/>
      <c r="Q2396" s="75" t="n"/>
      <c r="R2396" s="75" t="n"/>
      <c r="S2396" s="76" t="n"/>
      <c r="T2396" s="76" t="n"/>
      <c r="U2396" s="70">
        <f>IF($A2396="","",IFERROR(INDEX('Techniciens'!$F$5:$F$44,MATCH(O2396,'Techniciens'!$B$5:$B$44,0)),'Paramètres'!$AA$10))</f>
        <v/>
      </c>
      <c r="V2396" s="70">
        <f>IF($A2396="","",IF(OR(AC2396="Demandé",AC2396="Planifié",AC2396="Annulé"),0,N(T2396)*N(U2396)))</f>
        <v/>
      </c>
      <c r="W2396" s="70">
        <f>IF($A2396="","",SUMIFS('Mouvements stock'!$H$5:$H$3004,'Mouvements stock'!$I$5:$I$3004,$A2396,'Mouvements stock'!$C$5:$C$3004,"Sortie")-SUMIFS('Mouvements stock'!$H$5:$H$3004,'Mouvements stock'!$I$5:$I$3004,$A2396,'Mouvements stock'!$C$5:$C$3004,"Retour"))</f>
        <v/>
      </c>
      <c r="X2396" s="66" t="n"/>
      <c r="Y2396" s="66" t="n"/>
      <c r="Z2396" s="7" t="n"/>
      <c r="AA2396" s="70">
        <f>IF($A2396="","",N(V2396)+N(W2396)+N(X2396)+N(Y2396))</f>
        <v/>
      </c>
      <c r="AB2396" s="70">
        <f>IF($A2396="","",N(S2396)*'Paramètres'!$AA$9*IFERROR(INDEX('Paramètres'!$O$5:$O$7,MATCH(G2396,'Paramètres'!$N$5:$N$7,0)),0))</f>
        <v/>
      </c>
      <c r="AC2396" s="7" t="n"/>
      <c r="AD2396" s="69">
        <f>IF(OR($A2396="",Q2396=""),"",(Q2396-B2396)*24)</f>
        <v/>
      </c>
      <c r="AE2396" s="69">
        <f>IF(OR(Q2396="",R2396=""),"",(R2396-Q2396)*24)</f>
        <v/>
      </c>
      <c r="AF2396" s="77">
        <f>IF(OR($A2396="",B2396=""),"",YEAR(B2396))</f>
        <v/>
      </c>
      <c r="AG2396" s="77">
        <f>IF(OR($A2396="",B2396=""),"",MONTH(B2396))</f>
        <v/>
      </c>
    </row>
    <row r="2397">
      <c r="A2397" s="7" t="n"/>
      <c r="B2397" s="75" t="n"/>
      <c r="C2397" s="7" t="n"/>
      <c r="D2397" s="7" t="n"/>
      <c r="E2397" s="9">
        <f>IF(D2397="","",IFERROR(INDEX('Équipements'!$B$5:$B$304,MATCH(D2397,'Équipements'!$A$5:$A$304,0)),"Code inconnu"))</f>
        <v/>
      </c>
      <c r="F2397" s="9">
        <f>IF(D2397="","",IFERROR(INDEX('Équipements'!$D$5:$D$304,MATCH(D2397,'Équipements'!$A$5:$A$304,0)),""))</f>
        <v/>
      </c>
      <c r="G2397" s="9">
        <f>IF(D2397="","",IFERROR(INDEX('Équipements'!$K$5:$K$304,MATCH(D2397,'Équipements'!$A$5:$A$304,0)),""))</f>
        <v/>
      </c>
      <c r="H2397" s="7" t="n"/>
      <c r="I2397" s="7" t="n"/>
      <c r="J2397" s="7" t="n"/>
      <c r="K2397" s="7" t="n"/>
      <c r="L2397" s="7" t="n"/>
      <c r="M2397" s="7" t="n"/>
      <c r="N2397" s="7" t="n"/>
      <c r="O2397" s="7" t="n"/>
      <c r="P2397" s="65" t="n"/>
      <c r="Q2397" s="75" t="n"/>
      <c r="R2397" s="75" t="n"/>
      <c r="S2397" s="76" t="n"/>
      <c r="T2397" s="76" t="n"/>
      <c r="U2397" s="70">
        <f>IF($A2397="","",IFERROR(INDEX('Techniciens'!$F$5:$F$44,MATCH(O2397,'Techniciens'!$B$5:$B$44,0)),'Paramètres'!$AA$10))</f>
        <v/>
      </c>
      <c r="V2397" s="70">
        <f>IF($A2397="","",IF(OR(AC2397="Demandé",AC2397="Planifié",AC2397="Annulé"),0,N(T2397)*N(U2397)))</f>
        <v/>
      </c>
      <c r="W2397" s="70">
        <f>IF($A2397="","",SUMIFS('Mouvements stock'!$H$5:$H$3004,'Mouvements stock'!$I$5:$I$3004,$A2397,'Mouvements stock'!$C$5:$C$3004,"Sortie")-SUMIFS('Mouvements stock'!$H$5:$H$3004,'Mouvements stock'!$I$5:$I$3004,$A2397,'Mouvements stock'!$C$5:$C$3004,"Retour"))</f>
        <v/>
      </c>
      <c r="X2397" s="66" t="n"/>
      <c r="Y2397" s="66" t="n"/>
      <c r="Z2397" s="7" t="n"/>
      <c r="AA2397" s="70">
        <f>IF($A2397="","",N(V2397)+N(W2397)+N(X2397)+N(Y2397))</f>
        <v/>
      </c>
      <c r="AB2397" s="70">
        <f>IF($A2397="","",N(S2397)*'Paramètres'!$AA$9*IFERROR(INDEX('Paramètres'!$O$5:$O$7,MATCH(G2397,'Paramètres'!$N$5:$N$7,0)),0))</f>
        <v/>
      </c>
      <c r="AC2397" s="7" t="n"/>
      <c r="AD2397" s="69">
        <f>IF(OR($A2397="",Q2397=""),"",(Q2397-B2397)*24)</f>
        <v/>
      </c>
      <c r="AE2397" s="69">
        <f>IF(OR(Q2397="",R2397=""),"",(R2397-Q2397)*24)</f>
        <v/>
      </c>
      <c r="AF2397" s="77">
        <f>IF(OR($A2397="",B2397=""),"",YEAR(B2397))</f>
        <v/>
      </c>
      <c r="AG2397" s="77">
        <f>IF(OR($A2397="",B2397=""),"",MONTH(B2397))</f>
        <v/>
      </c>
    </row>
    <row r="2398">
      <c r="A2398" s="7" t="n"/>
      <c r="B2398" s="75" t="n"/>
      <c r="C2398" s="7" t="n"/>
      <c r="D2398" s="7" t="n"/>
      <c r="E2398" s="9">
        <f>IF(D2398="","",IFERROR(INDEX('Équipements'!$B$5:$B$304,MATCH(D2398,'Équipements'!$A$5:$A$304,0)),"Code inconnu"))</f>
        <v/>
      </c>
      <c r="F2398" s="9">
        <f>IF(D2398="","",IFERROR(INDEX('Équipements'!$D$5:$D$304,MATCH(D2398,'Équipements'!$A$5:$A$304,0)),""))</f>
        <v/>
      </c>
      <c r="G2398" s="9">
        <f>IF(D2398="","",IFERROR(INDEX('Équipements'!$K$5:$K$304,MATCH(D2398,'Équipements'!$A$5:$A$304,0)),""))</f>
        <v/>
      </c>
      <c r="H2398" s="7" t="n"/>
      <c r="I2398" s="7" t="n"/>
      <c r="J2398" s="7" t="n"/>
      <c r="K2398" s="7" t="n"/>
      <c r="L2398" s="7" t="n"/>
      <c r="M2398" s="7" t="n"/>
      <c r="N2398" s="7" t="n"/>
      <c r="O2398" s="7" t="n"/>
      <c r="P2398" s="65" t="n"/>
      <c r="Q2398" s="75" t="n"/>
      <c r="R2398" s="75" t="n"/>
      <c r="S2398" s="76" t="n"/>
      <c r="T2398" s="76" t="n"/>
      <c r="U2398" s="70">
        <f>IF($A2398="","",IFERROR(INDEX('Techniciens'!$F$5:$F$44,MATCH(O2398,'Techniciens'!$B$5:$B$44,0)),'Paramètres'!$AA$10))</f>
        <v/>
      </c>
      <c r="V2398" s="70">
        <f>IF($A2398="","",IF(OR(AC2398="Demandé",AC2398="Planifié",AC2398="Annulé"),0,N(T2398)*N(U2398)))</f>
        <v/>
      </c>
      <c r="W2398" s="70">
        <f>IF($A2398="","",SUMIFS('Mouvements stock'!$H$5:$H$3004,'Mouvements stock'!$I$5:$I$3004,$A2398,'Mouvements stock'!$C$5:$C$3004,"Sortie")-SUMIFS('Mouvements stock'!$H$5:$H$3004,'Mouvements stock'!$I$5:$I$3004,$A2398,'Mouvements stock'!$C$5:$C$3004,"Retour"))</f>
        <v/>
      </c>
      <c r="X2398" s="66" t="n"/>
      <c r="Y2398" s="66" t="n"/>
      <c r="Z2398" s="7" t="n"/>
      <c r="AA2398" s="70">
        <f>IF($A2398="","",N(V2398)+N(W2398)+N(X2398)+N(Y2398))</f>
        <v/>
      </c>
      <c r="AB2398" s="70">
        <f>IF($A2398="","",N(S2398)*'Paramètres'!$AA$9*IFERROR(INDEX('Paramètres'!$O$5:$O$7,MATCH(G2398,'Paramètres'!$N$5:$N$7,0)),0))</f>
        <v/>
      </c>
      <c r="AC2398" s="7" t="n"/>
      <c r="AD2398" s="69">
        <f>IF(OR($A2398="",Q2398=""),"",(Q2398-B2398)*24)</f>
        <v/>
      </c>
      <c r="AE2398" s="69">
        <f>IF(OR(Q2398="",R2398=""),"",(R2398-Q2398)*24)</f>
        <v/>
      </c>
      <c r="AF2398" s="77">
        <f>IF(OR($A2398="",B2398=""),"",YEAR(B2398))</f>
        <v/>
      </c>
      <c r="AG2398" s="77">
        <f>IF(OR($A2398="",B2398=""),"",MONTH(B2398))</f>
        <v/>
      </c>
    </row>
    <row r="2399">
      <c r="A2399" s="7" t="n"/>
      <c r="B2399" s="75" t="n"/>
      <c r="C2399" s="7" t="n"/>
      <c r="D2399" s="7" t="n"/>
      <c r="E2399" s="9">
        <f>IF(D2399="","",IFERROR(INDEX('Équipements'!$B$5:$B$304,MATCH(D2399,'Équipements'!$A$5:$A$304,0)),"Code inconnu"))</f>
        <v/>
      </c>
      <c r="F2399" s="9">
        <f>IF(D2399="","",IFERROR(INDEX('Équipements'!$D$5:$D$304,MATCH(D2399,'Équipements'!$A$5:$A$304,0)),""))</f>
        <v/>
      </c>
      <c r="G2399" s="9">
        <f>IF(D2399="","",IFERROR(INDEX('Équipements'!$K$5:$K$304,MATCH(D2399,'Équipements'!$A$5:$A$304,0)),""))</f>
        <v/>
      </c>
      <c r="H2399" s="7" t="n"/>
      <c r="I2399" s="7" t="n"/>
      <c r="J2399" s="7" t="n"/>
      <c r="K2399" s="7" t="n"/>
      <c r="L2399" s="7" t="n"/>
      <c r="M2399" s="7" t="n"/>
      <c r="N2399" s="7" t="n"/>
      <c r="O2399" s="7" t="n"/>
      <c r="P2399" s="65" t="n"/>
      <c r="Q2399" s="75" t="n"/>
      <c r="R2399" s="75" t="n"/>
      <c r="S2399" s="76" t="n"/>
      <c r="T2399" s="76" t="n"/>
      <c r="U2399" s="70">
        <f>IF($A2399="","",IFERROR(INDEX('Techniciens'!$F$5:$F$44,MATCH(O2399,'Techniciens'!$B$5:$B$44,0)),'Paramètres'!$AA$10))</f>
        <v/>
      </c>
      <c r="V2399" s="70">
        <f>IF($A2399="","",IF(OR(AC2399="Demandé",AC2399="Planifié",AC2399="Annulé"),0,N(T2399)*N(U2399)))</f>
        <v/>
      </c>
      <c r="W2399" s="70">
        <f>IF($A2399="","",SUMIFS('Mouvements stock'!$H$5:$H$3004,'Mouvements stock'!$I$5:$I$3004,$A2399,'Mouvements stock'!$C$5:$C$3004,"Sortie")-SUMIFS('Mouvements stock'!$H$5:$H$3004,'Mouvements stock'!$I$5:$I$3004,$A2399,'Mouvements stock'!$C$5:$C$3004,"Retour"))</f>
        <v/>
      </c>
      <c r="X2399" s="66" t="n"/>
      <c r="Y2399" s="66" t="n"/>
      <c r="Z2399" s="7" t="n"/>
      <c r="AA2399" s="70">
        <f>IF($A2399="","",N(V2399)+N(W2399)+N(X2399)+N(Y2399))</f>
        <v/>
      </c>
      <c r="AB2399" s="70">
        <f>IF($A2399="","",N(S2399)*'Paramètres'!$AA$9*IFERROR(INDEX('Paramètres'!$O$5:$O$7,MATCH(G2399,'Paramètres'!$N$5:$N$7,0)),0))</f>
        <v/>
      </c>
      <c r="AC2399" s="7" t="n"/>
      <c r="AD2399" s="69">
        <f>IF(OR($A2399="",Q2399=""),"",(Q2399-B2399)*24)</f>
        <v/>
      </c>
      <c r="AE2399" s="69">
        <f>IF(OR(Q2399="",R2399=""),"",(R2399-Q2399)*24)</f>
        <v/>
      </c>
      <c r="AF2399" s="77">
        <f>IF(OR($A2399="",B2399=""),"",YEAR(B2399))</f>
        <v/>
      </c>
      <c r="AG2399" s="77">
        <f>IF(OR($A2399="",B2399=""),"",MONTH(B2399))</f>
        <v/>
      </c>
    </row>
    <row r="2400">
      <c r="A2400" s="7" t="n"/>
      <c r="B2400" s="75" t="n"/>
      <c r="C2400" s="7" t="n"/>
      <c r="D2400" s="7" t="n"/>
      <c r="E2400" s="9">
        <f>IF(D2400="","",IFERROR(INDEX('Équipements'!$B$5:$B$304,MATCH(D2400,'Équipements'!$A$5:$A$304,0)),"Code inconnu"))</f>
        <v/>
      </c>
      <c r="F2400" s="9">
        <f>IF(D2400="","",IFERROR(INDEX('Équipements'!$D$5:$D$304,MATCH(D2400,'Équipements'!$A$5:$A$304,0)),""))</f>
        <v/>
      </c>
      <c r="G2400" s="9">
        <f>IF(D2400="","",IFERROR(INDEX('Équipements'!$K$5:$K$304,MATCH(D2400,'Équipements'!$A$5:$A$304,0)),""))</f>
        <v/>
      </c>
      <c r="H2400" s="7" t="n"/>
      <c r="I2400" s="7" t="n"/>
      <c r="J2400" s="7" t="n"/>
      <c r="K2400" s="7" t="n"/>
      <c r="L2400" s="7" t="n"/>
      <c r="M2400" s="7" t="n"/>
      <c r="N2400" s="7" t="n"/>
      <c r="O2400" s="7" t="n"/>
      <c r="P2400" s="65" t="n"/>
      <c r="Q2400" s="75" t="n"/>
      <c r="R2400" s="75" t="n"/>
      <c r="S2400" s="76" t="n"/>
      <c r="T2400" s="76" t="n"/>
      <c r="U2400" s="70">
        <f>IF($A2400="","",IFERROR(INDEX('Techniciens'!$F$5:$F$44,MATCH(O2400,'Techniciens'!$B$5:$B$44,0)),'Paramètres'!$AA$10))</f>
        <v/>
      </c>
      <c r="V2400" s="70">
        <f>IF($A2400="","",IF(OR(AC2400="Demandé",AC2400="Planifié",AC2400="Annulé"),0,N(T2400)*N(U2400)))</f>
        <v/>
      </c>
      <c r="W2400" s="70">
        <f>IF($A2400="","",SUMIFS('Mouvements stock'!$H$5:$H$3004,'Mouvements stock'!$I$5:$I$3004,$A2400,'Mouvements stock'!$C$5:$C$3004,"Sortie")-SUMIFS('Mouvements stock'!$H$5:$H$3004,'Mouvements stock'!$I$5:$I$3004,$A2400,'Mouvements stock'!$C$5:$C$3004,"Retour"))</f>
        <v/>
      </c>
      <c r="X2400" s="66" t="n"/>
      <c r="Y2400" s="66" t="n"/>
      <c r="Z2400" s="7" t="n"/>
      <c r="AA2400" s="70">
        <f>IF($A2400="","",N(V2400)+N(W2400)+N(X2400)+N(Y2400))</f>
        <v/>
      </c>
      <c r="AB2400" s="70">
        <f>IF($A2400="","",N(S2400)*'Paramètres'!$AA$9*IFERROR(INDEX('Paramètres'!$O$5:$O$7,MATCH(G2400,'Paramètres'!$N$5:$N$7,0)),0))</f>
        <v/>
      </c>
      <c r="AC2400" s="7" t="n"/>
      <c r="AD2400" s="69">
        <f>IF(OR($A2400="",Q2400=""),"",(Q2400-B2400)*24)</f>
        <v/>
      </c>
      <c r="AE2400" s="69">
        <f>IF(OR(Q2400="",R2400=""),"",(R2400-Q2400)*24)</f>
        <v/>
      </c>
      <c r="AF2400" s="77">
        <f>IF(OR($A2400="",B2400=""),"",YEAR(B2400))</f>
        <v/>
      </c>
      <c r="AG2400" s="77">
        <f>IF(OR($A2400="",B2400=""),"",MONTH(B2400))</f>
        <v/>
      </c>
    </row>
    <row r="2401">
      <c r="A2401" s="7" t="n"/>
      <c r="B2401" s="75" t="n"/>
      <c r="C2401" s="7" t="n"/>
      <c r="D2401" s="7" t="n"/>
      <c r="E2401" s="9">
        <f>IF(D2401="","",IFERROR(INDEX('Équipements'!$B$5:$B$304,MATCH(D2401,'Équipements'!$A$5:$A$304,0)),"Code inconnu"))</f>
        <v/>
      </c>
      <c r="F2401" s="9">
        <f>IF(D2401="","",IFERROR(INDEX('Équipements'!$D$5:$D$304,MATCH(D2401,'Équipements'!$A$5:$A$304,0)),""))</f>
        <v/>
      </c>
      <c r="G2401" s="9">
        <f>IF(D2401="","",IFERROR(INDEX('Équipements'!$K$5:$K$304,MATCH(D2401,'Équipements'!$A$5:$A$304,0)),""))</f>
        <v/>
      </c>
      <c r="H2401" s="7" t="n"/>
      <c r="I2401" s="7" t="n"/>
      <c r="J2401" s="7" t="n"/>
      <c r="K2401" s="7" t="n"/>
      <c r="L2401" s="7" t="n"/>
      <c r="M2401" s="7" t="n"/>
      <c r="N2401" s="7" t="n"/>
      <c r="O2401" s="7" t="n"/>
      <c r="P2401" s="65" t="n"/>
      <c r="Q2401" s="75" t="n"/>
      <c r="R2401" s="75" t="n"/>
      <c r="S2401" s="76" t="n"/>
      <c r="T2401" s="76" t="n"/>
      <c r="U2401" s="70">
        <f>IF($A2401="","",IFERROR(INDEX('Techniciens'!$F$5:$F$44,MATCH(O2401,'Techniciens'!$B$5:$B$44,0)),'Paramètres'!$AA$10))</f>
        <v/>
      </c>
      <c r="V2401" s="70">
        <f>IF($A2401="","",IF(OR(AC2401="Demandé",AC2401="Planifié",AC2401="Annulé"),0,N(T2401)*N(U2401)))</f>
        <v/>
      </c>
      <c r="W2401" s="70">
        <f>IF($A2401="","",SUMIFS('Mouvements stock'!$H$5:$H$3004,'Mouvements stock'!$I$5:$I$3004,$A2401,'Mouvements stock'!$C$5:$C$3004,"Sortie")-SUMIFS('Mouvements stock'!$H$5:$H$3004,'Mouvements stock'!$I$5:$I$3004,$A2401,'Mouvements stock'!$C$5:$C$3004,"Retour"))</f>
        <v/>
      </c>
      <c r="X2401" s="66" t="n"/>
      <c r="Y2401" s="66" t="n"/>
      <c r="Z2401" s="7" t="n"/>
      <c r="AA2401" s="70">
        <f>IF($A2401="","",N(V2401)+N(W2401)+N(X2401)+N(Y2401))</f>
        <v/>
      </c>
      <c r="AB2401" s="70">
        <f>IF($A2401="","",N(S2401)*'Paramètres'!$AA$9*IFERROR(INDEX('Paramètres'!$O$5:$O$7,MATCH(G2401,'Paramètres'!$N$5:$N$7,0)),0))</f>
        <v/>
      </c>
      <c r="AC2401" s="7" t="n"/>
      <c r="AD2401" s="69">
        <f>IF(OR($A2401="",Q2401=""),"",(Q2401-B2401)*24)</f>
        <v/>
      </c>
      <c r="AE2401" s="69">
        <f>IF(OR(Q2401="",R2401=""),"",(R2401-Q2401)*24)</f>
        <v/>
      </c>
      <c r="AF2401" s="77">
        <f>IF(OR($A2401="",B2401=""),"",YEAR(B2401))</f>
        <v/>
      </c>
      <c r="AG2401" s="77">
        <f>IF(OR($A2401="",B2401=""),"",MONTH(B2401))</f>
        <v/>
      </c>
    </row>
    <row r="2402">
      <c r="A2402" s="7" t="n"/>
      <c r="B2402" s="75" t="n"/>
      <c r="C2402" s="7" t="n"/>
      <c r="D2402" s="7" t="n"/>
      <c r="E2402" s="9">
        <f>IF(D2402="","",IFERROR(INDEX('Équipements'!$B$5:$B$304,MATCH(D2402,'Équipements'!$A$5:$A$304,0)),"Code inconnu"))</f>
        <v/>
      </c>
      <c r="F2402" s="9">
        <f>IF(D2402="","",IFERROR(INDEX('Équipements'!$D$5:$D$304,MATCH(D2402,'Équipements'!$A$5:$A$304,0)),""))</f>
        <v/>
      </c>
      <c r="G2402" s="9">
        <f>IF(D2402="","",IFERROR(INDEX('Équipements'!$K$5:$K$304,MATCH(D2402,'Équipements'!$A$5:$A$304,0)),""))</f>
        <v/>
      </c>
      <c r="H2402" s="7" t="n"/>
      <c r="I2402" s="7" t="n"/>
      <c r="J2402" s="7" t="n"/>
      <c r="K2402" s="7" t="n"/>
      <c r="L2402" s="7" t="n"/>
      <c r="M2402" s="7" t="n"/>
      <c r="N2402" s="7" t="n"/>
      <c r="O2402" s="7" t="n"/>
      <c r="P2402" s="65" t="n"/>
      <c r="Q2402" s="75" t="n"/>
      <c r="R2402" s="75" t="n"/>
      <c r="S2402" s="76" t="n"/>
      <c r="T2402" s="76" t="n"/>
      <c r="U2402" s="70">
        <f>IF($A2402="","",IFERROR(INDEX('Techniciens'!$F$5:$F$44,MATCH(O2402,'Techniciens'!$B$5:$B$44,0)),'Paramètres'!$AA$10))</f>
        <v/>
      </c>
      <c r="V2402" s="70">
        <f>IF($A2402="","",IF(OR(AC2402="Demandé",AC2402="Planifié",AC2402="Annulé"),0,N(T2402)*N(U2402)))</f>
        <v/>
      </c>
      <c r="W2402" s="70">
        <f>IF($A2402="","",SUMIFS('Mouvements stock'!$H$5:$H$3004,'Mouvements stock'!$I$5:$I$3004,$A2402,'Mouvements stock'!$C$5:$C$3004,"Sortie")-SUMIFS('Mouvements stock'!$H$5:$H$3004,'Mouvements stock'!$I$5:$I$3004,$A2402,'Mouvements stock'!$C$5:$C$3004,"Retour"))</f>
        <v/>
      </c>
      <c r="X2402" s="66" t="n"/>
      <c r="Y2402" s="66" t="n"/>
      <c r="Z2402" s="7" t="n"/>
      <c r="AA2402" s="70">
        <f>IF($A2402="","",N(V2402)+N(W2402)+N(X2402)+N(Y2402))</f>
        <v/>
      </c>
      <c r="AB2402" s="70">
        <f>IF($A2402="","",N(S2402)*'Paramètres'!$AA$9*IFERROR(INDEX('Paramètres'!$O$5:$O$7,MATCH(G2402,'Paramètres'!$N$5:$N$7,0)),0))</f>
        <v/>
      </c>
      <c r="AC2402" s="7" t="n"/>
      <c r="AD2402" s="69">
        <f>IF(OR($A2402="",Q2402=""),"",(Q2402-B2402)*24)</f>
        <v/>
      </c>
      <c r="AE2402" s="69">
        <f>IF(OR(Q2402="",R2402=""),"",(R2402-Q2402)*24)</f>
        <v/>
      </c>
      <c r="AF2402" s="77">
        <f>IF(OR($A2402="",B2402=""),"",YEAR(B2402))</f>
        <v/>
      </c>
      <c r="AG2402" s="77">
        <f>IF(OR($A2402="",B2402=""),"",MONTH(B2402))</f>
        <v/>
      </c>
    </row>
    <row r="2403">
      <c r="A2403" s="7" t="n"/>
      <c r="B2403" s="75" t="n"/>
      <c r="C2403" s="7" t="n"/>
      <c r="D2403" s="7" t="n"/>
      <c r="E2403" s="9">
        <f>IF(D2403="","",IFERROR(INDEX('Équipements'!$B$5:$B$304,MATCH(D2403,'Équipements'!$A$5:$A$304,0)),"Code inconnu"))</f>
        <v/>
      </c>
      <c r="F2403" s="9">
        <f>IF(D2403="","",IFERROR(INDEX('Équipements'!$D$5:$D$304,MATCH(D2403,'Équipements'!$A$5:$A$304,0)),""))</f>
        <v/>
      </c>
      <c r="G2403" s="9">
        <f>IF(D2403="","",IFERROR(INDEX('Équipements'!$K$5:$K$304,MATCH(D2403,'Équipements'!$A$5:$A$304,0)),""))</f>
        <v/>
      </c>
      <c r="H2403" s="7" t="n"/>
      <c r="I2403" s="7" t="n"/>
      <c r="J2403" s="7" t="n"/>
      <c r="K2403" s="7" t="n"/>
      <c r="L2403" s="7" t="n"/>
      <c r="M2403" s="7" t="n"/>
      <c r="N2403" s="7" t="n"/>
      <c r="O2403" s="7" t="n"/>
      <c r="P2403" s="65" t="n"/>
      <c r="Q2403" s="75" t="n"/>
      <c r="R2403" s="75" t="n"/>
      <c r="S2403" s="76" t="n"/>
      <c r="T2403" s="76" t="n"/>
      <c r="U2403" s="70">
        <f>IF($A2403="","",IFERROR(INDEX('Techniciens'!$F$5:$F$44,MATCH(O2403,'Techniciens'!$B$5:$B$44,0)),'Paramètres'!$AA$10))</f>
        <v/>
      </c>
      <c r="V2403" s="70">
        <f>IF($A2403="","",IF(OR(AC2403="Demandé",AC2403="Planifié",AC2403="Annulé"),0,N(T2403)*N(U2403)))</f>
        <v/>
      </c>
      <c r="W2403" s="70">
        <f>IF($A2403="","",SUMIFS('Mouvements stock'!$H$5:$H$3004,'Mouvements stock'!$I$5:$I$3004,$A2403,'Mouvements stock'!$C$5:$C$3004,"Sortie")-SUMIFS('Mouvements stock'!$H$5:$H$3004,'Mouvements stock'!$I$5:$I$3004,$A2403,'Mouvements stock'!$C$5:$C$3004,"Retour"))</f>
        <v/>
      </c>
      <c r="X2403" s="66" t="n"/>
      <c r="Y2403" s="66" t="n"/>
      <c r="Z2403" s="7" t="n"/>
      <c r="AA2403" s="70">
        <f>IF($A2403="","",N(V2403)+N(W2403)+N(X2403)+N(Y2403))</f>
        <v/>
      </c>
      <c r="AB2403" s="70">
        <f>IF($A2403="","",N(S2403)*'Paramètres'!$AA$9*IFERROR(INDEX('Paramètres'!$O$5:$O$7,MATCH(G2403,'Paramètres'!$N$5:$N$7,0)),0))</f>
        <v/>
      </c>
      <c r="AC2403" s="7" t="n"/>
      <c r="AD2403" s="69">
        <f>IF(OR($A2403="",Q2403=""),"",(Q2403-B2403)*24)</f>
        <v/>
      </c>
      <c r="AE2403" s="69">
        <f>IF(OR(Q2403="",R2403=""),"",(R2403-Q2403)*24)</f>
        <v/>
      </c>
      <c r="AF2403" s="77">
        <f>IF(OR($A2403="",B2403=""),"",YEAR(B2403))</f>
        <v/>
      </c>
      <c r="AG2403" s="77">
        <f>IF(OR($A2403="",B2403=""),"",MONTH(B2403))</f>
        <v/>
      </c>
    </row>
    <row r="2404">
      <c r="A2404" s="7" t="n"/>
      <c r="B2404" s="75" t="n"/>
      <c r="C2404" s="7" t="n"/>
      <c r="D2404" s="7" t="n"/>
      <c r="E2404" s="9">
        <f>IF(D2404="","",IFERROR(INDEX('Équipements'!$B$5:$B$304,MATCH(D2404,'Équipements'!$A$5:$A$304,0)),"Code inconnu"))</f>
        <v/>
      </c>
      <c r="F2404" s="9">
        <f>IF(D2404="","",IFERROR(INDEX('Équipements'!$D$5:$D$304,MATCH(D2404,'Équipements'!$A$5:$A$304,0)),""))</f>
        <v/>
      </c>
      <c r="G2404" s="9">
        <f>IF(D2404="","",IFERROR(INDEX('Équipements'!$K$5:$K$304,MATCH(D2404,'Équipements'!$A$5:$A$304,0)),""))</f>
        <v/>
      </c>
      <c r="H2404" s="7" t="n"/>
      <c r="I2404" s="7" t="n"/>
      <c r="J2404" s="7" t="n"/>
      <c r="K2404" s="7" t="n"/>
      <c r="L2404" s="7" t="n"/>
      <c r="M2404" s="7" t="n"/>
      <c r="N2404" s="7" t="n"/>
      <c r="O2404" s="7" t="n"/>
      <c r="P2404" s="65" t="n"/>
      <c r="Q2404" s="75" t="n"/>
      <c r="R2404" s="75" t="n"/>
      <c r="S2404" s="76" t="n"/>
      <c r="T2404" s="76" t="n"/>
      <c r="U2404" s="70">
        <f>IF($A2404="","",IFERROR(INDEX('Techniciens'!$F$5:$F$44,MATCH(O2404,'Techniciens'!$B$5:$B$44,0)),'Paramètres'!$AA$10))</f>
        <v/>
      </c>
      <c r="V2404" s="70">
        <f>IF($A2404="","",IF(OR(AC2404="Demandé",AC2404="Planifié",AC2404="Annulé"),0,N(T2404)*N(U2404)))</f>
        <v/>
      </c>
      <c r="W2404" s="70">
        <f>IF($A2404="","",SUMIFS('Mouvements stock'!$H$5:$H$3004,'Mouvements stock'!$I$5:$I$3004,$A2404,'Mouvements stock'!$C$5:$C$3004,"Sortie")-SUMIFS('Mouvements stock'!$H$5:$H$3004,'Mouvements stock'!$I$5:$I$3004,$A2404,'Mouvements stock'!$C$5:$C$3004,"Retour"))</f>
        <v/>
      </c>
      <c r="X2404" s="66" t="n"/>
      <c r="Y2404" s="66" t="n"/>
      <c r="Z2404" s="7" t="n"/>
      <c r="AA2404" s="70">
        <f>IF($A2404="","",N(V2404)+N(W2404)+N(X2404)+N(Y2404))</f>
        <v/>
      </c>
      <c r="AB2404" s="70">
        <f>IF($A2404="","",N(S2404)*'Paramètres'!$AA$9*IFERROR(INDEX('Paramètres'!$O$5:$O$7,MATCH(G2404,'Paramètres'!$N$5:$N$7,0)),0))</f>
        <v/>
      </c>
      <c r="AC2404" s="7" t="n"/>
      <c r="AD2404" s="69">
        <f>IF(OR($A2404="",Q2404=""),"",(Q2404-B2404)*24)</f>
        <v/>
      </c>
      <c r="AE2404" s="69">
        <f>IF(OR(Q2404="",R2404=""),"",(R2404-Q2404)*24)</f>
        <v/>
      </c>
      <c r="AF2404" s="77">
        <f>IF(OR($A2404="",B2404=""),"",YEAR(B2404))</f>
        <v/>
      </c>
      <c r="AG2404" s="77">
        <f>IF(OR($A2404="",B2404=""),"",MONTH(B2404))</f>
        <v/>
      </c>
    </row>
    <row r="2405">
      <c r="A2405" s="7" t="n"/>
      <c r="B2405" s="75" t="n"/>
      <c r="C2405" s="7" t="n"/>
      <c r="D2405" s="7" t="n"/>
      <c r="E2405" s="9">
        <f>IF(D2405="","",IFERROR(INDEX('Équipements'!$B$5:$B$304,MATCH(D2405,'Équipements'!$A$5:$A$304,0)),"Code inconnu"))</f>
        <v/>
      </c>
      <c r="F2405" s="9">
        <f>IF(D2405="","",IFERROR(INDEX('Équipements'!$D$5:$D$304,MATCH(D2405,'Équipements'!$A$5:$A$304,0)),""))</f>
        <v/>
      </c>
      <c r="G2405" s="9">
        <f>IF(D2405="","",IFERROR(INDEX('Équipements'!$K$5:$K$304,MATCH(D2405,'Équipements'!$A$5:$A$304,0)),""))</f>
        <v/>
      </c>
      <c r="H2405" s="7" t="n"/>
      <c r="I2405" s="7" t="n"/>
      <c r="J2405" s="7" t="n"/>
      <c r="K2405" s="7" t="n"/>
      <c r="L2405" s="7" t="n"/>
      <c r="M2405" s="7" t="n"/>
      <c r="N2405" s="7" t="n"/>
      <c r="O2405" s="7" t="n"/>
      <c r="P2405" s="65" t="n"/>
      <c r="Q2405" s="75" t="n"/>
      <c r="R2405" s="75" t="n"/>
      <c r="S2405" s="76" t="n"/>
      <c r="T2405" s="76" t="n"/>
      <c r="U2405" s="70">
        <f>IF($A2405="","",IFERROR(INDEX('Techniciens'!$F$5:$F$44,MATCH(O2405,'Techniciens'!$B$5:$B$44,0)),'Paramètres'!$AA$10))</f>
        <v/>
      </c>
      <c r="V2405" s="70">
        <f>IF($A2405="","",IF(OR(AC2405="Demandé",AC2405="Planifié",AC2405="Annulé"),0,N(T2405)*N(U2405)))</f>
        <v/>
      </c>
      <c r="W2405" s="70">
        <f>IF($A2405="","",SUMIFS('Mouvements stock'!$H$5:$H$3004,'Mouvements stock'!$I$5:$I$3004,$A2405,'Mouvements stock'!$C$5:$C$3004,"Sortie")-SUMIFS('Mouvements stock'!$H$5:$H$3004,'Mouvements stock'!$I$5:$I$3004,$A2405,'Mouvements stock'!$C$5:$C$3004,"Retour"))</f>
        <v/>
      </c>
      <c r="X2405" s="66" t="n"/>
      <c r="Y2405" s="66" t="n"/>
      <c r="Z2405" s="7" t="n"/>
      <c r="AA2405" s="70">
        <f>IF($A2405="","",N(V2405)+N(W2405)+N(X2405)+N(Y2405))</f>
        <v/>
      </c>
      <c r="AB2405" s="70">
        <f>IF($A2405="","",N(S2405)*'Paramètres'!$AA$9*IFERROR(INDEX('Paramètres'!$O$5:$O$7,MATCH(G2405,'Paramètres'!$N$5:$N$7,0)),0))</f>
        <v/>
      </c>
      <c r="AC2405" s="7" t="n"/>
      <c r="AD2405" s="69">
        <f>IF(OR($A2405="",Q2405=""),"",(Q2405-B2405)*24)</f>
        <v/>
      </c>
      <c r="AE2405" s="69">
        <f>IF(OR(Q2405="",R2405=""),"",(R2405-Q2405)*24)</f>
        <v/>
      </c>
      <c r="AF2405" s="77">
        <f>IF(OR($A2405="",B2405=""),"",YEAR(B2405))</f>
        <v/>
      </c>
      <c r="AG2405" s="77">
        <f>IF(OR($A2405="",B2405=""),"",MONTH(B2405))</f>
        <v/>
      </c>
    </row>
    <row r="2406">
      <c r="A2406" s="7" t="n"/>
      <c r="B2406" s="75" t="n"/>
      <c r="C2406" s="7" t="n"/>
      <c r="D2406" s="7" t="n"/>
      <c r="E2406" s="9">
        <f>IF(D2406="","",IFERROR(INDEX('Équipements'!$B$5:$B$304,MATCH(D2406,'Équipements'!$A$5:$A$304,0)),"Code inconnu"))</f>
        <v/>
      </c>
      <c r="F2406" s="9">
        <f>IF(D2406="","",IFERROR(INDEX('Équipements'!$D$5:$D$304,MATCH(D2406,'Équipements'!$A$5:$A$304,0)),""))</f>
        <v/>
      </c>
      <c r="G2406" s="9">
        <f>IF(D2406="","",IFERROR(INDEX('Équipements'!$K$5:$K$304,MATCH(D2406,'Équipements'!$A$5:$A$304,0)),""))</f>
        <v/>
      </c>
      <c r="H2406" s="7" t="n"/>
      <c r="I2406" s="7" t="n"/>
      <c r="J2406" s="7" t="n"/>
      <c r="K2406" s="7" t="n"/>
      <c r="L2406" s="7" t="n"/>
      <c r="M2406" s="7" t="n"/>
      <c r="N2406" s="7" t="n"/>
      <c r="O2406" s="7" t="n"/>
      <c r="P2406" s="65" t="n"/>
      <c r="Q2406" s="75" t="n"/>
      <c r="R2406" s="75" t="n"/>
      <c r="S2406" s="76" t="n"/>
      <c r="T2406" s="76" t="n"/>
      <c r="U2406" s="70">
        <f>IF($A2406="","",IFERROR(INDEX('Techniciens'!$F$5:$F$44,MATCH(O2406,'Techniciens'!$B$5:$B$44,0)),'Paramètres'!$AA$10))</f>
        <v/>
      </c>
      <c r="V2406" s="70">
        <f>IF($A2406="","",IF(OR(AC2406="Demandé",AC2406="Planifié",AC2406="Annulé"),0,N(T2406)*N(U2406)))</f>
        <v/>
      </c>
      <c r="W2406" s="70">
        <f>IF($A2406="","",SUMIFS('Mouvements stock'!$H$5:$H$3004,'Mouvements stock'!$I$5:$I$3004,$A2406,'Mouvements stock'!$C$5:$C$3004,"Sortie")-SUMIFS('Mouvements stock'!$H$5:$H$3004,'Mouvements stock'!$I$5:$I$3004,$A2406,'Mouvements stock'!$C$5:$C$3004,"Retour"))</f>
        <v/>
      </c>
      <c r="X2406" s="66" t="n"/>
      <c r="Y2406" s="66" t="n"/>
      <c r="Z2406" s="7" t="n"/>
      <c r="AA2406" s="70">
        <f>IF($A2406="","",N(V2406)+N(W2406)+N(X2406)+N(Y2406))</f>
        <v/>
      </c>
      <c r="AB2406" s="70">
        <f>IF($A2406="","",N(S2406)*'Paramètres'!$AA$9*IFERROR(INDEX('Paramètres'!$O$5:$O$7,MATCH(G2406,'Paramètres'!$N$5:$N$7,0)),0))</f>
        <v/>
      </c>
      <c r="AC2406" s="7" t="n"/>
      <c r="AD2406" s="69">
        <f>IF(OR($A2406="",Q2406=""),"",(Q2406-B2406)*24)</f>
        <v/>
      </c>
      <c r="AE2406" s="69">
        <f>IF(OR(Q2406="",R2406=""),"",(R2406-Q2406)*24)</f>
        <v/>
      </c>
      <c r="AF2406" s="77">
        <f>IF(OR($A2406="",B2406=""),"",YEAR(B2406))</f>
        <v/>
      </c>
      <c r="AG2406" s="77">
        <f>IF(OR($A2406="",B2406=""),"",MONTH(B2406))</f>
        <v/>
      </c>
    </row>
    <row r="2407">
      <c r="A2407" s="7" t="n"/>
      <c r="B2407" s="75" t="n"/>
      <c r="C2407" s="7" t="n"/>
      <c r="D2407" s="7" t="n"/>
      <c r="E2407" s="9">
        <f>IF(D2407="","",IFERROR(INDEX('Équipements'!$B$5:$B$304,MATCH(D2407,'Équipements'!$A$5:$A$304,0)),"Code inconnu"))</f>
        <v/>
      </c>
      <c r="F2407" s="9">
        <f>IF(D2407="","",IFERROR(INDEX('Équipements'!$D$5:$D$304,MATCH(D2407,'Équipements'!$A$5:$A$304,0)),""))</f>
        <v/>
      </c>
      <c r="G2407" s="9">
        <f>IF(D2407="","",IFERROR(INDEX('Équipements'!$K$5:$K$304,MATCH(D2407,'Équipements'!$A$5:$A$304,0)),""))</f>
        <v/>
      </c>
      <c r="H2407" s="7" t="n"/>
      <c r="I2407" s="7" t="n"/>
      <c r="J2407" s="7" t="n"/>
      <c r="K2407" s="7" t="n"/>
      <c r="L2407" s="7" t="n"/>
      <c r="M2407" s="7" t="n"/>
      <c r="N2407" s="7" t="n"/>
      <c r="O2407" s="7" t="n"/>
      <c r="P2407" s="65" t="n"/>
      <c r="Q2407" s="75" t="n"/>
      <c r="R2407" s="75" t="n"/>
      <c r="S2407" s="76" t="n"/>
      <c r="T2407" s="76" t="n"/>
      <c r="U2407" s="70">
        <f>IF($A2407="","",IFERROR(INDEX('Techniciens'!$F$5:$F$44,MATCH(O2407,'Techniciens'!$B$5:$B$44,0)),'Paramètres'!$AA$10))</f>
        <v/>
      </c>
      <c r="V2407" s="70">
        <f>IF($A2407="","",IF(OR(AC2407="Demandé",AC2407="Planifié",AC2407="Annulé"),0,N(T2407)*N(U2407)))</f>
        <v/>
      </c>
      <c r="W2407" s="70">
        <f>IF($A2407="","",SUMIFS('Mouvements stock'!$H$5:$H$3004,'Mouvements stock'!$I$5:$I$3004,$A2407,'Mouvements stock'!$C$5:$C$3004,"Sortie")-SUMIFS('Mouvements stock'!$H$5:$H$3004,'Mouvements stock'!$I$5:$I$3004,$A2407,'Mouvements stock'!$C$5:$C$3004,"Retour"))</f>
        <v/>
      </c>
      <c r="X2407" s="66" t="n"/>
      <c r="Y2407" s="66" t="n"/>
      <c r="Z2407" s="7" t="n"/>
      <c r="AA2407" s="70">
        <f>IF($A2407="","",N(V2407)+N(W2407)+N(X2407)+N(Y2407))</f>
        <v/>
      </c>
      <c r="AB2407" s="70">
        <f>IF($A2407="","",N(S2407)*'Paramètres'!$AA$9*IFERROR(INDEX('Paramètres'!$O$5:$O$7,MATCH(G2407,'Paramètres'!$N$5:$N$7,0)),0))</f>
        <v/>
      </c>
      <c r="AC2407" s="7" t="n"/>
      <c r="AD2407" s="69">
        <f>IF(OR($A2407="",Q2407=""),"",(Q2407-B2407)*24)</f>
        <v/>
      </c>
      <c r="AE2407" s="69">
        <f>IF(OR(Q2407="",R2407=""),"",(R2407-Q2407)*24)</f>
        <v/>
      </c>
      <c r="AF2407" s="77">
        <f>IF(OR($A2407="",B2407=""),"",YEAR(B2407))</f>
        <v/>
      </c>
      <c r="AG2407" s="77">
        <f>IF(OR($A2407="",B2407=""),"",MONTH(B2407))</f>
        <v/>
      </c>
    </row>
    <row r="2408">
      <c r="A2408" s="7" t="n"/>
      <c r="B2408" s="75" t="n"/>
      <c r="C2408" s="7" t="n"/>
      <c r="D2408" s="7" t="n"/>
      <c r="E2408" s="9">
        <f>IF(D2408="","",IFERROR(INDEX('Équipements'!$B$5:$B$304,MATCH(D2408,'Équipements'!$A$5:$A$304,0)),"Code inconnu"))</f>
        <v/>
      </c>
      <c r="F2408" s="9">
        <f>IF(D2408="","",IFERROR(INDEX('Équipements'!$D$5:$D$304,MATCH(D2408,'Équipements'!$A$5:$A$304,0)),""))</f>
        <v/>
      </c>
      <c r="G2408" s="9">
        <f>IF(D2408="","",IFERROR(INDEX('Équipements'!$K$5:$K$304,MATCH(D2408,'Équipements'!$A$5:$A$304,0)),""))</f>
        <v/>
      </c>
      <c r="H2408" s="7" t="n"/>
      <c r="I2408" s="7" t="n"/>
      <c r="J2408" s="7" t="n"/>
      <c r="K2408" s="7" t="n"/>
      <c r="L2408" s="7" t="n"/>
      <c r="M2408" s="7" t="n"/>
      <c r="N2408" s="7" t="n"/>
      <c r="O2408" s="7" t="n"/>
      <c r="P2408" s="65" t="n"/>
      <c r="Q2408" s="75" t="n"/>
      <c r="R2408" s="75" t="n"/>
      <c r="S2408" s="76" t="n"/>
      <c r="T2408" s="76" t="n"/>
      <c r="U2408" s="70">
        <f>IF($A2408="","",IFERROR(INDEX('Techniciens'!$F$5:$F$44,MATCH(O2408,'Techniciens'!$B$5:$B$44,0)),'Paramètres'!$AA$10))</f>
        <v/>
      </c>
      <c r="V2408" s="70">
        <f>IF($A2408="","",IF(OR(AC2408="Demandé",AC2408="Planifié",AC2408="Annulé"),0,N(T2408)*N(U2408)))</f>
        <v/>
      </c>
      <c r="W2408" s="70">
        <f>IF($A2408="","",SUMIFS('Mouvements stock'!$H$5:$H$3004,'Mouvements stock'!$I$5:$I$3004,$A2408,'Mouvements stock'!$C$5:$C$3004,"Sortie")-SUMIFS('Mouvements stock'!$H$5:$H$3004,'Mouvements stock'!$I$5:$I$3004,$A2408,'Mouvements stock'!$C$5:$C$3004,"Retour"))</f>
        <v/>
      </c>
      <c r="X2408" s="66" t="n"/>
      <c r="Y2408" s="66" t="n"/>
      <c r="Z2408" s="7" t="n"/>
      <c r="AA2408" s="70">
        <f>IF($A2408="","",N(V2408)+N(W2408)+N(X2408)+N(Y2408))</f>
        <v/>
      </c>
      <c r="AB2408" s="70">
        <f>IF($A2408="","",N(S2408)*'Paramètres'!$AA$9*IFERROR(INDEX('Paramètres'!$O$5:$O$7,MATCH(G2408,'Paramètres'!$N$5:$N$7,0)),0))</f>
        <v/>
      </c>
      <c r="AC2408" s="7" t="n"/>
      <c r="AD2408" s="69">
        <f>IF(OR($A2408="",Q2408=""),"",(Q2408-B2408)*24)</f>
        <v/>
      </c>
      <c r="AE2408" s="69">
        <f>IF(OR(Q2408="",R2408=""),"",(R2408-Q2408)*24)</f>
        <v/>
      </c>
      <c r="AF2408" s="77">
        <f>IF(OR($A2408="",B2408=""),"",YEAR(B2408))</f>
        <v/>
      </c>
      <c r="AG2408" s="77">
        <f>IF(OR($A2408="",B2408=""),"",MONTH(B2408))</f>
        <v/>
      </c>
    </row>
    <row r="2409">
      <c r="A2409" s="7" t="n"/>
      <c r="B2409" s="75" t="n"/>
      <c r="C2409" s="7" t="n"/>
      <c r="D2409" s="7" t="n"/>
      <c r="E2409" s="9">
        <f>IF(D2409="","",IFERROR(INDEX('Équipements'!$B$5:$B$304,MATCH(D2409,'Équipements'!$A$5:$A$304,0)),"Code inconnu"))</f>
        <v/>
      </c>
      <c r="F2409" s="9">
        <f>IF(D2409="","",IFERROR(INDEX('Équipements'!$D$5:$D$304,MATCH(D2409,'Équipements'!$A$5:$A$304,0)),""))</f>
        <v/>
      </c>
      <c r="G2409" s="9">
        <f>IF(D2409="","",IFERROR(INDEX('Équipements'!$K$5:$K$304,MATCH(D2409,'Équipements'!$A$5:$A$304,0)),""))</f>
        <v/>
      </c>
      <c r="H2409" s="7" t="n"/>
      <c r="I2409" s="7" t="n"/>
      <c r="J2409" s="7" t="n"/>
      <c r="K2409" s="7" t="n"/>
      <c r="L2409" s="7" t="n"/>
      <c r="M2409" s="7" t="n"/>
      <c r="N2409" s="7" t="n"/>
      <c r="O2409" s="7" t="n"/>
      <c r="P2409" s="65" t="n"/>
      <c r="Q2409" s="75" t="n"/>
      <c r="R2409" s="75" t="n"/>
      <c r="S2409" s="76" t="n"/>
      <c r="T2409" s="76" t="n"/>
      <c r="U2409" s="70">
        <f>IF($A2409="","",IFERROR(INDEX('Techniciens'!$F$5:$F$44,MATCH(O2409,'Techniciens'!$B$5:$B$44,0)),'Paramètres'!$AA$10))</f>
        <v/>
      </c>
      <c r="V2409" s="70">
        <f>IF($A2409="","",IF(OR(AC2409="Demandé",AC2409="Planifié",AC2409="Annulé"),0,N(T2409)*N(U2409)))</f>
        <v/>
      </c>
      <c r="W2409" s="70">
        <f>IF($A2409="","",SUMIFS('Mouvements stock'!$H$5:$H$3004,'Mouvements stock'!$I$5:$I$3004,$A2409,'Mouvements stock'!$C$5:$C$3004,"Sortie")-SUMIFS('Mouvements stock'!$H$5:$H$3004,'Mouvements stock'!$I$5:$I$3004,$A2409,'Mouvements stock'!$C$5:$C$3004,"Retour"))</f>
        <v/>
      </c>
      <c r="X2409" s="66" t="n"/>
      <c r="Y2409" s="66" t="n"/>
      <c r="Z2409" s="7" t="n"/>
      <c r="AA2409" s="70">
        <f>IF($A2409="","",N(V2409)+N(W2409)+N(X2409)+N(Y2409))</f>
        <v/>
      </c>
      <c r="AB2409" s="70">
        <f>IF($A2409="","",N(S2409)*'Paramètres'!$AA$9*IFERROR(INDEX('Paramètres'!$O$5:$O$7,MATCH(G2409,'Paramètres'!$N$5:$N$7,0)),0))</f>
        <v/>
      </c>
      <c r="AC2409" s="7" t="n"/>
      <c r="AD2409" s="69">
        <f>IF(OR($A2409="",Q2409=""),"",(Q2409-B2409)*24)</f>
        <v/>
      </c>
      <c r="AE2409" s="69">
        <f>IF(OR(Q2409="",R2409=""),"",(R2409-Q2409)*24)</f>
        <v/>
      </c>
      <c r="AF2409" s="77">
        <f>IF(OR($A2409="",B2409=""),"",YEAR(B2409))</f>
        <v/>
      </c>
      <c r="AG2409" s="77">
        <f>IF(OR($A2409="",B2409=""),"",MONTH(B2409))</f>
        <v/>
      </c>
    </row>
    <row r="2410">
      <c r="A2410" s="7" t="n"/>
      <c r="B2410" s="75" t="n"/>
      <c r="C2410" s="7" t="n"/>
      <c r="D2410" s="7" t="n"/>
      <c r="E2410" s="9">
        <f>IF(D2410="","",IFERROR(INDEX('Équipements'!$B$5:$B$304,MATCH(D2410,'Équipements'!$A$5:$A$304,0)),"Code inconnu"))</f>
        <v/>
      </c>
      <c r="F2410" s="9">
        <f>IF(D2410="","",IFERROR(INDEX('Équipements'!$D$5:$D$304,MATCH(D2410,'Équipements'!$A$5:$A$304,0)),""))</f>
        <v/>
      </c>
      <c r="G2410" s="9">
        <f>IF(D2410="","",IFERROR(INDEX('Équipements'!$K$5:$K$304,MATCH(D2410,'Équipements'!$A$5:$A$304,0)),""))</f>
        <v/>
      </c>
      <c r="H2410" s="7" t="n"/>
      <c r="I2410" s="7" t="n"/>
      <c r="J2410" s="7" t="n"/>
      <c r="K2410" s="7" t="n"/>
      <c r="L2410" s="7" t="n"/>
      <c r="M2410" s="7" t="n"/>
      <c r="N2410" s="7" t="n"/>
      <c r="O2410" s="7" t="n"/>
      <c r="P2410" s="65" t="n"/>
      <c r="Q2410" s="75" t="n"/>
      <c r="R2410" s="75" t="n"/>
      <c r="S2410" s="76" t="n"/>
      <c r="T2410" s="76" t="n"/>
      <c r="U2410" s="70">
        <f>IF($A2410="","",IFERROR(INDEX('Techniciens'!$F$5:$F$44,MATCH(O2410,'Techniciens'!$B$5:$B$44,0)),'Paramètres'!$AA$10))</f>
        <v/>
      </c>
      <c r="V2410" s="70">
        <f>IF($A2410="","",IF(OR(AC2410="Demandé",AC2410="Planifié",AC2410="Annulé"),0,N(T2410)*N(U2410)))</f>
        <v/>
      </c>
      <c r="W2410" s="70">
        <f>IF($A2410="","",SUMIFS('Mouvements stock'!$H$5:$H$3004,'Mouvements stock'!$I$5:$I$3004,$A2410,'Mouvements stock'!$C$5:$C$3004,"Sortie")-SUMIFS('Mouvements stock'!$H$5:$H$3004,'Mouvements stock'!$I$5:$I$3004,$A2410,'Mouvements stock'!$C$5:$C$3004,"Retour"))</f>
        <v/>
      </c>
      <c r="X2410" s="66" t="n"/>
      <c r="Y2410" s="66" t="n"/>
      <c r="Z2410" s="7" t="n"/>
      <c r="AA2410" s="70">
        <f>IF($A2410="","",N(V2410)+N(W2410)+N(X2410)+N(Y2410))</f>
        <v/>
      </c>
      <c r="AB2410" s="70">
        <f>IF($A2410="","",N(S2410)*'Paramètres'!$AA$9*IFERROR(INDEX('Paramètres'!$O$5:$O$7,MATCH(G2410,'Paramètres'!$N$5:$N$7,0)),0))</f>
        <v/>
      </c>
      <c r="AC2410" s="7" t="n"/>
      <c r="AD2410" s="69">
        <f>IF(OR($A2410="",Q2410=""),"",(Q2410-B2410)*24)</f>
        <v/>
      </c>
      <c r="AE2410" s="69">
        <f>IF(OR(Q2410="",R2410=""),"",(R2410-Q2410)*24)</f>
        <v/>
      </c>
      <c r="AF2410" s="77">
        <f>IF(OR($A2410="",B2410=""),"",YEAR(B2410))</f>
        <v/>
      </c>
      <c r="AG2410" s="77">
        <f>IF(OR($A2410="",B2410=""),"",MONTH(B2410))</f>
        <v/>
      </c>
    </row>
    <row r="2411">
      <c r="A2411" s="7" t="n"/>
      <c r="B2411" s="75" t="n"/>
      <c r="C2411" s="7" t="n"/>
      <c r="D2411" s="7" t="n"/>
      <c r="E2411" s="9">
        <f>IF(D2411="","",IFERROR(INDEX('Équipements'!$B$5:$B$304,MATCH(D2411,'Équipements'!$A$5:$A$304,0)),"Code inconnu"))</f>
        <v/>
      </c>
      <c r="F2411" s="9">
        <f>IF(D2411="","",IFERROR(INDEX('Équipements'!$D$5:$D$304,MATCH(D2411,'Équipements'!$A$5:$A$304,0)),""))</f>
        <v/>
      </c>
      <c r="G2411" s="9">
        <f>IF(D2411="","",IFERROR(INDEX('Équipements'!$K$5:$K$304,MATCH(D2411,'Équipements'!$A$5:$A$304,0)),""))</f>
        <v/>
      </c>
      <c r="H2411" s="7" t="n"/>
      <c r="I2411" s="7" t="n"/>
      <c r="J2411" s="7" t="n"/>
      <c r="K2411" s="7" t="n"/>
      <c r="L2411" s="7" t="n"/>
      <c r="M2411" s="7" t="n"/>
      <c r="N2411" s="7" t="n"/>
      <c r="O2411" s="7" t="n"/>
      <c r="P2411" s="65" t="n"/>
      <c r="Q2411" s="75" t="n"/>
      <c r="R2411" s="75" t="n"/>
      <c r="S2411" s="76" t="n"/>
      <c r="T2411" s="76" t="n"/>
      <c r="U2411" s="70">
        <f>IF($A2411="","",IFERROR(INDEX('Techniciens'!$F$5:$F$44,MATCH(O2411,'Techniciens'!$B$5:$B$44,0)),'Paramètres'!$AA$10))</f>
        <v/>
      </c>
      <c r="V2411" s="70">
        <f>IF($A2411="","",IF(OR(AC2411="Demandé",AC2411="Planifié",AC2411="Annulé"),0,N(T2411)*N(U2411)))</f>
        <v/>
      </c>
      <c r="W2411" s="70">
        <f>IF($A2411="","",SUMIFS('Mouvements stock'!$H$5:$H$3004,'Mouvements stock'!$I$5:$I$3004,$A2411,'Mouvements stock'!$C$5:$C$3004,"Sortie")-SUMIFS('Mouvements stock'!$H$5:$H$3004,'Mouvements stock'!$I$5:$I$3004,$A2411,'Mouvements stock'!$C$5:$C$3004,"Retour"))</f>
        <v/>
      </c>
      <c r="X2411" s="66" t="n"/>
      <c r="Y2411" s="66" t="n"/>
      <c r="Z2411" s="7" t="n"/>
      <c r="AA2411" s="70">
        <f>IF($A2411="","",N(V2411)+N(W2411)+N(X2411)+N(Y2411))</f>
        <v/>
      </c>
      <c r="AB2411" s="70">
        <f>IF($A2411="","",N(S2411)*'Paramètres'!$AA$9*IFERROR(INDEX('Paramètres'!$O$5:$O$7,MATCH(G2411,'Paramètres'!$N$5:$N$7,0)),0))</f>
        <v/>
      </c>
      <c r="AC2411" s="7" t="n"/>
      <c r="AD2411" s="69">
        <f>IF(OR($A2411="",Q2411=""),"",(Q2411-B2411)*24)</f>
        <v/>
      </c>
      <c r="AE2411" s="69">
        <f>IF(OR(Q2411="",R2411=""),"",(R2411-Q2411)*24)</f>
        <v/>
      </c>
      <c r="AF2411" s="77">
        <f>IF(OR($A2411="",B2411=""),"",YEAR(B2411))</f>
        <v/>
      </c>
      <c r="AG2411" s="77">
        <f>IF(OR($A2411="",B2411=""),"",MONTH(B2411))</f>
        <v/>
      </c>
    </row>
    <row r="2412">
      <c r="A2412" s="7" t="n"/>
      <c r="B2412" s="75" t="n"/>
      <c r="C2412" s="7" t="n"/>
      <c r="D2412" s="7" t="n"/>
      <c r="E2412" s="9">
        <f>IF(D2412="","",IFERROR(INDEX('Équipements'!$B$5:$B$304,MATCH(D2412,'Équipements'!$A$5:$A$304,0)),"Code inconnu"))</f>
        <v/>
      </c>
      <c r="F2412" s="9">
        <f>IF(D2412="","",IFERROR(INDEX('Équipements'!$D$5:$D$304,MATCH(D2412,'Équipements'!$A$5:$A$304,0)),""))</f>
        <v/>
      </c>
      <c r="G2412" s="9">
        <f>IF(D2412="","",IFERROR(INDEX('Équipements'!$K$5:$K$304,MATCH(D2412,'Équipements'!$A$5:$A$304,0)),""))</f>
        <v/>
      </c>
      <c r="H2412" s="7" t="n"/>
      <c r="I2412" s="7" t="n"/>
      <c r="J2412" s="7" t="n"/>
      <c r="K2412" s="7" t="n"/>
      <c r="L2412" s="7" t="n"/>
      <c r="M2412" s="7" t="n"/>
      <c r="N2412" s="7" t="n"/>
      <c r="O2412" s="7" t="n"/>
      <c r="P2412" s="65" t="n"/>
      <c r="Q2412" s="75" t="n"/>
      <c r="R2412" s="75" t="n"/>
      <c r="S2412" s="76" t="n"/>
      <c r="T2412" s="76" t="n"/>
      <c r="U2412" s="70">
        <f>IF($A2412="","",IFERROR(INDEX('Techniciens'!$F$5:$F$44,MATCH(O2412,'Techniciens'!$B$5:$B$44,0)),'Paramètres'!$AA$10))</f>
        <v/>
      </c>
      <c r="V2412" s="70">
        <f>IF($A2412="","",IF(OR(AC2412="Demandé",AC2412="Planifié",AC2412="Annulé"),0,N(T2412)*N(U2412)))</f>
        <v/>
      </c>
      <c r="W2412" s="70">
        <f>IF($A2412="","",SUMIFS('Mouvements stock'!$H$5:$H$3004,'Mouvements stock'!$I$5:$I$3004,$A2412,'Mouvements stock'!$C$5:$C$3004,"Sortie")-SUMIFS('Mouvements stock'!$H$5:$H$3004,'Mouvements stock'!$I$5:$I$3004,$A2412,'Mouvements stock'!$C$5:$C$3004,"Retour"))</f>
        <v/>
      </c>
      <c r="X2412" s="66" t="n"/>
      <c r="Y2412" s="66" t="n"/>
      <c r="Z2412" s="7" t="n"/>
      <c r="AA2412" s="70">
        <f>IF($A2412="","",N(V2412)+N(W2412)+N(X2412)+N(Y2412))</f>
        <v/>
      </c>
      <c r="AB2412" s="70">
        <f>IF($A2412="","",N(S2412)*'Paramètres'!$AA$9*IFERROR(INDEX('Paramètres'!$O$5:$O$7,MATCH(G2412,'Paramètres'!$N$5:$N$7,0)),0))</f>
        <v/>
      </c>
      <c r="AC2412" s="7" t="n"/>
      <c r="AD2412" s="69">
        <f>IF(OR($A2412="",Q2412=""),"",(Q2412-B2412)*24)</f>
        <v/>
      </c>
      <c r="AE2412" s="69">
        <f>IF(OR(Q2412="",R2412=""),"",(R2412-Q2412)*24)</f>
        <v/>
      </c>
      <c r="AF2412" s="77">
        <f>IF(OR($A2412="",B2412=""),"",YEAR(B2412))</f>
        <v/>
      </c>
      <c r="AG2412" s="77">
        <f>IF(OR($A2412="",B2412=""),"",MONTH(B2412))</f>
        <v/>
      </c>
    </row>
    <row r="2413">
      <c r="A2413" s="7" t="n"/>
      <c r="B2413" s="75" t="n"/>
      <c r="C2413" s="7" t="n"/>
      <c r="D2413" s="7" t="n"/>
      <c r="E2413" s="9">
        <f>IF(D2413="","",IFERROR(INDEX('Équipements'!$B$5:$B$304,MATCH(D2413,'Équipements'!$A$5:$A$304,0)),"Code inconnu"))</f>
        <v/>
      </c>
      <c r="F2413" s="9">
        <f>IF(D2413="","",IFERROR(INDEX('Équipements'!$D$5:$D$304,MATCH(D2413,'Équipements'!$A$5:$A$304,0)),""))</f>
        <v/>
      </c>
      <c r="G2413" s="9">
        <f>IF(D2413="","",IFERROR(INDEX('Équipements'!$K$5:$K$304,MATCH(D2413,'Équipements'!$A$5:$A$304,0)),""))</f>
        <v/>
      </c>
      <c r="H2413" s="7" t="n"/>
      <c r="I2413" s="7" t="n"/>
      <c r="J2413" s="7" t="n"/>
      <c r="K2413" s="7" t="n"/>
      <c r="L2413" s="7" t="n"/>
      <c r="M2413" s="7" t="n"/>
      <c r="N2413" s="7" t="n"/>
      <c r="O2413" s="7" t="n"/>
      <c r="P2413" s="65" t="n"/>
      <c r="Q2413" s="75" t="n"/>
      <c r="R2413" s="75" t="n"/>
      <c r="S2413" s="76" t="n"/>
      <c r="T2413" s="76" t="n"/>
      <c r="U2413" s="70">
        <f>IF($A2413="","",IFERROR(INDEX('Techniciens'!$F$5:$F$44,MATCH(O2413,'Techniciens'!$B$5:$B$44,0)),'Paramètres'!$AA$10))</f>
        <v/>
      </c>
      <c r="V2413" s="70">
        <f>IF($A2413="","",IF(OR(AC2413="Demandé",AC2413="Planifié",AC2413="Annulé"),0,N(T2413)*N(U2413)))</f>
        <v/>
      </c>
      <c r="W2413" s="70">
        <f>IF($A2413="","",SUMIFS('Mouvements stock'!$H$5:$H$3004,'Mouvements stock'!$I$5:$I$3004,$A2413,'Mouvements stock'!$C$5:$C$3004,"Sortie")-SUMIFS('Mouvements stock'!$H$5:$H$3004,'Mouvements stock'!$I$5:$I$3004,$A2413,'Mouvements stock'!$C$5:$C$3004,"Retour"))</f>
        <v/>
      </c>
      <c r="X2413" s="66" t="n"/>
      <c r="Y2413" s="66" t="n"/>
      <c r="Z2413" s="7" t="n"/>
      <c r="AA2413" s="70">
        <f>IF($A2413="","",N(V2413)+N(W2413)+N(X2413)+N(Y2413))</f>
        <v/>
      </c>
      <c r="AB2413" s="70">
        <f>IF($A2413="","",N(S2413)*'Paramètres'!$AA$9*IFERROR(INDEX('Paramètres'!$O$5:$O$7,MATCH(G2413,'Paramètres'!$N$5:$N$7,0)),0))</f>
        <v/>
      </c>
      <c r="AC2413" s="7" t="n"/>
      <c r="AD2413" s="69">
        <f>IF(OR($A2413="",Q2413=""),"",(Q2413-B2413)*24)</f>
        <v/>
      </c>
      <c r="AE2413" s="69">
        <f>IF(OR(Q2413="",R2413=""),"",(R2413-Q2413)*24)</f>
        <v/>
      </c>
      <c r="AF2413" s="77">
        <f>IF(OR($A2413="",B2413=""),"",YEAR(B2413))</f>
        <v/>
      </c>
      <c r="AG2413" s="77">
        <f>IF(OR($A2413="",B2413=""),"",MONTH(B2413))</f>
        <v/>
      </c>
    </row>
    <row r="2414">
      <c r="A2414" s="7" t="n"/>
      <c r="B2414" s="75" t="n"/>
      <c r="C2414" s="7" t="n"/>
      <c r="D2414" s="7" t="n"/>
      <c r="E2414" s="9">
        <f>IF(D2414="","",IFERROR(INDEX('Équipements'!$B$5:$B$304,MATCH(D2414,'Équipements'!$A$5:$A$304,0)),"Code inconnu"))</f>
        <v/>
      </c>
      <c r="F2414" s="9">
        <f>IF(D2414="","",IFERROR(INDEX('Équipements'!$D$5:$D$304,MATCH(D2414,'Équipements'!$A$5:$A$304,0)),""))</f>
        <v/>
      </c>
      <c r="G2414" s="9">
        <f>IF(D2414="","",IFERROR(INDEX('Équipements'!$K$5:$K$304,MATCH(D2414,'Équipements'!$A$5:$A$304,0)),""))</f>
        <v/>
      </c>
      <c r="H2414" s="7" t="n"/>
      <c r="I2414" s="7" t="n"/>
      <c r="J2414" s="7" t="n"/>
      <c r="K2414" s="7" t="n"/>
      <c r="L2414" s="7" t="n"/>
      <c r="M2414" s="7" t="n"/>
      <c r="N2414" s="7" t="n"/>
      <c r="O2414" s="7" t="n"/>
      <c r="P2414" s="65" t="n"/>
      <c r="Q2414" s="75" t="n"/>
      <c r="R2414" s="75" t="n"/>
      <c r="S2414" s="76" t="n"/>
      <c r="T2414" s="76" t="n"/>
      <c r="U2414" s="70">
        <f>IF($A2414="","",IFERROR(INDEX('Techniciens'!$F$5:$F$44,MATCH(O2414,'Techniciens'!$B$5:$B$44,0)),'Paramètres'!$AA$10))</f>
        <v/>
      </c>
      <c r="V2414" s="70">
        <f>IF($A2414="","",IF(OR(AC2414="Demandé",AC2414="Planifié",AC2414="Annulé"),0,N(T2414)*N(U2414)))</f>
        <v/>
      </c>
      <c r="W2414" s="70">
        <f>IF($A2414="","",SUMIFS('Mouvements stock'!$H$5:$H$3004,'Mouvements stock'!$I$5:$I$3004,$A2414,'Mouvements stock'!$C$5:$C$3004,"Sortie")-SUMIFS('Mouvements stock'!$H$5:$H$3004,'Mouvements stock'!$I$5:$I$3004,$A2414,'Mouvements stock'!$C$5:$C$3004,"Retour"))</f>
        <v/>
      </c>
      <c r="X2414" s="66" t="n"/>
      <c r="Y2414" s="66" t="n"/>
      <c r="Z2414" s="7" t="n"/>
      <c r="AA2414" s="70">
        <f>IF($A2414="","",N(V2414)+N(W2414)+N(X2414)+N(Y2414))</f>
        <v/>
      </c>
      <c r="AB2414" s="70">
        <f>IF($A2414="","",N(S2414)*'Paramètres'!$AA$9*IFERROR(INDEX('Paramètres'!$O$5:$O$7,MATCH(G2414,'Paramètres'!$N$5:$N$7,0)),0))</f>
        <v/>
      </c>
      <c r="AC2414" s="7" t="n"/>
      <c r="AD2414" s="69">
        <f>IF(OR($A2414="",Q2414=""),"",(Q2414-B2414)*24)</f>
        <v/>
      </c>
      <c r="AE2414" s="69">
        <f>IF(OR(Q2414="",R2414=""),"",(R2414-Q2414)*24)</f>
        <v/>
      </c>
      <c r="AF2414" s="77">
        <f>IF(OR($A2414="",B2414=""),"",YEAR(B2414))</f>
        <v/>
      </c>
      <c r="AG2414" s="77">
        <f>IF(OR($A2414="",B2414=""),"",MONTH(B2414))</f>
        <v/>
      </c>
    </row>
    <row r="2415">
      <c r="A2415" s="7" t="n"/>
      <c r="B2415" s="75" t="n"/>
      <c r="C2415" s="7" t="n"/>
      <c r="D2415" s="7" t="n"/>
      <c r="E2415" s="9">
        <f>IF(D2415="","",IFERROR(INDEX('Équipements'!$B$5:$B$304,MATCH(D2415,'Équipements'!$A$5:$A$304,0)),"Code inconnu"))</f>
        <v/>
      </c>
      <c r="F2415" s="9">
        <f>IF(D2415="","",IFERROR(INDEX('Équipements'!$D$5:$D$304,MATCH(D2415,'Équipements'!$A$5:$A$304,0)),""))</f>
        <v/>
      </c>
      <c r="G2415" s="9">
        <f>IF(D2415="","",IFERROR(INDEX('Équipements'!$K$5:$K$304,MATCH(D2415,'Équipements'!$A$5:$A$304,0)),""))</f>
        <v/>
      </c>
      <c r="H2415" s="7" t="n"/>
      <c r="I2415" s="7" t="n"/>
      <c r="J2415" s="7" t="n"/>
      <c r="K2415" s="7" t="n"/>
      <c r="L2415" s="7" t="n"/>
      <c r="M2415" s="7" t="n"/>
      <c r="N2415" s="7" t="n"/>
      <c r="O2415" s="7" t="n"/>
      <c r="P2415" s="65" t="n"/>
      <c r="Q2415" s="75" t="n"/>
      <c r="R2415" s="75" t="n"/>
      <c r="S2415" s="76" t="n"/>
      <c r="T2415" s="76" t="n"/>
      <c r="U2415" s="70">
        <f>IF($A2415="","",IFERROR(INDEX('Techniciens'!$F$5:$F$44,MATCH(O2415,'Techniciens'!$B$5:$B$44,0)),'Paramètres'!$AA$10))</f>
        <v/>
      </c>
      <c r="V2415" s="70">
        <f>IF($A2415="","",IF(OR(AC2415="Demandé",AC2415="Planifié",AC2415="Annulé"),0,N(T2415)*N(U2415)))</f>
        <v/>
      </c>
      <c r="W2415" s="70">
        <f>IF($A2415="","",SUMIFS('Mouvements stock'!$H$5:$H$3004,'Mouvements stock'!$I$5:$I$3004,$A2415,'Mouvements stock'!$C$5:$C$3004,"Sortie")-SUMIFS('Mouvements stock'!$H$5:$H$3004,'Mouvements stock'!$I$5:$I$3004,$A2415,'Mouvements stock'!$C$5:$C$3004,"Retour"))</f>
        <v/>
      </c>
      <c r="X2415" s="66" t="n"/>
      <c r="Y2415" s="66" t="n"/>
      <c r="Z2415" s="7" t="n"/>
      <c r="AA2415" s="70">
        <f>IF($A2415="","",N(V2415)+N(W2415)+N(X2415)+N(Y2415))</f>
        <v/>
      </c>
      <c r="AB2415" s="70">
        <f>IF($A2415="","",N(S2415)*'Paramètres'!$AA$9*IFERROR(INDEX('Paramètres'!$O$5:$O$7,MATCH(G2415,'Paramètres'!$N$5:$N$7,0)),0))</f>
        <v/>
      </c>
      <c r="AC2415" s="7" t="n"/>
      <c r="AD2415" s="69">
        <f>IF(OR($A2415="",Q2415=""),"",(Q2415-B2415)*24)</f>
        <v/>
      </c>
      <c r="AE2415" s="69">
        <f>IF(OR(Q2415="",R2415=""),"",(R2415-Q2415)*24)</f>
        <v/>
      </c>
      <c r="AF2415" s="77">
        <f>IF(OR($A2415="",B2415=""),"",YEAR(B2415))</f>
        <v/>
      </c>
      <c r="AG2415" s="77">
        <f>IF(OR($A2415="",B2415=""),"",MONTH(B2415))</f>
        <v/>
      </c>
    </row>
    <row r="2416">
      <c r="A2416" s="7" t="n"/>
      <c r="B2416" s="75" t="n"/>
      <c r="C2416" s="7" t="n"/>
      <c r="D2416" s="7" t="n"/>
      <c r="E2416" s="9">
        <f>IF(D2416="","",IFERROR(INDEX('Équipements'!$B$5:$B$304,MATCH(D2416,'Équipements'!$A$5:$A$304,0)),"Code inconnu"))</f>
        <v/>
      </c>
      <c r="F2416" s="9">
        <f>IF(D2416="","",IFERROR(INDEX('Équipements'!$D$5:$D$304,MATCH(D2416,'Équipements'!$A$5:$A$304,0)),""))</f>
        <v/>
      </c>
      <c r="G2416" s="9">
        <f>IF(D2416="","",IFERROR(INDEX('Équipements'!$K$5:$K$304,MATCH(D2416,'Équipements'!$A$5:$A$304,0)),""))</f>
        <v/>
      </c>
      <c r="H2416" s="7" t="n"/>
      <c r="I2416" s="7" t="n"/>
      <c r="J2416" s="7" t="n"/>
      <c r="K2416" s="7" t="n"/>
      <c r="L2416" s="7" t="n"/>
      <c r="M2416" s="7" t="n"/>
      <c r="N2416" s="7" t="n"/>
      <c r="O2416" s="7" t="n"/>
      <c r="P2416" s="65" t="n"/>
      <c r="Q2416" s="75" t="n"/>
      <c r="R2416" s="75" t="n"/>
      <c r="S2416" s="76" t="n"/>
      <c r="T2416" s="76" t="n"/>
      <c r="U2416" s="70">
        <f>IF($A2416="","",IFERROR(INDEX('Techniciens'!$F$5:$F$44,MATCH(O2416,'Techniciens'!$B$5:$B$44,0)),'Paramètres'!$AA$10))</f>
        <v/>
      </c>
      <c r="V2416" s="70">
        <f>IF($A2416="","",IF(OR(AC2416="Demandé",AC2416="Planifié",AC2416="Annulé"),0,N(T2416)*N(U2416)))</f>
        <v/>
      </c>
      <c r="W2416" s="70">
        <f>IF($A2416="","",SUMIFS('Mouvements stock'!$H$5:$H$3004,'Mouvements stock'!$I$5:$I$3004,$A2416,'Mouvements stock'!$C$5:$C$3004,"Sortie")-SUMIFS('Mouvements stock'!$H$5:$H$3004,'Mouvements stock'!$I$5:$I$3004,$A2416,'Mouvements stock'!$C$5:$C$3004,"Retour"))</f>
        <v/>
      </c>
      <c r="X2416" s="66" t="n"/>
      <c r="Y2416" s="66" t="n"/>
      <c r="Z2416" s="7" t="n"/>
      <c r="AA2416" s="70">
        <f>IF($A2416="","",N(V2416)+N(W2416)+N(X2416)+N(Y2416))</f>
        <v/>
      </c>
      <c r="AB2416" s="70">
        <f>IF($A2416="","",N(S2416)*'Paramètres'!$AA$9*IFERROR(INDEX('Paramètres'!$O$5:$O$7,MATCH(G2416,'Paramètres'!$N$5:$N$7,0)),0))</f>
        <v/>
      </c>
      <c r="AC2416" s="7" t="n"/>
      <c r="AD2416" s="69">
        <f>IF(OR($A2416="",Q2416=""),"",(Q2416-B2416)*24)</f>
        <v/>
      </c>
      <c r="AE2416" s="69">
        <f>IF(OR(Q2416="",R2416=""),"",(R2416-Q2416)*24)</f>
        <v/>
      </c>
      <c r="AF2416" s="77">
        <f>IF(OR($A2416="",B2416=""),"",YEAR(B2416))</f>
        <v/>
      </c>
      <c r="AG2416" s="77">
        <f>IF(OR($A2416="",B2416=""),"",MONTH(B2416))</f>
        <v/>
      </c>
    </row>
    <row r="2417">
      <c r="A2417" s="7" t="n"/>
      <c r="B2417" s="75" t="n"/>
      <c r="C2417" s="7" t="n"/>
      <c r="D2417" s="7" t="n"/>
      <c r="E2417" s="9">
        <f>IF(D2417="","",IFERROR(INDEX('Équipements'!$B$5:$B$304,MATCH(D2417,'Équipements'!$A$5:$A$304,0)),"Code inconnu"))</f>
        <v/>
      </c>
      <c r="F2417" s="9">
        <f>IF(D2417="","",IFERROR(INDEX('Équipements'!$D$5:$D$304,MATCH(D2417,'Équipements'!$A$5:$A$304,0)),""))</f>
        <v/>
      </c>
      <c r="G2417" s="9">
        <f>IF(D2417="","",IFERROR(INDEX('Équipements'!$K$5:$K$304,MATCH(D2417,'Équipements'!$A$5:$A$304,0)),""))</f>
        <v/>
      </c>
      <c r="H2417" s="7" t="n"/>
      <c r="I2417" s="7" t="n"/>
      <c r="J2417" s="7" t="n"/>
      <c r="K2417" s="7" t="n"/>
      <c r="L2417" s="7" t="n"/>
      <c r="M2417" s="7" t="n"/>
      <c r="N2417" s="7" t="n"/>
      <c r="O2417" s="7" t="n"/>
      <c r="P2417" s="65" t="n"/>
      <c r="Q2417" s="75" t="n"/>
      <c r="R2417" s="75" t="n"/>
      <c r="S2417" s="76" t="n"/>
      <c r="T2417" s="76" t="n"/>
      <c r="U2417" s="70">
        <f>IF($A2417="","",IFERROR(INDEX('Techniciens'!$F$5:$F$44,MATCH(O2417,'Techniciens'!$B$5:$B$44,0)),'Paramètres'!$AA$10))</f>
        <v/>
      </c>
      <c r="V2417" s="70">
        <f>IF($A2417="","",IF(OR(AC2417="Demandé",AC2417="Planifié",AC2417="Annulé"),0,N(T2417)*N(U2417)))</f>
        <v/>
      </c>
      <c r="W2417" s="70">
        <f>IF($A2417="","",SUMIFS('Mouvements stock'!$H$5:$H$3004,'Mouvements stock'!$I$5:$I$3004,$A2417,'Mouvements stock'!$C$5:$C$3004,"Sortie")-SUMIFS('Mouvements stock'!$H$5:$H$3004,'Mouvements stock'!$I$5:$I$3004,$A2417,'Mouvements stock'!$C$5:$C$3004,"Retour"))</f>
        <v/>
      </c>
      <c r="X2417" s="66" t="n"/>
      <c r="Y2417" s="66" t="n"/>
      <c r="Z2417" s="7" t="n"/>
      <c r="AA2417" s="70">
        <f>IF($A2417="","",N(V2417)+N(W2417)+N(X2417)+N(Y2417))</f>
        <v/>
      </c>
      <c r="AB2417" s="70">
        <f>IF($A2417="","",N(S2417)*'Paramètres'!$AA$9*IFERROR(INDEX('Paramètres'!$O$5:$O$7,MATCH(G2417,'Paramètres'!$N$5:$N$7,0)),0))</f>
        <v/>
      </c>
      <c r="AC2417" s="7" t="n"/>
      <c r="AD2417" s="69">
        <f>IF(OR($A2417="",Q2417=""),"",(Q2417-B2417)*24)</f>
        <v/>
      </c>
      <c r="AE2417" s="69">
        <f>IF(OR(Q2417="",R2417=""),"",(R2417-Q2417)*24)</f>
        <v/>
      </c>
      <c r="AF2417" s="77">
        <f>IF(OR($A2417="",B2417=""),"",YEAR(B2417))</f>
        <v/>
      </c>
      <c r="AG2417" s="77">
        <f>IF(OR($A2417="",B2417=""),"",MONTH(B2417))</f>
        <v/>
      </c>
    </row>
    <row r="2418">
      <c r="A2418" s="7" t="n"/>
      <c r="B2418" s="75" t="n"/>
      <c r="C2418" s="7" t="n"/>
      <c r="D2418" s="7" t="n"/>
      <c r="E2418" s="9">
        <f>IF(D2418="","",IFERROR(INDEX('Équipements'!$B$5:$B$304,MATCH(D2418,'Équipements'!$A$5:$A$304,0)),"Code inconnu"))</f>
        <v/>
      </c>
      <c r="F2418" s="9">
        <f>IF(D2418="","",IFERROR(INDEX('Équipements'!$D$5:$D$304,MATCH(D2418,'Équipements'!$A$5:$A$304,0)),""))</f>
        <v/>
      </c>
      <c r="G2418" s="9">
        <f>IF(D2418="","",IFERROR(INDEX('Équipements'!$K$5:$K$304,MATCH(D2418,'Équipements'!$A$5:$A$304,0)),""))</f>
        <v/>
      </c>
      <c r="H2418" s="7" t="n"/>
      <c r="I2418" s="7" t="n"/>
      <c r="J2418" s="7" t="n"/>
      <c r="K2418" s="7" t="n"/>
      <c r="L2418" s="7" t="n"/>
      <c r="M2418" s="7" t="n"/>
      <c r="N2418" s="7" t="n"/>
      <c r="O2418" s="7" t="n"/>
      <c r="P2418" s="65" t="n"/>
      <c r="Q2418" s="75" t="n"/>
      <c r="R2418" s="75" t="n"/>
      <c r="S2418" s="76" t="n"/>
      <c r="T2418" s="76" t="n"/>
      <c r="U2418" s="70">
        <f>IF($A2418="","",IFERROR(INDEX('Techniciens'!$F$5:$F$44,MATCH(O2418,'Techniciens'!$B$5:$B$44,0)),'Paramètres'!$AA$10))</f>
        <v/>
      </c>
      <c r="V2418" s="70">
        <f>IF($A2418="","",IF(OR(AC2418="Demandé",AC2418="Planifié",AC2418="Annulé"),0,N(T2418)*N(U2418)))</f>
        <v/>
      </c>
      <c r="W2418" s="70">
        <f>IF($A2418="","",SUMIFS('Mouvements stock'!$H$5:$H$3004,'Mouvements stock'!$I$5:$I$3004,$A2418,'Mouvements stock'!$C$5:$C$3004,"Sortie")-SUMIFS('Mouvements stock'!$H$5:$H$3004,'Mouvements stock'!$I$5:$I$3004,$A2418,'Mouvements stock'!$C$5:$C$3004,"Retour"))</f>
        <v/>
      </c>
      <c r="X2418" s="66" t="n"/>
      <c r="Y2418" s="66" t="n"/>
      <c r="Z2418" s="7" t="n"/>
      <c r="AA2418" s="70">
        <f>IF($A2418="","",N(V2418)+N(W2418)+N(X2418)+N(Y2418))</f>
        <v/>
      </c>
      <c r="AB2418" s="70">
        <f>IF($A2418="","",N(S2418)*'Paramètres'!$AA$9*IFERROR(INDEX('Paramètres'!$O$5:$O$7,MATCH(G2418,'Paramètres'!$N$5:$N$7,0)),0))</f>
        <v/>
      </c>
      <c r="AC2418" s="7" t="n"/>
      <c r="AD2418" s="69">
        <f>IF(OR($A2418="",Q2418=""),"",(Q2418-B2418)*24)</f>
        <v/>
      </c>
      <c r="AE2418" s="69">
        <f>IF(OR(Q2418="",R2418=""),"",(R2418-Q2418)*24)</f>
        <v/>
      </c>
      <c r="AF2418" s="77">
        <f>IF(OR($A2418="",B2418=""),"",YEAR(B2418))</f>
        <v/>
      </c>
      <c r="AG2418" s="77">
        <f>IF(OR($A2418="",B2418=""),"",MONTH(B2418))</f>
        <v/>
      </c>
    </row>
    <row r="2419">
      <c r="A2419" s="7" t="n"/>
      <c r="B2419" s="75" t="n"/>
      <c r="C2419" s="7" t="n"/>
      <c r="D2419" s="7" t="n"/>
      <c r="E2419" s="9">
        <f>IF(D2419="","",IFERROR(INDEX('Équipements'!$B$5:$B$304,MATCH(D2419,'Équipements'!$A$5:$A$304,0)),"Code inconnu"))</f>
        <v/>
      </c>
      <c r="F2419" s="9">
        <f>IF(D2419="","",IFERROR(INDEX('Équipements'!$D$5:$D$304,MATCH(D2419,'Équipements'!$A$5:$A$304,0)),""))</f>
        <v/>
      </c>
      <c r="G2419" s="9">
        <f>IF(D2419="","",IFERROR(INDEX('Équipements'!$K$5:$K$304,MATCH(D2419,'Équipements'!$A$5:$A$304,0)),""))</f>
        <v/>
      </c>
      <c r="H2419" s="7" t="n"/>
      <c r="I2419" s="7" t="n"/>
      <c r="J2419" s="7" t="n"/>
      <c r="K2419" s="7" t="n"/>
      <c r="L2419" s="7" t="n"/>
      <c r="M2419" s="7" t="n"/>
      <c r="N2419" s="7" t="n"/>
      <c r="O2419" s="7" t="n"/>
      <c r="P2419" s="65" t="n"/>
      <c r="Q2419" s="75" t="n"/>
      <c r="R2419" s="75" t="n"/>
      <c r="S2419" s="76" t="n"/>
      <c r="T2419" s="76" t="n"/>
      <c r="U2419" s="70">
        <f>IF($A2419="","",IFERROR(INDEX('Techniciens'!$F$5:$F$44,MATCH(O2419,'Techniciens'!$B$5:$B$44,0)),'Paramètres'!$AA$10))</f>
        <v/>
      </c>
      <c r="V2419" s="70">
        <f>IF($A2419="","",IF(OR(AC2419="Demandé",AC2419="Planifié",AC2419="Annulé"),0,N(T2419)*N(U2419)))</f>
        <v/>
      </c>
      <c r="W2419" s="70">
        <f>IF($A2419="","",SUMIFS('Mouvements stock'!$H$5:$H$3004,'Mouvements stock'!$I$5:$I$3004,$A2419,'Mouvements stock'!$C$5:$C$3004,"Sortie")-SUMIFS('Mouvements stock'!$H$5:$H$3004,'Mouvements stock'!$I$5:$I$3004,$A2419,'Mouvements stock'!$C$5:$C$3004,"Retour"))</f>
        <v/>
      </c>
      <c r="X2419" s="66" t="n"/>
      <c r="Y2419" s="66" t="n"/>
      <c r="Z2419" s="7" t="n"/>
      <c r="AA2419" s="70">
        <f>IF($A2419="","",N(V2419)+N(W2419)+N(X2419)+N(Y2419))</f>
        <v/>
      </c>
      <c r="AB2419" s="70">
        <f>IF($A2419="","",N(S2419)*'Paramètres'!$AA$9*IFERROR(INDEX('Paramètres'!$O$5:$O$7,MATCH(G2419,'Paramètres'!$N$5:$N$7,0)),0))</f>
        <v/>
      </c>
      <c r="AC2419" s="7" t="n"/>
      <c r="AD2419" s="69">
        <f>IF(OR($A2419="",Q2419=""),"",(Q2419-B2419)*24)</f>
        <v/>
      </c>
      <c r="AE2419" s="69">
        <f>IF(OR(Q2419="",R2419=""),"",(R2419-Q2419)*24)</f>
        <v/>
      </c>
      <c r="AF2419" s="77">
        <f>IF(OR($A2419="",B2419=""),"",YEAR(B2419))</f>
        <v/>
      </c>
      <c r="AG2419" s="77">
        <f>IF(OR($A2419="",B2419=""),"",MONTH(B2419))</f>
        <v/>
      </c>
    </row>
    <row r="2420">
      <c r="A2420" s="7" t="n"/>
      <c r="B2420" s="75" t="n"/>
      <c r="C2420" s="7" t="n"/>
      <c r="D2420" s="7" t="n"/>
      <c r="E2420" s="9">
        <f>IF(D2420="","",IFERROR(INDEX('Équipements'!$B$5:$B$304,MATCH(D2420,'Équipements'!$A$5:$A$304,0)),"Code inconnu"))</f>
        <v/>
      </c>
      <c r="F2420" s="9">
        <f>IF(D2420="","",IFERROR(INDEX('Équipements'!$D$5:$D$304,MATCH(D2420,'Équipements'!$A$5:$A$304,0)),""))</f>
        <v/>
      </c>
      <c r="G2420" s="9">
        <f>IF(D2420="","",IFERROR(INDEX('Équipements'!$K$5:$K$304,MATCH(D2420,'Équipements'!$A$5:$A$304,0)),""))</f>
        <v/>
      </c>
      <c r="H2420" s="7" t="n"/>
      <c r="I2420" s="7" t="n"/>
      <c r="J2420" s="7" t="n"/>
      <c r="K2420" s="7" t="n"/>
      <c r="L2420" s="7" t="n"/>
      <c r="M2420" s="7" t="n"/>
      <c r="N2420" s="7" t="n"/>
      <c r="O2420" s="7" t="n"/>
      <c r="P2420" s="65" t="n"/>
      <c r="Q2420" s="75" t="n"/>
      <c r="R2420" s="75" t="n"/>
      <c r="S2420" s="76" t="n"/>
      <c r="T2420" s="76" t="n"/>
      <c r="U2420" s="70">
        <f>IF($A2420="","",IFERROR(INDEX('Techniciens'!$F$5:$F$44,MATCH(O2420,'Techniciens'!$B$5:$B$44,0)),'Paramètres'!$AA$10))</f>
        <v/>
      </c>
      <c r="V2420" s="70">
        <f>IF($A2420="","",IF(OR(AC2420="Demandé",AC2420="Planifié",AC2420="Annulé"),0,N(T2420)*N(U2420)))</f>
        <v/>
      </c>
      <c r="W2420" s="70">
        <f>IF($A2420="","",SUMIFS('Mouvements stock'!$H$5:$H$3004,'Mouvements stock'!$I$5:$I$3004,$A2420,'Mouvements stock'!$C$5:$C$3004,"Sortie")-SUMIFS('Mouvements stock'!$H$5:$H$3004,'Mouvements stock'!$I$5:$I$3004,$A2420,'Mouvements stock'!$C$5:$C$3004,"Retour"))</f>
        <v/>
      </c>
      <c r="X2420" s="66" t="n"/>
      <c r="Y2420" s="66" t="n"/>
      <c r="Z2420" s="7" t="n"/>
      <c r="AA2420" s="70">
        <f>IF($A2420="","",N(V2420)+N(W2420)+N(X2420)+N(Y2420))</f>
        <v/>
      </c>
      <c r="AB2420" s="70">
        <f>IF($A2420="","",N(S2420)*'Paramètres'!$AA$9*IFERROR(INDEX('Paramètres'!$O$5:$O$7,MATCH(G2420,'Paramètres'!$N$5:$N$7,0)),0))</f>
        <v/>
      </c>
      <c r="AC2420" s="7" t="n"/>
      <c r="AD2420" s="69">
        <f>IF(OR($A2420="",Q2420=""),"",(Q2420-B2420)*24)</f>
        <v/>
      </c>
      <c r="AE2420" s="69">
        <f>IF(OR(Q2420="",R2420=""),"",(R2420-Q2420)*24)</f>
        <v/>
      </c>
      <c r="AF2420" s="77">
        <f>IF(OR($A2420="",B2420=""),"",YEAR(B2420))</f>
        <v/>
      </c>
      <c r="AG2420" s="77">
        <f>IF(OR($A2420="",B2420=""),"",MONTH(B2420))</f>
        <v/>
      </c>
    </row>
    <row r="2421">
      <c r="A2421" s="7" t="n"/>
      <c r="B2421" s="75" t="n"/>
      <c r="C2421" s="7" t="n"/>
      <c r="D2421" s="7" t="n"/>
      <c r="E2421" s="9">
        <f>IF(D2421="","",IFERROR(INDEX('Équipements'!$B$5:$B$304,MATCH(D2421,'Équipements'!$A$5:$A$304,0)),"Code inconnu"))</f>
        <v/>
      </c>
      <c r="F2421" s="9">
        <f>IF(D2421="","",IFERROR(INDEX('Équipements'!$D$5:$D$304,MATCH(D2421,'Équipements'!$A$5:$A$304,0)),""))</f>
        <v/>
      </c>
      <c r="G2421" s="9">
        <f>IF(D2421="","",IFERROR(INDEX('Équipements'!$K$5:$K$304,MATCH(D2421,'Équipements'!$A$5:$A$304,0)),""))</f>
        <v/>
      </c>
      <c r="H2421" s="7" t="n"/>
      <c r="I2421" s="7" t="n"/>
      <c r="J2421" s="7" t="n"/>
      <c r="K2421" s="7" t="n"/>
      <c r="L2421" s="7" t="n"/>
      <c r="M2421" s="7" t="n"/>
      <c r="N2421" s="7" t="n"/>
      <c r="O2421" s="7" t="n"/>
      <c r="P2421" s="65" t="n"/>
      <c r="Q2421" s="75" t="n"/>
      <c r="R2421" s="75" t="n"/>
      <c r="S2421" s="76" t="n"/>
      <c r="T2421" s="76" t="n"/>
      <c r="U2421" s="70">
        <f>IF($A2421="","",IFERROR(INDEX('Techniciens'!$F$5:$F$44,MATCH(O2421,'Techniciens'!$B$5:$B$44,0)),'Paramètres'!$AA$10))</f>
        <v/>
      </c>
      <c r="V2421" s="70">
        <f>IF($A2421="","",IF(OR(AC2421="Demandé",AC2421="Planifié",AC2421="Annulé"),0,N(T2421)*N(U2421)))</f>
        <v/>
      </c>
      <c r="W2421" s="70">
        <f>IF($A2421="","",SUMIFS('Mouvements stock'!$H$5:$H$3004,'Mouvements stock'!$I$5:$I$3004,$A2421,'Mouvements stock'!$C$5:$C$3004,"Sortie")-SUMIFS('Mouvements stock'!$H$5:$H$3004,'Mouvements stock'!$I$5:$I$3004,$A2421,'Mouvements stock'!$C$5:$C$3004,"Retour"))</f>
        <v/>
      </c>
      <c r="X2421" s="66" t="n"/>
      <c r="Y2421" s="66" t="n"/>
      <c r="Z2421" s="7" t="n"/>
      <c r="AA2421" s="70">
        <f>IF($A2421="","",N(V2421)+N(W2421)+N(X2421)+N(Y2421))</f>
        <v/>
      </c>
      <c r="AB2421" s="70">
        <f>IF($A2421="","",N(S2421)*'Paramètres'!$AA$9*IFERROR(INDEX('Paramètres'!$O$5:$O$7,MATCH(G2421,'Paramètres'!$N$5:$N$7,0)),0))</f>
        <v/>
      </c>
      <c r="AC2421" s="7" t="n"/>
      <c r="AD2421" s="69">
        <f>IF(OR($A2421="",Q2421=""),"",(Q2421-B2421)*24)</f>
        <v/>
      </c>
      <c r="AE2421" s="69">
        <f>IF(OR(Q2421="",R2421=""),"",(R2421-Q2421)*24)</f>
        <v/>
      </c>
      <c r="AF2421" s="77">
        <f>IF(OR($A2421="",B2421=""),"",YEAR(B2421))</f>
        <v/>
      </c>
      <c r="AG2421" s="77">
        <f>IF(OR($A2421="",B2421=""),"",MONTH(B2421))</f>
        <v/>
      </c>
    </row>
    <row r="2422">
      <c r="A2422" s="7" t="n"/>
      <c r="B2422" s="75" t="n"/>
      <c r="C2422" s="7" t="n"/>
      <c r="D2422" s="7" t="n"/>
      <c r="E2422" s="9">
        <f>IF(D2422="","",IFERROR(INDEX('Équipements'!$B$5:$B$304,MATCH(D2422,'Équipements'!$A$5:$A$304,0)),"Code inconnu"))</f>
        <v/>
      </c>
      <c r="F2422" s="9">
        <f>IF(D2422="","",IFERROR(INDEX('Équipements'!$D$5:$D$304,MATCH(D2422,'Équipements'!$A$5:$A$304,0)),""))</f>
        <v/>
      </c>
      <c r="G2422" s="9">
        <f>IF(D2422="","",IFERROR(INDEX('Équipements'!$K$5:$K$304,MATCH(D2422,'Équipements'!$A$5:$A$304,0)),""))</f>
        <v/>
      </c>
      <c r="H2422" s="7" t="n"/>
      <c r="I2422" s="7" t="n"/>
      <c r="J2422" s="7" t="n"/>
      <c r="K2422" s="7" t="n"/>
      <c r="L2422" s="7" t="n"/>
      <c r="M2422" s="7" t="n"/>
      <c r="N2422" s="7" t="n"/>
      <c r="O2422" s="7" t="n"/>
      <c r="P2422" s="65" t="n"/>
      <c r="Q2422" s="75" t="n"/>
      <c r="R2422" s="75" t="n"/>
      <c r="S2422" s="76" t="n"/>
      <c r="T2422" s="76" t="n"/>
      <c r="U2422" s="70">
        <f>IF($A2422="","",IFERROR(INDEX('Techniciens'!$F$5:$F$44,MATCH(O2422,'Techniciens'!$B$5:$B$44,0)),'Paramètres'!$AA$10))</f>
        <v/>
      </c>
      <c r="V2422" s="70">
        <f>IF($A2422="","",IF(OR(AC2422="Demandé",AC2422="Planifié",AC2422="Annulé"),0,N(T2422)*N(U2422)))</f>
        <v/>
      </c>
      <c r="W2422" s="70">
        <f>IF($A2422="","",SUMIFS('Mouvements stock'!$H$5:$H$3004,'Mouvements stock'!$I$5:$I$3004,$A2422,'Mouvements stock'!$C$5:$C$3004,"Sortie")-SUMIFS('Mouvements stock'!$H$5:$H$3004,'Mouvements stock'!$I$5:$I$3004,$A2422,'Mouvements stock'!$C$5:$C$3004,"Retour"))</f>
        <v/>
      </c>
      <c r="X2422" s="66" t="n"/>
      <c r="Y2422" s="66" t="n"/>
      <c r="Z2422" s="7" t="n"/>
      <c r="AA2422" s="70">
        <f>IF($A2422="","",N(V2422)+N(W2422)+N(X2422)+N(Y2422))</f>
        <v/>
      </c>
      <c r="AB2422" s="70">
        <f>IF($A2422="","",N(S2422)*'Paramètres'!$AA$9*IFERROR(INDEX('Paramètres'!$O$5:$O$7,MATCH(G2422,'Paramètres'!$N$5:$N$7,0)),0))</f>
        <v/>
      </c>
      <c r="AC2422" s="7" t="n"/>
      <c r="AD2422" s="69">
        <f>IF(OR($A2422="",Q2422=""),"",(Q2422-B2422)*24)</f>
        <v/>
      </c>
      <c r="AE2422" s="69">
        <f>IF(OR(Q2422="",R2422=""),"",(R2422-Q2422)*24)</f>
        <v/>
      </c>
      <c r="AF2422" s="77">
        <f>IF(OR($A2422="",B2422=""),"",YEAR(B2422))</f>
        <v/>
      </c>
      <c r="AG2422" s="77">
        <f>IF(OR($A2422="",B2422=""),"",MONTH(B2422))</f>
        <v/>
      </c>
    </row>
    <row r="2423">
      <c r="A2423" s="7" t="n"/>
      <c r="B2423" s="75" t="n"/>
      <c r="C2423" s="7" t="n"/>
      <c r="D2423" s="7" t="n"/>
      <c r="E2423" s="9">
        <f>IF(D2423="","",IFERROR(INDEX('Équipements'!$B$5:$B$304,MATCH(D2423,'Équipements'!$A$5:$A$304,0)),"Code inconnu"))</f>
        <v/>
      </c>
      <c r="F2423" s="9">
        <f>IF(D2423="","",IFERROR(INDEX('Équipements'!$D$5:$D$304,MATCH(D2423,'Équipements'!$A$5:$A$304,0)),""))</f>
        <v/>
      </c>
      <c r="G2423" s="9">
        <f>IF(D2423="","",IFERROR(INDEX('Équipements'!$K$5:$K$304,MATCH(D2423,'Équipements'!$A$5:$A$304,0)),""))</f>
        <v/>
      </c>
      <c r="H2423" s="7" t="n"/>
      <c r="I2423" s="7" t="n"/>
      <c r="J2423" s="7" t="n"/>
      <c r="K2423" s="7" t="n"/>
      <c r="L2423" s="7" t="n"/>
      <c r="M2423" s="7" t="n"/>
      <c r="N2423" s="7" t="n"/>
      <c r="O2423" s="7" t="n"/>
      <c r="P2423" s="65" t="n"/>
      <c r="Q2423" s="75" t="n"/>
      <c r="R2423" s="75" t="n"/>
      <c r="S2423" s="76" t="n"/>
      <c r="T2423" s="76" t="n"/>
      <c r="U2423" s="70">
        <f>IF($A2423="","",IFERROR(INDEX('Techniciens'!$F$5:$F$44,MATCH(O2423,'Techniciens'!$B$5:$B$44,0)),'Paramètres'!$AA$10))</f>
        <v/>
      </c>
      <c r="V2423" s="70">
        <f>IF($A2423="","",IF(OR(AC2423="Demandé",AC2423="Planifié",AC2423="Annulé"),0,N(T2423)*N(U2423)))</f>
        <v/>
      </c>
      <c r="W2423" s="70">
        <f>IF($A2423="","",SUMIFS('Mouvements stock'!$H$5:$H$3004,'Mouvements stock'!$I$5:$I$3004,$A2423,'Mouvements stock'!$C$5:$C$3004,"Sortie")-SUMIFS('Mouvements stock'!$H$5:$H$3004,'Mouvements stock'!$I$5:$I$3004,$A2423,'Mouvements stock'!$C$5:$C$3004,"Retour"))</f>
        <v/>
      </c>
      <c r="X2423" s="66" t="n"/>
      <c r="Y2423" s="66" t="n"/>
      <c r="Z2423" s="7" t="n"/>
      <c r="AA2423" s="70">
        <f>IF($A2423="","",N(V2423)+N(W2423)+N(X2423)+N(Y2423))</f>
        <v/>
      </c>
      <c r="AB2423" s="70">
        <f>IF($A2423="","",N(S2423)*'Paramètres'!$AA$9*IFERROR(INDEX('Paramètres'!$O$5:$O$7,MATCH(G2423,'Paramètres'!$N$5:$N$7,0)),0))</f>
        <v/>
      </c>
      <c r="AC2423" s="7" t="n"/>
      <c r="AD2423" s="69">
        <f>IF(OR($A2423="",Q2423=""),"",(Q2423-B2423)*24)</f>
        <v/>
      </c>
      <c r="AE2423" s="69">
        <f>IF(OR(Q2423="",R2423=""),"",(R2423-Q2423)*24)</f>
        <v/>
      </c>
      <c r="AF2423" s="77">
        <f>IF(OR($A2423="",B2423=""),"",YEAR(B2423))</f>
        <v/>
      </c>
      <c r="AG2423" s="77">
        <f>IF(OR($A2423="",B2423=""),"",MONTH(B2423))</f>
        <v/>
      </c>
    </row>
    <row r="2424">
      <c r="A2424" s="7" t="n"/>
      <c r="B2424" s="75" t="n"/>
      <c r="C2424" s="7" t="n"/>
      <c r="D2424" s="7" t="n"/>
      <c r="E2424" s="9">
        <f>IF(D2424="","",IFERROR(INDEX('Équipements'!$B$5:$B$304,MATCH(D2424,'Équipements'!$A$5:$A$304,0)),"Code inconnu"))</f>
        <v/>
      </c>
      <c r="F2424" s="9">
        <f>IF(D2424="","",IFERROR(INDEX('Équipements'!$D$5:$D$304,MATCH(D2424,'Équipements'!$A$5:$A$304,0)),""))</f>
        <v/>
      </c>
      <c r="G2424" s="9">
        <f>IF(D2424="","",IFERROR(INDEX('Équipements'!$K$5:$K$304,MATCH(D2424,'Équipements'!$A$5:$A$304,0)),""))</f>
        <v/>
      </c>
      <c r="H2424" s="7" t="n"/>
      <c r="I2424" s="7" t="n"/>
      <c r="J2424" s="7" t="n"/>
      <c r="K2424" s="7" t="n"/>
      <c r="L2424" s="7" t="n"/>
      <c r="M2424" s="7" t="n"/>
      <c r="N2424" s="7" t="n"/>
      <c r="O2424" s="7" t="n"/>
      <c r="P2424" s="65" t="n"/>
      <c r="Q2424" s="75" t="n"/>
      <c r="R2424" s="75" t="n"/>
      <c r="S2424" s="76" t="n"/>
      <c r="T2424" s="76" t="n"/>
      <c r="U2424" s="70">
        <f>IF($A2424="","",IFERROR(INDEX('Techniciens'!$F$5:$F$44,MATCH(O2424,'Techniciens'!$B$5:$B$44,0)),'Paramètres'!$AA$10))</f>
        <v/>
      </c>
      <c r="V2424" s="70">
        <f>IF($A2424="","",IF(OR(AC2424="Demandé",AC2424="Planifié",AC2424="Annulé"),0,N(T2424)*N(U2424)))</f>
        <v/>
      </c>
      <c r="W2424" s="70">
        <f>IF($A2424="","",SUMIFS('Mouvements stock'!$H$5:$H$3004,'Mouvements stock'!$I$5:$I$3004,$A2424,'Mouvements stock'!$C$5:$C$3004,"Sortie")-SUMIFS('Mouvements stock'!$H$5:$H$3004,'Mouvements stock'!$I$5:$I$3004,$A2424,'Mouvements stock'!$C$5:$C$3004,"Retour"))</f>
        <v/>
      </c>
      <c r="X2424" s="66" t="n"/>
      <c r="Y2424" s="66" t="n"/>
      <c r="Z2424" s="7" t="n"/>
      <c r="AA2424" s="70">
        <f>IF($A2424="","",N(V2424)+N(W2424)+N(X2424)+N(Y2424))</f>
        <v/>
      </c>
      <c r="AB2424" s="70">
        <f>IF($A2424="","",N(S2424)*'Paramètres'!$AA$9*IFERROR(INDEX('Paramètres'!$O$5:$O$7,MATCH(G2424,'Paramètres'!$N$5:$N$7,0)),0))</f>
        <v/>
      </c>
      <c r="AC2424" s="7" t="n"/>
      <c r="AD2424" s="69">
        <f>IF(OR($A2424="",Q2424=""),"",(Q2424-B2424)*24)</f>
        <v/>
      </c>
      <c r="AE2424" s="69">
        <f>IF(OR(Q2424="",R2424=""),"",(R2424-Q2424)*24)</f>
        <v/>
      </c>
      <c r="AF2424" s="77">
        <f>IF(OR($A2424="",B2424=""),"",YEAR(B2424))</f>
        <v/>
      </c>
      <c r="AG2424" s="77">
        <f>IF(OR($A2424="",B2424=""),"",MONTH(B2424))</f>
        <v/>
      </c>
    </row>
    <row r="2425">
      <c r="A2425" s="7" t="n"/>
      <c r="B2425" s="75" t="n"/>
      <c r="C2425" s="7" t="n"/>
      <c r="D2425" s="7" t="n"/>
      <c r="E2425" s="9">
        <f>IF(D2425="","",IFERROR(INDEX('Équipements'!$B$5:$B$304,MATCH(D2425,'Équipements'!$A$5:$A$304,0)),"Code inconnu"))</f>
        <v/>
      </c>
      <c r="F2425" s="9">
        <f>IF(D2425="","",IFERROR(INDEX('Équipements'!$D$5:$D$304,MATCH(D2425,'Équipements'!$A$5:$A$304,0)),""))</f>
        <v/>
      </c>
      <c r="G2425" s="9">
        <f>IF(D2425="","",IFERROR(INDEX('Équipements'!$K$5:$K$304,MATCH(D2425,'Équipements'!$A$5:$A$304,0)),""))</f>
        <v/>
      </c>
      <c r="H2425" s="7" t="n"/>
      <c r="I2425" s="7" t="n"/>
      <c r="J2425" s="7" t="n"/>
      <c r="K2425" s="7" t="n"/>
      <c r="L2425" s="7" t="n"/>
      <c r="M2425" s="7" t="n"/>
      <c r="N2425" s="7" t="n"/>
      <c r="O2425" s="7" t="n"/>
      <c r="P2425" s="65" t="n"/>
      <c r="Q2425" s="75" t="n"/>
      <c r="R2425" s="75" t="n"/>
      <c r="S2425" s="76" t="n"/>
      <c r="T2425" s="76" t="n"/>
      <c r="U2425" s="70">
        <f>IF($A2425="","",IFERROR(INDEX('Techniciens'!$F$5:$F$44,MATCH(O2425,'Techniciens'!$B$5:$B$44,0)),'Paramètres'!$AA$10))</f>
        <v/>
      </c>
      <c r="V2425" s="70">
        <f>IF($A2425="","",IF(OR(AC2425="Demandé",AC2425="Planifié",AC2425="Annulé"),0,N(T2425)*N(U2425)))</f>
        <v/>
      </c>
      <c r="W2425" s="70">
        <f>IF($A2425="","",SUMIFS('Mouvements stock'!$H$5:$H$3004,'Mouvements stock'!$I$5:$I$3004,$A2425,'Mouvements stock'!$C$5:$C$3004,"Sortie")-SUMIFS('Mouvements stock'!$H$5:$H$3004,'Mouvements stock'!$I$5:$I$3004,$A2425,'Mouvements stock'!$C$5:$C$3004,"Retour"))</f>
        <v/>
      </c>
      <c r="X2425" s="66" t="n"/>
      <c r="Y2425" s="66" t="n"/>
      <c r="Z2425" s="7" t="n"/>
      <c r="AA2425" s="70">
        <f>IF($A2425="","",N(V2425)+N(W2425)+N(X2425)+N(Y2425))</f>
        <v/>
      </c>
      <c r="AB2425" s="70">
        <f>IF($A2425="","",N(S2425)*'Paramètres'!$AA$9*IFERROR(INDEX('Paramètres'!$O$5:$O$7,MATCH(G2425,'Paramètres'!$N$5:$N$7,0)),0))</f>
        <v/>
      </c>
      <c r="AC2425" s="7" t="n"/>
      <c r="AD2425" s="69">
        <f>IF(OR($A2425="",Q2425=""),"",(Q2425-B2425)*24)</f>
        <v/>
      </c>
      <c r="AE2425" s="69">
        <f>IF(OR(Q2425="",R2425=""),"",(R2425-Q2425)*24)</f>
        <v/>
      </c>
      <c r="AF2425" s="77">
        <f>IF(OR($A2425="",B2425=""),"",YEAR(B2425))</f>
        <v/>
      </c>
      <c r="AG2425" s="77">
        <f>IF(OR($A2425="",B2425=""),"",MONTH(B2425))</f>
        <v/>
      </c>
    </row>
    <row r="2426">
      <c r="A2426" s="7" t="n"/>
      <c r="B2426" s="75" t="n"/>
      <c r="C2426" s="7" t="n"/>
      <c r="D2426" s="7" t="n"/>
      <c r="E2426" s="9">
        <f>IF(D2426="","",IFERROR(INDEX('Équipements'!$B$5:$B$304,MATCH(D2426,'Équipements'!$A$5:$A$304,0)),"Code inconnu"))</f>
        <v/>
      </c>
      <c r="F2426" s="9">
        <f>IF(D2426="","",IFERROR(INDEX('Équipements'!$D$5:$D$304,MATCH(D2426,'Équipements'!$A$5:$A$304,0)),""))</f>
        <v/>
      </c>
      <c r="G2426" s="9">
        <f>IF(D2426="","",IFERROR(INDEX('Équipements'!$K$5:$K$304,MATCH(D2426,'Équipements'!$A$5:$A$304,0)),""))</f>
        <v/>
      </c>
      <c r="H2426" s="7" t="n"/>
      <c r="I2426" s="7" t="n"/>
      <c r="J2426" s="7" t="n"/>
      <c r="K2426" s="7" t="n"/>
      <c r="L2426" s="7" t="n"/>
      <c r="M2426" s="7" t="n"/>
      <c r="N2426" s="7" t="n"/>
      <c r="O2426" s="7" t="n"/>
      <c r="P2426" s="65" t="n"/>
      <c r="Q2426" s="75" t="n"/>
      <c r="R2426" s="75" t="n"/>
      <c r="S2426" s="76" t="n"/>
      <c r="T2426" s="76" t="n"/>
      <c r="U2426" s="70">
        <f>IF($A2426="","",IFERROR(INDEX('Techniciens'!$F$5:$F$44,MATCH(O2426,'Techniciens'!$B$5:$B$44,0)),'Paramètres'!$AA$10))</f>
        <v/>
      </c>
      <c r="V2426" s="70">
        <f>IF($A2426="","",IF(OR(AC2426="Demandé",AC2426="Planifié",AC2426="Annulé"),0,N(T2426)*N(U2426)))</f>
        <v/>
      </c>
      <c r="W2426" s="70">
        <f>IF($A2426="","",SUMIFS('Mouvements stock'!$H$5:$H$3004,'Mouvements stock'!$I$5:$I$3004,$A2426,'Mouvements stock'!$C$5:$C$3004,"Sortie")-SUMIFS('Mouvements stock'!$H$5:$H$3004,'Mouvements stock'!$I$5:$I$3004,$A2426,'Mouvements stock'!$C$5:$C$3004,"Retour"))</f>
        <v/>
      </c>
      <c r="X2426" s="66" t="n"/>
      <c r="Y2426" s="66" t="n"/>
      <c r="Z2426" s="7" t="n"/>
      <c r="AA2426" s="70">
        <f>IF($A2426="","",N(V2426)+N(W2426)+N(X2426)+N(Y2426))</f>
        <v/>
      </c>
      <c r="AB2426" s="70">
        <f>IF($A2426="","",N(S2426)*'Paramètres'!$AA$9*IFERROR(INDEX('Paramètres'!$O$5:$O$7,MATCH(G2426,'Paramètres'!$N$5:$N$7,0)),0))</f>
        <v/>
      </c>
      <c r="AC2426" s="7" t="n"/>
      <c r="AD2426" s="69">
        <f>IF(OR($A2426="",Q2426=""),"",(Q2426-B2426)*24)</f>
        <v/>
      </c>
      <c r="AE2426" s="69">
        <f>IF(OR(Q2426="",R2426=""),"",(R2426-Q2426)*24)</f>
        <v/>
      </c>
      <c r="AF2426" s="77">
        <f>IF(OR($A2426="",B2426=""),"",YEAR(B2426))</f>
        <v/>
      </c>
      <c r="AG2426" s="77">
        <f>IF(OR($A2426="",B2426=""),"",MONTH(B2426))</f>
        <v/>
      </c>
    </row>
    <row r="2427">
      <c r="A2427" s="7" t="n"/>
      <c r="B2427" s="75" t="n"/>
      <c r="C2427" s="7" t="n"/>
      <c r="D2427" s="7" t="n"/>
      <c r="E2427" s="9">
        <f>IF(D2427="","",IFERROR(INDEX('Équipements'!$B$5:$B$304,MATCH(D2427,'Équipements'!$A$5:$A$304,0)),"Code inconnu"))</f>
        <v/>
      </c>
      <c r="F2427" s="9">
        <f>IF(D2427="","",IFERROR(INDEX('Équipements'!$D$5:$D$304,MATCH(D2427,'Équipements'!$A$5:$A$304,0)),""))</f>
        <v/>
      </c>
      <c r="G2427" s="9">
        <f>IF(D2427="","",IFERROR(INDEX('Équipements'!$K$5:$K$304,MATCH(D2427,'Équipements'!$A$5:$A$304,0)),""))</f>
        <v/>
      </c>
      <c r="H2427" s="7" t="n"/>
      <c r="I2427" s="7" t="n"/>
      <c r="J2427" s="7" t="n"/>
      <c r="K2427" s="7" t="n"/>
      <c r="L2427" s="7" t="n"/>
      <c r="M2427" s="7" t="n"/>
      <c r="N2427" s="7" t="n"/>
      <c r="O2427" s="7" t="n"/>
      <c r="P2427" s="65" t="n"/>
      <c r="Q2427" s="75" t="n"/>
      <c r="R2427" s="75" t="n"/>
      <c r="S2427" s="76" t="n"/>
      <c r="T2427" s="76" t="n"/>
      <c r="U2427" s="70">
        <f>IF($A2427="","",IFERROR(INDEX('Techniciens'!$F$5:$F$44,MATCH(O2427,'Techniciens'!$B$5:$B$44,0)),'Paramètres'!$AA$10))</f>
        <v/>
      </c>
      <c r="V2427" s="70">
        <f>IF($A2427="","",IF(OR(AC2427="Demandé",AC2427="Planifié",AC2427="Annulé"),0,N(T2427)*N(U2427)))</f>
        <v/>
      </c>
      <c r="W2427" s="70">
        <f>IF($A2427="","",SUMIFS('Mouvements stock'!$H$5:$H$3004,'Mouvements stock'!$I$5:$I$3004,$A2427,'Mouvements stock'!$C$5:$C$3004,"Sortie")-SUMIFS('Mouvements stock'!$H$5:$H$3004,'Mouvements stock'!$I$5:$I$3004,$A2427,'Mouvements stock'!$C$5:$C$3004,"Retour"))</f>
        <v/>
      </c>
      <c r="X2427" s="66" t="n"/>
      <c r="Y2427" s="66" t="n"/>
      <c r="Z2427" s="7" t="n"/>
      <c r="AA2427" s="70">
        <f>IF($A2427="","",N(V2427)+N(W2427)+N(X2427)+N(Y2427))</f>
        <v/>
      </c>
      <c r="AB2427" s="70">
        <f>IF($A2427="","",N(S2427)*'Paramètres'!$AA$9*IFERROR(INDEX('Paramètres'!$O$5:$O$7,MATCH(G2427,'Paramètres'!$N$5:$N$7,0)),0))</f>
        <v/>
      </c>
      <c r="AC2427" s="7" t="n"/>
      <c r="AD2427" s="69">
        <f>IF(OR($A2427="",Q2427=""),"",(Q2427-B2427)*24)</f>
        <v/>
      </c>
      <c r="AE2427" s="69">
        <f>IF(OR(Q2427="",R2427=""),"",(R2427-Q2427)*24)</f>
        <v/>
      </c>
      <c r="AF2427" s="77">
        <f>IF(OR($A2427="",B2427=""),"",YEAR(B2427))</f>
        <v/>
      </c>
      <c r="AG2427" s="77">
        <f>IF(OR($A2427="",B2427=""),"",MONTH(B2427))</f>
        <v/>
      </c>
    </row>
    <row r="2428">
      <c r="A2428" s="7" t="n"/>
      <c r="B2428" s="75" t="n"/>
      <c r="C2428" s="7" t="n"/>
      <c r="D2428" s="7" t="n"/>
      <c r="E2428" s="9">
        <f>IF(D2428="","",IFERROR(INDEX('Équipements'!$B$5:$B$304,MATCH(D2428,'Équipements'!$A$5:$A$304,0)),"Code inconnu"))</f>
        <v/>
      </c>
      <c r="F2428" s="9">
        <f>IF(D2428="","",IFERROR(INDEX('Équipements'!$D$5:$D$304,MATCH(D2428,'Équipements'!$A$5:$A$304,0)),""))</f>
        <v/>
      </c>
      <c r="G2428" s="9">
        <f>IF(D2428="","",IFERROR(INDEX('Équipements'!$K$5:$K$304,MATCH(D2428,'Équipements'!$A$5:$A$304,0)),""))</f>
        <v/>
      </c>
      <c r="H2428" s="7" t="n"/>
      <c r="I2428" s="7" t="n"/>
      <c r="J2428" s="7" t="n"/>
      <c r="K2428" s="7" t="n"/>
      <c r="L2428" s="7" t="n"/>
      <c r="M2428" s="7" t="n"/>
      <c r="N2428" s="7" t="n"/>
      <c r="O2428" s="7" t="n"/>
      <c r="P2428" s="65" t="n"/>
      <c r="Q2428" s="75" t="n"/>
      <c r="R2428" s="75" t="n"/>
      <c r="S2428" s="76" t="n"/>
      <c r="T2428" s="76" t="n"/>
      <c r="U2428" s="70">
        <f>IF($A2428="","",IFERROR(INDEX('Techniciens'!$F$5:$F$44,MATCH(O2428,'Techniciens'!$B$5:$B$44,0)),'Paramètres'!$AA$10))</f>
        <v/>
      </c>
      <c r="V2428" s="70">
        <f>IF($A2428="","",IF(OR(AC2428="Demandé",AC2428="Planifié",AC2428="Annulé"),0,N(T2428)*N(U2428)))</f>
        <v/>
      </c>
      <c r="W2428" s="70">
        <f>IF($A2428="","",SUMIFS('Mouvements stock'!$H$5:$H$3004,'Mouvements stock'!$I$5:$I$3004,$A2428,'Mouvements stock'!$C$5:$C$3004,"Sortie")-SUMIFS('Mouvements stock'!$H$5:$H$3004,'Mouvements stock'!$I$5:$I$3004,$A2428,'Mouvements stock'!$C$5:$C$3004,"Retour"))</f>
        <v/>
      </c>
      <c r="X2428" s="66" t="n"/>
      <c r="Y2428" s="66" t="n"/>
      <c r="Z2428" s="7" t="n"/>
      <c r="AA2428" s="70">
        <f>IF($A2428="","",N(V2428)+N(W2428)+N(X2428)+N(Y2428))</f>
        <v/>
      </c>
      <c r="AB2428" s="70">
        <f>IF($A2428="","",N(S2428)*'Paramètres'!$AA$9*IFERROR(INDEX('Paramètres'!$O$5:$O$7,MATCH(G2428,'Paramètres'!$N$5:$N$7,0)),0))</f>
        <v/>
      </c>
      <c r="AC2428" s="7" t="n"/>
      <c r="AD2428" s="69">
        <f>IF(OR($A2428="",Q2428=""),"",(Q2428-B2428)*24)</f>
        <v/>
      </c>
      <c r="AE2428" s="69">
        <f>IF(OR(Q2428="",R2428=""),"",(R2428-Q2428)*24)</f>
        <v/>
      </c>
      <c r="AF2428" s="77">
        <f>IF(OR($A2428="",B2428=""),"",YEAR(B2428))</f>
        <v/>
      </c>
      <c r="AG2428" s="77">
        <f>IF(OR($A2428="",B2428=""),"",MONTH(B2428))</f>
        <v/>
      </c>
    </row>
    <row r="2429">
      <c r="A2429" s="7" t="n"/>
      <c r="B2429" s="75" t="n"/>
      <c r="C2429" s="7" t="n"/>
      <c r="D2429" s="7" t="n"/>
      <c r="E2429" s="9">
        <f>IF(D2429="","",IFERROR(INDEX('Équipements'!$B$5:$B$304,MATCH(D2429,'Équipements'!$A$5:$A$304,0)),"Code inconnu"))</f>
        <v/>
      </c>
      <c r="F2429" s="9">
        <f>IF(D2429="","",IFERROR(INDEX('Équipements'!$D$5:$D$304,MATCH(D2429,'Équipements'!$A$5:$A$304,0)),""))</f>
        <v/>
      </c>
      <c r="G2429" s="9">
        <f>IF(D2429="","",IFERROR(INDEX('Équipements'!$K$5:$K$304,MATCH(D2429,'Équipements'!$A$5:$A$304,0)),""))</f>
        <v/>
      </c>
      <c r="H2429" s="7" t="n"/>
      <c r="I2429" s="7" t="n"/>
      <c r="J2429" s="7" t="n"/>
      <c r="K2429" s="7" t="n"/>
      <c r="L2429" s="7" t="n"/>
      <c r="M2429" s="7" t="n"/>
      <c r="N2429" s="7" t="n"/>
      <c r="O2429" s="7" t="n"/>
      <c r="P2429" s="65" t="n"/>
      <c r="Q2429" s="75" t="n"/>
      <c r="R2429" s="75" t="n"/>
      <c r="S2429" s="76" t="n"/>
      <c r="T2429" s="76" t="n"/>
      <c r="U2429" s="70">
        <f>IF($A2429="","",IFERROR(INDEX('Techniciens'!$F$5:$F$44,MATCH(O2429,'Techniciens'!$B$5:$B$44,0)),'Paramètres'!$AA$10))</f>
        <v/>
      </c>
      <c r="V2429" s="70">
        <f>IF($A2429="","",IF(OR(AC2429="Demandé",AC2429="Planifié",AC2429="Annulé"),0,N(T2429)*N(U2429)))</f>
        <v/>
      </c>
      <c r="W2429" s="70">
        <f>IF($A2429="","",SUMIFS('Mouvements stock'!$H$5:$H$3004,'Mouvements stock'!$I$5:$I$3004,$A2429,'Mouvements stock'!$C$5:$C$3004,"Sortie")-SUMIFS('Mouvements stock'!$H$5:$H$3004,'Mouvements stock'!$I$5:$I$3004,$A2429,'Mouvements stock'!$C$5:$C$3004,"Retour"))</f>
        <v/>
      </c>
      <c r="X2429" s="66" t="n"/>
      <c r="Y2429" s="66" t="n"/>
      <c r="Z2429" s="7" t="n"/>
      <c r="AA2429" s="70">
        <f>IF($A2429="","",N(V2429)+N(W2429)+N(X2429)+N(Y2429))</f>
        <v/>
      </c>
      <c r="AB2429" s="70">
        <f>IF($A2429="","",N(S2429)*'Paramètres'!$AA$9*IFERROR(INDEX('Paramètres'!$O$5:$O$7,MATCH(G2429,'Paramètres'!$N$5:$N$7,0)),0))</f>
        <v/>
      </c>
      <c r="AC2429" s="7" t="n"/>
      <c r="AD2429" s="69">
        <f>IF(OR($A2429="",Q2429=""),"",(Q2429-B2429)*24)</f>
        <v/>
      </c>
      <c r="AE2429" s="69">
        <f>IF(OR(Q2429="",R2429=""),"",(R2429-Q2429)*24)</f>
        <v/>
      </c>
      <c r="AF2429" s="77">
        <f>IF(OR($A2429="",B2429=""),"",YEAR(B2429))</f>
        <v/>
      </c>
      <c r="AG2429" s="77">
        <f>IF(OR($A2429="",B2429=""),"",MONTH(B2429))</f>
        <v/>
      </c>
    </row>
    <row r="2430">
      <c r="A2430" s="7" t="n"/>
      <c r="B2430" s="75" t="n"/>
      <c r="C2430" s="7" t="n"/>
      <c r="D2430" s="7" t="n"/>
      <c r="E2430" s="9">
        <f>IF(D2430="","",IFERROR(INDEX('Équipements'!$B$5:$B$304,MATCH(D2430,'Équipements'!$A$5:$A$304,0)),"Code inconnu"))</f>
        <v/>
      </c>
      <c r="F2430" s="9">
        <f>IF(D2430="","",IFERROR(INDEX('Équipements'!$D$5:$D$304,MATCH(D2430,'Équipements'!$A$5:$A$304,0)),""))</f>
        <v/>
      </c>
      <c r="G2430" s="9">
        <f>IF(D2430="","",IFERROR(INDEX('Équipements'!$K$5:$K$304,MATCH(D2430,'Équipements'!$A$5:$A$304,0)),""))</f>
        <v/>
      </c>
      <c r="H2430" s="7" t="n"/>
      <c r="I2430" s="7" t="n"/>
      <c r="J2430" s="7" t="n"/>
      <c r="K2430" s="7" t="n"/>
      <c r="L2430" s="7" t="n"/>
      <c r="M2430" s="7" t="n"/>
      <c r="N2430" s="7" t="n"/>
      <c r="O2430" s="7" t="n"/>
      <c r="P2430" s="65" t="n"/>
      <c r="Q2430" s="75" t="n"/>
      <c r="R2430" s="75" t="n"/>
      <c r="S2430" s="76" t="n"/>
      <c r="T2430" s="76" t="n"/>
      <c r="U2430" s="70">
        <f>IF($A2430="","",IFERROR(INDEX('Techniciens'!$F$5:$F$44,MATCH(O2430,'Techniciens'!$B$5:$B$44,0)),'Paramètres'!$AA$10))</f>
        <v/>
      </c>
      <c r="V2430" s="70">
        <f>IF($A2430="","",IF(OR(AC2430="Demandé",AC2430="Planifié",AC2430="Annulé"),0,N(T2430)*N(U2430)))</f>
        <v/>
      </c>
      <c r="W2430" s="70">
        <f>IF($A2430="","",SUMIFS('Mouvements stock'!$H$5:$H$3004,'Mouvements stock'!$I$5:$I$3004,$A2430,'Mouvements stock'!$C$5:$C$3004,"Sortie")-SUMIFS('Mouvements stock'!$H$5:$H$3004,'Mouvements stock'!$I$5:$I$3004,$A2430,'Mouvements stock'!$C$5:$C$3004,"Retour"))</f>
        <v/>
      </c>
      <c r="X2430" s="66" t="n"/>
      <c r="Y2430" s="66" t="n"/>
      <c r="Z2430" s="7" t="n"/>
      <c r="AA2430" s="70">
        <f>IF($A2430="","",N(V2430)+N(W2430)+N(X2430)+N(Y2430))</f>
        <v/>
      </c>
      <c r="AB2430" s="70">
        <f>IF($A2430="","",N(S2430)*'Paramètres'!$AA$9*IFERROR(INDEX('Paramètres'!$O$5:$O$7,MATCH(G2430,'Paramètres'!$N$5:$N$7,0)),0))</f>
        <v/>
      </c>
      <c r="AC2430" s="7" t="n"/>
      <c r="AD2430" s="69">
        <f>IF(OR($A2430="",Q2430=""),"",(Q2430-B2430)*24)</f>
        <v/>
      </c>
      <c r="AE2430" s="69">
        <f>IF(OR(Q2430="",R2430=""),"",(R2430-Q2430)*24)</f>
        <v/>
      </c>
      <c r="AF2430" s="77">
        <f>IF(OR($A2430="",B2430=""),"",YEAR(B2430))</f>
        <v/>
      </c>
      <c r="AG2430" s="77">
        <f>IF(OR($A2430="",B2430=""),"",MONTH(B2430))</f>
        <v/>
      </c>
    </row>
    <row r="2431">
      <c r="A2431" s="7" t="n"/>
      <c r="B2431" s="75" t="n"/>
      <c r="C2431" s="7" t="n"/>
      <c r="D2431" s="7" t="n"/>
      <c r="E2431" s="9">
        <f>IF(D2431="","",IFERROR(INDEX('Équipements'!$B$5:$B$304,MATCH(D2431,'Équipements'!$A$5:$A$304,0)),"Code inconnu"))</f>
        <v/>
      </c>
      <c r="F2431" s="9">
        <f>IF(D2431="","",IFERROR(INDEX('Équipements'!$D$5:$D$304,MATCH(D2431,'Équipements'!$A$5:$A$304,0)),""))</f>
        <v/>
      </c>
      <c r="G2431" s="9">
        <f>IF(D2431="","",IFERROR(INDEX('Équipements'!$K$5:$K$304,MATCH(D2431,'Équipements'!$A$5:$A$304,0)),""))</f>
        <v/>
      </c>
      <c r="H2431" s="7" t="n"/>
      <c r="I2431" s="7" t="n"/>
      <c r="J2431" s="7" t="n"/>
      <c r="K2431" s="7" t="n"/>
      <c r="L2431" s="7" t="n"/>
      <c r="M2431" s="7" t="n"/>
      <c r="N2431" s="7" t="n"/>
      <c r="O2431" s="7" t="n"/>
      <c r="P2431" s="65" t="n"/>
      <c r="Q2431" s="75" t="n"/>
      <c r="R2431" s="75" t="n"/>
      <c r="S2431" s="76" t="n"/>
      <c r="T2431" s="76" t="n"/>
      <c r="U2431" s="70">
        <f>IF($A2431="","",IFERROR(INDEX('Techniciens'!$F$5:$F$44,MATCH(O2431,'Techniciens'!$B$5:$B$44,0)),'Paramètres'!$AA$10))</f>
        <v/>
      </c>
      <c r="V2431" s="70">
        <f>IF($A2431="","",IF(OR(AC2431="Demandé",AC2431="Planifié",AC2431="Annulé"),0,N(T2431)*N(U2431)))</f>
        <v/>
      </c>
      <c r="W2431" s="70">
        <f>IF($A2431="","",SUMIFS('Mouvements stock'!$H$5:$H$3004,'Mouvements stock'!$I$5:$I$3004,$A2431,'Mouvements stock'!$C$5:$C$3004,"Sortie")-SUMIFS('Mouvements stock'!$H$5:$H$3004,'Mouvements stock'!$I$5:$I$3004,$A2431,'Mouvements stock'!$C$5:$C$3004,"Retour"))</f>
        <v/>
      </c>
      <c r="X2431" s="66" t="n"/>
      <c r="Y2431" s="66" t="n"/>
      <c r="Z2431" s="7" t="n"/>
      <c r="AA2431" s="70">
        <f>IF($A2431="","",N(V2431)+N(W2431)+N(X2431)+N(Y2431))</f>
        <v/>
      </c>
      <c r="AB2431" s="70">
        <f>IF($A2431="","",N(S2431)*'Paramètres'!$AA$9*IFERROR(INDEX('Paramètres'!$O$5:$O$7,MATCH(G2431,'Paramètres'!$N$5:$N$7,0)),0))</f>
        <v/>
      </c>
      <c r="AC2431" s="7" t="n"/>
      <c r="AD2431" s="69">
        <f>IF(OR($A2431="",Q2431=""),"",(Q2431-B2431)*24)</f>
        <v/>
      </c>
      <c r="AE2431" s="69">
        <f>IF(OR(Q2431="",R2431=""),"",(R2431-Q2431)*24)</f>
        <v/>
      </c>
      <c r="AF2431" s="77">
        <f>IF(OR($A2431="",B2431=""),"",YEAR(B2431))</f>
        <v/>
      </c>
      <c r="AG2431" s="77">
        <f>IF(OR($A2431="",B2431=""),"",MONTH(B2431))</f>
        <v/>
      </c>
    </row>
    <row r="2432">
      <c r="A2432" s="7" t="n"/>
      <c r="B2432" s="75" t="n"/>
      <c r="C2432" s="7" t="n"/>
      <c r="D2432" s="7" t="n"/>
      <c r="E2432" s="9">
        <f>IF(D2432="","",IFERROR(INDEX('Équipements'!$B$5:$B$304,MATCH(D2432,'Équipements'!$A$5:$A$304,0)),"Code inconnu"))</f>
        <v/>
      </c>
      <c r="F2432" s="9">
        <f>IF(D2432="","",IFERROR(INDEX('Équipements'!$D$5:$D$304,MATCH(D2432,'Équipements'!$A$5:$A$304,0)),""))</f>
        <v/>
      </c>
      <c r="G2432" s="9">
        <f>IF(D2432="","",IFERROR(INDEX('Équipements'!$K$5:$K$304,MATCH(D2432,'Équipements'!$A$5:$A$304,0)),""))</f>
        <v/>
      </c>
      <c r="H2432" s="7" t="n"/>
      <c r="I2432" s="7" t="n"/>
      <c r="J2432" s="7" t="n"/>
      <c r="K2432" s="7" t="n"/>
      <c r="L2432" s="7" t="n"/>
      <c r="M2432" s="7" t="n"/>
      <c r="N2432" s="7" t="n"/>
      <c r="O2432" s="7" t="n"/>
      <c r="P2432" s="65" t="n"/>
      <c r="Q2432" s="75" t="n"/>
      <c r="R2432" s="75" t="n"/>
      <c r="S2432" s="76" t="n"/>
      <c r="T2432" s="76" t="n"/>
      <c r="U2432" s="70">
        <f>IF($A2432="","",IFERROR(INDEX('Techniciens'!$F$5:$F$44,MATCH(O2432,'Techniciens'!$B$5:$B$44,0)),'Paramètres'!$AA$10))</f>
        <v/>
      </c>
      <c r="V2432" s="70">
        <f>IF($A2432="","",IF(OR(AC2432="Demandé",AC2432="Planifié",AC2432="Annulé"),0,N(T2432)*N(U2432)))</f>
        <v/>
      </c>
      <c r="W2432" s="70">
        <f>IF($A2432="","",SUMIFS('Mouvements stock'!$H$5:$H$3004,'Mouvements stock'!$I$5:$I$3004,$A2432,'Mouvements stock'!$C$5:$C$3004,"Sortie")-SUMIFS('Mouvements stock'!$H$5:$H$3004,'Mouvements stock'!$I$5:$I$3004,$A2432,'Mouvements stock'!$C$5:$C$3004,"Retour"))</f>
        <v/>
      </c>
      <c r="X2432" s="66" t="n"/>
      <c r="Y2432" s="66" t="n"/>
      <c r="Z2432" s="7" t="n"/>
      <c r="AA2432" s="70">
        <f>IF($A2432="","",N(V2432)+N(W2432)+N(X2432)+N(Y2432))</f>
        <v/>
      </c>
      <c r="AB2432" s="70">
        <f>IF($A2432="","",N(S2432)*'Paramètres'!$AA$9*IFERROR(INDEX('Paramètres'!$O$5:$O$7,MATCH(G2432,'Paramètres'!$N$5:$N$7,0)),0))</f>
        <v/>
      </c>
      <c r="AC2432" s="7" t="n"/>
      <c r="AD2432" s="69">
        <f>IF(OR($A2432="",Q2432=""),"",(Q2432-B2432)*24)</f>
        <v/>
      </c>
      <c r="AE2432" s="69">
        <f>IF(OR(Q2432="",R2432=""),"",(R2432-Q2432)*24)</f>
        <v/>
      </c>
      <c r="AF2432" s="77">
        <f>IF(OR($A2432="",B2432=""),"",YEAR(B2432))</f>
        <v/>
      </c>
      <c r="AG2432" s="77">
        <f>IF(OR($A2432="",B2432=""),"",MONTH(B2432))</f>
        <v/>
      </c>
    </row>
    <row r="2433">
      <c r="A2433" s="7" t="n"/>
      <c r="B2433" s="75" t="n"/>
      <c r="C2433" s="7" t="n"/>
      <c r="D2433" s="7" t="n"/>
      <c r="E2433" s="9">
        <f>IF(D2433="","",IFERROR(INDEX('Équipements'!$B$5:$B$304,MATCH(D2433,'Équipements'!$A$5:$A$304,0)),"Code inconnu"))</f>
        <v/>
      </c>
      <c r="F2433" s="9">
        <f>IF(D2433="","",IFERROR(INDEX('Équipements'!$D$5:$D$304,MATCH(D2433,'Équipements'!$A$5:$A$304,0)),""))</f>
        <v/>
      </c>
      <c r="G2433" s="9">
        <f>IF(D2433="","",IFERROR(INDEX('Équipements'!$K$5:$K$304,MATCH(D2433,'Équipements'!$A$5:$A$304,0)),""))</f>
        <v/>
      </c>
      <c r="H2433" s="7" t="n"/>
      <c r="I2433" s="7" t="n"/>
      <c r="J2433" s="7" t="n"/>
      <c r="K2433" s="7" t="n"/>
      <c r="L2433" s="7" t="n"/>
      <c r="M2433" s="7" t="n"/>
      <c r="N2433" s="7" t="n"/>
      <c r="O2433" s="7" t="n"/>
      <c r="P2433" s="65" t="n"/>
      <c r="Q2433" s="75" t="n"/>
      <c r="R2433" s="75" t="n"/>
      <c r="S2433" s="76" t="n"/>
      <c r="T2433" s="76" t="n"/>
      <c r="U2433" s="70">
        <f>IF($A2433="","",IFERROR(INDEX('Techniciens'!$F$5:$F$44,MATCH(O2433,'Techniciens'!$B$5:$B$44,0)),'Paramètres'!$AA$10))</f>
        <v/>
      </c>
      <c r="V2433" s="70">
        <f>IF($A2433="","",IF(OR(AC2433="Demandé",AC2433="Planifié",AC2433="Annulé"),0,N(T2433)*N(U2433)))</f>
        <v/>
      </c>
      <c r="W2433" s="70">
        <f>IF($A2433="","",SUMIFS('Mouvements stock'!$H$5:$H$3004,'Mouvements stock'!$I$5:$I$3004,$A2433,'Mouvements stock'!$C$5:$C$3004,"Sortie")-SUMIFS('Mouvements stock'!$H$5:$H$3004,'Mouvements stock'!$I$5:$I$3004,$A2433,'Mouvements stock'!$C$5:$C$3004,"Retour"))</f>
        <v/>
      </c>
      <c r="X2433" s="66" t="n"/>
      <c r="Y2433" s="66" t="n"/>
      <c r="Z2433" s="7" t="n"/>
      <c r="AA2433" s="70">
        <f>IF($A2433="","",N(V2433)+N(W2433)+N(X2433)+N(Y2433))</f>
        <v/>
      </c>
      <c r="AB2433" s="70">
        <f>IF($A2433="","",N(S2433)*'Paramètres'!$AA$9*IFERROR(INDEX('Paramètres'!$O$5:$O$7,MATCH(G2433,'Paramètres'!$N$5:$N$7,0)),0))</f>
        <v/>
      </c>
      <c r="AC2433" s="7" t="n"/>
      <c r="AD2433" s="69">
        <f>IF(OR($A2433="",Q2433=""),"",(Q2433-B2433)*24)</f>
        <v/>
      </c>
      <c r="AE2433" s="69">
        <f>IF(OR(Q2433="",R2433=""),"",(R2433-Q2433)*24)</f>
        <v/>
      </c>
      <c r="AF2433" s="77">
        <f>IF(OR($A2433="",B2433=""),"",YEAR(B2433))</f>
        <v/>
      </c>
      <c r="AG2433" s="77">
        <f>IF(OR($A2433="",B2433=""),"",MONTH(B2433))</f>
        <v/>
      </c>
    </row>
    <row r="2434">
      <c r="A2434" s="7" t="n"/>
      <c r="B2434" s="75" t="n"/>
      <c r="C2434" s="7" t="n"/>
      <c r="D2434" s="7" t="n"/>
      <c r="E2434" s="9">
        <f>IF(D2434="","",IFERROR(INDEX('Équipements'!$B$5:$B$304,MATCH(D2434,'Équipements'!$A$5:$A$304,0)),"Code inconnu"))</f>
        <v/>
      </c>
      <c r="F2434" s="9">
        <f>IF(D2434="","",IFERROR(INDEX('Équipements'!$D$5:$D$304,MATCH(D2434,'Équipements'!$A$5:$A$304,0)),""))</f>
        <v/>
      </c>
      <c r="G2434" s="9">
        <f>IF(D2434="","",IFERROR(INDEX('Équipements'!$K$5:$K$304,MATCH(D2434,'Équipements'!$A$5:$A$304,0)),""))</f>
        <v/>
      </c>
      <c r="H2434" s="7" t="n"/>
      <c r="I2434" s="7" t="n"/>
      <c r="J2434" s="7" t="n"/>
      <c r="K2434" s="7" t="n"/>
      <c r="L2434" s="7" t="n"/>
      <c r="M2434" s="7" t="n"/>
      <c r="N2434" s="7" t="n"/>
      <c r="O2434" s="7" t="n"/>
      <c r="P2434" s="65" t="n"/>
      <c r="Q2434" s="75" t="n"/>
      <c r="R2434" s="75" t="n"/>
      <c r="S2434" s="76" t="n"/>
      <c r="T2434" s="76" t="n"/>
      <c r="U2434" s="70">
        <f>IF($A2434="","",IFERROR(INDEX('Techniciens'!$F$5:$F$44,MATCH(O2434,'Techniciens'!$B$5:$B$44,0)),'Paramètres'!$AA$10))</f>
        <v/>
      </c>
      <c r="V2434" s="70">
        <f>IF($A2434="","",IF(OR(AC2434="Demandé",AC2434="Planifié",AC2434="Annulé"),0,N(T2434)*N(U2434)))</f>
        <v/>
      </c>
      <c r="W2434" s="70">
        <f>IF($A2434="","",SUMIFS('Mouvements stock'!$H$5:$H$3004,'Mouvements stock'!$I$5:$I$3004,$A2434,'Mouvements stock'!$C$5:$C$3004,"Sortie")-SUMIFS('Mouvements stock'!$H$5:$H$3004,'Mouvements stock'!$I$5:$I$3004,$A2434,'Mouvements stock'!$C$5:$C$3004,"Retour"))</f>
        <v/>
      </c>
      <c r="X2434" s="66" t="n"/>
      <c r="Y2434" s="66" t="n"/>
      <c r="Z2434" s="7" t="n"/>
      <c r="AA2434" s="70">
        <f>IF($A2434="","",N(V2434)+N(W2434)+N(X2434)+N(Y2434))</f>
        <v/>
      </c>
      <c r="AB2434" s="70">
        <f>IF($A2434="","",N(S2434)*'Paramètres'!$AA$9*IFERROR(INDEX('Paramètres'!$O$5:$O$7,MATCH(G2434,'Paramètres'!$N$5:$N$7,0)),0))</f>
        <v/>
      </c>
      <c r="AC2434" s="7" t="n"/>
      <c r="AD2434" s="69">
        <f>IF(OR($A2434="",Q2434=""),"",(Q2434-B2434)*24)</f>
        <v/>
      </c>
      <c r="AE2434" s="69">
        <f>IF(OR(Q2434="",R2434=""),"",(R2434-Q2434)*24)</f>
        <v/>
      </c>
      <c r="AF2434" s="77">
        <f>IF(OR($A2434="",B2434=""),"",YEAR(B2434))</f>
        <v/>
      </c>
      <c r="AG2434" s="77">
        <f>IF(OR($A2434="",B2434=""),"",MONTH(B2434))</f>
        <v/>
      </c>
    </row>
    <row r="2435">
      <c r="A2435" s="7" t="n"/>
      <c r="B2435" s="75" t="n"/>
      <c r="C2435" s="7" t="n"/>
      <c r="D2435" s="7" t="n"/>
      <c r="E2435" s="9">
        <f>IF(D2435="","",IFERROR(INDEX('Équipements'!$B$5:$B$304,MATCH(D2435,'Équipements'!$A$5:$A$304,0)),"Code inconnu"))</f>
        <v/>
      </c>
      <c r="F2435" s="9">
        <f>IF(D2435="","",IFERROR(INDEX('Équipements'!$D$5:$D$304,MATCH(D2435,'Équipements'!$A$5:$A$304,0)),""))</f>
        <v/>
      </c>
      <c r="G2435" s="9">
        <f>IF(D2435="","",IFERROR(INDEX('Équipements'!$K$5:$K$304,MATCH(D2435,'Équipements'!$A$5:$A$304,0)),""))</f>
        <v/>
      </c>
      <c r="H2435" s="7" t="n"/>
      <c r="I2435" s="7" t="n"/>
      <c r="J2435" s="7" t="n"/>
      <c r="K2435" s="7" t="n"/>
      <c r="L2435" s="7" t="n"/>
      <c r="M2435" s="7" t="n"/>
      <c r="N2435" s="7" t="n"/>
      <c r="O2435" s="7" t="n"/>
      <c r="P2435" s="65" t="n"/>
      <c r="Q2435" s="75" t="n"/>
      <c r="R2435" s="75" t="n"/>
      <c r="S2435" s="76" t="n"/>
      <c r="T2435" s="76" t="n"/>
      <c r="U2435" s="70">
        <f>IF($A2435="","",IFERROR(INDEX('Techniciens'!$F$5:$F$44,MATCH(O2435,'Techniciens'!$B$5:$B$44,0)),'Paramètres'!$AA$10))</f>
        <v/>
      </c>
      <c r="V2435" s="70">
        <f>IF($A2435="","",IF(OR(AC2435="Demandé",AC2435="Planifié",AC2435="Annulé"),0,N(T2435)*N(U2435)))</f>
        <v/>
      </c>
      <c r="W2435" s="70">
        <f>IF($A2435="","",SUMIFS('Mouvements stock'!$H$5:$H$3004,'Mouvements stock'!$I$5:$I$3004,$A2435,'Mouvements stock'!$C$5:$C$3004,"Sortie")-SUMIFS('Mouvements stock'!$H$5:$H$3004,'Mouvements stock'!$I$5:$I$3004,$A2435,'Mouvements stock'!$C$5:$C$3004,"Retour"))</f>
        <v/>
      </c>
      <c r="X2435" s="66" t="n"/>
      <c r="Y2435" s="66" t="n"/>
      <c r="Z2435" s="7" t="n"/>
      <c r="AA2435" s="70">
        <f>IF($A2435="","",N(V2435)+N(W2435)+N(X2435)+N(Y2435))</f>
        <v/>
      </c>
      <c r="AB2435" s="70">
        <f>IF($A2435="","",N(S2435)*'Paramètres'!$AA$9*IFERROR(INDEX('Paramètres'!$O$5:$O$7,MATCH(G2435,'Paramètres'!$N$5:$N$7,0)),0))</f>
        <v/>
      </c>
      <c r="AC2435" s="7" t="n"/>
      <c r="AD2435" s="69">
        <f>IF(OR($A2435="",Q2435=""),"",(Q2435-B2435)*24)</f>
        <v/>
      </c>
      <c r="AE2435" s="69">
        <f>IF(OR(Q2435="",R2435=""),"",(R2435-Q2435)*24)</f>
        <v/>
      </c>
      <c r="AF2435" s="77">
        <f>IF(OR($A2435="",B2435=""),"",YEAR(B2435))</f>
        <v/>
      </c>
      <c r="AG2435" s="77">
        <f>IF(OR($A2435="",B2435=""),"",MONTH(B2435))</f>
        <v/>
      </c>
    </row>
    <row r="2436">
      <c r="A2436" s="7" t="n"/>
      <c r="B2436" s="75" t="n"/>
      <c r="C2436" s="7" t="n"/>
      <c r="D2436" s="7" t="n"/>
      <c r="E2436" s="9">
        <f>IF(D2436="","",IFERROR(INDEX('Équipements'!$B$5:$B$304,MATCH(D2436,'Équipements'!$A$5:$A$304,0)),"Code inconnu"))</f>
        <v/>
      </c>
      <c r="F2436" s="9">
        <f>IF(D2436="","",IFERROR(INDEX('Équipements'!$D$5:$D$304,MATCH(D2436,'Équipements'!$A$5:$A$304,0)),""))</f>
        <v/>
      </c>
      <c r="G2436" s="9">
        <f>IF(D2436="","",IFERROR(INDEX('Équipements'!$K$5:$K$304,MATCH(D2436,'Équipements'!$A$5:$A$304,0)),""))</f>
        <v/>
      </c>
      <c r="H2436" s="7" t="n"/>
      <c r="I2436" s="7" t="n"/>
      <c r="J2436" s="7" t="n"/>
      <c r="K2436" s="7" t="n"/>
      <c r="L2436" s="7" t="n"/>
      <c r="M2436" s="7" t="n"/>
      <c r="N2436" s="7" t="n"/>
      <c r="O2436" s="7" t="n"/>
      <c r="P2436" s="65" t="n"/>
      <c r="Q2436" s="75" t="n"/>
      <c r="R2436" s="75" t="n"/>
      <c r="S2436" s="76" t="n"/>
      <c r="T2436" s="76" t="n"/>
      <c r="U2436" s="70">
        <f>IF($A2436="","",IFERROR(INDEX('Techniciens'!$F$5:$F$44,MATCH(O2436,'Techniciens'!$B$5:$B$44,0)),'Paramètres'!$AA$10))</f>
        <v/>
      </c>
      <c r="V2436" s="70">
        <f>IF($A2436="","",IF(OR(AC2436="Demandé",AC2436="Planifié",AC2436="Annulé"),0,N(T2436)*N(U2436)))</f>
        <v/>
      </c>
      <c r="W2436" s="70">
        <f>IF($A2436="","",SUMIFS('Mouvements stock'!$H$5:$H$3004,'Mouvements stock'!$I$5:$I$3004,$A2436,'Mouvements stock'!$C$5:$C$3004,"Sortie")-SUMIFS('Mouvements stock'!$H$5:$H$3004,'Mouvements stock'!$I$5:$I$3004,$A2436,'Mouvements stock'!$C$5:$C$3004,"Retour"))</f>
        <v/>
      </c>
      <c r="X2436" s="66" t="n"/>
      <c r="Y2436" s="66" t="n"/>
      <c r="Z2436" s="7" t="n"/>
      <c r="AA2436" s="70">
        <f>IF($A2436="","",N(V2436)+N(W2436)+N(X2436)+N(Y2436))</f>
        <v/>
      </c>
      <c r="AB2436" s="70">
        <f>IF($A2436="","",N(S2436)*'Paramètres'!$AA$9*IFERROR(INDEX('Paramètres'!$O$5:$O$7,MATCH(G2436,'Paramètres'!$N$5:$N$7,0)),0))</f>
        <v/>
      </c>
      <c r="AC2436" s="7" t="n"/>
      <c r="AD2436" s="69">
        <f>IF(OR($A2436="",Q2436=""),"",(Q2436-B2436)*24)</f>
        <v/>
      </c>
      <c r="AE2436" s="69">
        <f>IF(OR(Q2436="",R2436=""),"",(R2436-Q2436)*24)</f>
        <v/>
      </c>
      <c r="AF2436" s="77">
        <f>IF(OR($A2436="",B2436=""),"",YEAR(B2436))</f>
        <v/>
      </c>
      <c r="AG2436" s="77">
        <f>IF(OR($A2436="",B2436=""),"",MONTH(B2436))</f>
        <v/>
      </c>
    </row>
    <row r="2437">
      <c r="A2437" s="7" t="n"/>
      <c r="B2437" s="75" t="n"/>
      <c r="C2437" s="7" t="n"/>
      <c r="D2437" s="7" t="n"/>
      <c r="E2437" s="9">
        <f>IF(D2437="","",IFERROR(INDEX('Équipements'!$B$5:$B$304,MATCH(D2437,'Équipements'!$A$5:$A$304,0)),"Code inconnu"))</f>
        <v/>
      </c>
      <c r="F2437" s="9">
        <f>IF(D2437="","",IFERROR(INDEX('Équipements'!$D$5:$D$304,MATCH(D2437,'Équipements'!$A$5:$A$304,0)),""))</f>
        <v/>
      </c>
      <c r="G2437" s="9">
        <f>IF(D2437="","",IFERROR(INDEX('Équipements'!$K$5:$K$304,MATCH(D2437,'Équipements'!$A$5:$A$304,0)),""))</f>
        <v/>
      </c>
      <c r="H2437" s="7" t="n"/>
      <c r="I2437" s="7" t="n"/>
      <c r="J2437" s="7" t="n"/>
      <c r="K2437" s="7" t="n"/>
      <c r="L2437" s="7" t="n"/>
      <c r="M2437" s="7" t="n"/>
      <c r="N2437" s="7" t="n"/>
      <c r="O2437" s="7" t="n"/>
      <c r="P2437" s="65" t="n"/>
      <c r="Q2437" s="75" t="n"/>
      <c r="R2437" s="75" t="n"/>
      <c r="S2437" s="76" t="n"/>
      <c r="T2437" s="76" t="n"/>
      <c r="U2437" s="70">
        <f>IF($A2437="","",IFERROR(INDEX('Techniciens'!$F$5:$F$44,MATCH(O2437,'Techniciens'!$B$5:$B$44,0)),'Paramètres'!$AA$10))</f>
        <v/>
      </c>
      <c r="V2437" s="70">
        <f>IF($A2437="","",IF(OR(AC2437="Demandé",AC2437="Planifié",AC2437="Annulé"),0,N(T2437)*N(U2437)))</f>
        <v/>
      </c>
      <c r="W2437" s="70">
        <f>IF($A2437="","",SUMIFS('Mouvements stock'!$H$5:$H$3004,'Mouvements stock'!$I$5:$I$3004,$A2437,'Mouvements stock'!$C$5:$C$3004,"Sortie")-SUMIFS('Mouvements stock'!$H$5:$H$3004,'Mouvements stock'!$I$5:$I$3004,$A2437,'Mouvements stock'!$C$5:$C$3004,"Retour"))</f>
        <v/>
      </c>
      <c r="X2437" s="66" t="n"/>
      <c r="Y2437" s="66" t="n"/>
      <c r="Z2437" s="7" t="n"/>
      <c r="AA2437" s="70">
        <f>IF($A2437="","",N(V2437)+N(W2437)+N(X2437)+N(Y2437))</f>
        <v/>
      </c>
      <c r="AB2437" s="70">
        <f>IF($A2437="","",N(S2437)*'Paramètres'!$AA$9*IFERROR(INDEX('Paramètres'!$O$5:$O$7,MATCH(G2437,'Paramètres'!$N$5:$N$7,0)),0))</f>
        <v/>
      </c>
      <c r="AC2437" s="7" t="n"/>
      <c r="AD2437" s="69">
        <f>IF(OR($A2437="",Q2437=""),"",(Q2437-B2437)*24)</f>
        <v/>
      </c>
      <c r="AE2437" s="69">
        <f>IF(OR(Q2437="",R2437=""),"",(R2437-Q2437)*24)</f>
        <v/>
      </c>
      <c r="AF2437" s="77">
        <f>IF(OR($A2437="",B2437=""),"",YEAR(B2437))</f>
        <v/>
      </c>
      <c r="AG2437" s="77">
        <f>IF(OR($A2437="",B2437=""),"",MONTH(B2437))</f>
        <v/>
      </c>
    </row>
    <row r="2438">
      <c r="A2438" s="7" t="n"/>
      <c r="B2438" s="75" t="n"/>
      <c r="C2438" s="7" t="n"/>
      <c r="D2438" s="7" t="n"/>
      <c r="E2438" s="9">
        <f>IF(D2438="","",IFERROR(INDEX('Équipements'!$B$5:$B$304,MATCH(D2438,'Équipements'!$A$5:$A$304,0)),"Code inconnu"))</f>
        <v/>
      </c>
      <c r="F2438" s="9">
        <f>IF(D2438="","",IFERROR(INDEX('Équipements'!$D$5:$D$304,MATCH(D2438,'Équipements'!$A$5:$A$304,0)),""))</f>
        <v/>
      </c>
      <c r="G2438" s="9">
        <f>IF(D2438="","",IFERROR(INDEX('Équipements'!$K$5:$K$304,MATCH(D2438,'Équipements'!$A$5:$A$304,0)),""))</f>
        <v/>
      </c>
      <c r="H2438" s="7" t="n"/>
      <c r="I2438" s="7" t="n"/>
      <c r="J2438" s="7" t="n"/>
      <c r="K2438" s="7" t="n"/>
      <c r="L2438" s="7" t="n"/>
      <c r="M2438" s="7" t="n"/>
      <c r="N2438" s="7" t="n"/>
      <c r="O2438" s="7" t="n"/>
      <c r="P2438" s="65" t="n"/>
      <c r="Q2438" s="75" t="n"/>
      <c r="R2438" s="75" t="n"/>
      <c r="S2438" s="76" t="n"/>
      <c r="T2438" s="76" t="n"/>
      <c r="U2438" s="70">
        <f>IF($A2438="","",IFERROR(INDEX('Techniciens'!$F$5:$F$44,MATCH(O2438,'Techniciens'!$B$5:$B$44,0)),'Paramètres'!$AA$10))</f>
        <v/>
      </c>
      <c r="V2438" s="70">
        <f>IF($A2438="","",IF(OR(AC2438="Demandé",AC2438="Planifié",AC2438="Annulé"),0,N(T2438)*N(U2438)))</f>
        <v/>
      </c>
      <c r="W2438" s="70">
        <f>IF($A2438="","",SUMIFS('Mouvements stock'!$H$5:$H$3004,'Mouvements stock'!$I$5:$I$3004,$A2438,'Mouvements stock'!$C$5:$C$3004,"Sortie")-SUMIFS('Mouvements stock'!$H$5:$H$3004,'Mouvements stock'!$I$5:$I$3004,$A2438,'Mouvements stock'!$C$5:$C$3004,"Retour"))</f>
        <v/>
      </c>
      <c r="X2438" s="66" t="n"/>
      <c r="Y2438" s="66" t="n"/>
      <c r="Z2438" s="7" t="n"/>
      <c r="AA2438" s="70">
        <f>IF($A2438="","",N(V2438)+N(W2438)+N(X2438)+N(Y2438))</f>
        <v/>
      </c>
      <c r="AB2438" s="70">
        <f>IF($A2438="","",N(S2438)*'Paramètres'!$AA$9*IFERROR(INDEX('Paramètres'!$O$5:$O$7,MATCH(G2438,'Paramètres'!$N$5:$N$7,0)),0))</f>
        <v/>
      </c>
      <c r="AC2438" s="7" t="n"/>
      <c r="AD2438" s="69">
        <f>IF(OR($A2438="",Q2438=""),"",(Q2438-B2438)*24)</f>
        <v/>
      </c>
      <c r="AE2438" s="69">
        <f>IF(OR(Q2438="",R2438=""),"",(R2438-Q2438)*24)</f>
        <v/>
      </c>
      <c r="AF2438" s="77">
        <f>IF(OR($A2438="",B2438=""),"",YEAR(B2438))</f>
        <v/>
      </c>
      <c r="AG2438" s="77">
        <f>IF(OR($A2438="",B2438=""),"",MONTH(B2438))</f>
        <v/>
      </c>
    </row>
    <row r="2439">
      <c r="A2439" s="7" t="n"/>
      <c r="B2439" s="75" t="n"/>
      <c r="C2439" s="7" t="n"/>
      <c r="D2439" s="7" t="n"/>
      <c r="E2439" s="9">
        <f>IF(D2439="","",IFERROR(INDEX('Équipements'!$B$5:$B$304,MATCH(D2439,'Équipements'!$A$5:$A$304,0)),"Code inconnu"))</f>
        <v/>
      </c>
      <c r="F2439" s="9">
        <f>IF(D2439="","",IFERROR(INDEX('Équipements'!$D$5:$D$304,MATCH(D2439,'Équipements'!$A$5:$A$304,0)),""))</f>
        <v/>
      </c>
      <c r="G2439" s="9">
        <f>IF(D2439="","",IFERROR(INDEX('Équipements'!$K$5:$K$304,MATCH(D2439,'Équipements'!$A$5:$A$304,0)),""))</f>
        <v/>
      </c>
      <c r="H2439" s="7" t="n"/>
      <c r="I2439" s="7" t="n"/>
      <c r="J2439" s="7" t="n"/>
      <c r="K2439" s="7" t="n"/>
      <c r="L2439" s="7" t="n"/>
      <c r="M2439" s="7" t="n"/>
      <c r="N2439" s="7" t="n"/>
      <c r="O2439" s="7" t="n"/>
      <c r="P2439" s="65" t="n"/>
      <c r="Q2439" s="75" t="n"/>
      <c r="R2439" s="75" t="n"/>
      <c r="S2439" s="76" t="n"/>
      <c r="T2439" s="76" t="n"/>
      <c r="U2439" s="70">
        <f>IF($A2439="","",IFERROR(INDEX('Techniciens'!$F$5:$F$44,MATCH(O2439,'Techniciens'!$B$5:$B$44,0)),'Paramètres'!$AA$10))</f>
        <v/>
      </c>
      <c r="V2439" s="70">
        <f>IF($A2439="","",IF(OR(AC2439="Demandé",AC2439="Planifié",AC2439="Annulé"),0,N(T2439)*N(U2439)))</f>
        <v/>
      </c>
      <c r="W2439" s="70">
        <f>IF($A2439="","",SUMIFS('Mouvements stock'!$H$5:$H$3004,'Mouvements stock'!$I$5:$I$3004,$A2439,'Mouvements stock'!$C$5:$C$3004,"Sortie")-SUMIFS('Mouvements stock'!$H$5:$H$3004,'Mouvements stock'!$I$5:$I$3004,$A2439,'Mouvements stock'!$C$5:$C$3004,"Retour"))</f>
        <v/>
      </c>
      <c r="X2439" s="66" t="n"/>
      <c r="Y2439" s="66" t="n"/>
      <c r="Z2439" s="7" t="n"/>
      <c r="AA2439" s="70">
        <f>IF($A2439="","",N(V2439)+N(W2439)+N(X2439)+N(Y2439))</f>
        <v/>
      </c>
      <c r="AB2439" s="70">
        <f>IF($A2439="","",N(S2439)*'Paramètres'!$AA$9*IFERROR(INDEX('Paramètres'!$O$5:$O$7,MATCH(G2439,'Paramètres'!$N$5:$N$7,0)),0))</f>
        <v/>
      </c>
      <c r="AC2439" s="7" t="n"/>
      <c r="AD2439" s="69">
        <f>IF(OR($A2439="",Q2439=""),"",(Q2439-B2439)*24)</f>
        <v/>
      </c>
      <c r="AE2439" s="69">
        <f>IF(OR(Q2439="",R2439=""),"",(R2439-Q2439)*24)</f>
        <v/>
      </c>
      <c r="AF2439" s="77">
        <f>IF(OR($A2439="",B2439=""),"",YEAR(B2439))</f>
        <v/>
      </c>
      <c r="AG2439" s="77">
        <f>IF(OR($A2439="",B2439=""),"",MONTH(B2439))</f>
        <v/>
      </c>
    </row>
    <row r="2440">
      <c r="A2440" s="7" t="n"/>
      <c r="B2440" s="75" t="n"/>
      <c r="C2440" s="7" t="n"/>
      <c r="D2440" s="7" t="n"/>
      <c r="E2440" s="9">
        <f>IF(D2440="","",IFERROR(INDEX('Équipements'!$B$5:$B$304,MATCH(D2440,'Équipements'!$A$5:$A$304,0)),"Code inconnu"))</f>
        <v/>
      </c>
      <c r="F2440" s="9">
        <f>IF(D2440="","",IFERROR(INDEX('Équipements'!$D$5:$D$304,MATCH(D2440,'Équipements'!$A$5:$A$304,0)),""))</f>
        <v/>
      </c>
      <c r="G2440" s="9">
        <f>IF(D2440="","",IFERROR(INDEX('Équipements'!$K$5:$K$304,MATCH(D2440,'Équipements'!$A$5:$A$304,0)),""))</f>
        <v/>
      </c>
      <c r="H2440" s="7" t="n"/>
      <c r="I2440" s="7" t="n"/>
      <c r="J2440" s="7" t="n"/>
      <c r="K2440" s="7" t="n"/>
      <c r="L2440" s="7" t="n"/>
      <c r="M2440" s="7" t="n"/>
      <c r="N2440" s="7" t="n"/>
      <c r="O2440" s="7" t="n"/>
      <c r="P2440" s="65" t="n"/>
      <c r="Q2440" s="75" t="n"/>
      <c r="R2440" s="75" t="n"/>
      <c r="S2440" s="76" t="n"/>
      <c r="T2440" s="76" t="n"/>
      <c r="U2440" s="70">
        <f>IF($A2440="","",IFERROR(INDEX('Techniciens'!$F$5:$F$44,MATCH(O2440,'Techniciens'!$B$5:$B$44,0)),'Paramètres'!$AA$10))</f>
        <v/>
      </c>
      <c r="V2440" s="70">
        <f>IF($A2440="","",IF(OR(AC2440="Demandé",AC2440="Planifié",AC2440="Annulé"),0,N(T2440)*N(U2440)))</f>
        <v/>
      </c>
      <c r="W2440" s="70">
        <f>IF($A2440="","",SUMIFS('Mouvements stock'!$H$5:$H$3004,'Mouvements stock'!$I$5:$I$3004,$A2440,'Mouvements stock'!$C$5:$C$3004,"Sortie")-SUMIFS('Mouvements stock'!$H$5:$H$3004,'Mouvements stock'!$I$5:$I$3004,$A2440,'Mouvements stock'!$C$5:$C$3004,"Retour"))</f>
        <v/>
      </c>
      <c r="X2440" s="66" t="n"/>
      <c r="Y2440" s="66" t="n"/>
      <c r="Z2440" s="7" t="n"/>
      <c r="AA2440" s="70">
        <f>IF($A2440="","",N(V2440)+N(W2440)+N(X2440)+N(Y2440))</f>
        <v/>
      </c>
      <c r="AB2440" s="70">
        <f>IF($A2440="","",N(S2440)*'Paramètres'!$AA$9*IFERROR(INDEX('Paramètres'!$O$5:$O$7,MATCH(G2440,'Paramètres'!$N$5:$N$7,0)),0))</f>
        <v/>
      </c>
      <c r="AC2440" s="7" t="n"/>
      <c r="AD2440" s="69">
        <f>IF(OR($A2440="",Q2440=""),"",(Q2440-B2440)*24)</f>
        <v/>
      </c>
      <c r="AE2440" s="69">
        <f>IF(OR(Q2440="",R2440=""),"",(R2440-Q2440)*24)</f>
        <v/>
      </c>
      <c r="AF2440" s="77">
        <f>IF(OR($A2440="",B2440=""),"",YEAR(B2440))</f>
        <v/>
      </c>
      <c r="AG2440" s="77">
        <f>IF(OR($A2440="",B2440=""),"",MONTH(B2440))</f>
        <v/>
      </c>
    </row>
    <row r="2441">
      <c r="A2441" s="7" t="n"/>
      <c r="B2441" s="75" t="n"/>
      <c r="C2441" s="7" t="n"/>
      <c r="D2441" s="7" t="n"/>
      <c r="E2441" s="9">
        <f>IF(D2441="","",IFERROR(INDEX('Équipements'!$B$5:$B$304,MATCH(D2441,'Équipements'!$A$5:$A$304,0)),"Code inconnu"))</f>
        <v/>
      </c>
      <c r="F2441" s="9">
        <f>IF(D2441="","",IFERROR(INDEX('Équipements'!$D$5:$D$304,MATCH(D2441,'Équipements'!$A$5:$A$304,0)),""))</f>
        <v/>
      </c>
      <c r="G2441" s="9">
        <f>IF(D2441="","",IFERROR(INDEX('Équipements'!$K$5:$K$304,MATCH(D2441,'Équipements'!$A$5:$A$304,0)),""))</f>
        <v/>
      </c>
      <c r="H2441" s="7" t="n"/>
      <c r="I2441" s="7" t="n"/>
      <c r="J2441" s="7" t="n"/>
      <c r="K2441" s="7" t="n"/>
      <c r="L2441" s="7" t="n"/>
      <c r="M2441" s="7" t="n"/>
      <c r="N2441" s="7" t="n"/>
      <c r="O2441" s="7" t="n"/>
      <c r="P2441" s="65" t="n"/>
      <c r="Q2441" s="75" t="n"/>
      <c r="R2441" s="75" t="n"/>
      <c r="S2441" s="76" t="n"/>
      <c r="T2441" s="76" t="n"/>
      <c r="U2441" s="70">
        <f>IF($A2441="","",IFERROR(INDEX('Techniciens'!$F$5:$F$44,MATCH(O2441,'Techniciens'!$B$5:$B$44,0)),'Paramètres'!$AA$10))</f>
        <v/>
      </c>
      <c r="V2441" s="70">
        <f>IF($A2441="","",IF(OR(AC2441="Demandé",AC2441="Planifié",AC2441="Annulé"),0,N(T2441)*N(U2441)))</f>
        <v/>
      </c>
      <c r="W2441" s="70">
        <f>IF($A2441="","",SUMIFS('Mouvements stock'!$H$5:$H$3004,'Mouvements stock'!$I$5:$I$3004,$A2441,'Mouvements stock'!$C$5:$C$3004,"Sortie")-SUMIFS('Mouvements stock'!$H$5:$H$3004,'Mouvements stock'!$I$5:$I$3004,$A2441,'Mouvements stock'!$C$5:$C$3004,"Retour"))</f>
        <v/>
      </c>
      <c r="X2441" s="66" t="n"/>
      <c r="Y2441" s="66" t="n"/>
      <c r="Z2441" s="7" t="n"/>
      <c r="AA2441" s="70">
        <f>IF($A2441="","",N(V2441)+N(W2441)+N(X2441)+N(Y2441))</f>
        <v/>
      </c>
      <c r="AB2441" s="70">
        <f>IF($A2441="","",N(S2441)*'Paramètres'!$AA$9*IFERROR(INDEX('Paramètres'!$O$5:$O$7,MATCH(G2441,'Paramètres'!$N$5:$N$7,0)),0))</f>
        <v/>
      </c>
      <c r="AC2441" s="7" t="n"/>
      <c r="AD2441" s="69">
        <f>IF(OR($A2441="",Q2441=""),"",(Q2441-B2441)*24)</f>
        <v/>
      </c>
      <c r="AE2441" s="69">
        <f>IF(OR(Q2441="",R2441=""),"",(R2441-Q2441)*24)</f>
        <v/>
      </c>
      <c r="AF2441" s="77">
        <f>IF(OR($A2441="",B2441=""),"",YEAR(B2441))</f>
        <v/>
      </c>
      <c r="AG2441" s="77">
        <f>IF(OR($A2441="",B2441=""),"",MONTH(B2441))</f>
        <v/>
      </c>
    </row>
    <row r="2442">
      <c r="A2442" s="7" t="n"/>
      <c r="B2442" s="75" t="n"/>
      <c r="C2442" s="7" t="n"/>
      <c r="D2442" s="7" t="n"/>
      <c r="E2442" s="9">
        <f>IF(D2442="","",IFERROR(INDEX('Équipements'!$B$5:$B$304,MATCH(D2442,'Équipements'!$A$5:$A$304,0)),"Code inconnu"))</f>
        <v/>
      </c>
      <c r="F2442" s="9">
        <f>IF(D2442="","",IFERROR(INDEX('Équipements'!$D$5:$D$304,MATCH(D2442,'Équipements'!$A$5:$A$304,0)),""))</f>
        <v/>
      </c>
      <c r="G2442" s="9">
        <f>IF(D2442="","",IFERROR(INDEX('Équipements'!$K$5:$K$304,MATCH(D2442,'Équipements'!$A$5:$A$304,0)),""))</f>
        <v/>
      </c>
      <c r="H2442" s="7" t="n"/>
      <c r="I2442" s="7" t="n"/>
      <c r="J2442" s="7" t="n"/>
      <c r="K2442" s="7" t="n"/>
      <c r="L2442" s="7" t="n"/>
      <c r="M2442" s="7" t="n"/>
      <c r="N2442" s="7" t="n"/>
      <c r="O2442" s="7" t="n"/>
      <c r="P2442" s="65" t="n"/>
      <c r="Q2442" s="75" t="n"/>
      <c r="R2442" s="75" t="n"/>
      <c r="S2442" s="76" t="n"/>
      <c r="T2442" s="76" t="n"/>
      <c r="U2442" s="70">
        <f>IF($A2442="","",IFERROR(INDEX('Techniciens'!$F$5:$F$44,MATCH(O2442,'Techniciens'!$B$5:$B$44,0)),'Paramètres'!$AA$10))</f>
        <v/>
      </c>
      <c r="V2442" s="70">
        <f>IF($A2442="","",IF(OR(AC2442="Demandé",AC2442="Planifié",AC2442="Annulé"),0,N(T2442)*N(U2442)))</f>
        <v/>
      </c>
      <c r="W2442" s="70">
        <f>IF($A2442="","",SUMIFS('Mouvements stock'!$H$5:$H$3004,'Mouvements stock'!$I$5:$I$3004,$A2442,'Mouvements stock'!$C$5:$C$3004,"Sortie")-SUMIFS('Mouvements stock'!$H$5:$H$3004,'Mouvements stock'!$I$5:$I$3004,$A2442,'Mouvements stock'!$C$5:$C$3004,"Retour"))</f>
        <v/>
      </c>
      <c r="X2442" s="66" t="n"/>
      <c r="Y2442" s="66" t="n"/>
      <c r="Z2442" s="7" t="n"/>
      <c r="AA2442" s="70">
        <f>IF($A2442="","",N(V2442)+N(W2442)+N(X2442)+N(Y2442))</f>
        <v/>
      </c>
      <c r="AB2442" s="70">
        <f>IF($A2442="","",N(S2442)*'Paramètres'!$AA$9*IFERROR(INDEX('Paramètres'!$O$5:$O$7,MATCH(G2442,'Paramètres'!$N$5:$N$7,0)),0))</f>
        <v/>
      </c>
      <c r="AC2442" s="7" t="n"/>
      <c r="AD2442" s="69">
        <f>IF(OR($A2442="",Q2442=""),"",(Q2442-B2442)*24)</f>
        <v/>
      </c>
      <c r="AE2442" s="69">
        <f>IF(OR(Q2442="",R2442=""),"",(R2442-Q2442)*24)</f>
        <v/>
      </c>
      <c r="AF2442" s="77">
        <f>IF(OR($A2442="",B2442=""),"",YEAR(B2442))</f>
        <v/>
      </c>
      <c r="AG2442" s="77">
        <f>IF(OR($A2442="",B2442=""),"",MONTH(B2442))</f>
        <v/>
      </c>
    </row>
    <row r="2443">
      <c r="A2443" s="7" t="n"/>
      <c r="B2443" s="75" t="n"/>
      <c r="C2443" s="7" t="n"/>
      <c r="D2443" s="7" t="n"/>
      <c r="E2443" s="9">
        <f>IF(D2443="","",IFERROR(INDEX('Équipements'!$B$5:$B$304,MATCH(D2443,'Équipements'!$A$5:$A$304,0)),"Code inconnu"))</f>
        <v/>
      </c>
      <c r="F2443" s="9">
        <f>IF(D2443="","",IFERROR(INDEX('Équipements'!$D$5:$D$304,MATCH(D2443,'Équipements'!$A$5:$A$304,0)),""))</f>
        <v/>
      </c>
      <c r="G2443" s="9">
        <f>IF(D2443="","",IFERROR(INDEX('Équipements'!$K$5:$K$304,MATCH(D2443,'Équipements'!$A$5:$A$304,0)),""))</f>
        <v/>
      </c>
      <c r="H2443" s="7" t="n"/>
      <c r="I2443" s="7" t="n"/>
      <c r="J2443" s="7" t="n"/>
      <c r="K2443" s="7" t="n"/>
      <c r="L2443" s="7" t="n"/>
      <c r="M2443" s="7" t="n"/>
      <c r="N2443" s="7" t="n"/>
      <c r="O2443" s="7" t="n"/>
      <c r="P2443" s="65" t="n"/>
      <c r="Q2443" s="75" t="n"/>
      <c r="R2443" s="75" t="n"/>
      <c r="S2443" s="76" t="n"/>
      <c r="T2443" s="76" t="n"/>
      <c r="U2443" s="70">
        <f>IF($A2443="","",IFERROR(INDEX('Techniciens'!$F$5:$F$44,MATCH(O2443,'Techniciens'!$B$5:$B$44,0)),'Paramètres'!$AA$10))</f>
        <v/>
      </c>
      <c r="V2443" s="70">
        <f>IF($A2443="","",IF(OR(AC2443="Demandé",AC2443="Planifié",AC2443="Annulé"),0,N(T2443)*N(U2443)))</f>
        <v/>
      </c>
      <c r="W2443" s="70">
        <f>IF($A2443="","",SUMIFS('Mouvements stock'!$H$5:$H$3004,'Mouvements stock'!$I$5:$I$3004,$A2443,'Mouvements stock'!$C$5:$C$3004,"Sortie")-SUMIFS('Mouvements stock'!$H$5:$H$3004,'Mouvements stock'!$I$5:$I$3004,$A2443,'Mouvements stock'!$C$5:$C$3004,"Retour"))</f>
        <v/>
      </c>
      <c r="X2443" s="66" t="n"/>
      <c r="Y2443" s="66" t="n"/>
      <c r="Z2443" s="7" t="n"/>
      <c r="AA2443" s="70">
        <f>IF($A2443="","",N(V2443)+N(W2443)+N(X2443)+N(Y2443))</f>
        <v/>
      </c>
      <c r="AB2443" s="70">
        <f>IF($A2443="","",N(S2443)*'Paramètres'!$AA$9*IFERROR(INDEX('Paramètres'!$O$5:$O$7,MATCH(G2443,'Paramètres'!$N$5:$N$7,0)),0))</f>
        <v/>
      </c>
      <c r="AC2443" s="7" t="n"/>
      <c r="AD2443" s="69">
        <f>IF(OR($A2443="",Q2443=""),"",(Q2443-B2443)*24)</f>
        <v/>
      </c>
      <c r="AE2443" s="69">
        <f>IF(OR(Q2443="",R2443=""),"",(R2443-Q2443)*24)</f>
        <v/>
      </c>
      <c r="AF2443" s="77">
        <f>IF(OR($A2443="",B2443=""),"",YEAR(B2443))</f>
        <v/>
      </c>
      <c r="AG2443" s="77">
        <f>IF(OR($A2443="",B2443=""),"",MONTH(B2443))</f>
        <v/>
      </c>
    </row>
    <row r="2444">
      <c r="A2444" s="7" t="n"/>
      <c r="B2444" s="75" t="n"/>
      <c r="C2444" s="7" t="n"/>
      <c r="D2444" s="7" t="n"/>
      <c r="E2444" s="9">
        <f>IF(D2444="","",IFERROR(INDEX('Équipements'!$B$5:$B$304,MATCH(D2444,'Équipements'!$A$5:$A$304,0)),"Code inconnu"))</f>
        <v/>
      </c>
      <c r="F2444" s="9">
        <f>IF(D2444="","",IFERROR(INDEX('Équipements'!$D$5:$D$304,MATCH(D2444,'Équipements'!$A$5:$A$304,0)),""))</f>
        <v/>
      </c>
      <c r="G2444" s="9">
        <f>IF(D2444="","",IFERROR(INDEX('Équipements'!$K$5:$K$304,MATCH(D2444,'Équipements'!$A$5:$A$304,0)),""))</f>
        <v/>
      </c>
      <c r="H2444" s="7" t="n"/>
      <c r="I2444" s="7" t="n"/>
      <c r="J2444" s="7" t="n"/>
      <c r="K2444" s="7" t="n"/>
      <c r="L2444" s="7" t="n"/>
      <c r="M2444" s="7" t="n"/>
      <c r="N2444" s="7" t="n"/>
      <c r="O2444" s="7" t="n"/>
      <c r="P2444" s="65" t="n"/>
      <c r="Q2444" s="75" t="n"/>
      <c r="R2444" s="75" t="n"/>
      <c r="S2444" s="76" t="n"/>
      <c r="T2444" s="76" t="n"/>
      <c r="U2444" s="70">
        <f>IF($A2444="","",IFERROR(INDEX('Techniciens'!$F$5:$F$44,MATCH(O2444,'Techniciens'!$B$5:$B$44,0)),'Paramètres'!$AA$10))</f>
        <v/>
      </c>
      <c r="V2444" s="70">
        <f>IF($A2444="","",IF(OR(AC2444="Demandé",AC2444="Planifié",AC2444="Annulé"),0,N(T2444)*N(U2444)))</f>
        <v/>
      </c>
      <c r="W2444" s="70">
        <f>IF($A2444="","",SUMIFS('Mouvements stock'!$H$5:$H$3004,'Mouvements stock'!$I$5:$I$3004,$A2444,'Mouvements stock'!$C$5:$C$3004,"Sortie")-SUMIFS('Mouvements stock'!$H$5:$H$3004,'Mouvements stock'!$I$5:$I$3004,$A2444,'Mouvements stock'!$C$5:$C$3004,"Retour"))</f>
        <v/>
      </c>
      <c r="X2444" s="66" t="n"/>
      <c r="Y2444" s="66" t="n"/>
      <c r="Z2444" s="7" t="n"/>
      <c r="AA2444" s="70">
        <f>IF($A2444="","",N(V2444)+N(W2444)+N(X2444)+N(Y2444))</f>
        <v/>
      </c>
      <c r="AB2444" s="70">
        <f>IF($A2444="","",N(S2444)*'Paramètres'!$AA$9*IFERROR(INDEX('Paramètres'!$O$5:$O$7,MATCH(G2444,'Paramètres'!$N$5:$N$7,0)),0))</f>
        <v/>
      </c>
      <c r="AC2444" s="7" t="n"/>
      <c r="AD2444" s="69">
        <f>IF(OR($A2444="",Q2444=""),"",(Q2444-B2444)*24)</f>
        <v/>
      </c>
      <c r="AE2444" s="69">
        <f>IF(OR(Q2444="",R2444=""),"",(R2444-Q2444)*24)</f>
        <v/>
      </c>
      <c r="AF2444" s="77">
        <f>IF(OR($A2444="",B2444=""),"",YEAR(B2444))</f>
        <v/>
      </c>
      <c r="AG2444" s="77">
        <f>IF(OR($A2444="",B2444=""),"",MONTH(B2444))</f>
        <v/>
      </c>
    </row>
    <row r="2445">
      <c r="A2445" s="7" t="n"/>
      <c r="B2445" s="75" t="n"/>
      <c r="C2445" s="7" t="n"/>
      <c r="D2445" s="7" t="n"/>
      <c r="E2445" s="9">
        <f>IF(D2445="","",IFERROR(INDEX('Équipements'!$B$5:$B$304,MATCH(D2445,'Équipements'!$A$5:$A$304,0)),"Code inconnu"))</f>
        <v/>
      </c>
      <c r="F2445" s="9">
        <f>IF(D2445="","",IFERROR(INDEX('Équipements'!$D$5:$D$304,MATCH(D2445,'Équipements'!$A$5:$A$304,0)),""))</f>
        <v/>
      </c>
      <c r="G2445" s="9">
        <f>IF(D2445="","",IFERROR(INDEX('Équipements'!$K$5:$K$304,MATCH(D2445,'Équipements'!$A$5:$A$304,0)),""))</f>
        <v/>
      </c>
      <c r="H2445" s="7" t="n"/>
      <c r="I2445" s="7" t="n"/>
      <c r="J2445" s="7" t="n"/>
      <c r="K2445" s="7" t="n"/>
      <c r="L2445" s="7" t="n"/>
      <c r="M2445" s="7" t="n"/>
      <c r="N2445" s="7" t="n"/>
      <c r="O2445" s="7" t="n"/>
      <c r="P2445" s="65" t="n"/>
      <c r="Q2445" s="75" t="n"/>
      <c r="R2445" s="75" t="n"/>
      <c r="S2445" s="76" t="n"/>
      <c r="T2445" s="76" t="n"/>
      <c r="U2445" s="70">
        <f>IF($A2445="","",IFERROR(INDEX('Techniciens'!$F$5:$F$44,MATCH(O2445,'Techniciens'!$B$5:$B$44,0)),'Paramètres'!$AA$10))</f>
        <v/>
      </c>
      <c r="V2445" s="70">
        <f>IF($A2445="","",IF(OR(AC2445="Demandé",AC2445="Planifié",AC2445="Annulé"),0,N(T2445)*N(U2445)))</f>
        <v/>
      </c>
      <c r="W2445" s="70">
        <f>IF($A2445="","",SUMIFS('Mouvements stock'!$H$5:$H$3004,'Mouvements stock'!$I$5:$I$3004,$A2445,'Mouvements stock'!$C$5:$C$3004,"Sortie")-SUMIFS('Mouvements stock'!$H$5:$H$3004,'Mouvements stock'!$I$5:$I$3004,$A2445,'Mouvements stock'!$C$5:$C$3004,"Retour"))</f>
        <v/>
      </c>
      <c r="X2445" s="66" t="n"/>
      <c r="Y2445" s="66" t="n"/>
      <c r="Z2445" s="7" t="n"/>
      <c r="AA2445" s="70">
        <f>IF($A2445="","",N(V2445)+N(W2445)+N(X2445)+N(Y2445))</f>
        <v/>
      </c>
      <c r="AB2445" s="70">
        <f>IF($A2445="","",N(S2445)*'Paramètres'!$AA$9*IFERROR(INDEX('Paramètres'!$O$5:$O$7,MATCH(G2445,'Paramètres'!$N$5:$N$7,0)),0))</f>
        <v/>
      </c>
      <c r="AC2445" s="7" t="n"/>
      <c r="AD2445" s="69">
        <f>IF(OR($A2445="",Q2445=""),"",(Q2445-B2445)*24)</f>
        <v/>
      </c>
      <c r="AE2445" s="69">
        <f>IF(OR(Q2445="",R2445=""),"",(R2445-Q2445)*24)</f>
        <v/>
      </c>
      <c r="AF2445" s="77">
        <f>IF(OR($A2445="",B2445=""),"",YEAR(B2445))</f>
        <v/>
      </c>
      <c r="AG2445" s="77">
        <f>IF(OR($A2445="",B2445=""),"",MONTH(B2445))</f>
        <v/>
      </c>
    </row>
    <row r="2446">
      <c r="A2446" s="7" t="n"/>
      <c r="B2446" s="75" t="n"/>
      <c r="C2446" s="7" t="n"/>
      <c r="D2446" s="7" t="n"/>
      <c r="E2446" s="9">
        <f>IF(D2446="","",IFERROR(INDEX('Équipements'!$B$5:$B$304,MATCH(D2446,'Équipements'!$A$5:$A$304,0)),"Code inconnu"))</f>
        <v/>
      </c>
      <c r="F2446" s="9">
        <f>IF(D2446="","",IFERROR(INDEX('Équipements'!$D$5:$D$304,MATCH(D2446,'Équipements'!$A$5:$A$304,0)),""))</f>
        <v/>
      </c>
      <c r="G2446" s="9">
        <f>IF(D2446="","",IFERROR(INDEX('Équipements'!$K$5:$K$304,MATCH(D2446,'Équipements'!$A$5:$A$304,0)),""))</f>
        <v/>
      </c>
      <c r="H2446" s="7" t="n"/>
      <c r="I2446" s="7" t="n"/>
      <c r="J2446" s="7" t="n"/>
      <c r="K2446" s="7" t="n"/>
      <c r="L2446" s="7" t="n"/>
      <c r="M2446" s="7" t="n"/>
      <c r="N2446" s="7" t="n"/>
      <c r="O2446" s="7" t="n"/>
      <c r="P2446" s="65" t="n"/>
      <c r="Q2446" s="75" t="n"/>
      <c r="R2446" s="75" t="n"/>
      <c r="S2446" s="76" t="n"/>
      <c r="T2446" s="76" t="n"/>
      <c r="U2446" s="70">
        <f>IF($A2446="","",IFERROR(INDEX('Techniciens'!$F$5:$F$44,MATCH(O2446,'Techniciens'!$B$5:$B$44,0)),'Paramètres'!$AA$10))</f>
        <v/>
      </c>
      <c r="V2446" s="70">
        <f>IF($A2446="","",IF(OR(AC2446="Demandé",AC2446="Planifié",AC2446="Annulé"),0,N(T2446)*N(U2446)))</f>
        <v/>
      </c>
      <c r="W2446" s="70">
        <f>IF($A2446="","",SUMIFS('Mouvements stock'!$H$5:$H$3004,'Mouvements stock'!$I$5:$I$3004,$A2446,'Mouvements stock'!$C$5:$C$3004,"Sortie")-SUMIFS('Mouvements stock'!$H$5:$H$3004,'Mouvements stock'!$I$5:$I$3004,$A2446,'Mouvements stock'!$C$5:$C$3004,"Retour"))</f>
        <v/>
      </c>
      <c r="X2446" s="66" t="n"/>
      <c r="Y2446" s="66" t="n"/>
      <c r="Z2446" s="7" t="n"/>
      <c r="AA2446" s="70">
        <f>IF($A2446="","",N(V2446)+N(W2446)+N(X2446)+N(Y2446))</f>
        <v/>
      </c>
      <c r="AB2446" s="70">
        <f>IF($A2446="","",N(S2446)*'Paramètres'!$AA$9*IFERROR(INDEX('Paramètres'!$O$5:$O$7,MATCH(G2446,'Paramètres'!$N$5:$N$7,0)),0))</f>
        <v/>
      </c>
      <c r="AC2446" s="7" t="n"/>
      <c r="AD2446" s="69">
        <f>IF(OR($A2446="",Q2446=""),"",(Q2446-B2446)*24)</f>
        <v/>
      </c>
      <c r="AE2446" s="69">
        <f>IF(OR(Q2446="",R2446=""),"",(R2446-Q2446)*24)</f>
        <v/>
      </c>
      <c r="AF2446" s="77">
        <f>IF(OR($A2446="",B2446=""),"",YEAR(B2446))</f>
        <v/>
      </c>
      <c r="AG2446" s="77">
        <f>IF(OR($A2446="",B2446=""),"",MONTH(B2446))</f>
        <v/>
      </c>
    </row>
    <row r="2447">
      <c r="A2447" s="7" t="n"/>
      <c r="B2447" s="75" t="n"/>
      <c r="C2447" s="7" t="n"/>
      <c r="D2447" s="7" t="n"/>
      <c r="E2447" s="9">
        <f>IF(D2447="","",IFERROR(INDEX('Équipements'!$B$5:$B$304,MATCH(D2447,'Équipements'!$A$5:$A$304,0)),"Code inconnu"))</f>
        <v/>
      </c>
      <c r="F2447" s="9">
        <f>IF(D2447="","",IFERROR(INDEX('Équipements'!$D$5:$D$304,MATCH(D2447,'Équipements'!$A$5:$A$304,0)),""))</f>
        <v/>
      </c>
      <c r="G2447" s="9">
        <f>IF(D2447="","",IFERROR(INDEX('Équipements'!$K$5:$K$304,MATCH(D2447,'Équipements'!$A$5:$A$304,0)),""))</f>
        <v/>
      </c>
      <c r="H2447" s="7" t="n"/>
      <c r="I2447" s="7" t="n"/>
      <c r="J2447" s="7" t="n"/>
      <c r="K2447" s="7" t="n"/>
      <c r="L2447" s="7" t="n"/>
      <c r="M2447" s="7" t="n"/>
      <c r="N2447" s="7" t="n"/>
      <c r="O2447" s="7" t="n"/>
      <c r="P2447" s="65" t="n"/>
      <c r="Q2447" s="75" t="n"/>
      <c r="R2447" s="75" t="n"/>
      <c r="S2447" s="76" t="n"/>
      <c r="T2447" s="76" t="n"/>
      <c r="U2447" s="70">
        <f>IF($A2447="","",IFERROR(INDEX('Techniciens'!$F$5:$F$44,MATCH(O2447,'Techniciens'!$B$5:$B$44,0)),'Paramètres'!$AA$10))</f>
        <v/>
      </c>
      <c r="V2447" s="70">
        <f>IF($A2447="","",IF(OR(AC2447="Demandé",AC2447="Planifié",AC2447="Annulé"),0,N(T2447)*N(U2447)))</f>
        <v/>
      </c>
      <c r="W2447" s="70">
        <f>IF($A2447="","",SUMIFS('Mouvements stock'!$H$5:$H$3004,'Mouvements stock'!$I$5:$I$3004,$A2447,'Mouvements stock'!$C$5:$C$3004,"Sortie")-SUMIFS('Mouvements stock'!$H$5:$H$3004,'Mouvements stock'!$I$5:$I$3004,$A2447,'Mouvements stock'!$C$5:$C$3004,"Retour"))</f>
        <v/>
      </c>
      <c r="X2447" s="66" t="n"/>
      <c r="Y2447" s="66" t="n"/>
      <c r="Z2447" s="7" t="n"/>
      <c r="AA2447" s="70">
        <f>IF($A2447="","",N(V2447)+N(W2447)+N(X2447)+N(Y2447))</f>
        <v/>
      </c>
      <c r="AB2447" s="70">
        <f>IF($A2447="","",N(S2447)*'Paramètres'!$AA$9*IFERROR(INDEX('Paramètres'!$O$5:$O$7,MATCH(G2447,'Paramètres'!$N$5:$N$7,0)),0))</f>
        <v/>
      </c>
      <c r="AC2447" s="7" t="n"/>
      <c r="AD2447" s="69">
        <f>IF(OR($A2447="",Q2447=""),"",(Q2447-B2447)*24)</f>
        <v/>
      </c>
      <c r="AE2447" s="69">
        <f>IF(OR(Q2447="",R2447=""),"",(R2447-Q2447)*24)</f>
        <v/>
      </c>
      <c r="AF2447" s="77">
        <f>IF(OR($A2447="",B2447=""),"",YEAR(B2447))</f>
        <v/>
      </c>
      <c r="AG2447" s="77">
        <f>IF(OR($A2447="",B2447=""),"",MONTH(B2447))</f>
        <v/>
      </c>
    </row>
    <row r="2448">
      <c r="A2448" s="7" t="n"/>
      <c r="B2448" s="75" t="n"/>
      <c r="C2448" s="7" t="n"/>
      <c r="D2448" s="7" t="n"/>
      <c r="E2448" s="9">
        <f>IF(D2448="","",IFERROR(INDEX('Équipements'!$B$5:$B$304,MATCH(D2448,'Équipements'!$A$5:$A$304,0)),"Code inconnu"))</f>
        <v/>
      </c>
      <c r="F2448" s="9">
        <f>IF(D2448="","",IFERROR(INDEX('Équipements'!$D$5:$D$304,MATCH(D2448,'Équipements'!$A$5:$A$304,0)),""))</f>
        <v/>
      </c>
      <c r="G2448" s="9">
        <f>IF(D2448="","",IFERROR(INDEX('Équipements'!$K$5:$K$304,MATCH(D2448,'Équipements'!$A$5:$A$304,0)),""))</f>
        <v/>
      </c>
      <c r="H2448" s="7" t="n"/>
      <c r="I2448" s="7" t="n"/>
      <c r="J2448" s="7" t="n"/>
      <c r="K2448" s="7" t="n"/>
      <c r="L2448" s="7" t="n"/>
      <c r="M2448" s="7" t="n"/>
      <c r="N2448" s="7" t="n"/>
      <c r="O2448" s="7" t="n"/>
      <c r="P2448" s="65" t="n"/>
      <c r="Q2448" s="75" t="n"/>
      <c r="R2448" s="75" t="n"/>
      <c r="S2448" s="76" t="n"/>
      <c r="T2448" s="76" t="n"/>
      <c r="U2448" s="70">
        <f>IF($A2448="","",IFERROR(INDEX('Techniciens'!$F$5:$F$44,MATCH(O2448,'Techniciens'!$B$5:$B$44,0)),'Paramètres'!$AA$10))</f>
        <v/>
      </c>
      <c r="V2448" s="70">
        <f>IF($A2448="","",IF(OR(AC2448="Demandé",AC2448="Planifié",AC2448="Annulé"),0,N(T2448)*N(U2448)))</f>
        <v/>
      </c>
      <c r="W2448" s="70">
        <f>IF($A2448="","",SUMIFS('Mouvements stock'!$H$5:$H$3004,'Mouvements stock'!$I$5:$I$3004,$A2448,'Mouvements stock'!$C$5:$C$3004,"Sortie")-SUMIFS('Mouvements stock'!$H$5:$H$3004,'Mouvements stock'!$I$5:$I$3004,$A2448,'Mouvements stock'!$C$5:$C$3004,"Retour"))</f>
        <v/>
      </c>
      <c r="X2448" s="66" t="n"/>
      <c r="Y2448" s="66" t="n"/>
      <c r="Z2448" s="7" t="n"/>
      <c r="AA2448" s="70">
        <f>IF($A2448="","",N(V2448)+N(W2448)+N(X2448)+N(Y2448))</f>
        <v/>
      </c>
      <c r="AB2448" s="70">
        <f>IF($A2448="","",N(S2448)*'Paramètres'!$AA$9*IFERROR(INDEX('Paramètres'!$O$5:$O$7,MATCH(G2448,'Paramètres'!$N$5:$N$7,0)),0))</f>
        <v/>
      </c>
      <c r="AC2448" s="7" t="n"/>
      <c r="AD2448" s="69">
        <f>IF(OR($A2448="",Q2448=""),"",(Q2448-B2448)*24)</f>
        <v/>
      </c>
      <c r="AE2448" s="69">
        <f>IF(OR(Q2448="",R2448=""),"",(R2448-Q2448)*24)</f>
        <v/>
      </c>
      <c r="AF2448" s="77">
        <f>IF(OR($A2448="",B2448=""),"",YEAR(B2448))</f>
        <v/>
      </c>
      <c r="AG2448" s="77">
        <f>IF(OR($A2448="",B2448=""),"",MONTH(B2448))</f>
        <v/>
      </c>
    </row>
    <row r="2449">
      <c r="A2449" s="7" t="n"/>
      <c r="B2449" s="75" t="n"/>
      <c r="C2449" s="7" t="n"/>
      <c r="D2449" s="7" t="n"/>
      <c r="E2449" s="9">
        <f>IF(D2449="","",IFERROR(INDEX('Équipements'!$B$5:$B$304,MATCH(D2449,'Équipements'!$A$5:$A$304,0)),"Code inconnu"))</f>
        <v/>
      </c>
      <c r="F2449" s="9">
        <f>IF(D2449="","",IFERROR(INDEX('Équipements'!$D$5:$D$304,MATCH(D2449,'Équipements'!$A$5:$A$304,0)),""))</f>
        <v/>
      </c>
      <c r="G2449" s="9">
        <f>IF(D2449="","",IFERROR(INDEX('Équipements'!$K$5:$K$304,MATCH(D2449,'Équipements'!$A$5:$A$304,0)),""))</f>
        <v/>
      </c>
      <c r="H2449" s="7" t="n"/>
      <c r="I2449" s="7" t="n"/>
      <c r="J2449" s="7" t="n"/>
      <c r="K2449" s="7" t="n"/>
      <c r="L2449" s="7" t="n"/>
      <c r="M2449" s="7" t="n"/>
      <c r="N2449" s="7" t="n"/>
      <c r="O2449" s="7" t="n"/>
      <c r="P2449" s="65" t="n"/>
      <c r="Q2449" s="75" t="n"/>
      <c r="R2449" s="75" t="n"/>
      <c r="S2449" s="76" t="n"/>
      <c r="T2449" s="76" t="n"/>
      <c r="U2449" s="70">
        <f>IF($A2449="","",IFERROR(INDEX('Techniciens'!$F$5:$F$44,MATCH(O2449,'Techniciens'!$B$5:$B$44,0)),'Paramètres'!$AA$10))</f>
        <v/>
      </c>
      <c r="V2449" s="70">
        <f>IF($A2449="","",IF(OR(AC2449="Demandé",AC2449="Planifié",AC2449="Annulé"),0,N(T2449)*N(U2449)))</f>
        <v/>
      </c>
      <c r="W2449" s="70">
        <f>IF($A2449="","",SUMIFS('Mouvements stock'!$H$5:$H$3004,'Mouvements stock'!$I$5:$I$3004,$A2449,'Mouvements stock'!$C$5:$C$3004,"Sortie")-SUMIFS('Mouvements stock'!$H$5:$H$3004,'Mouvements stock'!$I$5:$I$3004,$A2449,'Mouvements stock'!$C$5:$C$3004,"Retour"))</f>
        <v/>
      </c>
      <c r="X2449" s="66" t="n"/>
      <c r="Y2449" s="66" t="n"/>
      <c r="Z2449" s="7" t="n"/>
      <c r="AA2449" s="70">
        <f>IF($A2449="","",N(V2449)+N(W2449)+N(X2449)+N(Y2449))</f>
        <v/>
      </c>
      <c r="AB2449" s="70">
        <f>IF($A2449="","",N(S2449)*'Paramètres'!$AA$9*IFERROR(INDEX('Paramètres'!$O$5:$O$7,MATCH(G2449,'Paramètres'!$N$5:$N$7,0)),0))</f>
        <v/>
      </c>
      <c r="AC2449" s="7" t="n"/>
      <c r="AD2449" s="69">
        <f>IF(OR($A2449="",Q2449=""),"",(Q2449-B2449)*24)</f>
        <v/>
      </c>
      <c r="AE2449" s="69">
        <f>IF(OR(Q2449="",R2449=""),"",(R2449-Q2449)*24)</f>
        <v/>
      </c>
      <c r="AF2449" s="77">
        <f>IF(OR($A2449="",B2449=""),"",YEAR(B2449))</f>
        <v/>
      </c>
      <c r="AG2449" s="77">
        <f>IF(OR($A2449="",B2449=""),"",MONTH(B2449))</f>
        <v/>
      </c>
    </row>
    <row r="2450">
      <c r="A2450" s="7" t="n"/>
      <c r="B2450" s="75" t="n"/>
      <c r="C2450" s="7" t="n"/>
      <c r="D2450" s="7" t="n"/>
      <c r="E2450" s="9">
        <f>IF(D2450="","",IFERROR(INDEX('Équipements'!$B$5:$B$304,MATCH(D2450,'Équipements'!$A$5:$A$304,0)),"Code inconnu"))</f>
        <v/>
      </c>
      <c r="F2450" s="9">
        <f>IF(D2450="","",IFERROR(INDEX('Équipements'!$D$5:$D$304,MATCH(D2450,'Équipements'!$A$5:$A$304,0)),""))</f>
        <v/>
      </c>
      <c r="G2450" s="9">
        <f>IF(D2450="","",IFERROR(INDEX('Équipements'!$K$5:$K$304,MATCH(D2450,'Équipements'!$A$5:$A$304,0)),""))</f>
        <v/>
      </c>
      <c r="H2450" s="7" t="n"/>
      <c r="I2450" s="7" t="n"/>
      <c r="J2450" s="7" t="n"/>
      <c r="K2450" s="7" t="n"/>
      <c r="L2450" s="7" t="n"/>
      <c r="M2450" s="7" t="n"/>
      <c r="N2450" s="7" t="n"/>
      <c r="O2450" s="7" t="n"/>
      <c r="P2450" s="65" t="n"/>
      <c r="Q2450" s="75" t="n"/>
      <c r="R2450" s="75" t="n"/>
      <c r="S2450" s="76" t="n"/>
      <c r="T2450" s="76" t="n"/>
      <c r="U2450" s="70">
        <f>IF($A2450="","",IFERROR(INDEX('Techniciens'!$F$5:$F$44,MATCH(O2450,'Techniciens'!$B$5:$B$44,0)),'Paramètres'!$AA$10))</f>
        <v/>
      </c>
      <c r="V2450" s="70">
        <f>IF($A2450="","",IF(OR(AC2450="Demandé",AC2450="Planifié",AC2450="Annulé"),0,N(T2450)*N(U2450)))</f>
        <v/>
      </c>
      <c r="W2450" s="70">
        <f>IF($A2450="","",SUMIFS('Mouvements stock'!$H$5:$H$3004,'Mouvements stock'!$I$5:$I$3004,$A2450,'Mouvements stock'!$C$5:$C$3004,"Sortie")-SUMIFS('Mouvements stock'!$H$5:$H$3004,'Mouvements stock'!$I$5:$I$3004,$A2450,'Mouvements stock'!$C$5:$C$3004,"Retour"))</f>
        <v/>
      </c>
      <c r="X2450" s="66" t="n"/>
      <c r="Y2450" s="66" t="n"/>
      <c r="Z2450" s="7" t="n"/>
      <c r="AA2450" s="70">
        <f>IF($A2450="","",N(V2450)+N(W2450)+N(X2450)+N(Y2450))</f>
        <v/>
      </c>
      <c r="AB2450" s="70">
        <f>IF($A2450="","",N(S2450)*'Paramètres'!$AA$9*IFERROR(INDEX('Paramètres'!$O$5:$O$7,MATCH(G2450,'Paramètres'!$N$5:$N$7,0)),0))</f>
        <v/>
      </c>
      <c r="AC2450" s="7" t="n"/>
      <c r="AD2450" s="69">
        <f>IF(OR($A2450="",Q2450=""),"",(Q2450-B2450)*24)</f>
        <v/>
      </c>
      <c r="AE2450" s="69">
        <f>IF(OR(Q2450="",R2450=""),"",(R2450-Q2450)*24)</f>
        <v/>
      </c>
      <c r="AF2450" s="77">
        <f>IF(OR($A2450="",B2450=""),"",YEAR(B2450))</f>
        <v/>
      </c>
      <c r="AG2450" s="77">
        <f>IF(OR($A2450="",B2450=""),"",MONTH(B2450))</f>
        <v/>
      </c>
    </row>
    <row r="2451">
      <c r="A2451" s="7" t="n"/>
      <c r="B2451" s="75" t="n"/>
      <c r="C2451" s="7" t="n"/>
      <c r="D2451" s="7" t="n"/>
      <c r="E2451" s="9">
        <f>IF(D2451="","",IFERROR(INDEX('Équipements'!$B$5:$B$304,MATCH(D2451,'Équipements'!$A$5:$A$304,0)),"Code inconnu"))</f>
        <v/>
      </c>
      <c r="F2451" s="9">
        <f>IF(D2451="","",IFERROR(INDEX('Équipements'!$D$5:$D$304,MATCH(D2451,'Équipements'!$A$5:$A$304,0)),""))</f>
        <v/>
      </c>
      <c r="G2451" s="9">
        <f>IF(D2451="","",IFERROR(INDEX('Équipements'!$K$5:$K$304,MATCH(D2451,'Équipements'!$A$5:$A$304,0)),""))</f>
        <v/>
      </c>
      <c r="H2451" s="7" t="n"/>
      <c r="I2451" s="7" t="n"/>
      <c r="J2451" s="7" t="n"/>
      <c r="K2451" s="7" t="n"/>
      <c r="L2451" s="7" t="n"/>
      <c r="M2451" s="7" t="n"/>
      <c r="N2451" s="7" t="n"/>
      <c r="O2451" s="7" t="n"/>
      <c r="P2451" s="65" t="n"/>
      <c r="Q2451" s="75" t="n"/>
      <c r="R2451" s="75" t="n"/>
      <c r="S2451" s="76" t="n"/>
      <c r="T2451" s="76" t="n"/>
      <c r="U2451" s="70">
        <f>IF($A2451="","",IFERROR(INDEX('Techniciens'!$F$5:$F$44,MATCH(O2451,'Techniciens'!$B$5:$B$44,0)),'Paramètres'!$AA$10))</f>
        <v/>
      </c>
      <c r="V2451" s="70">
        <f>IF($A2451="","",IF(OR(AC2451="Demandé",AC2451="Planifié",AC2451="Annulé"),0,N(T2451)*N(U2451)))</f>
        <v/>
      </c>
      <c r="W2451" s="70">
        <f>IF($A2451="","",SUMIFS('Mouvements stock'!$H$5:$H$3004,'Mouvements stock'!$I$5:$I$3004,$A2451,'Mouvements stock'!$C$5:$C$3004,"Sortie")-SUMIFS('Mouvements stock'!$H$5:$H$3004,'Mouvements stock'!$I$5:$I$3004,$A2451,'Mouvements stock'!$C$5:$C$3004,"Retour"))</f>
        <v/>
      </c>
      <c r="X2451" s="66" t="n"/>
      <c r="Y2451" s="66" t="n"/>
      <c r="Z2451" s="7" t="n"/>
      <c r="AA2451" s="70">
        <f>IF($A2451="","",N(V2451)+N(W2451)+N(X2451)+N(Y2451))</f>
        <v/>
      </c>
      <c r="AB2451" s="70">
        <f>IF($A2451="","",N(S2451)*'Paramètres'!$AA$9*IFERROR(INDEX('Paramètres'!$O$5:$O$7,MATCH(G2451,'Paramètres'!$N$5:$N$7,0)),0))</f>
        <v/>
      </c>
      <c r="AC2451" s="7" t="n"/>
      <c r="AD2451" s="69">
        <f>IF(OR($A2451="",Q2451=""),"",(Q2451-B2451)*24)</f>
        <v/>
      </c>
      <c r="AE2451" s="69">
        <f>IF(OR(Q2451="",R2451=""),"",(R2451-Q2451)*24)</f>
        <v/>
      </c>
      <c r="AF2451" s="77">
        <f>IF(OR($A2451="",B2451=""),"",YEAR(B2451))</f>
        <v/>
      </c>
      <c r="AG2451" s="77">
        <f>IF(OR($A2451="",B2451=""),"",MONTH(B2451))</f>
        <v/>
      </c>
    </row>
    <row r="2452">
      <c r="A2452" s="7" t="n"/>
      <c r="B2452" s="75" t="n"/>
      <c r="C2452" s="7" t="n"/>
      <c r="D2452" s="7" t="n"/>
      <c r="E2452" s="9">
        <f>IF(D2452="","",IFERROR(INDEX('Équipements'!$B$5:$B$304,MATCH(D2452,'Équipements'!$A$5:$A$304,0)),"Code inconnu"))</f>
        <v/>
      </c>
      <c r="F2452" s="9">
        <f>IF(D2452="","",IFERROR(INDEX('Équipements'!$D$5:$D$304,MATCH(D2452,'Équipements'!$A$5:$A$304,0)),""))</f>
        <v/>
      </c>
      <c r="G2452" s="9">
        <f>IF(D2452="","",IFERROR(INDEX('Équipements'!$K$5:$K$304,MATCH(D2452,'Équipements'!$A$5:$A$304,0)),""))</f>
        <v/>
      </c>
      <c r="H2452" s="7" t="n"/>
      <c r="I2452" s="7" t="n"/>
      <c r="J2452" s="7" t="n"/>
      <c r="K2452" s="7" t="n"/>
      <c r="L2452" s="7" t="n"/>
      <c r="M2452" s="7" t="n"/>
      <c r="N2452" s="7" t="n"/>
      <c r="O2452" s="7" t="n"/>
      <c r="P2452" s="65" t="n"/>
      <c r="Q2452" s="75" t="n"/>
      <c r="R2452" s="75" t="n"/>
      <c r="S2452" s="76" t="n"/>
      <c r="T2452" s="76" t="n"/>
      <c r="U2452" s="70">
        <f>IF($A2452="","",IFERROR(INDEX('Techniciens'!$F$5:$F$44,MATCH(O2452,'Techniciens'!$B$5:$B$44,0)),'Paramètres'!$AA$10))</f>
        <v/>
      </c>
      <c r="V2452" s="70">
        <f>IF($A2452="","",IF(OR(AC2452="Demandé",AC2452="Planifié",AC2452="Annulé"),0,N(T2452)*N(U2452)))</f>
        <v/>
      </c>
      <c r="W2452" s="70">
        <f>IF($A2452="","",SUMIFS('Mouvements stock'!$H$5:$H$3004,'Mouvements stock'!$I$5:$I$3004,$A2452,'Mouvements stock'!$C$5:$C$3004,"Sortie")-SUMIFS('Mouvements stock'!$H$5:$H$3004,'Mouvements stock'!$I$5:$I$3004,$A2452,'Mouvements stock'!$C$5:$C$3004,"Retour"))</f>
        <v/>
      </c>
      <c r="X2452" s="66" t="n"/>
      <c r="Y2452" s="66" t="n"/>
      <c r="Z2452" s="7" t="n"/>
      <c r="AA2452" s="70">
        <f>IF($A2452="","",N(V2452)+N(W2452)+N(X2452)+N(Y2452))</f>
        <v/>
      </c>
      <c r="AB2452" s="70">
        <f>IF($A2452="","",N(S2452)*'Paramètres'!$AA$9*IFERROR(INDEX('Paramètres'!$O$5:$O$7,MATCH(G2452,'Paramètres'!$N$5:$N$7,0)),0))</f>
        <v/>
      </c>
      <c r="AC2452" s="7" t="n"/>
      <c r="AD2452" s="69">
        <f>IF(OR($A2452="",Q2452=""),"",(Q2452-B2452)*24)</f>
        <v/>
      </c>
      <c r="AE2452" s="69">
        <f>IF(OR(Q2452="",R2452=""),"",(R2452-Q2452)*24)</f>
        <v/>
      </c>
      <c r="AF2452" s="77">
        <f>IF(OR($A2452="",B2452=""),"",YEAR(B2452))</f>
        <v/>
      </c>
      <c r="AG2452" s="77">
        <f>IF(OR($A2452="",B2452=""),"",MONTH(B2452))</f>
        <v/>
      </c>
    </row>
    <row r="2453">
      <c r="A2453" s="7" t="n"/>
      <c r="B2453" s="75" t="n"/>
      <c r="C2453" s="7" t="n"/>
      <c r="D2453" s="7" t="n"/>
      <c r="E2453" s="9">
        <f>IF(D2453="","",IFERROR(INDEX('Équipements'!$B$5:$B$304,MATCH(D2453,'Équipements'!$A$5:$A$304,0)),"Code inconnu"))</f>
        <v/>
      </c>
      <c r="F2453" s="9">
        <f>IF(D2453="","",IFERROR(INDEX('Équipements'!$D$5:$D$304,MATCH(D2453,'Équipements'!$A$5:$A$304,0)),""))</f>
        <v/>
      </c>
      <c r="G2453" s="9">
        <f>IF(D2453="","",IFERROR(INDEX('Équipements'!$K$5:$K$304,MATCH(D2453,'Équipements'!$A$5:$A$304,0)),""))</f>
        <v/>
      </c>
      <c r="H2453" s="7" t="n"/>
      <c r="I2453" s="7" t="n"/>
      <c r="J2453" s="7" t="n"/>
      <c r="K2453" s="7" t="n"/>
      <c r="L2453" s="7" t="n"/>
      <c r="M2453" s="7" t="n"/>
      <c r="N2453" s="7" t="n"/>
      <c r="O2453" s="7" t="n"/>
      <c r="P2453" s="65" t="n"/>
      <c r="Q2453" s="75" t="n"/>
      <c r="R2453" s="75" t="n"/>
      <c r="S2453" s="76" t="n"/>
      <c r="T2453" s="76" t="n"/>
      <c r="U2453" s="70">
        <f>IF($A2453="","",IFERROR(INDEX('Techniciens'!$F$5:$F$44,MATCH(O2453,'Techniciens'!$B$5:$B$44,0)),'Paramètres'!$AA$10))</f>
        <v/>
      </c>
      <c r="V2453" s="70">
        <f>IF($A2453="","",IF(OR(AC2453="Demandé",AC2453="Planifié",AC2453="Annulé"),0,N(T2453)*N(U2453)))</f>
        <v/>
      </c>
      <c r="W2453" s="70">
        <f>IF($A2453="","",SUMIFS('Mouvements stock'!$H$5:$H$3004,'Mouvements stock'!$I$5:$I$3004,$A2453,'Mouvements stock'!$C$5:$C$3004,"Sortie")-SUMIFS('Mouvements stock'!$H$5:$H$3004,'Mouvements stock'!$I$5:$I$3004,$A2453,'Mouvements stock'!$C$5:$C$3004,"Retour"))</f>
        <v/>
      </c>
      <c r="X2453" s="66" t="n"/>
      <c r="Y2453" s="66" t="n"/>
      <c r="Z2453" s="7" t="n"/>
      <c r="AA2453" s="70">
        <f>IF($A2453="","",N(V2453)+N(W2453)+N(X2453)+N(Y2453))</f>
        <v/>
      </c>
      <c r="AB2453" s="70">
        <f>IF($A2453="","",N(S2453)*'Paramètres'!$AA$9*IFERROR(INDEX('Paramètres'!$O$5:$O$7,MATCH(G2453,'Paramètres'!$N$5:$N$7,0)),0))</f>
        <v/>
      </c>
      <c r="AC2453" s="7" t="n"/>
      <c r="AD2453" s="69">
        <f>IF(OR($A2453="",Q2453=""),"",(Q2453-B2453)*24)</f>
        <v/>
      </c>
      <c r="AE2453" s="69">
        <f>IF(OR(Q2453="",R2453=""),"",(R2453-Q2453)*24)</f>
        <v/>
      </c>
      <c r="AF2453" s="77">
        <f>IF(OR($A2453="",B2453=""),"",YEAR(B2453))</f>
        <v/>
      </c>
      <c r="AG2453" s="77">
        <f>IF(OR($A2453="",B2453=""),"",MONTH(B2453))</f>
        <v/>
      </c>
    </row>
    <row r="2454">
      <c r="A2454" s="7" t="n"/>
      <c r="B2454" s="75" t="n"/>
      <c r="C2454" s="7" t="n"/>
      <c r="D2454" s="7" t="n"/>
      <c r="E2454" s="9">
        <f>IF(D2454="","",IFERROR(INDEX('Équipements'!$B$5:$B$304,MATCH(D2454,'Équipements'!$A$5:$A$304,0)),"Code inconnu"))</f>
        <v/>
      </c>
      <c r="F2454" s="9">
        <f>IF(D2454="","",IFERROR(INDEX('Équipements'!$D$5:$D$304,MATCH(D2454,'Équipements'!$A$5:$A$304,0)),""))</f>
        <v/>
      </c>
      <c r="G2454" s="9">
        <f>IF(D2454="","",IFERROR(INDEX('Équipements'!$K$5:$K$304,MATCH(D2454,'Équipements'!$A$5:$A$304,0)),""))</f>
        <v/>
      </c>
      <c r="H2454" s="7" t="n"/>
      <c r="I2454" s="7" t="n"/>
      <c r="J2454" s="7" t="n"/>
      <c r="K2454" s="7" t="n"/>
      <c r="L2454" s="7" t="n"/>
      <c r="M2454" s="7" t="n"/>
      <c r="N2454" s="7" t="n"/>
      <c r="O2454" s="7" t="n"/>
      <c r="P2454" s="65" t="n"/>
      <c r="Q2454" s="75" t="n"/>
      <c r="R2454" s="75" t="n"/>
      <c r="S2454" s="76" t="n"/>
      <c r="T2454" s="76" t="n"/>
      <c r="U2454" s="70">
        <f>IF($A2454="","",IFERROR(INDEX('Techniciens'!$F$5:$F$44,MATCH(O2454,'Techniciens'!$B$5:$B$44,0)),'Paramètres'!$AA$10))</f>
        <v/>
      </c>
      <c r="V2454" s="70">
        <f>IF($A2454="","",IF(OR(AC2454="Demandé",AC2454="Planifié",AC2454="Annulé"),0,N(T2454)*N(U2454)))</f>
        <v/>
      </c>
      <c r="W2454" s="70">
        <f>IF($A2454="","",SUMIFS('Mouvements stock'!$H$5:$H$3004,'Mouvements stock'!$I$5:$I$3004,$A2454,'Mouvements stock'!$C$5:$C$3004,"Sortie")-SUMIFS('Mouvements stock'!$H$5:$H$3004,'Mouvements stock'!$I$5:$I$3004,$A2454,'Mouvements stock'!$C$5:$C$3004,"Retour"))</f>
        <v/>
      </c>
      <c r="X2454" s="66" t="n"/>
      <c r="Y2454" s="66" t="n"/>
      <c r="Z2454" s="7" t="n"/>
      <c r="AA2454" s="70">
        <f>IF($A2454="","",N(V2454)+N(W2454)+N(X2454)+N(Y2454))</f>
        <v/>
      </c>
      <c r="AB2454" s="70">
        <f>IF($A2454="","",N(S2454)*'Paramètres'!$AA$9*IFERROR(INDEX('Paramètres'!$O$5:$O$7,MATCH(G2454,'Paramètres'!$N$5:$N$7,0)),0))</f>
        <v/>
      </c>
      <c r="AC2454" s="7" t="n"/>
      <c r="AD2454" s="69">
        <f>IF(OR($A2454="",Q2454=""),"",(Q2454-B2454)*24)</f>
        <v/>
      </c>
      <c r="AE2454" s="69">
        <f>IF(OR(Q2454="",R2454=""),"",(R2454-Q2454)*24)</f>
        <v/>
      </c>
      <c r="AF2454" s="77">
        <f>IF(OR($A2454="",B2454=""),"",YEAR(B2454))</f>
        <v/>
      </c>
      <c r="AG2454" s="77">
        <f>IF(OR($A2454="",B2454=""),"",MONTH(B2454))</f>
        <v/>
      </c>
    </row>
    <row r="2455">
      <c r="A2455" s="7" t="n"/>
      <c r="B2455" s="75" t="n"/>
      <c r="C2455" s="7" t="n"/>
      <c r="D2455" s="7" t="n"/>
      <c r="E2455" s="9">
        <f>IF(D2455="","",IFERROR(INDEX('Équipements'!$B$5:$B$304,MATCH(D2455,'Équipements'!$A$5:$A$304,0)),"Code inconnu"))</f>
        <v/>
      </c>
      <c r="F2455" s="9">
        <f>IF(D2455="","",IFERROR(INDEX('Équipements'!$D$5:$D$304,MATCH(D2455,'Équipements'!$A$5:$A$304,0)),""))</f>
        <v/>
      </c>
      <c r="G2455" s="9">
        <f>IF(D2455="","",IFERROR(INDEX('Équipements'!$K$5:$K$304,MATCH(D2455,'Équipements'!$A$5:$A$304,0)),""))</f>
        <v/>
      </c>
      <c r="H2455" s="7" t="n"/>
      <c r="I2455" s="7" t="n"/>
      <c r="J2455" s="7" t="n"/>
      <c r="K2455" s="7" t="n"/>
      <c r="L2455" s="7" t="n"/>
      <c r="M2455" s="7" t="n"/>
      <c r="N2455" s="7" t="n"/>
      <c r="O2455" s="7" t="n"/>
      <c r="P2455" s="65" t="n"/>
      <c r="Q2455" s="75" t="n"/>
      <c r="R2455" s="75" t="n"/>
      <c r="S2455" s="76" t="n"/>
      <c r="T2455" s="76" t="n"/>
      <c r="U2455" s="70">
        <f>IF($A2455="","",IFERROR(INDEX('Techniciens'!$F$5:$F$44,MATCH(O2455,'Techniciens'!$B$5:$B$44,0)),'Paramètres'!$AA$10))</f>
        <v/>
      </c>
      <c r="V2455" s="70">
        <f>IF($A2455="","",IF(OR(AC2455="Demandé",AC2455="Planifié",AC2455="Annulé"),0,N(T2455)*N(U2455)))</f>
        <v/>
      </c>
      <c r="W2455" s="70">
        <f>IF($A2455="","",SUMIFS('Mouvements stock'!$H$5:$H$3004,'Mouvements stock'!$I$5:$I$3004,$A2455,'Mouvements stock'!$C$5:$C$3004,"Sortie")-SUMIFS('Mouvements stock'!$H$5:$H$3004,'Mouvements stock'!$I$5:$I$3004,$A2455,'Mouvements stock'!$C$5:$C$3004,"Retour"))</f>
        <v/>
      </c>
      <c r="X2455" s="66" t="n"/>
      <c r="Y2455" s="66" t="n"/>
      <c r="Z2455" s="7" t="n"/>
      <c r="AA2455" s="70">
        <f>IF($A2455="","",N(V2455)+N(W2455)+N(X2455)+N(Y2455))</f>
        <v/>
      </c>
      <c r="AB2455" s="70">
        <f>IF($A2455="","",N(S2455)*'Paramètres'!$AA$9*IFERROR(INDEX('Paramètres'!$O$5:$O$7,MATCH(G2455,'Paramètres'!$N$5:$N$7,0)),0))</f>
        <v/>
      </c>
      <c r="AC2455" s="7" t="n"/>
      <c r="AD2455" s="69">
        <f>IF(OR($A2455="",Q2455=""),"",(Q2455-B2455)*24)</f>
        <v/>
      </c>
      <c r="AE2455" s="69">
        <f>IF(OR(Q2455="",R2455=""),"",(R2455-Q2455)*24)</f>
        <v/>
      </c>
      <c r="AF2455" s="77">
        <f>IF(OR($A2455="",B2455=""),"",YEAR(B2455))</f>
        <v/>
      </c>
      <c r="AG2455" s="77">
        <f>IF(OR($A2455="",B2455=""),"",MONTH(B2455))</f>
        <v/>
      </c>
    </row>
    <row r="2456">
      <c r="A2456" s="7" t="n"/>
      <c r="B2456" s="75" t="n"/>
      <c r="C2456" s="7" t="n"/>
      <c r="D2456" s="7" t="n"/>
      <c r="E2456" s="9">
        <f>IF(D2456="","",IFERROR(INDEX('Équipements'!$B$5:$B$304,MATCH(D2456,'Équipements'!$A$5:$A$304,0)),"Code inconnu"))</f>
        <v/>
      </c>
      <c r="F2456" s="9">
        <f>IF(D2456="","",IFERROR(INDEX('Équipements'!$D$5:$D$304,MATCH(D2456,'Équipements'!$A$5:$A$304,0)),""))</f>
        <v/>
      </c>
      <c r="G2456" s="9">
        <f>IF(D2456="","",IFERROR(INDEX('Équipements'!$K$5:$K$304,MATCH(D2456,'Équipements'!$A$5:$A$304,0)),""))</f>
        <v/>
      </c>
      <c r="H2456" s="7" t="n"/>
      <c r="I2456" s="7" t="n"/>
      <c r="J2456" s="7" t="n"/>
      <c r="K2456" s="7" t="n"/>
      <c r="L2456" s="7" t="n"/>
      <c r="M2456" s="7" t="n"/>
      <c r="N2456" s="7" t="n"/>
      <c r="O2456" s="7" t="n"/>
      <c r="P2456" s="65" t="n"/>
      <c r="Q2456" s="75" t="n"/>
      <c r="R2456" s="75" t="n"/>
      <c r="S2456" s="76" t="n"/>
      <c r="T2456" s="76" t="n"/>
      <c r="U2456" s="70">
        <f>IF($A2456="","",IFERROR(INDEX('Techniciens'!$F$5:$F$44,MATCH(O2456,'Techniciens'!$B$5:$B$44,0)),'Paramètres'!$AA$10))</f>
        <v/>
      </c>
      <c r="V2456" s="70">
        <f>IF($A2456="","",IF(OR(AC2456="Demandé",AC2456="Planifié",AC2456="Annulé"),0,N(T2456)*N(U2456)))</f>
        <v/>
      </c>
      <c r="W2456" s="70">
        <f>IF($A2456="","",SUMIFS('Mouvements stock'!$H$5:$H$3004,'Mouvements stock'!$I$5:$I$3004,$A2456,'Mouvements stock'!$C$5:$C$3004,"Sortie")-SUMIFS('Mouvements stock'!$H$5:$H$3004,'Mouvements stock'!$I$5:$I$3004,$A2456,'Mouvements stock'!$C$5:$C$3004,"Retour"))</f>
        <v/>
      </c>
      <c r="X2456" s="66" t="n"/>
      <c r="Y2456" s="66" t="n"/>
      <c r="Z2456" s="7" t="n"/>
      <c r="AA2456" s="70">
        <f>IF($A2456="","",N(V2456)+N(W2456)+N(X2456)+N(Y2456))</f>
        <v/>
      </c>
      <c r="AB2456" s="70">
        <f>IF($A2456="","",N(S2456)*'Paramètres'!$AA$9*IFERROR(INDEX('Paramètres'!$O$5:$O$7,MATCH(G2456,'Paramètres'!$N$5:$N$7,0)),0))</f>
        <v/>
      </c>
      <c r="AC2456" s="7" t="n"/>
      <c r="AD2456" s="69">
        <f>IF(OR($A2456="",Q2456=""),"",(Q2456-B2456)*24)</f>
        <v/>
      </c>
      <c r="AE2456" s="69">
        <f>IF(OR(Q2456="",R2456=""),"",(R2456-Q2456)*24)</f>
        <v/>
      </c>
      <c r="AF2456" s="77">
        <f>IF(OR($A2456="",B2456=""),"",YEAR(B2456))</f>
        <v/>
      </c>
      <c r="AG2456" s="77">
        <f>IF(OR($A2456="",B2456=""),"",MONTH(B2456))</f>
        <v/>
      </c>
    </row>
    <row r="2457">
      <c r="A2457" s="7" t="n"/>
      <c r="B2457" s="75" t="n"/>
      <c r="C2457" s="7" t="n"/>
      <c r="D2457" s="7" t="n"/>
      <c r="E2457" s="9">
        <f>IF(D2457="","",IFERROR(INDEX('Équipements'!$B$5:$B$304,MATCH(D2457,'Équipements'!$A$5:$A$304,0)),"Code inconnu"))</f>
        <v/>
      </c>
      <c r="F2457" s="9">
        <f>IF(D2457="","",IFERROR(INDEX('Équipements'!$D$5:$D$304,MATCH(D2457,'Équipements'!$A$5:$A$304,0)),""))</f>
        <v/>
      </c>
      <c r="G2457" s="9">
        <f>IF(D2457="","",IFERROR(INDEX('Équipements'!$K$5:$K$304,MATCH(D2457,'Équipements'!$A$5:$A$304,0)),""))</f>
        <v/>
      </c>
      <c r="H2457" s="7" t="n"/>
      <c r="I2457" s="7" t="n"/>
      <c r="J2457" s="7" t="n"/>
      <c r="K2457" s="7" t="n"/>
      <c r="L2457" s="7" t="n"/>
      <c r="M2457" s="7" t="n"/>
      <c r="N2457" s="7" t="n"/>
      <c r="O2457" s="7" t="n"/>
      <c r="P2457" s="65" t="n"/>
      <c r="Q2457" s="75" t="n"/>
      <c r="R2457" s="75" t="n"/>
      <c r="S2457" s="76" t="n"/>
      <c r="T2457" s="76" t="n"/>
      <c r="U2457" s="70">
        <f>IF($A2457="","",IFERROR(INDEX('Techniciens'!$F$5:$F$44,MATCH(O2457,'Techniciens'!$B$5:$B$44,0)),'Paramètres'!$AA$10))</f>
        <v/>
      </c>
      <c r="V2457" s="70">
        <f>IF($A2457="","",IF(OR(AC2457="Demandé",AC2457="Planifié",AC2457="Annulé"),0,N(T2457)*N(U2457)))</f>
        <v/>
      </c>
      <c r="W2457" s="70">
        <f>IF($A2457="","",SUMIFS('Mouvements stock'!$H$5:$H$3004,'Mouvements stock'!$I$5:$I$3004,$A2457,'Mouvements stock'!$C$5:$C$3004,"Sortie")-SUMIFS('Mouvements stock'!$H$5:$H$3004,'Mouvements stock'!$I$5:$I$3004,$A2457,'Mouvements stock'!$C$5:$C$3004,"Retour"))</f>
        <v/>
      </c>
      <c r="X2457" s="66" t="n"/>
      <c r="Y2457" s="66" t="n"/>
      <c r="Z2457" s="7" t="n"/>
      <c r="AA2457" s="70">
        <f>IF($A2457="","",N(V2457)+N(W2457)+N(X2457)+N(Y2457))</f>
        <v/>
      </c>
      <c r="AB2457" s="70">
        <f>IF($A2457="","",N(S2457)*'Paramètres'!$AA$9*IFERROR(INDEX('Paramètres'!$O$5:$O$7,MATCH(G2457,'Paramètres'!$N$5:$N$7,0)),0))</f>
        <v/>
      </c>
      <c r="AC2457" s="7" t="n"/>
      <c r="AD2457" s="69">
        <f>IF(OR($A2457="",Q2457=""),"",(Q2457-B2457)*24)</f>
        <v/>
      </c>
      <c r="AE2457" s="69">
        <f>IF(OR(Q2457="",R2457=""),"",(R2457-Q2457)*24)</f>
        <v/>
      </c>
      <c r="AF2457" s="77">
        <f>IF(OR($A2457="",B2457=""),"",YEAR(B2457))</f>
        <v/>
      </c>
      <c r="AG2457" s="77">
        <f>IF(OR($A2457="",B2457=""),"",MONTH(B2457))</f>
        <v/>
      </c>
    </row>
    <row r="2458">
      <c r="A2458" s="7" t="n"/>
      <c r="B2458" s="75" t="n"/>
      <c r="C2458" s="7" t="n"/>
      <c r="D2458" s="7" t="n"/>
      <c r="E2458" s="9">
        <f>IF(D2458="","",IFERROR(INDEX('Équipements'!$B$5:$B$304,MATCH(D2458,'Équipements'!$A$5:$A$304,0)),"Code inconnu"))</f>
        <v/>
      </c>
      <c r="F2458" s="9">
        <f>IF(D2458="","",IFERROR(INDEX('Équipements'!$D$5:$D$304,MATCH(D2458,'Équipements'!$A$5:$A$304,0)),""))</f>
        <v/>
      </c>
      <c r="G2458" s="9">
        <f>IF(D2458="","",IFERROR(INDEX('Équipements'!$K$5:$K$304,MATCH(D2458,'Équipements'!$A$5:$A$304,0)),""))</f>
        <v/>
      </c>
      <c r="H2458" s="7" t="n"/>
      <c r="I2458" s="7" t="n"/>
      <c r="J2458" s="7" t="n"/>
      <c r="K2458" s="7" t="n"/>
      <c r="L2458" s="7" t="n"/>
      <c r="M2458" s="7" t="n"/>
      <c r="N2458" s="7" t="n"/>
      <c r="O2458" s="7" t="n"/>
      <c r="P2458" s="65" t="n"/>
      <c r="Q2458" s="75" t="n"/>
      <c r="R2458" s="75" t="n"/>
      <c r="S2458" s="76" t="n"/>
      <c r="T2458" s="76" t="n"/>
      <c r="U2458" s="70">
        <f>IF($A2458="","",IFERROR(INDEX('Techniciens'!$F$5:$F$44,MATCH(O2458,'Techniciens'!$B$5:$B$44,0)),'Paramètres'!$AA$10))</f>
        <v/>
      </c>
      <c r="V2458" s="70">
        <f>IF($A2458="","",IF(OR(AC2458="Demandé",AC2458="Planifié",AC2458="Annulé"),0,N(T2458)*N(U2458)))</f>
        <v/>
      </c>
      <c r="W2458" s="70">
        <f>IF($A2458="","",SUMIFS('Mouvements stock'!$H$5:$H$3004,'Mouvements stock'!$I$5:$I$3004,$A2458,'Mouvements stock'!$C$5:$C$3004,"Sortie")-SUMIFS('Mouvements stock'!$H$5:$H$3004,'Mouvements stock'!$I$5:$I$3004,$A2458,'Mouvements stock'!$C$5:$C$3004,"Retour"))</f>
        <v/>
      </c>
      <c r="X2458" s="66" t="n"/>
      <c r="Y2458" s="66" t="n"/>
      <c r="Z2458" s="7" t="n"/>
      <c r="AA2458" s="70">
        <f>IF($A2458="","",N(V2458)+N(W2458)+N(X2458)+N(Y2458))</f>
        <v/>
      </c>
      <c r="AB2458" s="70">
        <f>IF($A2458="","",N(S2458)*'Paramètres'!$AA$9*IFERROR(INDEX('Paramètres'!$O$5:$O$7,MATCH(G2458,'Paramètres'!$N$5:$N$7,0)),0))</f>
        <v/>
      </c>
      <c r="AC2458" s="7" t="n"/>
      <c r="AD2458" s="69">
        <f>IF(OR($A2458="",Q2458=""),"",(Q2458-B2458)*24)</f>
        <v/>
      </c>
      <c r="AE2458" s="69">
        <f>IF(OR(Q2458="",R2458=""),"",(R2458-Q2458)*24)</f>
        <v/>
      </c>
      <c r="AF2458" s="77">
        <f>IF(OR($A2458="",B2458=""),"",YEAR(B2458))</f>
        <v/>
      </c>
      <c r="AG2458" s="77">
        <f>IF(OR($A2458="",B2458=""),"",MONTH(B2458))</f>
        <v/>
      </c>
    </row>
    <row r="2459">
      <c r="A2459" s="7" t="n"/>
      <c r="B2459" s="75" t="n"/>
      <c r="C2459" s="7" t="n"/>
      <c r="D2459" s="7" t="n"/>
      <c r="E2459" s="9">
        <f>IF(D2459="","",IFERROR(INDEX('Équipements'!$B$5:$B$304,MATCH(D2459,'Équipements'!$A$5:$A$304,0)),"Code inconnu"))</f>
        <v/>
      </c>
      <c r="F2459" s="9">
        <f>IF(D2459="","",IFERROR(INDEX('Équipements'!$D$5:$D$304,MATCH(D2459,'Équipements'!$A$5:$A$304,0)),""))</f>
        <v/>
      </c>
      <c r="G2459" s="9">
        <f>IF(D2459="","",IFERROR(INDEX('Équipements'!$K$5:$K$304,MATCH(D2459,'Équipements'!$A$5:$A$304,0)),""))</f>
        <v/>
      </c>
      <c r="H2459" s="7" t="n"/>
      <c r="I2459" s="7" t="n"/>
      <c r="J2459" s="7" t="n"/>
      <c r="K2459" s="7" t="n"/>
      <c r="L2459" s="7" t="n"/>
      <c r="M2459" s="7" t="n"/>
      <c r="N2459" s="7" t="n"/>
      <c r="O2459" s="7" t="n"/>
      <c r="P2459" s="65" t="n"/>
      <c r="Q2459" s="75" t="n"/>
      <c r="R2459" s="75" t="n"/>
      <c r="S2459" s="76" t="n"/>
      <c r="T2459" s="76" t="n"/>
      <c r="U2459" s="70">
        <f>IF($A2459="","",IFERROR(INDEX('Techniciens'!$F$5:$F$44,MATCH(O2459,'Techniciens'!$B$5:$B$44,0)),'Paramètres'!$AA$10))</f>
        <v/>
      </c>
      <c r="V2459" s="70">
        <f>IF($A2459="","",IF(OR(AC2459="Demandé",AC2459="Planifié",AC2459="Annulé"),0,N(T2459)*N(U2459)))</f>
        <v/>
      </c>
      <c r="W2459" s="70">
        <f>IF($A2459="","",SUMIFS('Mouvements stock'!$H$5:$H$3004,'Mouvements stock'!$I$5:$I$3004,$A2459,'Mouvements stock'!$C$5:$C$3004,"Sortie")-SUMIFS('Mouvements stock'!$H$5:$H$3004,'Mouvements stock'!$I$5:$I$3004,$A2459,'Mouvements stock'!$C$5:$C$3004,"Retour"))</f>
        <v/>
      </c>
      <c r="X2459" s="66" t="n"/>
      <c r="Y2459" s="66" t="n"/>
      <c r="Z2459" s="7" t="n"/>
      <c r="AA2459" s="70">
        <f>IF($A2459="","",N(V2459)+N(W2459)+N(X2459)+N(Y2459))</f>
        <v/>
      </c>
      <c r="AB2459" s="70">
        <f>IF($A2459="","",N(S2459)*'Paramètres'!$AA$9*IFERROR(INDEX('Paramètres'!$O$5:$O$7,MATCH(G2459,'Paramètres'!$N$5:$N$7,0)),0))</f>
        <v/>
      </c>
      <c r="AC2459" s="7" t="n"/>
      <c r="AD2459" s="69">
        <f>IF(OR($A2459="",Q2459=""),"",(Q2459-B2459)*24)</f>
        <v/>
      </c>
      <c r="AE2459" s="69">
        <f>IF(OR(Q2459="",R2459=""),"",(R2459-Q2459)*24)</f>
        <v/>
      </c>
      <c r="AF2459" s="77">
        <f>IF(OR($A2459="",B2459=""),"",YEAR(B2459))</f>
        <v/>
      </c>
      <c r="AG2459" s="77">
        <f>IF(OR($A2459="",B2459=""),"",MONTH(B2459))</f>
        <v/>
      </c>
    </row>
    <row r="2460">
      <c r="A2460" s="7" t="n"/>
      <c r="B2460" s="75" t="n"/>
      <c r="C2460" s="7" t="n"/>
      <c r="D2460" s="7" t="n"/>
      <c r="E2460" s="9">
        <f>IF(D2460="","",IFERROR(INDEX('Équipements'!$B$5:$B$304,MATCH(D2460,'Équipements'!$A$5:$A$304,0)),"Code inconnu"))</f>
        <v/>
      </c>
      <c r="F2460" s="9">
        <f>IF(D2460="","",IFERROR(INDEX('Équipements'!$D$5:$D$304,MATCH(D2460,'Équipements'!$A$5:$A$304,0)),""))</f>
        <v/>
      </c>
      <c r="G2460" s="9">
        <f>IF(D2460="","",IFERROR(INDEX('Équipements'!$K$5:$K$304,MATCH(D2460,'Équipements'!$A$5:$A$304,0)),""))</f>
        <v/>
      </c>
      <c r="H2460" s="7" t="n"/>
      <c r="I2460" s="7" t="n"/>
      <c r="J2460" s="7" t="n"/>
      <c r="K2460" s="7" t="n"/>
      <c r="L2460" s="7" t="n"/>
      <c r="M2460" s="7" t="n"/>
      <c r="N2460" s="7" t="n"/>
      <c r="O2460" s="7" t="n"/>
      <c r="P2460" s="65" t="n"/>
      <c r="Q2460" s="75" t="n"/>
      <c r="R2460" s="75" t="n"/>
      <c r="S2460" s="76" t="n"/>
      <c r="T2460" s="76" t="n"/>
      <c r="U2460" s="70">
        <f>IF($A2460="","",IFERROR(INDEX('Techniciens'!$F$5:$F$44,MATCH(O2460,'Techniciens'!$B$5:$B$44,0)),'Paramètres'!$AA$10))</f>
        <v/>
      </c>
      <c r="V2460" s="70">
        <f>IF($A2460="","",IF(OR(AC2460="Demandé",AC2460="Planifié",AC2460="Annulé"),0,N(T2460)*N(U2460)))</f>
        <v/>
      </c>
      <c r="W2460" s="70">
        <f>IF($A2460="","",SUMIFS('Mouvements stock'!$H$5:$H$3004,'Mouvements stock'!$I$5:$I$3004,$A2460,'Mouvements stock'!$C$5:$C$3004,"Sortie")-SUMIFS('Mouvements stock'!$H$5:$H$3004,'Mouvements stock'!$I$5:$I$3004,$A2460,'Mouvements stock'!$C$5:$C$3004,"Retour"))</f>
        <v/>
      </c>
      <c r="X2460" s="66" t="n"/>
      <c r="Y2460" s="66" t="n"/>
      <c r="Z2460" s="7" t="n"/>
      <c r="AA2460" s="70">
        <f>IF($A2460="","",N(V2460)+N(W2460)+N(X2460)+N(Y2460))</f>
        <v/>
      </c>
      <c r="AB2460" s="70">
        <f>IF($A2460="","",N(S2460)*'Paramètres'!$AA$9*IFERROR(INDEX('Paramètres'!$O$5:$O$7,MATCH(G2460,'Paramètres'!$N$5:$N$7,0)),0))</f>
        <v/>
      </c>
      <c r="AC2460" s="7" t="n"/>
      <c r="AD2460" s="69">
        <f>IF(OR($A2460="",Q2460=""),"",(Q2460-B2460)*24)</f>
        <v/>
      </c>
      <c r="AE2460" s="69">
        <f>IF(OR(Q2460="",R2460=""),"",(R2460-Q2460)*24)</f>
        <v/>
      </c>
      <c r="AF2460" s="77">
        <f>IF(OR($A2460="",B2460=""),"",YEAR(B2460))</f>
        <v/>
      </c>
      <c r="AG2460" s="77">
        <f>IF(OR($A2460="",B2460=""),"",MONTH(B2460))</f>
        <v/>
      </c>
    </row>
    <row r="2461">
      <c r="A2461" s="7" t="n"/>
      <c r="B2461" s="75" t="n"/>
      <c r="C2461" s="7" t="n"/>
      <c r="D2461" s="7" t="n"/>
      <c r="E2461" s="9">
        <f>IF(D2461="","",IFERROR(INDEX('Équipements'!$B$5:$B$304,MATCH(D2461,'Équipements'!$A$5:$A$304,0)),"Code inconnu"))</f>
        <v/>
      </c>
      <c r="F2461" s="9">
        <f>IF(D2461="","",IFERROR(INDEX('Équipements'!$D$5:$D$304,MATCH(D2461,'Équipements'!$A$5:$A$304,0)),""))</f>
        <v/>
      </c>
      <c r="G2461" s="9">
        <f>IF(D2461="","",IFERROR(INDEX('Équipements'!$K$5:$K$304,MATCH(D2461,'Équipements'!$A$5:$A$304,0)),""))</f>
        <v/>
      </c>
      <c r="H2461" s="7" t="n"/>
      <c r="I2461" s="7" t="n"/>
      <c r="J2461" s="7" t="n"/>
      <c r="K2461" s="7" t="n"/>
      <c r="L2461" s="7" t="n"/>
      <c r="M2461" s="7" t="n"/>
      <c r="N2461" s="7" t="n"/>
      <c r="O2461" s="7" t="n"/>
      <c r="P2461" s="65" t="n"/>
      <c r="Q2461" s="75" t="n"/>
      <c r="R2461" s="75" t="n"/>
      <c r="S2461" s="76" t="n"/>
      <c r="T2461" s="76" t="n"/>
      <c r="U2461" s="70">
        <f>IF($A2461="","",IFERROR(INDEX('Techniciens'!$F$5:$F$44,MATCH(O2461,'Techniciens'!$B$5:$B$44,0)),'Paramètres'!$AA$10))</f>
        <v/>
      </c>
      <c r="V2461" s="70">
        <f>IF($A2461="","",IF(OR(AC2461="Demandé",AC2461="Planifié",AC2461="Annulé"),0,N(T2461)*N(U2461)))</f>
        <v/>
      </c>
      <c r="W2461" s="70">
        <f>IF($A2461="","",SUMIFS('Mouvements stock'!$H$5:$H$3004,'Mouvements stock'!$I$5:$I$3004,$A2461,'Mouvements stock'!$C$5:$C$3004,"Sortie")-SUMIFS('Mouvements stock'!$H$5:$H$3004,'Mouvements stock'!$I$5:$I$3004,$A2461,'Mouvements stock'!$C$5:$C$3004,"Retour"))</f>
        <v/>
      </c>
      <c r="X2461" s="66" t="n"/>
      <c r="Y2461" s="66" t="n"/>
      <c r="Z2461" s="7" t="n"/>
      <c r="AA2461" s="70">
        <f>IF($A2461="","",N(V2461)+N(W2461)+N(X2461)+N(Y2461))</f>
        <v/>
      </c>
      <c r="AB2461" s="70">
        <f>IF($A2461="","",N(S2461)*'Paramètres'!$AA$9*IFERROR(INDEX('Paramètres'!$O$5:$O$7,MATCH(G2461,'Paramètres'!$N$5:$N$7,0)),0))</f>
        <v/>
      </c>
      <c r="AC2461" s="7" t="n"/>
      <c r="AD2461" s="69">
        <f>IF(OR($A2461="",Q2461=""),"",(Q2461-B2461)*24)</f>
        <v/>
      </c>
      <c r="AE2461" s="69">
        <f>IF(OR(Q2461="",R2461=""),"",(R2461-Q2461)*24)</f>
        <v/>
      </c>
      <c r="AF2461" s="77">
        <f>IF(OR($A2461="",B2461=""),"",YEAR(B2461))</f>
        <v/>
      </c>
      <c r="AG2461" s="77">
        <f>IF(OR($A2461="",B2461=""),"",MONTH(B2461))</f>
        <v/>
      </c>
    </row>
    <row r="2462">
      <c r="A2462" s="7" t="n"/>
      <c r="B2462" s="75" t="n"/>
      <c r="C2462" s="7" t="n"/>
      <c r="D2462" s="7" t="n"/>
      <c r="E2462" s="9">
        <f>IF(D2462="","",IFERROR(INDEX('Équipements'!$B$5:$B$304,MATCH(D2462,'Équipements'!$A$5:$A$304,0)),"Code inconnu"))</f>
        <v/>
      </c>
      <c r="F2462" s="9">
        <f>IF(D2462="","",IFERROR(INDEX('Équipements'!$D$5:$D$304,MATCH(D2462,'Équipements'!$A$5:$A$304,0)),""))</f>
        <v/>
      </c>
      <c r="G2462" s="9">
        <f>IF(D2462="","",IFERROR(INDEX('Équipements'!$K$5:$K$304,MATCH(D2462,'Équipements'!$A$5:$A$304,0)),""))</f>
        <v/>
      </c>
      <c r="H2462" s="7" t="n"/>
      <c r="I2462" s="7" t="n"/>
      <c r="J2462" s="7" t="n"/>
      <c r="K2462" s="7" t="n"/>
      <c r="L2462" s="7" t="n"/>
      <c r="M2462" s="7" t="n"/>
      <c r="N2462" s="7" t="n"/>
      <c r="O2462" s="7" t="n"/>
      <c r="P2462" s="65" t="n"/>
      <c r="Q2462" s="75" t="n"/>
      <c r="R2462" s="75" t="n"/>
      <c r="S2462" s="76" t="n"/>
      <c r="T2462" s="76" t="n"/>
      <c r="U2462" s="70">
        <f>IF($A2462="","",IFERROR(INDEX('Techniciens'!$F$5:$F$44,MATCH(O2462,'Techniciens'!$B$5:$B$44,0)),'Paramètres'!$AA$10))</f>
        <v/>
      </c>
      <c r="V2462" s="70">
        <f>IF($A2462="","",IF(OR(AC2462="Demandé",AC2462="Planifié",AC2462="Annulé"),0,N(T2462)*N(U2462)))</f>
        <v/>
      </c>
      <c r="W2462" s="70">
        <f>IF($A2462="","",SUMIFS('Mouvements stock'!$H$5:$H$3004,'Mouvements stock'!$I$5:$I$3004,$A2462,'Mouvements stock'!$C$5:$C$3004,"Sortie")-SUMIFS('Mouvements stock'!$H$5:$H$3004,'Mouvements stock'!$I$5:$I$3004,$A2462,'Mouvements stock'!$C$5:$C$3004,"Retour"))</f>
        <v/>
      </c>
      <c r="X2462" s="66" t="n"/>
      <c r="Y2462" s="66" t="n"/>
      <c r="Z2462" s="7" t="n"/>
      <c r="AA2462" s="70">
        <f>IF($A2462="","",N(V2462)+N(W2462)+N(X2462)+N(Y2462))</f>
        <v/>
      </c>
      <c r="AB2462" s="70">
        <f>IF($A2462="","",N(S2462)*'Paramètres'!$AA$9*IFERROR(INDEX('Paramètres'!$O$5:$O$7,MATCH(G2462,'Paramètres'!$N$5:$N$7,0)),0))</f>
        <v/>
      </c>
      <c r="AC2462" s="7" t="n"/>
      <c r="AD2462" s="69">
        <f>IF(OR($A2462="",Q2462=""),"",(Q2462-B2462)*24)</f>
        <v/>
      </c>
      <c r="AE2462" s="69">
        <f>IF(OR(Q2462="",R2462=""),"",(R2462-Q2462)*24)</f>
        <v/>
      </c>
      <c r="AF2462" s="77">
        <f>IF(OR($A2462="",B2462=""),"",YEAR(B2462))</f>
        <v/>
      </c>
      <c r="AG2462" s="77">
        <f>IF(OR($A2462="",B2462=""),"",MONTH(B2462))</f>
        <v/>
      </c>
    </row>
    <row r="2463">
      <c r="A2463" s="7" t="n"/>
      <c r="B2463" s="75" t="n"/>
      <c r="C2463" s="7" t="n"/>
      <c r="D2463" s="7" t="n"/>
      <c r="E2463" s="9">
        <f>IF(D2463="","",IFERROR(INDEX('Équipements'!$B$5:$B$304,MATCH(D2463,'Équipements'!$A$5:$A$304,0)),"Code inconnu"))</f>
        <v/>
      </c>
      <c r="F2463" s="9">
        <f>IF(D2463="","",IFERROR(INDEX('Équipements'!$D$5:$D$304,MATCH(D2463,'Équipements'!$A$5:$A$304,0)),""))</f>
        <v/>
      </c>
      <c r="G2463" s="9">
        <f>IF(D2463="","",IFERROR(INDEX('Équipements'!$K$5:$K$304,MATCH(D2463,'Équipements'!$A$5:$A$304,0)),""))</f>
        <v/>
      </c>
      <c r="H2463" s="7" t="n"/>
      <c r="I2463" s="7" t="n"/>
      <c r="J2463" s="7" t="n"/>
      <c r="K2463" s="7" t="n"/>
      <c r="L2463" s="7" t="n"/>
      <c r="M2463" s="7" t="n"/>
      <c r="N2463" s="7" t="n"/>
      <c r="O2463" s="7" t="n"/>
      <c r="P2463" s="65" t="n"/>
      <c r="Q2463" s="75" t="n"/>
      <c r="R2463" s="75" t="n"/>
      <c r="S2463" s="76" t="n"/>
      <c r="T2463" s="76" t="n"/>
      <c r="U2463" s="70">
        <f>IF($A2463="","",IFERROR(INDEX('Techniciens'!$F$5:$F$44,MATCH(O2463,'Techniciens'!$B$5:$B$44,0)),'Paramètres'!$AA$10))</f>
        <v/>
      </c>
      <c r="V2463" s="70">
        <f>IF($A2463="","",IF(OR(AC2463="Demandé",AC2463="Planifié",AC2463="Annulé"),0,N(T2463)*N(U2463)))</f>
        <v/>
      </c>
      <c r="W2463" s="70">
        <f>IF($A2463="","",SUMIFS('Mouvements stock'!$H$5:$H$3004,'Mouvements stock'!$I$5:$I$3004,$A2463,'Mouvements stock'!$C$5:$C$3004,"Sortie")-SUMIFS('Mouvements stock'!$H$5:$H$3004,'Mouvements stock'!$I$5:$I$3004,$A2463,'Mouvements stock'!$C$5:$C$3004,"Retour"))</f>
        <v/>
      </c>
      <c r="X2463" s="66" t="n"/>
      <c r="Y2463" s="66" t="n"/>
      <c r="Z2463" s="7" t="n"/>
      <c r="AA2463" s="70">
        <f>IF($A2463="","",N(V2463)+N(W2463)+N(X2463)+N(Y2463))</f>
        <v/>
      </c>
      <c r="AB2463" s="70">
        <f>IF($A2463="","",N(S2463)*'Paramètres'!$AA$9*IFERROR(INDEX('Paramètres'!$O$5:$O$7,MATCH(G2463,'Paramètres'!$N$5:$N$7,0)),0))</f>
        <v/>
      </c>
      <c r="AC2463" s="7" t="n"/>
      <c r="AD2463" s="69">
        <f>IF(OR($A2463="",Q2463=""),"",(Q2463-B2463)*24)</f>
        <v/>
      </c>
      <c r="AE2463" s="69">
        <f>IF(OR(Q2463="",R2463=""),"",(R2463-Q2463)*24)</f>
        <v/>
      </c>
      <c r="AF2463" s="77">
        <f>IF(OR($A2463="",B2463=""),"",YEAR(B2463))</f>
        <v/>
      </c>
      <c r="AG2463" s="77">
        <f>IF(OR($A2463="",B2463=""),"",MONTH(B2463))</f>
        <v/>
      </c>
    </row>
    <row r="2464">
      <c r="A2464" s="7" t="n"/>
      <c r="B2464" s="75" t="n"/>
      <c r="C2464" s="7" t="n"/>
      <c r="D2464" s="7" t="n"/>
      <c r="E2464" s="9">
        <f>IF(D2464="","",IFERROR(INDEX('Équipements'!$B$5:$B$304,MATCH(D2464,'Équipements'!$A$5:$A$304,0)),"Code inconnu"))</f>
        <v/>
      </c>
      <c r="F2464" s="9">
        <f>IF(D2464="","",IFERROR(INDEX('Équipements'!$D$5:$D$304,MATCH(D2464,'Équipements'!$A$5:$A$304,0)),""))</f>
        <v/>
      </c>
      <c r="G2464" s="9">
        <f>IF(D2464="","",IFERROR(INDEX('Équipements'!$K$5:$K$304,MATCH(D2464,'Équipements'!$A$5:$A$304,0)),""))</f>
        <v/>
      </c>
      <c r="H2464" s="7" t="n"/>
      <c r="I2464" s="7" t="n"/>
      <c r="J2464" s="7" t="n"/>
      <c r="K2464" s="7" t="n"/>
      <c r="L2464" s="7" t="n"/>
      <c r="M2464" s="7" t="n"/>
      <c r="N2464" s="7" t="n"/>
      <c r="O2464" s="7" t="n"/>
      <c r="P2464" s="65" t="n"/>
      <c r="Q2464" s="75" t="n"/>
      <c r="R2464" s="75" t="n"/>
      <c r="S2464" s="76" t="n"/>
      <c r="T2464" s="76" t="n"/>
      <c r="U2464" s="70">
        <f>IF($A2464="","",IFERROR(INDEX('Techniciens'!$F$5:$F$44,MATCH(O2464,'Techniciens'!$B$5:$B$44,0)),'Paramètres'!$AA$10))</f>
        <v/>
      </c>
      <c r="V2464" s="70">
        <f>IF($A2464="","",IF(OR(AC2464="Demandé",AC2464="Planifié",AC2464="Annulé"),0,N(T2464)*N(U2464)))</f>
        <v/>
      </c>
      <c r="W2464" s="70">
        <f>IF($A2464="","",SUMIFS('Mouvements stock'!$H$5:$H$3004,'Mouvements stock'!$I$5:$I$3004,$A2464,'Mouvements stock'!$C$5:$C$3004,"Sortie")-SUMIFS('Mouvements stock'!$H$5:$H$3004,'Mouvements stock'!$I$5:$I$3004,$A2464,'Mouvements stock'!$C$5:$C$3004,"Retour"))</f>
        <v/>
      </c>
      <c r="X2464" s="66" t="n"/>
      <c r="Y2464" s="66" t="n"/>
      <c r="Z2464" s="7" t="n"/>
      <c r="AA2464" s="70">
        <f>IF($A2464="","",N(V2464)+N(W2464)+N(X2464)+N(Y2464))</f>
        <v/>
      </c>
      <c r="AB2464" s="70">
        <f>IF($A2464="","",N(S2464)*'Paramètres'!$AA$9*IFERROR(INDEX('Paramètres'!$O$5:$O$7,MATCH(G2464,'Paramètres'!$N$5:$N$7,0)),0))</f>
        <v/>
      </c>
      <c r="AC2464" s="7" t="n"/>
      <c r="AD2464" s="69">
        <f>IF(OR($A2464="",Q2464=""),"",(Q2464-B2464)*24)</f>
        <v/>
      </c>
      <c r="AE2464" s="69">
        <f>IF(OR(Q2464="",R2464=""),"",(R2464-Q2464)*24)</f>
        <v/>
      </c>
      <c r="AF2464" s="77">
        <f>IF(OR($A2464="",B2464=""),"",YEAR(B2464))</f>
        <v/>
      </c>
      <c r="AG2464" s="77">
        <f>IF(OR($A2464="",B2464=""),"",MONTH(B2464))</f>
        <v/>
      </c>
    </row>
    <row r="2465">
      <c r="A2465" s="7" t="n"/>
      <c r="B2465" s="75" t="n"/>
      <c r="C2465" s="7" t="n"/>
      <c r="D2465" s="7" t="n"/>
      <c r="E2465" s="9">
        <f>IF(D2465="","",IFERROR(INDEX('Équipements'!$B$5:$B$304,MATCH(D2465,'Équipements'!$A$5:$A$304,0)),"Code inconnu"))</f>
        <v/>
      </c>
      <c r="F2465" s="9">
        <f>IF(D2465="","",IFERROR(INDEX('Équipements'!$D$5:$D$304,MATCH(D2465,'Équipements'!$A$5:$A$304,0)),""))</f>
        <v/>
      </c>
      <c r="G2465" s="9">
        <f>IF(D2465="","",IFERROR(INDEX('Équipements'!$K$5:$K$304,MATCH(D2465,'Équipements'!$A$5:$A$304,0)),""))</f>
        <v/>
      </c>
      <c r="H2465" s="7" t="n"/>
      <c r="I2465" s="7" t="n"/>
      <c r="J2465" s="7" t="n"/>
      <c r="K2465" s="7" t="n"/>
      <c r="L2465" s="7" t="n"/>
      <c r="M2465" s="7" t="n"/>
      <c r="N2465" s="7" t="n"/>
      <c r="O2465" s="7" t="n"/>
      <c r="P2465" s="65" t="n"/>
      <c r="Q2465" s="75" t="n"/>
      <c r="R2465" s="75" t="n"/>
      <c r="S2465" s="76" t="n"/>
      <c r="T2465" s="76" t="n"/>
      <c r="U2465" s="70">
        <f>IF($A2465="","",IFERROR(INDEX('Techniciens'!$F$5:$F$44,MATCH(O2465,'Techniciens'!$B$5:$B$44,0)),'Paramètres'!$AA$10))</f>
        <v/>
      </c>
      <c r="V2465" s="70">
        <f>IF($A2465="","",IF(OR(AC2465="Demandé",AC2465="Planifié",AC2465="Annulé"),0,N(T2465)*N(U2465)))</f>
        <v/>
      </c>
      <c r="W2465" s="70">
        <f>IF($A2465="","",SUMIFS('Mouvements stock'!$H$5:$H$3004,'Mouvements stock'!$I$5:$I$3004,$A2465,'Mouvements stock'!$C$5:$C$3004,"Sortie")-SUMIFS('Mouvements stock'!$H$5:$H$3004,'Mouvements stock'!$I$5:$I$3004,$A2465,'Mouvements stock'!$C$5:$C$3004,"Retour"))</f>
        <v/>
      </c>
      <c r="X2465" s="66" t="n"/>
      <c r="Y2465" s="66" t="n"/>
      <c r="Z2465" s="7" t="n"/>
      <c r="AA2465" s="70">
        <f>IF($A2465="","",N(V2465)+N(W2465)+N(X2465)+N(Y2465))</f>
        <v/>
      </c>
      <c r="AB2465" s="70">
        <f>IF($A2465="","",N(S2465)*'Paramètres'!$AA$9*IFERROR(INDEX('Paramètres'!$O$5:$O$7,MATCH(G2465,'Paramètres'!$N$5:$N$7,0)),0))</f>
        <v/>
      </c>
      <c r="AC2465" s="7" t="n"/>
      <c r="AD2465" s="69">
        <f>IF(OR($A2465="",Q2465=""),"",(Q2465-B2465)*24)</f>
        <v/>
      </c>
      <c r="AE2465" s="69">
        <f>IF(OR(Q2465="",R2465=""),"",(R2465-Q2465)*24)</f>
        <v/>
      </c>
      <c r="AF2465" s="77">
        <f>IF(OR($A2465="",B2465=""),"",YEAR(B2465))</f>
        <v/>
      </c>
      <c r="AG2465" s="77">
        <f>IF(OR($A2465="",B2465=""),"",MONTH(B2465))</f>
        <v/>
      </c>
    </row>
    <row r="2466">
      <c r="A2466" s="7" t="n"/>
      <c r="B2466" s="75" t="n"/>
      <c r="C2466" s="7" t="n"/>
      <c r="D2466" s="7" t="n"/>
      <c r="E2466" s="9">
        <f>IF(D2466="","",IFERROR(INDEX('Équipements'!$B$5:$B$304,MATCH(D2466,'Équipements'!$A$5:$A$304,0)),"Code inconnu"))</f>
        <v/>
      </c>
      <c r="F2466" s="9">
        <f>IF(D2466="","",IFERROR(INDEX('Équipements'!$D$5:$D$304,MATCH(D2466,'Équipements'!$A$5:$A$304,0)),""))</f>
        <v/>
      </c>
      <c r="G2466" s="9">
        <f>IF(D2466="","",IFERROR(INDEX('Équipements'!$K$5:$K$304,MATCH(D2466,'Équipements'!$A$5:$A$304,0)),""))</f>
        <v/>
      </c>
      <c r="H2466" s="7" t="n"/>
      <c r="I2466" s="7" t="n"/>
      <c r="J2466" s="7" t="n"/>
      <c r="K2466" s="7" t="n"/>
      <c r="L2466" s="7" t="n"/>
      <c r="M2466" s="7" t="n"/>
      <c r="N2466" s="7" t="n"/>
      <c r="O2466" s="7" t="n"/>
      <c r="P2466" s="65" t="n"/>
      <c r="Q2466" s="75" t="n"/>
      <c r="R2466" s="75" t="n"/>
      <c r="S2466" s="76" t="n"/>
      <c r="T2466" s="76" t="n"/>
      <c r="U2466" s="70">
        <f>IF($A2466="","",IFERROR(INDEX('Techniciens'!$F$5:$F$44,MATCH(O2466,'Techniciens'!$B$5:$B$44,0)),'Paramètres'!$AA$10))</f>
        <v/>
      </c>
      <c r="V2466" s="70">
        <f>IF($A2466="","",IF(OR(AC2466="Demandé",AC2466="Planifié",AC2466="Annulé"),0,N(T2466)*N(U2466)))</f>
        <v/>
      </c>
      <c r="W2466" s="70">
        <f>IF($A2466="","",SUMIFS('Mouvements stock'!$H$5:$H$3004,'Mouvements stock'!$I$5:$I$3004,$A2466,'Mouvements stock'!$C$5:$C$3004,"Sortie")-SUMIFS('Mouvements stock'!$H$5:$H$3004,'Mouvements stock'!$I$5:$I$3004,$A2466,'Mouvements stock'!$C$5:$C$3004,"Retour"))</f>
        <v/>
      </c>
      <c r="X2466" s="66" t="n"/>
      <c r="Y2466" s="66" t="n"/>
      <c r="Z2466" s="7" t="n"/>
      <c r="AA2466" s="70">
        <f>IF($A2466="","",N(V2466)+N(W2466)+N(X2466)+N(Y2466))</f>
        <v/>
      </c>
      <c r="AB2466" s="70">
        <f>IF($A2466="","",N(S2466)*'Paramètres'!$AA$9*IFERROR(INDEX('Paramètres'!$O$5:$O$7,MATCH(G2466,'Paramètres'!$N$5:$N$7,0)),0))</f>
        <v/>
      </c>
      <c r="AC2466" s="7" t="n"/>
      <c r="AD2466" s="69">
        <f>IF(OR($A2466="",Q2466=""),"",(Q2466-B2466)*24)</f>
        <v/>
      </c>
      <c r="AE2466" s="69">
        <f>IF(OR(Q2466="",R2466=""),"",(R2466-Q2466)*24)</f>
        <v/>
      </c>
      <c r="AF2466" s="77">
        <f>IF(OR($A2466="",B2466=""),"",YEAR(B2466))</f>
        <v/>
      </c>
      <c r="AG2466" s="77">
        <f>IF(OR($A2466="",B2466=""),"",MONTH(B2466))</f>
        <v/>
      </c>
    </row>
    <row r="2467">
      <c r="A2467" s="7" t="n"/>
      <c r="B2467" s="75" t="n"/>
      <c r="C2467" s="7" t="n"/>
      <c r="D2467" s="7" t="n"/>
      <c r="E2467" s="9">
        <f>IF(D2467="","",IFERROR(INDEX('Équipements'!$B$5:$B$304,MATCH(D2467,'Équipements'!$A$5:$A$304,0)),"Code inconnu"))</f>
        <v/>
      </c>
      <c r="F2467" s="9">
        <f>IF(D2467="","",IFERROR(INDEX('Équipements'!$D$5:$D$304,MATCH(D2467,'Équipements'!$A$5:$A$304,0)),""))</f>
        <v/>
      </c>
      <c r="G2467" s="9">
        <f>IF(D2467="","",IFERROR(INDEX('Équipements'!$K$5:$K$304,MATCH(D2467,'Équipements'!$A$5:$A$304,0)),""))</f>
        <v/>
      </c>
      <c r="H2467" s="7" t="n"/>
      <c r="I2467" s="7" t="n"/>
      <c r="J2467" s="7" t="n"/>
      <c r="K2467" s="7" t="n"/>
      <c r="L2467" s="7" t="n"/>
      <c r="M2467" s="7" t="n"/>
      <c r="N2467" s="7" t="n"/>
      <c r="O2467" s="7" t="n"/>
      <c r="P2467" s="65" t="n"/>
      <c r="Q2467" s="75" t="n"/>
      <c r="R2467" s="75" t="n"/>
      <c r="S2467" s="76" t="n"/>
      <c r="T2467" s="76" t="n"/>
      <c r="U2467" s="70">
        <f>IF($A2467="","",IFERROR(INDEX('Techniciens'!$F$5:$F$44,MATCH(O2467,'Techniciens'!$B$5:$B$44,0)),'Paramètres'!$AA$10))</f>
        <v/>
      </c>
      <c r="V2467" s="70">
        <f>IF($A2467="","",IF(OR(AC2467="Demandé",AC2467="Planifié",AC2467="Annulé"),0,N(T2467)*N(U2467)))</f>
        <v/>
      </c>
      <c r="W2467" s="70">
        <f>IF($A2467="","",SUMIFS('Mouvements stock'!$H$5:$H$3004,'Mouvements stock'!$I$5:$I$3004,$A2467,'Mouvements stock'!$C$5:$C$3004,"Sortie")-SUMIFS('Mouvements stock'!$H$5:$H$3004,'Mouvements stock'!$I$5:$I$3004,$A2467,'Mouvements stock'!$C$5:$C$3004,"Retour"))</f>
        <v/>
      </c>
      <c r="X2467" s="66" t="n"/>
      <c r="Y2467" s="66" t="n"/>
      <c r="Z2467" s="7" t="n"/>
      <c r="AA2467" s="70">
        <f>IF($A2467="","",N(V2467)+N(W2467)+N(X2467)+N(Y2467))</f>
        <v/>
      </c>
      <c r="AB2467" s="70">
        <f>IF($A2467="","",N(S2467)*'Paramètres'!$AA$9*IFERROR(INDEX('Paramètres'!$O$5:$O$7,MATCH(G2467,'Paramètres'!$N$5:$N$7,0)),0))</f>
        <v/>
      </c>
      <c r="AC2467" s="7" t="n"/>
      <c r="AD2467" s="69">
        <f>IF(OR($A2467="",Q2467=""),"",(Q2467-B2467)*24)</f>
        <v/>
      </c>
      <c r="AE2467" s="69">
        <f>IF(OR(Q2467="",R2467=""),"",(R2467-Q2467)*24)</f>
        <v/>
      </c>
      <c r="AF2467" s="77">
        <f>IF(OR($A2467="",B2467=""),"",YEAR(B2467))</f>
        <v/>
      </c>
      <c r="AG2467" s="77">
        <f>IF(OR($A2467="",B2467=""),"",MONTH(B2467))</f>
        <v/>
      </c>
    </row>
    <row r="2468">
      <c r="A2468" s="7" t="n"/>
      <c r="B2468" s="75" t="n"/>
      <c r="C2468" s="7" t="n"/>
      <c r="D2468" s="7" t="n"/>
      <c r="E2468" s="9">
        <f>IF(D2468="","",IFERROR(INDEX('Équipements'!$B$5:$B$304,MATCH(D2468,'Équipements'!$A$5:$A$304,0)),"Code inconnu"))</f>
        <v/>
      </c>
      <c r="F2468" s="9">
        <f>IF(D2468="","",IFERROR(INDEX('Équipements'!$D$5:$D$304,MATCH(D2468,'Équipements'!$A$5:$A$304,0)),""))</f>
        <v/>
      </c>
      <c r="G2468" s="9">
        <f>IF(D2468="","",IFERROR(INDEX('Équipements'!$K$5:$K$304,MATCH(D2468,'Équipements'!$A$5:$A$304,0)),""))</f>
        <v/>
      </c>
      <c r="H2468" s="7" t="n"/>
      <c r="I2468" s="7" t="n"/>
      <c r="J2468" s="7" t="n"/>
      <c r="K2468" s="7" t="n"/>
      <c r="L2468" s="7" t="n"/>
      <c r="M2468" s="7" t="n"/>
      <c r="N2468" s="7" t="n"/>
      <c r="O2468" s="7" t="n"/>
      <c r="P2468" s="65" t="n"/>
      <c r="Q2468" s="75" t="n"/>
      <c r="R2468" s="75" t="n"/>
      <c r="S2468" s="76" t="n"/>
      <c r="T2468" s="76" t="n"/>
      <c r="U2468" s="70">
        <f>IF($A2468="","",IFERROR(INDEX('Techniciens'!$F$5:$F$44,MATCH(O2468,'Techniciens'!$B$5:$B$44,0)),'Paramètres'!$AA$10))</f>
        <v/>
      </c>
      <c r="V2468" s="70">
        <f>IF($A2468="","",IF(OR(AC2468="Demandé",AC2468="Planifié",AC2468="Annulé"),0,N(T2468)*N(U2468)))</f>
        <v/>
      </c>
      <c r="W2468" s="70">
        <f>IF($A2468="","",SUMIFS('Mouvements stock'!$H$5:$H$3004,'Mouvements stock'!$I$5:$I$3004,$A2468,'Mouvements stock'!$C$5:$C$3004,"Sortie")-SUMIFS('Mouvements stock'!$H$5:$H$3004,'Mouvements stock'!$I$5:$I$3004,$A2468,'Mouvements stock'!$C$5:$C$3004,"Retour"))</f>
        <v/>
      </c>
      <c r="X2468" s="66" t="n"/>
      <c r="Y2468" s="66" t="n"/>
      <c r="Z2468" s="7" t="n"/>
      <c r="AA2468" s="70">
        <f>IF($A2468="","",N(V2468)+N(W2468)+N(X2468)+N(Y2468))</f>
        <v/>
      </c>
      <c r="AB2468" s="70">
        <f>IF($A2468="","",N(S2468)*'Paramètres'!$AA$9*IFERROR(INDEX('Paramètres'!$O$5:$O$7,MATCH(G2468,'Paramètres'!$N$5:$N$7,0)),0))</f>
        <v/>
      </c>
      <c r="AC2468" s="7" t="n"/>
      <c r="AD2468" s="69">
        <f>IF(OR($A2468="",Q2468=""),"",(Q2468-B2468)*24)</f>
        <v/>
      </c>
      <c r="AE2468" s="69">
        <f>IF(OR(Q2468="",R2468=""),"",(R2468-Q2468)*24)</f>
        <v/>
      </c>
      <c r="AF2468" s="77">
        <f>IF(OR($A2468="",B2468=""),"",YEAR(B2468))</f>
        <v/>
      </c>
      <c r="AG2468" s="77">
        <f>IF(OR($A2468="",B2468=""),"",MONTH(B2468))</f>
        <v/>
      </c>
    </row>
    <row r="2469">
      <c r="A2469" s="7" t="n"/>
      <c r="B2469" s="75" t="n"/>
      <c r="C2469" s="7" t="n"/>
      <c r="D2469" s="7" t="n"/>
      <c r="E2469" s="9">
        <f>IF(D2469="","",IFERROR(INDEX('Équipements'!$B$5:$B$304,MATCH(D2469,'Équipements'!$A$5:$A$304,0)),"Code inconnu"))</f>
        <v/>
      </c>
      <c r="F2469" s="9">
        <f>IF(D2469="","",IFERROR(INDEX('Équipements'!$D$5:$D$304,MATCH(D2469,'Équipements'!$A$5:$A$304,0)),""))</f>
        <v/>
      </c>
      <c r="G2469" s="9">
        <f>IF(D2469="","",IFERROR(INDEX('Équipements'!$K$5:$K$304,MATCH(D2469,'Équipements'!$A$5:$A$304,0)),""))</f>
        <v/>
      </c>
      <c r="H2469" s="7" t="n"/>
      <c r="I2469" s="7" t="n"/>
      <c r="J2469" s="7" t="n"/>
      <c r="K2469" s="7" t="n"/>
      <c r="L2469" s="7" t="n"/>
      <c r="M2469" s="7" t="n"/>
      <c r="N2469" s="7" t="n"/>
      <c r="O2469" s="7" t="n"/>
      <c r="P2469" s="65" t="n"/>
      <c r="Q2469" s="75" t="n"/>
      <c r="R2469" s="75" t="n"/>
      <c r="S2469" s="76" t="n"/>
      <c r="T2469" s="76" t="n"/>
      <c r="U2469" s="70">
        <f>IF($A2469="","",IFERROR(INDEX('Techniciens'!$F$5:$F$44,MATCH(O2469,'Techniciens'!$B$5:$B$44,0)),'Paramètres'!$AA$10))</f>
        <v/>
      </c>
      <c r="V2469" s="70">
        <f>IF($A2469="","",IF(OR(AC2469="Demandé",AC2469="Planifié",AC2469="Annulé"),0,N(T2469)*N(U2469)))</f>
        <v/>
      </c>
      <c r="W2469" s="70">
        <f>IF($A2469="","",SUMIFS('Mouvements stock'!$H$5:$H$3004,'Mouvements stock'!$I$5:$I$3004,$A2469,'Mouvements stock'!$C$5:$C$3004,"Sortie")-SUMIFS('Mouvements stock'!$H$5:$H$3004,'Mouvements stock'!$I$5:$I$3004,$A2469,'Mouvements stock'!$C$5:$C$3004,"Retour"))</f>
        <v/>
      </c>
      <c r="X2469" s="66" t="n"/>
      <c r="Y2469" s="66" t="n"/>
      <c r="Z2469" s="7" t="n"/>
      <c r="AA2469" s="70">
        <f>IF($A2469="","",N(V2469)+N(W2469)+N(X2469)+N(Y2469))</f>
        <v/>
      </c>
      <c r="AB2469" s="70">
        <f>IF($A2469="","",N(S2469)*'Paramètres'!$AA$9*IFERROR(INDEX('Paramètres'!$O$5:$O$7,MATCH(G2469,'Paramètres'!$N$5:$N$7,0)),0))</f>
        <v/>
      </c>
      <c r="AC2469" s="7" t="n"/>
      <c r="AD2469" s="69">
        <f>IF(OR($A2469="",Q2469=""),"",(Q2469-B2469)*24)</f>
        <v/>
      </c>
      <c r="AE2469" s="69">
        <f>IF(OR(Q2469="",R2469=""),"",(R2469-Q2469)*24)</f>
        <v/>
      </c>
      <c r="AF2469" s="77">
        <f>IF(OR($A2469="",B2469=""),"",YEAR(B2469))</f>
        <v/>
      </c>
      <c r="AG2469" s="77">
        <f>IF(OR($A2469="",B2469=""),"",MONTH(B2469))</f>
        <v/>
      </c>
    </row>
    <row r="2470">
      <c r="A2470" s="7" t="n"/>
      <c r="B2470" s="75" t="n"/>
      <c r="C2470" s="7" t="n"/>
      <c r="D2470" s="7" t="n"/>
      <c r="E2470" s="9">
        <f>IF(D2470="","",IFERROR(INDEX('Équipements'!$B$5:$B$304,MATCH(D2470,'Équipements'!$A$5:$A$304,0)),"Code inconnu"))</f>
        <v/>
      </c>
      <c r="F2470" s="9">
        <f>IF(D2470="","",IFERROR(INDEX('Équipements'!$D$5:$D$304,MATCH(D2470,'Équipements'!$A$5:$A$304,0)),""))</f>
        <v/>
      </c>
      <c r="G2470" s="9">
        <f>IF(D2470="","",IFERROR(INDEX('Équipements'!$K$5:$K$304,MATCH(D2470,'Équipements'!$A$5:$A$304,0)),""))</f>
        <v/>
      </c>
      <c r="H2470" s="7" t="n"/>
      <c r="I2470" s="7" t="n"/>
      <c r="J2470" s="7" t="n"/>
      <c r="K2470" s="7" t="n"/>
      <c r="L2470" s="7" t="n"/>
      <c r="M2470" s="7" t="n"/>
      <c r="N2470" s="7" t="n"/>
      <c r="O2470" s="7" t="n"/>
      <c r="P2470" s="65" t="n"/>
      <c r="Q2470" s="75" t="n"/>
      <c r="R2470" s="75" t="n"/>
      <c r="S2470" s="76" t="n"/>
      <c r="T2470" s="76" t="n"/>
      <c r="U2470" s="70">
        <f>IF($A2470="","",IFERROR(INDEX('Techniciens'!$F$5:$F$44,MATCH(O2470,'Techniciens'!$B$5:$B$44,0)),'Paramètres'!$AA$10))</f>
        <v/>
      </c>
      <c r="V2470" s="70">
        <f>IF($A2470="","",IF(OR(AC2470="Demandé",AC2470="Planifié",AC2470="Annulé"),0,N(T2470)*N(U2470)))</f>
        <v/>
      </c>
      <c r="W2470" s="70">
        <f>IF($A2470="","",SUMIFS('Mouvements stock'!$H$5:$H$3004,'Mouvements stock'!$I$5:$I$3004,$A2470,'Mouvements stock'!$C$5:$C$3004,"Sortie")-SUMIFS('Mouvements stock'!$H$5:$H$3004,'Mouvements stock'!$I$5:$I$3004,$A2470,'Mouvements stock'!$C$5:$C$3004,"Retour"))</f>
        <v/>
      </c>
      <c r="X2470" s="66" t="n"/>
      <c r="Y2470" s="66" t="n"/>
      <c r="Z2470" s="7" t="n"/>
      <c r="AA2470" s="70">
        <f>IF($A2470="","",N(V2470)+N(W2470)+N(X2470)+N(Y2470))</f>
        <v/>
      </c>
      <c r="AB2470" s="70">
        <f>IF($A2470="","",N(S2470)*'Paramètres'!$AA$9*IFERROR(INDEX('Paramètres'!$O$5:$O$7,MATCH(G2470,'Paramètres'!$N$5:$N$7,0)),0))</f>
        <v/>
      </c>
      <c r="AC2470" s="7" t="n"/>
      <c r="AD2470" s="69">
        <f>IF(OR($A2470="",Q2470=""),"",(Q2470-B2470)*24)</f>
        <v/>
      </c>
      <c r="AE2470" s="69">
        <f>IF(OR(Q2470="",R2470=""),"",(R2470-Q2470)*24)</f>
        <v/>
      </c>
      <c r="AF2470" s="77">
        <f>IF(OR($A2470="",B2470=""),"",YEAR(B2470))</f>
        <v/>
      </c>
      <c r="AG2470" s="77">
        <f>IF(OR($A2470="",B2470=""),"",MONTH(B2470))</f>
        <v/>
      </c>
    </row>
    <row r="2471">
      <c r="A2471" s="7" t="n"/>
      <c r="B2471" s="75" t="n"/>
      <c r="C2471" s="7" t="n"/>
      <c r="D2471" s="7" t="n"/>
      <c r="E2471" s="9">
        <f>IF(D2471="","",IFERROR(INDEX('Équipements'!$B$5:$B$304,MATCH(D2471,'Équipements'!$A$5:$A$304,0)),"Code inconnu"))</f>
        <v/>
      </c>
      <c r="F2471" s="9">
        <f>IF(D2471="","",IFERROR(INDEX('Équipements'!$D$5:$D$304,MATCH(D2471,'Équipements'!$A$5:$A$304,0)),""))</f>
        <v/>
      </c>
      <c r="G2471" s="9">
        <f>IF(D2471="","",IFERROR(INDEX('Équipements'!$K$5:$K$304,MATCH(D2471,'Équipements'!$A$5:$A$304,0)),""))</f>
        <v/>
      </c>
      <c r="H2471" s="7" t="n"/>
      <c r="I2471" s="7" t="n"/>
      <c r="J2471" s="7" t="n"/>
      <c r="K2471" s="7" t="n"/>
      <c r="L2471" s="7" t="n"/>
      <c r="M2471" s="7" t="n"/>
      <c r="N2471" s="7" t="n"/>
      <c r="O2471" s="7" t="n"/>
      <c r="P2471" s="65" t="n"/>
      <c r="Q2471" s="75" t="n"/>
      <c r="R2471" s="75" t="n"/>
      <c r="S2471" s="76" t="n"/>
      <c r="T2471" s="76" t="n"/>
      <c r="U2471" s="70">
        <f>IF($A2471="","",IFERROR(INDEX('Techniciens'!$F$5:$F$44,MATCH(O2471,'Techniciens'!$B$5:$B$44,0)),'Paramètres'!$AA$10))</f>
        <v/>
      </c>
      <c r="V2471" s="70">
        <f>IF($A2471="","",IF(OR(AC2471="Demandé",AC2471="Planifié",AC2471="Annulé"),0,N(T2471)*N(U2471)))</f>
        <v/>
      </c>
      <c r="W2471" s="70">
        <f>IF($A2471="","",SUMIFS('Mouvements stock'!$H$5:$H$3004,'Mouvements stock'!$I$5:$I$3004,$A2471,'Mouvements stock'!$C$5:$C$3004,"Sortie")-SUMIFS('Mouvements stock'!$H$5:$H$3004,'Mouvements stock'!$I$5:$I$3004,$A2471,'Mouvements stock'!$C$5:$C$3004,"Retour"))</f>
        <v/>
      </c>
      <c r="X2471" s="66" t="n"/>
      <c r="Y2471" s="66" t="n"/>
      <c r="Z2471" s="7" t="n"/>
      <c r="AA2471" s="70">
        <f>IF($A2471="","",N(V2471)+N(W2471)+N(X2471)+N(Y2471))</f>
        <v/>
      </c>
      <c r="AB2471" s="70">
        <f>IF($A2471="","",N(S2471)*'Paramètres'!$AA$9*IFERROR(INDEX('Paramètres'!$O$5:$O$7,MATCH(G2471,'Paramètres'!$N$5:$N$7,0)),0))</f>
        <v/>
      </c>
      <c r="AC2471" s="7" t="n"/>
      <c r="AD2471" s="69">
        <f>IF(OR($A2471="",Q2471=""),"",(Q2471-B2471)*24)</f>
        <v/>
      </c>
      <c r="AE2471" s="69">
        <f>IF(OR(Q2471="",R2471=""),"",(R2471-Q2471)*24)</f>
        <v/>
      </c>
      <c r="AF2471" s="77">
        <f>IF(OR($A2471="",B2471=""),"",YEAR(B2471))</f>
        <v/>
      </c>
      <c r="AG2471" s="77">
        <f>IF(OR($A2471="",B2471=""),"",MONTH(B2471))</f>
        <v/>
      </c>
    </row>
    <row r="2472">
      <c r="A2472" s="7" t="n"/>
      <c r="B2472" s="75" t="n"/>
      <c r="C2472" s="7" t="n"/>
      <c r="D2472" s="7" t="n"/>
      <c r="E2472" s="9">
        <f>IF(D2472="","",IFERROR(INDEX('Équipements'!$B$5:$B$304,MATCH(D2472,'Équipements'!$A$5:$A$304,0)),"Code inconnu"))</f>
        <v/>
      </c>
      <c r="F2472" s="9">
        <f>IF(D2472="","",IFERROR(INDEX('Équipements'!$D$5:$D$304,MATCH(D2472,'Équipements'!$A$5:$A$304,0)),""))</f>
        <v/>
      </c>
      <c r="G2472" s="9">
        <f>IF(D2472="","",IFERROR(INDEX('Équipements'!$K$5:$K$304,MATCH(D2472,'Équipements'!$A$5:$A$304,0)),""))</f>
        <v/>
      </c>
      <c r="H2472" s="7" t="n"/>
      <c r="I2472" s="7" t="n"/>
      <c r="J2472" s="7" t="n"/>
      <c r="K2472" s="7" t="n"/>
      <c r="L2472" s="7" t="n"/>
      <c r="M2472" s="7" t="n"/>
      <c r="N2472" s="7" t="n"/>
      <c r="O2472" s="7" t="n"/>
      <c r="P2472" s="65" t="n"/>
      <c r="Q2472" s="75" t="n"/>
      <c r="R2472" s="75" t="n"/>
      <c r="S2472" s="76" t="n"/>
      <c r="T2472" s="76" t="n"/>
      <c r="U2472" s="70">
        <f>IF($A2472="","",IFERROR(INDEX('Techniciens'!$F$5:$F$44,MATCH(O2472,'Techniciens'!$B$5:$B$44,0)),'Paramètres'!$AA$10))</f>
        <v/>
      </c>
      <c r="V2472" s="70">
        <f>IF($A2472="","",IF(OR(AC2472="Demandé",AC2472="Planifié",AC2472="Annulé"),0,N(T2472)*N(U2472)))</f>
        <v/>
      </c>
      <c r="W2472" s="70">
        <f>IF($A2472="","",SUMIFS('Mouvements stock'!$H$5:$H$3004,'Mouvements stock'!$I$5:$I$3004,$A2472,'Mouvements stock'!$C$5:$C$3004,"Sortie")-SUMIFS('Mouvements stock'!$H$5:$H$3004,'Mouvements stock'!$I$5:$I$3004,$A2472,'Mouvements stock'!$C$5:$C$3004,"Retour"))</f>
        <v/>
      </c>
      <c r="X2472" s="66" t="n"/>
      <c r="Y2472" s="66" t="n"/>
      <c r="Z2472" s="7" t="n"/>
      <c r="AA2472" s="70">
        <f>IF($A2472="","",N(V2472)+N(W2472)+N(X2472)+N(Y2472))</f>
        <v/>
      </c>
      <c r="AB2472" s="70">
        <f>IF($A2472="","",N(S2472)*'Paramètres'!$AA$9*IFERROR(INDEX('Paramètres'!$O$5:$O$7,MATCH(G2472,'Paramètres'!$N$5:$N$7,0)),0))</f>
        <v/>
      </c>
      <c r="AC2472" s="7" t="n"/>
      <c r="AD2472" s="69">
        <f>IF(OR($A2472="",Q2472=""),"",(Q2472-B2472)*24)</f>
        <v/>
      </c>
      <c r="AE2472" s="69">
        <f>IF(OR(Q2472="",R2472=""),"",(R2472-Q2472)*24)</f>
        <v/>
      </c>
      <c r="AF2472" s="77">
        <f>IF(OR($A2472="",B2472=""),"",YEAR(B2472))</f>
        <v/>
      </c>
      <c r="AG2472" s="77">
        <f>IF(OR($A2472="",B2472=""),"",MONTH(B2472))</f>
        <v/>
      </c>
    </row>
    <row r="2473">
      <c r="A2473" s="7" t="n"/>
      <c r="B2473" s="75" t="n"/>
      <c r="C2473" s="7" t="n"/>
      <c r="D2473" s="7" t="n"/>
      <c r="E2473" s="9">
        <f>IF(D2473="","",IFERROR(INDEX('Équipements'!$B$5:$B$304,MATCH(D2473,'Équipements'!$A$5:$A$304,0)),"Code inconnu"))</f>
        <v/>
      </c>
      <c r="F2473" s="9">
        <f>IF(D2473="","",IFERROR(INDEX('Équipements'!$D$5:$D$304,MATCH(D2473,'Équipements'!$A$5:$A$304,0)),""))</f>
        <v/>
      </c>
      <c r="G2473" s="9">
        <f>IF(D2473="","",IFERROR(INDEX('Équipements'!$K$5:$K$304,MATCH(D2473,'Équipements'!$A$5:$A$304,0)),""))</f>
        <v/>
      </c>
      <c r="H2473" s="7" t="n"/>
      <c r="I2473" s="7" t="n"/>
      <c r="J2473" s="7" t="n"/>
      <c r="K2473" s="7" t="n"/>
      <c r="L2473" s="7" t="n"/>
      <c r="M2473" s="7" t="n"/>
      <c r="N2473" s="7" t="n"/>
      <c r="O2473" s="7" t="n"/>
      <c r="P2473" s="65" t="n"/>
      <c r="Q2473" s="75" t="n"/>
      <c r="R2473" s="75" t="n"/>
      <c r="S2473" s="76" t="n"/>
      <c r="T2473" s="76" t="n"/>
      <c r="U2473" s="70">
        <f>IF($A2473="","",IFERROR(INDEX('Techniciens'!$F$5:$F$44,MATCH(O2473,'Techniciens'!$B$5:$B$44,0)),'Paramètres'!$AA$10))</f>
        <v/>
      </c>
      <c r="V2473" s="70">
        <f>IF($A2473="","",IF(OR(AC2473="Demandé",AC2473="Planifié",AC2473="Annulé"),0,N(T2473)*N(U2473)))</f>
        <v/>
      </c>
      <c r="W2473" s="70">
        <f>IF($A2473="","",SUMIFS('Mouvements stock'!$H$5:$H$3004,'Mouvements stock'!$I$5:$I$3004,$A2473,'Mouvements stock'!$C$5:$C$3004,"Sortie")-SUMIFS('Mouvements stock'!$H$5:$H$3004,'Mouvements stock'!$I$5:$I$3004,$A2473,'Mouvements stock'!$C$5:$C$3004,"Retour"))</f>
        <v/>
      </c>
      <c r="X2473" s="66" t="n"/>
      <c r="Y2473" s="66" t="n"/>
      <c r="Z2473" s="7" t="n"/>
      <c r="AA2473" s="70">
        <f>IF($A2473="","",N(V2473)+N(W2473)+N(X2473)+N(Y2473))</f>
        <v/>
      </c>
      <c r="AB2473" s="70">
        <f>IF($A2473="","",N(S2473)*'Paramètres'!$AA$9*IFERROR(INDEX('Paramètres'!$O$5:$O$7,MATCH(G2473,'Paramètres'!$N$5:$N$7,0)),0))</f>
        <v/>
      </c>
      <c r="AC2473" s="7" t="n"/>
      <c r="AD2473" s="69">
        <f>IF(OR($A2473="",Q2473=""),"",(Q2473-B2473)*24)</f>
        <v/>
      </c>
      <c r="AE2473" s="69">
        <f>IF(OR(Q2473="",R2473=""),"",(R2473-Q2473)*24)</f>
        <v/>
      </c>
      <c r="AF2473" s="77">
        <f>IF(OR($A2473="",B2473=""),"",YEAR(B2473))</f>
        <v/>
      </c>
      <c r="AG2473" s="77">
        <f>IF(OR($A2473="",B2473=""),"",MONTH(B2473))</f>
        <v/>
      </c>
    </row>
    <row r="2474">
      <c r="A2474" s="7" t="n"/>
      <c r="B2474" s="75" t="n"/>
      <c r="C2474" s="7" t="n"/>
      <c r="D2474" s="7" t="n"/>
      <c r="E2474" s="9">
        <f>IF(D2474="","",IFERROR(INDEX('Équipements'!$B$5:$B$304,MATCH(D2474,'Équipements'!$A$5:$A$304,0)),"Code inconnu"))</f>
        <v/>
      </c>
      <c r="F2474" s="9">
        <f>IF(D2474="","",IFERROR(INDEX('Équipements'!$D$5:$D$304,MATCH(D2474,'Équipements'!$A$5:$A$304,0)),""))</f>
        <v/>
      </c>
      <c r="G2474" s="9">
        <f>IF(D2474="","",IFERROR(INDEX('Équipements'!$K$5:$K$304,MATCH(D2474,'Équipements'!$A$5:$A$304,0)),""))</f>
        <v/>
      </c>
      <c r="H2474" s="7" t="n"/>
      <c r="I2474" s="7" t="n"/>
      <c r="J2474" s="7" t="n"/>
      <c r="K2474" s="7" t="n"/>
      <c r="L2474" s="7" t="n"/>
      <c r="M2474" s="7" t="n"/>
      <c r="N2474" s="7" t="n"/>
      <c r="O2474" s="7" t="n"/>
      <c r="P2474" s="65" t="n"/>
      <c r="Q2474" s="75" t="n"/>
      <c r="R2474" s="75" t="n"/>
      <c r="S2474" s="76" t="n"/>
      <c r="T2474" s="76" t="n"/>
      <c r="U2474" s="70">
        <f>IF($A2474="","",IFERROR(INDEX('Techniciens'!$F$5:$F$44,MATCH(O2474,'Techniciens'!$B$5:$B$44,0)),'Paramètres'!$AA$10))</f>
        <v/>
      </c>
      <c r="V2474" s="70">
        <f>IF($A2474="","",IF(OR(AC2474="Demandé",AC2474="Planifié",AC2474="Annulé"),0,N(T2474)*N(U2474)))</f>
        <v/>
      </c>
      <c r="W2474" s="70">
        <f>IF($A2474="","",SUMIFS('Mouvements stock'!$H$5:$H$3004,'Mouvements stock'!$I$5:$I$3004,$A2474,'Mouvements stock'!$C$5:$C$3004,"Sortie")-SUMIFS('Mouvements stock'!$H$5:$H$3004,'Mouvements stock'!$I$5:$I$3004,$A2474,'Mouvements stock'!$C$5:$C$3004,"Retour"))</f>
        <v/>
      </c>
      <c r="X2474" s="66" t="n"/>
      <c r="Y2474" s="66" t="n"/>
      <c r="Z2474" s="7" t="n"/>
      <c r="AA2474" s="70">
        <f>IF($A2474="","",N(V2474)+N(W2474)+N(X2474)+N(Y2474))</f>
        <v/>
      </c>
      <c r="AB2474" s="70">
        <f>IF($A2474="","",N(S2474)*'Paramètres'!$AA$9*IFERROR(INDEX('Paramètres'!$O$5:$O$7,MATCH(G2474,'Paramètres'!$N$5:$N$7,0)),0))</f>
        <v/>
      </c>
      <c r="AC2474" s="7" t="n"/>
      <c r="AD2474" s="69">
        <f>IF(OR($A2474="",Q2474=""),"",(Q2474-B2474)*24)</f>
        <v/>
      </c>
      <c r="AE2474" s="69">
        <f>IF(OR(Q2474="",R2474=""),"",(R2474-Q2474)*24)</f>
        <v/>
      </c>
      <c r="AF2474" s="77">
        <f>IF(OR($A2474="",B2474=""),"",YEAR(B2474))</f>
        <v/>
      </c>
      <c r="AG2474" s="77">
        <f>IF(OR($A2474="",B2474=""),"",MONTH(B2474))</f>
        <v/>
      </c>
    </row>
    <row r="2475">
      <c r="A2475" s="7" t="n"/>
      <c r="B2475" s="75" t="n"/>
      <c r="C2475" s="7" t="n"/>
      <c r="D2475" s="7" t="n"/>
      <c r="E2475" s="9">
        <f>IF(D2475="","",IFERROR(INDEX('Équipements'!$B$5:$B$304,MATCH(D2475,'Équipements'!$A$5:$A$304,0)),"Code inconnu"))</f>
        <v/>
      </c>
      <c r="F2475" s="9">
        <f>IF(D2475="","",IFERROR(INDEX('Équipements'!$D$5:$D$304,MATCH(D2475,'Équipements'!$A$5:$A$304,0)),""))</f>
        <v/>
      </c>
      <c r="G2475" s="9">
        <f>IF(D2475="","",IFERROR(INDEX('Équipements'!$K$5:$K$304,MATCH(D2475,'Équipements'!$A$5:$A$304,0)),""))</f>
        <v/>
      </c>
      <c r="H2475" s="7" t="n"/>
      <c r="I2475" s="7" t="n"/>
      <c r="J2475" s="7" t="n"/>
      <c r="K2475" s="7" t="n"/>
      <c r="L2475" s="7" t="n"/>
      <c r="M2475" s="7" t="n"/>
      <c r="N2475" s="7" t="n"/>
      <c r="O2475" s="7" t="n"/>
      <c r="P2475" s="65" t="n"/>
      <c r="Q2475" s="75" t="n"/>
      <c r="R2475" s="75" t="n"/>
      <c r="S2475" s="76" t="n"/>
      <c r="T2475" s="76" t="n"/>
      <c r="U2475" s="70">
        <f>IF($A2475="","",IFERROR(INDEX('Techniciens'!$F$5:$F$44,MATCH(O2475,'Techniciens'!$B$5:$B$44,0)),'Paramètres'!$AA$10))</f>
        <v/>
      </c>
      <c r="V2475" s="70">
        <f>IF($A2475="","",IF(OR(AC2475="Demandé",AC2475="Planifié",AC2475="Annulé"),0,N(T2475)*N(U2475)))</f>
        <v/>
      </c>
      <c r="W2475" s="70">
        <f>IF($A2475="","",SUMIFS('Mouvements stock'!$H$5:$H$3004,'Mouvements stock'!$I$5:$I$3004,$A2475,'Mouvements stock'!$C$5:$C$3004,"Sortie")-SUMIFS('Mouvements stock'!$H$5:$H$3004,'Mouvements stock'!$I$5:$I$3004,$A2475,'Mouvements stock'!$C$5:$C$3004,"Retour"))</f>
        <v/>
      </c>
      <c r="X2475" s="66" t="n"/>
      <c r="Y2475" s="66" t="n"/>
      <c r="Z2475" s="7" t="n"/>
      <c r="AA2475" s="70">
        <f>IF($A2475="","",N(V2475)+N(W2475)+N(X2475)+N(Y2475))</f>
        <v/>
      </c>
      <c r="AB2475" s="70">
        <f>IF($A2475="","",N(S2475)*'Paramètres'!$AA$9*IFERROR(INDEX('Paramètres'!$O$5:$O$7,MATCH(G2475,'Paramètres'!$N$5:$N$7,0)),0))</f>
        <v/>
      </c>
      <c r="AC2475" s="7" t="n"/>
      <c r="AD2475" s="69">
        <f>IF(OR($A2475="",Q2475=""),"",(Q2475-B2475)*24)</f>
        <v/>
      </c>
      <c r="AE2475" s="69">
        <f>IF(OR(Q2475="",R2475=""),"",(R2475-Q2475)*24)</f>
        <v/>
      </c>
      <c r="AF2475" s="77">
        <f>IF(OR($A2475="",B2475=""),"",YEAR(B2475))</f>
        <v/>
      </c>
      <c r="AG2475" s="77">
        <f>IF(OR($A2475="",B2475=""),"",MONTH(B2475))</f>
        <v/>
      </c>
    </row>
    <row r="2476">
      <c r="A2476" s="7" t="n"/>
      <c r="B2476" s="75" t="n"/>
      <c r="C2476" s="7" t="n"/>
      <c r="D2476" s="7" t="n"/>
      <c r="E2476" s="9">
        <f>IF(D2476="","",IFERROR(INDEX('Équipements'!$B$5:$B$304,MATCH(D2476,'Équipements'!$A$5:$A$304,0)),"Code inconnu"))</f>
        <v/>
      </c>
      <c r="F2476" s="9">
        <f>IF(D2476="","",IFERROR(INDEX('Équipements'!$D$5:$D$304,MATCH(D2476,'Équipements'!$A$5:$A$304,0)),""))</f>
        <v/>
      </c>
      <c r="G2476" s="9">
        <f>IF(D2476="","",IFERROR(INDEX('Équipements'!$K$5:$K$304,MATCH(D2476,'Équipements'!$A$5:$A$304,0)),""))</f>
        <v/>
      </c>
      <c r="H2476" s="7" t="n"/>
      <c r="I2476" s="7" t="n"/>
      <c r="J2476" s="7" t="n"/>
      <c r="K2476" s="7" t="n"/>
      <c r="L2476" s="7" t="n"/>
      <c r="M2476" s="7" t="n"/>
      <c r="N2476" s="7" t="n"/>
      <c r="O2476" s="7" t="n"/>
      <c r="P2476" s="65" t="n"/>
      <c r="Q2476" s="75" t="n"/>
      <c r="R2476" s="75" t="n"/>
      <c r="S2476" s="76" t="n"/>
      <c r="T2476" s="76" t="n"/>
      <c r="U2476" s="70">
        <f>IF($A2476="","",IFERROR(INDEX('Techniciens'!$F$5:$F$44,MATCH(O2476,'Techniciens'!$B$5:$B$44,0)),'Paramètres'!$AA$10))</f>
        <v/>
      </c>
      <c r="V2476" s="70">
        <f>IF($A2476="","",IF(OR(AC2476="Demandé",AC2476="Planifié",AC2476="Annulé"),0,N(T2476)*N(U2476)))</f>
        <v/>
      </c>
      <c r="W2476" s="70">
        <f>IF($A2476="","",SUMIFS('Mouvements stock'!$H$5:$H$3004,'Mouvements stock'!$I$5:$I$3004,$A2476,'Mouvements stock'!$C$5:$C$3004,"Sortie")-SUMIFS('Mouvements stock'!$H$5:$H$3004,'Mouvements stock'!$I$5:$I$3004,$A2476,'Mouvements stock'!$C$5:$C$3004,"Retour"))</f>
        <v/>
      </c>
      <c r="X2476" s="66" t="n"/>
      <c r="Y2476" s="66" t="n"/>
      <c r="Z2476" s="7" t="n"/>
      <c r="AA2476" s="70">
        <f>IF($A2476="","",N(V2476)+N(W2476)+N(X2476)+N(Y2476))</f>
        <v/>
      </c>
      <c r="AB2476" s="70">
        <f>IF($A2476="","",N(S2476)*'Paramètres'!$AA$9*IFERROR(INDEX('Paramètres'!$O$5:$O$7,MATCH(G2476,'Paramètres'!$N$5:$N$7,0)),0))</f>
        <v/>
      </c>
      <c r="AC2476" s="7" t="n"/>
      <c r="AD2476" s="69">
        <f>IF(OR($A2476="",Q2476=""),"",(Q2476-B2476)*24)</f>
        <v/>
      </c>
      <c r="AE2476" s="69">
        <f>IF(OR(Q2476="",R2476=""),"",(R2476-Q2476)*24)</f>
        <v/>
      </c>
      <c r="AF2476" s="77">
        <f>IF(OR($A2476="",B2476=""),"",YEAR(B2476))</f>
        <v/>
      </c>
      <c r="AG2476" s="77">
        <f>IF(OR($A2476="",B2476=""),"",MONTH(B2476))</f>
        <v/>
      </c>
    </row>
    <row r="2477">
      <c r="A2477" s="7" t="n"/>
      <c r="B2477" s="75" t="n"/>
      <c r="C2477" s="7" t="n"/>
      <c r="D2477" s="7" t="n"/>
      <c r="E2477" s="9">
        <f>IF(D2477="","",IFERROR(INDEX('Équipements'!$B$5:$B$304,MATCH(D2477,'Équipements'!$A$5:$A$304,0)),"Code inconnu"))</f>
        <v/>
      </c>
      <c r="F2477" s="9">
        <f>IF(D2477="","",IFERROR(INDEX('Équipements'!$D$5:$D$304,MATCH(D2477,'Équipements'!$A$5:$A$304,0)),""))</f>
        <v/>
      </c>
      <c r="G2477" s="9">
        <f>IF(D2477="","",IFERROR(INDEX('Équipements'!$K$5:$K$304,MATCH(D2477,'Équipements'!$A$5:$A$304,0)),""))</f>
        <v/>
      </c>
      <c r="H2477" s="7" t="n"/>
      <c r="I2477" s="7" t="n"/>
      <c r="J2477" s="7" t="n"/>
      <c r="K2477" s="7" t="n"/>
      <c r="L2477" s="7" t="n"/>
      <c r="M2477" s="7" t="n"/>
      <c r="N2477" s="7" t="n"/>
      <c r="O2477" s="7" t="n"/>
      <c r="P2477" s="65" t="n"/>
      <c r="Q2477" s="75" t="n"/>
      <c r="R2477" s="75" t="n"/>
      <c r="S2477" s="76" t="n"/>
      <c r="T2477" s="76" t="n"/>
      <c r="U2477" s="70">
        <f>IF($A2477="","",IFERROR(INDEX('Techniciens'!$F$5:$F$44,MATCH(O2477,'Techniciens'!$B$5:$B$44,0)),'Paramètres'!$AA$10))</f>
        <v/>
      </c>
      <c r="V2477" s="70">
        <f>IF($A2477="","",IF(OR(AC2477="Demandé",AC2477="Planifié",AC2477="Annulé"),0,N(T2477)*N(U2477)))</f>
        <v/>
      </c>
      <c r="W2477" s="70">
        <f>IF($A2477="","",SUMIFS('Mouvements stock'!$H$5:$H$3004,'Mouvements stock'!$I$5:$I$3004,$A2477,'Mouvements stock'!$C$5:$C$3004,"Sortie")-SUMIFS('Mouvements stock'!$H$5:$H$3004,'Mouvements stock'!$I$5:$I$3004,$A2477,'Mouvements stock'!$C$5:$C$3004,"Retour"))</f>
        <v/>
      </c>
      <c r="X2477" s="66" t="n"/>
      <c r="Y2477" s="66" t="n"/>
      <c r="Z2477" s="7" t="n"/>
      <c r="AA2477" s="70">
        <f>IF($A2477="","",N(V2477)+N(W2477)+N(X2477)+N(Y2477))</f>
        <v/>
      </c>
      <c r="AB2477" s="70">
        <f>IF($A2477="","",N(S2477)*'Paramètres'!$AA$9*IFERROR(INDEX('Paramètres'!$O$5:$O$7,MATCH(G2477,'Paramètres'!$N$5:$N$7,0)),0))</f>
        <v/>
      </c>
      <c r="AC2477" s="7" t="n"/>
      <c r="AD2477" s="69">
        <f>IF(OR($A2477="",Q2477=""),"",(Q2477-B2477)*24)</f>
        <v/>
      </c>
      <c r="AE2477" s="69">
        <f>IF(OR(Q2477="",R2477=""),"",(R2477-Q2477)*24)</f>
        <v/>
      </c>
      <c r="AF2477" s="77">
        <f>IF(OR($A2477="",B2477=""),"",YEAR(B2477))</f>
        <v/>
      </c>
      <c r="AG2477" s="77">
        <f>IF(OR($A2477="",B2477=""),"",MONTH(B2477))</f>
        <v/>
      </c>
    </row>
    <row r="2478">
      <c r="A2478" s="7" t="n"/>
      <c r="B2478" s="75" t="n"/>
      <c r="C2478" s="7" t="n"/>
      <c r="D2478" s="7" t="n"/>
      <c r="E2478" s="9">
        <f>IF(D2478="","",IFERROR(INDEX('Équipements'!$B$5:$B$304,MATCH(D2478,'Équipements'!$A$5:$A$304,0)),"Code inconnu"))</f>
        <v/>
      </c>
      <c r="F2478" s="9">
        <f>IF(D2478="","",IFERROR(INDEX('Équipements'!$D$5:$D$304,MATCH(D2478,'Équipements'!$A$5:$A$304,0)),""))</f>
        <v/>
      </c>
      <c r="G2478" s="9">
        <f>IF(D2478="","",IFERROR(INDEX('Équipements'!$K$5:$K$304,MATCH(D2478,'Équipements'!$A$5:$A$304,0)),""))</f>
        <v/>
      </c>
      <c r="H2478" s="7" t="n"/>
      <c r="I2478" s="7" t="n"/>
      <c r="J2478" s="7" t="n"/>
      <c r="K2478" s="7" t="n"/>
      <c r="L2478" s="7" t="n"/>
      <c r="M2478" s="7" t="n"/>
      <c r="N2478" s="7" t="n"/>
      <c r="O2478" s="7" t="n"/>
      <c r="P2478" s="65" t="n"/>
      <c r="Q2478" s="75" t="n"/>
      <c r="R2478" s="75" t="n"/>
      <c r="S2478" s="76" t="n"/>
      <c r="T2478" s="76" t="n"/>
      <c r="U2478" s="70">
        <f>IF($A2478="","",IFERROR(INDEX('Techniciens'!$F$5:$F$44,MATCH(O2478,'Techniciens'!$B$5:$B$44,0)),'Paramètres'!$AA$10))</f>
        <v/>
      </c>
      <c r="V2478" s="70">
        <f>IF($A2478="","",IF(OR(AC2478="Demandé",AC2478="Planifié",AC2478="Annulé"),0,N(T2478)*N(U2478)))</f>
        <v/>
      </c>
      <c r="W2478" s="70">
        <f>IF($A2478="","",SUMIFS('Mouvements stock'!$H$5:$H$3004,'Mouvements stock'!$I$5:$I$3004,$A2478,'Mouvements stock'!$C$5:$C$3004,"Sortie")-SUMIFS('Mouvements stock'!$H$5:$H$3004,'Mouvements stock'!$I$5:$I$3004,$A2478,'Mouvements stock'!$C$5:$C$3004,"Retour"))</f>
        <v/>
      </c>
      <c r="X2478" s="66" t="n"/>
      <c r="Y2478" s="66" t="n"/>
      <c r="Z2478" s="7" t="n"/>
      <c r="AA2478" s="70">
        <f>IF($A2478="","",N(V2478)+N(W2478)+N(X2478)+N(Y2478))</f>
        <v/>
      </c>
      <c r="AB2478" s="70">
        <f>IF($A2478="","",N(S2478)*'Paramètres'!$AA$9*IFERROR(INDEX('Paramètres'!$O$5:$O$7,MATCH(G2478,'Paramètres'!$N$5:$N$7,0)),0))</f>
        <v/>
      </c>
      <c r="AC2478" s="7" t="n"/>
      <c r="AD2478" s="69">
        <f>IF(OR($A2478="",Q2478=""),"",(Q2478-B2478)*24)</f>
        <v/>
      </c>
      <c r="AE2478" s="69">
        <f>IF(OR(Q2478="",R2478=""),"",(R2478-Q2478)*24)</f>
        <v/>
      </c>
      <c r="AF2478" s="77">
        <f>IF(OR($A2478="",B2478=""),"",YEAR(B2478))</f>
        <v/>
      </c>
      <c r="AG2478" s="77">
        <f>IF(OR($A2478="",B2478=""),"",MONTH(B2478))</f>
        <v/>
      </c>
    </row>
    <row r="2479">
      <c r="A2479" s="7" t="n"/>
      <c r="B2479" s="75" t="n"/>
      <c r="C2479" s="7" t="n"/>
      <c r="D2479" s="7" t="n"/>
      <c r="E2479" s="9">
        <f>IF(D2479="","",IFERROR(INDEX('Équipements'!$B$5:$B$304,MATCH(D2479,'Équipements'!$A$5:$A$304,0)),"Code inconnu"))</f>
        <v/>
      </c>
      <c r="F2479" s="9">
        <f>IF(D2479="","",IFERROR(INDEX('Équipements'!$D$5:$D$304,MATCH(D2479,'Équipements'!$A$5:$A$304,0)),""))</f>
        <v/>
      </c>
      <c r="G2479" s="9">
        <f>IF(D2479="","",IFERROR(INDEX('Équipements'!$K$5:$K$304,MATCH(D2479,'Équipements'!$A$5:$A$304,0)),""))</f>
        <v/>
      </c>
      <c r="H2479" s="7" t="n"/>
      <c r="I2479" s="7" t="n"/>
      <c r="J2479" s="7" t="n"/>
      <c r="K2479" s="7" t="n"/>
      <c r="L2479" s="7" t="n"/>
      <c r="M2479" s="7" t="n"/>
      <c r="N2479" s="7" t="n"/>
      <c r="O2479" s="7" t="n"/>
      <c r="P2479" s="65" t="n"/>
      <c r="Q2479" s="75" t="n"/>
      <c r="R2479" s="75" t="n"/>
      <c r="S2479" s="76" t="n"/>
      <c r="T2479" s="76" t="n"/>
      <c r="U2479" s="70">
        <f>IF($A2479="","",IFERROR(INDEX('Techniciens'!$F$5:$F$44,MATCH(O2479,'Techniciens'!$B$5:$B$44,0)),'Paramètres'!$AA$10))</f>
        <v/>
      </c>
      <c r="V2479" s="70">
        <f>IF($A2479="","",IF(OR(AC2479="Demandé",AC2479="Planifié",AC2479="Annulé"),0,N(T2479)*N(U2479)))</f>
        <v/>
      </c>
      <c r="W2479" s="70">
        <f>IF($A2479="","",SUMIFS('Mouvements stock'!$H$5:$H$3004,'Mouvements stock'!$I$5:$I$3004,$A2479,'Mouvements stock'!$C$5:$C$3004,"Sortie")-SUMIFS('Mouvements stock'!$H$5:$H$3004,'Mouvements stock'!$I$5:$I$3004,$A2479,'Mouvements stock'!$C$5:$C$3004,"Retour"))</f>
        <v/>
      </c>
      <c r="X2479" s="66" t="n"/>
      <c r="Y2479" s="66" t="n"/>
      <c r="Z2479" s="7" t="n"/>
      <c r="AA2479" s="70">
        <f>IF($A2479="","",N(V2479)+N(W2479)+N(X2479)+N(Y2479))</f>
        <v/>
      </c>
      <c r="AB2479" s="70">
        <f>IF($A2479="","",N(S2479)*'Paramètres'!$AA$9*IFERROR(INDEX('Paramètres'!$O$5:$O$7,MATCH(G2479,'Paramètres'!$N$5:$N$7,0)),0))</f>
        <v/>
      </c>
      <c r="AC2479" s="7" t="n"/>
      <c r="AD2479" s="69">
        <f>IF(OR($A2479="",Q2479=""),"",(Q2479-B2479)*24)</f>
        <v/>
      </c>
      <c r="AE2479" s="69">
        <f>IF(OR(Q2479="",R2479=""),"",(R2479-Q2479)*24)</f>
        <v/>
      </c>
      <c r="AF2479" s="77">
        <f>IF(OR($A2479="",B2479=""),"",YEAR(B2479))</f>
        <v/>
      </c>
      <c r="AG2479" s="77">
        <f>IF(OR($A2479="",B2479=""),"",MONTH(B2479))</f>
        <v/>
      </c>
    </row>
    <row r="2480">
      <c r="A2480" s="7" t="n"/>
      <c r="B2480" s="75" t="n"/>
      <c r="C2480" s="7" t="n"/>
      <c r="D2480" s="7" t="n"/>
      <c r="E2480" s="9">
        <f>IF(D2480="","",IFERROR(INDEX('Équipements'!$B$5:$B$304,MATCH(D2480,'Équipements'!$A$5:$A$304,0)),"Code inconnu"))</f>
        <v/>
      </c>
      <c r="F2480" s="9">
        <f>IF(D2480="","",IFERROR(INDEX('Équipements'!$D$5:$D$304,MATCH(D2480,'Équipements'!$A$5:$A$304,0)),""))</f>
        <v/>
      </c>
      <c r="G2480" s="9">
        <f>IF(D2480="","",IFERROR(INDEX('Équipements'!$K$5:$K$304,MATCH(D2480,'Équipements'!$A$5:$A$304,0)),""))</f>
        <v/>
      </c>
      <c r="H2480" s="7" t="n"/>
      <c r="I2480" s="7" t="n"/>
      <c r="J2480" s="7" t="n"/>
      <c r="K2480" s="7" t="n"/>
      <c r="L2480" s="7" t="n"/>
      <c r="M2480" s="7" t="n"/>
      <c r="N2480" s="7" t="n"/>
      <c r="O2480" s="7" t="n"/>
      <c r="P2480" s="65" t="n"/>
      <c r="Q2480" s="75" t="n"/>
      <c r="R2480" s="75" t="n"/>
      <c r="S2480" s="76" t="n"/>
      <c r="T2480" s="76" t="n"/>
      <c r="U2480" s="70">
        <f>IF($A2480="","",IFERROR(INDEX('Techniciens'!$F$5:$F$44,MATCH(O2480,'Techniciens'!$B$5:$B$44,0)),'Paramètres'!$AA$10))</f>
        <v/>
      </c>
      <c r="V2480" s="70">
        <f>IF($A2480="","",IF(OR(AC2480="Demandé",AC2480="Planifié",AC2480="Annulé"),0,N(T2480)*N(U2480)))</f>
        <v/>
      </c>
      <c r="W2480" s="70">
        <f>IF($A2480="","",SUMIFS('Mouvements stock'!$H$5:$H$3004,'Mouvements stock'!$I$5:$I$3004,$A2480,'Mouvements stock'!$C$5:$C$3004,"Sortie")-SUMIFS('Mouvements stock'!$H$5:$H$3004,'Mouvements stock'!$I$5:$I$3004,$A2480,'Mouvements stock'!$C$5:$C$3004,"Retour"))</f>
        <v/>
      </c>
      <c r="X2480" s="66" t="n"/>
      <c r="Y2480" s="66" t="n"/>
      <c r="Z2480" s="7" t="n"/>
      <c r="AA2480" s="70">
        <f>IF($A2480="","",N(V2480)+N(W2480)+N(X2480)+N(Y2480))</f>
        <v/>
      </c>
      <c r="AB2480" s="70">
        <f>IF($A2480="","",N(S2480)*'Paramètres'!$AA$9*IFERROR(INDEX('Paramètres'!$O$5:$O$7,MATCH(G2480,'Paramètres'!$N$5:$N$7,0)),0))</f>
        <v/>
      </c>
      <c r="AC2480" s="7" t="n"/>
      <c r="AD2480" s="69">
        <f>IF(OR($A2480="",Q2480=""),"",(Q2480-B2480)*24)</f>
        <v/>
      </c>
      <c r="AE2480" s="69">
        <f>IF(OR(Q2480="",R2480=""),"",(R2480-Q2480)*24)</f>
        <v/>
      </c>
      <c r="AF2480" s="77">
        <f>IF(OR($A2480="",B2480=""),"",YEAR(B2480))</f>
        <v/>
      </c>
      <c r="AG2480" s="77">
        <f>IF(OR($A2480="",B2480=""),"",MONTH(B2480))</f>
        <v/>
      </c>
    </row>
    <row r="2481">
      <c r="A2481" s="7" t="n"/>
      <c r="B2481" s="75" t="n"/>
      <c r="C2481" s="7" t="n"/>
      <c r="D2481" s="7" t="n"/>
      <c r="E2481" s="9">
        <f>IF(D2481="","",IFERROR(INDEX('Équipements'!$B$5:$B$304,MATCH(D2481,'Équipements'!$A$5:$A$304,0)),"Code inconnu"))</f>
        <v/>
      </c>
      <c r="F2481" s="9">
        <f>IF(D2481="","",IFERROR(INDEX('Équipements'!$D$5:$D$304,MATCH(D2481,'Équipements'!$A$5:$A$304,0)),""))</f>
        <v/>
      </c>
      <c r="G2481" s="9">
        <f>IF(D2481="","",IFERROR(INDEX('Équipements'!$K$5:$K$304,MATCH(D2481,'Équipements'!$A$5:$A$304,0)),""))</f>
        <v/>
      </c>
      <c r="H2481" s="7" t="n"/>
      <c r="I2481" s="7" t="n"/>
      <c r="J2481" s="7" t="n"/>
      <c r="K2481" s="7" t="n"/>
      <c r="L2481" s="7" t="n"/>
      <c r="M2481" s="7" t="n"/>
      <c r="N2481" s="7" t="n"/>
      <c r="O2481" s="7" t="n"/>
      <c r="P2481" s="65" t="n"/>
      <c r="Q2481" s="75" t="n"/>
      <c r="R2481" s="75" t="n"/>
      <c r="S2481" s="76" t="n"/>
      <c r="T2481" s="76" t="n"/>
      <c r="U2481" s="70">
        <f>IF($A2481="","",IFERROR(INDEX('Techniciens'!$F$5:$F$44,MATCH(O2481,'Techniciens'!$B$5:$B$44,0)),'Paramètres'!$AA$10))</f>
        <v/>
      </c>
      <c r="V2481" s="70">
        <f>IF($A2481="","",IF(OR(AC2481="Demandé",AC2481="Planifié",AC2481="Annulé"),0,N(T2481)*N(U2481)))</f>
        <v/>
      </c>
      <c r="W2481" s="70">
        <f>IF($A2481="","",SUMIFS('Mouvements stock'!$H$5:$H$3004,'Mouvements stock'!$I$5:$I$3004,$A2481,'Mouvements stock'!$C$5:$C$3004,"Sortie")-SUMIFS('Mouvements stock'!$H$5:$H$3004,'Mouvements stock'!$I$5:$I$3004,$A2481,'Mouvements stock'!$C$5:$C$3004,"Retour"))</f>
        <v/>
      </c>
      <c r="X2481" s="66" t="n"/>
      <c r="Y2481" s="66" t="n"/>
      <c r="Z2481" s="7" t="n"/>
      <c r="AA2481" s="70">
        <f>IF($A2481="","",N(V2481)+N(W2481)+N(X2481)+N(Y2481))</f>
        <v/>
      </c>
      <c r="AB2481" s="70">
        <f>IF($A2481="","",N(S2481)*'Paramètres'!$AA$9*IFERROR(INDEX('Paramètres'!$O$5:$O$7,MATCH(G2481,'Paramètres'!$N$5:$N$7,0)),0))</f>
        <v/>
      </c>
      <c r="AC2481" s="7" t="n"/>
      <c r="AD2481" s="69">
        <f>IF(OR($A2481="",Q2481=""),"",(Q2481-B2481)*24)</f>
        <v/>
      </c>
      <c r="AE2481" s="69">
        <f>IF(OR(Q2481="",R2481=""),"",(R2481-Q2481)*24)</f>
        <v/>
      </c>
      <c r="AF2481" s="77">
        <f>IF(OR($A2481="",B2481=""),"",YEAR(B2481))</f>
        <v/>
      </c>
      <c r="AG2481" s="77">
        <f>IF(OR($A2481="",B2481=""),"",MONTH(B2481))</f>
        <v/>
      </c>
    </row>
    <row r="2482">
      <c r="A2482" s="7" t="n"/>
      <c r="B2482" s="75" t="n"/>
      <c r="C2482" s="7" t="n"/>
      <c r="D2482" s="7" t="n"/>
      <c r="E2482" s="9">
        <f>IF(D2482="","",IFERROR(INDEX('Équipements'!$B$5:$B$304,MATCH(D2482,'Équipements'!$A$5:$A$304,0)),"Code inconnu"))</f>
        <v/>
      </c>
      <c r="F2482" s="9">
        <f>IF(D2482="","",IFERROR(INDEX('Équipements'!$D$5:$D$304,MATCH(D2482,'Équipements'!$A$5:$A$304,0)),""))</f>
        <v/>
      </c>
      <c r="G2482" s="9">
        <f>IF(D2482="","",IFERROR(INDEX('Équipements'!$K$5:$K$304,MATCH(D2482,'Équipements'!$A$5:$A$304,0)),""))</f>
        <v/>
      </c>
      <c r="H2482" s="7" t="n"/>
      <c r="I2482" s="7" t="n"/>
      <c r="J2482" s="7" t="n"/>
      <c r="K2482" s="7" t="n"/>
      <c r="L2482" s="7" t="n"/>
      <c r="M2482" s="7" t="n"/>
      <c r="N2482" s="7" t="n"/>
      <c r="O2482" s="7" t="n"/>
      <c r="P2482" s="65" t="n"/>
      <c r="Q2482" s="75" t="n"/>
      <c r="R2482" s="75" t="n"/>
      <c r="S2482" s="76" t="n"/>
      <c r="T2482" s="76" t="n"/>
      <c r="U2482" s="70">
        <f>IF($A2482="","",IFERROR(INDEX('Techniciens'!$F$5:$F$44,MATCH(O2482,'Techniciens'!$B$5:$B$44,0)),'Paramètres'!$AA$10))</f>
        <v/>
      </c>
      <c r="V2482" s="70">
        <f>IF($A2482="","",IF(OR(AC2482="Demandé",AC2482="Planifié",AC2482="Annulé"),0,N(T2482)*N(U2482)))</f>
        <v/>
      </c>
      <c r="W2482" s="70">
        <f>IF($A2482="","",SUMIFS('Mouvements stock'!$H$5:$H$3004,'Mouvements stock'!$I$5:$I$3004,$A2482,'Mouvements stock'!$C$5:$C$3004,"Sortie")-SUMIFS('Mouvements stock'!$H$5:$H$3004,'Mouvements stock'!$I$5:$I$3004,$A2482,'Mouvements stock'!$C$5:$C$3004,"Retour"))</f>
        <v/>
      </c>
      <c r="X2482" s="66" t="n"/>
      <c r="Y2482" s="66" t="n"/>
      <c r="Z2482" s="7" t="n"/>
      <c r="AA2482" s="70">
        <f>IF($A2482="","",N(V2482)+N(W2482)+N(X2482)+N(Y2482))</f>
        <v/>
      </c>
      <c r="AB2482" s="70">
        <f>IF($A2482="","",N(S2482)*'Paramètres'!$AA$9*IFERROR(INDEX('Paramètres'!$O$5:$O$7,MATCH(G2482,'Paramètres'!$N$5:$N$7,0)),0))</f>
        <v/>
      </c>
      <c r="AC2482" s="7" t="n"/>
      <c r="AD2482" s="69">
        <f>IF(OR($A2482="",Q2482=""),"",(Q2482-B2482)*24)</f>
        <v/>
      </c>
      <c r="AE2482" s="69">
        <f>IF(OR(Q2482="",R2482=""),"",(R2482-Q2482)*24)</f>
        <v/>
      </c>
      <c r="AF2482" s="77">
        <f>IF(OR($A2482="",B2482=""),"",YEAR(B2482))</f>
        <v/>
      </c>
      <c r="AG2482" s="77">
        <f>IF(OR($A2482="",B2482=""),"",MONTH(B2482))</f>
        <v/>
      </c>
    </row>
    <row r="2483">
      <c r="A2483" s="7" t="n"/>
      <c r="B2483" s="75" t="n"/>
      <c r="C2483" s="7" t="n"/>
      <c r="D2483" s="7" t="n"/>
      <c r="E2483" s="9">
        <f>IF(D2483="","",IFERROR(INDEX('Équipements'!$B$5:$B$304,MATCH(D2483,'Équipements'!$A$5:$A$304,0)),"Code inconnu"))</f>
        <v/>
      </c>
      <c r="F2483" s="9">
        <f>IF(D2483="","",IFERROR(INDEX('Équipements'!$D$5:$D$304,MATCH(D2483,'Équipements'!$A$5:$A$304,0)),""))</f>
        <v/>
      </c>
      <c r="G2483" s="9">
        <f>IF(D2483="","",IFERROR(INDEX('Équipements'!$K$5:$K$304,MATCH(D2483,'Équipements'!$A$5:$A$304,0)),""))</f>
        <v/>
      </c>
      <c r="H2483" s="7" t="n"/>
      <c r="I2483" s="7" t="n"/>
      <c r="J2483" s="7" t="n"/>
      <c r="K2483" s="7" t="n"/>
      <c r="L2483" s="7" t="n"/>
      <c r="M2483" s="7" t="n"/>
      <c r="N2483" s="7" t="n"/>
      <c r="O2483" s="7" t="n"/>
      <c r="P2483" s="65" t="n"/>
      <c r="Q2483" s="75" t="n"/>
      <c r="R2483" s="75" t="n"/>
      <c r="S2483" s="76" t="n"/>
      <c r="T2483" s="76" t="n"/>
      <c r="U2483" s="70">
        <f>IF($A2483="","",IFERROR(INDEX('Techniciens'!$F$5:$F$44,MATCH(O2483,'Techniciens'!$B$5:$B$44,0)),'Paramètres'!$AA$10))</f>
        <v/>
      </c>
      <c r="V2483" s="70">
        <f>IF($A2483="","",IF(OR(AC2483="Demandé",AC2483="Planifié",AC2483="Annulé"),0,N(T2483)*N(U2483)))</f>
        <v/>
      </c>
      <c r="W2483" s="70">
        <f>IF($A2483="","",SUMIFS('Mouvements stock'!$H$5:$H$3004,'Mouvements stock'!$I$5:$I$3004,$A2483,'Mouvements stock'!$C$5:$C$3004,"Sortie")-SUMIFS('Mouvements stock'!$H$5:$H$3004,'Mouvements stock'!$I$5:$I$3004,$A2483,'Mouvements stock'!$C$5:$C$3004,"Retour"))</f>
        <v/>
      </c>
      <c r="X2483" s="66" t="n"/>
      <c r="Y2483" s="66" t="n"/>
      <c r="Z2483" s="7" t="n"/>
      <c r="AA2483" s="70">
        <f>IF($A2483="","",N(V2483)+N(W2483)+N(X2483)+N(Y2483))</f>
        <v/>
      </c>
      <c r="AB2483" s="70">
        <f>IF($A2483="","",N(S2483)*'Paramètres'!$AA$9*IFERROR(INDEX('Paramètres'!$O$5:$O$7,MATCH(G2483,'Paramètres'!$N$5:$N$7,0)),0))</f>
        <v/>
      </c>
      <c r="AC2483" s="7" t="n"/>
      <c r="AD2483" s="69">
        <f>IF(OR($A2483="",Q2483=""),"",(Q2483-B2483)*24)</f>
        <v/>
      </c>
      <c r="AE2483" s="69">
        <f>IF(OR(Q2483="",R2483=""),"",(R2483-Q2483)*24)</f>
        <v/>
      </c>
      <c r="AF2483" s="77">
        <f>IF(OR($A2483="",B2483=""),"",YEAR(B2483))</f>
        <v/>
      </c>
      <c r="AG2483" s="77">
        <f>IF(OR($A2483="",B2483=""),"",MONTH(B2483))</f>
        <v/>
      </c>
    </row>
    <row r="2484">
      <c r="A2484" s="7" t="n"/>
      <c r="B2484" s="75" t="n"/>
      <c r="C2484" s="7" t="n"/>
      <c r="D2484" s="7" t="n"/>
      <c r="E2484" s="9">
        <f>IF(D2484="","",IFERROR(INDEX('Équipements'!$B$5:$B$304,MATCH(D2484,'Équipements'!$A$5:$A$304,0)),"Code inconnu"))</f>
        <v/>
      </c>
      <c r="F2484" s="9">
        <f>IF(D2484="","",IFERROR(INDEX('Équipements'!$D$5:$D$304,MATCH(D2484,'Équipements'!$A$5:$A$304,0)),""))</f>
        <v/>
      </c>
      <c r="G2484" s="9">
        <f>IF(D2484="","",IFERROR(INDEX('Équipements'!$K$5:$K$304,MATCH(D2484,'Équipements'!$A$5:$A$304,0)),""))</f>
        <v/>
      </c>
      <c r="H2484" s="7" t="n"/>
      <c r="I2484" s="7" t="n"/>
      <c r="J2484" s="7" t="n"/>
      <c r="K2484" s="7" t="n"/>
      <c r="L2484" s="7" t="n"/>
      <c r="M2484" s="7" t="n"/>
      <c r="N2484" s="7" t="n"/>
      <c r="O2484" s="7" t="n"/>
      <c r="P2484" s="65" t="n"/>
      <c r="Q2484" s="75" t="n"/>
      <c r="R2484" s="75" t="n"/>
      <c r="S2484" s="76" t="n"/>
      <c r="T2484" s="76" t="n"/>
      <c r="U2484" s="70">
        <f>IF($A2484="","",IFERROR(INDEX('Techniciens'!$F$5:$F$44,MATCH(O2484,'Techniciens'!$B$5:$B$44,0)),'Paramètres'!$AA$10))</f>
        <v/>
      </c>
      <c r="V2484" s="70">
        <f>IF($A2484="","",IF(OR(AC2484="Demandé",AC2484="Planifié",AC2484="Annulé"),0,N(T2484)*N(U2484)))</f>
        <v/>
      </c>
      <c r="W2484" s="70">
        <f>IF($A2484="","",SUMIFS('Mouvements stock'!$H$5:$H$3004,'Mouvements stock'!$I$5:$I$3004,$A2484,'Mouvements stock'!$C$5:$C$3004,"Sortie")-SUMIFS('Mouvements stock'!$H$5:$H$3004,'Mouvements stock'!$I$5:$I$3004,$A2484,'Mouvements stock'!$C$5:$C$3004,"Retour"))</f>
        <v/>
      </c>
      <c r="X2484" s="66" t="n"/>
      <c r="Y2484" s="66" t="n"/>
      <c r="Z2484" s="7" t="n"/>
      <c r="AA2484" s="70">
        <f>IF($A2484="","",N(V2484)+N(W2484)+N(X2484)+N(Y2484))</f>
        <v/>
      </c>
      <c r="AB2484" s="70">
        <f>IF($A2484="","",N(S2484)*'Paramètres'!$AA$9*IFERROR(INDEX('Paramètres'!$O$5:$O$7,MATCH(G2484,'Paramètres'!$N$5:$N$7,0)),0))</f>
        <v/>
      </c>
      <c r="AC2484" s="7" t="n"/>
      <c r="AD2484" s="69">
        <f>IF(OR($A2484="",Q2484=""),"",(Q2484-B2484)*24)</f>
        <v/>
      </c>
      <c r="AE2484" s="69">
        <f>IF(OR(Q2484="",R2484=""),"",(R2484-Q2484)*24)</f>
        <v/>
      </c>
      <c r="AF2484" s="77">
        <f>IF(OR($A2484="",B2484=""),"",YEAR(B2484))</f>
        <v/>
      </c>
      <c r="AG2484" s="77">
        <f>IF(OR($A2484="",B2484=""),"",MONTH(B2484))</f>
        <v/>
      </c>
    </row>
    <row r="2485">
      <c r="A2485" s="7" t="n"/>
      <c r="B2485" s="75" t="n"/>
      <c r="C2485" s="7" t="n"/>
      <c r="D2485" s="7" t="n"/>
      <c r="E2485" s="9">
        <f>IF(D2485="","",IFERROR(INDEX('Équipements'!$B$5:$B$304,MATCH(D2485,'Équipements'!$A$5:$A$304,0)),"Code inconnu"))</f>
        <v/>
      </c>
      <c r="F2485" s="9">
        <f>IF(D2485="","",IFERROR(INDEX('Équipements'!$D$5:$D$304,MATCH(D2485,'Équipements'!$A$5:$A$304,0)),""))</f>
        <v/>
      </c>
      <c r="G2485" s="9">
        <f>IF(D2485="","",IFERROR(INDEX('Équipements'!$K$5:$K$304,MATCH(D2485,'Équipements'!$A$5:$A$304,0)),""))</f>
        <v/>
      </c>
      <c r="H2485" s="7" t="n"/>
      <c r="I2485" s="7" t="n"/>
      <c r="J2485" s="7" t="n"/>
      <c r="K2485" s="7" t="n"/>
      <c r="L2485" s="7" t="n"/>
      <c r="M2485" s="7" t="n"/>
      <c r="N2485" s="7" t="n"/>
      <c r="O2485" s="7" t="n"/>
      <c r="P2485" s="65" t="n"/>
      <c r="Q2485" s="75" t="n"/>
      <c r="R2485" s="75" t="n"/>
      <c r="S2485" s="76" t="n"/>
      <c r="T2485" s="76" t="n"/>
      <c r="U2485" s="70">
        <f>IF($A2485="","",IFERROR(INDEX('Techniciens'!$F$5:$F$44,MATCH(O2485,'Techniciens'!$B$5:$B$44,0)),'Paramètres'!$AA$10))</f>
        <v/>
      </c>
      <c r="V2485" s="70">
        <f>IF($A2485="","",IF(OR(AC2485="Demandé",AC2485="Planifié",AC2485="Annulé"),0,N(T2485)*N(U2485)))</f>
        <v/>
      </c>
      <c r="W2485" s="70">
        <f>IF($A2485="","",SUMIFS('Mouvements stock'!$H$5:$H$3004,'Mouvements stock'!$I$5:$I$3004,$A2485,'Mouvements stock'!$C$5:$C$3004,"Sortie")-SUMIFS('Mouvements stock'!$H$5:$H$3004,'Mouvements stock'!$I$5:$I$3004,$A2485,'Mouvements stock'!$C$5:$C$3004,"Retour"))</f>
        <v/>
      </c>
      <c r="X2485" s="66" t="n"/>
      <c r="Y2485" s="66" t="n"/>
      <c r="Z2485" s="7" t="n"/>
      <c r="AA2485" s="70">
        <f>IF($A2485="","",N(V2485)+N(W2485)+N(X2485)+N(Y2485))</f>
        <v/>
      </c>
      <c r="AB2485" s="70">
        <f>IF($A2485="","",N(S2485)*'Paramètres'!$AA$9*IFERROR(INDEX('Paramètres'!$O$5:$O$7,MATCH(G2485,'Paramètres'!$N$5:$N$7,0)),0))</f>
        <v/>
      </c>
      <c r="AC2485" s="7" t="n"/>
      <c r="AD2485" s="69">
        <f>IF(OR($A2485="",Q2485=""),"",(Q2485-B2485)*24)</f>
        <v/>
      </c>
      <c r="AE2485" s="69">
        <f>IF(OR(Q2485="",R2485=""),"",(R2485-Q2485)*24)</f>
        <v/>
      </c>
      <c r="AF2485" s="77">
        <f>IF(OR($A2485="",B2485=""),"",YEAR(B2485))</f>
        <v/>
      </c>
      <c r="AG2485" s="77">
        <f>IF(OR($A2485="",B2485=""),"",MONTH(B2485))</f>
        <v/>
      </c>
    </row>
    <row r="2486">
      <c r="A2486" s="7" t="n"/>
      <c r="B2486" s="75" t="n"/>
      <c r="C2486" s="7" t="n"/>
      <c r="D2486" s="7" t="n"/>
      <c r="E2486" s="9">
        <f>IF(D2486="","",IFERROR(INDEX('Équipements'!$B$5:$B$304,MATCH(D2486,'Équipements'!$A$5:$A$304,0)),"Code inconnu"))</f>
        <v/>
      </c>
      <c r="F2486" s="9">
        <f>IF(D2486="","",IFERROR(INDEX('Équipements'!$D$5:$D$304,MATCH(D2486,'Équipements'!$A$5:$A$304,0)),""))</f>
        <v/>
      </c>
      <c r="G2486" s="9">
        <f>IF(D2486="","",IFERROR(INDEX('Équipements'!$K$5:$K$304,MATCH(D2486,'Équipements'!$A$5:$A$304,0)),""))</f>
        <v/>
      </c>
      <c r="H2486" s="7" t="n"/>
      <c r="I2486" s="7" t="n"/>
      <c r="J2486" s="7" t="n"/>
      <c r="K2486" s="7" t="n"/>
      <c r="L2486" s="7" t="n"/>
      <c r="M2486" s="7" t="n"/>
      <c r="N2486" s="7" t="n"/>
      <c r="O2486" s="7" t="n"/>
      <c r="P2486" s="65" t="n"/>
      <c r="Q2486" s="75" t="n"/>
      <c r="R2486" s="75" t="n"/>
      <c r="S2486" s="76" t="n"/>
      <c r="T2486" s="76" t="n"/>
      <c r="U2486" s="70">
        <f>IF($A2486="","",IFERROR(INDEX('Techniciens'!$F$5:$F$44,MATCH(O2486,'Techniciens'!$B$5:$B$44,0)),'Paramètres'!$AA$10))</f>
        <v/>
      </c>
      <c r="V2486" s="70">
        <f>IF($A2486="","",IF(OR(AC2486="Demandé",AC2486="Planifié",AC2486="Annulé"),0,N(T2486)*N(U2486)))</f>
        <v/>
      </c>
      <c r="W2486" s="70">
        <f>IF($A2486="","",SUMIFS('Mouvements stock'!$H$5:$H$3004,'Mouvements stock'!$I$5:$I$3004,$A2486,'Mouvements stock'!$C$5:$C$3004,"Sortie")-SUMIFS('Mouvements stock'!$H$5:$H$3004,'Mouvements stock'!$I$5:$I$3004,$A2486,'Mouvements stock'!$C$5:$C$3004,"Retour"))</f>
        <v/>
      </c>
      <c r="X2486" s="66" t="n"/>
      <c r="Y2486" s="66" t="n"/>
      <c r="Z2486" s="7" t="n"/>
      <c r="AA2486" s="70">
        <f>IF($A2486="","",N(V2486)+N(W2486)+N(X2486)+N(Y2486))</f>
        <v/>
      </c>
      <c r="AB2486" s="70">
        <f>IF($A2486="","",N(S2486)*'Paramètres'!$AA$9*IFERROR(INDEX('Paramètres'!$O$5:$O$7,MATCH(G2486,'Paramètres'!$N$5:$N$7,0)),0))</f>
        <v/>
      </c>
      <c r="AC2486" s="7" t="n"/>
      <c r="AD2486" s="69">
        <f>IF(OR($A2486="",Q2486=""),"",(Q2486-B2486)*24)</f>
        <v/>
      </c>
      <c r="AE2486" s="69">
        <f>IF(OR(Q2486="",R2486=""),"",(R2486-Q2486)*24)</f>
        <v/>
      </c>
      <c r="AF2486" s="77">
        <f>IF(OR($A2486="",B2486=""),"",YEAR(B2486))</f>
        <v/>
      </c>
      <c r="AG2486" s="77">
        <f>IF(OR($A2486="",B2486=""),"",MONTH(B2486))</f>
        <v/>
      </c>
    </row>
    <row r="2487">
      <c r="A2487" s="7" t="n"/>
      <c r="B2487" s="75" t="n"/>
      <c r="C2487" s="7" t="n"/>
      <c r="D2487" s="7" t="n"/>
      <c r="E2487" s="9">
        <f>IF(D2487="","",IFERROR(INDEX('Équipements'!$B$5:$B$304,MATCH(D2487,'Équipements'!$A$5:$A$304,0)),"Code inconnu"))</f>
        <v/>
      </c>
      <c r="F2487" s="9">
        <f>IF(D2487="","",IFERROR(INDEX('Équipements'!$D$5:$D$304,MATCH(D2487,'Équipements'!$A$5:$A$304,0)),""))</f>
        <v/>
      </c>
      <c r="G2487" s="9">
        <f>IF(D2487="","",IFERROR(INDEX('Équipements'!$K$5:$K$304,MATCH(D2487,'Équipements'!$A$5:$A$304,0)),""))</f>
        <v/>
      </c>
      <c r="H2487" s="7" t="n"/>
      <c r="I2487" s="7" t="n"/>
      <c r="J2487" s="7" t="n"/>
      <c r="K2487" s="7" t="n"/>
      <c r="L2487" s="7" t="n"/>
      <c r="M2487" s="7" t="n"/>
      <c r="N2487" s="7" t="n"/>
      <c r="O2487" s="7" t="n"/>
      <c r="P2487" s="65" t="n"/>
      <c r="Q2487" s="75" t="n"/>
      <c r="R2487" s="75" t="n"/>
      <c r="S2487" s="76" t="n"/>
      <c r="T2487" s="76" t="n"/>
      <c r="U2487" s="70">
        <f>IF($A2487="","",IFERROR(INDEX('Techniciens'!$F$5:$F$44,MATCH(O2487,'Techniciens'!$B$5:$B$44,0)),'Paramètres'!$AA$10))</f>
        <v/>
      </c>
      <c r="V2487" s="70">
        <f>IF($A2487="","",IF(OR(AC2487="Demandé",AC2487="Planifié",AC2487="Annulé"),0,N(T2487)*N(U2487)))</f>
        <v/>
      </c>
      <c r="W2487" s="70">
        <f>IF($A2487="","",SUMIFS('Mouvements stock'!$H$5:$H$3004,'Mouvements stock'!$I$5:$I$3004,$A2487,'Mouvements stock'!$C$5:$C$3004,"Sortie")-SUMIFS('Mouvements stock'!$H$5:$H$3004,'Mouvements stock'!$I$5:$I$3004,$A2487,'Mouvements stock'!$C$5:$C$3004,"Retour"))</f>
        <v/>
      </c>
      <c r="X2487" s="66" t="n"/>
      <c r="Y2487" s="66" t="n"/>
      <c r="Z2487" s="7" t="n"/>
      <c r="AA2487" s="70">
        <f>IF($A2487="","",N(V2487)+N(W2487)+N(X2487)+N(Y2487))</f>
        <v/>
      </c>
      <c r="AB2487" s="70">
        <f>IF($A2487="","",N(S2487)*'Paramètres'!$AA$9*IFERROR(INDEX('Paramètres'!$O$5:$O$7,MATCH(G2487,'Paramètres'!$N$5:$N$7,0)),0))</f>
        <v/>
      </c>
      <c r="AC2487" s="7" t="n"/>
      <c r="AD2487" s="69">
        <f>IF(OR($A2487="",Q2487=""),"",(Q2487-B2487)*24)</f>
        <v/>
      </c>
      <c r="AE2487" s="69">
        <f>IF(OR(Q2487="",R2487=""),"",(R2487-Q2487)*24)</f>
        <v/>
      </c>
      <c r="AF2487" s="77">
        <f>IF(OR($A2487="",B2487=""),"",YEAR(B2487))</f>
        <v/>
      </c>
      <c r="AG2487" s="77">
        <f>IF(OR($A2487="",B2487=""),"",MONTH(B2487))</f>
        <v/>
      </c>
    </row>
    <row r="2488">
      <c r="A2488" s="7" t="n"/>
      <c r="B2488" s="75" t="n"/>
      <c r="C2488" s="7" t="n"/>
      <c r="D2488" s="7" t="n"/>
      <c r="E2488" s="9">
        <f>IF(D2488="","",IFERROR(INDEX('Équipements'!$B$5:$B$304,MATCH(D2488,'Équipements'!$A$5:$A$304,0)),"Code inconnu"))</f>
        <v/>
      </c>
      <c r="F2488" s="9">
        <f>IF(D2488="","",IFERROR(INDEX('Équipements'!$D$5:$D$304,MATCH(D2488,'Équipements'!$A$5:$A$304,0)),""))</f>
        <v/>
      </c>
      <c r="G2488" s="9">
        <f>IF(D2488="","",IFERROR(INDEX('Équipements'!$K$5:$K$304,MATCH(D2488,'Équipements'!$A$5:$A$304,0)),""))</f>
        <v/>
      </c>
      <c r="H2488" s="7" t="n"/>
      <c r="I2488" s="7" t="n"/>
      <c r="J2488" s="7" t="n"/>
      <c r="K2488" s="7" t="n"/>
      <c r="L2488" s="7" t="n"/>
      <c r="M2488" s="7" t="n"/>
      <c r="N2488" s="7" t="n"/>
      <c r="O2488" s="7" t="n"/>
      <c r="P2488" s="65" t="n"/>
      <c r="Q2488" s="75" t="n"/>
      <c r="R2488" s="75" t="n"/>
      <c r="S2488" s="76" t="n"/>
      <c r="T2488" s="76" t="n"/>
      <c r="U2488" s="70">
        <f>IF($A2488="","",IFERROR(INDEX('Techniciens'!$F$5:$F$44,MATCH(O2488,'Techniciens'!$B$5:$B$44,0)),'Paramètres'!$AA$10))</f>
        <v/>
      </c>
      <c r="V2488" s="70">
        <f>IF($A2488="","",IF(OR(AC2488="Demandé",AC2488="Planifié",AC2488="Annulé"),0,N(T2488)*N(U2488)))</f>
        <v/>
      </c>
      <c r="W2488" s="70">
        <f>IF($A2488="","",SUMIFS('Mouvements stock'!$H$5:$H$3004,'Mouvements stock'!$I$5:$I$3004,$A2488,'Mouvements stock'!$C$5:$C$3004,"Sortie")-SUMIFS('Mouvements stock'!$H$5:$H$3004,'Mouvements stock'!$I$5:$I$3004,$A2488,'Mouvements stock'!$C$5:$C$3004,"Retour"))</f>
        <v/>
      </c>
      <c r="X2488" s="66" t="n"/>
      <c r="Y2488" s="66" t="n"/>
      <c r="Z2488" s="7" t="n"/>
      <c r="AA2488" s="70">
        <f>IF($A2488="","",N(V2488)+N(W2488)+N(X2488)+N(Y2488))</f>
        <v/>
      </c>
      <c r="AB2488" s="70">
        <f>IF($A2488="","",N(S2488)*'Paramètres'!$AA$9*IFERROR(INDEX('Paramètres'!$O$5:$O$7,MATCH(G2488,'Paramètres'!$N$5:$N$7,0)),0))</f>
        <v/>
      </c>
      <c r="AC2488" s="7" t="n"/>
      <c r="AD2488" s="69">
        <f>IF(OR($A2488="",Q2488=""),"",(Q2488-B2488)*24)</f>
        <v/>
      </c>
      <c r="AE2488" s="69">
        <f>IF(OR(Q2488="",R2488=""),"",(R2488-Q2488)*24)</f>
        <v/>
      </c>
      <c r="AF2488" s="77">
        <f>IF(OR($A2488="",B2488=""),"",YEAR(B2488))</f>
        <v/>
      </c>
      <c r="AG2488" s="77">
        <f>IF(OR($A2488="",B2488=""),"",MONTH(B2488))</f>
        <v/>
      </c>
    </row>
    <row r="2489">
      <c r="A2489" s="7" t="n"/>
      <c r="B2489" s="75" t="n"/>
      <c r="C2489" s="7" t="n"/>
      <c r="D2489" s="7" t="n"/>
      <c r="E2489" s="9">
        <f>IF(D2489="","",IFERROR(INDEX('Équipements'!$B$5:$B$304,MATCH(D2489,'Équipements'!$A$5:$A$304,0)),"Code inconnu"))</f>
        <v/>
      </c>
      <c r="F2489" s="9">
        <f>IF(D2489="","",IFERROR(INDEX('Équipements'!$D$5:$D$304,MATCH(D2489,'Équipements'!$A$5:$A$304,0)),""))</f>
        <v/>
      </c>
      <c r="G2489" s="9">
        <f>IF(D2489="","",IFERROR(INDEX('Équipements'!$K$5:$K$304,MATCH(D2489,'Équipements'!$A$5:$A$304,0)),""))</f>
        <v/>
      </c>
      <c r="H2489" s="7" t="n"/>
      <c r="I2489" s="7" t="n"/>
      <c r="J2489" s="7" t="n"/>
      <c r="K2489" s="7" t="n"/>
      <c r="L2489" s="7" t="n"/>
      <c r="M2489" s="7" t="n"/>
      <c r="N2489" s="7" t="n"/>
      <c r="O2489" s="7" t="n"/>
      <c r="P2489" s="65" t="n"/>
      <c r="Q2489" s="75" t="n"/>
      <c r="R2489" s="75" t="n"/>
      <c r="S2489" s="76" t="n"/>
      <c r="T2489" s="76" t="n"/>
      <c r="U2489" s="70">
        <f>IF($A2489="","",IFERROR(INDEX('Techniciens'!$F$5:$F$44,MATCH(O2489,'Techniciens'!$B$5:$B$44,0)),'Paramètres'!$AA$10))</f>
        <v/>
      </c>
      <c r="V2489" s="70">
        <f>IF($A2489="","",IF(OR(AC2489="Demandé",AC2489="Planifié",AC2489="Annulé"),0,N(T2489)*N(U2489)))</f>
        <v/>
      </c>
      <c r="W2489" s="70">
        <f>IF($A2489="","",SUMIFS('Mouvements stock'!$H$5:$H$3004,'Mouvements stock'!$I$5:$I$3004,$A2489,'Mouvements stock'!$C$5:$C$3004,"Sortie")-SUMIFS('Mouvements stock'!$H$5:$H$3004,'Mouvements stock'!$I$5:$I$3004,$A2489,'Mouvements stock'!$C$5:$C$3004,"Retour"))</f>
        <v/>
      </c>
      <c r="X2489" s="66" t="n"/>
      <c r="Y2489" s="66" t="n"/>
      <c r="Z2489" s="7" t="n"/>
      <c r="AA2489" s="70">
        <f>IF($A2489="","",N(V2489)+N(W2489)+N(X2489)+N(Y2489))</f>
        <v/>
      </c>
      <c r="AB2489" s="70">
        <f>IF($A2489="","",N(S2489)*'Paramètres'!$AA$9*IFERROR(INDEX('Paramètres'!$O$5:$O$7,MATCH(G2489,'Paramètres'!$N$5:$N$7,0)),0))</f>
        <v/>
      </c>
      <c r="AC2489" s="7" t="n"/>
      <c r="AD2489" s="69">
        <f>IF(OR($A2489="",Q2489=""),"",(Q2489-B2489)*24)</f>
        <v/>
      </c>
      <c r="AE2489" s="69">
        <f>IF(OR(Q2489="",R2489=""),"",(R2489-Q2489)*24)</f>
        <v/>
      </c>
      <c r="AF2489" s="77">
        <f>IF(OR($A2489="",B2489=""),"",YEAR(B2489))</f>
        <v/>
      </c>
      <c r="AG2489" s="77">
        <f>IF(OR($A2489="",B2489=""),"",MONTH(B2489))</f>
        <v/>
      </c>
    </row>
    <row r="2490">
      <c r="A2490" s="7" t="n"/>
      <c r="B2490" s="75" t="n"/>
      <c r="C2490" s="7" t="n"/>
      <c r="D2490" s="7" t="n"/>
      <c r="E2490" s="9">
        <f>IF(D2490="","",IFERROR(INDEX('Équipements'!$B$5:$B$304,MATCH(D2490,'Équipements'!$A$5:$A$304,0)),"Code inconnu"))</f>
        <v/>
      </c>
      <c r="F2490" s="9">
        <f>IF(D2490="","",IFERROR(INDEX('Équipements'!$D$5:$D$304,MATCH(D2490,'Équipements'!$A$5:$A$304,0)),""))</f>
        <v/>
      </c>
      <c r="G2490" s="9">
        <f>IF(D2490="","",IFERROR(INDEX('Équipements'!$K$5:$K$304,MATCH(D2490,'Équipements'!$A$5:$A$304,0)),""))</f>
        <v/>
      </c>
      <c r="H2490" s="7" t="n"/>
      <c r="I2490" s="7" t="n"/>
      <c r="J2490" s="7" t="n"/>
      <c r="K2490" s="7" t="n"/>
      <c r="L2490" s="7" t="n"/>
      <c r="M2490" s="7" t="n"/>
      <c r="N2490" s="7" t="n"/>
      <c r="O2490" s="7" t="n"/>
      <c r="P2490" s="65" t="n"/>
      <c r="Q2490" s="75" t="n"/>
      <c r="R2490" s="75" t="n"/>
      <c r="S2490" s="76" t="n"/>
      <c r="T2490" s="76" t="n"/>
      <c r="U2490" s="70">
        <f>IF($A2490="","",IFERROR(INDEX('Techniciens'!$F$5:$F$44,MATCH(O2490,'Techniciens'!$B$5:$B$44,0)),'Paramètres'!$AA$10))</f>
        <v/>
      </c>
      <c r="V2490" s="70">
        <f>IF($A2490="","",IF(OR(AC2490="Demandé",AC2490="Planifié",AC2490="Annulé"),0,N(T2490)*N(U2490)))</f>
        <v/>
      </c>
      <c r="W2490" s="70">
        <f>IF($A2490="","",SUMIFS('Mouvements stock'!$H$5:$H$3004,'Mouvements stock'!$I$5:$I$3004,$A2490,'Mouvements stock'!$C$5:$C$3004,"Sortie")-SUMIFS('Mouvements stock'!$H$5:$H$3004,'Mouvements stock'!$I$5:$I$3004,$A2490,'Mouvements stock'!$C$5:$C$3004,"Retour"))</f>
        <v/>
      </c>
      <c r="X2490" s="66" t="n"/>
      <c r="Y2490" s="66" t="n"/>
      <c r="Z2490" s="7" t="n"/>
      <c r="AA2490" s="70">
        <f>IF($A2490="","",N(V2490)+N(W2490)+N(X2490)+N(Y2490))</f>
        <v/>
      </c>
      <c r="AB2490" s="70">
        <f>IF($A2490="","",N(S2490)*'Paramètres'!$AA$9*IFERROR(INDEX('Paramètres'!$O$5:$O$7,MATCH(G2490,'Paramètres'!$N$5:$N$7,0)),0))</f>
        <v/>
      </c>
      <c r="AC2490" s="7" t="n"/>
      <c r="AD2490" s="69">
        <f>IF(OR($A2490="",Q2490=""),"",(Q2490-B2490)*24)</f>
        <v/>
      </c>
      <c r="AE2490" s="69">
        <f>IF(OR(Q2490="",R2490=""),"",(R2490-Q2490)*24)</f>
        <v/>
      </c>
      <c r="AF2490" s="77">
        <f>IF(OR($A2490="",B2490=""),"",YEAR(B2490))</f>
        <v/>
      </c>
      <c r="AG2490" s="77">
        <f>IF(OR($A2490="",B2490=""),"",MONTH(B2490))</f>
        <v/>
      </c>
    </row>
    <row r="2491">
      <c r="A2491" s="7" t="n"/>
      <c r="B2491" s="75" t="n"/>
      <c r="C2491" s="7" t="n"/>
      <c r="D2491" s="7" t="n"/>
      <c r="E2491" s="9">
        <f>IF(D2491="","",IFERROR(INDEX('Équipements'!$B$5:$B$304,MATCH(D2491,'Équipements'!$A$5:$A$304,0)),"Code inconnu"))</f>
        <v/>
      </c>
      <c r="F2491" s="9">
        <f>IF(D2491="","",IFERROR(INDEX('Équipements'!$D$5:$D$304,MATCH(D2491,'Équipements'!$A$5:$A$304,0)),""))</f>
        <v/>
      </c>
      <c r="G2491" s="9">
        <f>IF(D2491="","",IFERROR(INDEX('Équipements'!$K$5:$K$304,MATCH(D2491,'Équipements'!$A$5:$A$304,0)),""))</f>
        <v/>
      </c>
      <c r="H2491" s="7" t="n"/>
      <c r="I2491" s="7" t="n"/>
      <c r="J2491" s="7" t="n"/>
      <c r="K2491" s="7" t="n"/>
      <c r="L2491" s="7" t="n"/>
      <c r="M2491" s="7" t="n"/>
      <c r="N2491" s="7" t="n"/>
      <c r="O2491" s="7" t="n"/>
      <c r="P2491" s="65" t="n"/>
      <c r="Q2491" s="75" t="n"/>
      <c r="R2491" s="75" t="n"/>
      <c r="S2491" s="76" t="n"/>
      <c r="T2491" s="76" t="n"/>
      <c r="U2491" s="70">
        <f>IF($A2491="","",IFERROR(INDEX('Techniciens'!$F$5:$F$44,MATCH(O2491,'Techniciens'!$B$5:$B$44,0)),'Paramètres'!$AA$10))</f>
        <v/>
      </c>
      <c r="V2491" s="70">
        <f>IF($A2491="","",IF(OR(AC2491="Demandé",AC2491="Planifié",AC2491="Annulé"),0,N(T2491)*N(U2491)))</f>
        <v/>
      </c>
      <c r="W2491" s="70">
        <f>IF($A2491="","",SUMIFS('Mouvements stock'!$H$5:$H$3004,'Mouvements stock'!$I$5:$I$3004,$A2491,'Mouvements stock'!$C$5:$C$3004,"Sortie")-SUMIFS('Mouvements stock'!$H$5:$H$3004,'Mouvements stock'!$I$5:$I$3004,$A2491,'Mouvements stock'!$C$5:$C$3004,"Retour"))</f>
        <v/>
      </c>
      <c r="X2491" s="66" t="n"/>
      <c r="Y2491" s="66" t="n"/>
      <c r="Z2491" s="7" t="n"/>
      <c r="AA2491" s="70">
        <f>IF($A2491="","",N(V2491)+N(W2491)+N(X2491)+N(Y2491))</f>
        <v/>
      </c>
      <c r="AB2491" s="70">
        <f>IF($A2491="","",N(S2491)*'Paramètres'!$AA$9*IFERROR(INDEX('Paramètres'!$O$5:$O$7,MATCH(G2491,'Paramètres'!$N$5:$N$7,0)),0))</f>
        <v/>
      </c>
      <c r="AC2491" s="7" t="n"/>
      <c r="AD2491" s="69">
        <f>IF(OR($A2491="",Q2491=""),"",(Q2491-B2491)*24)</f>
        <v/>
      </c>
      <c r="AE2491" s="69">
        <f>IF(OR(Q2491="",R2491=""),"",(R2491-Q2491)*24)</f>
        <v/>
      </c>
      <c r="AF2491" s="77">
        <f>IF(OR($A2491="",B2491=""),"",YEAR(B2491))</f>
        <v/>
      </c>
      <c r="AG2491" s="77">
        <f>IF(OR($A2491="",B2491=""),"",MONTH(B2491))</f>
        <v/>
      </c>
    </row>
    <row r="2492">
      <c r="A2492" s="7" t="n"/>
      <c r="B2492" s="75" t="n"/>
      <c r="C2492" s="7" t="n"/>
      <c r="D2492" s="7" t="n"/>
      <c r="E2492" s="9">
        <f>IF(D2492="","",IFERROR(INDEX('Équipements'!$B$5:$B$304,MATCH(D2492,'Équipements'!$A$5:$A$304,0)),"Code inconnu"))</f>
        <v/>
      </c>
      <c r="F2492" s="9">
        <f>IF(D2492="","",IFERROR(INDEX('Équipements'!$D$5:$D$304,MATCH(D2492,'Équipements'!$A$5:$A$304,0)),""))</f>
        <v/>
      </c>
      <c r="G2492" s="9">
        <f>IF(D2492="","",IFERROR(INDEX('Équipements'!$K$5:$K$304,MATCH(D2492,'Équipements'!$A$5:$A$304,0)),""))</f>
        <v/>
      </c>
      <c r="H2492" s="7" t="n"/>
      <c r="I2492" s="7" t="n"/>
      <c r="J2492" s="7" t="n"/>
      <c r="K2492" s="7" t="n"/>
      <c r="L2492" s="7" t="n"/>
      <c r="M2492" s="7" t="n"/>
      <c r="N2492" s="7" t="n"/>
      <c r="O2492" s="7" t="n"/>
      <c r="P2492" s="65" t="n"/>
      <c r="Q2492" s="75" t="n"/>
      <c r="R2492" s="75" t="n"/>
      <c r="S2492" s="76" t="n"/>
      <c r="T2492" s="76" t="n"/>
      <c r="U2492" s="70">
        <f>IF($A2492="","",IFERROR(INDEX('Techniciens'!$F$5:$F$44,MATCH(O2492,'Techniciens'!$B$5:$B$44,0)),'Paramètres'!$AA$10))</f>
        <v/>
      </c>
      <c r="V2492" s="70">
        <f>IF($A2492="","",IF(OR(AC2492="Demandé",AC2492="Planifié",AC2492="Annulé"),0,N(T2492)*N(U2492)))</f>
        <v/>
      </c>
      <c r="W2492" s="70">
        <f>IF($A2492="","",SUMIFS('Mouvements stock'!$H$5:$H$3004,'Mouvements stock'!$I$5:$I$3004,$A2492,'Mouvements stock'!$C$5:$C$3004,"Sortie")-SUMIFS('Mouvements stock'!$H$5:$H$3004,'Mouvements stock'!$I$5:$I$3004,$A2492,'Mouvements stock'!$C$5:$C$3004,"Retour"))</f>
        <v/>
      </c>
      <c r="X2492" s="66" t="n"/>
      <c r="Y2492" s="66" t="n"/>
      <c r="Z2492" s="7" t="n"/>
      <c r="AA2492" s="70">
        <f>IF($A2492="","",N(V2492)+N(W2492)+N(X2492)+N(Y2492))</f>
        <v/>
      </c>
      <c r="AB2492" s="70">
        <f>IF($A2492="","",N(S2492)*'Paramètres'!$AA$9*IFERROR(INDEX('Paramètres'!$O$5:$O$7,MATCH(G2492,'Paramètres'!$N$5:$N$7,0)),0))</f>
        <v/>
      </c>
      <c r="AC2492" s="7" t="n"/>
      <c r="AD2492" s="69">
        <f>IF(OR($A2492="",Q2492=""),"",(Q2492-B2492)*24)</f>
        <v/>
      </c>
      <c r="AE2492" s="69">
        <f>IF(OR(Q2492="",R2492=""),"",(R2492-Q2492)*24)</f>
        <v/>
      </c>
      <c r="AF2492" s="77">
        <f>IF(OR($A2492="",B2492=""),"",YEAR(B2492))</f>
        <v/>
      </c>
      <c r="AG2492" s="77">
        <f>IF(OR($A2492="",B2492=""),"",MONTH(B2492))</f>
        <v/>
      </c>
    </row>
    <row r="2493">
      <c r="A2493" s="7" t="n"/>
      <c r="B2493" s="75" t="n"/>
      <c r="C2493" s="7" t="n"/>
      <c r="D2493" s="7" t="n"/>
      <c r="E2493" s="9">
        <f>IF(D2493="","",IFERROR(INDEX('Équipements'!$B$5:$B$304,MATCH(D2493,'Équipements'!$A$5:$A$304,0)),"Code inconnu"))</f>
        <v/>
      </c>
      <c r="F2493" s="9">
        <f>IF(D2493="","",IFERROR(INDEX('Équipements'!$D$5:$D$304,MATCH(D2493,'Équipements'!$A$5:$A$304,0)),""))</f>
        <v/>
      </c>
      <c r="G2493" s="9">
        <f>IF(D2493="","",IFERROR(INDEX('Équipements'!$K$5:$K$304,MATCH(D2493,'Équipements'!$A$5:$A$304,0)),""))</f>
        <v/>
      </c>
      <c r="H2493" s="7" t="n"/>
      <c r="I2493" s="7" t="n"/>
      <c r="J2493" s="7" t="n"/>
      <c r="K2493" s="7" t="n"/>
      <c r="L2493" s="7" t="n"/>
      <c r="M2493" s="7" t="n"/>
      <c r="N2493" s="7" t="n"/>
      <c r="O2493" s="7" t="n"/>
      <c r="P2493" s="65" t="n"/>
      <c r="Q2493" s="75" t="n"/>
      <c r="R2493" s="75" t="n"/>
      <c r="S2493" s="76" t="n"/>
      <c r="T2493" s="76" t="n"/>
      <c r="U2493" s="70">
        <f>IF($A2493="","",IFERROR(INDEX('Techniciens'!$F$5:$F$44,MATCH(O2493,'Techniciens'!$B$5:$B$44,0)),'Paramètres'!$AA$10))</f>
        <v/>
      </c>
      <c r="V2493" s="70">
        <f>IF($A2493="","",IF(OR(AC2493="Demandé",AC2493="Planifié",AC2493="Annulé"),0,N(T2493)*N(U2493)))</f>
        <v/>
      </c>
      <c r="W2493" s="70">
        <f>IF($A2493="","",SUMIFS('Mouvements stock'!$H$5:$H$3004,'Mouvements stock'!$I$5:$I$3004,$A2493,'Mouvements stock'!$C$5:$C$3004,"Sortie")-SUMIFS('Mouvements stock'!$H$5:$H$3004,'Mouvements stock'!$I$5:$I$3004,$A2493,'Mouvements stock'!$C$5:$C$3004,"Retour"))</f>
        <v/>
      </c>
      <c r="X2493" s="66" t="n"/>
      <c r="Y2493" s="66" t="n"/>
      <c r="Z2493" s="7" t="n"/>
      <c r="AA2493" s="70">
        <f>IF($A2493="","",N(V2493)+N(W2493)+N(X2493)+N(Y2493))</f>
        <v/>
      </c>
      <c r="AB2493" s="70">
        <f>IF($A2493="","",N(S2493)*'Paramètres'!$AA$9*IFERROR(INDEX('Paramètres'!$O$5:$O$7,MATCH(G2493,'Paramètres'!$N$5:$N$7,0)),0))</f>
        <v/>
      </c>
      <c r="AC2493" s="7" t="n"/>
      <c r="AD2493" s="69">
        <f>IF(OR($A2493="",Q2493=""),"",(Q2493-B2493)*24)</f>
        <v/>
      </c>
      <c r="AE2493" s="69">
        <f>IF(OR(Q2493="",R2493=""),"",(R2493-Q2493)*24)</f>
        <v/>
      </c>
      <c r="AF2493" s="77">
        <f>IF(OR($A2493="",B2493=""),"",YEAR(B2493))</f>
        <v/>
      </c>
      <c r="AG2493" s="77">
        <f>IF(OR($A2493="",B2493=""),"",MONTH(B2493))</f>
        <v/>
      </c>
    </row>
    <row r="2494">
      <c r="A2494" s="7" t="n"/>
      <c r="B2494" s="75" t="n"/>
      <c r="C2494" s="7" t="n"/>
      <c r="D2494" s="7" t="n"/>
      <c r="E2494" s="9">
        <f>IF(D2494="","",IFERROR(INDEX('Équipements'!$B$5:$B$304,MATCH(D2494,'Équipements'!$A$5:$A$304,0)),"Code inconnu"))</f>
        <v/>
      </c>
      <c r="F2494" s="9">
        <f>IF(D2494="","",IFERROR(INDEX('Équipements'!$D$5:$D$304,MATCH(D2494,'Équipements'!$A$5:$A$304,0)),""))</f>
        <v/>
      </c>
      <c r="G2494" s="9">
        <f>IF(D2494="","",IFERROR(INDEX('Équipements'!$K$5:$K$304,MATCH(D2494,'Équipements'!$A$5:$A$304,0)),""))</f>
        <v/>
      </c>
      <c r="H2494" s="7" t="n"/>
      <c r="I2494" s="7" t="n"/>
      <c r="J2494" s="7" t="n"/>
      <c r="K2494" s="7" t="n"/>
      <c r="L2494" s="7" t="n"/>
      <c r="M2494" s="7" t="n"/>
      <c r="N2494" s="7" t="n"/>
      <c r="O2494" s="7" t="n"/>
      <c r="P2494" s="65" t="n"/>
      <c r="Q2494" s="75" t="n"/>
      <c r="R2494" s="75" t="n"/>
      <c r="S2494" s="76" t="n"/>
      <c r="T2494" s="76" t="n"/>
      <c r="U2494" s="70">
        <f>IF($A2494="","",IFERROR(INDEX('Techniciens'!$F$5:$F$44,MATCH(O2494,'Techniciens'!$B$5:$B$44,0)),'Paramètres'!$AA$10))</f>
        <v/>
      </c>
      <c r="V2494" s="70">
        <f>IF($A2494="","",IF(OR(AC2494="Demandé",AC2494="Planifié",AC2494="Annulé"),0,N(T2494)*N(U2494)))</f>
        <v/>
      </c>
      <c r="W2494" s="70">
        <f>IF($A2494="","",SUMIFS('Mouvements stock'!$H$5:$H$3004,'Mouvements stock'!$I$5:$I$3004,$A2494,'Mouvements stock'!$C$5:$C$3004,"Sortie")-SUMIFS('Mouvements stock'!$H$5:$H$3004,'Mouvements stock'!$I$5:$I$3004,$A2494,'Mouvements stock'!$C$5:$C$3004,"Retour"))</f>
        <v/>
      </c>
      <c r="X2494" s="66" t="n"/>
      <c r="Y2494" s="66" t="n"/>
      <c r="Z2494" s="7" t="n"/>
      <c r="AA2494" s="70">
        <f>IF($A2494="","",N(V2494)+N(W2494)+N(X2494)+N(Y2494))</f>
        <v/>
      </c>
      <c r="AB2494" s="70">
        <f>IF($A2494="","",N(S2494)*'Paramètres'!$AA$9*IFERROR(INDEX('Paramètres'!$O$5:$O$7,MATCH(G2494,'Paramètres'!$N$5:$N$7,0)),0))</f>
        <v/>
      </c>
      <c r="AC2494" s="7" t="n"/>
      <c r="AD2494" s="69">
        <f>IF(OR($A2494="",Q2494=""),"",(Q2494-B2494)*24)</f>
        <v/>
      </c>
      <c r="AE2494" s="69">
        <f>IF(OR(Q2494="",R2494=""),"",(R2494-Q2494)*24)</f>
        <v/>
      </c>
      <c r="AF2494" s="77">
        <f>IF(OR($A2494="",B2494=""),"",YEAR(B2494))</f>
        <v/>
      </c>
      <c r="AG2494" s="77">
        <f>IF(OR($A2494="",B2494=""),"",MONTH(B2494))</f>
        <v/>
      </c>
    </row>
    <row r="2495">
      <c r="A2495" s="7" t="n"/>
      <c r="B2495" s="75" t="n"/>
      <c r="C2495" s="7" t="n"/>
      <c r="D2495" s="7" t="n"/>
      <c r="E2495" s="9">
        <f>IF(D2495="","",IFERROR(INDEX('Équipements'!$B$5:$B$304,MATCH(D2495,'Équipements'!$A$5:$A$304,0)),"Code inconnu"))</f>
        <v/>
      </c>
      <c r="F2495" s="9">
        <f>IF(D2495="","",IFERROR(INDEX('Équipements'!$D$5:$D$304,MATCH(D2495,'Équipements'!$A$5:$A$304,0)),""))</f>
        <v/>
      </c>
      <c r="G2495" s="9">
        <f>IF(D2495="","",IFERROR(INDEX('Équipements'!$K$5:$K$304,MATCH(D2495,'Équipements'!$A$5:$A$304,0)),""))</f>
        <v/>
      </c>
      <c r="H2495" s="7" t="n"/>
      <c r="I2495" s="7" t="n"/>
      <c r="J2495" s="7" t="n"/>
      <c r="K2495" s="7" t="n"/>
      <c r="L2495" s="7" t="n"/>
      <c r="M2495" s="7" t="n"/>
      <c r="N2495" s="7" t="n"/>
      <c r="O2495" s="7" t="n"/>
      <c r="P2495" s="65" t="n"/>
      <c r="Q2495" s="75" t="n"/>
      <c r="R2495" s="75" t="n"/>
      <c r="S2495" s="76" t="n"/>
      <c r="T2495" s="76" t="n"/>
      <c r="U2495" s="70">
        <f>IF($A2495="","",IFERROR(INDEX('Techniciens'!$F$5:$F$44,MATCH(O2495,'Techniciens'!$B$5:$B$44,0)),'Paramètres'!$AA$10))</f>
        <v/>
      </c>
      <c r="V2495" s="70">
        <f>IF($A2495="","",IF(OR(AC2495="Demandé",AC2495="Planifié",AC2495="Annulé"),0,N(T2495)*N(U2495)))</f>
        <v/>
      </c>
      <c r="W2495" s="70">
        <f>IF($A2495="","",SUMIFS('Mouvements stock'!$H$5:$H$3004,'Mouvements stock'!$I$5:$I$3004,$A2495,'Mouvements stock'!$C$5:$C$3004,"Sortie")-SUMIFS('Mouvements stock'!$H$5:$H$3004,'Mouvements stock'!$I$5:$I$3004,$A2495,'Mouvements stock'!$C$5:$C$3004,"Retour"))</f>
        <v/>
      </c>
      <c r="X2495" s="66" t="n"/>
      <c r="Y2495" s="66" t="n"/>
      <c r="Z2495" s="7" t="n"/>
      <c r="AA2495" s="70">
        <f>IF($A2495="","",N(V2495)+N(W2495)+N(X2495)+N(Y2495))</f>
        <v/>
      </c>
      <c r="AB2495" s="70">
        <f>IF($A2495="","",N(S2495)*'Paramètres'!$AA$9*IFERROR(INDEX('Paramètres'!$O$5:$O$7,MATCH(G2495,'Paramètres'!$N$5:$N$7,0)),0))</f>
        <v/>
      </c>
      <c r="AC2495" s="7" t="n"/>
      <c r="AD2495" s="69">
        <f>IF(OR($A2495="",Q2495=""),"",(Q2495-B2495)*24)</f>
        <v/>
      </c>
      <c r="AE2495" s="69">
        <f>IF(OR(Q2495="",R2495=""),"",(R2495-Q2495)*24)</f>
        <v/>
      </c>
      <c r="AF2495" s="77">
        <f>IF(OR($A2495="",B2495=""),"",YEAR(B2495))</f>
        <v/>
      </c>
      <c r="AG2495" s="77">
        <f>IF(OR($A2495="",B2495=""),"",MONTH(B2495))</f>
        <v/>
      </c>
    </row>
    <row r="2496">
      <c r="A2496" s="7" t="n"/>
      <c r="B2496" s="75" t="n"/>
      <c r="C2496" s="7" t="n"/>
      <c r="D2496" s="7" t="n"/>
      <c r="E2496" s="9">
        <f>IF(D2496="","",IFERROR(INDEX('Équipements'!$B$5:$B$304,MATCH(D2496,'Équipements'!$A$5:$A$304,0)),"Code inconnu"))</f>
        <v/>
      </c>
      <c r="F2496" s="9">
        <f>IF(D2496="","",IFERROR(INDEX('Équipements'!$D$5:$D$304,MATCH(D2496,'Équipements'!$A$5:$A$304,0)),""))</f>
        <v/>
      </c>
      <c r="G2496" s="9">
        <f>IF(D2496="","",IFERROR(INDEX('Équipements'!$K$5:$K$304,MATCH(D2496,'Équipements'!$A$5:$A$304,0)),""))</f>
        <v/>
      </c>
      <c r="H2496" s="7" t="n"/>
      <c r="I2496" s="7" t="n"/>
      <c r="J2496" s="7" t="n"/>
      <c r="K2496" s="7" t="n"/>
      <c r="L2496" s="7" t="n"/>
      <c r="M2496" s="7" t="n"/>
      <c r="N2496" s="7" t="n"/>
      <c r="O2496" s="7" t="n"/>
      <c r="P2496" s="65" t="n"/>
      <c r="Q2496" s="75" t="n"/>
      <c r="R2496" s="75" t="n"/>
      <c r="S2496" s="76" t="n"/>
      <c r="T2496" s="76" t="n"/>
      <c r="U2496" s="70">
        <f>IF($A2496="","",IFERROR(INDEX('Techniciens'!$F$5:$F$44,MATCH(O2496,'Techniciens'!$B$5:$B$44,0)),'Paramètres'!$AA$10))</f>
        <v/>
      </c>
      <c r="V2496" s="70">
        <f>IF($A2496="","",IF(OR(AC2496="Demandé",AC2496="Planifié",AC2496="Annulé"),0,N(T2496)*N(U2496)))</f>
        <v/>
      </c>
      <c r="W2496" s="70">
        <f>IF($A2496="","",SUMIFS('Mouvements stock'!$H$5:$H$3004,'Mouvements stock'!$I$5:$I$3004,$A2496,'Mouvements stock'!$C$5:$C$3004,"Sortie")-SUMIFS('Mouvements stock'!$H$5:$H$3004,'Mouvements stock'!$I$5:$I$3004,$A2496,'Mouvements stock'!$C$5:$C$3004,"Retour"))</f>
        <v/>
      </c>
      <c r="X2496" s="66" t="n"/>
      <c r="Y2496" s="66" t="n"/>
      <c r="Z2496" s="7" t="n"/>
      <c r="AA2496" s="70">
        <f>IF($A2496="","",N(V2496)+N(W2496)+N(X2496)+N(Y2496))</f>
        <v/>
      </c>
      <c r="AB2496" s="70">
        <f>IF($A2496="","",N(S2496)*'Paramètres'!$AA$9*IFERROR(INDEX('Paramètres'!$O$5:$O$7,MATCH(G2496,'Paramètres'!$N$5:$N$7,0)),0))</f>
        <v/>
      </c>
      <c r="AC2496" s="7" t="n"/>
      <c r="AD2496" s="69">
        <f>IF(OR($A2496="",Q2496=""),"",(Q2496-B2496)*24)</f>
        <v/>
      </c>
      <c r="AE2496" s="69">
        <f>IF(OR(Q2496="",R2496=""),"",(R2496-Q2496)*24)</f>
        <v/>
      </c>
      <c r="AF2496" s="77">
        <f>IF(OR($A2496="",B2496=""),"",YEAR(B2496))</f>
        <v/>
      </c>
      <c r="AG2496" s="77">
        <f>IF(OR($A2496="",B2496=""),"",MONTH(B2496))</f>
        <v/>
      </c>
    </row>
    <row r="2497">
      <c r="A2497" s="7" t="n"/>
      <c r="B2497" s="75" t="n"/>
      <c r="C2497" s="7" t="n"/>
      <c r="D2497" s="7" t="n"/>
      <c r="E2497" s="9">
        <f>IF(D2497="","",IFERROR(INDEX('Équipements'!$B$5:$B$304,MATCH(D2497,'Équipements'!$A$5:$A$304,0)),"Code inconnu"))</f>
        <v/>
      </c>
      <c r="F2497" s="9">
        <f>IF(D2497="","",IFERROR(INDEX('Équipements'!$D$5:$D$304,MATCH(D2497,'Équipements'!$A$5:$A$304,0)),""))</f>
        <v/>
      </c>
      <c r="G2497" s="9">
        <f>IF(D2497="","",IFERROR(INDEX('Équipements'!$K$5:$K$304,MATCH(D2497,'Équipements'!$A$5:$A$304,0)),""))</f>
        <v/>
      </c>
      <c r="H2497" s="7" t="n"/>
      <c r="I2497" s="7" t="n"/>
      <c r="J2497" s="7" t="n"/>
      <c r="K2497" s="7" t="n"/>
      <c r="L2497" s="7" t="n"/>
      <c r="M2497" s="7" t="n"/>
      <c r="N2497" s="7" t="n"/>
      <c r="O2497" s="7" t="n"/>
      <c r="P2497" s="65" t="n"/>
      <c r="Q2497" s="75" t="n"/>
      <c r="R2497" s="75" t="n"/>
      <c r="S2497" s="76" t="n"/>
      <c r="T2497" s="76" t="n"/>
      <c r="U2497" s="70">
        <f>IF($A2497="","",IFERROR(INDEX('Techniciens'!$F$5:$F$44,MATCH(O2497,'Techniciens'!$B$5:$B$44,0)),'Paramètres'!$AA$10))</f>
        <v/>
      </c>
      <c r="V2497" s="70">
        <f>IF($A2497="","",IF(OR(AC2497="Demandé",AC2497="Planifié",AC2497="Annulé"),0,N(T2497)*N(U2497)))</f>
        <v/>
      </c>
      <c r="W2497" s="70">
        <f>IF($A2497="","",SUMIFS('Mouvements stock'!$H$5:$H$3004,'Mouvements stock'!$I$5:$I$3004,$A2497,'Mouvements stock'!$C$5:$C$3004,"Sortie")-SUMIFS('Mouvements stock'!$H$5:$H$3004,'Mouvements stock'!$I$5:$I$3004,$A2497,'Mouvements stock'!$C$5:$C$3004,"Retour"))</f>
        <v/>
      </c>
      <c r="X2497" s="66" t="n"/>
      <c r="Y2497" s="66" t="n"/>
      <c r="Z2497" s="7" t="n"/>
      <c r="AA2497" s="70">
        <f>IF($A2497="","",N(V2497)+N(W2497)+N(X2497)+N(Y2497))</f>
        <v/>
      </c>
      <c r="AB2497" s="70">
        <f>IF($A2497="","",N(S2497)*'Paramètres'!$AA$9*IFERROR(INDEX('Paramètres'!$O$5:$O$7,MATCH(G2497,'Paramètres'!$N$5:$N$7,0)),0))</f>
        <v/>
      </c>
      <c r="AC2497" s="7" t="n"/>
      <c r="AD2497" s="69">
        <f>IF(OR($A2497="",Q2497=""),"",(Q2497-B2497)*24)</f>
        <v/>
      </c>
      <c r="AE2497" s="69">
        <f>IF(OR(Q2497="",R2497=""),"",(R2497-Q2497)*24)</f>
        <v/>
      </c>
      <c r="AF2497" s="77">
        <f>IF(OR($A2497="",B2497=""),"",YEAR(B2497))</f>
        <v/>
      </c>
      <c r="AG2497" s="77">
        <f>IF(OR($A2497="",B2497=""),"",MONTH(B2497))</f>
        <v/>
      </c>
    </row>
    <row r="2498">
      <c r="A2498" s="7" t="n"/>
      <c r="B2498" s="75" t="n"/>
      <c r="C2498" s="7" t="n"/>
      <c r="D2498" s="7" t="n"/>
      <c r="E2498" s="9">
        <f>IF(D2498="","",IFERROR(INDEX('Équipements'!$B$5:$B$304,MATCH(D2498,'Équipements'!$A$5:$A$304,0)),"Code inconnu"))</f>
        <v/>
      </c>
      <c r="F2498" s="9">
        <f>IF(D2498="","",IFERROR(INDEX('Équipements'!$D$5:$D$304,MATCH(D2498,'Équipements'!$A$5:$A$304,0)),""))</f>
        <v/>
      </c>
      <c r="G2498" s="9">
        <f>IF(D2498="","",IFERROR(INDEX('Équipements'!$K$5:$K$304,MATCH(D2498,'Équipements'!$A$5:$A$304,0)),""))</f>
        <v/>
      </c>
      <c r="H2498" s="7" t="n"/>
      <c r="I2498" s="7" t="n"/>
      <c r="J2498" s="7" t="n"/>
      <c r="K2498" s="7" t="n"/>
      <c r="L2498" s="7" t="n"/>
      <c r="M2498" s="7" t="n"/>
      <c r="N2498" s="7" t="n"/>
      <c r="O2498" s="7" t="n"/>
      <c r="P2498" s="65" t="n"/>
      <c r="Q2498" s="75" t="n"/>
      <c r="R2498" s="75" t="n"/>
      <c r="S2498" s="76" t="n"/>
      <c r="T2498" s="76" t="n"/>
      <c r="U2498" s="70">
        <f>IF($A2498="","",IFERROR(INDEX('Techniciens'!$F$5:$F$44,MATCH(O2498,'Techniciens'!$B$5:$B$44,0)),'Paramètres'!$AA$10))</f>
        <v/>
      </c>
      <c r="V2498" s="70">
        <f>IF($A2498="","",IF(OR(AC2498="Demandé",AC2498="Planifié",AC2498="Annulé"),0,N(T2498)*N(U2498)))</f>
        <v/>
      </c>
      <c r="W2498" s="70">
        <f>IF($A2498="","",SUMIFS('Mouvements stock'!$H$5:$H$3004,'Mouvements stock'!$I$5:$I$3004,$A2498,'Mouvements stock'!$C$5:$C$3004,"Sortie")-SUMIFS('Mouvements stock'!$H$5:$H$3004,'Mouvements stock'!$I$5:$I$3004,$A2498,'Mouvements stock'!$C$5:$C$3004,"Retour"))</f>
        <v/>
      </c>
      <c r="X2498" s="66" t="n"/>
      <c r="Y2498" s="66" t="n"/>
      <c r="Z2498" s="7" t="n"/>
      <c r="AA2498" s="70">
        <f>IF($A2498="","",N(V2498)+N(W2498)+N(X2498)+N(Y2498))</f>
        <v/>
      </c>
      <c r="AB2498" s="70">
        <f>IF($A2498="","",N(S2498)*'Paramètres'!$AA$9*IFERROR(INDEX('Paramètres'!$O$5:$O$7,MATCH(G2498,'Paramètres'!$N$5:$N$7,0)),0))</f>
        <v/>
      </c>
      <c r="AC2498" s="7" t="n"/>
      <c r="AD2498" s="69">
        <f>IF(OR($A2498="",Q2498=""),"",(Q2498-B2498)*24)</f>
        <v/>
      </c>
      <c r="AE2498" s="69">
        <f>IF(OR(Q2498="",R2498=""),"",(R2498-Q2498)*24)</f>
        <v/>
      </c>
      <c r="AF2498" s="77">
        <f>IF(OR($A2498="",B2498=""),"",YEAR(B2498))</f>
        <v/>
      </c>
      <c r="AG2498" s="77">
        <f>IF(OR($A2498="",B2498=""),"",MONTH(B2498))</f>
        <v/>
      </c>
    </row>
    <row r="2499">
      <c r="A2499" s="7" t="n"/>
      <c r="B2499" s="75" t="n"/>
      <c r="C2499" s="7" t="n"/>
      <c r="D2499" s="7" t="n"/>
      <c r="E2499" s="9">
        <f>IF(D2499="","",IFERROR(INDEX('Équipements'!$B$5:$B$304,MATCH(D2499,'Équipements'!$A$5:$A$304,0)),"Code inconnu"))</f>
        <v/>
      </c>
      <c r="F2499" s="9">
        <f>IF(D2499="","",IFERROR(INDEX('Équipements'!$D$5:$D$304,MATCH(D2499,'Équipements'!$A$5:$A$304,0)),""))</f>
        <v/>
      </c>
      <c r="G2499" s="9">
        <f>IF(D2499="","",IFERROR(INDEX('Équipements'!$K$5:$K$304,MATCH(D2499,'Équipements'!$A$5:$A$304,0)),""))</f>
        <v/>
      </c>
      <c r="H2499" s="7" t="n"/>
      <c r="I2499" s="7" t="n"/>
      <c r="J2499" s="7" t="n"/>
      <c r="K2499" s="7" t="n"/>
      <c r="L2499" s="7" t="n"/>
      <c r="M2499" s="7" t="n"/>
      <c r="N2499" s="7" t="n"/>
      <c r="O2499" s="7" t="n"/>
      <c r="P2499" s="65" t="n"/>
      <c r="Q2499" s="75" t="n"/>
      <c r="R2499" s="75" t="n"/>
      <c r="S2499" s="76" t="n"/>
      <c r="T2499" s="76" t="n"/>
      <c r="U2499" s="70">
        <f>IF($A2499="","",IFERROR(INDEX('Techniciens'!$F$5:$F$44,MATCH(O2499,'Techniciens'!$B$5:$B$44,0)),'Paramètres'!$AA$10))</f>
        <v/>
      </c>
      <c r="V2499" s="70">
        <f>IF($A2499="","",IF(OR(AC2499="Demandé",AC2499="Planifié",AC2499="Annulé"),0,N(T2499)*N(U2499)))</f>
        <v/>
      </c>
      <c r="W2499" s="70">
        <f>IF($A2499="","",SUMIFS('Mouvements stock'!$H$5:$H$3004,'Mouvements stock'!$I$5:$I$3004,$A2499,'Mouvements stock'!$C$5:$C$3004,"Sortie")-SUMIFS('Mouvements stock'!$H$5:$H$3004,'Mouvements stock'!$I$5:$I$3004,$A2499,'Mouvements stock'!$C$5:$C$3004,"Retour"))</f>
        <v/>
      </c>
      <c r="X2499" s="66" t="n"/>
      <c r="Y2499" s="66" t="n"/>
      <c r="Z2499" s="7" t="n"/>
      <c r="AA2499" s="70">
        <f>IF($A2499="","",N(V2499)+N(W2499)+N(X2499)+N(Y2499))</f>
        <v/>
      </c>
      <c r="AB2499" s="70">
        <f>IF($A2499="","",N(S2499)*'Paramètres'!$AA$9*IFERROR(INDEX('Paramètres'!$O$5:$O$7,MATCH(G2499,'Paramètres'!$N$5:$N$7,0)),0))</f>
        <v/>
      </c>
      <c r="AC2499" s="7" t="n"/>
      <c r="AD2499" s="69">
        <f>IF(OR($A2499="",Q2499=""),"",(Q2499-B2499)*24)</f>
        <v/>
      </c>
      <c r="AE2499" s="69">
        <f>IF(OR(Q2499="",R2499=""),"",(R2499-Q2499)*24)</f>
        <v/>
      </c>
      <c r="AF2499" s="77">
        <f>IF(OR($A2499="",B2499=""),"",YEAR(B2499))</f>
        <v/>
      </c>
      <c r="AG2499" s="77">
        <f>IF(OR($A2499="",B2499=""),"",MONTH(B2499))</f>
        <v/>
      </c>
    </row>
    <row r="2500">
      <c r="A2500" s="7" t="n"/>
      <c r="B2500" s="75" t="n"/>
      <c r="C2500" s="7" t="n"/>
      <c r="D2500" s="7" t="n"/>
      <c r="E2500" s="9">
        <f>IF(D2500="","",IFERROR(INDEX('Équipements'!$B$5:$B$304,MATCH(D2500,'Équipements'!$A$5:$A$304,0)),"Code inconnu"))</f>
        <v/>
      </c>
      <c r="F2500" s="9">
        <f>IF(D2500="","",IFERROR(INDEX('Équipements'!$D$5:$D$304,MATCH(D2500,'Équipements'!$A$5:$A$304,0)),""))</f>
        <v/>
      </c>
      <c r="G2500" s="9">
        <f>IF(D2500="","",IFERROR(INDEX('Équipements'!$K$5:$K$304,MATCH(D2500,'Équipements'!$A$5:$A$304,0)),""))</f>
        <v/>
      </c>
      <c r="H2500" s="7" t="n"/>
      <c r="I2500" s="7" t="n"/>
      <c r="J2500" s="7" t="n"/>
      <c r="K2500" s="7" t="n"/>
      <c r="L2500" s="7" t="n"/>
      <c r="M2500" s="7" t="n"/>
      <c r="N2500" s="7" t="n"/>
      <c r="O2500" s="7" t="n"/>
      <c r="P2500" s="65" t="n"/>
      <c r="Q2500" s="75" t="n"/>
      <c r="R2500" s="75" t="n"/>
      <c r="S2500" s="76" t="n"/>
      <c r="T2500" s="76" t="n"/>
      <c r="U2500" s="70">
        <f>IF($A2500="","",IFERROR(INDEX('Techniciens'!$F$5:$F$44,MATCH(O2500,'Techniciens'!$B$5:$B$44,0)),'Paramètres'!$AA$10))</f>
        <v/>
      </c>
      <c r="V2500" s="70">
        <f>IF($A2500="","",IF(OR(AC2500="Demandé",AC2500="Planifié",AC2500="Annulé"),0,N(T2500)*N(U2500)))</f>
        <v/>
      </c>
      <c r="W2500" s="70">
        <f>IF($A2500="","",SUMIFS('Mouvements stock'!$H$5:$H$3004,'Mouvements stock'!$I$5:$I$3004,$A2500,'Mouvements stock'!$C$5:$C$3004,"Sortie")-SUMIFS('Mouvements stock'!$H$5:$H$3004,'Mouvements stock'!$I$5:$I$3004,$A2500,'Mouvements stock'!$C$5:$C$3004,"Retour"))</f>
        <v/>
      </c>
      <c r="X2500" s="66" t="n"/>
      <c r="Y2500" s="66" t="n"/>
      <c r="Z2500" s="7" t="n"/>
      <c r="AA2500" s="70">
        <f>IF($A2500="","",N(V2500)+N(W2500)+N(X2500)+N(Y2500))</f>
        <v/>
      </c>
      <c r="AB2500" s="70">
        <f>IF($A2500="","",N(S2500)*'Paramètres'!$AA$9*IFERROR(INDEX('Paramètres'!$O$5:$O$7,MATCH(G2500,'Paramètres'!$N$5:$N$7,0)),0))</f>
        <v/>
      </c>
      <c r="AC2500" s="7" t="n"/>
      <c r="AD2500" s="69">
        <f>IF(OR($A2500="",Q2500=""),"",(Q2500-B2500)*24)</f>
        <v/>
      </c>
      <c r="AE2500" s="69">
        <f>IF(OR(Q2500="",R2500=""),"",(R2500-Q2500)*24)</f>
        <v/>
      </c>
      <c r="AF2500" s="77">
        <f>IF(OR($A2500="",B2500=""),"",YEAR(B2500))</f>
        <v/>
      </c>
      <c r="AG2500" s="77">
        <f>IF(OR($A2500="",B2500=""),"",MONTH(B2500))</f>
        <v/>
      </c>
    </row>
    <row r="2501">
      <c r="A2501" s="7" t="n"/>
      <c r="B2501" s="75" t="n"/>
      <c r="C2501" s="7" t="n"/>
      <c r="D2501" s="7" t="n"/>
      <c r="E2501" s="9">
        <f>IF(D2501="","",IFERROR(INDEX('Équipements'!$B$5:$B$304,MATCH(D2501,'Équipements'!$A$5:$A$304,0)),"Code inconnu"))</f>
        <v/>
      </c>
      <c r="F2501" s="9">
        <f>IF(D2501="","",IFERROR(INDEX('Équipements'!$D$5:$D$304,MATCH(D2501,'Équipements'!$A$5:$A$304,0)),""))</f>
        <v/>
      </c>
      <c r="G2501" s="9">
        <f>IF(D2501="","",IFERROR(INDEX('Équipements'!$K$5:$K$304,MATCH(D2501,'Équipements'!$A$5:$A$304,0)),""))</f>
        <v/>
      </c>
      <c r="H2501" s="7" t="n"/>
      <c r="I2501" s="7" t="n"/>
      <c r="J2501" s="7" t="n"/>
      <c r="K2501" s="7" t="n"/>
      <c r="L2501" s="7" t="n"/>
      <c r="M2501" s="7" t="n"/>
      <c r="N2501" s="7" t="n"/>
      <c r="O2501" s="7" t="n"/>
      <c r="P2501" s="65" t="n"/>
      <c r="Q2501" s="75" t="n"/>
      <c r="R2501" s="75" t="n"/>
      <c r="S2501" s="76" t="n"/>
      <c r="T2501" s="76" t="n"/>
      <c r="U2501" s="70">
        <f>IF($A2501="","",IFERROR(INDEX('Techniciens'!$F$5:$F$44,MATCH(O2501,'Techniciens'!$B$5:$B$44,0)),'Paramètres'!$AA$10))</f>
        <v/>
      </c>
      <c r="V2501" s="70">
        <f>IF($A2501="","",IF(OR(AC2501="Demandé",AC2501="Planifié",AC2501="Annulé"),0,N(T2501)*N(U2501)))</f>
        <v/>
      </c>
      <c r="W2501" s="70">
        <f>IF($A2501="","",SUMIFS('Mouvements stock'!$H$5:$H$3004,'Mouvements stock'!$I$5:$I$3004,$A2501,'Mouvements stock'!$C$5:$C$3004,"Sortie")-SUMIFS('Mouvements stock'!$H$5:$H$3004,'Mouvements stock'!$I$5:$I$3004,$A2501,'Mouvements stock'!$C$5:$C$3004,"Retour"))</f>
        <v/>
      </c>
      <c r="X2501" s="66" t="n"/>
      <c r="Y2501" s="66" t="n"/>
      <c r="Z2501" s="7" t="n"/>
      <c r="AA2501" s="70">
        <f>IF($A2501="","",N(V2501)+N(W2501)+N(X2501)+N(Y2501))</f>
        <v/>
      </c>
      <c r="AB2501" s="70">
        <f>IF($A2501="","",N(S2501)*'Paramètres'!$AA$9*IFERROR(INDEX('Paramètres'!$O$5:$O$7,MATCH(G2501,'Paramètres'!$N$5:$N$7,0)),0))</f>
        <v/>
      </c>
      <c r="AC2501" s="7" t="n"/>
      <c r="AD2501" s="69">
        <f>IF(OR($A2501="",Q2501=""),"",(Q2501-B2501)*24)</f>
        <v/>
      </c>
      <c r="AE2501" s="69">
        <f>IF(OR(Q2501="",R2501=""),"",(R2501-Q2501)*24)</f>
        <v/>
      </c>
      <c r="AF2501" s="77">
        <f>IF(OR($A2501="",B2501=""),"",YEAR(B2501))</f>
        <v/>
      </c>
      <c r="AG2501" s="77">
        <f>IF(OR($A2501="",B2501=""),"",MONTH(B2501))</f>
        <v/>
      </c>
    </row>
    <row r="2502">
      <c r="A2502" s="7" t="n"/>
      <c r="B2502" s="75" t="n"/>
      <c r="C2502" s="7" t="n"/>
      <c r="D2502" s="7" t="n"/>
      <c r="E2502" s="9">
        <f>IF(D2502="","",IFERROR(INDEX('Équipements'!$B$5:$B$304,MATCH(D2502,'Équipements'!$A$5:$A$304,0)),"Code inconnu"))</f>
        <v/>
      </c>
      <c r="F2502" s="9">
        <f>IF(D2502="","",IFERROR(INDEX('Équipements'!$D$5:$D$304,MATCH(D2502,'Équipements'!$A$5:$A$304,0)),""))</f>
        <v/>
      </c>
      <c r="G2502" s="9">
        <f>IF(D2502="","",IFERROR(INDEX('Équipements'!$K$5:$K$304,MATCH(D2502,'Équipements'!$A$5:$A$304,0)),""))</f>
        <v/>
      </c>
      <c r="H2502" s="7" t="n"/>
      <c r="I2502" s="7" t="n"/>
      <c r="J2502" s="7" t="n"/>
      <c r="K2502" s="7" t="n"/>
      <c r="L2502" s="7" t="n"/>
      <c r="M2502" s="7" t="n"/>
      <c r="N2502" s="7" t="n"/>
      <c r="O2502" s="7" t="n"/>
      <c r="P2502" s="65" t="n"/>
      <c r="Q2502" s="75" t="n"/>
      <c r="R2502" s="75" t="n"/>
      <c r="S2502" s="76" t="n"/>
      <c r="T2502" s="76" t="n"/>
      <c r="U2502" s="70">
        <f>IF($A2502="","",IFERROR(INDEX('Techniciens'!$F$5:$F$44,MATCH(O2502,'Techniciens'!$B$5:$B$44,0)),'Paramètres'!$AA$10))</f>
        <v/>
      </c>
      <c r="V2502" s="70">
        <f>IF($A2502="","",IF(OR(AC2502="Demandé",AC2502="Planifié",AC2502="Annulé"),0,N(T2502)*N(U2502)))</f>
        <v/>
      </c>
      <c r="W2502" s="70">
        <f>IF($A2502="","",SUMIFS('Mouvements stock'!$H$5:$H$3004,'Mouvements stock'!$I$5:$I$3004,$A2502,'Mouvements stock'!$C$5:$C$3004,"Sortie")-SUMIFS('Mouvements stock'!$H$5:$H$3004,'Mouvements stock'!$I$5:$I$3004,$A2502,'Mouvements stock'!$C$5:$C$3004,"Retour"))</f>
        <v/>
      </c>
      <c r="X2502" s="66" t="n"/>
      <c r="Y2502" s="66" t="n"/>
      <c r="Z2502" s="7" t="n"/>
      <c r="AA2502" s="70">
        <f>IF($A2502="","",N(V2502)+N(W2502)+N(X2502)+N(Y2502))</f>
        <v/>
      </c>
      <c r="AB2502" s="70">
        <f>IF($A2502="","",N(S2502)*'Paramètres'!$AA$9*IFERROR(INDEX('Paramètres'!$O$5:$O$7,MATCH(G2502,'Paramètres'!$N$5:$N$7,0)),0))</f>
        <v/>
      </c>
      <c r="AC2502" s="7" t="n"/>
      <c r="AD2502" s="69">
        <f>IF(OR($A2502="",Q2502=""),"",(Q2502-B2502)*24)</f>
        <v/>
      </c>
      <c r="AE2502" s="69">
        <f>IF(OR(Q2502="",R2502=""),"",(R2502-Q2502)*24)</f>
        <v/>
      </c>
      <c r="AF2502" s="77">
        <f>IF(OR($A2502="",B2502=""),"",YEAR(B2502))</f>
        <v/>
      </c>
      <c r="AG2502" s="77">
        <f>IF(OR($A2502="",B2502=""),"",MONTH(B2502))</f>
        <v/>
      </c>
    </row>
    <row r="2503">
      <c r="A2503" s="7" t="n"/>
      <c r="B2503" s="75" t="n"/>
      <c r="C2503" s="7" t="n"/>
      <c r="D2503" s="7" t="n"/>
      <c r="E2503" s="9">
        <f>IF(D2503="","",IFERROR(INDEX('Équipements'!$B$5:$B$304,MATCH(D2503,'Équipements'!$A$5:$A$304,0)),"Code inconnu"))</f>
        <v/>
      </c>
      <c r="F2503" s="9">
        <f>IF(D2503="","",IFERROR(INDEX('Équipements'!$D$5:$D$304,MATCH(D2503,'Équipements'!$A$5:$A$304,0)),""))</f>
        <v/>
      </c>
      <c r="G2503" s="9">
        <f>IF(D2503="","",IFERROR(INDEX('Équipements'!$K$5:$K$304,MATCH(D2503,'Équipements'!$A$5:$A$304,0)),""))</f>
        <v/>
      </c>
      <c r="H2503" s="7" t="n"/>
      <c r="I2503" s="7" t="n"/>
      <c r="J2503" s="7" t="n"/>
      <c r="K2503" s="7" t="n"/>
      <c r="L2503" s="7" t="n"/>
      <c r="M2503" s="7" t="n"/>
      <c r="N2503" s="7" t="n"/>
      <c r="O2503" s="7" t="n"/>
      <c r="P2503" s="65" t="n"/>
      <c r="Q2503" s="75" t="n"/>
      <c r="R2503" s="75" t="n"/>
      <c r="S2503" s="76" t="n"/>
      <c r="T2503" s="76" t="n"/>
      <c r="U2503" s="70">
        <f>IF($A2503="","",IFERROR(INDEX('Techniciens'!$F$5:$F$44,MATCH(O2503,'Techniciens'!$B$5:$B$44,0)),'Paramètres'!$AA$10))</f>
        <v/>
      </c>
      <c r="V2503" s="70">
        <f>IF($A2503="","",IF(OR(AC2503="Demandé",AC2503="Planifié",AC2503="Annulé"),0,N(T2503)*N(U2503)))</f>
        <v/>
      </c>
      <c r="W2503" s="70">
        <f>IF($A2503="","",SUMIFS('Mouvements stock'!$H$5:$H$3004,'Mouvements stock'!$I$5:$I$3004,$A2503,'Mouvements stock'!$C$5:$C$3004,"Sortie")-SUMIFS('Mouvements stock'!$H$5:$H$3004,'Mouvements stock'!$I$5:$I$3004,$A2503,'Mouvements stock'!$C$5:$C$3004,"Retour"))</f>
        <v/>
      </c>
      <c r="X2503" s="66" t="n"/>
      <c r="Y2503" s="66" t="n"/>
      <c r="Z2503" s="7" t="n"/>
      <c r="AA2503" s="70">
        <f>IF($A2503="","",N(V2503)+N(W2503)+N(X2503)+N(Y2503))</f>
        <v/>
      </c>
      <c r="AB2503" s="70">
        <f>IF($A2503="","",N(S2503)*'Paramètres'!$AA$9*IFERROR(INDEX('Paramètres'!$O$5:$O$7,MATCH(G2503,'Paramètres'!$N$5:$N$7,0)),0))</f>
        <v/>
      </c>
      <c r="AC2503" s="7" t="n"/>
      <c r="AD2503" s="69">
        <f>IF(OR($A2503="",Q2503=""),"",(Q2503-B2503)*24)</f>
        <v/>
      </c>
      <c r="AE2503" s="69">
        <f>IF(OR(Q2503="",R2503=""),"",(R2503-Q2503)*24)</f>
        <v/>
      </c>
      <c r="AF2503" s="77">
        <f>IF(OR($A2503="",B2503=""),"",YEAR(B2503))</f>
        <v/>
      </c>
      <c r="AG2503" s="77">
        <f>IF(OR($A2503="",B2503=""),"",MONTH(B2503))</f>
        <v/>
      </c>
    </row>
    <row r="2504">
      <c r="A2504" s="7" t="n"/>
      <c r="B2504" s="75" t="n"/>
      <c r="C2504" s="7" t="n"/>
      <c r="D2504" s="7" t="n"/>
      <c r="E2504" s="9">
        <f>IF(D2504="","",IFERROR(INDEX('Équipements'!$B$5:$B$304,MATCH(D2504,'Équipements'!$A$5:$A$304,0)),"Code inconnu"))</f>
        <v/>
      </c>
      <c r="F2504" s="9">
        <f>IF(D2504="","",IFERROR(INDEX('Équipements'!$D$5:$D$304,MATCH(D2504,'Équipements'!$A$5:$A$304,0)),""))</f>
        <v/>
      </c>
      <c r="G2504" s="9">
        <f>IF(D2504="","",IFERROR(INDEX('Équipements'!$K$5:$K$304,MATCH(D2504,'Équipements'!$A$5:$A$304,0)),""))</f>
        <v/>
      </c>
      <c r="H2504" s="7" t="n"/>
      <c r="I2504" s="7" t="n"/>
      <c r="J2504" s="7" t="n"/>
      <c r="K2504" s="7" t="n"/>
      <c r="L2504" s="7" t="n"/>
      <c r="M2504" s="7" t="n"/>
      <c r="N2504" s="7" t="n"/>
      <c r="O2504" s="7" t="n"/>
      <c r="P2504" s="65" t="n"/>
      <c r="Q2504" s="75" t="n"/>
      <c r="R2504" s="75" t="n"/>
      <c r="S2504" s="76" t="n"/>
      <c r="T2504" s="76" t="n"/>
      <c r="U2504" s="70">
        <f>IF($A2504="","",IFERROR(INDEX('Techniciens'!$F$5:$F$44,MATCH(O2504,'Techniciens'!$B$5:$B$44,0)),'Paramètres'!$AA$10))</f>
        <v/>
      </c>
      <c r="V2504" s="70">
        <f>IF($A2504="","",IF(OR(AC2504="Demandé",AC2504="Planifié",AC2504="Annulé"),0,N(T2504)*N(U2504)))</f>
        <v/>
      </c>
      <c r="W2504" s="70">
        <f>IF($A2504="","",SUMIFS('Mouvements stock'!$H$5:$H$3004,'Mouvements stock'!$I$5:$I$3004,$A2504,'Mouvements stock'!$C$5:$C$3004,"Sortie")-SUMIFS('Mouvements stock'!$H$5:$H$3004,'Mouvements stock'!$I$5:$I$3004,$A2504,'Mouvements stock'!$C$5:$C$3004,"Retour"))</f>
        <v/>
      </c>
      <c r="X2504" s="66" t="n"/>
      <c r="Y2504" s="66" t="n"/>
      <c r="Z2504" s="7" t="n"/>
      <c r="AA2504" s="70">
        <f>IF($A2504="","",N(V2504)+N(W2504)+N(X2504)+N(Y2504))</f>
        <v/>
      </c>
      <c r="AB2504" s="70">
        <f>IF($A2504="","",N(S2504)*'Paramètres'!$AA$9*IFERROR(INDEX('Paramètres'!$O$5:$O$7,MATCH(G2504,'Paramètres'!$N$5:$N$7,0)),0))</f>
        <v/>
      </c>
      <c r="AC2504" s="7" t="n"/>
      <c r="AD2504" s="69">
        <f>IF(OR($A2504="",Q2504=""),"",(Q2504-B2504)*24)</f>
        <v/>
      </c>
      <c r="AE2504" s="69">
        <f>IF(OR(Q2504="",R2504=""),"",(R2504-Q2504)*24)</f>
        <v/>
      </c>
      <c r="AF2504" s="77">
        <f>IF(OR($A2504="",B2504=""),"",YEAR(B2504))</f>
        <v/>
      </c>
      <c r="AG2504" s="77">
        <f>IF(OR($A2504="",B2504=""),"",MONTH(B2504))</f>
        <v/>
      </c>
    </row>
    <row r="2505">
      <c r="A2505" s="7" t="n"/>
      <c r="B2505" s="75" t="n"/>
      <c r="C2505" s="7" t="n"/>
      <c r="D2505" s="7" t="n"/>
      <c r="E2505" s="9">
        <f>IF(D2505="","",IFERROR(INDEX('Équipements'!$B$5:$B$304,MATCH(D2505,'Équipements'!$A$5:$A$304,0)),"Code inconnu"))</f>
        <v/>
      </c>
      <c r="F2505" s="9">
        <f>IF(D2505="","",IFERROR(INDEX('Équipements'!$D$5:$D$304,MATCH(D2505,'Équipements'!$A$5:$A$304,0)),""))</f>
        <v/>
      </c>
      <c r="G2505" s="9">
        <f>IF(D2505="","",IFERROR(INDEX('Équipements'!$K$5:$K$304,MATCH(D2505,'Équipements'!$A$5:$A$304,0)),""))</f>
        <v/>
      </c>
      <c r="H2505" s="7" t="n"/>
      <c r="I2505" s="7" t="n"/>
      <c r="J2505" s="7" t="n"/>
      <c r="K2505" s="7" t="n"/>
      <c r="L2505" s="7" t="n"/>
      <c r="M2505" s="7" t="n"/>
      <c r="N2505" s="7" t="n"/>
      <c r="O2505" s="7" t="n"/>
      <c r="P2505" s="65" t="n"/>
      <c r="Q2505" s="75" t="n"/>
      <c r="R2505" s="75" t="n"/>
      <c r="S2505" s="76" t="n"/>
      <c r="T2505" s="76" t="n"/>
      <c r="U2505" s="70">
        <f>IF($A2505="","",IFERROR(INDEX('Techniciens'!$F$5:$F$44,MATCH(O2505,'Techniciens'!$B$5:$B$44,0)),'Paramètres'!$AA$10))</f>
        <v/>
      </c>
      <c r="V2505" s="70">
        <f>IF($A2505="","",IF(OR(AC2505="Demandé",AC2505="Planifié",AC2505="Annulé"),0,N(T2505)*N(U2505)))</f>
        <v/>
      </c>
      <c r="W2505" s="70">
        <f>IF($A2505="","",SUMIFS('Mouvements stock'!$H$5:$H$3004,'Mouvements stock'!$I$5:$I$3004,$A2505,'Mouvements stock'!$C$5:$C$3004,"Sortie")-SUMIFS('Mouvements stock'!$H$5:$H$3004,'Mouvements stock'!$I$5:$I$3004,$A2505,'Mouvements stock'!$C$5:$C$3004,"Retour"))</f>
        <v/>
      </c>
      <c r="X2505" s="66" t="n"/>
      <c r="Y2505" s="66" t="n"/>
      <c r="Z2505" s="7" t="n"/>
      <c r="AA2505" s="70">
        <f>IF($A2505="","",N(V2505)+N(W2505)+N(X2505)+N(Y2505))</f>
        <v/>
      </c>
      <c r="AB2505" s="70">
        <f>IF($A2505="","",N(S2505)*'Paramètres'!$AA$9*IFERROR(INDEX('Paramètres'!$O$5:$O$7,MATCH(G2505,'Paramètres'!$N$5:$N$7,0)),0))</f>
        <v/>
      </c>
      <c r="AC2505" s="7" t="n"/>
      <c r="AD2505" s="69">
        <f>IF(OR($A2505="",Q2505=""),"",(Q2505-B2505)*24)</f>
        <v/>
      </c>
      <c r="AE2505" s="69">
        <f>IF(OR(Q2505="",R2505=""),"",(R2505-Q2505)*24)</f>
        <v/>
      </c>
      <c r="AF2505" s="77">
        <f>IF(OR($A2505="",B2505=""),"",YEAR(B2505))</f>
        <v/>
      </c>
      <c r="AG2505" s="77">
        <f>IF(OR($A2505="",B2505=""),"",MONTH(B2505))</f>
        <v/>
      </c>
    </row>
    <row r="2506">
      <c r="A2506" s="7" t="n"/>
      <c r="B2506" s="75" t="n"/>
      <c r="C2506" s="7" t="n"/>
      <c r="D2506" s="7" t="n"/>
      <c r="E2506" s="9">
        <f>IF(D2506="","",IFERROR(INDEX('Équipements'!$B$5:$B$304,MATCH(D2506,'Équipements'!$A$5:$A$304,0)),"Code inconnu"))</f>
        <v/>
      </c>
      <c r="F2506" s="9">
        <f>IF(D2506="","",IFERROR(INDEX('Équipements'!$D$5:$D$304,MATCH(D2506,'Équipements'!$A$5:$A$304,0)),""))</f>
        <v/>
      </c>
      <c r="G2506" s="9">
        <f>IF(D2506="","",IFERROR(INDEX('Équipements'!$K$5:$K$304,MATCH(D2506,'Équipements'!$A$5:$A$304,0)),""))</f>
        <v/>
      </c>
      <c r="H2506" s="7" t="n"/>
      <c r="I2506" s="7" t="n"/>
      <c r="J2506" s="7" t="n"/>
      <c r="K2506" s="7" t="n"/>
      <c r="L2506" s="7" t="n"/>
      <c r="M2506" s="7" t="n"/>
      <c r="N2506" s="7" t="n"/>
      <c r="O2506" s="7" t="n"/>
      <c r="P2506" s="65" t="n"/>
      <c r="Q2506" s="75" t="n"/>
      <c r="R2506" s="75" t="n"/>
      <c r="S2506" s="76" t="n"/>
      <c r="T2506" s="76" t="n"/>
      <c r="U2506" s="70">
        <f>IF($A2506="","",IFERROR(INDEX('Techniciens'!$F$5:$F$44,MATCH(O2506,'Techniciens'!$B$5:$B$44,0)),'Paramètres'!$AA$10))</f>
        <v/>
      </c>
      <c r="V2506" s="70">
        <f>IF($A2506="","",IF(OR(AC2506="Demandé",AC2506="Planifié",AC2506="Annulé"),0,N(T2506)*N(U2506)))</f>
        <v/>
      </c>
      <c r="W2506" s="70">
        <f>IF($A2506="","",SUMIFS('Mouvements stock'!$H$5:$H$3004,'Mouvements stock'!$I$5:$I$3004,$A2506,'Mouvements stock'!$C$5:$C$3004,"Sortie")-SUMIFS('Mouvements stock'!$H$5:$H$3004,'Mouvements stock'!$I$5:$I$3004,$A2506,'Mouvements stock'!$C$5:$C$3004,"Retour"))</f>
        <v/>
      </c>
      <c r="X2506" s="66" t="n"/>
      <c r="Y2506" s="66" t="n"/>
      <c r="Z2506" s="7" t="n"/>
      <c r="AA2506" s="70">
        <f>IF($A2506="","",N(V2506)+N(W2506)+N(X2506)+N(Y2506))</f>
        <v/>
      </c>
      <c r="AB2506" s="70">
        <f>IF($A2506="","",N(S2506)*'Paramètres'!$AA$9*IFERROR(INDEX('Paramètres'!$O$5:$O$7,MATCH(G2506,'Paramètres'!$N$5:$N$7,0)),0))</f>
        <v/>
      </c>
      <c r="AC2506" s="7" t="n"/>
      <c r="AD2506" s="69">
        <f>IF(OR($A2506="",Q2506=""),"",(Q2506-B2506)*24)</f>
        <v/>
      </c>
      <c r="AE2506" s="69">
        <f>IF(OR(Q2506="",R2506=""),"",(R2506-Q2506)*24)</f>
        <v/>
      </c>
      <c r="AF2506" s="77">
        <f>IF(OR($A2506="",B2506=""),"",YEAR(B2506))</f>
        <v/>
      </c>
      <c r="AG2506" s="77">
        <f>IF(OR($A2506="",B2506=""),"",MONTH(B2506))</f>
        <v/>
      </c>
    </row>
    <row r="2507">
      <c r="A2507" s="7" t="n"/>
      <c r="B2507" s="75" t="n"/>
      <c r="C2507" s="7" t="n"/>
      <c r="D2507" s="7" t="n"/>
      <c r="E2507" s="9">
        <f>IF(D2507="","",IFERROR(INDEX('Équipements'!$B$5:$B$304,MATCH(D2507,'Équipements'!$A$5:$A$304,0)),"Code inconnu"))</f>
        <v/>
      </c>
      <c r="F2507" s="9">
        <f>IF(D2507="","",IFERROR(INDEX('Équipements'!$D$5:$D$304,MATCH(D2507,'Équipements'!$A$5:$A$304,0)),""))</f>
        <v/>
      </c>
      <c r="G2507" s="9">
        <f>IF(D2507="","",IFERROR(INDEX('Équipements'!$K$5:$K$304,MATCH(D2507,'Équipements'!$A$5:$A$304,0)),""))</f>
        <v/>
      </c>
      <c r="H2507" s="7" t="n"/>
      <c r="I2507" s="7" t="n"/>
      <c r="J2507" s="7" t="n"/>
      <c r="K2507" s="7" t="n"/>
      <c r="L2507" s="7" t="n"/>
      <c r="M2507" s="7" t="n"/>
      <c r="N2507" s="7" t="n"/>
      <c r="O2507" s="7" t="n"/>
      <c r="P2507" s="65" t="n"/>
      <c r="Q2507" s="75" t="n"/>
      <c r="R2507" s="75" t="n"/>
      <c r="S2507" s="76" t="n"/>
      <c r="T2507" s="76" t="n"/>
      <c r="U2507" s="70">
        <f>IF($A2507="","",IFERROR(INDEX('Techniciens'!$F$5:$F$44,MATCH(O2507,'Techniciens'!$B$5:$B$44,0)),'Paramètres'!$AA$10))</f>
        <v/>
      </c>
      <c r="V2507" s="70">
        <f>IF($A2507="","",IF(OR(AC2507="Demandé",AC2507="Planifié",AC2507="Annulé"),0,N(T2507)*N(U2507)))</f>
        <v/>
      </c>
      <c r="W2507" s="70">
        <f>IF($A2507="","",SUMIFS('Mouvements stock'!$H$5:$H$3004,'Mouvements stock'!$I$5:$I$3004,$A2507,'Mouvements stock'!$C$5:$C$3004,"Sortie")-SUMIFS('Mouvements stock'!$H$5:$H$3004,'Mouvements stock'!$I$5:$I$3004,$A2507,'Mouvements stock'!$C$5:$C$3004,"Retour"))</f>
        <v/>
      </c>
      <c r="X2507" s="66" t="n"/>
      <c r="Y2507" s="66" t="n"/>
      <c r="Z2507" s="7" t="n"/>
      <c r="AA2507" s="70">
        <f>IF($A2507="","",N(V2507)+N(W2507)+N(X2507)+N(Y2507))</f>
        <v/>
      </c>
      <c r="AB2507" s="70">
        <f>IF($A2507="","",N(S2507)*'Paramètres'!$AA$9*IFERROR(INDEX('Paramètres'!$O$5:$O$7,MATCH(G2507,'Paramètres'!$N$5:$N$7,0)),0))</f>
        <v/>
      </c>
      <c r="AC2507" s="7" t="n"/>
      <c r="AD2507" s="69">
        <f>IF(OR($A2507="",Q2507=""),"",(Q2507-B2507)*24)</f>
        <v/>
      </c>
      <c r="AE2507" s="69">
        <f>IF(OR(Q2507="",R2507=""),"",(R2507-Q2507)*24)</f>
        <v/>
      </c>
      <c r="AF2507" s="77">
        <f>IF(OR($A2507="",B2507=""),"",YEAR(B2507))</f>
        <v/>
      </c>
      <c r="AG2507" s="77">
        <f>IF(OR($A2507="",B2507=""),"",MONTH(B2507))</f>
        <v/>
      </c>
    </row>
    <row r="2508">
      <c r="A2508" s="7" t="n"/>
      <c r="B2508" s="75" t="n"/>
      <c r="C2508" s="7" t="n"/>
      <c r="D2508" s="7" t="n"/>
      <c r="E2508" s="9">
        <f>IF(D2508="","",IFERROR(INDEX('Équipements'!$B$5:$B$304,MATCH(D2508,'Équipements'!$A$5:$A$304,0)),"Code inconnu"))</f>
        <v/>
      </c>
      <c r="F2508" s="9">
        <f>IF(D2508="","",IFERROR(INDEX('Équipements'!$D$5:$D$304,MATCH(D2508,'Équipements'!$A$5:$A$304,0)),""))</f>
        <v/>
      </c>
      <c r="G2508" s="9">
        <f>IF(D2508="","",IFERROR(INDEX('Équipements'!$K$5:$K$304,MATCH(D2508,'Équipements'!$A$5:$A$304,0)),""))</f>
        <v/>
      </c>
      <c r="H2508" s="7" t="n"/>
      <c r="I2508" s="7" t="n"/>
      <c r="J2508" s="7" t="n"/>
      <c r="K2508" s="7" t="n"/>
      <c r="L2508" s="7" t="n"/>
      <c r="M2508" s="7" t="n"/>
      <c r="N2508" s="7" t="n"/>
      <c r="O2508" s="7" t="n"/>
      <c r="P2508" s="65" t="n"/>
      <c r="Q2508" s="75" t="n"/>
      <c r="R2508" s="75" t="n"/>
      <c r="S2508" s="76" t="n"/>
      <c r="T2508" s="76" t="n"/>
      <c r="U2508" s="70">
        <f>IF($A2508="","",IFERROR(INDEX('Techniciens'!$F$5:$F$44,MATCH(O2508,'Techniciens'!$B$5:$B$44,0)),'Paramètres'!$AA$10))</f>
        <v/>
      </c>
      <c r="V2508" s="70">
        <f>IF($A2508="","",IF(OR(AC2508="Demandé",AC2508="Planifié",AC2508="Annulé"),0,N(T2508)*N(U2508)))</f>
        <v/>
      </c>
      <c r="W2508" s="70">
        <f>IF($A2508="","",SUMIFS('Mouvements stock'!$H$5:$H$3004,'Mouvements stock'!$I$5:$I$3004,$A2508,'Mouvements stock'!$C$5:$C$3004,"Sortie")-SUMIFS('Mouvements stock'!$H$5:$H$3004,'Mouvements stock'!$I$5:$I$3004,$A2508,'Mouvements stock'!$C$5:$C$3004,"Retour"))</f>
        <v/>
      </c>
      <c r="X2508" s="66" t="n"/>
      <c r="Y2508" s="66" t="n"/>
      <c r="Z2508" s="7" t="n"/>
      <c r="AA2508" s="70">
        <f>IF($A2508="","",N(V2508)+N(W2508)+N(X2508)+N(Y2508))</f>
        <v/>
      </c>
      <c r="AB2508" s="70">
        <f>IF($A2508="","",N(S2508)*'Paramètres'!$AA$9*IFERROR(INDEX('Paramètres'!$O$5:$O$7,MATCH(G2508,'Paramètres'!$N$5:$N$7,0)),0))</f>
        <v/>
      </c>
      <c r="AC2508" s="7" t="n"/>
      <c r="AD2508" s="69">
        <f>IF(OR($A2508="",Q2508=""),"",(Q2508-B2508)*24)</f>
        <v/>
      </c>
      <c r="AE2508" s="69">
        <f>IF(OR(Q2508="",R2508=""),"",(R2508-Q2508)*24)</f>
        <v/>
      </c>
      <c r="AF2508" s="77">
        <f>IF(OR($A2508="",B2508=""),"",YEAR(B2508))</f>
        <v/>
      </c>
      <c r="AG2508" s="77">
        <f>IF(OR($A2508="",B2508=""),"",MONTH(B2508))</f>
        <v/>
      </c>
    </row>
    <row r="2509">
      <c r="A2509" s="7" t="n"/>
      <c r="B2509" s="75" t="n"/>
      <c r="C2509" s="7" t="n"/>
      <c r="D2509" s="7" t="n"/>
      <c r="E2509" s="9">
        <f>IF(D2509="","",IFERROR(INDEX('Équipements'!$B$5:$B$304,MATCH(D2509,'Équipements'!$A$5:$A$304,0)),"Code inconnu"))</f>
        <v/>
      </c>
      <c r="F2509" s="9">
        <f>IF(D2509="","",IFERROR(INDEX('Équipements'!$D$5:$D$304,MATCH(D2509,'Équipements'!$A$5:$A$304,0)),""))</f>
        <v/>
      </c>
      <c r="G2509" s="9">
        <f>IF(D2509="","",IFERROR(INDEX('Équipements'!$K$5:$K$304,MATCH(D2509,'Équipements'!$A$5:$A$304,0)),""))</f>
        <v/>
      </c>
      <c r="H2509" s="7" t="n"/>
      <c r="I2509" s="7" t="n"/>
      <c r="J2509" s="7" t="n"/>
      <c r="K2509" s="7" t="n"/>
      <c r="L2509" s="7" t="n"/>
      <c r="M2509" s="7" t="n"/>
      <c r="N2509" s="7" t="n"/>
      <c r="O2509" s="7" t="n"/>
      <c r="P2509" s="65" t="n"/>
      <c r="Q2509" s="75" t="n"/>
      <c r="R2509" s="75" t="n"/>
      <c r="S2509" s="76" t="n"/>
      <c r="T2509" s="76" t="n"/>
      <c r="U2509" s="70">
        <f>IF($A2509="","",IFERROR(INDEX('Techniciens'!$F$5:$F$44,MATCH(O2509,'Techniciens'!$B$5:$B$44,0)),'Paramètres'!$AA$10))</f>
        <v/>
      </c>
      <c r="V2509" s="70">
        <f>IF($A2509="","",IF(OR(AC2509="Demandé",AC2509="Planifié",AC2509="Annulé"),0,N(T2509)*N(U2509)))</f>
        <v/>
      </c>
      <c r="W2509" s="70">
        <f>IF($A2509="","",SUMIFS('Mouvements stock'!$H$5:$H$3004,'Mouvements stock'!$I$5:$I$3004,$A2509,'Mouvements stock'!$C$5:$C$3004,"Sortie")-SUMIFS('Mouvements stock'!$H$5:$H$3004,'Mouvements stock'!$I$5:$I$3004,$A2509,'Mouvements stock'!$C$5:$C$3004,"Retour"))</f>
        <v/>
      </c>
      <c r="X2509" s="66" t="n"/>
      <c r="Y2509" s="66" t="n"/>
      <c r="Z2509" s="7" t="n"/>
      <c r="AA2509" s="70">
        <f>IF($A2509="","",N(V2509)+N(W2509)+N(X2509)+N(Y2509))</f>
        <v/>
      </c>
      <c r="AB2509" s="70">
        <f>IF($A2509="","",N(S2509)*'Paramètres'!$AA$9*IFERROR(INDEX('Paramètres'!$O$5:$O$7,MATCH(G2509,'Paramètres'!$N$5:$N$7,0)),0))</f>
        <v/>
      </c>
      <c r="AC2509" s="7" t="n"/>
      <c r="AD2509" s="69">
        <f>IF(OR($A2509="",Q2509=""),"",(Q2509-B2509)*24)</f>
        <v/>
      </c>
      <c r="AE2509" s="69">
        <f>IF(OR(Q2509="",R2509=""),"",(R2509-Q2509)*24)</f>
        <v/>
      </c>
      <c r="AF2509" s="77">
        <f>IF(OR($A2509="",B2509=""),"",YEAR(B2509))</f>
        <v/>
      </c>
      <c r="AG2509" s="77">
        <f>IF(OR($A2509="",B2509=""),"",MONTH(B2509))</f>
        <v/>
      </c>
    </row>
    <row r="2510">
      <c r="A2510" s="7" t="n"/>
      <c r="B2510" s="75" t="n"/>
      <c r="C2510" s="7" t="n"/>
      <c r="D2510" s="7" t="n"/>
      <c r="E2510" s="9">
        <f>IF(D2510="","",IFERROR(INDEX('Équipements'!$B$5:$B$304,MATCH(D2510,'Équipements'!$A$5:$A$304,0)),"Code inconnu"))</f>
        <v/>
      </c>
      <c r="F2510" s="9">
        <f>IF(D2510="","",IFERROR(INDEX('Équipements'!$D$5:$D$304,MATCH(D2510,'Équipements'!$A$5:$A$304,0)),""))</f>
        <v/>
      </c>
      <c r="G2510" s="9">
        <f>IF(D2510="","",IFERROR(INDEX('Équipements'!$K$5:$K$304,MATCH(D2510,'Équipements'!$A$5:$A$304,0)),""))</f>
        <v/>
      </c>
      <c r="H2510" s="7" t="n"/>
      <c r="I2510" s="7" t="n"/>
      <c r="J2510" s="7" t="n"/>
      <c r="K2510" s="7" t="n"/>
      <c r="L2510" s="7" t="n"/>
      <c r="M2510" s="7" t="n"/>
      <c r="N2510" s="7" t="n"/>
      <c r="O2510" s="7" t="n"/>
      <c r="P2510" s="65" t="n"/>
      <c r="Q2510" s="75" t="n"/>
      <c r="R2510" s="75" t="n"/>
      <c r="S2510" s="76" t="n"/>
      <c r="T2510" s="76" t="n"/>
      <c r="U2510" s="70">
        <f>IF($A2510="","",IFERROR(INDEX('Techniciens'!$F$5:$F$44,MATCH(O2510,'Techniciens'!$B$5:$B$44,0)),'Paramètres'!$AA$10))</f>
        <v/>
      </c>
      <c r="V2510" s="70">
        <f>IF($A2510="","",IF(OR(AC2510="Demandé",AC2510="Planifié",AC2510="Annulé"),0,N(T2510)*N(U2510)))</f>
        <v/>
      </c>
      <c r="W2510" s="70">
        <f>IF($A2510="","",SUMIFS('Mouvements stock'!$H$5:$H$3004,'Mouvements stock'!$I$5:$I$3004,$A2510,'Mouvements stock'!$C$5:$C$3004,"Sortie")-SUMIFS('Mouvements stock'!$H$5:$H$3004,'Mouvements stock'!$I$5:$I$3004,$A2510,'Mouvements stock'!$C$5:$C$3004,"Retour"))</f>
        <v/>
      </c>
      <c r="X2510" s="66" t="n"/>
      <c r="Y2510" s="66" t="n"/>
      <c r="Z2510" s="7" t="n"/>
      <c r="AA2510" s="70">
        <f>IF($A2510="","",N(V2510)+N(W2510)+N(X2510)+N(Y2510))</f>
        <v/>
      </c>
      <c r="AB2510" s="70">
        <f>IF($A2510="","",N(S2510)*'Paramètres'!$AA$9*IFERROR(INDEX('Paramètres'!$O$5:$O$7,MATCH(G2510,'Paramètres'!$N$5:$N$7,0)),0))</f>
        <v/>
      </c>
      <c r="AC2510" s="7" t="n"/>
      <c r="AD2510" s="69">
        <f>IF(OR($A2510="",Q2510=""),"",(Q2510-B2510)*24)</f>
        <v/>
      </c>
      <c r="AE2510" s="69">
        <f>IF(OR(Q2510="",R2510=""),"",(R2510-Q2510)*24)</f>
        <v/>
      </c>
      <c r="AF2510" s="77">
        <f>IF(OR($A2510="",B2510=""),"",YEAR(B2510))</f>
        <v/>
      </c>
      <c r="AG2510" s="77">
        <f>IF(OR($A2510="",B2510=""),"",MONTH(B2510))</f>
        <v/>
      </c>
    </row>
    <row r="2511">
      <c r="A2511" s="7" t="n"/>
      <c r="B2511" s="75" t="n"/>
      <c r="C2511" s="7" t="n"/>
      <c r="D2511" s="7" t="n"/>
      <c r="E2511" s="9">
        <f>IF(D2511="","",IFERROR(INDEX('Équipements'!$B$5:$B$304,MATCH(D2511,'Équipements'!$A$5:$A$304,0)),"Code inconnu"))</f>
        <v/>
      </c>
      <c r="F2511" s="9">
        <f>IF(D2511="","",IFERROR(INDEX('Équipements'!$D$5:$D$304,MATCH(D2511,'Équipements'!$A$5:$A$304,0)),""))</f>
        <v/>
      </c>
      <c r="G2511" s="9">
        <f>IF(D2511="","",IFERROR(INDEX('Équipements'!$K$5:$K$304,MATCH(D2511,'Équipements'!$A$5:$A$304,0)),""))</f>
        <v/>
      </c>
      <c r="H2511" s="7" t="n"/>
      <c r="I2511" s="7" t="n"/>
      <c r="J2511" s="7" t="n"/>
      <c r="K2511" s="7" t="n"/>
      <c r="L2511" s="7" t="n"/>
      <c r="M2511" s="7" t="n"/>
      <c r="N2511" s="7" t="n"/>
      <c r="O2511" s="7" t="n"/>
      <c r="P2511" s="65" t="n"/>
      <c r="Q2511" s="75" t="n"/>
      <c r="R2511" s="75" t="n"/>
      <c r="S2511" s="76" t="n"/>
      <c r="T2511" s="76" t="n"/>
      <c r="U2511" s="70">
        <f>IF($A2511="","",IFERROR(INDEX('Techniciens'!$F$5:$F$44,MATCH(O2511,'Techniciens'!$B$5:$B$44,0)),'Paramètres'!$AA$10))</f>
        <v/>
      </c>
      <c r="V2511" s="70">
        <f>IF($A2511="","",IF(OR(AC2511="Demandé",AC2511="Planifié",AC2511="Annulé"),0,N(T2511)*N(U2511)))</f>
        <v/>
      </c>
      <c r="W2511" s="70">
        <f>IF($A2511="","",SUMIFS('Mouvements stock'!$H$5:$H$3004,'Mouvements stock'!$I$5:$I$3004,$A2511,'Mouvements stock'!$C$5:$C$3004,"Sortie")-SUMIFS('Mouvements stock'!$H$5:$H$3004,'Mouvements stock'!$I$5:$I$3004,$A2511,'Mouvements stock'!$C$5:$C$3004,"Retour"))</f>
        <v/>
      </c>
      <c r="X2511" s="66" t="n"/>
      <c r="Y2511" s="66" t="n"/>
      <c r="Z2511" s="7" t="n"/>
      <c r="AA2511" s="70">
        <f>IF($A2511="","",N(V2511)+N(W2511)+N(X2511)+N(Y2511))</f>
        <v/>
      </c>
      <c r="AB2511" s="70">
        <f>IF($A2511="","",N(S2511)*'Paramètres'!$AA$9*IFERROR(INDEX('Paramètres'!$O$5:$O$7,MATCH(G2511,'Paramètres'!$N$5:$N$7,0)),0))</f>
        <v/>
      </c>
      <c r="AC2511" s="7" t="n"/>
      <c r="AD2511" s="69">
        <f>IF(OR($A2511="",Q2511=""),"",(Q2511-B2511)*24)</f>
        <v/>
      </c>
      <c r="AE2511" s="69">
        <f>IF(OR(Q2511="",R2511=""),"",(R2511-Q2511)*24)</f>
        <v/>
      </c>
      <c r="AF2511" s="77">
        <f>IF(OR($A2511="",B2511=""),"",YEAR(B2511))</f>
        <v/>
      </c>
      <c r="AG2511" s="77">
        <f>IF(OR($A2511="",B2511=""),"",MONTH(B2511))</f>
        <v/>
      </c>
    </row>
    <row r="2512">
      <c r="A2512" s="7" t="n"/>
      <c r="B2512" s="75" t="n"/>
      <c r="C2512" s="7" t="n"/>
      <c r="D2512" s="7" t="n"/>
      <c r="E2512" s="9">
        <f>IF(D2512="","",IFERROR(INDEX('Équipements'!$B$5:$B$304,MATCH(D2512,'Équipements'!$A$5:$A$304,0)),"Code inconnu"))</f>
        <v/>
      </c>
      <c r="F2512" s="9">
        <f>IF(D2512="","",IFERROR(INDEX('Équipements'!$D$5:$D$304,MATCH(D2512,'Équipements'!$A$5:$A$304,0)),""))</f>
        <v/>
      </c>
      <c r="G2512" s="9">
        <f>IF(D2512="","",IFERROR(INDEX('Équipements'!$K$5:$K$304,MATCH(D2512,'Équipements'!$A$5:$A$304,0)),""))</f>
        <v/>
      </c>
      <c r="H2512" s="7" t="n"/>
      <c r="I2512" s="7" t="n"/>
      <c r="J2512" s="7" t="n"/>
      <c r="K2512" s="7" t="n"/>
      <c r="L2512" s="7" t="n"/>
      <c r="M2512" s="7" t="n"/>
      <c r="N2512" s="7" t="n"/>
      <c r="O2512" s="7" t="n"/>
      <c r="P2512" s="65" t="n"/>
      <c r="Q2512" s="75" t="n"/>
      <c r="R2512" s="75" t="n"/>
      <c r="S2512" s="76" t="n"/>
      <c r="T2512" s="76" t="n"/>
      <c r="U2512" s="70">
        <f>IF($A2512="","",IFERROR(INDEX('Techniciens'!$F$5:$F$44,MATCH(O2512,'Techniciens'!$B$5:$B$44,0)),'Paramètres'!$AA$10))</f>
        <v/>
      </c>
      <c r="V2512" s="70">
        <f>IF($A2512="","",IF(OR(AC2512="Demandé",AC2512="Planifié",AC2512="Annulé"),0,N(T2512)*N(U2512)))</f>
        <v/>
      </c>
      <c r="W2512" s="70">
        <f>IF($A2512="","",SUMIFS('Mouvements stock'!$H$5:$H$3004,'Mouvements stock'!$I$5:$I$3004,$A2512,'Mouvements stock'!$C$5:$C$3004,"Sortie")-SUMIFS('Mouvements stock'!$H$5:$H$3004,'Mouvements stock'!$I$5:$I$3004,$A2512,'Mouvements stock'!$C$5:$C$3004,"Retour"))</f>
        <v/>
      </c>
      <c r="X2512" s="66" t="n"/>
      <c r="Y2512" s="66" t="n"/>
      <c r="Z2512" s="7" t="n"/>
      <c r="AA2512" s="70">
        <f>IF($A2512="","",N(V2512)+N(W2512)+N(X2512)+N(Y2512))</f>
        <v/>
      </c>
      <c r="AB2512" s="70">
        <f>IF($A2512="","",N(S2512)*'Paramètres'!$AA$9*IFERROR(INDEX('Paramètres'!$O$5:$O$7,MATCH(G2512,'Paramètres'!$N$5:$N$7,0)),0))</f>
        <v/>
      </c>
      <c r="AC2512" s="7" t="n"/>
      <c r="AD2512" s="69">
        <f>IF(OR($A2512="",Q2512=""),"",(Q2512-B2512)*24)</f>
        <v/>
      </c>
      <c r="AE2512" s="69">
        <f>IF(OR(Q2512="",R2512=""),"",(R2512-Q2512)*24)</f>
        <v/>
      </c>
      <c r="AF2512" s="77">
        <f>IF(OR($A2512="",B2512=""),"",YEAR(B2512))</f>
        <v/>
      </c>
      <c r="AG2512" s="77">
        <f>IF(OR($A2512="",B2512=""),"",MONTH(B2512))</f>
        <v/>
      </c>
    </row>
    <row r="2513">
      <c r="A2513" s="7" t="n"/>
      <c r="B2513" s="75" t="n"/>
      <c r="C2513" s="7" t="n"/>
      <c r="D2513" s="7" t="n"/>
      <c r="E2513" s="9">
        <f>IF(D2513="","",IFERROR(INDEX('Équipements'!$B$5:$B$304,MATCH(D2513,'Équipements'!$A$5:$A$304,0)),"Code inconnu"))</f>
        <v/>
      </c>
      <c r="F2513" s="9">
        <f>IF(D2513="","",IFERROR(INDEX('Équipements'!$D$5:$D$304,MATCH(D2513,'Équipements'!$A$5:$A$304,0)),""))</f>
        <v/>
      </c>
      <c r="G2513" s="9">
        <f>IF(D2513="","",IFERROR(INDEX('Équipements'!$K$5:$K$304,MATCH(D2513,'Équipements'!$A$5:$A$304,0)),""))</f>
        <v/>
      </c>
      <c r="H2513" s="7" t="n"/>
      <c r="I2513" s="7" t="n"/>
      <c r="J2513" s="7" t="n"/>
      <c r="K2513" s="7" t="n"/>
      <c r="L2513" s="7" t="n"/>
      <c r="M2513" s="7" t="n"/>
      <c r="N2513" s="7" t="n"/>
      <c r="O2513" s="7" t="n"/>
      <c r="P2513" s="65" t="n"/>
      <c r="Q2513" s="75" t="n"/>
      <c r="R2513" s="75" t="n"/>
      <c r="S2513" s="76" t="n"/>
      <c r="T2513" s="76" t="n"/>
      <c r="U2513" s="70">
        <f>IF($A2513="","",IFERROR(INDEX('Techniciens'!$F$5:$F$44,MATCH(O2513,'Techniciens'!$B$5:$B$44,0)),'Paramètres'!$AA$10))</f>
        <v/>
      </c>
      <c r="V2513" s="70">
        <f>IF($A2513="","",IF(OR(AC2513="Demandé",AC2513="Planifié",AC2513="Annulé"),0,N(T2513)*N(U2513)))</f>
        <v/>
      </c>
      <c r="W2513" s="70">
        <f>IF($A2513="","",SUMIFS('Mouvements stock'!$H$5:$H$3004,'Mouvements stock'!$I$5:$I$3004,$A2513,'Mouvements stock'!$C$5:$C$3004,"Sortie")-SUMIFS('Mouvements stock'!$H$5:$H$3004,'Mouvements stock'!$I$5:$I$3004,$A2513,'Mouvements stock'!$C$5:$C$3004,"Retour"))</f>
        <v/>
      </c>
      <c r="X2513" s="66" t="n"/>
      <c r="Y2513" s="66" t="n"/>
      <c r="Z2513" s="7" t="n"/>
      <c r="AA2513" s="70">
        <f>IF($A2513="","",N(V2513)+N(W2513)+N(X2513)+N(Y2513))</f>
        <v/>
      </c>
      <c r="AB2513" s="70">
        <f>IF($A2513="","",N(S2513)*'Paramètres'!$AA$9*IFERROR(INDEX('Paramètres'!$O$5:$O$7,MATCH(G2513,'Paramètres'!$N$5:$N$7,0)),0))</f>
        <v/>
      </c>
      <c r="AC2513" s="7" t="n"/>
      <c r="AD2513" s="69">
        <f>IF(OR($A2513="",Q2513=""),"",(Q2513-B2513)*24)</f>
        <v/>
      </c>
      <c r="AE2513" s="69">
        <f>IF(OR(Q2513="",R2513=""),"",(R2513-Q2513)*24)</f>
        <v/>
      </c>
      <c r="AF2513" s="77">
        <f>IF(OR($A2513="",B2513=""),"",YEAR(B2513))</f>
        <v/>
      </c>
      <c r="AG2513" s="77">
        <f>IF(OR($A2513="",B2513=""),"",MONTH(B2513))</f>
        <v/>
      </c>
    </row>
    <row r="2514">
      <c r="A2514" s="7" t="n"/>
      <c r="B2514" s="75" t="n"/>
      <c r="C2514" s="7" t="n"/>
      <c r="D2514" s="7" t="n"/>
      <c r="E2514" s="9">
        <f>IF(D2514="","",IFERROR(INDEX('Équipements'!$B$5:$B$304,MATCH(D2514,'Équipements'!$A$5:$A$304,0)),"Code inconnu"))</f>
        <v/>
      </c>
      <c r="F2514" s="9">
        <f>IF(D2514="","",IFERROR(INDEX('Équipements'!$D$5:$D$304,MATCH(D2514,'Équipements'!$A$5:$A$304,0)),""))</f>
        <v/>
      </c>
      <c r="G2514" s="9">
        <f>IF(D2514="","",IFERROR(INDEX('Équipements'!$K$5:$K$304,MATCH(D2514,'Équipements'!$A$5:$A$304,0)),""))</f>
        <v/>
      </c>
      <c r="H2514" s="7" t="n"/>
      <c r="I2514" s="7" t="n"/>
      <c r="J2514" s="7" t="n"/>
      <c r="K2514" s="7" t="n"/>
      <c r="L2514" s="7" t="n"/>
      <c r="M2514" s="7" t="n"/>
      <c r="N2514" s="7" t="n"/>
      <c r="O2514" s="7" t="n"/>
      <c r="P2514" s="65" t="n"/>
      <c r="Q2514" s="75" t="n"/>
      <c r="R2514" s="75" t="n"/>
      <c r="S2514" s="76" t="n"/>
      <c r="T2514" s="76" t="n"/>
      <c r="U2514" s="70">
        <f>IF($A2514="","",IFERROR(INDEX('Techniciens'!$F$5:$F$44,MATCH(O2514,'Techniciens'!$B$5:$B$44,0)),'Paramètres'!$AA$10))</f>
        <v/>
      </c>
      <c r="V2514" s="70">
        <f>IF($A2514="","",IF(OR(AC2514="Demandé",AC2514="Planifié",AC2514="Annulé"),0,N(T2514)*N(U2514)))</f>
        <v/>
      </c>
      <c r="W2514" s="70">
        <f>IF($A2514="","",SUMIFS('Mouvements stock'!$H$5:$H$3004,'Mouvements stock'!$I$5:$I$3004,$A2514,'Mouvements stock'!$C$5:$C$3004,"Sortie")-SUMIFS('Mouvements stock'!$H$5:$H$3004,'Mouvements stock'!$I$5:$I$3004,$A2514,'Mouvements stock'!$C$5:$C$3004,"Retour"))</f>
        <v/>
      </c>
      <c r="X2514" s="66" t="n"/>
      <c r="Y2514" s="66" t="n"/>
      <c r="Z2514" s="7" t="n"/>
      <c r="AA2514" s="70">
        <f>IF($A2514="","",N(V2514)+N(W2514)+N(X2514)+N(Y2514))</f>
        <v/>
      </c>
      <c r="AB2514" s="70">
        <f>IF($A2514="","",N(S2514)*'Paramètres'!$AA$9*IFERROR(INDEX('Paramètres'!$O$5:$O$7,MATCH(G2514,'Paramètres'!$N$5:$N$7,0)),0))</f>
        <v/>
      </c>
      <c r="AC2514" s="7" t="n"/>
      <c r="AD2514" s="69">
        <f>IF(OR($A2514="",Q2514=""),"",(Q2514-B2514)*24)</f>
        <v/>
      </c>
      <c r="AE2514" s="69">
        <f>IF(OR(Q2514="",R2514=""),"",(R2514-Q2514)*24)</f>
        <v/>
      </c>
      <c r="AF2514" s="77">
        <f>IF(OR($A2514="",B2514=""),"",YEAR(B2514))</f>
        <v/>
      </c>
      <c r="AG2514" s="77">
        <f>IF(OR($A2514="",B2514=""),"",MONTH(B2514))</f>
        <v/>
      </c>
    </row>
    <row r="2515">
      <c r="A2515" s="7" t="n"/>
      <c r="B2515" s="75" t="n"/>
      <c r="C2515" s="7" t="n"/>
      <c r="D2515" s="7" t="n"/>
      <c r="E2515" s="9">
        <f>IF(D2515="","",IFERROR(INDEX('Équipements'!$B$5:$B$304,MATCH(D2515,'Équipements'!$A$5:$A$304,0)),"Code inconnu"))</f>
        <v/>
      </c>
      <c r="F2515" s="9">
        <f>IF(D2515="","",IFERROR(INDEX('Équipements'!$D$5:$D$304,MATCH(D2515,'Équipements'!$A$5:$A$304,0)),""))</f>
        <v/>
      </c>
      <c r="G2515" s="9">
        <f>IF(D2515="","",IFERROR(INDEX('Équipements'!$K$5:$K$304,MATCH(D2515,'Équipements'!$A$5:$A$304,0)),""))</f>
        <v/>
      </c>
      <c r="H2515" s="7" t="n"/>
      <c r="I2515" s="7" t="n"/>
      <c r="J2515" s="7" t="n"/>
      <c r="K2515" s="7" t="n"/>
      <c r="L2515" s="7" t="n"/>
      <c r="M2515" s="7" t="n"/>
      <c r="N2515" s="7" t="n"/>
      <c r="O2515" s="7" t="n"/>
      <c r="P2515" s="65" t="n"/>
      <c r="Q2515" s="75" t="n"/>
      <c r="R2515" s="75" t="n"/>
      <c r="S2515" s="76" t="n"/>
      <c r="T2515" s="76" t="n"/>
      <c r="U2515" s="70">
        <f>IF($A2515="","",IFERROR(INDEX('Techniciens'!$F$5:$F$44,MATCH(O2515,'Techniciens'!$B$5:$B$44,0)),'Paramètres'!$AA$10))</f>
        <v/>
      </c>
      <c r="V2515" s="70">
        <f>IF($A2515="","",IF(OR(AC2515="Demandé",AC2515="Planifié",AC2515="Annulé"),0,N(T2515)*N(U2515)))</f>
        <v/>
      </c>
      <c r="W2515" s="70">
        <f>IF($A2515="","",SUMIFS('Mouvements stock'!$H$5:$H$3004,'Mouvements stock'!$I$5:$I$3004,$A2515,'Mouvements stock'!$C$5:$C$3004,"Sortie")-SUMIFS('Mouvements stock'!$H$5:$H$3004,'Mouvements stock'!$I$5:$I$3004,$A2515,'Mouvements stock'!$C$5:$C$3004,"Retour"))</f>
        <v/>
      </c>
      <c r="X2515" s="66" t="n"/>
      <c r="Y2515" s="66" t="n"/>
      <c r="Z2515" s="7" t="n"/>
      <c r="AA2515" s="70">
        <f>IF($A2515="","",N(V2515)+N(W2515)+N(X2515)+N(Y2515))</f>
        <v/>
      </c>
      <c r="AB2515" s="70">
        <f>IF($A2515="","",N(S2515)*'Paramètres'!$AA$9*IFERROR(INDEX('Paramètres'!$O$5:$O$7,MATCH(G2515,'Paramètres'!$N$5:$N$7,0)),0))</f>
        <v/>
      </c>
      <c r="AC2515" s="7" t="n"/>
      <c r="AD2515" s="69">
        <f>IF(OR($A2515="",Q2515=""),"",(Q2515-B2515)*24)</f>
        <v/>
      </c>
      <c r="AE2515" s="69">
        <f>IF(OR(Q2515="",R2515=""),"",(R2515-Q2515)*24)</f>
        <v/>
      </c>
      <c r="AF2515" s="77">
        <f>IF(OR($A2515="",B2515=""),"",YEAR(B2515))</f>
        <v/>
      </c>
      <c r="AG2515" s="77">
        <f>IF(OR($A2515="",B2515=""),"",MONTH(B2515))</f>
        <v/>
      </c>
    </row>
    <row r="2516">
      <c r="A2516" s="7" t="n"/>
      <c r="B2516" s="75" t="n"/>
      <c r="C2516" s="7" t="n"/>
      <c r="D2516" s="7" t="n"/>
      <c r="E2516" s="9">
        <f>IF(D2516="","",IFERROR(INDEX('Équipements'!$B$5:$B$304,MATCH(D2516,'Équipements'!$A$5:$A$304,0)),"Code inconnu"))</f>
        <v/>
      </c>
      <c r="F2516" s="9">
        <f>IF(D2516="","",IFERROR(INDEX('Équipements'!$D$5:$D$304,MATCH(D2516,'Équipements'!$A$5:$A$304,0)),""))</f>
        <v/>
      </c>
      <c r="G2516" s="9">
        <f>IF(D2516="","",IFERROR(INDEX('Équipements'!$K$5:$K$304,MATCH(D2516,'Équipements'!$A$5:$A$304,0)),""))</f>
        <v/>
      </c>
      <c r="H2516" s="7" t="n"/>
      <c r="I2516" s="7" t="n"/>
      <c r="J2516" s="7" t="n"/>
      <c r="K2516" s="7" t="n"/>
      <c r="L2516" s="7" t="n"/>
      <c r="M2516" s="7" t="n"/>
      <c r="N2516" s="7" t="n"/>
      <c r="O2516" s="7" t="n"/>
      <c r="P2516" s="65" t="n"/>
      <c r="Q2516" s="75" t="n"/>
      <c r="R2516" s="75" t="n"/>
      <c r="S2516" s="76" t="n"/>
      <c r="T2516" s="76" t="n"/>
      <c r="U2516" s="70">
        <f>IF($A2516="","",IFERROR(INDEX('Techniciens'!$F$5:$F$44,MATCH(O2516,'Techniciens'!$B$5:$B$44,0)),'Paramètres'!$AA$10))</f>
        <v/>
      </c>
      <c r="V2516" s="70">
        <f>IF($A2516="","",IF(OR(AC2516="Demandé",AC2516="Planifié",AC2516="Annulé"),0,N(T2516)*N(U2516)))</f>
        <v/>
      </c>
      <c r="W2516" s="70">
        <f>IF($A2516="","",SUMIFS('Mouvements stock'!$H$5:$H$3004,'Mouvements stock'!$I$5:$I$3004,$A2516,'Mouvements stock'!$C$5:$C$3004,"Sortie")-SUMIFS('Mouvements stock'!$H$5:$H$3004,'Mouvements stock'!$I$5:$I$3004,$A2516,'Mouvements stock'!$C$5:$C$3004,"Retour"))</f>
        <v/>
      </c>
      <c r="X2516" s="66" t="n"/>
      <c r="Y2516" s="66" t="n"/>
      <c r="Z2516" s="7" t="n"/>
      <c r="AA2516" s="70">
        <f>IF($A2516="","",N(V2516)+N(W2516)+N(X2516)+N(Y2516))</f>
        <v/>
      </c>
      <c r="AB2516" s="70">
        <f>IF($A2516="","",N(S2516)*'Paramètres'!$AA$9*IFERROR(INDEX('Paramètres'!$O$5:$O$7,MATCH(G2516,'Paramètres'!$N$5:$N$7,0)),0))</f>
        <v/>
      </c>
      <c r="AC2516" s="7" t="n"/>
      <c r="AD2516" s="69">
        <f>IF(OR($A2516="",Q2516=""),"",(Q2516-B2516)*24)</f>
        <v/>
      </c>
      <c r="AE2516" s="69">
        <f>IF(OR(Q2516="",R2516=""),"",(R2516-Q2516)*24)</f>
        <v/>
      </c>
      <c r="AF2516" s="77">
        <f>IF(OR($A2516="",B2516=""),"",YEAR(B2516))</f>
        <v/>
      </c>
      <c r="AG2516" s="77">
        <f>IF(OR($A2516="",B2516=""),"",MONTH(B2516))</f>
        <v/>
      </c>
    </row>
    <row r="2517">
      <c r="A2517" s="7" t="n"/>
      <c r="B2517" s="75" t="n"/>
      <c r="C2517" s="7" t="n"/>
      <c r="D2517" s="7" t="n"/>
      <c r="E2517" s="9">
        <f>IF(D2517="","",IFERROR(INDEX('Équipements'!$B$5:$B$304,MATCH(D2517,'Équipements'!$A$5:$A$304,0)),"Code inconnu"))</f>
        <v/>
      </c>
      <c r="F2517" s="9">
        <f>IF(D2517="","",IFERROR(INDEX('Équipements'!$D$5:$D$304,MATCH(D2517,'Équipements'!$A$5:$A$304,0)),""))</f>
        <v/>
      </c>
      <c r="G2517" s="9">
        <f>IF(D2517="","",IFERROR(INDEX('Équipements'!$K$5:$K$304,MATCH(D2517,'Équipements'!$A$5:$A$304,0)),""))</f>
        <v/>
      </c>
      <c r="H2517" s="7" t="n"/>
      <c r="I2517" s="7" t="n"/>
      <c r="J2517" s="7" t="n"/>
      <c r="K2517" s="7" t="n"/>
      <c r="L2517" s="7" t="n"/>
      <c r="M2517" s="7" t="n"/>
      <c r="N2517" s="7" t="n"/>
      <c r="O2517" s="7" t="n"/>
      <c r="P2517" s="65" t="n"/>
      <c r="Q2517" s="75" t="n"/>
      <c r="R2517" s="75" t="n"/>
      <c r="S2517" s="76" t="n"/>
      <c r="T2517" s="76" t="n"/>
      <c r="U2517" s="70">
        <f>IF($A2517="","",IFERROR(INDEX('Techniciens'!$F$5:$F$44,MATCH(O2517,'Techniciens'!$B$5:$B$44,0)),'Paramètres'!$AA$10))</f>
        <v/>
      </c>
      <c r="V2517" s="70">
        <f>IF($A2517="","",IF(OR(AC2517="Demandé",AC2517="Planifié",AC2517="Annulé"),0,N(T2517)*N(U2517)))</f>
        <v/>
      </c>
      <c r="W2517" s="70">
        <f>IF($A2517="","",SUMIFS('Mouvements stock'!$H$5:$H$3004,'Mouvements stock'!$I$5:$I$3004,$A2517,'Mouvements stock'!$C$5:$C$3004,"Sortie")-SUMIFS('Mouvements stock'!$H$5:$H$3004,'Mouvements stock'!$I$5:$I$3004,$A2517,'Mouvements stock'!$C$5:$C$3004,"Retour"))</f>
        <v/>
      </c>
      <c r="X2517" s="66" t="n"/>
      <c r="Y2517" s="66" t="n"/>
      <c r="Z2517" s="7" t="n"/>
      <c r="AA2517" s="70">
        <f>IF($A2517="","",N(V2517)+N(W2517)+N(X2517)+N(Y2517))</f>
        <v/>
      </c>
      <c r="AB2517" s="70">
        <f>IF($A2517="","",N(S2517)*'Paramètres'!$AA$9*IFERROR(INDEX('Paramètres'!$O$5:$O$7,MATCH(G2517,'Paramètres'!$N$5:$N$7,0)),0))</f>
        <v/>
      </c>
      <c r="AC2517" s="7" t="n"/>
      <c r="AD2517" s="69">
        <f>IF(OR($A2517="",Q2517=""),"",(Q2517-B2517)*24)</f>
        <v/>
      </c>
      <c r="AE2517" s="69">
        <f>IF(OR(Q2517="",R2517=""),"",(R2517-Q2517)*24)</f>
        <v/>
      </c>
      <c r="AF2517" s="77">
        <f>IF(OR($A2517="",B2517=""),"",YEAR(B2517))</f>
        <v/>
      </c>
      <c r="AG2517" s="77">
        <f>IF(OR($A2517="",B2517=""),"",MONTH(B2517))</f>
        <v/>
      </c>
    </row>
    <row r="2518">
      <c r="A2518" s="7" t="n"/>
      <c r="B2518" s="75" t="n"/>
      <c r="C2518" s="7" t="n"/>
      <c r="D2518" s="7" t="n"/>
      <c r="E2518" s="9">
        <f>IF(D2518="","",IFERROR(INDEX('Équipements'!$B$5:$B$304,MATCH(D2518,'Équipements'!$A$5:$A$304,0)),"Code inconnu"))</f>
        <v/>
      </c>
      <c r="F2518" s="9">
        <f>IF(D2518="","",IFERROR(INDEX('Équipements'!$D$5:$D$304,MATCH(D2518,'Équipements'!$A$5:$A$304,0)),""))</f>
        <v/>
      </c>
      <c r="G2518" s="9">
        <f>IF(D2518="","",IFERROR(INDEX('Équipements'!$K$5:$K$304,MATCH(D2518,'Équipements'!$A$5:$A$304,0)),""))</f>
        <v/>
      </c>
      <c r="H2518" s="7" t="n"/>
      <c r="I2518" s="7" t="n"/>
      <c r="J2518" s="7" t="n"/>
      <c r="K2518" s="7" t="n"/>
      <c r="L2518" s="7" t="n"/>
      <c r="M2518" s="7" t="n"/>
      <c r="N2518" s="7" t="n"/>
      <c r="O2518" s="7" t="n"/>
      <c r="P2518" s="65" t="n"/>
      <c r="Q2518" s="75" t="n"/>
      <c r="R2518" s="75" t="n"/>
      <c r="S2518" s="76" t="n"/>
      <c r="T2518" s="76" t="n"/>
      <c r="U2518" s="70">
        <f>IF($A2518="","",IFERROR(INDEX('Techniciens'!$F$5:$F$44,MATCH(O2518,'Techniciens'!$B$5:$B$44,0)),'Paramètres'!$AA$10))</f>
        <v/>
      </c>
      <c r="V2518" s="70">
        <f>IF($A2518="","",IF(OR(AC2518="Demandé",AC2518="Planifié",AC2518="Annulé"),0,N(T2518)*N(U2518)))</f>
        <v/>
      </c>
      <c r="W2518" s="70">
        <f>IF($A2518="","",SUMIFS('Mouvements stock'!$H$5:$H$3004,'Mouvements stock'!$I$5:$I$3004,$A2518,'Mouvements stock'!$C$5:$C$3004,"Sortie")-SUMIFS('Mouvements stock'!$H$5:$H$3004,'Mouvements stock'!$I$5:$I$3004,$A2518,'Mouvements stock'!$C$5:$C$3004,"Retour"))</f>
        <v/>
      </c>
      <c r="X2518" s="66" t="n"/>
      <c r="Y2518" s="66" t="n"/>
      <c r="Z2518" s="7" t="n"/>
      <c r="AA2518" s="70">
        <f>IF($A2518="","",N(V2518)+N(W2518)+N(X2518)+N(Y2518))</f>
        <v/>
      </c>
      <c r="AB2518" s="70">
        <f>IF($A2518="","",N(S2518)*'Paramètres'!$AA$9*IFERROR(INDEX('Paramètres'!$O$5:$O$7,MATCH(G2518,'Paramètres'!$N$5:$N$7,0)),0))</f>
        <v/>
      </c>
      <c r="AC2518" s="7" t="n"/>
      <c r="AD2518" s="69">
        <f>IF(OR($A2518="",Q2518=""),"",(Q2518-B2518)*24)</f>
        <v/>
      </c>
      <c r="AE2518" s="69">
        <f>IF(OR(Q2518="",R2518=""),"",(R2518-Q2518)*24)</f>
        <v/>
      </c>
      <c r="AF2518" s="77">
        <f>IF(OR($A2518="",B2518=""),"",YEAR(B2518))</f>
        <v/>
      </c>
      <c r="AG2518" s="77">
        <f>IF(OR($A2518="",B2518=""),"",MONTH(B2518))</f>
        <v/>
      </c>
    </row>
    <row r="2519">
      <c r="A2519" s="7" t="n"/>
      <c r="B2519" s="75" t="n"/>
      <c r="C2519" s="7" t="n"/>
      <c r="D2519" s="7" t="n"/>
      <c r="E2519" s="9">
        <f>IF(D2519="","",IFERROR(INDEX('Équipements'!$B$5:$B$304,MATCH(D2519,'Équipements'!$A$5:$A$304,0)),"Code inconnu"))</f>
        <v/>
      </c>
      <c r="F2519" s="9">
        <f>IF(D2519="","",IFERROR(INDEX('Équipements'!$D$5:$D$304,MATCH(D2519,'Équipements'!$A$5:$A$304,0)),""))</f>
        <v/>
      </c>
      <c r="G2519" s="9">
        <f>IF(D2519="","",IFERROR(INDEX('Équipements'!$K$5:$K$304,MATCH(D2519,'Équipements'!$A$5:$A$304,0)),""))</f>
        <v/>
      </c>
      <c r="H2519" s="7" t="n"/>
      <c r="I2519" s="7" t="n"/>
      <c r="J2519" s="7" t="n"/>
      <c r="K2519" s="7" t="n"/>
      <c r="L2519" s="7" t="n"/>
      <c r="M2519" s="7" t="n"/>
      <c r="N2519" s="7" t="n"/>
      <c r="O2519" s="7" t="n"/>
      <c r="P2519" s="65" t="n"/>
      <c r="Q2519" s="75" t="n"/>
      <c r="R2519" s="75" t="n"/>
      <c r="S2519" s="76" t="n"/>
      <c r="T2519" s="76" t="n"/>
      <c r="U2519" s="70">
        <f>IF($A2519="","",IFERROR(INDEX('Techniciens'!$F$5:$F$44,MATCH(O2519,'Techniciens'!$B$5:$B$44,0)),'Paramètres'!$AA$10))</f>
        <v/>
      </c>
      <c r="V2519" s="70">
        <f>IF($A2519="","",IF(OR(AC2519="Demandé",AC2519="Planifié",AC2519="Annulé"),0,N(T2519)*N(U2519)))</f>
        <v/>
      </c>
      <c r="W2519" s="70">
        <f>IF($A2519="","",SUMIFS('Mouvements stock'!$H$5:$H$3004,'Mouvements stock'!$I$5:$I$3004,$A2519,'Mouvements stock'!$C$5:$C$3004,"Sortie")-SUMIFS('Mouvements stock'!$H$5:$H$3004,'Mouvements stock'!$I$5:$I$3004,$A2519,'Mouvements stock'!$C$5:$C$3004,"Retour"))</f>
        <v/>
      </c>
      <c r="X2519" s="66" t="n"/>
      <c r="Y2519" s="66" t="n"/>
      <c r="Z2519" s="7" t="n"/>
      <c r="AA2519" s="70">
        <f>IF($A2519="","",N(V2519)+N(W2519)+N(X2519)+N(Y2519))</f>
        <v/>
      </c>
      <c r="AB2519" s="70">
        <f>IF($A2519="","",N(S2519)*'Paramètres'!$AA$9*IFERROR(INDEX('Paramètres'!$O$5:$O$7,MATCH(G2519,'Paramètres'!$N$5:$N$7,0)),0))</f>
        <v/>
      </c>
      <c r="AC2519" s="7" t="n"/>
      <c r="AD2519" s="69">
        <f>IF(OR($A2519="",Q2519=""),"",(Q2519-B2519)*24)</f>
        <v/>
      </c>
      <c r="AE2519" s="69">
        <f>IF(OR(Q2519="",R2519=""),"",(R2519-Q2519)*24)</f>
        <v/>
      </c>
      <c r="AF2519" s="77">
        <f>IF(OR($A2519="",B2519=""),"",YEAR(B2519))</f>
        <v/>
      </c>
      <c r="AG2519" s="77">
        <f>IF(OR($A2519="",B2519=""),"",MONTH(B2519))</f>
        <v/>
      </c>
    </row>
    <row r="2520">
      <c r="A2520" s="7" t="n"/>
      <c r="B2520" s="75" t="n"/>
      <c r="C2520" s="7" t="n"/>
      <c r="D2520" s="7" t="n"/>
      <c r="E2520" s="9">
        <f>IF(D2520="","",IFERROR(INDEX('Équipements'!$B$5:$B$304,MATCH(D2520,'Équipements'!$A$5:$A$304,0)),"Code inconnu"))</f>
        <v/>
      </c>
      <c r="F2520" s="9">
        <f>IF(D2520="","",IFERROR(INDEX('Équipements'!$D$5:$D$304,MATCH(D2520,'Équipements'!$A$5:$A$304,0)),""))</f>
        <v/>
      </c>
      <c r="G2520" s="9">
        <f>IF(D2520="","",IFERROR(INDEX('Équipements'!$K$5:$K$304,MATCH(D2520,'Équipements'!$A$5:$A$304,0)),""))</f>
        <v/>
      </c>
      <c r="H2520" s="7" t="n"/>
      <c r="I2520" s="7" t="n"/>
      <c r="J2520" s="7" t="n"/>
      <c r="K2520" s="7" t="n"/>
      <c r="L2520" s="7" t="n"/>
      <c r="M2520" s="7" t="n"/>
      <c r="N2520" s="7" t="n"/>
      <c r="O2520" s="7" t="n"/>
      <c r="P2520" s="65" t="n"/>
      <c r="Q2520" s="75" t="n"/>
      <c r="R2520" s="75" t="n"/>
      <c r="S2520" s="76" t="n"/>
      <c r="T2520" s="76" t="n"/>
      <c r="U2520" s="70">
        <f>IF($A2520="","",IFERROR(INDEX('Techniciens'!$F$5:$F$44,MATCH(O2520,'Techniciens'!$B$5:$B$44,0)),'Paramètres'!$AA$10))</f>
        <v/>
      </c>
      <c r="V2520" s="70">
        <f>IF($A2520="","",IF(OR(AC2520="Demandé",AC2520="Planifié",AC2520="Annulé"),0,N(T2520)*N(U2520)))</f>
        <v/>
      </c>
      <c r="W2520" s="70">
        <f>IF($A2520="","",SUMIFS('Mouvements stock'!$H$5:$H$3004,'Mouvements stock'!$I$5:$I$3004,$A2520,'Mouvements stock'!$C$5:$C$3004,"Sortie")-SUMIFS('Mouvements stock'!$H$5:$H$3004,'Mouvements stock'!$I$5:$I$3004,$A2520,'Mouvements stock'!$C$5:$C$3004,"Retour"))</f>
        <v/>
      </c>
      <c r="X2520" s="66" t="n"/>
      <c r="Y2520" s="66" t="n"/>
      <c r="Z2520" s="7" t="n"/>
      <c r="AA2520" s="70">
        <f>IF($A2520="","",N(V2520)+N(W2520)+N(X2520)+N(Y2520))</f>
        <v/>
      </c>
      <c r="AB2520" s="70">
        <f>IF($A2520="","",N(S2520)*'Paramètres'!$AA$9*IFERROR(INDEX('Paramètres'!$O$5:$O$7,MATCH(G2520,'Paramètres'!$N$5:$N$7,0)),0))</f>
        <v/>
      </c>
      <c r="AC2520" s="7" t="n"/>
      <c r="AD2520" s="69">
        <f>IF(OR($A2520="",Q2520=""),"",(Q2520-B2520)*24)</f>
        <v/>
      </c>
      <c r="AE2520" s="69">
        <f>IF(OR(Q2520="",R2520=""),"",(R2520-Q2520)*24)</f>
        <v/>
      </c>
      <c r="AF2520" s="77">
        <f>IF(OR($A2520="",B2520=""),"",YEAR(B2520))</f>
        <v/>
      </c>
      <c r="AG2520" s="77">
        <f>IF(OR($A2520="",B2520=""),"",MONTH(B2520))</f>
        <v/>
      </c>
    </row>
    <row r="2521">
      <c r="A2521" s="7" t="n"/>
      <c r="B2521" s="75" t="n"/>
      <c r="C2521" s="7" t="n"/>
      <c r="D2521" s="7" t="n"/>
      <c r="E2521" s="9">
        <f>IF(D2521="","",IFERROR(INDEX('Équipements'!$B$5:$B$304,MATCH(D2521,'Équipements'!$A$5:$A$304,0)),"Code inconnu"))</f>
        <v/>
      </c>
      <c r="F2521" s="9">
        <f>IF(D2521="","",IFERROR(INDEX('Équipements'!$D$5:$D$304,MATCH(D2521,'Équipements'!$A$5:$A$304,0)),""))</f>
        <v/>
      </c>
      <c r="G2521" s="9">
        <f>IF(D2521="","",IFERROR(INDEX('Équipements'!$K$5:$K$304,MATCH(D2521,'Équipements'!$A$5:$A$304,0)),""))</f>
        <v/>
      </c>
      <c r="H2521" s="7" t="n"/>
      <c r="I2521" s="7" t="n"/>
      <c r="J2521" s="7" t="n"/>
      <c r="K2521" s="7" t="n"/>
      <c r="L2521" s="7" t="n"/>
      <c r="M2521" s="7" t="n"/>
      <c r="N2521" s="7" t="n"/>
      <c r="O2521" s="7" t="n"/>
      <c r="P2521" s="65" t="n"/>
      <c r="Q2521" s="75" t="n"/>
      <c r="R2521" s="75" t="n"/>
      <c r="S2521" s="76" t="n"/>
      <c r="T2521" s="76" t="n"/>
      <c r="U2521" s="70">
        <f>IF($A2521="","",IFERROR(INDEX('Techniciens'!$F$5:$F$44,MATCH(O2521,'Techniciens'!$B$5:$B$44,0)),'Paramètres'!$AA$10))</f>
        <v/>
      </c>
      <c r="V2521" s="70">
        <f>IF($A2521="","",IF(OR(AC2521="Demandé",AC2521="Planifié",AC2521="Annulé"),0,N(T2521)*N(U2521)))</f>
        <v/>
      </c>
      <c r="W2521" s="70">
        <f>IF($A2521="","",SUMIFS('Mouvements stock'!$H$5:$H$3004,'Mouvements stock'!$I$5:$I$3004,$A2521,'Mouvements stock'!$C$5:$C$3004,"Sortie")-SUMIFS('Mouvements stock'!$H$5:$H$3004,'Mouvements stock'!$I$5:$I$3004,$A2521,'Mouvements stock'!$C$5:$C$3004,"Retour"))</f>
        <v/>
      </c>
      <c r="X2521" s="66" t="n"/>
      <c r="Y2521" s="66" t="n"/>
      <c r="Z2521" s="7" t="n"/>
      <c r="AA2521" s="70">
        <f>IF($A2521="","",N(V2521)+N(W2521)+N(X2521)+N(Y2521))</f>
        <v/>
      </c>
      <c r="AB2521" s="70">
        <f>IF($A2521="","",N(S2521)*'Paramètres'!$AA$9*IFERROR(INDEX('Paramètres'!$O$5:$O$7,MATCH(G2521,'Paramètres'!$N$5:$N$7,0)),0))</f>
        <v/>
      </c>
      <c r="AC2521" s="7" t="n"/>
      <c r="AD2521" s="69">
        <f>IF(OR($A2521="",Q2521=""),"",(Q2521-B2521)*24)</f>
        <v/>
      </c>
      <c r="AE2521" s="69">
        <f>IF(OR(Q2521="",R2521=""),"",(R2521-Q2521)*24)</f>
        <v/>
      </c>
      <c r="AF2521" s="77">
        <f>IF(OR($A2521="",B2521=""),"",YEAR(B2521))</f>
        <v/>
      </c>
      <c r="AG2521" s="77">
        <f>IF(OR($A2521="",B2521=""),"",MONTH(B2521))</f>
        <v/>
      </c>
    </row>
    <row r="2522">
      <c r="A2522" s="7" t="n"/>
      <c r="B2522" s="75" t="n"/>
      <c r="C2522" s="7" t="n"/>
      <c r="D2522" s="7" t="n"/>
      <c r="E2522" s="9">
        <f>IF(D2522="","",IFERROR(INDEX('Équipements'!$B$5:$B$304,MATCH(D2522,'Équipements'!$A$5:$A$304,0)),"Code inconnu"))</f>
        <v/>
      </c>
      <c r="F2522" s="9">
        <f>IF(D2522="","",IFERROR(INDEX('Équipements'!$D$5:$D$304,MATCH(D2522,'Équipements'!$A$5:$A$304,0)),""))</f>
        <v/>
      </c>
      <c r="G2522" s="9">
        <f>IF(D2522="","",IFERROR(INDEX('Équipements'!$K$5:$K$304,MATCH(D2522,'Équipements'!$A$5:$A$304,0)),""))</f>
        <v/>
      </c>
      <c r="H2522" s="7" t="n"/>
      <c r="I2522" s="7" t="n"/>
      <c r="J2522" s="7" t="n"/>
      <c r="K2522" s="7" t="n"/>
      <c r="L2522" s="7" t="n"/>
      <c r="M2522" s="7" t="n"/>
      <c r="N2522" s="7" t="n"/>
      <c r="O2522" s="7" t="n"/>
      <c r="P2522" s="65" t="n"/>
      <c r="Q2522" s="75" t="n"/>
      <c r="R2522" s="75" t="n"/>
      <c r="S2522" s="76" t="n"/>
      <c r="T2522" s="76" t="n"/>
      <c r="U2522" s="70">
        <f>IF($A2522="","",IFERROR(INDEX('Techniciens'!$F$5:$F$44,MATCH(O2522,'Techniciens'!$B$5:$B$44,0)),'Paramètres'!$AA$10))</f>
        <v/>
      </c>
      <c r="V2522" s="70">
        <f>IF($A2522="","",IF(OR(AC2522="Demandé",AC2522="Planifié",AC2522="Annulé"),0,N(T2522)*N(U2522)))</f>
        <v/>
      </c>
      <c r="W2522" s="70">
        <f>IF($A2522="","",SUMIFS('Mouvements stock'!$H$5:$H$3004,'Mouvements stock'!$I$5:$I$3004,$A2522,'Mouvements stock'!$C$5:$C$3004,"Sortie")-SUMIFS('Mouvements stock'!$H$5:$H$3004,'Mouvements stock'!$I$5:$I$3004,$A2522,'Mouvements stock'!$C$5:$C$3004,"Retour"))</f>
        <v/>
      </c>
      <c r="X2522" s="66" t="n"/>
      <c r="Y2522" s="66" t="n"/>
      <c r="Z2522" s="7" t="n"/>
      <c r="AA2522" s="70">
        <f>IF($A2522="","",N(V2522)+N(W2522)+N(X2522)+N(Y2522))</f>
        <v/>
      </c>
      <c r="AB2522" s="70">
        <f>IF($A2522="","",N(S2522)*'Paramètres'!$AA$9*IFERROR(INDEX('Paramètres'!$O$5:$O$7,MATCH(G2522,'Paramètres'!$N$5:$N$7,0)),0))</f>
        <v/>
      </c>
      <c r="AC2522" s="7" t="n"/>
      <c r="AD2522" s="69">
        <f>IF(OR($A2522="",Q2522=""),"",(Q2522-B2522)*24)</f>
        <v/>
      </c>
      <c r="AE2522" s="69">
        <f>IF(OR(Q2522="",R2522=""),"",(R2522-Q2522)*24)</f>
        <v/>
      </c>
      <c r="AF2522" s="77">
        <f>IF(OR($A2522="",B2522=""),"",YEAR(B2522))</f>
        <v/>
      </c>
      <c r="AG2522" s="77">
        <f>IF(OR($A2522="",B2522=""),"",MONTH(B2522))</f>
        <v/>
      </c>
    </row>
    <row r="2523">
      <c r="A2523" s="7" t="n"/>
      <c r="B2523" s="75" t="n"/>
      <c r="C2523" s="7" t="n"/>
      <c r="D2523" s="7" t="n"/>
      <c r="E2523" s="9">
        <f>IF(D2523="","",IFERROR(INDEX('Équipements'!$B$5:$B$304,MATCH(D2523,'Équipements'!$A$5:$A$304,0)),"Code inconnu"))</f>
        <v/>
      </c>
      <c r="F2523" s="9">
        <f>IF(D2523="","",IFERROR(INDEX('Équipements'!$D$5:$D$304,MATCH(D2523,'Équipements'!$A$5:$A$304,0)),""))</f>
        <v/>
      </c>
      <c r="G2523" s="9">
        <f>IF(D2523="","",IFERROR(INDEX('Équipements'!$K$5:$K$304,MATCH(D2523,'Équipements'!$A$5:$A$304,0)),""))</f>
        <v/>
      </c>
      <c r="H2523" s="7" t="n"/>
      <c r="I2523" s="7" t="n"/>
      <c r="J2523" s="7" t="n"/>
      <c r="K2523" s="7" t="n"/>
      <c r="L2523" s="7" t="n"/>
      <c r="M2523" s="7" t="n"/>
      <c r="N2523" s="7" t="n"/>
      <c r="O2523" s="7" t="n"/>
      <c r="P2523" s="65" t="n"/>
      <c r="Q2523" s="75" t="n"/>
      <c r="R2523" s="75" t="n"/>
      <c r="S2523" s="76" t="n"/>
      <c r="T2523" s="76" t="n"/>
      <c r="U2523" s="70">
        <f>IF($A2523="","",IFERROR(INDEX('Techniciens'!$F$5:$F$44,MATCH(O2523,'Techniciens'!$B$5:$B$44,0)),'Paramètres'!$AA$10))</f>
        <v/>
      </c>
      <c r="V2523" s="70">
        <f>IF($A2523="","",IF(OR(AC2523="Demandé",AC2523="Planifié",AC2523="Annulé"),0,N(T2523)*N(U2523)))</f>
        <v/>
      </c>
      <c r="W2523" s="70">
        <f>IF($A2523="","",SUMIFS('Mouvements stock'!$H$5:$H$3004,'Mouvements stock'!$I$5:$I$3004,$A2523,'Mouvements stock'!$C$5:$C$3004,"Sortie")-SUMIFS('Mouvements stock'!$H$5:$H$3004,'Mouvements stock'!$I$5:$I$3004,$A2523,'Mouvements stock'!$C$5:$C$3004,"Retour"))</f>
        <v/>
      </c>
      <c r="X2523" s="66" t="n"/>
      <c r="Y2523" s="66" t="n"/>
      <c r="Z2523" s="7" t="n"/>
      <c r="AA2523" s="70">
        <f>IF($A2523="","",N(V2523)+N(W2523)+N(X2523)+N(Y2523))</f>
        <v/>
      </c>
      <c r="AB2523" s="70">
        <f>IF($A2523="","",N(S2523)*'Paramètres'!$AA$9*IFERROR(INDEX('Paramètres'!$O$5:$O$7,MATCH(G2523,'Paramètres'!$N$5:$N$7,0)),0))</f>
        <v/>
      </c>
      <c r="AC2523" s="7" t="n"/>
      <c r="AD2523" s="69">
        <f>IF(OR($A2523="",Q2523=""),"",(Q2523-B2523)*24)</f>
        <v/>
      </c>
      <c r="AE2523" s="69">
        <f>IF(OR(Q2523="",R2523=""),"",(R2523-Q2523)*24)</f>
        <v/>
      </c>
      <c r="AF2523" s="77">
        <f>IF(OR($A2523="",B2523=""),"",YEAR(B2523))</f>
        <v/>
      </c>
      <c r="AG2523" s="77">
        <f>IF(OR($A2523="",B2523=""),"",MONTH(B2523))</f>
        <v/>
      </c>
    </row>
    <row r="2524">
      <c r="A2524" s="7" t="n"/>
      <c r="B2524" s="75" t="n"/>
      <c r="C2524" s="7" t="n"/>
      <c r="D2524" s="7" t="n"/>
      <c r="E2524" s="9">
        <f>IF(D2524="","",IFERROR(INDEX('Équipements'!$B$5:$B$304,MATCH(D2524,'Équipements'!$A$5:$A$304,0)),"Code inconnu"))</f>
        <v/>
      </c>
      <c r="F2524" s="9">
        <f>IF(D2524="","",IFERROR(INDEX('Équipements'!$D$5:$D$304,MATCH(D2524,'Équipements'!$A$5:$A$304,0)),""))</f>
        <v/>
      </c>
      <c r="G2524" s="9">
        <f>IF(D2524="","",IFERROR(INDEX('Équipements'!$K$5:$K$304,MATCH(D2524,'Équipements'!$A$5:$A$304,0)),""))</f>
        <v/>
      </c>
      <c r="H2524" s="7" t="n"/>
      <c r="I2524" s="7" t="n"/>
      <c r="J2524" s="7" t="n"/>
      <c r="K2524" s="7" t="n"/>
      <c r="L2524" s="7" t="n"/>
      <c r="M2524" s="7" t="n"/>
      <c r="N2524" s="7" t="n"/>
      <c r="O2524" s="7" t="n"/>
      <c r="P2524" s="65" t="n"/>
      <c r="Q2524" s="75" t="n"/>
      <c r="R2524" s="75" t="n"/>
      <c r="S2524" s="76" t="n"/>
      <c r="T2524" s="76" t="n"/>
      <c r="U2524" s="70">
        <f>IF($A2524="","",IFERROR(INDEX('Techniciens'!$F$5:$F$44,MATCH(O2524,'Techniciens'!$B$5:$B$44,0)),'Paramètres'!$AA$10))</f>
        <v/>
      </c>
      <c r="V2524" s="70">
        <f>IF($A2524="","",IF(OR(AC2524="Demandé",AC2524="Planifié",AC2524="Annulé"),0,N(T2524)*N(U2524)))</f>
        <v/>
      </c>
      <c r="W2524" s="70">
        <f>IF($A2524="","",SUMIFS('Mouvements stock'!$H$5:$H$3004,'Mouvements stock'!$I$5:$I$3004,$A2524,'Mouvements stock'!$C$5:$C$3004,"Sortie")-SUMIFS('Mouvements stock'!$H$5:$H$3004,'Mouvements stock'!$I$5:$I$3004,$A2524,'Mouvements stock'!$C$5:$C$3004,"Retour"))</f>
        <v/>
      </c>
      <c r="X2524" s="66" t="n"/>
      <c r="Y2524" s="66" t="n"/>
      <c r="Z2524" s="7" t="n"/>
      <c r="AA2524" s="70">
        <f>IF($A2524="","",N(V2524)+N(W2524)+N(X2524)+N(Y2524))</f>
        <v/>
      </c>
      <c r="AB2524" s="70">
        <f>IF($A2524="","",N(S2524)*'Paramètres'!$AA$9*IFERROR(INDEX('Paramètres'!$O$5:$O$7,MATCH(G2524,'Paramètres'!$N$5:$N$7,0)),0))</f>
        <v/>
      </c>
      <c r="AC2524" s="7" t="n"/>
      <c r="AD2524" s="69">
        <f>IF(OR($A2524="",Q2524=""),"",(Q2524-B2524)*24)</f>
        <v/>
      </c>
      <c r="AE2524" s="69">
        <f>IF(OR(Q2524="",R2524=""),"",(R2524-Q2524)*24)</f>
        <v/>
      </c>
      <c r="AF2524" s="77">
        <f>IF(OR($A2524="",B2524=""),"",YEAR(B2524))</f>
        <v/>
      </c>
      <c r="AG2524" s="77">
        <f>IF(OR($A2524="",B2524=""),"",MONTH(B2524))</f>
        <v/>
      </c>
    </row>
    <row r="2525">
      <c r="A2525" s="7" t="n"/>
      <c r="B2525" s="75" t="n"/>
      <c r="C2525" s="7" t="n"/>
      <c r="D2525" s="7" t="n"/>
      <c r="E2525" s="9">
        <f>IF(D2525="","",IFERROR(INDEX('Équipements'!$B$5:$B$304,MATCH(D2525,'Équipements'!$A$5:$A$304,0)),"Code inconnu"))</f>
        <v/>
      </c>
      <c r="F2525" s="9">
        <f>IF(D2525="","",IFERROR(INDEX('Équipements'!$D$5:$D$304,MATCH(D2525,'Équipements'!$A$5:$A$304,0)),""))</f>
        <v/>
      </c>
      <c r="G2525" s="9">
        <f>IF(D2525="","",IFERROR(INDEX('Équipements'!$K$5:$K$304,MATCH(D2525,'Équipements'!$A$5:$A$304,0)),""))</f>
        <v/>
      </c>
      <c r="H2525" s="7" t="n"/>
      <c r="I2525" s="7" t="n"/>
      <c r="J2525" s="7" t="n"/>
      <c r="K2525" s="7" t="n"/>
      <c r="L2525" s="7" t="n"/>
      <c r="M2525" s="7" t="n"/>
      <c r="N2525" s="7" t="n"/>
      <c r="O2525" s="7" t="n"/>
      <c r="P2525" s="65" t="n"/>
      <c r="Q2525" s="75" t="n"/>
      <c r="R2525" s="75" t="n"/>
      <c r="S2525" s="76" t="n"/>
      <c r="T2525" s="76" t="n"/>
      <c r="U2525" s="70">
        <f>IF($A2525="","",IFERROR(INDEX('Techniciens'!$F$5:$F$44,MATCH(O2525,'Techniciens'!$B$5:$B$44,0)),'Paramètres'!$AA$10))</f>
        <v/>
      </c>
      <c r="V2525" s="70">
        <f>IF($A2525="","",IF(OR(AC2525="Demandé",AC2525="Planifié",AC2525="Annulé"),0,N(T2525)*N(U2525)))</f>
        <v/>
      </c>
      <c r="W2525" s="70">
        <f>IF($A2525="","",SUMIFS('Mouvements stock'!$H$5:$H$3004,'Mouvements stock'!$I$5:$I$3004,$A2525,'Mouvements stock'!$C$5:$C$3004,"Sortie")-SUMIFS('Mouvements stock'!$H$5:$H$3004,'Mouvements stock'!$I$5:$I$3004,$A2525,'Mouvements stock'!$C$5:$C$3004,"Retour"))</f>
        <v/>
      </c>
      <c r="X2525" s="66" t="n"/>
      <c r="Y2525" s="66" t="n"/>
      <c r="Z2525" s="7" t="n"/>
      <c r="AA2525" s="70">
        <f>IF($A2525="","",N(V2525)+N(W2525)+N(X2525)+N(Y2525))</f>
        <v/>
      </c>
      <c r="AB2525" s="70">
        <f>IF($A2525="","",N(S2525)*'Paramètres'!$AA$9*IFERROR(INDEX('Paramètres'!$O$5:$O$7,MATCH(G2525,'Paramètres'!$N$5:$N$7,0)),0))</f>
        <v/>
      </c>
      <c r="AC2525" s="7" t="n"/>
      <c r="AD2525" s="69">
        <f>IF(OR($A2525="",Q2525=""),"",(Q2525-B2525)*24)</f>
        <v/>
      </c>
      <c r="AE2525" s="69">
        <f>IF(OR(Q2525="",R2525=""),"",(R2525-Q2525)*24)</f>
        <v/>
      </c>
      <c r="AF2525" s="77">
        <f>IF(OR($A2525="",B2525=""),"",YEAR(B2525))</f>
        <v/>
      </c>
      <c r="AG2525" s="77">
        <f>IF(OR($A2525="",B2525=""),"",MONTH(B2525))</f>
        <v/>
      </c>
    </row>
    <row r="2526">
      <c r="A2526" s="7" t="n"/>
      <c r="B2526" s="75" t="n"/>
      <c r="C2526" s="7" t="n"/>
      <c r="D2526" s="7" t="n"/>
      <c r="E2526" s="9">
        <f>IF(D2526="","",IFERROR(INDEX('Équipements'!$B$5:$B$304,MATCH(D2526,'Équipements'!$A$5:$A$304,0)),"Code inconnu"))</f>
        <v/>
      </c>
      <c r="F2526" s="9">
        <f>IF(D2526="","",IFERROR(INDEX('Équipements'!$D$5:$D$304,MATCH(D2526,'Équipements'!$A$5:$A$304,0)),""))</f>
        <v/>
      </c>
      <c r="G2526" s="9">
        <f>IF(D2526="","",IFERROR(INDEX('Équipements'!$K$5:$K$304,MATCH(D2526,'Équipements'!$A$5:$A$304,0)),""))</f>
        <v/>
      </c>
      <c r="H2526" s="7" t="n"/>
      <c r="I2526" s="7" t="n"/>
      <c r="J2526" s="7" t="n"/>
      <c r="K2526" s="7" t="n"/>
      <c r="L2526" s="7" t="n"/>
      <c r="M2526" s="7" t="n"/>
      <c r="N2526" s="7" t="n"/>
      <c r="O2526" s="7" t="n"/>
      <c r="P2526" s="65" t="n"/>
      <c r="Q2526" s="75" t="n"/>
      <c r="R2526" s="75" t="n"/>
      <c r="S2526" s="76" t="n"/>
      <c r="T2526" s="76" t="n"/>
      <c r="U2526" s="70">
        <f>IF($A2526="","",IFERROR(INDEX('Techniciens'!$F$5:$F$44,MATCH(O2526,'Techniciens'!$B$5:$B$44,0)),'Paramètres'!$AA$10))</f>
        <v/>
      </c>
      <c r="V2526" s="70">
        <f>IF($A2526="","",IF(OR(AC2526="Demandé",AC2526="Planifié",AC2526="Annulé"),0,N(T2526)*N(U2526)))</f>
        <v/>
      </c>
      <c r="W2526" s="70">
        <f>IF($A2526="","",SUMIFS('Mouvements stock'!$H$5:$H$3004,'Mouvements stock'!$I$5:$I$3004,$A2526,'Mouvements stock'!$C$5:$C$3004,"Sortie")-SUMIFS('Mouvements stock'!$H$5:$H$3004,'Mouvements stock'!$I$5:$I$3004,$A2526,'Mouvements stock'!$C$5:$C$3004,"Retour"))</f>
        <v/>
      </c>
      <c r="X2526" s="66" t="n"/>
      <c r="Y2526" s="66" t="n"/>
      <c r="Z2526" s="7" t="n"/>
      <c r="AA2526" s="70">
        <f>IF($A2526="","",N(V2526)+N(W2526)+N(X2526)+N(Y2526))</f>
        <v/>
      </c>
      <c r="AB2526" s="70">
        <f>IF($A2526="","",N(S2526)*'Paramètres'!$AA$9*IFERROR(INDEX('Paramètres'!$O$5:$O$7,MATCH(G2526,'Paramètres'!$N$5:$N$7,0)),0))</f>
        <v/>
      </c>
      <c r="AC2526" s="7" t="n"/>
      <c r="AD2526" s="69">
        <f>IF(OR($A2526="",Q2526=""),"",(Q2526-B2526)*24)</f>
        <v/>
      </c>
      <c r="AE2526" s="69">
        <f>IF(OR(Q2526="",R2526=""),"",(R2526-Q2526)*24)</f>
        <v/>
      </c>
      <c r="AF2526" s="77">
        <f>IF(OR($A2526="",B2526=""),"",YEAR(B2526))</f>
        <v/>
      </c>
      <c r="AG2526" s="77">
        <f>IF(OR($A2526="",B2526=""),"",MONTH(B2526))</f>
        <v/>
      </c>
    </row>
    <row r="2527">
      <c r="A2527" s="7" t="n"/>
      <c r="B2527" s="75" t="n"/>
      <c r="C2527" s="7" t="n"/>
      <c r="D2527" s="7" t="n"/>
      <c r="E2527" s="9">
        <f>IF(D2527="","",IFERROR(INDEX('Équipements'!$B$5:$B$304,MATCH(D2527,'Équipements'!$A$5:$A$304,0)),"Code inconnu"))</f>
        <v/>
      </c>
      <c r="F2527" s="9">
        <f>IF(D2527="","",IFERROR(INDEX('Équipements'!$D$5:$D$304,MATCH(D2527,'Équipements'!$A$5:$A$304,0)),""))</f>
        <v/>
      </c>
      <c r="G2527" s="9">
        <f>IF(D2527="","",IFERROR(INDEX('Équipements'!$K$5:$K$304,MATCH(D2527,'Équipements'!$A$5:$A$304,0)),""))</f>
        <v/>
      </c>
      <c r="H2527" s="7" t="n"/>
      <c r="I2527" s="7" t="n"/>
      <c r="J2527" s="7" t="n"/>
      <c r="K2527" s="7" t="n"/>
      <c r="L2527" s="7" t="n"/>
      <c r="M2527" s="7" t="n"/>
      <c r="N2527" s="7" t="n"/>
      <c r="O2527" s="7" t="n"/>
      <c r="P2527" s="65" t="n"/>
      <c r="Q2527" s="75" t="n"/>
      <c r="R2527" s="75" t="n"/>
      <c r="S2527" s="76" t="n"/>
      <c r="T2527" s="76" t="n"/>
      <c r="U2527" s="70">
        <f>IF($A2527="","",IFERROR(INDEX('Techniciens'!$F$5:$F$44,MATCH(O2527,'Techniciens'!$B$5:$B$44,0)),'Paramètres'!$AA$10))</f>
        <v/>
      </c>
      <c r="V2527" s="70">
        <f>IF($A2527="","",IF(OR(AC2527="Demandé",AC2527="Planifié",AC2527="Annulé"),0,N(T2527)*N(U2527)))</f>
        <v/>
      </c>
      <c r="W2527" s="70">
        <f>IF($A2527="","",SUMIFS('Mouvements stock'!$H$5:$H$3004,'Mouvements stock'!$I$5:$I$3004,$A2527,'Mouvements stock'!$C$5:$C$3004,"Sortie")-SUMIFS('Mouvements stock'!$H$5:$H$3004,'Mouvements stock'!$I$5:$I$3004,$A2527,'Mouvements stock'!$C$5:$C$3004,"Retour"))</f>
        <v/>
      </c>
      <c r="X2527" s="66" t="n"/>
      <c r="Y2527" s="66" t="n"/>
      <c r="Z2527" s="7" t="n"/>
      <c r="AA2527" s="70">
        <f>IF($A2527="","",N(V2527)+N(W2527)+N(X2527)+N(Y2527))</f>
        <v/>
      </c>
      <c r="AB2527" s="70">
        <f>IF($A2527="","",N(S2527)*'Paramètres'!$AA$9*IFERROR(INDEX('Paramètres'!$O$5:$O$7,MATCH(G2527,'Paramètres'!$N$5:$N$7,0)),0))</f>
        <v/>
      </c>
      <c r="AC2527" s="7" t="n"/>
      <c r="AD2527" s="69">
        <f>IF(OR($A2527="",Q2527=""),"",(Q2527-B2527)*24)</f>
        <v/>
      </c>
      <c r="AE2527" s="69">
        <f>IF(OR(Q2527="",R2527=""),"",(R2527-Q2527)*24)</f>
        <v/>
      </c>
      <c r="AF2527" s="77">
        <f>IF(OR($A2527="",B2527=""),"",YEAR(B2527))</f>
        <v/>
      </c>
      <c r="AG2527" s="77">
        <f>IF(OR($A2527="",B2527=""),"",MONTH(B2527))</f>
        <v/>
      </c>
    </row>
    <row r="2528">
      <c r="A2528" s="7" t="n"/>
      <c r="B2528" s="75" t="n"/>
      <c r="C2528" s="7" t="n"/>
      <c r="D2528" s="7" t="n"/>
      <c r="E2528" s="9">
        <f>IF(D2528="","",IFERROR(INDEX('Équipements'!$B$5:$B$304,MATCH(D2528,'Équipements'!$A$5:$A$304,0)),"Code inconnu"))</f>
        <v/>
      </c>
      <c r="F2528" s="9">
        <f>IF(D2528="","",IFERROR(INDEX('Équipements'!$D$5:$D$304,MATCH(D2528,'Équipements'!$A$5:$A$304,0)),""))</f>
        <v/>
      </c>
      <c r="G2528" s="9">
        <f>IF(D2528="","",IFERROR(INDEX('Équipements'!$K$5:$K$304,MATCH(D2528,'Équipements'!$A$5:$A$304,0)),""))</f>
        <v/>
      </c>
      <c r="H2528" s="7" t="n"/>
      <c r="I2528" s="7" t="n"/>
      <c r="J2528" s="7" t="n"/>
      <c r="K2528" s="7" t="n"/>
      <c r="L2528" s="7" t="n"/>
      <c r="M2528" s="7" t="n"/>
      <c r="N2528" s="7" t="n"/>
      <c r="O2528" s="7" t="n"/>
      <c r="P2528" s="65" t="n"/>
      <c r="Q2528" s="75" t="n"/>
      <c r="R2528" s="75" t="n"/>
      <c r="S2528" s="76" t="n"/>
      <c r="T2528" s="76" t="n"/>
      <c r="U2528" s="70">
        <f>IF($A2528="","",IFERROR(INDEX('Techniciens'!$F$5:$F$44,MATCH(O2528,'Techniciens'!$B$5:$B$44,0)),'Paramètres'!$AA$10))</f>
        <v/>
      </c>
      <c r="V2528" s="70">
        <f>IF($A2528="","",IF(OR(AC2528="Demandé",AC2528="Planifié",AC2528="Annulé"),0,N(T2528)*N(U2528)))</f>
        <v/>
      </c>
      <c r="W2528" s="70">
        <f>IF($A2528="","",SUMIFS('Mouvements stock'!$H$5:$H$3004,'Mouvements stock'!$I$5:$I$3004,$A2528,'Mouvements stock'!$C$5:$C$3004,"Sortie")-SUMIFS('Mouvements stock'!$H$5:$H$3004,'Mouvements stock'!$I$5:$I$3004,$A2528,'Mouvements stock'!$C$5:$C$3004,"Retour"))</f>
        <v/>
      </c>
      <c r="X2528" s="66" t="n"/>
      <c r="Y2528" s="66" t="n"/>
      <c r="Z2528" s="7" t="n"/>
      <c r="AA2528" s="70">
        <f>IF($A2528="","",N(V2528)+N(W2528)+N(X2528)+N(Y2528))</f>
        <v/>
      </c>
      <c r="AB2528" s="70">
        <f>IF($A2528="","",N(S2528)*'Paramètres'!$AA$9*IFERROR(INDEX('Paramètres'!$O$5:$O$7,MATCH(G2528,'Paramètres'!$N$5:$N$7,0)),0))</f>
        <v/>
      </c>
      <c r="AC2528" s="7" t="n"/>
      <c r="AD2528" s="69">
        <f>IF(OR($A2528="",Q2528=""),"",(Q2528-B2528)*24)</f>
        <v/>
      </c>
      <c r="AE2528" s="69">
        <f>IF(OR(Q2528="",R2528=""),"",(R2528-Q2528)*24)</f>
        <v/>
      </c>
      <c r="AF2528" s="77">
        <f>IF(OR($A2528="",B2528=""),"",YEAR(B2528))</f>
        <v/>
      </c>
      <c r="AG2528" s="77">
        <f>IF(OR($A2528="",B2528=""),"",MONTH(B2528))</f>
        <v/>
      </c>
    </row>
    <row r="2529">
      <c r="A2529" s="7" t="n"/>
      <c r="B2529" s="75" t="n"/>
      <c r="C2529" s="7" t="n"/>
      <c r="D2529" s="7" t="n"/>
      <c r="E2529" s="9">
        <f>IF(D2529="","",IFERROR(INDEX('Équipements'!$B$5:$B$304,MATCH(D2529,'Équipements'!$A$5:$A$304,0)),"Code inconnu"))</f>
        <v/>
      </c>
      <c r="F2529" s="9">
        <f>IF(D2529="","",IFERROR(INDEX('Équipements'!$D$5:$D$304,MATCH(D2529,'Équipements'!$A$5:$A$304,0)),""))</f>
        <v/>
      </c>
      <c r="G2529" s="9">
        <f>IF(D2529="","",IFERROR(INDEX('Équipements'!$K$5:$K$304,MATCH(D2529,'Équipements'!$A$5:$A$304,0)),""))</f>
        <v/>
      </c>
      <c r="H2529" s="7" t="n"/>
      <c r="I2529" s="7" t="n"/>
      <c r="J2529" s="7" t="n"/>
      <c r="K2529" s="7" t="n"/>
      <c r="L2529" s="7" t="n"/>
      <c r="M2529" s="7" t="n"/>
      <c r="N2529" s="7" t="n"/>
      <c r="O2529" s="7" t="n"/>
      <c r="P2529" s="65" t="n"/>
      <c r="Q2529" s="75" t="n"/>
      <c r="R2529" s="75" t="n"/>
      <c r="S2529" s="76" t="n"/>
      <c r="T2529" s="76" t="n"/>
      <c r="U2529" s="70">
        <f>IF($A2529="","",IFERROR(INDEX('Techniciens'!$F$5:$F$44,MATCH(O2529,'Techniciens'!$B$5:$B$44,0)),'Paramètres'!$AA$10))</f>
        <v/>
      </c>
      <c r="V2529" s="70">
        <f>IF($A2529="","",IF(OR(AC2529="Demandé",AC2529="Planifié",AC2529="Annulé"),0,N(T2529)*N(U2529)))</f>
        <v/>
      </c>
      <c r="W2529" s="70">
        <f>IF($A2529="","",SUMIFS('Mouvements stock'!$H$5:$H$3004,'Mouvements stock'!$I$5:$I$3004,$A2529,'Mouvements stock'!$C$5:$C$3004,"Sortie")-SUMIFS('Mouvements stock'!$H$5:$H$3004,'Mouvements stock'!$I$5:$I$3004,$A2529,'Mouvements stock'!$C$5:$C$3004,"Retour"))</f>
        <v/>
      </c>
      <c r="X2529" s="66" t="n"/>
      <c r="Y2529" s="66" t="n"/>
      <c r="Z2529" s="7" t="n"/>
      <c r="AA2529" s="70">
        <f>IF($A2529="","",N(V2529)+N(W2529)+N(X2529)+N(Y2529))</f>
        <v/>
      </c>
      <c r="AB2529" s="70">
        <f>IF($A2529="","",N(S2529)*'Paramètres'!$AA$9*IFERROR(INDEX('Paramètres'!$O$5:$O$7,MATCH(G2529,'Paramètres'!$N$5:$N$7,0)),0))</f>
        <v/>
      </c>
      <c r="AC2529" s="7" t="n"/>
      <c r="AD2529" s="69">
        <f>IF(OR($A2529="",Q2529=""),"",(Q2529-B2529)*24)</f>
        <v/>
      </c>
      <c r="AE2529" s="69">
        <f>IF(OR(Q2529="",R2529=""),"",(R2529-Q2529)*24)</f>
        <v/>
      </c>
      <c r="AF2529" s="77">
        <f>IF(OR($A2529="",B2529=""),"",YEAR(B2529))</f>
        <v/>
      </c>
      <c r="AG2529" s="77">
        <f>IF(OR($A2529="",B2529=""),"",MONTH(B2529))</f>
        <v/>
      </c>
    </row>
    <row r="2530">
      <c r="A2530" s="7" t="n"/>
      <c r="B2530" s="75" t="n"/>
      <c r="C2530" s="7" t="n"/>
      <c r="D2530" s="7" t="n"/>
      <c r="E2530" s="9">
        <f>IF(D2530="","",IFERROR(INDEX('Équipements'!$B$5:$B$304,MATCH(D2530,'Équipements'!$A$5:$A$304,0)),"Code inconnu"))</f>
        <v/>
      </c>
      <c r="F2530" s="9">
        <f>IF(D2530="","",IFERROR(INDEX('Équipements'!$D$5:$D$304,MATCH(D2530,'Équipements'!$A$5:$A$304,0)),""))</f>
        <v/>
      </c>
      <c r="G2530" s="9">
        <f>IF(D2530="","",IFERROR(INDEX('Équipements'!$K$5:$K$304,MATCH(D2530,'Équipements'!$A$5:$A$304,0)),""))</f>
        <v/>
      </c>
      <c r="H2530" s="7" t="n"/>
      <c r="I2530" s="7" t="n"/>
      <c r="J2530" s="7" t="n"/>
      <c r="K2530" s="7" t="n"/>
      <c r="L2530" s="7" t="n"/>
      <c r="M2530" s="7" t="n"/>
      <c r="N2530" s="7" t="n"/>
      <c r="O2530" s="7" t="n"/>
      <c r="P2530" s="65" t="n"/>
      <c r="Q2530" s="75" t="n"/>
      <c r="R2530" s="75" t="n"/>
      <c r="S2530" s="76" t="n"/>
      <c r="T2530" s="76" t="n"/>
      <c r="U2530" s="70">
        <f>IF($A2530="","",IFERROR(INDEX('Techniciens'!$F$5:$F$44,MATCH(O2530,'Techniciens'!$B$5:$B$44,0)),'Paramètres'!$AA$10))</f>
        <v/>
      </c>
      <c r="V2530" s="70">
        <f>IF($A2530="","",IF(OR(AC2530="Demandé",AC2530="Planifié",AC2530="Annulé"),0,N(T2530)*N(U2530)))</f>
        <v/>
      </c>
      <c r="W2530" s="70">
        <f>IF($A2530="","",SUMIFS('Mouvements stock'!$H$5:$H$3004,'Mouvements stock'!$I$5:$I$3004,$A2530,'Mouvements stock'!$C$5:$C$3004,"Sortie")-SUMIFS('Mouvements stock'!$H$5:$H$3004,'Mouvements stock'!$I$5:$I$3004,$A2530,'Mouvements stock'!$C$5:$C$3004,"Retour"))</f>
        <v/>
      </c>
      <c r="X2530" s="66" t="n"/>
      <c r="Y2530" s="66" t="n"/>
      <c r="Z2530" s="7" t="n"/>
      <c r="AA2530" s="70">
        <f>IF($A2530="","",N(V2530)+N(W2530)+N(X2530)+N(Y2530))</f>
        <v/>
      </c>
      <c r="AB2530" s="70">
        <f>IF($A2530="","",N(S2530)*'Paramètres'!$AA$9*IFERROR(INDEX('Paramètres'!$O$5:$O$7,MATCH(G2530,'Paramètres'!$N$5:$N$7,0)),0))</f>
        <v/>
      </c>
      <c r="AC2530" s="7" t="n"/>
      <c r="AD2530" s="69">
        <f>IF(OR($A2530="",Q2530=""),"",(Q2530-B2530)*24)</f>
        <v/>
      </c>
      <c r="AE2530" s="69">
        <f>IF(OR(Q2530="",R2530=""),"",(R2530-Q2530)*24)</f>
        <v/>
      </c>
      <c r="AF2530" s="77">
        <f>IF(OR($A2530="",B2530=""),"",YEAR(B2530))</f>
        <v/>
      </c>
      <c r="AG2530" s="77">
        <f>IF(OR($A2530="",B2530=""),"",MONTH(B2530))</f>
        <v/>
      </c>
    </row>
    <row r="2531">
      <c r="A2531" s="7" t="n"/>
      <c r="B2531" s="75" t="n"/>
      <c r="C2531" s="7" t="n"/>
      <c r="D2531" s="7" t="n"/>
      <c r="E2531" s="9">
        <f>IF(D2531="","",IFERROR(INDEX('Équipements'!$B$5:$B$304,MATCH(D2531,'Équipements'!$A$5:$A$304,0)),"Code inconnu"))</f>
        <v/>
      </c>
      <c r="F2531" s="9">
        <f>IF(D2531="","",IFERROR(INDEX('Équipements'!$D$5:$D$304,MATCH(D2531,'Équipements'!$A$5:$A$304,0)),""))</f>
        <v/>
      </c>
      <c r="G2531" s="9">
        <f>IF(D2531="","",IFERROR(INDEX('Équipements'!$K$5:$K$304,MATCH(D2531,'Équipements'!$A$5:$A$304,0)),""))</f>
        <v/>
      </c>
      <c r="H2531" s="7" t="n"/>
      <c r="I2531" s="7" t="n"/>
      <c r="J2531" s="7" t="n"/>
      <c r="K2531" s="7" t="n"/>
      <c r="L2531" s="7" t="n"/>
      <c r="M2531" s="7" t="n"/>
      <c r="N2531" s="7" t="n"/>
      <c r="O2531" s="7" t="n"/>
      <c r="P2531" s="65" t="n"/>
      <c r="Q2531" s="75" t="n"/>
      <c r="R2531" s="75" t="n"/>
      <c r="S2531" s="76" t="n"/>
      <c r="T2531" s="76" t="n"/>
      <c r="U2531" s="70">
        <f>IF($A2531="","",IFERROR(INDEX('Techniciens'!$F$5:$F$44,MATCH(O2531,'Techniciens'!$B$5:$B$44,0)),'Paramètres'!$AA$10))</f>
        <v/>
      </c>
      <c r="V2531" s="70">
        <f>IF($A2531="","",IF(OR(AC2531="Demandé",AC2531="Planifié",AC2531="Annulé"),0,N(T2531)*N(U2531)))</f>
        <v/>
      </c>
      <c r="W2531" s="70">
        <f>IF($A2531="","",SUMIFS('Mouvements stock'!$H$5:$H$3004,'Mouvements stock'!$I$5:$I$3004,$A2531,'Mouvements stock'!$C$5:$C$3004,"Sortie")-SUMIFS('Mouvements stock'!$H$5:$H$3004,'Mouvements stock'!$I$5:$I$3004,$A2531,'Mouvements stock'!$C$5:$C$3004,"Retour"))</f>
        <v/>
      </c>
      <c r="X2531" s="66" t="n"/>
      <c r="Y2531" s="66" t="n"/>
      <c r="Z2531" s="7" t="n"/>
      <c r="AA2531" s="70">
        <f>IF($A2531="","",N(V2531)+N(W2531)+N(X2531)+N(Y2531))</f>
        <v/>
      </c>
      <c r="AB2531" s="70">
        <f>IF($A2531="","",N(S2531)*'Paramètres'!$AA$9*IFERROR(INDEX('Paramètres'!$O$5:$O$7,MATCH(G2531,'Paramètres'!$N$5:$N$7,0)),0))</f>
        <v/>
      </c>
      <c r="AC2531" s="7" t="n"/>
      <c r="AD2531" s="69">
        <f>IF(OR($A2531="",Q2531=""),"",(Q2531-B2531)*24)</f>
        <v/>
      </c>
      <c r="AE2531" s="69">
        <f>IF(OR(Q2531="",R2531=""),"",(R2531-Q2531)*24)</f>
        <v/>
      </c>
      <c r="AF2531" s="77">
        <f>IF(OR($A2531="",B2531=""),"",YEAR(B2531))</f>
        <v/>
      </c>
      <c r="AG2531" s="77">
        <f>IF(OR($A2531="",B2531=""),"",MONTH(B2531))</f>
        <v/>
      </c>
    </row>
    <row r="2532">
      <c r="A2532" s="7" t="n"/>
      <c r="B2532" s="75" t="n"/>
      <c r="C2532" s="7" t="n"/>
      <c r="D2532" s="7" t="n"/>
      <c r="E2532" s="9">
        <f>IF(D2532="","",IFERROR(INDEX('Équipements'!$B$5:$B$304,MATCH(D2532,'Équipements'!$A$5:$A$304,0)),"Code inconnu"))</f>
        <v/>
      </c>
      <c r="F2532" s="9">
        <f>IF(D2532="","",IFERROR(INDEX('Équipements'!$D$5:$D$304,MATCH(D2532,'Équipements'!$A$5:$A$304,0)),""))</f>
        <v/>
      </c>
      <c r="G2532" s="9">
        <f>IF(D2532="","",IFERROR(INDEX('Équipements'!$K$5:$K$304,MATCH(D2532,'Équipements'!$A$5:$A$304,0)),""))</f>
        <v/>
      </c>
      <c r="H2532" s="7" t="n"/>
      <c r="I2532" s="7" t="n"/>
      <c r="J2532" s="7" t="n"/>
      <c r="K2532" s="7" t="n"/>
      <c r="L2532" s="7" t="n"/>
      <c r="M2532" s="7" t="n"/>
      <c r="N2532" s="7" t="n"/>
      <c r="O2532" s="7" t="n"/>
      <c r="P2532" s="65" t="n"/>
      <c r="Q2532" s="75" t="n"/>
      <c r="R2532" s="75" t="n"/>
      <c r="S2532" s="76" t="n"/>
      <c r="T2532" s="76" t="n"/>
      <c r="U2532" s="70">
        <f>IF($A2532="","",IFERROR(INDEX('Techniciens'!$F$5:$F$44,MATCH(O2532,'Techniciens'!$B$5:$B$44,0)),'Paramètres'!$AA$10))</f>
        <v/>
      </c>
      <c r="V2532" s="70">
        <f>IF($A2532="","",IF(OR(AC2532="Demandé",AC2532="Planifié",AC2532="Annulé"),0,N(T2532)*N(U2532)))</f>
        <v/>
      </c>
      <c r="W2532" s="70">
        <f>IF($A2532="","",SUMIFS('Mouvements stock'!$H$5:$H$3004,'Mouvements stock'!$I$5:$I$3004,$A2532,'Mouvements stock'!$C$5:$C$3004,"Sortie")-SUMIFS('Mouvements stock'!$H$5:$H$3004,'Mouvements stock'!$I$5:$I$3004,$A2532,'Mouvements stock'!$C$5:$C$3004,"Retour"))</f>
        <v/>
      </c>
      <c r="X2532" s="66" t="n"/>
      <c r="Y2532" s="66" t="n"/>
      <c r="Z2532" s="7" t="n"/>
      <c r="AA2532" s="70">
        <f>IF($A2532="","",N(V2532)+N(W2532)+N(X2532)+N(Y2532))</f>
        <v/>
      </c>
      <c r="AB2532" s="70">
        <f>IF($A2532="","",N(S2532)*'Paramètres'!$AA$9*IFERROR(INDEX('Paramètres'!$O$5:$O$7,MATCH(G2532,'Paramètres'!$N$5:$N$7,0)),0))</f>
        <v/>
      </c>
      <c r="AC2532" s="7" t="n"/>
      <c r="AD2532" s="69">
        <f>IF(OR($A2532="",Q2532=""),"",(Q2532-B2532)*24)</f>
        <v/>
      </c>
      <c r="AE2532" s="69">
        <f>IF(OR(Q2532="",R2532=""),"",(R2532-Q2532)*24)</f>
        <v/>
      </c>
      <c r="AF2532" s="77">
        <f>IF(OR($A2532="",B2532=""),"",YEAR(B2532))</f>
        <v/>
      </c>
      <c r="AG2532" s="77">
        <f>IF(OR($A2532="",B2532=""),"",MONTH(B2532))</f>
        <v/>
      </c>
    </row>
    <row r="2533">
      <c r="A2533" s="7" t="n"/>
      <c r="B2533" s="75" t="n"/>
      <c r="C2533" s="7" t="n"/>
      <c r="D2533" s="7" t="n"/>
      <c r="E2533" s="9">
        <f>IF(D2533="","",IFERROR(INDEX('Équipements'!$B$5:$B$304,MATCH(D2533,'Équipements'!$A$5:$A$304,0)),"Code inconnu"))</f>
        <v/>
      </c>
      <c r="F2533" s="9">
        <f>IF(D2533="","",IFERROR(INDEX('Équipements'!$D$5:$D$304,MATCH(D2533,'Équipements'!$A$5:$A$304,0)),""))</f>
        <v/>
      </c>
      <c r="G2533" s="9">
        <f>IF(D2533="","",IFERROR(INDEX('Équipements'!$K$5:$K$304,MATCH(D2533,'Équipements'!$A$5:$A$304,0)),""))</f>
        <v/>
      </c>
      <c r="H2533" s="7" t="n"/>
      <c r="I2533" s="7" t="n"/>
      <c r="J2533" s="7" t="n"/>
      <c r="K2533" s="7" t="n"/>
      <c r="L2533" s="7" t="n"/>
      <c r="M2533" s="7" t="n"/>
      <c r="N2533" s="7" t="n"/>
      <c r="O2533" s="7" t="n"/>
      <c r="P2533" s="65" t="n"/>
      <c r="Q2533" s="75" t="n"/>
      <c r="R2533" s="75" t="n"/>
      <c r="S2533" s="76" t="n"/>
      <c r="T2533" s="76" t="n"/>
      <c r="U2533" s="70">
        <f>IF($A2533="","",IFERROR(INDEX('Techniciens'!$F$5:$F$44,MATCH(O2533,'Techniciens'!$B$5:$B$44,0)),'Paramètres'!$AA$10))</f>
        <v/>
      </c>
      <c r="V2533" s="70">
        <f>IF($A2533="","",IF(OR(AC2533="Demandé",AC2533="Planifié",AC2533="Annulé"),0,N(T2533)*N(U2533)))</f>
        <v/>
      </c>
      <c r="W2533" s="70">
        <f>IF($A2533="","",SUMIFS('Mouvements stock'!$H$5:$H$3004,'Mouvements stock'!$I$5:$I$3004,$A2533,'Mouvements stock'!$C$5:$C$3004,"Sortie")-SUMIFS('Mouvements stock'!$H$5:$H$3004,'Mouvements stock'!$I$5:$I$3004,$A2533,'Mouvements stock'!$C$5:$C$3004,"Retour"))</f>
        <v/>
      </c>
      <c r="X2533" s="66" t="n"/>
      <c r="Y2533" s="66" t="n"/>
      <c r="Z2533" s="7" t="n"/>
      <c r="AA2533" s="70">
        <f>IF($A2533="","",N(V2533)+N(W2533)+N(X2533)+N(Y2533))</f>
        <v/>
      </c>
      <c r="AB2533" s="70">
        <f>IF($A2533="","",N(S2533)*'Paramètres'!$AA$9*IFERROR(INDEX('Paramètres'!$O$5:$O$7,MATCH(G2533,'Paramètres'!$N$5:$N$7,0)),0))</f>
        <v/>
      </c>
      <c r="AC2533" s="7" t="n"/>
      <c r="AD2533" s="69">
        <f>IF(OR($A2533="",Q2533=""),"",(Q2533-B2533)*24)</f>
        <v/>
      </c>
      <c r="AE2533" s="69">
        <f>IF(OR(Q2533="",R2533=""),"",(R2533-Q2533)*24)</f>
        <v/>
      </c>
      <c r="AF2533" s="77">
        <f>IF(OR($A2533="",B2533=""),"",YEAR(B2533))</f>
        <v/>
      </c>
      <c r="AG2533" s="77">
        <f>IF(OR($A2533="",B2533=""),"",MONTH(B2533))</f>
        <v/>
      </c>
    </row>
    <row r="2534">
      <c r="A2534" s="7" t="n"/>
      <c r="B2534" s="75" t="n"/>
      <c r="C2534" s="7" t="n"/>
      <c r="D2534" s="7" t="n"/>
      <c r="E2534" s="9">
        <f>IF(D2534="","",IFERROR(INDEX('Équipements'!$B$5:$B$304,MATCH(D2534,'Équipements'!$A$5:$A$304,0)),"Code inconnu"))</f>
        <v/>
      </c>
      <c r="F2534" s="9">
        <f>IF(D2534="","",IFERROR(INDEX('Équipements'!$D$5:$D$304,MATCH(D2534,'Équipements'!$A$5:$A$304,0)),""))</f>
        <v/>
      </c>
      <c r="G2534" s="9">
        <f>IF(D2534="","",IFERROR(INDEX('Équipements'!$K$5:$K$304,MATCH(D2534,'Équipements'!$A$5:$A$304,0)),""))</f>
        <v/>
      </c>
      <c r="H2534" s="7" t="n"/>
      <c r="I2534" s="7" t="n"/>
      <c r="J2534" s="7" t="n"/>
      <c r="K2534" s="7" t="n"/>
      <c r="L2534" s="7" t="n"/>
      <c r="M2534" s="7" t="n"/>
      <c r="N2534" s="7" t="n"/>
      <c r="O2534" s="7" t="n"/>
      <c r="P2534" s="65" t="n"/>
      <c r="Q2534" s="75" t="n"/>
      <c r="R2534" s="75" t="n"/>
      <c r="S2534" s="76" t="n"/>
      <c r="T2534" s="76" t="n"/>
      <c r="U2534" s="70">
        <f>IF($A2534="","",IFERROR(INDEX('Techniciens'!$F$5:$F$44,MATCH(O2534,'Techniciens'!$B$5:$B$44,0)),'Paramètres'!$AA$10))</f>
        <v/>
      </c>
      <c r="V2534" s="70">
        <f>IF($A2534="","",IF(OR(AC2534="Demandé",AC2534="Planifié",AC2534="Annulé"),0,N(T2534)*N(U2534)))</f>
        <v/>
      </c>
      <c r="W2534" s="70">
        <f>IF($A2534="","",SUMIFS('Mouvements stock'!$H$5:$H$3004,'Mouvements stock'!$I$5:$I$3004,$A2534,'Mouvements stock'!$C$5:$C$3004,"Sortie")-SUMIFS('Mouvements stock'!$H$5:$H$3004,'Mouvements stock'!$I$5:$I$3004,$A2534,'Mouvements stock'!$C$5:$C$3004,"Retour"))</f>
        <v/>
      </c>
      <c r="X2534" s="66" t="n"/>
      <c r="Y2534" s="66" t="n"/>
      <c r="Z2534" s="7" t="n"/>
      <c r="AA2534" s="70">
        <f>IF($A2534="","",N(V2534)+N(W2534)+N(X2534)+N(Y2534))</f>
        <v/>
      </c>
      <c r="AB2534" s="70">
        <f>IF($A2534="","",N(S2534)*'Paramètres'!$AA$9*IFERROR(INDEX('Paramètres'!$O$5:$O$7,MATCH(G2534,'Paramètres'!$N$5:$N$7,0)),0))</f>
        <v/>
      </c>
      <c r="AC2534" s="7" t="n"/>
      <c r="AD2534" s="69">
        <f>IF(OR($A2534="",Q2534=""),"",(Q2534-B2534)*24)</f>
        <v/>
      </c>
      <c r="AE2534" s="69">
        <f>IF(OR(Q2534="",R2534=""),"",(R2534-Q2534)*24)</f>
        <v/>
      </c>
      <c r="AF2534" s="77">
        <f>IF(OR($A2534="",B2534=""),"",YEAR(B2534))</f>
        <v/>
      </c>
      <c r="AG2534" s="77">
        <f>IF(OR($A2534="",B2534=""),"",MONTH(B2534))</f>
        <v/>
      </c>
    </row>
    <row r="2535">
      <c r="A2535" s="7" t="n"/>
      <c r="B2535" s="75" t="n"/>
      <c r="C2535" s="7" t="n"/>
      <c r="D2535" s="7" t="n"/>
      <c r="E2535" s="9">
        <f>IF(D2535="","",IFERROR(INDEX('Équipements'!$B$5:$B$304,MATCH(D2535,'Équipements'!$A$5:$A$304,0)),"Code inconnu"))</f>
        <v/>
      </c>
      <c r="F2535" s="9">
        <f>IF(D2535="","",IFERROR(INDEX('Équipements'!$D$5:$D$304,MATCH(D2535,'Équipements'!$A$5:$A$304,0)),""))</f>
        <v/>
      </c>
      <c r="G2535" s="9">
        <f>IF(D2535="","",IFERROR(INDEX('Équipements'!$K$5:$K$304,MATCH(D2535,'Équipements'!$A$5:$A$304,0)),""))</f>
        <v/>
      </c>
      <c r="H2535" s="7" t="n"/>
      <c r="I2535" s="7" t="n"/>
      <c r="J2535" s="7" t="n"/>
      <c r="K2535" s="7" t="n"/>
      <c r="L2535" s="7" t="n"/>
      <c r="M2535" s="7" t="n"/>
      <c r="N2535" s="7" t="n"/>
      <c r="O2535" s="7" t="n"/>
      <c r="P2535" s="65" t="n"/>
      <c r="Q2535" s="75" t="n"/>
      <c r="R2535" s="75" t="n"/>
      <c r="S2535" s="76" t="n"/>
      <c r="T2535" s="76" t="n"/>
      <c r="U2535" s="70">
        <f>IF($A2535="","",IFERROR(INDEX('Techniciens'!$F$5:$F$44,MATCH(O2535,'Techniciens'!$B$5:$B$44,0)),'Paramètres'!$AA$10))</f>
        <v/>
      </c>
      <c r="V2535" s="70">
        <f>IF($A2535="","",IF(OR(AC2535="Demandé",AC2535="Planifié",AC2535="Annulé"),0,N(T2535)*N(U2535)))</f>
        <v/>
      </c>
      <c r="W2535" s="70">
        <f>IF($A2535="","",SUMIFS('Mouvements stock'!$H$5:$H$3004,'Mouvements stock'!$I$5:$I$3004,$A2535,'Mouvements stock'!$C$5:$C$3004,"Sortie")-SUMIFS('Mouvements stock'!$H$5:$H$3004,'Mouvements stock'!$I$5:$I$3004,$A2535,'Mouvements stock'!$C$5:$C$3004,"Retour"))</f>
        <v/>
      </c>
      <c r="X2535" s="66" t="n"/>
      <c r="Y2535" s="66" t="n"/>
      <c r="Z2535" s="7" t="n"/>
      <c r="AA2535" s="70">
        <f>IF($A2535="","",N(V2535)+N(W2535)+N(X2535)+N(Y2535))</f>
        <v/>
      </c>
      <c r="AB2535" s="70">
        <f>IF($A2535="","",N(S2535)*'Paramètres'!$AA$9*IFERROR(INDEX('Paramètres'!$O$5:$O$7,MATCH(G2535,'Paramètres'!$N$5:$N$7,0)),0))</f>
        <v/>
      </c>
      <c r="AC2535" s="7" t="n"/>
      <c r="AD2535" s="69">
        <f>IF(OR($A2535="",Q2535=""),"",(Q2535-B2535)*24)</f>
        <v/>
      </c>
      <c r="AE2535" s="69">
        <f>IF(OR(Q2535="",R2535=""),"",(R2535-Q2535)*24)</f>
        <v/>
      </c>
      <c r="AF2535" s="77">
        <f>IF(OR($A2535="",B2535=""),"",YEAR(B2535))</f>
        <v/>
      </c>
      <c r="AG2535" s="77">
        <f>IF(OR($A2535="",B2535=""),"",MONTH(B2535))</f>
        <v/>
      </c>
    </row>
    <row r="2536">
      <c r="A2536" s="7" t="n"/>
      <c r="B2536" s="75" t="n"/>
      <c r="C2536" s="7" t="n"/>
      <c r="D2536" s="7" t="n"/>
      <c r="E2536" s="9">
        <f>IF(D2536="","",IFERROR(INDEX('Équipements'!$B$5:$B$304,MATCH(D2536,'Équipements'!$A$5:$A$304,0)),"Code inconnu"))</f>
        <v/>
      </c>
      <c r="F2536" s="9">
        <f>IF(D2536="","",IFERROR(INDEX('Équipements'!$D$5:$D$304,MATCH(D2536,'Équipements'!$A$5:$A$304,0)),""))</f>
        <v/>
      </c>
      <c r="G2536" s="9">
        <f>IF(D2536="","",IFERROR(INDEX('Équipements'!$K$5:$K$304,MATCH(D2536,'Équipements'!$A$5:$A$304,0)),""))</f>
        <v/>
      </c>
      <c r="H2536" s="7" t="n"/>
      <c r="I2536" s="7" t="n"/>
      <c r="J2536" s="7" t="n"/>
      <c r="K2536" s="7" t="n"/>
      <c r="L2536" s="7" t="n"/>
      <c r="M2536" s="7" t="n"/>
      <c r="N2536" s="7" t="n"/>
      <c r="O2536" s="7" t="n"/>
      <c r="P2536" s="65" t="n"/>
      <c r="Q2536" s="75" t="n"/>
      <c r="R2536" s="75" t="n"/>
      <c r="S2536" s="76" t="n"/>
      <c r="T2536" s="76" t="n"/>
      <c r="U2536" s="70">
        <f>IF($A2536="","",IFERROR(INDEX('Techniciens'!$F$5:$F$44,MATCH(O2536,'Techniciens'!$B$5:$B$44,0)),'Paramètres'!$AA$10))</f>
        <v/>
      </c>
      <c r="V2536" s="70">
        <f>IF($A2536="","",IF(OR(AC2536="Demandé",AC2536="Planifié",AC2536="Annulé"),0,N(T2536)*N(U2536)))</f>
        <v/>
      </c>
      <c r="W2536" s="70">
        <f>IF($A2536="","",SUMIFS('Mouvements stock'!$H$5:$H$3004,'Mouvements stock'!$I$5:$I$3004,$A2536,'Mouvements stock'!$C$5:$C$3004,"Sortie")-SUMIFS('Mouvements stock'!$H$5:$H$3004,'Mouvements stock'!$I$5:$I$3004,$A2536,'Mouvements stock'!$C$5:$C$3004,"Retour"))</f>
        <v/>
      </c>
      <c r="X2536" s="66" t="n"/>
      <c r="Y2536" s="66" t="n"/>
      <c r="Z2536" s="7" t="n"/>
      <c r="AA2536" s="70">
        <f>IF($A2536="","",N(V2536)+N(W2536)+N(X2536)+N(Y2536))</f>
        <v/>
      </c>
      <c r="AB2536" s="70">
        <f>IF($A2536="","",N(S2536)*'Paramètres'!$AA$9*IFERROR(INDEX('Paramètres'!$O$5:$O$7,MATCH(G2536,'Paramètres'!$N$5:$N$7,0)),0))</f>
        <v/>
      </c>
      <c r="AC2536" s="7" t="n"/>
      <c r="AD2536" s="69">
        <f>IF(OR($A2536="",Q2536=""),"",(Q2536-B2536)*24)</f>
        <v/>
      </c>
      <c r="AE2536" s="69">
        <f>IF(OR(Q2536="",R2536=""),"",(R2536-Q2536)*24)</f>
        <v/>
      </c>
      <c r="AF2536" s="77">
        <f>IF(OR($A2536="",B2536=""),"",YEAR(B2536))</f>
        <v/>
      </c>
      <c r="AG2536" s="77">
        <f>IF(OR($A2536="",B2536=""),"",MONTH(B2536))</f>
        <v/>
      </c>
    </row>
    <row r="2537">
      <c r="A2537" s="7" t="n"/>
      <c r="B2537" s="75" t="n"/>
      <c r="C2537" s="7" t="n"/>
      <c r="D2537" s="7" t="n"/>
      <c r="E2537" s="9">
        <f>IF(D2537="","",IFERROR(INDEX('Équipements'!$B$5:$B$304,MATCH(D2537,'Équipements'!$A$5:$A$304,0)),"Code inconnu"))</f>
        <v/>
      </c>
      <c r="F2537" s="9">
        <f>IF(D2537="","",IFERROR(INDEX('Équipements'!$D$5:$D$304,MATCH(D2537,'Équipements'!$A$5:$A$304,0)),""))</f>
        <v/>
      </c>
      <c r="G2537" s="9">
        <f>IF(D2537="","",IFERROR(INDEX('Équipements'!$K$5:$K$304,MATCH(D2537,'Équipements'!$A$5:$A$304,0)),""))</f>
        <v/>
      </c>
      <c r="H2537" s="7" t="n"/>
      <c r="I2537" s="7" t="n"/>
      <c r="J2537" s="7" t="n"/>
      <c r="K2537" s="7" t="n"/>
      <c r="L2537" s="7" t="n"/>
      <c r="M2537" s="7" t="n"/>
      <c r="N2537" s="7" t="n"/>
      <c r="O2537" s="7" t="n"/>
      <c r="P2537" s="65" t="n"/>
      <c r="Q2537" s="75" t="n"/>
      <c r="R2537" s="75" t="n"/>
      <c r="S2537" s="76" t="n"/>
      <c r="T2537" s="76" t="n"/>
      <c r="U2537" s="70">
        <f>IF($A2537="","",IFERROR(INDEX('Techniciens'!$F$5:$F$44,MATCH(O2537,'Techniciens'!$B$5:$B$44,0)),'Paramètres'!$AA$10))</f>
        <v/>
      </c>
      <c r="V2537" s="70">
        <f>IF($A2537="","",IF(OR(AC2537="Demandé",AC2537="Planifié",AC2537="Annulé"),0,N(T2537)*N(U2537)))</f>
        <v/>
      </c>
      <c r="W2537" s="70">
        <f>IF($A2537="","",SUMIFS('Mouvements stock'!$H$5:$H$3004,'Mouvements stock'!$I$5:$I$3004,$A2537,'Mouvements stock'!$C$5:$C$3004,"Sortie")-SUMIFS('Mouvements stock'!$H$5:$H$3004,'Mouvements stock'!$I$5:$I$3004,$A2537,'Mouvements stock'!$C$5:$C$3004,"Retour"))</f>
        <v/>
      </c>
      <c r="X2537" s="66" t="n"/>
      <c r="Y2537" s="66" t="n"/>
      <c r="Z2537" s="7" t="n"/>
      <c r="AA2537" s="70">
        <f>IF($A2537="","",N(V2537)+N(W2537)+N(X2537)+N(Y2537))</f>
        <v/>
      </c>
      <c r="AB2537" s="70">
        <f>IF($A2537="","",N(S2537)*'Paramètres'!$AA$9*IFERROR(INDEX('Paramètres'!$O$5:$O$7,MATCH(G2537,'Paramètres'!$N$5:$N$7,0)),0))</f>
        <v/>
      </c>
      <c r="AC2537" s="7" t="n"/>
      <c r="AD2537" s="69">
        <f>IF(OR($A2537="",Q2537=""),"",(Q2537-B2537)*24)</f>
        <v/>
      </c>
      <c r="AE2537" s="69">
        <f>IF(OR(Q2537="",R2537=""),"",(R2537-Q2537)*24)</f>
        <v/>
      </c>
      <c r="AF2537" s="77">
        <f>IF(OR($A2537="",B2537=""),"",YEAR(B2537))</f>
        <v/>
      </c>
      <c r="AG2537" s="77">
        <f>IF(OR($A2537="",B2537=""),"",MONTH(B2537))</f>
        <v/>
      </c>
    </row>
    <row r="2538">
      <c r="A2538" s="7" t="n"/>
      <c r="B2538" s="75" t="n"/>
      <c r="C2538" s="7" t="n"/>
      <c r="D2538" s="7" t="n"/>
      <c r="E2538" s="9">
        <f>IF(D2538="","",IFERROR(INDEX('Équipements'!$B$5:$B$304,MATCH(D2538,'Équipements'!$A$5:$A$304,0)),"Code inconnu"))</f>
        <v/>
      </c>
      <c r="F2538" s="9">
        <f>IF(D2538="","",IFERROR(INDEX('Équipements'!$D$5:$D$304,MATCH(D2538,'Équipements'!$A$5:$A$304,0)),""))</f>
        <v/>
      </c>
      <c r="G2538" s="9">
        <f>IF(D2538="","",IFERROR(INDEX('Équipements'!$K$5:$K$304,MATCH(D2538,'Équipements'!$A$5:$A$304,0)),""))</f>
        <v/>
      </c>
      <c r="H2538" s="7" t="n"/>
      <c r="I2538" s="7" t="n"/>
      <c r="J2538" s="7" t="n"/>
      <c r="K2538" s="7" t="n"/>
      <c r="L2538" s="7" t="n"/>
      <c r="M2538" s="7" t="n"/>
      <c r="N2538" s="7" t="n"/>
      <c r="O2538" s="7" t="n"/>
      <c r="P2538" s="65" t="n"/>
      <c r="Q2538" s="75" t="n"/>
      <c r="R2538" s="75" t="n"/>
      <c r="S2538" s="76" t="n"/>
      <c r="T2538" s="76" t="n"/>
      <c r="U2538" s="70">
        <f>IF($A2538="","",IFERROR(INDEX('Techniciens'!$F$5:$F$44,MATCH(O2538,'Techniciens'!$B$5:$B$44,0)),'Paramètres'!$AA$10))</f>
        <v/>
      </c>
      <c r="V2538" s="70">
        <f>IF($A2538="","",IF(OR(AC2538="Demandé",AC2538="Planifié",AC2538="Annulé"),0,N(T2538)*N(U2538)))</f>
        <v/>
      </c>
      <c r="W2538" s="70">
        <f>IF($A2538="","",SUMIFS('Mouvements stock'!$H$5:$H$3004,'Mouvements stock'!$I$5:$I$3004,$A2538,'Mouvements stock'!$C$5:$C$3004,"Sortie")-SUMIFS('Mouvements stock'!$H$5:$H$3004,'Mouvements stock'!$I$5:$I$3004,$A2538,'Mouvements stock'!$C$5:$C$3004,"Retour"))</f>
        <v/>
      </c>
      <c r="X2538" s="66" t="n"/>
      <c r="Y2538" s="66" t="n"/>
      <c r="Z2538" s="7" t="n"/>
      <c r="AA2538" s="70">
        <f>IF($A2538="","",N(V2538)+N(W2538)+N(X2538)+N(Y2538))</f>
        <v/>
      </c>
      <c r="AB2538" s="70">
        <f>IF($A2538="","",N(S2538)*'Paramètres'!$AA$9*IFERROR(INDEX('Paramètres'!$O$5:$O$7,MATCH(G2538,'Paramètres'!$N$5:$N$7,0)),0))</f>
        <v/>
      </c>
      <c r="AC2538" s="7" t="n"/>
      <c r="AD2538" s="69">
        <f>IF(OR($A2538="",Q2538=""),"",(Q2538-B2538)*24)</f>
        <v/>
      </c>
      <c r="AE2538" s="69">
        <f>IF(OR(Q2538="",R2538=""),"",(R2538-Q2538)*24)</f>
        <v/>
      </c>
      <c r="AF2538" s="77">
        <f>IF(OR($A2538="",B2538=""),"",YEAR(B2538))</f>
        <v/>
      </c>
      <c r="AG2538" s="77">
        <f>IF(OR($A2538="",B2538=""),"",MONTH(B2538))</f>
        <v/>
      </c>
    </row>
    <row r="2539">
      <c r="A2539" s="7" t="n"/>
      <c r="B2539" s="75" t="n"/>
      <c r="C2539" s="7" t="n"/>
      <c r="D2539" s="7" t="n"/>
      <c r="E2539" s="9">
        <f>IF(D2539="","",IFERROR(INDEX('Équipements'!$B$5:$B$304,MATCH(D2539,'Équipements'!$A$5:$A$304,0)),"Code inconnu"))</f>
        <v/>
      </c>
      <c r="F2539" s="9">
        <f>IF(D2539="","",IFERROR(INDEX('Équipements'!$D$5:$D$304,MATCH(D2539,'Équipements'!$A$5:$A$304,0)),""))</f>
        <v/>
      </c>
      <c r="G2539" s="9">
        <f>IF(D2539="","",IFERROR(INDEX('Équipements'!$K$5:$K$304,MATCH(D2539,'Équipements'!$A$5:$A$304,0)),""))</f>
        <v/>
      </c>
      <c r="H2539" s="7" t="n"/>
      <c r="I2539" s="7" t="n"/>
      <c r="J2539" s="7" t="n"/>
      <c r="K2539" s="7" t="n"/>
      <c r="L2539" s="7" t="n"/>
      <c r="M2539" s="7" t="n"/>
      <c r="N2539" s="7" t="n"/>
      <c r="O2539" s="7" t="n"/>
      <c r="P2539" s="65" t="n"/>
      <c r="Q2539" s="75" t="n"/>
      <c r="R2539" s="75" t="n"/>
      <c r="S2539" s="76" t="n"/>
      <c r="T2539" s="76" t="n"/>
      <c r="U2539" s="70">
        <f>IF($A2539="","",IFERROR(INDEX('Techniciens'!$F$5:$F$44,MATCH(O2539,'Techniciens'!$B$5:$B$44,0)),'Paramètres'!$AA$10))</f>
        <v/>
      </c>
      <c r="V2539" s="70">
        <f>IF($A2539="","",IF(OR(AC2539="Demandé",AC2539="Planifié",AC2539="Annulé"),0,N(T2539)*N(U2539)))</f>
        <v/>
      </c>
      <c r="W2539" s="70">
        <f>IF($A2539="","",SUMIFS('Mouvements stock'!$H$5:$H$3004,'Mouvements stock'!$I$5:$I$3004,$A2539,'Mouvements stock'!$C$5:$C$3004,"Sortie")-SUMIFS('Mouvements stock'!$H$5:$H$3004,'Mouvements stock'!$I$5:$I$3004,$A2539,'Mouvements stock'!$C$5:$C$3004,"Retour"))</f>
        <v/>
      </c>
      <c r="X2539" s="66" t="n"/>
      <c r="Y2539" s="66" t="n"/>
      <c r="Z2539" s="7" t="n"/>
      <c r="AA2539" s="70">
        <f>IF($A2539="","",N(V2539)+N(W2539)+N(X2539)+N(Y2539))</f>
        <v/>
      </c>
      <c r="AB2539" s="70">
        <f>IF($A2539="","",N(S2539)*'Paramètres'!$AA$9*IFERROR(INDEX('Paramètres'!$O$5:$O$7,MATCH(G2539,'Paramètres'!$N$5:$N$7,0)),0))</f>
        <v/>
      </c>
      <c r="AC2539" s="7" t="n"/>
      <c r="AD2539" s="69">
        <f>IF(OR($A2539="",Q2539=""),"",(Q2539-B2539)*24)</f>
        <v/>
      </c>
      <c r="AE2539" s="69">
        <f>IF(OR(Q2539="",R2539=""),"",(R2539-Q2539)*24)</f>
        <v/>
      </c>
      <c r="AF2539" s="77">
        <f>IF(OR($A2539="",B2539=""),"",YEAR(B2539))</f>
        <v/>
      </c>
      <c r="AG2539" s="77">
        <f>IF(OR($A2539="",B2539=""),"",MONTH(B2539))</f>
        <v/>
      </c>
    </row>
    <row r="2540">
      <c r="A2540" s="7" t="n"/>
      <c r="B2540" s="75" t="n"/>
      <c r="C2540" s="7" t="n"/>
      <c r="D2540" s="7" t="n"/>
      <c r="E2540" s="9">
        <f>IF(D2540="","",IFERROR(INDEX('Équipements'!$B$5:$B$304,MATCH(D2540,'Équipements'!$A$5:$A$304,0)),"Code inconnu"))</f>
        <v/>
      </c>
      <c r="F2540" s="9">
        <f>IF(D2540="","",IFERROR(INDEX('Équipements'!$D$5:$D$304,MATCH(D2540,'Équipements'!$A$5:$A$304,0)),""))</f>
        <v/>
      </c>
      <c r="G2540" s="9">
        <f>IF(D2540="","",IFERROR(INDEX('Équipements'!$K$5:$K$304,MATCH(D2540,'Équipements'!$A$5:$A$304,0)),""))</f>
        <v/>
      </c>
      <c r="H2540" s="7" t="n"/>
      <c r="I2540" s="7" t="n"/>
      <c r="J2540" s="7" t="n"/>
      <c r="K2540" s="7" t="n"/>
      <c r="L2540" s="7" t="n"/>
      <c r="M2540" s="7" t="n"/>
      <c r="N2540" s="7" t="n"/>
      <c r="O2540" s="7" t="n"/>
      <c r="P2540" s="65" t="n"/>
      <c r="Q2540" s="75" t="n"/>
      <c r="R2540" s="75" t="n"/>
      <c r="S2540" s="76" t="n"/>
      <c r="T2540" s="76" t="n"/>
      <c r="U2540" s="70">
        <f>IF($A2540="","",IFERROR(INDEX('Techniciens'!$F$5:$F$44,MATCH(O2540,'Techniciens'!$B$5:$B$44,0)),'Paramètres'!$AA$10))</f>
        <v/>
      </c>
      <c r="V2540" s="70">
        <f>IF($A2540="","",IF(OR(AC2540="Demandé",AC2540="Planifié",AC2540="Annulé"),0,N(T2540)*N(U2540)))</f>
        <v/>
      </c>
      <c r="W2540" s="70">
        <f>IF($A2540="","",SUMIFS('Mouvements stock'!$H$5:$H$3004,'Mouvements stock'!$I$5:$I$3004,$A2540,'Mouvements stock'!$C$5:$C$3004,"Sortie")-SUMIFS('Mouvements stock'!$H$5:$H$3004,'Mouvements stock'!$I$5:$I$3004,$A2540,'Mouvements stock'!$C$5:$C$3004,"Retour"))</f>
        <v/>
      </c>
      <c r="X2540" s="66" t="n"/>
      <c r="Y2540" s="66" t="n"/>
      <c r="Z2540" s="7" t="n"/>
      <c r="AA2540" s="70">
        <f>IF($A2540="","",N(V2540)+N(W2540)+N(X2540)+N(Y2540))</f>
        <v/>
      </c>
      <c r="AB2540" s="70">
        <f>IF($A2540="","",N(S2540)*'Paramètres'!$AA$9*IFERROR(INDEX('Paramètres'!$O$5:$O$7,MATCH(G2540,'Paramètres'!$N$5:$N$7,0)),0))</f>
        <v/>
      </c>
      <c r="AC2540" s="7" t="n"/>
      <c r="AD2540" s="69">
        <f>IF(OR($A2540="",Q2540=""),"",(Q2540-B2540)*24)</f>
        <v/>
      </c>
      <c r="AE2540" s="69">
        <f>IF(OR(Q2540="",R2540=""),"",(R2540-Q2540)*24)</f>
        <v/>
      </c>
      <c r="AF2540" s="77">
        <f>IF(OR($A2540="",B2540=""),"",YEAR(B2540))</f>
        <v/>
      </c>
      <c r="AG2540" s="77">
        <f>IF(OR($A2540="",B2540=""),"",MONTH(B2540))</f>
        <v/>
      </c>
    </row>
    <row r="2541">
      <c r="A2541" s="7" t="n"/>
      <c r="B2541" s="75" t="n"/>
      <c r="C2541" s="7" t="n"/>
      <c r="D2541" s="7" t="n"/>
      <c r="E2541" s="9">
        <f>IF(D2541="","",IFERROR(INDEX('Équipements'!$B$5:$B$304,MATCH(D2541,'Équipements'!$A$5:$A$304,0)),"Code inconnu"))</f>
        <v/>
      </c>
      <c r="F2541" s="9">
        <f>IF(D2541="","",IFERROR(INDEX('Équipements'!$D$5:$D$304,MATCH(D2541,'Équipements'!$A$5:$A$304,0)),""))</f>
        <v/>
      </c>
      <c r="G2541" s="9">
        <f>IF(D2541="","",IFERROR(INDEX('Équipements'!$K$5:$K$304,MATCH(D2541,'Équipements'!$A$5:$A$304,0)),""))</f>
        <v/>
      </c>
      <c r="H2541" s="7" t="n"/>
      <c r="I2541" s="7" t="n"/>
      <c r="J2541" s="7" t="n"/>
      <c r="K2541" s="7" t="n"/>
      <c r="L2541" s="7" t="n"/>
      <c r="M2541" s="7" t="n"/>
      <c r="N2541" s="7" t="n"/>
      <c r="O2541" s="7" t="n"/>
      <c r="P2541" s="65" t="n"/>
      <c r="Q2541" s="75" t="n"/>
      <c r="R2541" s="75" t="n"/>
      <c r="S2541" s="76" t="n"/>
      <c r="T2541" s="76" t="n"/>
      <c r="U2541" s="70">
        <f>IF($A2541="","",IFERROR(INDEX('Techniciens'!$F$5:$F$44,MATCH(O2541,'Techniciens'!$B$5:$B$44,0)),'Paramètres'!$AA$10))</f>
        <v/>
      </c>
      <c r="V2541" s="70">
        <f>IF($A2541="","",IF(OR(AC2541="Demandé",AC2541="Planifié",AC2541="Annulé"),0,N(T2541)*N(U2541)))</f>
        <v/>
      </c>
      <c r="W2541" s="70">
        <f>IF($A2541="","",SUMIFS('Mouvements stock'!$H$5:$H$3004,'Mouvements stock'!$I$5:$I$3004,$A2541,'Mouvements stock'!$C$5:$C$3004,"Sortie")-SUMIFS('Mouvements stock'!$H$5:$H$3004,'Mouvements stock'!$I$5:$I$3004,$A2541,'Mouvements stock'!$C$5:$C$3004,"Retour"))</f>
        <v/>
      </c>
      <c r="X2541" s="66" t="n"/>
      <c r="Y2541" s="66" t="n"/>
      <c r="Z2541" s="7" t="n"/>
      <c r="AA2541" s="70">
        <f>IF($A2541="","",N(V2541)+N(W2541)+N(X2541)+N(Y2541))</f>
        <v/>
      </c>
      <c r="AB2541" s="70">
        <f>IF($A2541="","",N(S2541)*'Paramètres'!$AA$9*IFERROR(INDEX('Paramètres'!$O$5:$O$7,MATCH(G2541,'Paramètres'!$N$5:$N$7,0)),0))</f>
        <v/>
      </c>
      <c r="AC2541" s="7" t="n"/>
      <c r="AD2541" s="69">
        <f>IF(OR($A2541="",Q2541=""),"",(Q2541-B2541)*24)</f>
        <v/>
      </c>
      <c r="AE2541" s="69">
        <f>IF(OR(Q2541="",R2541=""),"",(R2541-Q2541)*24)</f>
        <v/>
      </c>
      <c r="AF2541" s="77">
        <f>IF(OR($A2541="",B2541=""),"",YEAR(B2541))</f>
        <v/>
      </c>
      <c r="AG2541" s="77">
        <f>IF(OR($A2541="",B2541=""),"",MONTH(B2541))</f>
        <v/>
      </c>
    </row>
    <row r="2542">
      <c r="A2542" s="7" t="n"/>
      <c r="B2542" s="75" t="n"/>
      <c r="C2542" s="7" t="n"/>
      <c r="D2542" s="7" t="n"/>
      <c r="E2542" s="9">
        <f>IF(D2542="","",IFERROR(INDEX('Équipements'!$B$5:$B$304,MATCH(D2542,'Équipements'!$A$5:$A$304,0)),"Code inconnu"))</f>
        <v/>
      </c>
      <c r="F2542" s="9">
        <f>IF(D2542="","",IFERROR(INDEX('Équipements'!$D$5:$D$304,MATCH(D2542,'Équipements'!$A$5:$A$304,0)),""))</f>
        <v/>
      </c>
      <c r="G2542" s="9">
        <f>IF(D2542="","",IFERROR(INDEX('Équipements'!$K$5:$K$304,MATCH(D2542,'Équipements'!$A$5:$A$304,0)),""))</f>
        <v/>
      </c>
      <c r="H2542" s="7" t="n"/>
      <c r="I2542" s="7" t="n"/>
      <c r="J2542" s="7" t="n"/>
      <c r="K2542" s="7" t="n"/>
      <c r="L2542" s="7" t="n"/>
      <c r="M2542" s="7" t="n"/>
      <c r="N2542" s="7" t="n"/>
      <c r="O2542" s="7" t="n"/>
      <c r="P2542" s="65" t="n"/>
      <c r="Q2542" s="75" t="n"/>
      <c r="R2542" s="75" t="n"/>
      <c r="S2542" s="76" t="n"/>
      <c r="T2542" s="76" t="n"/>
      <c r="U2542" s="70">
        <f>IF($A2542="","",IFERROR(INDEX('Techniciens'!$F$5:$F$44,MATCH(O2542,'Techniciens'!$B$5:$B$44,0)),'Paramètres'!$AA$10))</f>
        <v/>
      </c>
      <c r="V2542" s="70">
        <f>IF($A2542="","",IF(OR(AC2542="Demandé",AC2542="Planifié",AC2542="Annulé"),0,N(T2542)*N(U2542)))</f>
        <v/>
      </c>
      <c r="W2542" s="70">
        <f>IF($A2542="","",SUMIFS('Mouvements stock'!$H$5:$H$3004,'Mouvements stock'!$I$5:$I$3004,$A2542,'Mouvements stock'!$C$5:$C$3004,"Sortie")-SUMIFS('Mouvements stock'!$H$5:$H$3004,'Mouvements stock'!$I$5:$I$3004,$A2542,'Mouvements stock'!$C$5:$C$3004,"Retour"))</f>
        <v/>
      </c>
      <c r="X2542" s="66" t="n"/>
      <c r="Y2542" s="66" t="n"/>
      <c r="Z2542" s="7" t="n"/>
      <c r="AA2542" s="70">
        <f>IF($A2542="","",N(V2542)+N(W2542)+N(X2542)+N(Y2542))</f>
        <v/>
      </c>
      <c r="AB2542" s="70">
        <f>IF($A2542="","",N(S2542)*'Paramètres'!$AA$9*IFERROR(INDEX('Paramètres'!$O$5:$O$7,MATCH(G2542,'Paramètres'!$N$5:$N$7,0)),0))</f>
        <v/>
      </c>
      <c r="AC2542" s="7" t="n"/>
      <c r="AD2542" s="69">
        <f>IF(OR($A2542="",Q2542=""),"",(Q2542-B2542)*24)</f>
        <v/>
      </c>
      <c r="AE2542" s="69">
        <f>IF(OR(Q2542="",R2542=""),"",(R2542-Q2542)*24)</f>
        <v/>
      </c>
      <c r="AF2542" s="77">
        <f>IF(OR($A2542="",B2542=""),"",YEAR(B2542))</f>
        <v/>
      </c>
      <c r="AG2542" s="77">
        <f>IF(OR($A2542="",B2542=""),"",MONTH(B2542))</f>
        <v/>
      </c>
    </row>
    <row r="2543">
      <c r="A2543" s="7" t="n"/>
      <c r="B2543" s="75" t="n"/>
      <c r="C2543" s="7" t="n"/>
      <c r="D2543" s="7" t="n"/>
      <c r="E2543" s="9">
        <f>IF(D2543="","",IFERROR(INDEX('Équipements'!$B$5:$B$304,MATCH(D2543,'Équipements'!$A$5:$A$304,0)),"Code inconnu"))</f>
        <v/>
      </c>
      <c r="F2543" s="9">
        <f>IF(D2543="","",IFERROR(INDEX('Équipements'!$D$5:$D$304,MATCH(D2543,'Équipements'!$A$5:$A$304,0)),""))</f>
        <v/>
      </c>
      <c r="G2543" s="9">
        <f>IF(D2543="","",IFERROR(INDEX('Équipements'!$K$5:$K$304,MATCH(D2543,'Équipements'!$A$5:$A$304,0)),""))</f>
        <v/>
      </c>
      <c r="H2543" s="7" t="n"/>
      <c r="I2543" s="7" t="n"/>
      <c r="J2543" s="7" t="n"/>
      <c r="K2543" s="7" t="n"/>
      <c r="L2543" s="7" t="n"/>
      <c r="M2543" s="7" t="n"/>
      <c r="N2543" s="7" t="n"/>
      <c r="O2543" s="7" t="n"/>
      <c r="P2543" s="65" t="n"/>
      <c r="Q2543" s="75" t="n"/>
      <c r="R2543" s="75" t="n"/>
      <c r="S2543" s="76" t="n"/>
      <c r="T2543" s="76" t="n"/>
      <c r="U2543" s="70">
        <f>IF($A2543="","",IFERROR(INDEX('Techniciens'!$F$5:$F$44,MATCH(O2543,'Techniciens'!$B$5:$B$44,0)),'Paramètres'!$AA$10))</f>
        <v/>
      </c>
      <c r="V2543" s="70">
        <f>IF($A2543="","",IF(OR(AC2543="Demandé",AC2543="Planifié",AC2543="Annulé"),0,N(T2543)*N(U2543)))</f>
        <v/>
      </c>
      <c r="W2543" s="70">
        <f>IF($A2543="","",SUMIFS('Mouvements stock'!$H$5:$H$3004,'Mouvements stock'!$I$5:$I$3004,$A2543,'Mouvements stock'!$C$5:$C$3004,"Sortie")-SUMIFS('Mouvements stock'!$H$5:$H$3004,'Mouvements stock'!$I$5:$I$3004,$A2543,'Mouvements stock'!$C$5:$C$3004,"Retour"))</f>
        <v/>
      </c>
      <c r="X2543" s="66" t="n"/>
      <c r="Y2543" s="66" t="n"/>
      <c r="Z2543" s="7" t="n"/>
      <c r="AA2543" s="70">
        <f>IF($A2543="","",N(V2543)+N(W2543)+N(X2543)+N(Y2543))</f>
        <v/>
      </c>
      <c r="AB2543" s="70">
        <f>IF($A2543="","",N(S2543)*'Paramètres'!$AA$9*IFERROR(INDEX('Paramètres'!$O$5:$O$7,MATCH(G2543,'Paramètres'!$N$5:$N$7,0)),0))</f>
        <v/>
      </c>
      <c r="AC2543" s="7" t="n"/>
      <c r="AD2543" s="69">
        <f>IF(OR($A2543="",Q2543=""),"",(Q2543-B2543)*24)</f>
        <v/>
      </c>
      <c r="AE2543" s="69">
        <f>IF(OR(Q2543="",R2543=""),"",(R2543-Q2543)*24)</f>
        <v/>
      </c>
      <c r="AF2543" s="77">
        <f>IF(OR($A2543="",B2543=""),"",YEAR(B2543))</f>
        <v/>
      </c>
      <c r="AG2543" s="77">
        <f>IF(OR($A2543="",B2543=""),"",MONTH(B2543))</f>
        <v/>
      </c>
    </row>
    <row r="2544">
      <c r="A2544" s="7" t="n"/>
      <c r="B2544" s="75" t="n"/>
      <c r="C2544" s="7" t="n"/>
      <c r="D2544" s="7" t="n"/>
      <c r="E2544" s="9">
        <f>IF(D2544="","",IFERROR(INDEX('Équipements'!$B$5:$B$304,MATCH(D2544,'Équipements'!$A$5:$A$304,0)),"Code inconnu"))</f>
        <v/>
      </c>
      <c r="F2544" s="9">
        <f>IF(D2544="","",IFERROR(INDEX('Équipements'!$D$5:$D$304,MATCH(D2544,'Équipements'!$A$5:$A$304,0)),""))</f>
        <v/>
      </c>
      <c r="G2544" s="9">
        <f>IF(D2544="","",IFERROR(INDEX('Équipements'!$K$5:$K$304,MATCH(D2544,'Équipements'!$A$5:$A$304,0)),""))</f>
        <v/>
      </c>
      <c r="H2544" s="7" t="n"/>
      <c r="I2544" s="7" t="n"/>
      <c r="J2544" s="7" t="n"/>
      <c r="K2544" s="7" t="n"/>
      <c r="L2544" s="7" t="n"/>
      <c r="M2544" s="7" t="n"/>
      <c r="N2544" s="7" t="n"/>
      <c r="O2544" s="7" t="n"/>
      <c r="P2544" s="65" t="n"/>
      <c r="Q2544" s="75" t="n"/>
      <c r="R2544" s="75" t="n"/>
      <c r="S2544" s="76" t="n"/>
      <c r="T2544" s="76" t="n"/>
      <c r="U2544" s="70">
        <f>IF($A2544="","",IFERROR(INDEX('Techniciens'!$F$5:$F$44,MATCH(O2544,'Techniciens'!$B$5:$B$44,0)),'Paramètres'!$AA$10))</f>
        <v/>
      </c>
      <c r="V2544" s="70">
        <f>IF($A2544="","",IF(OR(AC2544="Demandé",AC2544="Planifié",AC2544="Annulé"),0,N(T2544)*N(U2544)))</f>
        <v/>
      </c>
      <c r="W2544" s="70">
        <f>IF($A2544="","",SUMIFS('Mouvements stock'!$H$5:$H$3004,'Mouvements stock'!$I$5:$I$3004,$A2544,'Mouvements stock'!$C$5:$C$3004,"Sortie")-SUMIFS('Mouvements stock'!$H$5:$H$3004,'Mouvements stock'!$I$5:$I$3004,$A2544,'Mouvements stock'!$C$5:$C$3004,"Retour"))</f>
        <v/>
      </c>
      <c r="X2544" s="66" t="n"/>
      <c r="Y2544" s="66" t="n"/>
      <c r="Z2544" s="7" t="n"/>
      <c r="AA2544" s="70">
        <f>IF($A2544="","",N(V2544)+N(W2544)+N(X2544)+N(Y2544))</f>
        <v/>
      </c>
      <c r="AB2544" s="70">
        <f>IF($A2544="","",N(S2544)*'Paramètres'!$AA$9*IFERROR(INDEX('Paramètres'!$O$5:$O$7,MATCH(G2544,'Paramètres'!$N$5:$N$7,0)),0))</f>
        <v/>
      </c>
      <c r="AC2544" s="7" t="n"/>
      <c r="AD2544" s="69">
        <f>IF(OR($A2544="",Q2544=""),"",(Q2544-B2544)*24)</f>
        <v/>
      </c>
      <c r="AE2544" s="69">
        <f>IF(OR(Q2544="",R2544=""),"",(R2544-Q2544)*24)</f>
        <v/>
      </c>
      <c r="AF2544" s="77">
        <f>IF(OR($A2544="",B2544=""),"",YEAR(B2544))</f>
        <v/>
      </c>
      <c r="AG2544" s="77">
        <f>IF(OR($A2544="",B2544=""),"",MONTH(B2544))</f>
        <v/>
      </c>
    </row>
    <row r="2545">
      <c r="A2545" s="7" t="n"/>
      <c r="B2545" s="75" t="n"/>
      <c r="C2545" s="7" t="n"/>
      <c r="D2545" s="7" t="n"/>
      <c r="E2545" s="9">
        <f>IF(D2545="","",IFERROR(INDEX('Équipements'!$B$5:$B$304,MATCH(D2545,'Équipements'!$A$5:$A$304,0)),"Code inconnu"))</f>
        <v/>
      </c>
      <c r="F2545" s="9">
        <f>IF(D2545="","",IFERROR(INDEX('Équipements'!$D$5:$D$304,MATCH(D2545,'Équipements'!$A$5:$A$304,0)),""))</f>
        <v/>
      </c>
      <c r="G2545" s="9">
        <f>IF(D2545="","",IFERROR(INDEX('Équipements'!$K$5:$K$304,MATCH(D2545,'Équipements'!$A$5:$A$304,0)),""))</f>
        <v/>
      </c>
      <c r="H2545" s="7" t="n"/>
      <c r="I2545" s="7" t="n"/>
      <c r="J2545" s="7" t="n"/>
      <c r="K2545" s="7" t="n"/>
      <c r="L2545" s="7" t="n"/>
      <c r="M2545" s="7" t="n"/>
      <c r="N2545" s="7" t="n"/>
      <c r="O2545" s="7" t="n"/>
      <c r="P2545" s="65" t="n"/>
      <c r="Q2545" s="75" t="n"/>
      <c r="R2545" s="75" t="n"/>
      <c r="S2545" s="76" t="n"/>
      <c r="T2545" s="76" t="n"/>
      <c r="U2545" s="70">
        <f>IF($A2545="","",IFERROR(INDEX('Techniciens'!$F$5:$F$44,MATCH(O2545,'Techniciens'!$B$5:$B$44,0)),'Paramètres'!$AA$10))</f>
        <v/>
      </c>
      <c r="V2545" s="70">
        <f>IF($A2545="","",IF(OR(AC2545="Demandé",AC2545="Planifié",AC2545="Annulé"),0,N(T2545)*N(U2545)))</f>
        <v/>
      </c>
      <c r="W2545" s="70">
        <f>IF($A2545="","",SUMIFS('Mouvements stock'!$H$5:$H$3004,'Mouvements stock'!$I$5:$I$3004,$A2545,'Mouvements stock'!$C$5:$C$3004,"Sortie")-SUMIFS('Mouvements stock'!$H$5:$H$3004,'Mouvements stock'!$I$5:$I$3004,$A2545,'Mouvements stock'!$C$5:$C$3004,"Retour"))</f>
        <v/>
      </c>
      <c r="X2545" s="66" t="n"/>
      <c r="Y2545" s="66" t="n"/>
      <c r="Z2545" s="7" t="n"/>
      <c r="AA2545" s="70">
        <f>IF($A2545="","",N(V2545)+N(W2545)+N(X2545)+N(Y2545))</f>
        <v/>
      </c>
      <c r="AB2545" s="70">
        <f>IF($A2545="","",N(S2545)*'Paramètres'!$AA$9*IFERROR(INDEX('Paramètres'!$O$5:$O$7,MATCH(G2545,'Paramètres'!$N$5:$N$7,0)),0))</f>
        <v/>
      </c>
      <c r="AC2545" s="7" t="n"/>
      <c r="AD2545" s="69">
        <f>IF(OR($A2545="",Q2545=""),"",(Q2545-B2545)*24)</f>
        <v/>
      </c>
      <c r="AE2545" s="69">
        <f>IF(OR(Q2545="",R2545=""),"",(R2545-Q2545)*24)</f>
        <v/>
      </c>
      <c r="AF2545" s="77">
        <f>IF(OR($A2545="",B2545=""),"",YEAR(B2545))</f>
        <v/>
      </c>
      <c r="AG2545" s="77">
        <f>IF(OR($A2545="",B2545=""),"",MONTH(B2545))</f>
        <v/>
      </c>
    </row>
    <row r="2546">
      <c r="A2546" s="7" t="n"/>
      <c r="B2546" s="75" t="n"/>
      <c r="C2546" s="7" t="n"/>
      <c r="D2546" s="7" t="n"/>
      <c r="E2546" s="9">
        <f>IF(D2546="","",IFERROR(INDEX('Équipements'!$B$5:$B$304,MATCH(D2546,'Équipements'!$A$5:$A$304,0)),"Code inconnu"))</f>
        <v/>
      </c>
      <c r="F2546" s="9">
        <f>IF(D2546="","",IFERROR(INDEX('Équipements'!$D$5:$D$304,MATCH(D2546,'Équipements'!$A$5:$A$304,0)),""))</f>
        <v/>
      </c>
      <c r="G2546" s="9">
        <f>IF(D2546="","",IFERROR(INDEX('Équipements'!$K$5:$K$304,MATCH(D2546,'Équipements'!$A$5:$A$304,0)),""))</f>
        <v/>
      </c>
      <c r="H2546" s="7" t="n"/>
      <c r="I2546" s="7" t="n"/>
      <c r="J2546" s="7" t="n"/>
      <c r="K2546" s="7" t="n"/>
      <c r="L2546" s="7" t="n"/>
      <c r="M2546" s="7" t="n"/>
      <c r="N2546" s="7" t="n"/>
      <c r="O2546" s="7" t="n"/>
      <c r="P2546" s="65" t="n"/>
      <c r="Q2546" s="75" t="n"/>
      <c r="R2546" s="75" t="n"/>
      <c r="S2546" s="76" t="n"/>
      <c r="T2546" s="76" t="n"/>
      <c r="U2546" s="70">
        <f>IF($A2546="","",IFERROR(INDEX('Techniciens'!$F$5:$F$44,MATCH(O2546,'Techniciens'!$B$5:$B$44,0)),'Paramètres'!$AA$10))</f>
        <v/>
      </c>
      <c r="V2546" s="70">
        <f>IF($A2546="","",IF(OR(AC2546="Demandé",AC2546="Planifié",AC2546="Annulé"),0,N(T2546)*N(U2546)))</f>
        <v/>
      </c>
      <c r="W2546" s="70">
        <f>IF($A2546="","",SUMIFS('Mouvements stock'!$H$5:$H$3004,'Mouvements stock'!$I$5:$I$3004,$A2546,'Mouvements stock'!$C$5:$C$3004,"Sortie")-SUMIFS('Mouvements stock'!$H$5:$H$3004,'Mouvements stock'!$I$5:$I$3004,$A2546,'Mouvements stock'!$C$5:$C$3004,"Retour"))</f>
        <v/>
      </c>
      <c r="X2546" s="66" t="n"/>
      <c r="Y2546" s="66" t="n"/>
      <c r="Z2546" s="7" t="n"/>
      <c r="AA2546" s="70">
        <f>IF($A2546="","",N(V2546)+N(W2546)+N(X2546)+N(Y2546))</f>
        <v/>
      </c>
      <c r="AB2546" s="70">
        <f>IF($A2546="","",N(S2546)*'Paramètres'!$AA$9*IFERROR(INDEX('Paramètres'!$O$5:$O$7,MATCH(G2546,'Paramètres'!$N$5:$N$7,0)),0))</f>
        <v/>
      </c>
      <c r="AC2546" s="7" t="n"/>
      <c r="AD2546" s="69">
        <f>IF(OR($A2546="",Q2546=""),"",(Q2546-B2546)*24)</f>
        <v/>
      </c>
      <c r="AE2546" s="69">
        <f>IF(OR(Q2546="",R2546=""),"",(R2546-Q2546)*24)</f>
        <v/>
      </c>
      <c r="AF2546" s="77">
        <f>IF(OR($A2546="",B2546=""),"",YEAR(B2546))</f>
        <v/>
      </c>
      <c r="AG2546" s="77">
        <f>IF(OR($A2546="",B2546=""),"",MONTH(B2546))</f>
        <v/>
      </c>
    </row>
    <row r="2547">
      <c r="A2547" s="7" t="n"/>
      <c r="B2547" s="75" t="n"/>
      <c r="C2547" s="7" t="n"/>
      <c r="D2547" s="7" t="n"/>
      <c r="E2547" s="9">
        <f>IF(D2547="","",IFERROR(INDEX('Équipements'!$B$5:$B$304,MATCH(D2547,'Équipements'!$A$5:$A$304,0)),"Code inconnu"))</f>
        <v/>
      </c>
      <c r="F2547" s="9">
        <f>IF(D2547="","",IFERROR(INDEX('Équipements'!$D$5:$D$304,MATCH(D2547,'Équipements'!$A$5:$A$304,0)),""))</f>
        <v/>
      </c>
      <c r="G2547" s="9">
        <f>IF(D2547="","",IFERROR(INDEX('Équipements'!$K$5:$K$304,MATCH(D2547,'Équipements'!$A$5:$A$304,0)),""))</f>
        <v/>
      </c>
      <c r="H2547" s="7" t="n"/>
      <c r="I2547" s="7" t="n"/>
      <c r="J2547" s="7" t="n"/>
      <c r="K2547" s="7" t="n"/>
      <c r="L2547" s="7" t="n"/>
      <c r="M2547" s="7" t="n"/>
      <c r="N2547" s="7" t="n"/>
      <c r="O2547" s="7" t="n"/>
      <c r="P2547" s="65" t="n"/>
      <c r="Q2547" s="75" t="n"/>
      <c r="R2547" s="75" t="n"/>
      <c r="S2547" s="76" t="n"/>
      <c r="T2547" s="76" t="n"/>
      <c r="U2547" s="70">
        <f>IF($A2547="","",IFERROR(INDEX('Techniciens'!$F$5:$F$44,MATCH(O2547,'Techniciens'!$B$5:$B$44,0)),'Paramètres'!$AA$10))</f>
        <v/>
      </c>
      <c r="V2547" s="70">
        <f>IF($A2547="","",IF(OR(AC2547="Demandé",AC2547="Planifié",AC2547="Annulé"),0,N(T2547)*N(U2547)))</f>
        <v/>
      </c>
      <c r="W2547" s="70">
        <f>IF($A2547="","",SUMIFS('Mouvements stock'!$H$5:$H$3004,'Mouvements stock'!$I$5:$I$3004,$A2547,'Mouvements stock'!$C$5:$C$3004,"Sortie")-SUMIFS('Mouvements stock'!$H$5:$H$3004,'Mouvements stock'!$I$5:$I$3004,$A2547,'Mouvements stock'!$C$5:$C$3004,"Retour"))</f>
        <v/>
      </c>
      <c r="X2547" s="66" t="n"/>
      <c r="Y2547" s="66" t="n"/>
      <c r="Z2547" s="7" t="n"/>
      <c r="AA2547" s="70">
        <f>IF($A2547="","",N(V2547)+N(W2547)+N(X2547)+N(Y2547))</f>
        <v/>
      </c>
      <c r="AB2547" s="70">
        <f>IF($A2547="","",N(S2547)*'Paramètres'!$AA$9*IFERROR(INDEX('Paramètres'!$O$5:$O$7,MATCH(G2547,'Paramètres'!$N$5:$N$7,0)),0))</f>
        <v/>
      </c>
      <c r="AC2547" s="7" t="n"/>
      <c r="AD2547" s="69">
        <f>IF(OR($A2547="",Q2547=""),"",(Q2547-B2547)*24)</f>
        <v/>
      </c>
      <c r="AE2547" s="69">
        <f>IF(OR(Q2547="",R2547=""),"",(R2547-Q2547)*24)</f>
        <v/>
      </c>
      <c r="AF2547" s="77">
        <f>IF(OR($A2547="",B2547=""),"",YEAR(B2547))</f>
        <v/>
      </c>
      <c r="AG2547" s="77">
        <f>IF(OR($A2547="",B2547=""),"",MONTH(B2547))</f>
        <v/>
      </c>
    </row>
    <row r="2548">
      <c r="A2548" s="7" t="n"/>
      <c r="B2548" s="75" t="n"/>
      <c r="C2548" s="7" t="n"/>
      <c r="D2548" s="7" t="n"/>
      <c r="E2548" s="9">
        <f>IF(D2548="","",IFERROR(INDEX('Équipements'!$B$5:$B$304,MATCH(D2548,'Équipements'!$A$5:$A$304,0)),"Code inconnu"))</f>
        <v/>
      </c>
      <c r="F2548" s="9">
        <f>IF(D2548="","",IFERROR(INDEX('Équipements'!$D$5:$D$304,MATCH(D2548,'Équipements'!$A$5:$A$304,0)),""))</f>
        <v/>
      </c>
      <c r="G2548" s="9">
        <f>IF(D2548="","",IFERROR(INDEX('Équipements'!$K$5:$K$304,MATCH(D2548,'Équipements'!$A$5:$A$304,0)),""))</f>
        <v/>
      </c>
      <c r="H2548" s="7" t="n"/>
      <c r="I2548" s="7" t="n"/>
      <c r="J2548" s="7" t="n"/>
      <c r="K2548" s="7" t="n"/>
      <c r="L2548" s="7" t="n"/>
      <c r="M2548" s="7" t="n"/>
      <c r="N2548" s="7" t="n"/>
      <c r="O2548" s="7" t="n"/>
      <c r="P2548" s="65" t="n"/>
      <c r="Q2548" s="75" t="n"/>
      <c r="R2548" s="75" t="n"/>
      <c r="S2548" s="76" t="n"/>
      <c r="T2548" s="76" t="n"/>
      <c r="U2548" s="70">
        <f>IF($A2548="","",IFERROR(INDEX('Techniciens'!$F$5:$F$44,MATCH(O2548,'Techniciens'!$B$5:$B$44,0)),'Paramètres'!$AA$10))</f>
        <v/>
      </c>
      <c r="V2548" s="70">
        <f>IF($A2548="","",IF(OR(AC2548="Demandé",AC2548="Planifié",AC2548="Annulé"),0,N(T2548)*N(U2548)))</f>
        <v/>
      </c>
      <c r="W2548" s="70">
        <f>IF($A2548="","",SUMIFS('Mouvements stock'!$H$5:$H$3004,'Mouvements stock'!$I$5:$I$3004,$A2548,'Mouvements stock'!$C$5:$C$3004,"Sortie")-SUMIFS('Mouvements stock'!$H$5:$H$3004,'Mouvements stock'!$I$5:$I$3004,$A2548,'Mouvements stock'!$C$5:$C$3004,"Retour"))</f>
        <v/>
      </c>
      <c r="X2548" s="66" t="n"/>
      <c r="Y2548" s="66" t="n"/>
      <c r="Z2548" s="7" t="n"/>
      <c r="AA2548" s="70">
        <f>IF($A2548="","",N(V2548)+N(W2548)+N(X2548)+N(Y2548))</f>
        <v/>
      </c>
      <c r="AB2548" s="70">
        <f>IF($A2548="","",N(S2548)*'Paramètres'!$AA$9*IFERROR(INDEX('Paramètres'!$O$5:$O$7,MATCH(G2548,'Paramètres'!$N$5:$N$7,0)),0))</f>
        <v/>
      </c>
      <c r="AC2548" s="7" t="n"/>
      <c r="AD2548" s="69">
        <f>IF(OR($A2548="",Q2548=""),"",(Q2548-B2548)*24)</f>
        <v/>
      </c>
      <c r="AE2548" s="69">
        <f>IF(OR(Q2548="",R2548=""),"",(R2548-Q2548)*24)</f>
        <v/>
      </c>
      <c r="AF2548" s="77">
        <f>IF(OR($A2548="",B2548=""),"",YEAR(B2548))</f>
        <v/>
      </c>
      <c r="AG2548" s="77">
        <f>IF(OR($A2548="",B2548=""),"",MONTH(B2548))</f>
        <v/>
      </c>
    </row>
    <row r="2549">
      <c r="A2549" s="7" t="n"/>
      <c r="B2549" s="75" t="n"/>
      <c r="C2549" s="7" t="n"/>
      <c r="D2549" s="7" t="n"/>
      <c r="E2549" s="9">
        <f>IF(D2549="","",IFERROR(INDEX('Équipements'!$B$5:$B$304,MATCH(D2549,'Équipements'!$A$5:$A$304,0)),"Code inconnu"))</f>
        <v/>
      </c>
      <c r="F2549" s="9">
        <f>IF(D2549="","",IFERROR(INDEX('Équipements'!$D$5:$D$304,MATCH(D2549,'Équipements'!$A$5:$A$304,0)),""))</f>
        <v/>
      </c>
      <c r="G2549" s="9">
        <f>IF(D2549="","",IFERROR(INDEX('Équipements'!$K$5:$K$304,MATCH(D2549,'Équipements'!$A$5:$A$304,0)),""))</f>
        <v/>
      </c>
      <c r="H2549" s="7" t="n"/>
      <c r="I2549" s="7" t="n"/>
      <c r="J2549" s="7" t="n"/>
      <c r="K2549" s="7" t="n"/>
      <c r="L2549" s="7" t="n"/>
      <c r="M2549" s="7" t="n"/>
      <c r="N2549" s="7" t="n"/>
      <c r="O2549" s="7" t="n"/>
      <c r="P2549" s="65" t="n"/>
      <c r="Q2549" s="75" t="n"/>
      <c r="R2549" s="75" t="n"/>
      <c r="S2549" s="76" t="n"/>
      <c r="T2549" s="76" t="n"/>
      <c r="U2549" s="70">
        <f>IF($A2549="","",IFERROR(INDEX('Techniciens'!$F$5:$F$44,MATCH(O2549,'Techniciens'!$B$5:$B$44,0)),'Paramètres'!$AA$10))</f>
        <v/>
      </c>
      <c r="V2549" s="70">
        <f>IF($A2549="","",IF(OR(AC2549="Demandé",AC2549="Planifié",AC2549="Annulé"),0,N(T2549)*N(U2549)))</f>
        <v/>
      </c>
      <c r="W2549" s="70">
        <f>IF($A2549="","",SUMIFS('Mouvements stock'!$H$5:$H$3004,'Mouvements stock'!$I$5:$I$3004,$A2549,'Mouvements stock'!$C$5:$C$3004,"Sortie")-SUMIFS('Mouvements stock'!$H$5:$H$3004,'Mouvements stock'!$I$5:$I$3004,$A2549,'Mouvements stock'!$C$5:$C$3004,"Retour"))</f>
        <v/>
      </c>
      <c r="X2549" s="66" t="n"/>
      <c r="Y2549" s="66" t="n"/>
      <c r="Z2549" s="7" t="n"/>
      <c r="AA2549" s="70">
        <f>IF($A2549="","",N(V2549)+N(W2549)+N(X2549)+N(Y2549))</f>
        <v/>
      </c>
      <c r="AB2549" s="70">
        <f>IF($A2549="","",N(S2549)*'Paramètres'!$AA$9*IFERROR(INDEX('Paramètres'!$O$5:$O$7,MATCH(G2549,'Paramètres'!$N$5:$N$7,0)),0))</f>
        <v/>
      </c>
      <c r="AC2549" s="7" t="n"/>
      <c r="AD2549" s="69">
        <f>IF(OR($A2549="",Q2549=""),"",(Q2549-B2549)*24)</f>
        <v/>
      </c>
      <c r="AE2549" s="69">
        <f>IF(OR(Q2549="",R2549=""),"",(R2549-Q2549)*24)</f>
        <v/>
      </c>
      <c r="AF2549" s="77">
        <f>IF(OR($A2549="",B2549=""),"",YEAR(B2549))</f>
        <v/>
      </c>
      <c r="AG2549" s="77">
        <f>IF(OR($A2549="",B2549=""),"",MONTH(B2549))</f>
        <v/>
      </c>
    </row>
    <row r="2550">
      <c r="A2550" s="7" t="n"/>
      <c r="B2550" s="75" t="n"/>
      <c r="C2550" s="7" t="n"/>
      <c r="D2550" s="7" t="n"/>
      <c r="E2550" s="9">
        <f>IF(D2550="","",IFERROR(INDEX('Équipements'!$B$5:$B$304,MATCH(D2550,'Équipements'!$A$5:$A$304,0)),"Code inconnu"))</f>
        <v/>
      </c>
      <c r="F2550" s="9">
        <f>IF(D2550="","",IFERROR(INDEX('Équipements'!$D$5:$D$304,MATCH(D2550,'Équipements'!$A$5:$A$304,0)),""))</f>
        <v/>
      </c>
      <c r="G2550" s="9">
        <f>IF(D2550="","",IFERROR(INDEX('Équipements'!$K$5:$K$304,MATCH(D2550,'Équipements'!$A$5:$A$304,0)),""))</f>
        <v/>
      </c>
      <c r="H2550" s="7" t="n"/>
      <c r="I2550" s="7" t="n"/>
      <c r="J2550" s="7" t="n"/>
      <c r="K2550" s="7" t="n"/>
      <c r="L2550" s="7" t="n"/>
      <c r="M2550" s="7" t="n"/>
      <c r="N2550" s="7" t="n"/>
      <c r="O2550" s="7" t="n"/>
      <c r="P2550" s="65" t="n"/>
      <c r="Q2550" s="75" t="n"/>
      <c r="R2550" s="75" t="n"/>
      <c r="S2550" s="76" t="n"/>
      <c r="T2550" s="76" t="n"/>
      <c r="U2550" s="70">
        <f>IF($A2550="","",IFERROR(INDEX('Techniciens'!$F$5:$F$44,MATCH(O2550,'Techniciens'!$B$5:$B$44,0)),'Paramètres'!$AA$10))</f>
        <v/>
      </c>
      <c r="V2550" s="70">
        <f>IF($A2550="","",IF(OR(AC2550="Demandé",AC2550="Planifié",AC2550="Annulé"),0,N(T2550)*N(U2550)))</f>
        <v/>
      </c>
      <c r="W2550" s="70">
        <f>IF($A2550="","",SUMIFS('Mouvements stock'!$H$5:$H$3004,'Mouvements stock'!$I$5:$I$3004,$A2550,'Mouvements stock'!$C$5:$C$3004,"Sortie")-SUMIFS('Mouvements stock'!$H$5:$H$3004,'Mouvements stock'!$I$5:$I$3004,$A2550,'Mouvements stock'!$C$5:$C$3004,"Retour"))</f>
        <v/>
      </c>
      <c r="X2550" s="66" t="n"/>
      <c r="Y2550" s="66" t="n"/>
      <c r="Z2550" s="7" t="n"/>
      <c r="AA2550" s="70">
        <f>IF($A2550="","",N(V2550)+N(W2550)+N(X2550)+N(Y2550))</f>
        <v/>
      </c>
      <c r="AB2550" s="70">
        <f>IF($A2550="","",N(S2550)*'Paramètres'!$AA$9*IFERROR(INDEX('Paramètres'!$O$5:$O$7,MATCH(G2550,'Paramètres'!$N$5:$N$7,0)),0))</f>
        <v/>
      </c>
      <c r="AC2550" s="7" t="n"/>
      <c r="AD2550" s="69">
        <f>IF(OR($A2550="",Q2550=""),"",(Q2550-B2550)*24)</f>
        <v/>
      </c>
      <c r="AE2550" s="69">
        <f>IF(OR(Q2550="",R2550=""),"",(R2550-Q2550)*24)</f>
        <v/>
      </c>
      <c r="AF2550" s="77">
        <f>IF(OR($A2550="",B2550=""),"",YEAR(B2550))</f>
        <v/>
      </c>
      <c r="AG2550" s="77">
        <f>IF(OR($A2550="",B2550=""),"",MONTH(B2550))</f>
        <v/>
      </c>
    </row>
    <row r="2551">
      <c r="A2551" s="7" t="n"/>
      <c r="B2551" s="75" t="n"/>
      <c r="C2551" s="7" t="n"/>
      <c r="D2551" s="7" t="n"/>
      <c r="E2551" s="9">
        <f>IF(D2551="","",IFERROR(INDEX('Équipements'!$B$5:$B$304,MATCH(D2551,'Équipements'!$A$5:$A$304,0)),"Code inconnu"))</f>
        <v/>
      </c>
      <c r="F2551" s="9">
        <f>IF(D2551="","",IFERROR(INDEX('Équipements'!$D$5:$D$304,MATCH(D2551,'Équipements'!$A$5:$A$304,0)),""))</f>
        <v/>
      </c>
      <c r="G2551" s="9">
        <f>IF(D2551="","",IFERROR(INDEX('Équipements'!$K$5:$K$304,MATCH(D2551,'Équipements'!$A$5:$A$304,0)),""))</f>
        <v/>
      </c>
      <c r="H2551" s="7" t="n"/>
      <c r="I2551" s="7" t="n"/>
      <c r="J2551" s="7" t="n"/>
      <c r="K2551" s="7" t="n"/>
      <c r="L2551" s="7" t="n"/>
      <c r="M2551" s="7" t="n"/>
      <c r="N2551" s="7" t="n"/>
      <c r="O2551" s="7" t="n"/>
      <c r="P2551" s="65" t="n"/>
      <c r="Q2551" s="75" t="n"/>
      <c r="R2551" s="75" t="n"/>
      <c r="S2551" s="76" t="n"/>
      <c r="T2551" s="76" t="n"/>
      <c r="U2551" s="70">
        <f>IF($A2551="","",IFERROR(INDEX('Techniciens'!$F$5:$F$44,MATCH(O2551,'Techniciens'!$B$5:$B$44,0)),'Paramètres'!$AA$10))</f>
        <v/>
      </c>
      <c r="V2551" s="70">
        <f>IF($A2551="","",IF(OR(AC2551="Demandé",AC2551="Planifié",AC2551="Annulé"),0,N(T2551)*N(U2551)))</f>
        <v/>
      </c>
      <c r="W2551" s="70">
        <f>IF($A2551="","",SUMIFS('Mouvements stock'!$H$5:$H$3004,'Mouvements stock'!$I$5:$I$3004,$A2551,'Mouvements stock'!$C$5:$C$3004,"Sortie")-SUMIFS('Mouvements stock'!$H$5:$H$3004,'Mouvements stock'!$I$5:$I$3004,$A2551,'Mouvements stock'!$C$5:$C$3004,"Retour"))</f>
        <v/>
      </c>
      <c r="X2551" s="66" t="n"/>
      <c r="Y2551" s="66" t="n"/>
      <c r="Z2551" s="7" t="n"/>
      <c r="AA2551" s="70">
        <f>IF($A2551="","",N(V2551)+N(W2551)+N(X2551)+N(Y2551))</f>
        <v/>
      </c>
      <c r="AB2551" s="70">
        <f>IF($A2551="","",N(S2551)*'Paramètres'!$AA$9*IFERROR(INDEX('Paramètres'!$O$5:$O$7,MATCH(G2551,'Paramètres'!$N$5:$N$7,0)),0))</f>
        <v/>
      </c>
      <c r="AC2551" s="7" t="n"/>
      <c r="AD2551" s="69">
        <f>IF(OR($A2551="",Q2551=""),"",(Q2551-B2551)*24)</f>
        <v/>
      </c>
      <c r="AE2551" s="69">
        <f>IF(OR(Q2551="",R2551=""),"",(R2551-Q2551)*24)</f>
        <v/>
      </c>
      <c r="AF2551" s="77">
        <f>IF(OR($A2551="",B2551=""),"",YEAR(B2551))</f>
        <v/>
      </c>
      <c r="AG2551" s="77">
        <f>IF(OR($A2551="",B2551=""),"",MONTH(B2551))</f>
        <v/>
      </c>
    </row>
    <row r="2552">
      <c r="A2552" s="7" t="n"/>
      <c r="B2552" s="75" t="n"/>
      <c r="C2552" s="7" t="n"/>
      <c r="D2552" s="7" t="n"/>
      <c r="E2552" s="9">
        <f>IF(D2552="","",IFERROR(INDEX('Équipements'!$B$5:$B$304,MATCH(D2552,'Équipements'!$A$5:$A$304,0)),"Code inconnu"))</f>
        <v/>
      </c>
      <c r="F2552" s="9">
        <f>IF(D2552="","",IFERROR(INDEX('Équipements'!$D$5:$D$304,MATCH(D2552,'Équipements'!$A$5:$A$304,0)),""))</f>
        <v/>
      </c>
      <c r="G2552" s="9">
        <f>IF(D2552="","",IFERROR(INDEX('Équipements'!$K$5:$K$304,MATCH(D2552,'Équipements'!$A$5:$A$304,0)),""))</f>
        <v/>
      </c>
      <c r="H2552" s="7" t="n"/>
      <c r="I2552" s="7" t="n"/>
      <c r="J2552" s="7" t="n"/>
      <c r="K2552" s="7" t="n"/>
      <c r="L2552" s="7" t="n"/>
      <c r="M2552" s="7" t="n"/>
      <c r="N2552" s="7" t="n"/>
      <c r="O2552" s="7" t="n"/>
      <c r="P2552" s="65" t="n"/>
      <c r="Q2552" s="75" t="n"/>
      <c r="R2552" s="75" t="n"/>
      <c r="S2552" s="76" t="n"/>
      <c r="T2552" s="76" t="n"/>
      <c r="U2552" s="70">
        <f>IF($A2552="","",IFERROR(INDEX('Techniciens'!$F$5:$F$44,MATCH(O2552,'Techniciens'!$B$5:$B$44,0)),'Paramètres'!$AA$10))</f>
        <v/>
      </c>
      <c r="V2552" s="70">
        <f>IF($A2552="","",IF(OR(AC2552="Demandé",AC2552="Planifié",AC2552="Annulé"),0,N(T2552)*N(U2552)))</f>
        <v/>
      </c>
      <c r="W2552" s="70">
        <f>IF($A2552="","",SUMIFS('Mouvements stock'!$H$5:$H$3004,'Mouvements stock'!$I$5:$I$3004,$A2552,'Mouvements stock'!$C$5:$C$3004,"Sortie")-SUMIFS('Mouvements stock'!$H$5:$H$3004,'Mouvements stock'!$I$5:$I$3004,$A2552,'Mouvements stock'!$C$5:$C$3004,"Retour"))</f>
        <v/>
      </c>
      <c r="X2552" s="66" t="n"/>
      <c r="Y2552" s="66" t="n"/>
      <c r="Z2552" s="7" t="n"/>
      <c r="AA2552" s="70">
        <f>IF($A2552="","",N(V2552)+N(W2552)+N(X2552)+N(Y2552))</f>
        <v/>
      </c>
      <c r="AB2552" s="70">
        <f>IF($A2552="","",N(S2552)*'Paramètres'!$AA$9*IFERROR(INDEX('Paramètres'!$O$5:$O$7,MATCH(G2552,'Paramètres'!$N$5:$N$7,0)),0))</f>
        <v/>
      </c>
      <c r="AC2552" s="7" t="n"/>
      <c r="AD2552" s="69">
        <f>IF(OR($A2552="",Q2552=""),"",(Q2552-B2552)*24)</f>
        <v/>
      </c>
      <c r="AE2552" s="69">
        <f>IF(OR(Q2552="",R2552=""),"",(R2552-Q2552)*24)</f>
        <v/>
      </c>
      <c r="AF2552" s="77">
        <f>IF(OR($A2552="",B2552=""),"",YEAR(B2552))</f>
        <v/>
      </c>
      <c r="AG2552" s="77">
        <f>IF(OR($A2552="",B2552=""),"",MONTH(B2552))</f>
        <v/>
      </c>
    </row>
    <row r="2553">
      <c r="A2553" s="7" t="n"/>
      <c r="B2553" s="75" t="n"/>
      <c r="C2553" s="7" t="n"/>
      <c r="D2553" s="7" t="n"/>
      <c r="E2553" s="9">
        <f>IF(D2553="","",IFERROR(INDEX('Équipements'!$B$5:$B$304,MATCH(D2553,'Équipements'!$A$5:$A$304,0)),"Code inconnu"))</f>
        <v/>
      </c>
      <c r="F2553" s="9">
        <f>IF(D2553="","",IFERROR(INDEX('Équipements'!$D$5:$D$304,MATCH(D2553,'Équipements'!$A$5:$A$304,0)),""))</f>
        <v/>
      </c>
      <c r="G2553" s="9">
        <f>IF(D2553="","",IFERROR(INDEX('Équipements'!$K$5:$K$304,MATCH(D2553,'Équipements'!$A$5:$A$304,0)),""))</f>
        <v/>
      </c>
      <c r="H2553" s="7" t="n"/>
      <c r="I2553" s="7" t="n"/>
      <c r="J2553" s="7" t="n"/>
      <c r="K2553" s="7" t="n"/>
      <c r="L2553" s="7" t="n"/>
      <c r="M2553" s="7" t="n"/>
      <c r="N2553" s="7" t="n"/>
      <c r="O2553" s="7" t="n"/>
      <c r="P2553" s="65" t="n"/>
      <c r="Q2553" s="75" t="n"/>
      <c r="R2553" s="75" t="n"/>
      <c r="S2553" s="76" t="n"/>
      <c r="T2553" s="76" t="n"/>
      <c r="U2553" s="70">
        <f>IF($A2553="","",IFERROR(INDEX('Techniciens'!$F$5:$F$44,MATCH(O2553,'Techniciens'!$B$5:$B$44,0)),'Paramètres'!$AA$10))</f>
        <v/>
      </c>
      <c r="V2553" s="70">
        <f>IF($A2553="","",IF(OR(AC2553="Demandé",AC2553="Planifié",AC2553="Annulé"),0,N(T2553)*N(U2553)))</f>
        <v/>
      </c>
      <c r="W2553" s="70">
        <f>IF($A2553="","",SUMIFS('Mouvements stock'!$H$5:$H$3004,'Mouvements stock'!$I$5:$I$3004,$A2553,'Mouvements stock'!$C$5:$C$3004,"Sortie")-SUMIFS('Mouvements stock'!$H$5:$H$3004,'Mouvements stock'!$I$5:$I$3004,$A2553,'Mouvements stock'!$C$5:$C$3004,"Retour"))</f>
        <v/>
      </c>
      <c r="X2553" s="66" t="n"/>
      <c r="Y2553" s="66" t="n"/>
      <c r="Z2553" s="7" t="n"/>
      <c r="AA2553" s="70">
        <f>IF($A2553="","",N(V2553)+N(W2553)+N(X2553)+N(Y2553))</f>
        <v/>
      </c>
      <c r="AB2553" s="70">
        <f>IF($A2553="","",N(S2553)*'Paramètres'!$AA$9*IFERROR(INDEX('Paramètres'!$O$5:$O$7,MATCH(G2553,'Paramètres'!$N$5:$N$7,0)),0))</f>
        <v/>
      </c>
      <c r="AC2553" s="7" t="n"/>
      <c r="AD2553" s="69">
        <f>IF(OR($A2553="",Q2553=""),"",(Q2553-B2553)*24)</f>
        <v/>
      </c>
      <c r="AE2553" s="69">
        <f>IF(OR(Q2553="",R2553=""),"",(R2553-Q2553)*24)</f>
        <v/>
      </c>
      <c r="AF2553" s="77">
        <f>IF(OR($A2553="",B2553=""),"",YEAR(B2553))</f>
        <v/>
      </c>
      <c r="AG2553" s="77">
        <f>IF(OR($A2553="",B2553=""),"",MONTH(B2553))</f>
        <v/>
      </c>
    </row>
    <row r="2554">
      <c r="A2554" s="7" t="n"/>
      <c r="B2554" s="75" t="n"/>
      <c r="C2554" s="7" t="n"/>
      <c r="D2554" s="7" t="n"/>
      <c r="E2554" s="9">
        <f>IF(D2554="","",IFERROR(INDEX('Équipements'!$B$5:$B$304,MATCH(D2554,'Équipements'!$A$5:$A$304,0)),"Code inconnu"))</f>
        <v/>
      </c>
      <c r="F2554" s="9">
        <f>IF(D2554="","",IFERROR(INDEX('Équipements'!$D$5:$D$304,MATCH(D2554,'Équipements'!$A$5:$A$304,0)),""))</f>
        <v/>
      </c>
      <c r="G2554" s="9">
        <f>IF(D2554="","",IFERROR(INDEX('Équipements'!$K$5:$K$304,MATCH(D2554,'Équipements'!$A$5:$A$304,0)),""))</f>
        <v/>
      </c>
      <c r="H2554" s="7" t="n"/>
      <c r="I2554" s="7" t="n"/>
      <c r="J2554" s="7" t="n"/>
      <c r="K2554" s="7" t="n"/>
      <c r="L2554" s="7" t="n"/>
      <c r="M2554" s="7" t="n"/>
      <c r="N2554" s="7" t="n"/>
      <c r="O2554" s="7" t="n"/>
      <c r="P2554" s="65" t="n"/>
      <c r="Q2554" s="75" t="n"/>
      <c r="R2554" s="75" t="n"/>
      <c r="S2554" s="76" t="n"/>
      <c r="T2554" s="76" t="n"/>
      <c r="U2554" s="70">
        <f>IF($A2554="","",IFERROR(INDEX('Techniciens'!$F$5:$F$44,MATCH(O2554,'Techniciens'!$B$5:$B$44,0)),'Paramètres'!$AA$10))</f>
        <v/>
      </c>
      <c r="V2554" s="70">
        <f>IF($A2554="","",IF(OR(AC2554="Demandé",AC2554="Planifié",AC2554="Annulé"),0,N(T2554)*N(U2554)))</f>
        <v/>
      </c>
      <c r="W2554" s="70">
        <f>IF($A2554="","",SUMIFS('Mouvements stock'!$H$5:$H$3004,'Mouvements stock'!$I$5:$I$3004,$A2554,'Mouvements stock'!$C$5:$C$3004,"Sortie")-SUMIFS('Mouvements stock'!$H$5:$H$3004,'Mouvements stock'!$I$5:$I$3004,$A2554,'Mouvements stock'!$C$5:$C$3004,"Retour"))</f>
        <v/>
      </c>
      <c r="X2554" s="66" t="n"/>
      <c r="Y2554" s="66" t="n"/>
      <c r="Z2554" s="7" t="n"/>
      <c r="AA2554" s="70">
        <f>IF($A2554="","",N(V2554)+N(W2554)+N(X2554)+N(Y2554))</f>
        <v/>
      </c>
      <c r="AB2554" s="70">
        <f>IF($A2554="","",N(S2554)*'Paramètres'!$AA$9*IFERROR(INDEX('Paramètres'!$O$5:$O$7,MATCH(G2554,'Paramètres'!$N$5:$N$7,0)),0))</f>
        <v/>
      </c>
      <c r="AC2554" s="7" t="n"/>
      <c r="AD2554" s="69">
        <f>IF(OR($A2554="",Q2554=""),"",(Q2554-B2554)*24)</f>
        <v/>
      </c>
      <c r="AE2554" s="69">
        <f>IF(OR(Q2554="",R2554=""),"",(R2554-Q2554)*24)</f>
        <v/>
      </c>
      <c r="AF2554" s="77">
        <f>IF(OR($A2554="",B2554=""),"",YEAR(B2554))</f>
        <v/>
      </c>
      <c r="AG2554" s="77">
        <f>IF(OR($A2554="",B2554=""),"",MONTH(B2554))</f>
        <v/>
      </c>
    </row>
    <row r="2555">
      <c r="A2555" s="7" t="n"/>
      <c r="B2555" s="75" t="n"/>
      <c r="C2555" s="7" t="n"/>
      <c r="D2555" s="7" t="n"/>
      <c r="E2555" s="9">
        <f>IF(D2555="","",IFERROR(INDEX('Équipements'!$B$5:$B$304,MATCH(D2555,'Équipements'!$A$5:$A$304,0)),"Code inconnu"))</f>
        <v/>
      </c>
      <c r="F2555" s="9">
        <f>IF(D2555="","",IFERROR(INDEX('Équipements'!$D$5:$D$304,MATCH(D2555,'Équipements'!$A$5:$A$304,0)),""))</f>
        <v/>
      </c>
      <c r="G2555" s="9">
        <f>IF(D2555="","",IFERROR(INDEX('Équipements'!$K$5:$K$304,MATCH(D2555,'Équipements'!$A$5:$A$304,0)),""))</f>
        <v/>
      </c>
      <c r="H2555" s="7" t="n"/>
      <c r="I2555" s="7" t="n"/>
      <c r="J2555" s="7" t="n"/>
      <c r="K2555" s="7" t="n"/>
      <c r="L2555" s="7" t="n"/>
      <c r="M2555" s="7" t="n"/>
      <c r="N2555" s="7" t="n"/>
      <c r="O2555" s="7" t="n"/>
      <c r="P2555" s="65" t="n"/>
      <c r="Q2555" s="75" t="n"/>
      <c r="R2555" s="75" t="n"/>
      <c r="S2555" s="76" t="n"/>
      <c r="T2555" s="76" t="n"/>
      <c r="U2555" s="70">
        <f>IF($A2555="","",IFERROR(INDEX('Techniciens'!$F$5:$F$44,MATCH(O2555,'Techniciens'!$B$5:$B$44,0)),'Paramètres'!$AA$10))</f>
        <v/>
      </c>
      <c r="V2555" s="70">
        <f>IF($A2555="","",IF(OR(AC2555="Demandé",AC2555="Planifié",AC2555="Annulé"),0,N(T2555)*N(U2555)))</f>
        <v/>
      </c>
      <c r="W2555" s="70">
        <f>IF($A2555="","",SUMIFS('Mouvements stock'!$H$5:$H$3004,'Mouvements stock'!$I$5:$I$3004,$A2555,'Mouvements stock'!$C$5:$C$3004,"Sortie")-SUMIFS('Mouvements stock'!$H$5:$H$3004,'Mouvements stock'!$I$5:$I$3004,$A2555,'Mouvements stock'!$C$5:$C$3004,"Retour"))</f>
        <v/>
      </c>
      <c r="X2555" s="66" t="n"/>
      <c r="Y2555" s="66" t="n"/>
      <c r="Z2555" s="7" t="n"/>
      <c r="AA2555" s="70">
        <f>IF($A2555="","",N(V2555)+N(W2555)+N(X2555)+N(Y2555))</f>
        <v/>
      </c>
      <c r="AB2555" s="70">
        <f>IF($A2555="","",N(S2555)*'Paramètres'!$AA$9*IFERROR(INDEX('Paramètres'!$O$5:$O$7,MATCH(G2555,'Paramètres'!$N$5:$N$7,0)),0))</f>
        <v/>
      </c>
      <c r="AC2555" s="7" t="n"/>
      <c r="AD2555" s="69">
        <f>IF(OR($A2555="",Q2555=""),"",(Q2555-B2555)*24)</f>
        <v/>
      </c>
      <c r="AE2555" s="69">
        <f>IF(OR(Q2555="",R2555=""),"",(R2555-Q2555)*24)</f>
        <v/>
      </c>
      <c r="AF2555" s="77">
        <f>IF(OR($A2555="",B2555=""),"",YEAR(B2555))</f>
        <v/>
      </c>
      <c r="AG2555" s="77">
        <f>IF(OR($A2555="",B2555=""),"",MONTH(B2555))</f>
        <v/>
      </c>
    </row>
    <row r="2556">
      <c r="A2556" s="7" t="n"/>
      <c r="B2556" s="75" t="n"/>
      <c r="C2556" s="7" t="n"/>
      <c r="D2556" s="7" t="n"/>
      <c r="E2556" s="9">
        <f>IF(D2556="","",IFERROR(INDEX('Équipements'!$B$5:$B$304,MATCH(D2556,'Équipements'!$A$5:$A$304,0)),"Code inconnu"))</f>
        <v/>
      </c>
      <c r="F2556" s="9">
        <f>IF(D2556="","",IFERROR(INDEX('Équipements'!$D$5:$D$304,MATCH(D2556,'Équipements'!$A$5:$A$304,0)),""))</f>
        <v/>
      </c>
      <c r="G2556" s="9">
        <f>IF(D2556="","",IFERROR(INDEX('Équipements'!$K$5:$K$304,MATCH(D2556,'Équipements'!$A$5:$A$304,0)),""))</f>
        <v/>
      </c>
      <c r="H2556" s="7" t="n"/>
      <c r="I2556" s="7" t="n"/>
      <c r="J2556" s="7" t="n"/>
      <c r="K2556" s="7" t="n"/>
      <c r="L2556" s="7" t="n"/>
      <c r="M2556" s="7" t="n"/>
      <c r="N2556" s="7" t="n"/>
      <c r="O2556" s="7" t="n"/>
      <c r="P2556" s="65" t="n"/>
      <c r="Q2556" s="75" t="n"/>
      <c r="R2556" s="75" t="n"/>
      <c r="S2556" s="76" t="n"/>
      <c r="T2556" s="76" t="n"/>
      <c r="U2556" s="70">
        <f>IF($A2556="","",IFERROR(INDEX('Techniciens'!$F$5:$F$44,MATCH(O2556,'Techniciens'!$B$5:$B$44,0)),'Paramètres'!$AA$10))</f>
        <v/>
      </c>
      <c r="V2556" s="70">
        <f>IF($A2556="","",IF(OR(AC2556="Demandé",AC2556="Planifié",AC2556="Annulé"),0,N(T2556)*N(U2556)))</f>
        <v/>
      </c>
      <c r="W2556" s="70">
        <f>IF($A2556="","",SUMIFS('Mouvements stock'!$H$5:$H$3004,'Mouvements stock'!$I$5:$I$3004,$A2556,'Mouvements stock'!$C$5:$C$3004,"Sortie")-SUMIFS('Mouvements stock'!$H$5:$H$3004,'Mouvements stock'!$I$5:$I$3004,$A2556,'Mouvements stock'!$C$5:$C$3004,"Retour"))</f>
        <v/>
      </c>
      <c r="X2556" s="66" t="n"/>
      <c r="Y2556" s="66" t="n"/>
      <c r="Z2556" s="7" t="n"/>
      <c r="AA2556" s="70">
        <f>IF($A2556="","",N(V2556)+N(W2556)+N(X2556)+N(Y2556))</f>
        <v/>
      </c>
      <c r="AB2556" s="70">
        <f>IF($A2556="","",N(S2556)*'Paramètres'!$AA$9*IFERROR(INDEX('Paramètres'!$O$5:$O$7,MATCH(G2556,'Paramètres'!$N$5:$N$7,0)),0))</f>
        <v/>
      </c>
      <c r="AC2556" s="7" t="n"/>
      <c r="AD2556" s="69">
        <f>IF(OR($A2556="",Q2556=""),"",(Q2556-B2556)*24)</f>
        <v/>
      </c>
      <c r="AE2556" s="69">
        <f>IF(OR(Q2556="",R2556=""),"",(R2556-Q2556)*24)</f>
        <v/>
      </c>
      <c r="AF2556" s="77">
        <f>IF(OR($A2556="",B2556=""),"",YEAR(B2556))</f>
        <v/>
      </c>
      <c r="AG2556" s="77">
        <f>IF(OR($A2556="",B2556=""),"",MONTH(B2556))</f>
        <v/>
      </c>
    </row>
    <row r="2557">
      <c r="A2557" s="7" t="n"/>
      <c r="B2557" s="75" t="n"/>
      <c r="C2557" s="7" t="n"/>
      <c r="D2557" s="7" t="n"/>
      <c r="E2557" s="9">
        <f>IF(D2557="","",IFERROR(INDEX('Équipements'!$B$5:$B$304,MATCH(D2557,'Équipements'!$A$5:$A$304,0)),"Code inconnu"))</f>
        <v/>
      </c>
      <c r="F2557" s="9">
        <f>IF(D2557="","",IFERROR(INDEX('Équipements'!$D$5:$D$304,MATCH(D2557,'Équipements'!$A$5:$A$304,0)),""))</f>
        <v/>
      </c>
      <c r="G2557" s="9">
        <f>IF(D2557="","",IFERROR(INDEX('Équipements'!$K$5:$K$304,MATCH(D2557,'Équipements'!$A$5:$A$304,0)),""))</f>
        <v/>
      </c>
      <c r="H2557" s="7" t="n"/>
      <c r="I2557" s="7" t="n"/>
      <c r="J2557" s="7" t="n"/>
      <c r="K2557" s="7" t="n"/>
      <c r="L2557" s="7" t="n"/>
      <c r="M2557" s="7" t="n"/>
      <c r="N2557" s="7" t="n"/>
      <c r="O2557" s="7" t="n"/>
      <c r="P2557" s="65" t="n"/>
      <c r="Q2557" s="75" t="n"/>
      <c r="R2557" s="75" t="n"/>
      <c r="S2557" s="76" t="n"/>
      <c r="T2557" s="76" t="n"/>
      <c r="U2557" s="70">
        <f>IF($A2557="","",IFERROR(INDEX('Techniciens'!$F$5:$F$44,MATCH(O2557,'Techniciens'!$B$5:$B$44,0)),'Paramètres'!$AA$10))</f>
        <v/>
      </c>
      <c r="V2557" s="70">
        <f>IF($A2557="","",IF(OR(AC2557="Demandé",AC2557="Planifié",AC2557="Annulé"),0,N(T2557)*N(U2557)))</f>
        <v/>
      </c>
      <c r="W2557" s="70">
        <f>IF($A2557="","",SUMIFS('Mouvements stock'!$H$5:$H$3004,'Mouvements stock'!$I$5:$I$3004,$A2557,'Mouvements stock'!$C$5:$C$3004,"Sortie")-SUMIFS('Mouvements stock'!$H$5:$H$3004,'Mouvements stock'!$I$5:$I$3004,$A2557,'Mouvements stock'!$C$5:$C$3004,"Retour"))</f>
        <v/>
      </c>
      <c r="X2557" s="66" t="n"/>
      <c r="Y2557" s="66" t="n"/>
      <c r="Z2557" s="7" t="n"/>
      <c r="AA2557" s="70">
        <f>IF($A2557="","",N(V2557)+N(W2557)+N(X2557)+N(Y2557))</f>
        <v/>
      </c>
      <c r="AB2557" s="70">
        <f>IF($A2557="","",N(S2557)*'Paramètres'!$AA$9*IFERROR(INDEX('Paramètres'!$O$5:$O$7,MATCH(G2557,'Paramètres'!$N$5:$N$7,0)),0))</f>
        <v/>
      </c>
      <c r="AC2557" s="7" t="n"/>
      <c r="AD2557" s="69">
        <f>IF(OR($A2557="",Q2557=""),"",(Q2557-B2557)*24)</f>
        <v/>
      </c>
      <c r="AE2557" s="69">
        <f>IF(OR(Q2557="",R2557=""),"",(R2557-Q2557)*24)</f>
        <v/>
      </c>
      <c r="AF2557" s="77">
        <f>IF(OR($A2557="",B2557=""),"",YEAR(B2557))</f>
        <v/>
      </c>
      <c r="AG2557" s="77">
        <f>IF(OR($A2557="",B2557=""),"",MONTH(B2557))</f>
        <v/>
      </c>
    </row>
    <row r="2558">
      <c r="A2558" s="7" t="n"/>
      <c r="B2558" s="75" t="n"/>
      <c r="C2558" s="7" t="n"/>
      <c r="D2558" s="7" t="n"/>
      <c r="E2558" s="9">
        <f>IF(D2558="","",IFERROR(INDEX('Équipements'!$B$5:$B$304,MATCH(D2558,'Équipements'!$A$5:$A$304,0)),"Code inconnu"))</f>
        <v/>
      </c>
      <c r="F2558" s="9">
        <f>IF(D2558="","",IFERROR(INDEX('Équipements'!$D$5:$D$304,MATCH(D2558,'Équipements'!$A$5:$A$304,0)),""))</f>
        <v/>
      </c>
      <c r="G2558" s="9">
        <f>IF(D2558="","",IFERROR(INDEX('Équipements'!$K$5:$K$304,MATCH(D2558,'Équipements'!$A$5:$A$304,0)),""))</f>
        <v/>
      </c>
      <c r="H2558" s="7" t="n"/>
      <c r="I2558" s="7" t="n"/>
      <c r="J2558" s="7" t="n"/>
      <c r="K2558" s="7" t="n"/>
      <c r="L2558" s="7" t="n"/>
      <c r="M2558" s="7" t="n"/>
      <c r="N2558" s="7" t="n"/>
      <c r="O2558" s="7" t="n"/>
      <c r="P2558" s="65" t="n"/>
      <c r="Q2558" s="75" t="n"/>
      <c r="R2558" s="75" t="n"/>
      <c r="S2558" s="76" t="n"/>
      <c r="T2558" s="76" t="n"/>
      <c r="U2558" s="70">
        <f>IF($A2558="","",IFERROR(INDEX('Techniciens'!$F$5:$F$44,MATCH(O2558,'Techniciens'!$B$5:$B$44,0)),'Paramètres'!$AA$10))</f>
        <v/>
      </c>
      <c r="V2558" s="70">
        <f>IF($A2558="","",IF(OR(AC2558="Demandé",AC2558="Planifié",AC2558="Annulé"),0,N(T2558)*N(U2558)))</f>
        <v/>
      </c>
      <c r="W2558" s="70">
        <f>IF($A2558="","",SUMIFS('Mouvements stock'!$H$5:$H$3004,'Mouvements stock'!$I$5:$I$3004,$A2558,'Mouvements stock'!$C$5:$C$3004,"Sortie")-SUMIFS('Mouvements stock'!$H$5:$H$3004,'Mouvements stock'!$I$5:$I$3004,$A2558,'Mouvements stock'!$C$5:$C$3004,"Retour"))</f>
        <v/>
      </c>
      <c r="X2558" s="66" t="n"/>
      <c r="Y2558" s="66" t="n"/>
      <c r="Z2558" s="7" t="n"/>
      <c r="AA2558" s="70">
        <f>IF($A2558="","",N(V2558)+N(W2558)+N(X2558)+N(Y2558))</f>
        <v/>
      </c>
      <c r="AB2558" s="70">
        <f>IF($A2558="","",N(S2558)*'Paramètres'!$AA$9*IFERROR(INDEX('Paramètres'!$O$5:$O$7,MATCH(G2558,'Paramètres'!$N$5:$N$7,0)),0))</f>
        <v/>
      </c>
      <c r="AC2558" s="7" t="n"/>
      <c r="AD2558" s="69">
        <f>IF(OR($A2558="",Q2558=""),"",(Q2558-B2558)*24)</f>
        <v/>
      </c>
      <c r="AE2558" s="69">
        <f>IF(OR(Q2558="",R2558=""),"",(R2558-Q2558)*24)</f>
        <v/>
      </c>
      <c r="AF2558" s="77">
        <f>IF(OR($A2558="",B2558=""),"",YEAR(B2558))</f>
        <v/>
      </c>
      <c r="AG2558" s="77">
        <f>IF(OR($A2558="",B2558=""),"",MONTH(B2558))</f>
        <v/>
      </c>
    </row>
    <row r="2559">
      <c r="A2559" s="7" t="n"/>
      <c r="B2559" s="75" t="n"/>
      <c r="C2559" s="7" t="n"/>
      <c r="D2559" s="7" t="n"/>
      <c r="E2559" s="9">
        <f>IF(D2559="","",IFERROR(INDEX('Équipements'!$B$5:$B$304,MATCH(D2559,'Équipements'!$A$5:$A$304,0)),"Code inconnu"))</f>
        <v/>
      </c>
      <c r="F2559" s="9">
        <f>IF(D2559="","",IFERROR(INDEX('Équipements'!$D$5:$D$304,MATCH(D2559,'Équipements'!$A$5:$A$304,0)),""))</f>
        <v/>
      </c>
      <c r="G2559" s="9">
        <f>IF(D2559="","",IFERROR(INDEX('Équipements'!$K$5:$K$304,MATCH(D2559,'Équipements'!$A$5:$A$304,0)),""))</f>
        <v/>
      </c>
      <c r="H2559" s="7" t="n"/>
      <c r="I2559" s="7" t="n"/>
      <c r="J2559" s="7" t="n"/>
      <c r="K2559" s="7" t="n"/>
      <c r="L2559" s="7" t="n"/>
      <c r="M2559" s="7" t="n"/>
      <c r="N2559" s="7" t="n"/>
      <c r="O2559" s="7" t="n"/>
      <c r="P2559" s="65" t="n"/>
      <c r="Q2559" s="75" t="n"/>
      <c r="R2559" s="75" t="n"/>
      <c r="S2559" s="76" t="n"/>
      <c r="T2559" s="76" t="n"/>
      <c r="U2559" s="70">
        <f>IF($A2559="","",IFERROR(INDEX('Techniciens'!$F$5:$F$44,MATCH(O2559,'Techniciens'!$B$5:$B$44,0)),'Paramètres'!$AA$10))</f>
        <v/>
      </c>
      <c r="V2559" s="70">
        <f>IF($A2559="","",IF(OR(AC2559="Demandé",AC2559="Planifié",AC2559="Annulé"),0,N(T2559)*N(U2559)))</f>
        <v/>
      </c>
      <c r="W2559" s="70">
        <f>IF($A2559="","",SUMIFS('Mouvements stock'!$H$5:$H$3004,'Mouvements stock'!$I$5:$I$3004,$A2559,'Mouvements stock'!$C$5:$C$3004,"Sortie")-SUMIFS('Mouvements stock'!$H$5:$H$3004,'Mouvements stock'!$I$5:$I$3004,$A2559,'Mouvements stock'!$C$5:$C$3004,"Retour"))</f>
        <v/>
      </c>
      <c r="X2559" s="66" t="n"/>
      <c r="Y2559" s="66" t="n"/>
      <c r="Z2559" s="7" t="n"/>
      <c r="AA2559" s="70">
        <f>IF($A2559="","",N(V2559)+N(W2559)+N(X2559)+N(Y2559))</f>
        <v/>
      </c>
      <c r="AB2559" s="70">
        <f>IF($A2559="","",N(S2559)*'Paramètres'!$AA$9*IFERROR(INDEX('Paramètres'!$O$5:$O$7,MATCH(G2559,'Paramètres'!$N$5:$N$7,0)),0))</f>
        <v/>
      </c>
      <c r="AC2559" s="7" t="n"/>
      <c r="AD2559" s="69">
        <f>IF(OR($A2559="",Q2559=""),"",(Q2559-B2559)*24)</f>
        <v/>
      </c>
      <c r="AE2559" s="69">
        <f>IF(OR(Q2559="",R2559=""),"",(R2559-Q2559)*24)</f>
        <v/>
      </c>
      <c r="AF2559" s="77">
        <f>IF(OR($A2559="",B2559=""),"",YEAR(B2559))</f>
        <v/>
      </c>
      <c r="AG2559" s="77">
        <f>IF(OR($A2559="",B2559=""),"",MONTH(B2559))</f>
        <v/>
      </c>
    </row>
    <row r="2560">
      <c r="A2560" s="7" t="n"/>
      <c r="B2560" s="75" t="n"/>
      <c r="C2560" s="7" t="n"/>
      <c r="D2560" s="7" t="n"/>
      <c r="E2560" s="9">
        <f>IF(D2560="","",IFERROR(INDEX('Équipements'!$B$5:$B$304,MATCH(D2560,'Équipements'!$A$5:$A$304,0)),"Code inconnu"))</f>
        <v/>
      </c>
      <c r="F2560" s="9">
        <f>IF(D2560="","",IFERROR(INDEX('Équipements'!$D$5:$D$304,MATCH(D2560,'Équipements'!$A$5:$A$304,0)),""))</f>
        <v/>
      </c>
      <c r="G2560" s="9">
        <f>IF(D2560="","",IFERROR(INDEX('Équipements'!$K$5:$K$304,MATCH(D2560,'Équipements'!$A$5:$A$304,0)),""))</f>
        <v/>
      </c>
      <c r="H2560" s="7" t="n"/>
      <c r="I2560" s="7" t="n"/>
      <c r="J2560" s="7" t="n"/>
      <c r="K2560" s="7" t="n"/>
      <c r="L2560" s="7" t="n"/>
      <c r="M2560" s="7" t="n"/>
      <c r="N2560" s="7" t="n"/>
      <c r="O2560" s="7" t="n"/>
      <c r="P2560" s="65" t="n"/>
      <c r="Q2560" s="75" t="n"/>
      <c r="R2560" s="75" t="n"/>
      <c r="S2560" s="76" t="n"/>
      <c r="T2560" s="76" t="n"/>
      <c r="U2560" s="70">
        <f>IF($A2560="","",IFERROR(INDEX('Techniciens'!$F$5:$F$44,MATCH(O2560,'Techniciens'!$B$5:$B$44,0)),'Paramètres'!$AA$10))</f>
        <v/>
      </c>
      <c r="V2560" s="70">
        <f>IF($A2560="","",IF(OR(AC2560="Demandé",AC2560="Planifié",AC2560="Annulé"),0,N(T2560)*N(U2560)))</f>
        <v/>
      </c>
      <c r="W2560" s="70">
        <f>IF($A2560="","",SUMIFS('Mouvements stock'!$H$5:$H$3004,'Mouvements stock'!$I$5:$I$3004,$A2560,'Mouvements stock'!$C$5:$C$3004,"Sortie")-SUMIFS('Mouvements stock'!$H$5:$H$3004,'Mouvements stock'!$I$5:$I$3004,$A2560,'Mouvements stock'!$C$5:$C$3004,"Retour"))</f>
        <v/>
      </c>
      <c r="X2560" s="66" t="n"/>
      <c r="Y2560" s="66" t="n"/>
      <c r="Z2560" s="7" t="n"/>
      <c r="AA2560" s="70">
        <f>IF($A2560="","",N(V2560)+N(W2560)+N(X2560)+N(Y2560))</f>
        <v/>
      </c>
      <c r="AB2560" s="70">
        <f>IF($A2560="","",N(S2560)*'Paramètres'!$AA$9*IFERROR(INDEX('Paramètres'!$O$5:$O$7,MATCH(G2560,'Paramètres'!$N$5:$N$7,0)),0))</f>
        <v/>
      </c>
      <c r="AC2560" s="7" t="n"/>
      <c r="AD2560" s="69">
        <f>IF(OR($A2560="",Q2560=""),"",(Q2560-B2560)*24)</f>
        <v/>
      </c>
      <c r="AE2560" s="69">
        <f>IF(OR(Q2560="",R2560=""),"",(R2560-Q2560)*24)</f>
        <v/>
      </c>
      <c r="AF2560" s="77">
        <f>IF(OR($A2560="",B2560=""),"",YEAR(B2560))</f>
        <v/>
      </c>
      <c r="AG2560" s="77">
        <f>IF(OR($A2560="",B2560=""),"",MONTH(B2560))</f>
        <v/>
      </c>
    </row>
    <row r="2561">
      <c r="A2561" s="7" t="n"/>
      <c r="B2561" s="75" t="n"/>
      <c r="C2561" s="7" t="n"/>
      <c r="D2561" s="7" t="n"/>
      <c r="E2561" s="9">
        <f>IF(D2561="","",IFERROR(INDEX('Équipements'!$B$5:$B$304,MATCH(D2561,'Équipements'!$A$5:$A$304,0)),"Code inconnu"))</f>
        <v/>
      </c>
      <c r="F2561" s="9">
        <f>IF(D2561="","",IFERROR(INDEX('Équipements'!$D$5:$D$304,MATCH(D2561,'Équipements'!$A$5:$A$304,0)),""))</f>
        <v/>
      </c>
      <c r="G2561" s="9">
        <f>IF(D2561="","",IFERROR(INDEX('Équipements'!$K$5:$K$304,MATCH(D2561,'Équipements'!$A$5:$A$304,0)),""))</f>
        <v/>
      </c>
      <c r="H2561" s="7" t="n"/>
      <c r="I2561" s="7" t="n"/>
      <c r="J2561" s="7" t="n"/>
      <c r="K2561" s="7" t="n"/>
      <c r="L2561" s="7" t="n"/>
      <c r="M2561" s="7" t="n"/>
      <c r="N2561" s="7" t="n"/>
      <c r="O2561" s="7" t="n"/>
      <c r="P2561" s="65" t="n"/>
      <c r="Q2561" s="75" t="n"/>
      <c r="R2561" s="75" t="n"/>
      <c r="S2561" s="76" t="n"/>
      <c r="T2561" s="76" t="n"/>
      <c r="U2561" s="70">
        <f>IF($A2561="","",IFERROR(INDEX('Techniciens'!$F$5:$F$44,MATCH(O2561,'Techniciens'!$B$5:$B$44,0)),'Paramètres'!$AA$10))</f>
        <v/>
      </c>
      <c r="V2561" s="70">
        <f>IF($A2561="","",IF(OR(AC2561="Demandé",AC2561="Planifié",AC2561="Annulé"),0,N(T2561)*N(U2561)))</f>
        <v/>
      </c>
      <c r="W2561" s="70">
        <f>IF($A2561="","",SUMIFS('Mouvements stock'!$H$5:$H$3004,'Mouvements stock'!$I$5:$I$3004,$A2561,'Mouvements stock'!$C$5:$C$3004,"Sortie")-SUMIFS('Mouvements stock'!$H$5:$H$3004,'Mouvements stock'!$I$5:$I$3004,$A2561,'Mouvements stock'!$C$5:$C$3004,"Retour"))</f>
        <v/>
      </c>
      <c r="X2561" s="66" t="n"/>
      <c r="Y2561" s="66" t="n"/>
      <c r="Z2561" s="7" t="n"/>
      <c r="AA2561" s="70">
        <f>IF($A2561="","",N(V2561)+N(W2561)+N(X2561)+N(Y2561))</f>
        <v/>
      </c>
      <c r="AB2561" s="70">
        <f>IF($A2561="","",N(S2561)*'Paramètres'!$AA$9*IFERROR(INDEX('Paramètres'!$O$5:$O$7,MATCH(G2561,'Paramètres'!$N$5:$N$7,0)),0))</f>
        <v/>
      </c>
      <c r="AC2561" s="7" t="n"/>
      <c r="AD2561" s="69">
        <f>IF(OR($A2561="",Q2561=""),"",(Q2561-B2561)*24)</f>
        <v/>
      </c>
      <c r="AE2561" s="69">
        <f>IF(OR(Q2561="",R2561=""),"",(R2561-Q2561)*24)</f>
        <v/>
      </c>
      <c r="AF2561" s="77">
        <f>IF(OR($A2561="",B2561=""),"",YEAR(B2561))</f>
        <v/>
      </c>
      <c r="AG2561" s="77">
        <f>IF(OR($A2561="",B2561=""),"",MONTH(B2561))</f>
        <v/>
      </c>
    </row>
    <row r="2562">
      <c r="A2562" s="7" t="n"/>
      <c r="B2562" s="75" t="n"/>
      <c r="C2562" s="7" t="n"/>
      <c r="D2562" s="7" t="n"/>
      <c r="E2562" s="9">
        <f>IF(D2562="","",IFERROR(INDEX('Équipements'!$B$5:$B$304,MATCH(D2562,'Équipements'!$A$5:$A$304,0)),"Code inconnu"))</f>
        <v/>
      </c>
      <c r="F2562" s="9">
        <f>IF(D2562="","",IFERROR(INDEX('Équipements'!$D$5:$D$304,MATCH(D2562,'Équipements'!$A$5:$A$304,0)),""))</f>
        <v/>
      </c>
      <c r="G2562" s="9">
        <f>IF(D2562="","",IFERROR(INDEX('Équipements'!$K$5:$K$304,MATCH(D2562,'Équipements'!$A$5:$A$304,0)),""))</f>
        <v/>
      </c>
      <c r="H2562" s="7" t="n"/>
      <c r="I2562" s="7" t="n"/>
      <c r="J2562" s="7" t="n"/>
      <c r="K2562" s="7" t="n"/>
      <c r="L2562" s="7" t="n"/>
      <c r="M2562" s="7" t="n"/>
      <c r="N2562" s="7" t="n"/>
      <c r="O2562" s="7" t="n"/>
      <c r="P2562" s="65" t="n"/>
      <c r="Q2562" s="75" t="n"/>
      <c r="R2562" s="75" t="n"/>
      <c r="S2562" s="76" t="n"/>
      <c r="T2562" s="76" t="n"/>
      <c r="U2562" s="70">
        <f>IF($A2562="","",IFERROR(INDEX('Techniciens'!$F$5:$F$44,MATCH(O2562,'Techniciens'!$B$5:$B$44,0)),'Paramètres'!$AA$10))</f>
        <v/>
      </c>
      <c r="V2562" s="70">
        <f>IF($A2562="","",IF(OR(AC2562="Demandé",AC2562="Planifié",AC2562="Annulé"),0,N(T2562)*N(U2562)))</f>
        <v/>
      </c>
      <c r="W2562" s="70">
        <f>IF($A2562="","",SUMIFS('Mouvements stock'!$H$5:$H$3004,'Mouvements stock'!$I$5:$I$3004,$A2562,'Mouvements stock'!$C$5:$C$3004,"Sortie")-SUMIFS('Mouvements stock'!$H$5:$H$3004,'Mouvements stock'!$I$5:$I$3004,$A2562,'Mouvements stock'!$C$5:$C$3004,"Retour"))</f>
        <v/>
      </c>
      <c r="X2562" s="66" t="n"/>
      <c r="Y2562" s="66" t="n"/>
      <c r="Z2562" s="7" t="n"/>
      <c r="AA2562" s="70">
        <f>IF($A2562="","",N(V2562)+N(W2562)+N(X2562)+N(Y2562))</f>
        <v/>
      </c>
      <c r="AB2562" s="70">
        <f>IF($A2562="","",N(S2562)*'Paramètres'!$AA$9*IFERROR(INDEX('Paramètres'!$O$5:$O$7,MATCH(G2562,'Paramètres'!$N$5:$N$7,0)),0))</f>
        <v/>
      </c>
      <c r="AC2562" s="7" t="n"/>
      <c r="AD2562" s="69">
        <f>IF(OR($A2562="",Q2562=""),"",(Q2562-B2562)*24)</f>
        <v/>
      </c>
      <c r="AE2562" s="69">
        <f>IF(OR(Q2562="",R2562=""),"",(R2562-Q2562)*24)</f>
        <v/>
      </c>
      <c r="AF2562" s="77">
        <f>IF(OR($A2562="",B2562=""),"",YEAR(B2562))</f>
        <v/>
      </c>
      <c r="AG2562" s="77">
        <f>IF(OR($A2562="",B2562=""),"",MONTH(B2562))</f>
        <v/>
      </c>
    </row>
    <row r="2563">
      <c r="A2563" s="7" t="n"/>
      <c r="B2563" s="75" t="n"/>
      <c r="C2563" s="7" t="n"/>
      <c r="D2563" s="7" t="n"/>
      <c r="E2563" s="9">
        <f>IF(D2563="","",IFERROR(INDEX('Équipements'!$B$5:$B$304,MATCH(D2563,'Équipements'!$A$5:$A$304,0)),"Code inconnu"))</f>
        <v/>
      </c>
      <c r="F2563" s="9">
        <f>IF(D2563="","",IFERROR(INDEX('Équipements'!$D$5:$D$304,MATCH(D2563,'Équipements'!$A$5:$A$304,0)),""))</f>
        <v/>
      </c>
      <c r="G2563" s="9">
        <f>IF(D2563="","",IFERROR(INDEX('Équipements'!$K$5:$K$304,MATCH(D2563,'Équipements'!$A$5:$A$304,0)),""))</f>
        <v/>
      </c>
      <c r="H2563" s="7" t="n"/>
      <c r="I2563" s="7" t="n"/>
      <c r="J2563" s="7" t="n"/>
      <c r="K2563" s="7" t="n"/>
      <c r="L2563" s="7" t="n"/>
      <c r="M2563" s="7" t="n"/>
      <c r="N2563" s="7" t="n"/>
      <c r="O2563" s="7" t="n"/>
      <c r="P2563" s="65" t="n"/>
      <c r="Q2563" s="75" t="n"/>
      <c r="R2563" s="75" t="n"/>
      <c r="S2563" s="76" t="n"/>
      <c r="T2563" s="76" t="n"/>
      <c r="U2563" s="70">
        <f>IF($A2563="","",IFERROR(INDEX('Techniciens'!$F$5:$F$44,MATCH(O2563,'Techniciens'!$B$5:$B$44,0)),'Paramètres'!$AA$10))</f>
        <v/>
      </c>
      <c r="V2563" s="70">
        <f>IF($A2563="","",IF(OR(AC2563="Demandé",AC2563="Planifié",AC2563="Annulé"),0,N(T2563)*N(U2563)))</f>
        <v/>
      </c>
      <c r="W2563" s="70">
        <f>IF($A2563="","",SUMIFS('Mouvements stock'!$H$5:$H$3004,'Mouvements stock'!$I$5:$I$3004,$A2563,'Mouvements stock'!$C$5:$C$3004,"Sortie")-SUMIFS('Mouvements stock'!$H$5:$H$3004,'Mouvements stock'!$I$5:$I$3004,$A2563,'Mouvements stock'!$C$5:$C$3004,"Retour"))</f>
        <v/>
      </c>
      <c r="X2563" s="66" t="n"/>
      <c r="Y2563" s="66" t="n"/>
      <c r="Z2563" s="7" t="n"/>
      <c r="AA2563" s="70">
        <f>IF($A2563="","",N(V2563)+N(W2563)+N(X2563)+N(Y2563))</f>
        <v/>
      </c>
      <c r="AB2563" s="70">
        <f>IF($A2563="","",N(S2563)*'Paramètres'!$AA$9*IFERROR(INDEX('Paramètres'!$O$5:$O$7,MATCH(G2563,'Paramètres'!$N$5:$N$7,0)),0))</f>
        <v/>
      </c>
      <c r="AC2563" s="7" t="n"/>
      <c r="AD2563" s="69">
        <f>IF(OR($A2563="",Q2563=""),"",(Q2563-B2563)*24)</f>
        <v/>
      </c>
      <c r="AE2563" s="69">
        <f>IF(OR(Q2563="",R2563=""),"",(R2563-Q2563)*24)</f>
        <v/>
      </c>
      <c r="AF2563" s="77">
        <f>IF(OR($A2563="",B2563=""),"",YEAR(B2563))</f>
        <v/>
      </c>
      <c r="AG2563" s="77">
        <f>IF(OR($A2563="",B2563=""),"",MONTH(B2563))</f>
        <v/>
      </c>
    </row>
    <row r="2564">
      <c r="A2564" s="7" t="n"/>
      <c r="B2564" s="75" t="n"/>
      <c r="C2564" s="7" t="n"/>
      <c r="D2564" s="7" t="n"/>
      <c r="E2564" s="9">
        <f>IF(D2564="","",IFERROR(INDEX('Équipements'!$B$5:$B$304,MATCH(D2564,'Équipements'!$A$5:$A$304,0)),"Code inconnu"))</f>
        <v/>
      </c>
      <c r="F2564" s="9">
        <f>IF(D2564="","",IFERROR(INDEX('Équipements'!$D$5:$D$304,MATCH(D2564,'Équipements'!$A$5:$A$304,0)),""))</f>
        <v/>
      </c>
      <c r="G2564" s="9">
        <f>IF(D2564="","",IFERROR(INDEX('Équipements'!$K$5:$K$304,MATCH(D2564,'Équipements'!$A$5:$A$304,0)),""))</f>
        <v/>
      </c>
      <c r="H2564" s="7" t="n"/>
      <c r="I2564" s="7" t="n"/>
      <c r="J2564" s="7" t="n"/>
      <c r="K2564" s="7" t="n"/>
      <c r="L2564" s="7" t="n"/>
      <c r="M2564" s="7" t="n"/>
      <c r="N2564" s="7" t="n"/>
      <c r="O2564" s="7" t="n"/>
      <c r="P2564" s="65" t="n"/>
      <c r="Q2564" s="75" t="n"/>
      <c r="R2564" s="75" t="n"/>
      <c r="S2564" s="76" t="n"/>
      <c r="T2564" s="76" t="n"/>
      <c r="U2564" s="70">
        <f>IF($A2564="","",IFERROR(INDEX('Techniciens'!$F$5:$F$44,MATCH(O2564,'Techniciens'!$B$5:$B$44,0)),'Paramètres'!$AA$10))</f>
        <v/>
      </c>
      <c r="V2564" s="70">
        <f>IF($A2564="","",IF(OR(AC2564="Demandé",AC2564="Planifié",AC2564="Annulé"),0,N(T2564)*N(U2564)))</f>
        <v/>
      </c>
      <c r="W2564" s="70">
        <f>IF($A2564="","",SUMIFS('Mouvements stock'!$H$5:$H$3004,'Mouvements stock'!$I$5:$I$3004,$A2564,'Mouvements stock'!$C$5:$C$3004,"Sortie")-SUMIFS('Mouvements stock'!$H$5:$H$3004,'Mouvements stock'!$I$5:$I$3004,$A2564,'Mouvements stock'!$C$5:$C$3004,"Retour"))</f>
        <v/>
      </c>
      <c r="X2564" s="66" t="n"/>
      <c r="Y2564" s="66" t="n"/>
      <c r="Z2564" s="7" t="n"/>
      <c r="AA2564" s="70">
        <f>IF($A2564="","",N(V2564)+N(W2564)+N(X2564)+N(Y2564))</f>
        <v/>
      </c>
      <c r="AB2564" s="70">
        <f>IF($A2564="","",N(S2564)*'Paramètres'!$AA$9*IFERROR(INDEX('Paramètres'!$O$5:$O$7,MATCH(G2564,'Paramètres'!$N$5:$N$7,0)),0))</f>
        <v/>
      </c>
      <c r="AC2564" s="7" t="n"/>
      <c r="AD2564" s="69">
        <f>IF(OR($A2564="",Q2564=""),"",(Q2564-B2564)*24)</f>
        <v/>
      </c>
      <c r="AE2564" s="69">
        <f>IF(OR(Q2564="",R2564=""),"",(R2564-Q2564)*24)</f>
        <v/>
      </c>
      <c r="AF2564" s="77">
        <f>IF(OR($A2564="",B2564=""),"",YEAR(B2564))</f>
        <v/>
      </c>
      <c r="AG2564" s="77">
        <f>IF(OR($A2564="",B2564=""),"",MONTH(B2564))</f>
        <v/>
      </c>
    </row>
    <row r="2565">
      <c r="A2565" s="7" t="n"/>
      <c r="B2565" s="75" t="n"/>
      <c r="C2565" s="7" t="n"/>
      <c r="D2565" s="7" t="n"/>
      <c r="E2565" s="9">
        <f>IF(D2565="","",IFERROR(INDEX('Équipements'!$B$5:$B$304,MATCH(D2565,'Équipements'!$A$5:$A$304,0)),"Code inconnu"))</f>
        <v/>
      </c>
      <c r="F2565" s="9">
        <f>IF(D2565="","",IFERROR(INDEX('Équipements'!$D$5:$D$304,MATCH(D2565,'Équipements'!$A$5:$A$304,0)),""))</f>
        <v/>
      </c>
      <c r="G2565" s="9">
        <f>IF(D2565="","",IFERROR(INDEX('Équipements'!$K$5:$K$304,MATCH(D2565,'Équipements'!$A$5:$A$304,0)),""))</f>
        <v/>
      </c>
      <c r="H2565" s="7" t="n"/>
      <c r="I2565" s="7" t="n"/>
      <c r="J2565" s="7" t="n"/>
      <c r="K2565" s="7" t="n"/>
      <c r="L2565" s="7" t="n"/>
      <c r="M2565" s="7" t="n"/>
      <c r="N2565" s="7" t="n"/>
      <c r="O2565" s="7" t="n"/>
      <c r="P2565" s="65" t="n"/>
      <c r="Q2565" s="75" t="n"/>
      <c r="R2565" s="75" t="n"/>
      <c r="S2565" s="76" t="n"/>
      <c r="T2565" s="76" t="n"/>
      <c r="U2565" s="70">
        <f>IF($A2565="","",IFERROR(INDEX('Techniciens'!$F$5:$F$44,MATCH(O2565,'Techniciens'!$B$5:$B$44,0)),'Paramètres'!$AA$10))</f>
        <v/>
      </c>
      <c r="V2565" s="70">
        <f>IF($A2565="","",IF(OR(AC2565="Demandé",AC2565="Planifié",AC2565="Annulé"),0,N(T2565)*N(U2565)))</f>
        <v/>
      </c>
      <c r="W2565" s="70">
        <f>IF($A2565="","",SUMIFS('Mouvements stock'!$H$5:$H$3004,'Mouvements stock'!$I$5:$I$3004,$A2565,'Mouvements stock'!$C$5:$C$3004,"Sortie")-SUMIFS('Mouvements stock'!$H$5:$H$3004,'Mouvements stock'!$I$5:$I$3004,$A2565,'Mouvements stock'!$C$5:$C$3004,"Retour"))</f>
        <v/>
      </c>
      <c r="X2565" s="66" t="n"/>
      <c r="Y2565" s="66" t="n"/>
      <c r="Z2565" s="7" t="n"/>
      <c r="AA2565" s="70">
        <f>IF($A2565="","",N(V2565)+N(W2565)+N(X2565)+N(Y2565))</f>
        <v/>
      </c>
      <c r="AB2565" s="70">
        <f>IF($A2565="","",N(S2565)*'Paramètres'!$AA$9*IFERROR(INDEX('Paramètres'!$O$5:$O$7,MATCH(G2565,'Paramètres'!$N$5:$N$7,0)),0))</f>
        <v/>
      </c>
      <c r="AC2565" s="7" t="n"/>
      <c r="AD2565" s="69">
        <f>IF(OR($A2565="",Q2565=""),"",(Q2565-B2565)*24)</f>
        <v/>
      </c>
      <c r="AE2565" s="69">
        <f>IF(OR(Q2565="",R2565=""),"",(R2565-Q2565)*24)</f>
        <v/>
      </c>
      <c r="AF2565" s="77">
        <f>IF(OR($A2565="",B2565=""),"",YEAR(B2565))</f>
        <v/>
      </c>
      <c r="AG2565" s="77">
        <f>IF(OR($A2565="",B2565=""),"",MONTH(B2565))</f>
        <v/>
      </c>
    </row>
    <row r="2566">
      <c r="A2566" s="7" t="n"/>
      <c r="B2566" s="75" t="n"/>
      <c r="C2566" s="7" t="n"/>
      <c r="D2566" s="7" t="n"/>
      <c r="E2566" s="9">
        <f>IF(D2566="","",IFERROR(INDEX('Équipements'!$B$5:$B$304,MATCH(D2566,'Équipements'!$A$5:$A$304,0)),"Code inconnu"))</f>
        <v/>
      </c>
      <c r="F2566" s="9">
        <f>IF(D2566="","",IFERROR(INDEX('Équipements'!$D$5:$D$304,MATCH(D2566,'Équipements'!$A$5:$A$304,0)),""))</f>
        <v/>
      </c>
      <c r="G2566" s="9">
        <f>IF(D2566="","",IFERROR(INDEX('Équipements'!$K$5:$K$304,MATCH(D2566,'Équipements'!$A$5:$A$304,0)),""))</f>
        <v/>
      </c>
      <c r="H2566" s="7" t="n"/>
      <c r="I2566" s="7" t="n"/>
      <c r="J2566" s="7" t="n"/>
      <c r="K2566" s="7" t="n"/>
      <c r="L2566" s="7" t="n"/>
      <c r="M2566" s="7" t="n"/>
      <c r="N2566" s="7" t="n"/>
      <c r="O2566" s="7" t="n"/>
      <c r="P2566" s="65" t="n"/>
      <c r="Q2566" s="75" t="n"/>
      <c r="R2566" s="75" t="n"/>
      <c r="S2566" s="76" t="n"/>
      <c r="T2566" s="76" t="n"/>
      <c r="U2566" s="70">
        <f>IF($A2566="","",IFERROR(INDEX('Techniciens'!$F$5:$F$44,MATCH(O2566,'Techniciens'!$B$5:$B$44,0)),'Paramètres'!$AA$10))</f>
        <v/>
      </c>
      <c r="V2566" s="70">
        <f>IF($A2566="","",IF(OR(AC2566="Demandé",AC2566="Planifié",AC2566="Annulé"),0,N(T2566)*N(U2566)))</f>
        <v/>
      </c>
      <c r="W2566" s="70">
        <f>IF($A2566="","",SUMIFS('Mouvements stock'!$H$5:$H$3004,'Mouvements stock'!$I$5:$I$3004,$A2566,'Mouvements stock'!$C$5:$C$3004,"Sortie")-SUMIFS('Mouvements stock'!$H$5:$H$3004,'Mouvements stock'!$I$5:$I$3004,$A2566,'Mouvements stock'!$C$5:$C$3004,"Retour"))</f>
        <v/>
      </c>
      <c r="X2566" s="66" t="n"/>
      <c r="Y2566" s="66" t="n"/>
      <c r="Z2566" s="7" t="n"/>
      <c r="AA2566" s="70">
        <f>IF($A2566="","",N(V2566)+N(W2566)+N(X2566)+N(Y2566))</f>
        <v/>
      </c>
      <c r="AB2566" s="70">
        <f>IF($A2566="","",N(S2566)*'Paramètres'!$AA$9*IFERROR(INDEX('Paramètres'!$O$5:$O$7,MATCH(G2566,'Paramètres'!$N$5:$N$7,0)),0))</f>
        <v/>
      </c>
      <c r="AC2566" s="7" t="n"/>
      <c r="AD2566" s="69">
        <f>IF(OR($A2566="",Q2566=""),"",(Q2566-B2566)*24)</f>
        <v/>
      </c>
      <c r="AE2566" s="69">
        <f>IF(OR(Q2566="",R2566=""),"",(R2566-Q2566)*24)</f>
        <v/>
      </c>
      <c r="AF2566" s="77">
        <f>IF(OR($A2566="",B2566=""),"",YEAR(B2566))</f>
        <v/>
      </c>
      <c r="AG2566" s="77">
        <f>IF(OR($A2566="",B2566=""),"",MONTH(B2566))</f>
        <v/>
      </c>
    </row>
    <row r="2567">
      <c r="A2567" s="7" t="n"/>
      <c r="B2567" s="75" t="n"/>
      <c r="C2567" s="7" t="n"/>
      <c r="D2567" s="7" t="n"/>
      <c r="E2567" s="9">
        <f>IF(D2567="","",IFERROR(INDEX('Équipements'!$B$5:$B$304,MATCH(D2567,'Équipements'!$A$5:$A$304,0)),"Code inconnu"))</f>
        <v/>
      </c>
      <c r="F2567" s="9">
        <f>IF(D2567="","",IFERROR(INDEX('Équipements'!$D$5:$D$304,MATCH(D2567,'Équipements'!$A$5:$A$304,0)),""))</f>
        <v/>
      </c>
      <c r="G2567" s="9">
        <f>IF(D2567="","",IFERROR(INDEX('Équipements'!$K$5:$K$304,MATCH(D2567,'Équipements'!$A$5:$A$304,0)),""))</f>
        <v/>
      </c>
      <c r="H2567" s="7" t="n"/>
      <c r="I2567" s="7" t="n"/>
      <c r="J2567" s="7" t="n"/>
      <c r="K2567" s="7" t="n"/>
      <c r="L2567" s="7" t="n"/>
      <c r="M2567" s="7" t="n"/>
      <c r="N2567" s="7" t="n"/>
      <c r="O2567" s="7" t="n"/>
      <c r="P2567" s="65" t="n"/>
      <c r="Q2567" s="75" t="n"/>
      <c r="R2567" s="75" t="n"/>
      <c r="S2567" s="76" t="n"/>
      <c r="T2567" s="76" t="n"/>
      <c r="U2567" s="70">
        <f>IF($A2567="","",IFERROR(INDEX('Techniciens'!$F$5:$F$44,MATCH(O2567,'Techniciens'!$B$5:$B$44,0)),'Paramètres'!$AA$10))</f>
        <v/>
      </c>
      <c r="V2567" s="70">
        <f>IF($A2567="","",IF(OR(AC2567="Demandé",AC2567="Planifié",AC2567="Annulé"),0,N(T2567)*N(U2567)))</f>
        <v/>
      </c>
      <c r="W2567" s="70">
        <f>IF($A2567="","",SUMIFS('Mouvements stock'!$H$5:$H$3004,'Mouvements stock'!$I$5:$I$3004,$A2567,'Mouvements stock'!$C$5:$C$3004,"Sortie")-SUMIFS('Mouvements stock'!$H$5:$H$3004,'Mouvements stock'!$I$5:$I$3004,$A2567,'Mouvements stock'!$C$5:$C$3004,"Retour"))</f>
        <v/>
      </c>
      <c r="X2567" s="66" t="n"/>
      <c r="Y2567" s="66" t="n"/>
      <c r="Z2567" s="7" t="n"/>
      <c r="AA2567" s="70">
        <f>IF($A2567="","",N(V2567)+N(W2567)+N(X2567)+N(Y2567))</f>
        <v/>
      </c>
      <c r="AB2567" s="70">
        <f>IF($A2567="","",N(S2567)*'Paramètres'!$AA$9*IFERROR(INDEX('Paramètres'!$O$5:$O$7,MATCH(G2567,'Paramètres'!$N$5:$N$7,0)),0))</f>
        <v/>
      </c>
      <c r="AC2567" s="7" t="n"/>
      <c r="AD2567" s="69">
        <f>IF(OR($A2567="",Q2567=""),"",(Q2567-B2567)*24)</f>
        <v/>
      </c>
      <c r="AE2567" s="69">
        <f>IF(OR(Q2567="",R2567=""),"",(R2567-Q2567)*24)</f>
        <v/>
      </c>
      <c r="AF2567" s="77">
        <f>IF(OR($A2567="",B2567=""),"",YEAR(B2567))</f>
        <v/>
      </c>
      <c r="AG2567" s="77">
        <f>IF(OR($A2567="",B2567=""),"",MONTH(B2567))</f>
        <v/>
      </c>
    </row>
    <row r="2568">
      <c r="A2568" s="7" t="n"/>
      <c r="B2568" s="75" t="n"/>
      <c r="C2568" s="7" t="n"/>
      <c r="D2568" s="7" t="n"/>
      <c r="E2568" s="9">
        <f>IF(D2568="","",IFERROR(INDEX('Équipements'!$B$5:$B$304,MATCH(D2568,'Équipements'!$A$5:$A$304,0)),"Code inconnu"))</f>
        <v/>
      </c>
      <c r="F2568" s="9">
        <f>IF(D2568="","",IFERROR(INDEX('Équipements'!$D$5:$D$304,MATCH(D2568,'Équipements'!$A$5:$A$304,0)),""))</f>
        <v/>
      </c>
      <c r="G2568" s="9">
        <f>IF(D2568="","",IFERROR(INDEX('Équipements'!$K$5:$K$304,MATCH(D2568,'Équipements'!$A$5:$A$304,0)),""))</f>
        <v/>
      </c>
      <c r="H2568" s="7" t="n"/>
      <c r="I2568" s="7" t="n"/>
      <c r="J2568" s="7" t="n"/>
      <c r="K2568" s="7" t="n"/>
      <c r="L2568" s="7" t="n"/>
      <c r="M2568" s="7" t="n"/>
      <c r="N2568" s="7" t="n"/>
      <c r="O2568" s="7" t="n"/>
      <c r="P2568" s="65" t="n"/>
      <c r="Q2568" s="75" t="n"/>
      <c r="R2568" s="75" t="n"/>
      <c r="S2568" s="76" t="n"/>
      <c r="T2568" s="76" t="n"/>
      <c r="U2568" s="70">
        <f>IF($A2568="","",IFERROR(INDEX('Techniciens'!$F$5:$F$44,MATCH(O2568,'Techniciens'!$B$5:$B$44,0)),'Paramètres'!$AA$10))</f>
        <v/>
      </c>
      <c r="V2568" s="70">
        <f>IF($A2568="","",IF(OR(AC2568="Demandé",AC2568="Planifié",AC2568="Annulé"),0,N(T2568)*N(U2568)))</f>
        <v/>
      </c>
      <c r="W2568" s="70">
        <f>IF($A2568="","",SUMIFS('Mouvements stock'!$H$5:$H$3004,'Mouvements stock'!$I$5:$I$3004,$A2568,'Mouvements stock'!$C$5:$C$3004,"Sortie")-SUMIFS('Mouvements stock'!$H$5:$H$3004,'Mouvements stock'!$I$5:$I$3004,$A2568,'Mouvements stock'!$C$5:$C$3004,"Retour"))</f>
        <v/>
      </c>
      <c r="X2568" s="66" t="n"/>
      <c r="Y2568" s="66" t="n"/>
      <c r="Z2568" s="7" t="n"/>
      <c r="AA2568" s="70">
        <f>IF($A2568="","",N(V2568)+N(W2568)+N(X2568)+N(Y2568))</f>
        <v/>
      </c>
      <c r="AB2568" s="70">
        <f>IF($A2568="","",N(S2568)*'Paramètres'!$AA$9*IFERROR(INDEX('Paramètres'!$O$5:$O$7,MATCH(G2568,'Paramètres'!$N$5:$N$7,0)),0))</f>
        <v/>
      </c>
      <c r="AC2568" s="7" t="n"/>
      <c r="AD2568" s="69">
        <f>IF(OR($A2568="",Q2568=""),"",(Q2568-B2568)*24)</f>
        <v/>
      </c>
      <c r="AE2568" s="69">
        <f>IF(OR(Q2568="",R2568=""),"",(R2568-Q2568)*24)</f>
        <v/>
      </c>
      <c r="AF2568" s="77">
        <f>IF(OR($A2568="",B2568=""),"",YEAR(B2568))</f>
        <v/>
      </c>
      <c r="AG2568" s="77">
        <f>IF(OR($A2568="",B2568=""),"",MONTH(B2568))</f>
        <v/>
      </c>
    </row>
    <row r="2569">
      <c r="A2569" s="7" t="n"/>
      <c r="B2569" s="75" t="n"/>
      <c r="C2569" s="7" t="n"/>
      <c r="D2569" s="7" t="n"/>
      <c r="E2569" s="9">
        <f>IF(D2569="","",IFERROR(INDEX('Équipements'!$B$5:$B$304,MATCH(D2569,'Équipements'!$A$5:$A$304,0)),"Code inconnu"))</f>
        <v/>
      </c>
      <c r="F2569" s="9">
        <f>IF(D2569="","",IFERROR(INDEX('Équipements'!$D$5:$D$304,MATCH(D2569,'Équipements'!$A$5:$A$304,0)),""))</f>
        <v/>
      </c>
      <c r="G2569" s="9">
        <f>IF(D2569="","",IFERROR(INDEX('Équipements'!$K$5:$K$304,MATCH(D2569,'Équipements'!$A$5:$A$304,0)),""))</f>
        <v/>
      </c>
      <c r="H2569" s="7" t="n"/>
      <c r="I2569" s="7" t="n"/>
      <c r="J2569" s="7" t="n"/>
      <c r="K2569" s="7" t="n"/>
      <c r="L2569" s="7" t="n"/>
      <c r="M2569" s="7" t="n"/>
      <c r="N2569" s="7" t="n"/>
      <c r="O2569" s="7" t="n"/>
      <c r="P2569" s="65" t="n"/>
      <c r="Q2569" s="75" t="n"/>
      <c r="R2569" s="75" t="n"/>
      <c r="S2569" s="76" t="n"/>
      <c r="T2569" s="76" t="n"/>
      <c r="U2569" s="70">
        <f>IF($A2569="","",IFERROR(INDEX('Techniciens'!$F$5:$F$44,MATCH(O2569,'Techniciens'!$B$5:$B$44,0)),'Paramètres'!$AA$10))</f>
        <v/>
      </c>
      <c r="V2569" s="70">
        <f>IF($A2569="","",IF(OR(AC2569="Demandé",AC2569="Planifié",AC2569="Annulé"),0,N(T2569)*N(U2569)))</f>
        <v/>
      </c>
      <c r="W2569" s="70">
        <f>IF($A2569="","",SUMIFS('Mouvements stock'!$H$5:$H$3004,'Mouvements stock'!$I$5:$I$3004,$A2569,'Mouvements stock'!$C$5:$C$3004,"Sortie")-SUMIFS('Mouvements stock'!$H$5:$H$3004,'Mouvements stock'!$I$5:$I$3004,$A2569,'Mouvements stock'!$C$5:$C$3004,"Retour"))</f>
        <v/>
      </c>
      <c r="X2569" s="66" t="n"/>
      <c r="Y2569" s="66" t="n"/>
      <c r="Z2569" s="7" t="n"/>
      <c r="AA2569" s="70">
        <f>IF($A2569="","",N(V2569)+N(W2569)+N(X2569)+N(Y2569))</f>
        <v/>
      </c>
      <c r="AB2569" s="70">
        <f>IF($A2569="","",N(S2569)*'Paramètres'!$AA$9*IFERROR(INDEX('Paramètres'!$O$5:$O$7,MATCH(G2569,'Paramètres'!$N$5:$N$7,0)),0))</f>
        <v/>
      </c>
      <c r="AC2569" s="7" t="n"/>
      <c r="AD2569" s="69">
        <f>IF(OR($A2569="",Q2569=""),"",(Q2569-B2569)*24)</f>
        <v/>
      </c>
      <c r="AE2569" s="69">
        <f>IF(OR(Q2569="",R2569=""),"",(R2569-Q2569)*24)</f>
        <v/>
      </c>
      <c r="AF2569" s="77">
        <f>IF(OR($A2569="",B2569=""),"",YEAR(B2569))</f>
        <v/>
      </c>
      <c r="AG2569" s="77">
        <f>IF(OR($A2569="",B2569=""),"",MONTH(B2569))</f>
        <v/>
      </c>
    </row>
    <row r="2570">
      <c r="A2570" s="7" t="n"/>
      <c r="B2570" s="75" t="n"/>
      <c r="C2570" s="7" t="n"/>
      <c r="D2570" s="7" t="n"/>
      <c r="E2570" s="9">
        <f>IF(D2570="","",IFERROR(INDEX('Équipements'!$B$5:$B$304,MATCH(D2570,'Équipements'!$A$5:$A$304,0)),"Code inconnu"))</f>
        <v/>
      </c>
      <c r="F2570" s="9">
        <f>IF(D2570="","",IFERROR(INDEX('Équipements'!$D$5:$D$304,MATCH(D2570,'Équipements'!$A$5:$A$304,0)),""))</f>
        <v/>
      </c>
      <c r="G2570" s="9">
        <f>IF(D2570="","",IFERROR(INDEX('Équipements'!$K$5:$K$304,MATCH(D2570,'Équipements'!$A$5:$A$304,0)),""))</f>
        <v/>
      </c>
      <c r="H2570" s="7" t="n"/>
      <c r="I2570" s="7" t="n"/>
      <c r="J2570" s="7" t="n"/>
      <c r="K2570" s="7" t="n"/>
      <c r="L2570" s="7" t="n"/>
      <c r="M2570" s="7" t="n"/>
      <c r="N2570" s="7" t="n"/>
      <c r="O2570" s="7" t="n"/>
      <c r="P2570" s="65" t="n"/>
      <c r="Q2570" s="75" t="n"/>
      <c r="R2570" s="75" t="n"/>
      <c r="S2570" s="76" t="n"/>
      <c r="T2570" s="76" t="n"/>
      <c r="U2570" s="70">
        <f>IF($A2570="","",IFERROR(INDEX('Techniciens'!$F$5:$F$44,MATCH(O2570,'Techniciens'!$B$5:$B$44,0)),'Paramètres'!$AA$10))</f>
        <v/>
      </c>
      <c r="V2570" s="70">
        <f>IF($A2570="","",IF(OR(AC2570="Demandé",AC2570="Planifié",AC2570="Annulé"),0,N(T2570)*N(U2570)))</f>
        <v/>
      </c>
      <c r="W2570" s="70">
        <f>IF($A2570="","",SUMIFS('Mouvements stock'!$H$5:$H$3004,'Mouvements stock'!$I$5:$I$3004,$A2570,'Mouvements stock'!$C$5:$C$3004,"Sortie")-SUMIFS('Mouvements stock'!$H$5:$H$3004,'Mouvements stock'!$I$5:$I$3004,$A2570,'Mouvements stock'!$C$5:$C$3004,"Retour"))</f>
        <v/>
      </c>
      <c r="X2570" s="66" t="n"/>
      <c r="Y2570" s="66" t="n"/>
      <c r="Z2570" s="7" t="n"/>
      <c r="AA2570" s="70">
        <f>IF($A2570="","",N(V2570)+N(W2570)+N(X2570)+N(Y2570))</f>
        <v/>
      </c>
      <c r="AB2570" s="70">
        <f>IF($A2570="","",N(S2570)*'Paramètres'!$AA$9*IFERROR(INDEX('Paramètres'!$O$5:$O$7,MATCH(G2570,'Paramètres'!$N$5:$N$7,0)),0))</f>
        <v/>
      </c>
      <c r="AC2570" s="7" t="n"/>
      <c r="AD2570" s="69">
        <f>IF(OR($A2570="",Q2570=""),"",(Q2570-B2570)*24)</f>
        <v/>
      </c>
      <c r="AE2570" s="69">
        <f>IF(OR(Q2570="",R2570=""),"",(R2570-Q2570)*24)</f>
        <v/>
      </c>
      <c r="AF2570" s="77">
        <f>IF(OR($A2570="",B2570=""),"",YEAR(B2570))</f>
        <v/>
      </c>
      <c r="AG2570" s="77">
        <f>IF(OR($A2570="",B2570=""),"",MONTH(B2570))</f>
        <v/>
      </c>
    </row>
    <row r="2571">
      <c r="A2571" s="7" t="n"/>
      <c r="B2571" s="75" t="n"/>
      <c r="C2571" s="7" t="n"/>
      <c r="D2571" s="7" t="n"/>
      <c r="E2571" s="9">
        <f>IF(D2571="","",IFERROR(INDEX('Équipements'!$B$5:$B$304,MATCH(D2571,'Équipements'!$A$5:$A$304,0)),"Code inconnu"))</f>
        <v/>
      </c>
      <c r="F2571" s="9">
        <f>IF(D2571="","",IFERROR(INDEX('Équipements'!$D$5:$D$304,MATCH(D2571,'Équipements'!$A$5:$A$304,0)),""))</f>
        <v/>
      </c>
      <c r="G2571" s="9">
        <f>IF(D2571="","",IFERROR(INDEX('Équipements'!$K$5:$K$304,MATCH(D2571,'Équipements'!$A$5:$A$304,0)),""))</f>
        <v/>
      </c>
      <c r="H2571" s="7" t="n"/>
      <c r="I2571" s="7" t="n"/>
      <c r="J2571" s="7" t="n"/>
      <c r="K2571" s="7" t="n"/>
      <c r="L2571" s="7" t="n"/>
      <c r="M2571" s="7" t="n"/>
      <c r="N2571" s="7" t="n"/>
      <c r="O2571" s="7" t="n"/>
      <c r="P2571" s="65" t="n"/>
      <c r="Q2571" s="75" t="n"/>
      <c r="R2571" s="75" t="n"/>
      <c r="S2571" s="76" t="n"/>
      <c r="T2571" s="76" t="n"/>
      <c r="U2571" s="70">
        <f>IF($A2571="","",IFERROR(INDEX('Techniciens'!$F$5:$F$44,MATCH(O2571,'Techniciens'!$B$5:$B$44,0)),'Paramètres'!$AA$10))</f>
        <v/>
      </c>
      <c r="V2571" s="70">
        <f>IF($A2571="","",IF(OR(AC2571="Demandé",AC2571="Planifié",AC2571="Annulé"),0,N(T2571)*N(U2571)))</f>
        <v/>
      </c>
      <c r="W2571" s="70">
        <f>IF($A2571="","",SUMIFS('Mouvements stock'!$H$5:$H$3004,'Mouvements stock'!$I$5:$I$3004,$A2571,'Mouvements stock'!$C$5:$C$3004,"Sortie")-SUMIFS('Mouvements stock'!$H$5:$H$3004,'Mouvements stock'!$I$5:$I$3004,$A2571,'Mouvements stock'!$C$5:$C$3004,"Retour"))</f>
        <v/>
      </c>
      <c r="X2571" s="66" t="n"/>
      <c r="Y2571" s="66" t="n"/>
      <c r="Z2571" s="7" t="n"/>
      <c r="AA2571" s="70">
        <f>IF($A2571="","",N(V2571)+N(W2571)+N(X2571)+N(Y2571))</f>
        <v/>
      </c>
      <c r="AB2571" s="70">
        <f>IF($A2571="","",N(S2571)*'Paramètres'!$AA$9*IFERROR(INDEX('Paramètres'!$O$5:$O$7,MATCH(G2571,'Paramètres'!$N$5:$N$7,0)),0))</f>
        <v/>
      </c>
      <c r="AC2571" s="7" t="n"/>
      <c r="AD2571" s="69">
        <f>IF(OR($A2571="",Q2571=""),"",(Q2571-B2571)*24)</f>
        <v/>
      </c>
      <c r="AE2571" s="69">
        <f>IF(OR(Q2571="",R2571=""),"",(R2571-Q2571)*24)</f>
        <v/>
      </c>
      <c r="AF2571" s="77">
        <f>IF(OR($A2571="",B2571=""),"",YEAR(B2571))</f>
        <v/>
      </c>
      <c r="AG2571" s="77">
        <f>IF(OR($A2571="",B2571=""),"",MONTH(B2571))</f>
        <v/>
      </c>
    </row>
    <row r="2572">
      <c r="A2572" s="7" t="n"/>
      <c r="B2572" s="75" t="n"/>
      <c r="C2572" s="7" t="n"/>
      <c r="D2572" s="7" t="n"/>
      <c r="E2572" s="9">
        <f>IF(D2572="","",IFERROR(INDEX('Équipements'!$B$5:$B$304,MATCH(D2572,'Équipements'!$A$5:$A$304,0)),"Code inconnu"))</f>
        <v/>
      </c>
      <c r="F2572" s="9">
        <f>IF(D2572="","",IFERROR(INDEX('Équipements'!$D$5:$D$304,MATCH(D2572,'Équipements'!$A$5:$A$304,0)),""))</f>
        <v/>
      </c>
      <c r="G2572" s="9">
        <f>IF(D2572="","",IFERROR(INDEX('Équipements'!$K$5:$K$304,MATCH(D2572,'Équipements'!$A$5:$A$304,0)),""))</f>
        <v/>
      </c>
      <c r="H2572" s="7" t="n"/>
      <c r="I2572" s="7" t="n"/>
      <c r="J2572" s="7" t="n"/>
      <c r="K2572" s="7" t="n"/>
      <c r="L2572" s="7" t="n"/>
      <c r="M2572" s="7" t="n"/>
      <c r="N2572" s="7" t="n"/>
      <c r="O2572" s="7" t="n"/>
      <c r="P2572" s="65" t="n"/>
      <c r="Q2572" s="75" t="n"/>
      <c r="R2572" s="75" t="n"/>
      <c r="S2572" s="76" t="n"/>
      <c r="T2572" s="76" t="n"/>
      <c r="U2572" s="70">
        <f>IF($A2572="","",IFERROR(INDEX('Techniciens'!$F$5:$F$44,MATCH(O2572,'Techniciens'!$B$5:$B$44,0)),'Paramètres'!$AA$10))</f>
        <v/>
      </c>
      <c r="V2572" s="70">
        <f>IF($A2572="","",IF(OR(AC2572="Demandé",AC2572="Planifié",AC2572="Annulé"),0,N(T2572)*N(U2572)))</f>
        <v/>
      </c>
      <c r="W2572" s="70">
        <f>IF($A2572="","",SUMIFS('Mouvements stock'!$H$5:$H$3004,'Mouvements stock'!$I$5:$I$3004,$A2572,'Mouvements stock'!$C$5:$C$3004,"Sortie")-SUMIFS('Mouvements stock'!$H$5:$H$3004,'Mouvements stock'!$I$5:$I$3004,$A2572,'Mouvements stock'!$C$5:$C$3004,"Retour"))</f>
        <v/>
      </c>
      <c r="X2572" s="66" t="n"/>
      <c r="Y2572" s="66" t="n"/>
      <c r="Z2572" s="7" t="n"/>
      <c r="AA2572" s="70">
        <f>IF($A2572="","",N(V2572)+N(W2572)+N(X2572)+N(Y2572))</f>
        <v/>
      </c>
      <c r="AB2572" s="70">
        <f>IF($A2572="","",N(S2572)*'Paramètres'!$AA$9*IFERROR(INDEX('Paramètres'!$O$5:$O$7,MATCH(G2572,'Paramètres'!$N$5:$N$7,0)),0))</f>
        <v/>
      </c>
      <c r="AC2572" s="7" t="n"/>
      <c r="AD2572" s="69">
        <f>IF(OR($A2572="",Q2572=""),"",(Q2572-B2572)*24)</f>
        <v/>
      </c>
      <c r="AE2572" s="69">
        <f>IF(OR(Q2572="",R2572=""),"",(R2572-Q2572)*24)</f>
        <v/>
      </c>
      <c r="AF2572" s="77">
        <f>IF(OR($A2572="",B2572=""),"",YEAR(B2572))</f>
        <v/>
      </c>
      <c r="AG2572" s="77">
        <f>IF(OR($A2572="",B2572=""),"",MONTH(B2572))</f>
        <v/>
      </c>
    </row>
    <row r="2573">
      <c r="A2573" s="7" t="n"/>
      <c r="B2573" s="75" t="n"/>
      <c r="C2573" s="7" t="n"/>
      <c r="D2573" s="7" t="n"/>
      <c r="E2573" s="9">
        <f>IF(D2573="","",IFERROR(INDEX('Équipements'!$B$5:$B$304,MATCH(D2573,'Équipements'!$A$5:$A$304,0)),"Code inconnu"))</f>
        <v/>
      </c>
      <c r="F2573" s="9">
        <f>IF(D2573="","",IFERROR(INDEX('Équipements'!$D$5:$D$304,MATCH(D2573,'Équipements'!$A$5:$A$304,0)),""))</f>
        <v/>
      </c>
      <c r="G2573" s="9">
        <f>IF(D2573="","",IFERROR(INDEX('Équipements'!$K$5:$K$304,MATCH(D2573,'Équipements'!$A$5:$A$304,0)),""))</f>
        <v/>
      </c>
      <c r="H2573" s="7" t="n"/>
      <c r="I2573" s="7" t="n"/>
      <c r="J2573" s="7" t="n"/>
      <c r="K2573" s="7" t="n"/>
      <c r="L2573" s="7" t="n"/>
      <c r="M2573" s="7" t="n"/>
      <c r="N2573" s="7" t="n"/>
      <c r="O2573" s="7" t="n"/>
      <c r="P2573" s="65" t="n"/>
      <c r="Q2573" s="75" t="n"/>
      <c r="R2573" s="75" t="n"/>
      <c r="S2573" s="76" t="n"/>
      <c r="T2573" s="76" t="n"/>
      <c r="U2573" s="70">
        <f>IF($A2573="","",IFERROR(INDEX('Techniciens'!$F$5:$F$44,MATCH(O2573,'Techniciens'!$B$5:$B$44,0)),'Paramètres'!$AA$10))</f>
        <v/>
      </c>
      <c r="V2573" s="70">
        <f>IF($A2573="","",IF(OR(AC2573="Demandé",AC2573="Planifié",AC2573="Annulé"),0,N(T2573)*N(U2573)))</f>
        <v/>
      </c>
      <c r="W2573" s="70">
        <f>IF($A2573="","",SUMIFS('Mouvements stock'!$H$5:$H$3004,'Mouvements stock'!$I$5:$I$3004,$A2573,'Mouvements stock'!$C$5:$C$3004,"Sortie")-SUMIFS('Mouvements stock'!$H$5:$H$3004,'Mouvements stock'!$I$5:$I$3004,$A2573,'Mouvements stock'!$C$5:$C$3004,"Retour"))</f>
        <v/>
      </c>
      <c r="X2573" s="66" t="n"/>
      <c r="Y2573" s="66" t="n"/>
      <c r="Z2573" s="7" t="n"/>
      <c r="AA2573" s="70">
        <f>IF($A2573="","",N(V2573)+N(W2573)+N(X2573)+N(Y2573))</f>
        <v/>
      </c>
      <c r="AB2573" s="70">
        <f>IF($A2573="","",N(S2573)*'Paramètres'!$AA$9*IFERROR(INDEX('Paramètres'!$O$5:$O$7,MATCH(G2573,'Paramètres'!$N$5:$N$7,0)),0))</f>
        <v/>
      </c>
      <c r="AC2573" s="7" t="n"/>
      <c r="AD2573" s="69">
        <f>IF(OR($A2573="",Q2573=""),"",(Q2573-B2573)*24)</f>
        <v/>
      </c>
      <c r="AE2573" s="69">
        <f>IF(OR(Q2573="",R2573=""),"",(R2573-Q2573)*24)</f>
        <v/>
      </c>
      <c r="AF2573" s="77">
        <f>IF(OR($A2573="",B2573=""),"",YEAR(B2573))</f>
        <v/>
      </c>
      <c r="AG2573" s="77">
        <f>IF(OR($A2573="",B2573=""),"",MONTH(B2573))</f>
        <v/>
      </c>
    </row>
    <row r="2574">
      <c r="A2574" s="7" t="n"/>
      <c r="B2574" s="75" t="n"/>
      <c r="C2574" s="7" t="n"/>
      <c r="D2574" s="7" t="n"/>
      <c r="E2574" s="9">
        <f>IF(D2574="","",IFERROR(INDEX('Équipements'!$B$5:$B$304,MATCH(D2574,'Équipements'!$A$5:$A$304,0)),"Code inconnu"))</f>
        <v/>
      </c>
      <c r="F2574" s="9">
        <f>IF(D2574="","",IFERROR(INDEX('Équipements'!$D$5:$D$304,MATCH(D2574,'Équipements'!$A$5:$A$304,0)),""))</f>
        <v/>
      </c>
      <c r="G2574" s="9">
        <f>IF(D2574="","",IFERROR(INDEX('Équipements'!$K$5:$K$304,MATCH(D2574,'Équipements'!$A$5:$A$304,0)),""))</f>
        <v/>
      </c>
      <c r="H2574" s="7" t="n"/>
      <c r="I2574" s="7" t="n"/>
      <c r="J2574" s="7" t="n"/>
      <c r="K2574" s="7" t="n"/>
      <c r="L2574" s="7" t="n"/>
      <c r="M2574" s="7" t="n"/>
      <c r="N2574" s="7" t="n"/>
      <c r="O2574" s="7" t="n"/>
      <c r="P2574" s="65" t="n"/>
      <c r="Q2574" s="75" t="n"/>
      <c r="R2574" s="75" t="n"/>
      <c r="S2574" s="76" t="n"/>
      <c r="T2574" s="76" t="n"/>
      <c r="U2574" s="70">
        <f>IF($A2574="","",IFERROR(INDEX('Techniciens'!$F$5:$F$44,MATCH(O2574,'Techniciens'!$B$5:$B$44,0)),'Paramètres'!$AA$10))</f>
        <v/>
      </c>
      <c r="V2574" s="70">
        <f>IF($A2574="","",IF(OR(AC2574="Demandé",AC2574="Planifié",AC2574="Annulé"),0,N(T2574)*N(U2574)))</f>
        <v/>
      </c>
      <c r="W2574" s="70">
        <f>IF($A2574="","",SUMIFS('Mouvements stock'!$H$5:$H$3004,'Mouvements stock'!$I$5:$I$3004,$A2574,'Mouvements stock'!$C$5:$C$3004,"Sortie")-SUMIFS('Mouvements stock'!$H$5:$H$3004,'Mouvements stock'!$I$5:$I$3004,$A2574,'Mouvements stock'!$C$5:$C$3004,"Retour"))</f>
        <v/>
      </c>
      <c r="X2574" s="66" t="n"/>
      <c r="Y2574" s="66" t="n"/>
      <c r="Z2574" s="7" t="n"/>
      <c r="AA2574" s="70">
        <f>IF($A2574="","",N(V2574)+N(W2574)+N(X2574)+N(Y2574))</f>
        <v/>
      </c>
      <c r="AB2574" s="70">
        <f>IF($A2574="","",N(S2574)*'Paramètres'!$AA$9*IFERROR(INDEX('Paramètres'!$O$5:$O$7,MATCH(G2574,'Paramètres'!$N$5:$N$7,0)),0))</f>
        <v/>
      </c>
      <c r="AC2574" s="7" t="n"/>
      <c r="AD2574" s="69">
        <f>IF(OR($A2574="",Q2574=""),"",(Q2574-B2574)*24)</f>
        <v/>
      </c>
      <c r="AE2574" s="69">
        <f>IF(OR(Q2574="",R2574=""),"",(R2574-Q2574)*24)</f>
        <v/>
      </c>
      <c r="AF2574" s="77">
        <f>IF(OR($A2574="",B2574=""),"",YEAR(B2574))</f>
        <v/>
      </c>
      <c r="AG2574" s="77">
        <f>IF(OR($A2574="",B2574=""),"",MONTH(B2574))</f>
        <v/>
      </c>
    </row>
    <row r="2575">
      <c r="A2575" s="7" t="n"/>
      <c r="B2575" s="75" t="n"/>
      <c r="C2575" s="7" t="n"/>
      <c r="D2575" s="7" t="n"/>
      <c r="E2575" s="9">
        <f>IF(D2575="","",IFERROR(INDEX('Équipements'!$B$5:$B$304,MATCH(D2575,'Équipements'!$A$5:$A$304,0)),"Code inconnu"))</f>
        <v/>
      </c>
      <c r="F2575" s="9">
        <f>IF(D2575="","",IFERROR(INDEX('Équipements'!$D$5:$D$304,MATCH(D2575,'Équipements'!$A$5:$A$304,0)),""))</f>
        <v/>
      </c>
      <c r="G2575" s="9">
        <f>IF(D2575="","",IFERROR(INDEX('Équipements'!$K$5:$K$304,MATCH(D2575,'Équipements'!$A$5:$A$304,0)),""))</f>
        <v/>
      </c>
      <c r="H2575" s="7" t="n"/>
      <c r="I2575" s="7" t="n"/>
      <c r="J2575" s="7" t="n"/>
      <c r="K2575" s="7" t="n"/>
      <c r="L2575" s="7" t="n"/>
      <c r="M2575" s="7" t="n"/>
      <c r="N2575" s="7" t="n"/>
      <c r="O2575" s="7" t="n"/>
      <c r="P2575" s="65" t="n"/>
      <c r="Q2575" s="75" t="n"/>
      <c r="R2575" s="75" t="n"/>
      <c r="S2575" s="76" t="n"/>
      <c r="T2575" s="76" t="n"/>
      <c r="U2575" s="70">
        <f>IF($A2575="","",IFERROR(INDEX('Techniciens'!$F$5:$F$44,MATCH(O2575,'Techniciens'!$B$5:$B$44,0)),'Paramètres'!$AA$10))</f>
        <v/>
      </c>
      <c r="V2575" s="70">
        <f>IF($A2575="","",IF(OR(AC2575="Demandé",AC2575="Planifié",AC2575="Annulé"),0,N(T2575)*N(U2575)))</f>
        <v/>
      </c>
      <c r="W2575" s="70">
        <f>IF($A2575="","",SUMIFS('Mouvements stock'!$H$5:$H$3004,'Mouvements stock'!$I$5:$I$3004,$A2575,'Mouvements stock'!$C$5:$C$3004,"Sortie")-SUMIFS('Mouvements stock'!$H$5:$H$3004,'Mouvements stock'!$I$5:$I$3004,$A2575,'Mouvements stock'!$C$5:$C$3004,"Retour"))</f>
        <v/>
      </c>
      <c r="X2575" s="66" t="n"/>
      <c r="Y2575" s="66" t="n"/>
      <c r="Z2575" s="7" t="n"/>
      <c r="AA2575" s="70">
        <f>IF($A2575="","",N(V2575)+N(W2575)+N(X2575)+N(Y2575))</f>
        <v/>
      </c>
      <c r="AB2575" s="70">
        <f>IF($A2575="","",N(S2575)*'Paramètres'!$AA$9*IFERROR(INDEX('Paramètres'!$O$5:$O$7,MATCH(G2575,'Paramètres'!$N$5:$N$7,0)),0))</f>
        <v/>
      </c>
      <c r="AC2575" s="7" t="n"/>
      <c r="AD2575" s="69">
        <f>IF(OR($A2575="",Q2575=""),"",(Q2575-B2575)*24)</f>
        <v/>
      </c>
      <c r="AE2575" s="69">
        <f>IF(OR(Q2575="",R2575=""),"",(R2575-Q2575)*24)</f>
        <v/>
      </c>
      <c r="AF2575" s="77">
        <f>IF(OR($A2575="",B2575=""),"",YEAR(B2575))</f>
        <v/>
      </c>
      <c r="AG2575" s="77">
        <f>IF(OR($A2575="",B2575=""),"",MONTH(B2575))</f>
        <v/>
      </c>
    </row>
    <row r="2576">
      <c r="A2576" s="7" t="n"/>
      <c r="B2576" s="75" t="n"/>
      <c r="C2576" s="7" t="n"/>
      <c r="D2576" s="7" t="n"/>
      <c r="E2576" s="9">
        <f>IF(D2576="","",IFERROR(INDEX('Équipements'!$B$5:$B$304,MATCH(D2576,'Équipements'!$A$5:$A$304,0)),"Code inconnu"))</f>
        <v/>
      </c>
      <c r="F2576" s="9">
        <f>IF(D2576="","",IFERROR(INDEX('Équipements'!$D$5:$D$304,MATCH(D2576,'Équipements'!$A$5:$A$304,0)),""))</f>
        <v/>
      </c>
      <c r="G2576" s="9">
        <f>IF(D2576="","",IFERROR(INDEX('Équipements'!$K$5:$K$304,MATCH(D2576,'Équipements'!$A$5:$A$304,0)),""))</f>
        <v/>
      </c>
      <c r="H2576" s="7" t="n"/>
      <c r="I2576" s="7" t="n"/>
      <c r="J2576" s="7" t="n"/>
      <c r="K2576" s="7" t="n"/>
      <c r="L2576" s="7" t="n"/>
      <c r="M2576" s="7" t="n"/>
      <c r="N2576" s="7" t="n"/>
      <c r="O2576" s="7" t="n"/>
      <c r="P2576" s="65" t="n"/>
      <c r="Q2576" s="75" t="n"/>
      <c r="R2576" s="75" t="n"/>
      <c r="S2576" s="76" t="n"/>
      <c r="T2576" s="76" t="n"/>
      <c r="U2576" s="70">
        <f>IF($A2576="","",IFERROR(INDEX('Techniciens'!$F$5:$F$44,MATCH(O2576,'Techniciens'!$B$5:$B$44,0)),'Paramètres'!$AA$10))</f>
        <v/>
      </c>
      <c r="V2576" s="70">
        <f>IF($A2576="","",IF(OR(AC2576="Demandé",AC2576="Planifié",AC2576="Annulé"),0,N(T2576)*N(U2576)))</f>
        <v/>
      </c>
      <c r="W2576" s="70">
        <f>IF($A2576="","",SUMIFS('Mouvements stock'!$H$5:$H$3004,'Mouvements stock'!$I$5:$I$3004,$A2576,'Mouvements stock'!$C$5:$C$3004,"Sortie")-SUMIFS('Mouvements stock'!$H$5:$H$3004,'Mouvements stock'!$I$5:$I$3004,$A2576,'Mouvements stock'!$C$5:$C$3004,"Retour"))</f>
        <v/>
      </c>
      <c r="X2576" s="66" t="n"/>
      <c r="Y2576" s="66" t="n"/>
      <c r="Z2576" s="7" t="n"/>
      <c r="AA2576" s="70">
        <f>IF($A2576="","",N(V2576)+N(W2576)+N(X2576)+N(Y2576))</f>
        <v/>
      </c>
      <c r="AB2576" s="70">
        <f>IF($A2576="","",N(S2576)*'Paramètres'!$AA$9*IFERROR(INDEX('Paramètres'!$O$5:$O$7,MATCH(G2576,'Paramètres'!$N$5:$N$7,0)),0))</f>
        <v/>
      </c>
      <c r="AC2576" s="7" t="n"/>
      <c r="AD2576" s="69">
        <f>IF(OR($A2576="",Q2576=""),"",(Q2576-B2576)*24)</f>
        <v/>
      </c>
      <c r="AE2576" s="69">
        <f>IF(OR(Q2576="",R2576=""),"",(R2576-Q2576)*24)</f>
        <v/>
      </c>
      <c r="AF2576" s="77">
        <f>IF(OR($A2576="",B2576=""),"",YEAR(B2576))</f>
        <v/>
      </c>
      <c r="AG2576" s="77">
        <f>IF(OR($A2576="",B2576=""),"",MONTH(B2576))</f>
        <v/>
      </c>
    </row>
    <row r="2577">
      <c r="A2577" s="7" t="n"/>
      <c r="B2577" s="75" t="n"/>
      <c r="C2577" s="7" t="n"/>
      <c r="D2577" s="7" t="n"/>
      <c r="E2577" s="9">
        <f>IF(D2577="","",IFERROR(INDEX('Équipements'!$B$5:$B$304,MATCH(D2577,'Équipements'!$A$5:$A$304,0)),"Code inconnu"))</f>
        <v/>
      </c>
      <c r="F2577" s="9">
        <f>IF(D2577="","",IFERROR(INDEX('Équipements'!$D$5:$D$304,MATCH(D2577,'Équipements'!$A$5:$A$304,0)),""))</f>
        <v/>
      </c>
      <c r="G2577" s="9">
        <f>IF(D2577="","",IFERROR(INDEX('Équipements'!$K$5:$K$304,MATCH(D2577,'Équipements'!$A$5:$A$304,0)),""))</f>
        <v/>
      </c>
      <c r="H2577" s="7" t="n"/>
      <c r="I2577" s="7" t="n"/>
      <c r="J2577" s="7" t="n"/>
      <c r="K2577" s="7" t="n"/>
      <c r="L2577" s="7" t="n"/>
      <c r="M2577" s="7" t="n"/>
      <c r="N2577" s="7" t="n"/>
      <c r="O2577" s="7" t="n"/>
      <c r="P2577" s="65" t="n"/>
      <c r="Q2577" s="75" t="n"/>
      <c r="R2577" s="75" t="n"/>
      <c r="S2577" s="76" t="n"/>
      <c r="T2577" s="76" t="n"/>
      <c r="U2577" s="70">
        <f>IF($A2577="","",IFERROR(INDEX('Techniciens'!$F$5:$F$44,MATCH(O2577,'Techniciens'!$B$5:$B$44,0)),'Paramètres'!$AA$10))</f>
        <v/>
      </c>
      <c r="V2577" s="70">
        <f>IF($A2577="","",IF(OR(AC2577="Demandé",AC2577="Planifié",AC2577="Annulé"),0,N(T2577)*N(U2577)))</f>
        <v/>
      </c>
      <c r="W2577" s="70">
        <f>IF($A2577="","",SUMIFS('Mouvements stock'!$H$5:$H$3004,'Mouvements stock'!$I$5:$I$3004,$A2577,'Mouvements stock'!$C$5:$C$3004,"Sortie")-SUMIFS('Mouvements stock'!$H$5:$H$3004,'Mouvements stock'!$I$5:$I$3004,$A2577,'Mouvements stock'!$C$5:$C$3004,"Retour"))</f>
        <v/>
      </c>
      <c r="X2577" s="66" t="n"/>
      <c r="Y2577" s="66" t="n"/>
      <c r="Z2577" s="7" t="n"/>
      <c r="AA2577" s="70">
        <f>IF($A2577="","",N(V2577)+N(W2577)+N(X2577)+N(Y2577))</f>
        <v/>
      </c>
      <c r="AB2577" s="70">
        <f>IF($A2577="","",N(S2577)*'Paramètres'!$AA$9*IFERROR(INDEX('Paramètres'!$O$5:$O$7,MATCH(G2577,'Paramètres'!$N$5:$N$7,0)),0))</f>
        <v/>
      </c>
      <c r="AC2577" s="7" t="n"/>
      <c r="AD2577" s="69">
        <f>IF(OR($A2577="",Q2577=""),"",(Q2577-B2577)*24)</f>
        <v/>
      </c>
      <c r="AE2577" s="69">
        <f>IF(OR(Q2577="",R2577=""),"",(R2577-Q2577)*24)</f>
        <v/>
      </c>
      <c r="AF2577" s="77">
        <f>IF(OR($A2577="",B2577=""),"",YEAR(B2577))</f>
        <v/>
      </c>
      <c r="AG2577" s="77">
        <f>IF(OR($A2577="",B2577=""),"",MONTH(B2577))</f>
        <v/>
      </c>
    </row>
    <row r="2578">
      <c r="A2578" s="7" t="n"/>
      <c r="B2578" s="75" t="n"/>
      <c r="C2578" s="7" t="n"/>
      <c r="D2578" s="7" t="n"/>
      <c r="E2578" s="9">
        <f>IF(D2578="","",IFERROR(INDEX('Équipements'!$B$5:$B$304,MATCH(D2578,'Équipements'!$A$5:$A$304,0)),"Code inconnu"))</f>
        <v/>
      </c>
      <c r="F2578" s="9">
        <f>IF(D2578="","",IFERROR(INDEX('Équipements'!$D$5:$D$304,MATCH(D2578,'Équipements'!$A$5:$A$304,0)),""))</f>
        <v/>
      </c>
      <c r="G2578" s="9">
        <f>IF(D2578="","",IFERROR(INDEX('Équipements'!$K$5:$K$304,MATCH(D2578,'Équipements'!$A$5:$A$304,0)),""))</f>
        <v/>
      </c>
      <c r="H2578" s="7" t="n"/>
      <c r="I2578" s="7" t="n"/>
      <c r="J2578" s="7" t="n"/>
      <c r="K2578" s="7" t="n"/>
      <c r="L2578" s="7" t="n"/>
      <c r="M2578" s="7" t="n"/>
      <c r="N2578" s="7" t="n"/>
      <c r="O2578" s="7" t="n"/>
      <c r="P2578" s="65" t="n"/>
      <c r="Q2578" s="75" t="n"/>
      <c r="R2578" s="75" t="n"/>
      <c r="S2578" s="76" t="n"/>
      <c r="T2578" s="76" t="n"/>
      <c r="U2578" s="70">
        <f>IF($A2578="","",IFERROR(INDEX('Techniciens'!$F$5:$F$44,MATCH(O2578,'Techniciens'!$B$5:$B$44,0)),'Paramètres'!$AA$10))</f>
        <v/>
      </c>
      <c r="V2578" s="70">
        <f>IF($A2578="","",IF(OR(AC2578="Demandé",AC2578="Planifié",AC2578="Annulé"),0,N(T2578)*N(U2578)))</f>
        <v/>
      </c>
      <c r="W2578" s="70">
        <f>IF($A2578="","",SUMIFS('Mouvements stock'!$H$5:$H$3004,'Mouvements stock'!$I$5:$I$3004,$A2578,'Mouvements stock'!$C$5:$C$3004,"Sortie")-SUMIFS('Mouvements stock'!$H$5:$H$3004,'Mouvements stock'!$I$5:$I$3004,$A2578,'Mouvements stock'!$C$5:$C$3004,"Retour"))</f>
        <v/>
      </c>
      <c r="X2578" s="66" t="n"/>
      <c r="Y2578" s="66" t="n"/>
      <c r="Z2578" s="7" t="n"/>
      <c r="AA2578" s="70">
        <f>IF($A2578="","",N(V2578)+N(W2578)+N(X2578)+N(Y2578))</f>
        <v/>
      </c>
      <c r="AB2578" s="70">
        <f>IF($A2578="","",N(S2578)*'Paramètres'!$AA$9*IFERROR(INDEX('Paramètres'!$O$5:$O$7,MATCH(G2578,'Paramètres'!$N$5:$N$7,0)),0))</f>
        <v/>
      </c>
      <c r="AC2578" s="7" t="n"/>
      <c r="AD2578" s="69">
        <f>IF(OR($A2578="",Q2578=""),"",(Q2578-B2578)*24)</f>
        <v/>
      </c>
      <c r="AE2578" s="69">
        <f>IF(OR(Q2578="",R2578=""),"",(R2578-Q2578)*24)</f>
        <v/>
      </c>
      <c r="AF2578" s="77">
        <f>IF(OR($A2578="",B2578=""),"",YEAR(B2578))</f>
        <v/>
      </c>
      <c r="AG2578" s="77">
        <f>IF(OR($A2578="",B2578=""),"",MONTH(B2578))</f>
        <v/>
      </c>
    </row>
    <row r="2579">
      <c r="A2579" s="7" t="n"/>
      <c r="B2579" s="75" t="n"/>
      <c r="C2579" s="7" t="n"/>
      <c r="D2579" s="7" t="n"/>
      <c r="E2579" s="9">
        <f>IF(D2579="","",IFERROR(INDEX('Équipements'!$B$5:$B$304,MATCH(D2579,'Équipements'!$A$5:$A$304,0)),"Code inconnu"))</f>
        <v/>
      </c>
      <c r="F2579" s="9">
        <f>IF(D2579="","",IFERROR(INDEX('Équipements'!$D$5:$D$304,MATCH(D2579,'Équipements'!$A$5:$A$304,0)),""))</f>
        <v/>
      </c>
      <c r="G2579" s="9">
        <f>IF(D2579="","",IFERROR(INDEX('Équipements'!$K$5:$K$304,MATCH(D2579,'Équipements'!$A$5:$A$304,0)),""))</f>
        <v/>
      </c>
      <c r="H2579" s="7" t="n"/>
      <c r="I2579" s="7" t="n"/>
      <c r="J2579" s="7" t="n"/>
      <c r="K2579" s="7" t="n"/>
      <c r="L2579" s="7" t="n"/>
      <c r="M2579" s="7" t="n"/>
      <c r="N2579" s="7" t="n"/>
      <c r="O2579" s="7" t="n"/>
      <c r="P2579" s="65" t="n"/>
      <c r="Q2579" s="75" t="n"/>
      <c r="R2579" s="75" t="n"/>
      <c r="S2579" s="76" t="n"/>
      <c r="T2579" s="76" t="n"/>
      <c r="U2579" s="70">
        <f>IF($A2579="","",IFERROR(INDEX('Techniciens'!$F$5:$F$44,MATCH(O2579,'Techniciens'!$B$5:$B$44,0)),'Paramètres'!$AA$10))</f>
        <v/>
      </c>
      <c r="V2579" s="70">
        <f>IF($A2579="","",IF(OR(AC2579="Demandé",AC2579="Planifié",AC2579="Annulé"),0,N(T2579)*N(U2579)))</f>
        <v/>
      </c>
      <c r="W2579" s="70">
        <f>IF($A2579="","",SUMIFS('Mouvements stock'!$H$5:$H$3004,'Mouvements stock'!$I$5:$I$3004,$A2579,'Mouvements stock'!$C$5:$C$3004,"Sortie")-SUMIFS('Mouvements stock'!$H$5:$H$3004,'Mouvements stock'!$I$5:$I$3004,$A2579,'Mouvements stock'!$C$5:$C$3004,"Retour"))</f>
        <v/>
      </c>
      <c r="X2579" s="66" t="n"/>
      <c r="Y2579" s="66" t="n"/>
      <c r="Z2579" s="7" t="n"/>
      <c r="AA2579" s="70">
        <f>IF($A2579="","",N(V2579)+N(W2579)+N(X2579)+N(Y2579))</f>
        <v/>
      </c>
      <c r="AB2579" s="70">
        <f>IF($A2579="","",N(S2579)*'Paramètres'!$AA$9*IFERROR(INDEX('Paramètres'!$O$5:$O$7,MATCH(G2579,'Paramètres'!$N$5:$N$7,0)),0))</f>
        <v/>
      </c>
      <c r="AC2579" s="7" t="n"/>
      <c r="AD2579" s="69">
        <f>IF(OR($A2579="",Q2579=""),"",(Q2579-B2579)*24)</f>
        <v/>
      </c>
      <c r="AE2579" s="69">
        <f>IF(OR(Q2579="",R2579=""),"",(R2579-Q2579)*24)</f>
        <v/>
      </c>
      <c r="AF2579" s="77">
        <f>IF(OR($A2579="",B2579=""),"",YEAR(B2579))</f>
        <v/>
      </c>
      <c r="AG2579" s="77">
        <f>IF(OR($A2579="",B2579=""),"",MONTH(B2579))</f>
        <v/>
      </c>
    </row>
    <row r="2580">
      <c r="A2580" s="7" t="n"/>
      <c r="B2580" s="75" t="n"/>
      <c r="C2580" s="7" t="n"/>
      <c r="D2580" s="7" t="n"/>
      <c r="E2580" s="9">
        <f>IF(D2580="","",IFERROR(INDEX('Équipements'!$B$5:$B$304,MATCH(D2580,'Équipements'!$A$5:$A$304,0)),"Code inconnu"))</f>
        <v/>
      </c>
      <c r="F2580" s="9">
        <f>IF(D2580="","",IFERROR(INDEX('Équipements'!$D$5:$D$304,MATCH(D2580,'Équipements'!$A$5:$A$304,0)),""))</f>
        <v/>
      </c>
      <c r="G2580" s="9">
        <f>IF(D2580="","",IFERROR(INDEX('Équipements'!$K$5:$K$304,MATCH(D2580,'Équipements'!$A$5:$A$304,0)),""))</f>
        <v/>
      </c>
      <c r="H2580" s="7" t="n"/>
      <c r="I2580" s="7" t="n"/>
      <c r="J2580" s="7" t="n"/>
      <c r="K2580" s="7" t="n"/>
      <c r="L2580" s="7" t="n"/>
      <c r="M2580" s="7" t="n"/>
      <c r="N2580" s="7" t="n"/>
      <c r="O2580" s="7" t="n"/>
      <c r="P2580" s="65" t="n"/>
      <c r="Q2580" s="75" t="n"/>
      <c r="R2580" s="75" t="n"/>
      <c r="S2580" s="76" t="n"/>
      <c r="T2580" s="76" t="n"/>
      <c r="U2580" s="70">
        <f>IF($A2580="","",IFERROR(INDEX('Techniciens'!$F$5:$F$44,MATCH(O2580,'Techniciens'!$B$5:$B$44,0)),'Paramètres'!$AA$10))</f>
        <v/>
      </c>
      <c r="V2580" s="70">
        <f>IF($A2580="","",IF(OR(AC2580="Demandé",AC2580="Planifié",AC2580="Annulé"),0,N(T2580)*N(U2580)))</f>
        <v/>
      </c>
      <c r="W2580" s="70">
        <f>IF($A2580="","",SUMIFS('Mouvements stock'!$H$5:$H$3004,'Mouvements stock'!$I$5:$I$3004,$A2580,'Mouvements stock'!$C$5:$C$3004,"Sortie")-SUMIFS('Mouvements stock'!$H$5:$H$3004,'Mouvements stock'!$I$5:$I$3004,$A2580,'Mouvements stock'!$C$5:$C$3004,"Retour"))</f>
        <v/>
      </c>
      <c r="X2580" s="66" t="n"/>
      <c r="Y2580" s="66" t="n"/>
      <c r="Z2580" s="7" t="n"/>
      <c r="AA2580" s="70">
        <f>IF($A2580="","",N(V2580)+N(W2580)+N(X2580)+N(Y2580))</f>
        <v/>
      </c>
      <c r="AB2580" s="70">
        <f>IF($A2580="","",N(S2580)*'Paramètres'!$AA$9*IFERROR(INDEX('Paramètres'!$O$5:$O$7,MATCH(G2580,'Paramètres'!$N$5:$N$7,0)),0))</f>
        <v/>
      </c>
      <c r="AC2580" s="7" t="n"/>
      <c r="AD2580" s="69">
        <f>IF(OR($A2580="",Q2580=""),"",(Q2580-B2580)*24)</f>
        <v/>
      </c>
      <c r="AE2580" s="69">
        <f>IF(OR(Q2580="",R2580=""),"",(R2580-Q2580)*24)</f>
        <v/>
      </c>
      <c r="AF2580" s="77">
        <f>IF(OR($A2580="",B2580=""),"",YEAR(B2580))</f>
        <v/>
      </c>
      <c r="AG2580" s="77">
        <f>IF(OR($A2580="",B2580=""),"",MONTH(B2580))</f>
        <v/>
      </c>
    </row>
    <row r="2581">
      <c r="A2581" s="7" t="n"/>
      <c r="B2581" s="75" t="n"/>
      <c r="C2581" s="7" t="n"/>
      <c r="D2581" s="7" t="n"/>
      <c r="E2581" s="9">
        <f>IF(D2581="","",IFERROR(INDEX('Équipements'!$B$5:$B$304,MATCH(D2581,'Équipements'!$A$5:$A$304,0)),"Code inconnu"))</f>
        <v/>
      </c>
      <c r="F2581" s="9">
        <f>IF(D2581="","",IFERROR(INDEX('Équipements'!$D$5:$D$304,MATCH(D2581,'Équipements'!$A$5:$A$304,0)),""))</f>
        <v/>
      </c>
      <c r="G2581" s="9">
        <f>IF(D2581="","",IFERROR(INDEX('Équipements'!$K$5:$K$304,MATCH(D2581,'Équipements'!$A$5:$A$304,0)),""))</f>
        <v/>
      </c>
      <c r="H2581" s="7" t="n"/>
      <c r="I2581" s="7" t="n"/>
      <c r="J2581" s="7" t="n"/>
      <c r="K2581" s="7" t="n"/>
      <c r="L2581" s="7" t="n"/>
      <c r="M2581" s="7" t="n"/>
      <c r="N2581" s="7" t="n"/>
      <c r="O2581" s="7" t="n"/>
      <c r="P2581" s="65" t="n"/>
      <c r="Q2581" s="75" t="n"/>
      <c r="R2581" s="75" t="n"/>
      <c r="S2581" s="76" t="n"/>
      <c r="T2581" s="76" t="n"/>
      <c r="U2581" s="70">
        <f>IF($A2581="","",IFERROR(INDEX('Techniciens'!$F$5:$F$44,MATCH(O2581,'Techniciens'!$B$5:$B$44,0)),'Paramètres'!$AA$10))</f>
        <v/>
      </c>
      <c r="V2581" s="70">
        <f>IF($A2581="","",IF(OR(AC2581="Demandé",AC2581="Planifié",AC2581="Annulé"),0,N(T2581)*N(U2581)))</f>
        <v/>
      </c>
      <c r="W2581" s="70">
        <f>IF($A2581="","",SUMIFS('Mouvements stock'!$H$5:$H$3004,'Mouvements stock'!$I$5:$I$3004,$A2581,'Mouvements stock'!$C$5:$C$3004,"Sortie")-SUMIFS('Mouvements stock'!$H$5:$H$3004,'Mouvements stock'!$I$5:$I$3004,$A2581,'Mouvements stock'!$C$5:$C$3004,"Retour"))</f>
        <v/>
      </c>
      <c r="X2581" s="66" t="n"/>
      <c r="Y2581" s="66" t="n"/>
      <c r="Z2581" s="7" t="n"/>
      <c r="AA2581" s="70">
        <f>IF($A2581="","",N(V2581)+N(W2581)+N(X2581)+N(Y2581))</f>
        <v/>
      </c>
      <c r="AB2581" s="70">
        <f>IF($A2581="","",N(S2581)*'Paramètres'!$AA$9*IFERROR(INDEX('Paramètres'!$O$5:$O$7,MATCH(G2581,'Paramètres'!$N$5:$N$7,0)),0))</f>
        <v/>
      </c>
      <c r="AC2581" s="7" t="n"/>
      <c r="AD2581" s="69">
        <f>IF(OR($A2581="",Q2581=""),"",(Q2581-B2581)*24)</f>
        <v/>
      </c>
      <c r="AE2581" s="69">
        <f>IF(OR(Q2581="",R2581=""),"",(R2581-Q2581)*24)</f>
        <v/>
      </c>
      <c r="AF2581" s="77">
        <f>IF(OR($A2581="",B2581=""),"",YEAR(B2581))</f>
        <v/>
      </c>
      <c r="AG2581" s="77">
        <f>IF(OR($A2581="",B2581=""),"",MONTH(B2581))</f>
        <v/>
      </c>
    </row>
    <row r="2582">
      <c r="A2582" s="7" t="n"/>
      <c r="B2582" s="75" t="n"/>
      <c r="C2582" s="7" t="n"/>
      <c r="D2582" s="7" t="n"/>
      <c r="E2582" s="9">
        <f>IF(D2582="","",IFERROR(INDEX('Équipements'!$B$5:$B$304,MATCH(D2582,'Équipements'!$A$5:$A$304,0)),"Code inconnu"))</f>
        <v/>
      </c>
      <c r="F2582" s="9">
        <f>IF(D2582="","",IFERROR(INDEX('Équipements'!$D$5:$D$304,MATCH(D2582,'Équipements'!$A$5:$A$304,0)),""))</f>
        <v/>
      </c>
      <c r="G2582" s="9">
        <f>IF(D2582="","",IFERROR(INDEX('Équipements'!$K$5:$K$304,MATCH(D2582,'Équipements'!$A$5:$A$304,0)),""))</f>
        <v/>
      </c>
      <c r="H2582" s="7" t="n"/>
      <c r="I2582" s="7" t="n"/>
      <c r="J2582" s="7" t="n"/>
      <c r="K2582" s="7" t="n"/>
      <c r="L2582" s="7" t="n"/>
      <c r="M2582" s="7" t="n"/>
      <c r="N2582" s="7" t="n"/>
      <c r="O2582" s="7" t="n"/>
      <c r="P2582" s="65" t="n"/>
      <c r="Q2582" s="75" t="n"/>
      <c r="R2582" s="75" t="n"/>
      <c r="S2582" s="76" t="n"/>
      <c r="T2582" s="76" t="n"/>
      <c r="U2582" s="70">
        <f>IF($A2582="","",IFERROR(INDEX('Techniciens'!$F$5:$F$44,MATCH(O2582,'Techniciens'!$B$5:$B$44,0)),'Paramètres'!$AA$10))</f>
        <v/>
      </c>
      <c r="V2582" s="70">
        <f>IF($A2582="","",IF(OR(AC2582="Demandé",AC2582="Planifié",AC2582="Annulé"),0,N(T2582)*N(U2582)))</f>
        <v/>
      </c>
      <c r="W2582" s="70">
        <f>IF($A2582="","",SUMIFS('Mouvements stock'!$H$5:$H$3004,'Mouvements stock'!$I$5:$I$3004,$A2582,'Mouvements stock'!$C$5:$C$3004,"Sortie")-SUMIFS('Mouvements stock'!$H$5:$H$3004,'Mouvements stock'!$I$5:$I$3004,$A2582,'Mouvements stock'!$C$5:$C$3004,"Retour"))</f>
        <v/>
      </c>
      <c r="X2582" s="66" t="n"/>
      <c r="Y2582" s="66" t="n"/>
      <c r="Z2582" s="7" t="n"/>
      <c r="AA2582" s="70">
        <f>IF($A2582="","",N(V2582)+N(W2582)+N(X2582)+N(Y2582))</f>
        <v/>
      </c>
      <c r="AB2582" s="70">
        <f>IF($A2582="","",N(S2582)*'Paramètres'!$AA$9*IFERROR(INDEX('Paramètres'!$O$5:$O$7,MATCH(G2582,'Paramètres'!$N$5:$N$7,0)),0))</f>
        <v/>
      </c>
      <c r="AC2582" s="7" t="n"/>
      <c r="AD2582" s="69">
        <f>IF(OR($A2582="",Q2582=""),"",(Q2582-B2582)*24)</f>
        <v/>
      </c>
      <c r="AE2582" s="69">
        <f>IF(OR(Q2582="",R2582=""),"",(R2582-Q2582)*24)</f>
        <v/>
      </c>
      <c r="AF2582" s="77">
        <f>IF(OR($A2582="",B2582=""),"",YEAR(B2582))</f>
        <v/>
      </c>
      <c r="AG2582" s="77">
        <f>IF(OR($A2582="",B2582=""),"",MONTH(B2582))</f>
        <v/>
      </c>
    </row>
    <row r="2583">
      <c r="A2583" s="7" t="n"/>
      <c r="B2583" s="75" t="n"/>
      <c r="C2583" s="7" t="n"/>
      <c r="D2583" s="7" t="n"/>
      <c r="E2583" s="9">
        <f>IF(D2583="","",IFERROR(INDEX('Équipements'!$B$5:$B$304,MATCH(D2583,'Équipements'!$A$5:$A$304,0)),"Code inconnu"))</f>
        <v/>
      </c>
      <c r="F2583" s="9">
        <f>IF(D2583="","",IFERROR(INDEX('Équipements'!$D$5:$D$304,MATCH(D2583,'Équipements'!$A$5:$A$304,0)),""))</f>
        <v/>
      </c>
      <c r="G2583" s="9">
        <f>IF(D2583="","",IFERROR(INDEX('Équipements'!$K$5:$K$304,MATCH(D2583,'Équipements'!$A$5:$A$304,0)),""))</f>
        <v/>
      </c>
      <c r="H2583" s="7" t="n"/>
      <c r="I2583" s="7" t="n"/>
      <c r="J2583" s="7" t="n"/>
      <c r="K2583" s="7" t="n"/>
      <c r="L2583" s="7" t="n"/>
      <c r="M2583" s="7" t="n"/>
      <c r="N2583" s="7" t="n"/>
      <c r="O2583" s="7" t="n"/>
      <c r="P2583" s="65" t="n"/>
      <c r="Q2583" s="75" t="n"/>
      <c r="R2583" s="75" t="n"/>
      <c r="S2583" s="76" t="n"/>
      <c r="T2583" s="76" t="n"/>
      <c r="U2583" s="70">
        <f>IF($A2583="","",IFERROR(INDEX('Techniciens'!$F$5:$F$44,MATCH(O2583,'Techniciens'!$B$5:$B$44,0)),'Paramètres'!$AA$10))</f>
        <v/>
      </c>
      <c r="V2583" s="70">
        <f>IF($A2583="","",IF(OR(AC2583="Demandé",AC2583="Planifié",AC2583="Annulé"),0,N(T2583)*N(U2583)))</f>
        <v/>
      </c>
      <c r="W2583" s="70">
        <f>IF($A2583="","",SUMIFS('Mouvements stock'!$H$5:$H$3004,'Mouvements stock'!$I$5:$I$3004,$A2583,'Mouvements stock'!$C$5:$C$3004,"Sortie")-SUMIFS('Mouvements stock'!$H$5:$H$3004,'Mouvements stock'!$I$5:$I$3004,$A2583,'Mouvements stock'!$C$5:$C$3004,"Retour"))</f>
        <v/>
      </c>
      <c r="X2583" s="66" t="n"/>
      <c r="Y2583" s="66" t="n"/>
      <c r="Z2583" s="7" t="n"/>
      <c r="AA2583" s="70">
        <f>IF($A2583="","",N(V2583)+N(W2583)+N(X2583)+N(Y2583))</f>
        <v/>
      </c>
      <c r="AB2583" s="70">
        <f>IF($A2583="","",N(S2583)*'Paramètres'!$AA$9*IFERROR(INDEX('Paramètres'!$O$5:$O$7,MATCH(G2583,'Paramètres'!$N$5:$N$7,0)),0))</f>
        <v/>
      </c>
      <c r="AC2583" s="7" t="n"/>
      <c r="AD2583" s="69">
        <f>IF(OR($A2583="",Q2583=""),"",(Q2583-B2583)*24)</f>
        <v/>
      </c>
      <c r="AE2583" s="69">
        <f>IF(OR(Q2583="",R2583=""),"",(R2583-Q2583)*24)</f>
        <v/>
      </c>
      <c r="AF2583" s="77">
        <f>IF(OR($A2583="",B2583=""),"",YEAR(B2583))</f>
        <v/>
      </c>
      <c r="AG2583" s="77">
        <f>IF(OR($A2583="",B2583=""),"",MONTH(B2583))</f>
        <v/>
      </c>
    </row>
    <row r="2584">
      <c r="A2584" s="7" t="n"/>
      <c r="B2584" s="75" t="n"/>
      <c r="C2584" s="7" t="n"/>
      <c r="D2584" s="7" t="n"/>
      <c r="E2584" s="9">
        <f>IF(D2584="","",IFERROR(INDEX('Équipements'!$B$5:$B$304,MATCH(D2584,'Équipements'!$A$5:$A$304,0)),"Code inconnu"))</f>
        <v/>
      </c>
      <c r="F2584" s="9">
        <f>IF(D2584="","",IFERROR(INDEX('Équipements'!$D$5:$D$304,MATCH(D2584,'Équipements'!$A$5:$A$304,0)),""))</f>
        <v/>
      </c>
      <c r="G2584" s="9">
        <f>IF(D2584="","",IFERROR(INDEX('Équipements'!$K$5:$K$304,MATCH(D2584,'Équipements'!$A$5:$A$304,0)),""))</f>
        <v/>
      </c>
      <c r="H2584" s="7" t="n"/>
      <c r="I2584" s="7" t="n"/>
      <c r="J2584" s="7" t="n"/>
      <c r="K2584" s="7" t="n"/>
      <c r="L2584" s="7" t="n"/>
      <c r="M2584" s="7" t="n"/>
      <c r="N2584" s="7" t="n"/>
      <c r="O2584" s="7" t="n"/>
      <c r="P2584" s="65" t="n"/>
      <c r="Q2584" s="75" t="n"/>
      <c r="R2584" s="75" t="n"/>
      <c r="S2584" s="76" t="n"/>
      <c r="T2584" s="76" t="n"/>
      <c r="U2584" s="70">
        <f>IF($A2584="","",IFERROR(INDEX('Techniciens'!$F$5:$F$44,MATCH(O2584,'Techniciens'!$B$5:$B$44,0)),'Paramètres'!$AA$10))</f>
        <v/>
      </c>
      <c r="V2584" s="70">
        <f>IF($A2584="","",IF(OR(AC2584="Demandé",AC2584="Planifié",AC2584="Annulé"),0,N(T2584)*N(U2584)))</f>
        <v/>
      </c>
      <c r="W2584" s="70">
        <f>IF($A2584="","",SUMIFS('Mouvements stock'!$H$5:$H$3004,'Mouvements stock'!$I$5:$I$3004,$A2584,'Mouvements stock'!$C$5:$C$3004,"Sortie")-SUMIFS('Mouvements stock'!$H$5:$H$3004,'Mouvements stock'!$I$5:$I$3004,$A2584,'Mouvements stock'!$C$5:$C$3004,"Retour"))</f>
        <v/>
      </c>
      <c r="X2584" s="66" t="n"/>
      <c r="Y2584" s="66" t="n"/>
      <c r="Z2584" s="7" t="n"/>
      <c r="AA2584" s="70">
        <f>IF($A2584="","",N(V2584)+N(W2584)+N(X2584)+N(Y2584))</f>
        <v/>
      </c>
      <c r="AB2584" s="70">
        <f>IF($A2584="","",N(S2584)*'Paramètres'!$AA$9*IFERROR(INDEX('Paramètres'!$O$5:$O$7,MATCH(G2584,'Paramètres'!$N$5:$N$7,0)),0))</f>
        <v/>
      </c>
      <c r="AC2584" s="7" t="n"/>
      <c r="AD2584" s="69">
        <f>IF(OR($A2584="",Q2584=""),"",(Q2584-B2584)*24)</f>
        <v/>
      </c>
      <c r="AE2584" s="69">
        <f>IF(OR(Q2584="",R2584=""),"",(R2584-Q2584)*24)</f>
        <v/>
      </c>
      <c r="AF2584" s="77">
        <f>IF(OR($A2584="",B2584=""),"",YEAR(B2584))</f>
        <v/>
      </c>
      <c r="AG2584" s="77">
        <f>IF(OR($A2584="",B2584=""),"",MONTH(B2584))</f>
        <v/>
      </c>
    </row>
    <row r="2585">
      <c r="A2585" s="7" t="n"/>
      <c r="B2585" s="75" t="n"/>
      <c r="C2585" s="7" t="n"/>
      <c r="D2585" s="7" t="n"/>
      <c r="E2585" s="9">
        <f>IF(D2585="","",IFERROR(INDEX('Équipements'!$B$5:$B$304,MATCH(D2585,'Équipements'!$A$5:$A$304,0)),"Code inconnu"))</f>
        <v/>
      </c>
      <c r="F2585" s="9">
        <f>IF(D2585="","",IFERROR(INDEX('Équipements'!$D$5:$D$304,MATCH(D2585,'Équipements'!$A$5:$A$304,0)),""))</f>
        <v/>
      </c>
      <c r="G2585" s="9">
        <f>IF(D2585="","",IFERROR(INDEX('Équipements'!$K$5:$K$304,MATCH(D2585,'Équipements'!$A$5:$A$304,0)),""))</f>
        <v/>
      </c>
      <c r="H2585" s="7" t="n"/>
      <c r="I2585" s="7" t="n"/>
      <c r="J2585" s="7" t="n"/>
      <c r="K2585" s="7" t="n"/>
      <c r="L2585" s="7" t="n"/>
      <c r="M2585" s="7" t="n"/>
      <c r="N2585" s="7" t="n"/>
      <c r="O2585" s="7" t="n"/>
      <c r="P2585" s="65" t="n"/>
      <c r="Q2585" s="75" t="n"/>
      <c r="R2585" s="75" t="n"/>
      <c r="S2585" s="76" t="n"/>
      <c r="T2585" s="76" t="n"/>
      <c r="U2585" s="70">
        <f>IF($A2585="","",IFERROR(INDEX('Techniciens'!$F$5:$F$44,MATCH(O2585,'Techniciens'!$B$5:$B$44,0)),'Paramètres'!$AA$10))</f>
        <v/>
      </c>
      <c r="V2585" s="70">
        <f>IF($A2585="","",IF(OR(AC2585="Demandé",AC2585="Planifié",AC2585="Annulé"),0,N(T2585)*N(U2585)))</f>
        <v/>
      </c>
      <c r="W2585" s="70">
        <f>IF($A2585="","",SUMIFS('Mouvements stock'!$H$5:$H$3004,'Mouvements stock'!$I$5:$I$3004,$A2585,'Mouvements stock'!$C$5:$C$3004,"Sortie")-SUMIFS('Mouvements stock'!$H$5:$H$3004,'Mouvements stock'!$I$5:$I$3004,$A2585,'Mouvements stock'!$C$5:$C$3004,"Retour"))</f>
        <v/>
      </c>
      <c r="X2585" s="66" t="n"/>
      <c r="Y2585" s="66" t="n"/>
      <c r="Z2585" s="7" t="n"/>
      <c r="AA2585" s="70">
        <f>IF($A2585="","",N(V2585)+N(W2585)+N(X2585)+N(Y2585))</f>
        <v/>
      </c>
      <c r="AB2585" s="70">
        <f>IF($A2585="","",N(S2585)*'Paramètres'!$AA$9*IFERROR(INDEX('Paramètres'!$O$5:$O$7,MATCH(G2585,'Paramètres'!$N$5:$N$7,0)),0))</f>
        <v/>
      </c>
      <c r="AC2585" s="7" t="n"/>
      <c r="AD2585" s="69">
        <f>IF(OR($A2585="",Q2585=""),"",(Q2585-B2585)*24)</f>
        <v/>
      </c>
      <c r="AE2585" s="69">
        <f>IF(OR(Q2585="",R2585=""),"",(R2585-Q2585)*24)</f>
        <v/>
      </c>
      <c r="AF2585" s="77">
        <f>IF(OR($A2585="",B2585=""),"",YEAR(B2585))</f>
        <v/>
      </c>
      <c r="AG2585" s="77">
        <f>IF(OR($A2585="",B2585=""),"",MONTH(B2585))</f>
        <v/>
      </c>
    </row>
    <row r="2586">
      <c r="A2586" s="7" t="n"/>
      <c r="B2586" s="75" t="n"/>
      <c r="C2586" s="7" t="n"/>
      <c r="D2586" s="7" t="n"/>
      <c r="E2586" s="9">
        <f>IF(D2586="","",IFERROR(INDEX('Équipements'!$B$5:$B$304,MATCH(D2586,'Équipements'!$A$5:$A$304,0)),"Code inconnu"))</f>
        <v/>
      </c>
      <c r="F2586" s="9">
        <f>IF(D2586="","",IFERROR(INDEX('Équipements'!$D$5:$D$304,MATCH(D2586,'Équipements'!$A$5:$A$304,0)),""))</f>
        <v/>
      </c>
      <c r="G2586" s="9">
        <f>IF(D2586="","",IFERROR(INDEX('Équipements'!$K$5:$K$304,MATCH(D2586,'Équipements'!$A$5:$A$304,0)),""))</f>
        <v/>
      </c>
      <c r="H2586" s="7" t="n"/>
      <c r="I2586" s="7" t="n"/>
      <c r="J2586" s="7" t="n"/>
      <c r="K2586" s="7" t="n"/>
      <c r="L2586" s="7" t="n"/>
      <c r="M2586" s="7" t="n"/>
      <c r="N2586" s="7" t="n"/>
      <c r="O2586" s="7" t="n"/>
      <c r="P2586" s="65" t="n"/>
      <c r="Q2586" s="75" t="n"/>
      <c r="R2586" s="75" t="n"/>
      <c r="S2586" s="76" t="n"/>
      <c r="T2586" s="76" t="n"/>
      <c r="U2586" s="70">
        <f>IF($A2586="","",IFERROR(INDEX('Techniciens'!$F$5:$F$44,MATCH(O2586,'Techniciens'!$B$5:$B$44,0)),'Paramètres'!$AA$10))</f>
        <v/>
      </c>
      <c r="V2586" s="70">
        <f>IF($A2586="","",IF(OR(AC2586="Demandé",AC2586="Planifié",AC2586="Annulé"),0,N(T2586)*N(U2586)))</f>
        <v/>
      </c>
      <c r="W2586" s="70">
        <f>IF($A2586="","",SUMIFS('Mouvements stock'!$H$5:$H$3004,'Mouvements stock'!$I$5:$I$3004,$A2586,'Mouvements stock'!$C$5:$C$3004,"Sortie")-SUMIFS('Mouvements stock'!$H$5:$H$3004,'Mouvements stock'!$I$5:$I$3004,$A2586,'Mouvements stock'!$C$5:$C$3004,"Retour"))</f>
        <v/>
      </c>
      <c r="X2586" s="66" t="n"/>
      <c r="Y2586" s="66" t="n"/>
      <c r="Z2586" s="7" t="n"/>
      <c r="AA2586" s="70">
        <f>IF($A2586="","",N(V2586)+N(W2586)+N(X2586)+N(Y2586))</f>
        <v/>
      </c>
      <c r="AB2586" s="70">
        <f>IF($A2586="","",N(S2586)*'Paramètres'!$AA$9*IFERROR(INDEX('Paramètres'!$O$5:$O$7,MATCH(G2586,'Paramètres'!$N$5:$N$7,0)),0))</f>
        <v/>
      </c>
      <c r="AC2586" s="7" t="n"/>
      <c r="AD2586" s="69">
        <f>IF(OR($A2586="",Q2586=""),"",(Q2586-B2586)*24)</f>
        <v/>
      </c>
      <c r="AE2586" s="69">
        <f>IF(OR(Q2586="",R2586=""),"",(R2586-Q2586)*24)</f>
        <v/>
      </c>
      <c r="AF2586" s="77">
        <f>IF(OR($A2586="",B2586=""),"",YEAR(B2586))</f>
        <v/>
      </c>
      <c r="AG2586" s="77">
        <f>IF(OR($A2586="",B2586=""),"",MONTH(B2586))</f>
        <v/>
      </c>
    </row>
    <row r="2587">
      <c r="A2587" s="7" t="n"/>
      <c r="B2587" s="75" t="n"/>
      <c r="C2587" s="7" t="n"/>
      <c r="D2587" s="7" t="n"/>
      <c r="E2587" s="9">
        <f>IF(D2587="","",IFERROR(INDEX('Équipements'!$B$5:$B$304,MATCH(D2587,'Équipements'!$A$5:$A$304,0)),"Code inconnu"))</f>
        <v/>
      </c>
      <c r="F2587" s="9">
        <f>IF(D2587="","",IFERROR(INDEX('Équipements'!$D$5:$D$304,MATCH(D2587,'Équipements'!$A$5:$A$304,0)),""))</f>
        <v/>
      </c>
      <c r="G2587" s="9">
        <f>IF(D2587="","",IFERROR(INDEX('Équipements'!$K$5:$K$304,MATCH(D2587,'Équipements'!$A$5:$A$304,0)),""))</f>
        <v/>
      </c>
      <c r="H2587" s="7" t="n"/>
      <c r="I2587" s="7" t="n"/>
      <c r="J2587" s="7" t="n"/>
      <c r="K2587" s="7" t="n"/>
      <c r="L2587" s="7" t="n"/>
      <c r="M2587" s="7" t="n"/>
      <c r="N2587" s="7" t="n"/>
      <c r="O2587" s="7" t="n"/>
      <c r="P2587" s="65" t="n"/>
      <c r="Q2587" s="75" t="n"/>
      <c r="R2587" s="75" t="n"/>
      <c r="S2587" s="76" t="n"/>
      <c r="T2587" s="76" t="n"/>
      <c r="U2587" s="70">
        <f>IF($A2587="","",IFERROR(INDEX('Techniciens'!$F$5:$F$44,MATCH(O2587,'Techniciens'!$B$5:$B$44,0)),'Paramètres'!$AA$10))</f>
        <v/>
      </c>
      <c r="V2587" s="70">
        <f>IF($A2587="","",IF(OR(AC2587="Demandé",AC2587="Planifié",AC2587="Annulé"),0,N(T2587)*N(U2587)))</f>
        <v/>
      </c>
      <c r="W2587" s="70">
        <f>IF($A2587="","",SUMIFS('Mouvements stock'!$H$5:$H$3004,'Mouvements stock'!$I$5:$I$3004,$A2587,'Mouvements stock'!$C$5:$C$3004,"Sortie")-SUMIFS('Mouvements stock'!$H$5:$H$3004,'Mouvements stock'!$I$5:$I$3004,$A2587,'Mouvements stock'!$C$5:$C$3004,"Retour"))</f>
        <v/>
      </c>
      <c r="X2587" s="66" t="n"/>
      <c r="Y2587" s="66" t="n"/>
      <c r="Z2587" s="7" t="n"/>
      <c r="AA2587" s="70">
        <f>IF($A2587="","",N(V2587)+N(W2587)+N(X2587)+N(Y2587))</f>
        <v/>
      </c>
      <c r="AB2587" s="70">
        <f>IF($A2587="","",N(S2587)*'Paramètres'!$AA$9*IFERROR(INDEX('Paramètres'!$O$5:$O$7,MATCH(G2587,'Paramètres'!$N$5:$N$7,0)),0))</f>
        <v/>
      </c>
      <c r="AC2587" s="7" t="n"/>
      <c r="AD2587" s="69">
        <f>IF(OR($A2587="",Q2587=""),"",(Q2587-B2587)*24)</f>
        <v/>
      </c>
      <c r="AE2587" s="69">
        <f>IF(OR(Q2587="",R2587=""),"",(R2587-Q2587)*24)</f>
        <v/>
      </c>
      <c r="AF2587" s="77">
        <f>IF(OR($A2587="",B2587=""),"",YEAR(B2587))</f>
        <v/>
      </c>
      <c r="AG2587" s="77">
        <f>IF(OR($A2587="",B2587=""),"",MONTH(B2587))</f>
        <v/>
      </c>
    </row>
    <row r="2588">
      <c r="A2588" s="7" t="n"/>
      <c r="B2588" s="75" t="n"/>
      <c r="C2588" s="7" t="n"/>
      <c r="D2588" s="7" t="n"/>
      <c r="E2588" s="9">
        <f>IF(D2588="","",IFERROR(INDEX('Équipements'!$B$5:$B$304,MATCH(D2588,'Équipements'!$A$5:$A$304,0)),"Code inconnu"))</f>
        <v/>
      </c>
      <c r="F2588" s="9">
        <f>IF(D2588="","",IFERROR(INDEX('Équipements'!$D$5:$D$304,MATCH(D2588,'Équipements'!$A$5:$A$304,0)),""))</f>
        <v/>
      </c>
      <c r="G2588" s="9">
        <f>IF(D2588="","",IFERROR(INDEX('Équipements'!$K$5:$K$304,MATCH(D2588,'Équipements'!$A$5:$A$304,0)),""))</f>
        <v/>
      </c>
      <c r="H2588" s="7" t="n"/>
      <c r="I2588" s="7" t="n"/>
      <c r="J2588" s="7" t="n"/>
      <c r="K2588" s="7" t="n"/>
      <c r="L2588" s="7" t="n"/>
      <c r="M2588" s="7" t="n"/>
      <c r="N2588" s="7" t="n"/>
      <c r="O2588" s="7" t="n"/>
      <c r="P2588" s="65" t="n"/>
      <c r="Q2588" s="75" t="n"/>
      <c r="R2588" s="75" t="n"/>
      <c r="S2588" s="76" t="n"/>
      <c r="T2588" s="76" t="n"/>
      <c r="U2588" s="70">
        <f>IF($A2588="","",IFERROR(INDEX('Techniciens'!$F$5:$F$44,MATCH(O2588,'Techniciens'!$B$5:$B$44,0)),'Paramètres'!$AA$10))</f>
        <v/>
      </c>
      <c r="V2588" s="70">
        <f>IF($A2588="","",IF(OR(AC2588="Demandé",AC2588="Planifié",AC2588="Annulé"),0,N(T2588)*N(U2588)))</f>
        <v/>
      </c>
      <c r="W2588" s="70">
        <f>IF($A2588="","",SUMIFS('Mouvements stock'!$H$5:$H$3004,'Mouvements stock'!$I$5:$I$3004,$A2588,'Mouvements stock'!$C$5:$C$3004,"Sortie")-SUMIFS('Mouvements stock'!$H$5:$H$3004,'Mouvements stock'!$I$5:$I$3004,$A2588,'Mouvements stock'!$C$5:$C$3004,"Retour"))</f>
        <v/>
      </c>
      <c r="X2588" s="66" t="n"/>
      <c r="Y2588" s="66" t="n"/>
      <c r="Z2588" s="7" t="n"/>
      <c r="AA2588" s="70">
        <f>IF($A2588="","",N(V2588)+N(W2588)+N(X2588)+N(Y2588))</f>
        <v/>
      </c>
      <c r="AB2588" s="70">
        <f>IF($A2588="","",N(S2588)*'Paramètres'!$AA$9*IFERROR(INDEX('Paramètres'!$O$5:$O$7,MATCH(G2588,'Paramètres'!$N$5:$N$7,0)),0))</f>
        <v/>
      </c>
      <c r="AC2588" s="7" t="n"/>
      <c r="AD2588" s="69">
        <f>IF(OR($A2588="",Q2588=""),"",(Q2588-B2588)*24)</f>
        <v/>
      </c>
      <c r="AE2588" s="69">
        <f>IF(OR(Q2588="",R2588=""),"",(R2588-Q2588)*24)</f>
        <v/>
      </c>
      <c r="AF2588" s="77">
        <f>IF(OR($A2588="",B2588=""),"",YEAR(B2588))</f>
        <v/>
      </c>
      <c r="AG2588" s="77">
        <f>IF(OR($A2588="",B2588=""),"",MONTH(B2588))</f>
        <v/>
      </c>
    </row>
    <row r="2589">
      <c r="A2589" s="7" t="n"/>
      <c r="B2589" s="75" t="n"/>
      <c r="C2589" s="7" t="n"/>
      <c r="D2589" s="7" t="n"/>
      <c r="E2589" s="9">
        <f>IF(D2589="","",IFERROR(INDEX('Équipements'!$B$5:$B$304,MATCH(D2589,'Équipements'!$A$5:$A$304,0)),"Code inconnu"))</f>
        <v/>
      </c>
      <c r="F2589" s="9">
        <f>IF(D2589="","",IFERROR(INDEX('Équipements'!$D$5:$D$304,MATCH(D2589,'Équipements'!$A$5:$A$304,0)),""))</f>
        <v/>
      </c>
      <c r="G2589" s="9">
        <f>IF(D2589="","",IFERROR(INDEX('Équipements'!$K$5:$K$304,MATCH(D2589,'Équipements'!$A$5:$A$304,0)),""))</f>
        <v/>
      </c>
      <c r="H2589" s="7" t="n"/>
      <c r="I2589" s="7" t="n"/>
      <c r="J2589" s="7" t="n"/>
      <c r="K2589" s="7" t="n"/>
      <c r="L2589" s="7" t="n"/>
      <c r="M2589" s="7" t="n"/>
      <c r="N2589" s="7" t="n"/>
      <c r="O2589" s="7" t="n"/>
      <c r="P2589" s="65" t="n"/>
      <c r="Q2589" s="75" t="n"/>
      <c r="R2589" s="75" t="n"/>
      <c r="S2589" s="76" t="n"/>
      <c r="T2589" s="76" t="n"/>
      <c r="U2589" s="70">
        <f>IF($A2589="","",IFERROR(INDEX('Techniciens'!$F$5:$F$44,MATCH(O2589,'Techniciens'!$B$5:$B$44,0)),'Paramètres'!$AA$10))</f>
        <v/>
      </c>
      <c r="V2589" s="70">
        <f>IF($A2589="","",IF(OR(AC2589="Demandé",AC2589="Planifié",AC2589="Annulé"),0,N(T2589)*N(U2589)))</f>
        <v/>
      </c>
      <c r="W2589" s="70">
        <f>IF($A2589="","",SUMIFS('Mouvements stock'!$H$5:$H$3004,'Mouvements stock'!$I$5:$I$3004,$A2589,'Mouvements stock'!$C$5:$C$3004,"Sortie")-SUMIFS('Mouvements stock'!$H$5:$H$3004,'Mouvements stock'!$I$5:$I$3004,$A2589,'Mouvements stock'!$C$5:$C$3004,"Retour"))</f>
        <v/>
      </c>
      <c r="X2589" s="66" t="n"/>
      <c r="Y2589" s="66" t="n"/>
      <c r="Z2589" s="7" t="n"/>
      <c r="AA2589" s="70">
        <f>IF($A2589="","",N(V2589)+N(W2589)+N(X2589)+N(Y2589))</f>
        <v/>
      </c>
      <c r="AB2589" s="70">
        <f>IF($A2589="","",N(S2589)*'Paramètres'!$AA$9*IFERROR(INDEX('Paramètres'!$O$5:$O$7,MATCH(G2589,'Paramètres'!$N$5:$N$7,0)),0))</f>
        <v/>
      </c>
      <c r="AC2589" s="7" t="n"/>
      <c r="AD2589" s="69">
        <f>IF(OR($A2589="",Q2589=""),"",(Q2589-B2589)*24)</f>
        <v/>
      </c>
      <c r="AE2589" s="69">
        <f>IF(OR(Q2589="",R2589=""),"",(R2589-Q2589)*24)</f>
        <v/>
      </c>
      <c r="AF2589" s="77">
        <f>IF(OR($A2589="",B2589=""),"",YEAR(B2589))</f>
        <v/>
      </c>
      <c r="AG2589" s="77">
        <f>IF(OR($A2589="",B2589=""),"",MONTH(B2589))</f>
        <v/>
      </c>
    </row>
    <row r="2590">
      <c r="A2590" s="7" t="n"/>
      <c r="B2590" s="75" t="n"/>
      <c r="C2590" s="7" t="n"/>
      <c r="D2590" s="7" t="n"/>
      <c r="E2590" s="9">
        <f>IF(D2590="","",IFERROR(INDEX('Équipements'!$B$5:$B$304,MATCH(D2590,'Équipements'!$A$5:$A$304,0)),"Code inconnu"))</f>
        <v/>
      </c>
      <c r="F2590" s="9">
        <f>IF(D2590="","",IFERROR(INDEX('Équipements'!$D$5:$D$304,MATCH(D2590,'Équipements'!$A$5:$A$304,0)),""))</f>
        <v/>
      </c>
      <c r="G2590" s="9">
        <f>IF(D2590="","",IFERROR(INDEX('Équipements'!$K$5:$K$304,MATCH(D2590,'Équipements'!$A$5:$A$304,0)),""))</f>
        <v/>
      </c>
      <c r="H2590" s="7" t="n"/>
      <c r="I2590" s="7" t="n"/>
      <c r="J2590" s="7" t="n"/>
      <c r="K2590" s="7" t="n"/>
      <c r="L2590" s="7" t="n"/>
      <c r="M2590" s="7" t="n"/>
      <c r="N2590" s="7" t="n"/>
      <c r="O2590" s="7" t="n"/>
      <c r="P2590" s="65" t="n"/>
      <c r="Q2590" s="75" t="n"/>
      <c r="R2590" s="75" t="n"/>
      <c r="S2590" s="76" t="n"/>
      <c r="T2590" s="76" t="n"/>
      <c r="U2590" s="70">
        <f>IF($A2590="","",IFERROR(INDEX('Techniciens'!$F$5:$F$44,MATCH(O2590,'Techniciens'!$B$5:$B$44,0)),'Paramètres'!$AA$10))</f>
        <v/>
      </c>
      <c r="V2590" s="70">
        <f>IF($A2590="","",IF(OR(AC2590="Demandé",AC2590="Planifié",AC2590="Annulé"),0,N(T2590)*N(U2590)))</f>
        <v/>
      </c>
      <c r="W2590" s="70">
        <f>IF($A2590="","",SUMIFS('Mouvements stock'!$H$5:$H$3004,'Mouvements stock'!$I$5:$I$3004,$A2590,'Mouvements stock'!$C$5:$C$3004,"Sortie")-SUMIFS('Mouvements stock'!$H$5:$H$3004,'Mouvements stock'!$I$5:$I$3004,$A2590,'Mouvements stock'!$C$5:$C$3004,"Retour"))</f>
        <v/>
      </c>
      <c r="X2590" s="66" t="n"/>
      <c r="Y2590" s="66" t="n"/>
      <c r="Z2590" s="7" t="n"/>
      <c r="AA2590" s="70">
        <f>IF($A2590="","",N(V2590)+N(W2590)+N(X2590)+N(Y2590))</f>
        <v/>
      </c>
      <c r="AB2590" s="70">
        <f>IF($A2590="","",N(S2590)*'Paramètres'!$AA$9*IFERROR(INDEX('Paramètres'!$O$5:$O$7,MATCH(G2590,'Paramètres'!$N$5:$N$7,0)),0))</f>
        <v/>
      </c>
      <c r="AC2590" s="7" t="n"/>
      <c r="AD2590" s="69">
        <f>IF(OR($A2590="",Q2590=""),"",(Q2590-B2590)*24)</f>
        <v/>
      </c>
      <c r="AE2590" s="69">
        <f>IF(OR(Q2590="",R2590=""),"",(R2590-Q2590)*24)</f>
        <v/>
      </c>
      <c r="AF2590" s="77">
        <f>IF(OR($A2590="",B2590=""),"",YEAR(B2590))</f>
        <v/>
      </c>
      <c r="AG2590" s="77">
        <f>IF(OR($A2590="",B2590=""),"",MONTH(B2590))</f>
        <v/>
      </c>
    </row>
    <row r="2591">
      <c r="A2591" s="7" t="n"/>
      <c r="B2591" s="75" t="n"/>
      <c r="C2591" s="7" t="n"/>
      <c r="D2591" s="7" t="n"/>
      <c r="E2591" s="9">
        <f>IF(D2591="","",IFERROR(INDEX('Équipements'!$B$5:$B$304,MATCH(D2591,'Équipements'!$A$5:$A$304,0)),"Code inconnu"))</f>
        <v/>
      </c>
      <c r="F2591" s="9">
        <f>IF(D2591="","",IFERROR(INDEX('Équipements'!$D$5:$D$304,MATCH(D2591,'Équipements'!$A$5:$A$304,0)),""))</f>
        <v/>
      </c>
      <c r="G2591" s="9">
        <f>IF(D2591="","",IFERROR(INDEX('Équipements'!$K$5:$K$304,MATCH(D2591,'Équipements'!$A$5:$A$304,0)),""))</f>
        <v/>
      </c>
      <c r="H2591" s="7" t="n"/>
      <c r="I2591" s="7" t="n"/>
      <c r="J2591" s="7" t="n"/>
      <c r="K2591" s="7" t="n"/>
      <c r="L2591" s="7" t="n"/>
      <c r="M2591" s="7" t="n"/>
      <c r="N2591" s="7" t="n"/>
      <c r="O2591" s="7" t="n"/>
      <c r="P2591" s="65" t="n"/>
      <c r="Q2591" s="75" t="n"/>
      <c r="R2591" s="75" t="n"/>
      <c r="S2591" s="76" t="n"/>
      <c r="T2591" s="76" t="n"/>
      <c r="U2591" s="70">
        <f>IF($A2591="","",IFERROR(INDEX('Techniciens'!$F$5:$F$44,MATCH(O2591,'Techniciens'!$B$5:$B$44,0)),'Paramètres'!$AA$10))</f>
        <v/>
      </c>
      <c r="V2591" s="70">
        <f>IF($A2591="","",IF(OR(AC2591="Demandé",AC2591="Planifié",AC2591="Annulé"),0,N(T2591)*N(U2591)))</f>
        <v/>
      </c>
      <c r="W2591" s="70">
        <f>IF($A2591="","",SUMIFS('Mouvements stock'!$H$5:$H$3004,'Mouvements stock'!$I$5:$I$3004,$A2591,'Mouvements stock'!$C$5:$C$3004,"Sortie")-SUMIFS('Mouvements stock'!$H$5:$H$3004,'Mouvements stock'!$I$5:$I$3004,$A2591,'Mouvements stock'!$C$5:$C$3004,"Retour"))</f>
        <v/>
      </c>
      <c r="X2591" s="66" t="n"/>
      <c r="Y2591" s="66" t="n"/>
      <c r="Z2591" s="7" t="n"/>
      <c r="AA2591" s="70">
        <f>IF($A2591="","",N(V2591)+N(W2591)+N(X2591)+N(Y2591))</f>
        <v/>
      </c>
      <c r="AB2591" s="70">
        <f>IF($A2591="","",N(S2591)*'Paramètres'!$AA$9*IFERROR(INDEX('Paramètres'!$O$5:$O$7,MATCH(G2591,'Paramètres'!$N$5:$N$7,0)),0))</f>
        <v/>
      </c>
      <c r="AC2591" s="7" t="n"/>
      <c r="AD2591" s="69">
        <f>IF(OR($A2591="",Q2591=""),"",(Q2591-B2591)*24)</f>
        <v/>
      </c>
      <c r="AE2591" s="69">
        <f>IF(OR(Q2591="",R2591=""),"",(R2591-Q2591)*24)</f>
        <v/>
      </c>
      <c r="AF2591" s="77">
        <f>IF(OR($A2591="",B2591=""),"",YEAR(B2591))</f>
        <v/>
      </c>
      <c r="AG2591" s="77">
        <f>IF(OR($A2591="",B2591=""),"",MONTH(B2591))</f>
        <v/>
      </c>
    </row>
    <row r="2592">
      <c r="A2592" s="7" t="n"/>
      <c r="B2592" s="75" t="n"/>
      <c r="C2592" s="7" t="n"/>
      <c r="D2592" s="7" t="n"/>
      <c r="E2592" s="9">
        <f>IF(D2592="","",IFERROR(INDEX('Équipements'!$B$5:$B$304,MATCH(D2592,'Équipements'!$A$5:$A$304,0)),"Code inconnu"))</f>
        <v/>
      </c>
      <c r="F2592" s="9">
        <f>IF(D2592="","",IFERROR(INDEX('Équipements'!$D$5:$D$304,MATCH(D2592,'Équipements'!$A$5:$A$304,0)),""))</f>
        <v/>
      </c>
      <c r="G2592" s="9">
        <f>IF(D2592="","",IFERROR(INDEX('Équipements'!$K$5:$K$304,MATCH(D2592,'Équipements'!$A$5:$A$304,0)),""))</f>
        <v/>
      </c>
      <c r="H2592" s="7" t="n"/>
      <c r="I2592" s="7" t="n"/>
      <c r="J2592" s="7" t="n"/>
      <c r="K2592" s="7" t="n"/>
      <c r="L2592" s="7" t="n"/>
      <c r="M2592" s="7" t="n"/>
      <c r="N2592" s="7" t="n"/>
      <c r="O2592" s="7" t="n"/>
      <c r="P2592" s="65" t="n"/>
      <c r="Q2592" s="75" t="n"/>
      <c r="R2592" s="75" t="n"/>
      <c r="S2592" s="76" t="n"/>
      <c r="T2592" s="76" t="n"/>
      <c r="U2592" s="70">
        <f>IF($A2592="","",IFERROR(INDEX('Techniciens'!$F$5:$F$44,MATCH(O2592,'Techniciens'!$B$5:$B$44,0)),'Paramètres'!$AA$10))</f>
        <v/>
      </c>
      <c r="V2592" s="70">
        <f>IF($A2592="","",IF(OR(AC2592="Demandé",AC2592="Planifié",AC2592="Annulé"),0,N(T2592)*N(U2592)))</f>
        <v/>
      </c>
      <c r="W2592" s="70">
        <f>IF($A2592="","",SUMIFS('Mouvements stock'!$H$5:$H$3004,'Mouvements stock'!$I$5:$I$3004,$A2592,'Mouvements stock'!$C$5:$C$3004,"Sortie")-SUMIFS('Mouvements stock'!$H$5:$H$3004,'Mouvements stock'!$I$5:$I$3004,$A2592,'Mouvements stock'!$C$5:$C$3004,"Retour"))</f>
        <v/>
      </c>
      <c r="X2592" s="66" t="n"/>
      <c r="Y2592" s="66" t="n"/>
      <c r="Z2592" s="7" t="n"/>
      <c r="AA2592" s="70">
        <f>IF($A2592="","",N(V2592)+N(W2592)+N(X2592)+N(Y2592))</f>
        <v/>
      </c>
      <c r="AB2592" s="70">
        <f>IF($A2592="","",N(S2592)*'Paramètres'!$AA$9*IFERROR(INDEX('Paramètres'!$O$5:$O$7,MATCH(G2592,'Paramètres'!$N$5:$N$7,0)),0))</f>
        <v/>
      </c>
      <c r="AC2592" s="7" t="n"/>
      <c r="AD2592" s="69">
        <f>IF(OR($A2592="",Q2592=""),"",(Q2592-B2592)*24)</f>
        <v/>
      </c>
      <c r="AE2592" s="69">
        <f>IF(OR(Q2592="",R2592=""),"",(R2592-Q2592)*24)</f>
        <v/>
      </c>
      <c r="AF2592" s="77">
        <f>IF(OR($A2592="",B2592=""),"",YEAR(B2592))</f>
        <v/>
      </c>
      <c r="AG2592" s="77">
        <f>IF(OR($A2592="",B2592=""),"",MONTH(B2592))</f>
        <v/>
      </c>
    </row>
    <row r="2593">
      <c r="A2593" s="7" t="n"/>
      <c r="B2593" s="75" t="n"/>
      <c r="C2593" s="7" t="n"/>
      <c r="D2593" s="7" t="n"/>
      <c r="E2593" s="9">
        <f>IF(D2593="","",IFERROR(INDEX('Équipements'!$B$5:$B$304,MATCH(D2593,'Équipements'!$A$5:$A$304,0)),"Code inconnu"))</f>
        <v/>
      </c>
      <c r="F2593" s="9">
        <f>IF(D2593="","",IFERROR(INDEX('Équipements'!$D$5:$D$304,MATCH(D2593,'Équipements'!$A$5:$A$304,0)),""))</f>
        <v/>
      </c>
      <c r="G2593" s="9">
        <f>IF(D2593="","",IFERROR(INDEX('Équipements'!$K$5:$K$304,MATCH(D2593,'Équipements'!$A$5:$A$304,0)),""))</f>
        <v/>
      </c>
      <c r="H2593" s="7" t="n"/>
      <c r="I2593" s="7" t="n"/>
      <c r="J2593" s="7" t="n"/>
      <c r="K2593" s="7" t="n"/>
      <c r="L2593" s="7" t="n"/>
      <c r="M2593" s="7" t="n"/>
      <c r="N2593" s="7" t="n"/>
      <c r="O2593" s="7" t="n"/>
      <c r="P2593" s="65" t="n"/>
      <c r="Q2593" s="75" t="n"/>
      <c r="R2593" s="75" t="n"/>
      <c r="S2593" s="76" t="n"/>
      <c r="T2593" s="76" t="n"/>
      <c r="U2593" s="70">
        <f>IF($A2593="","",IFERROR(INDEX('Techniciens'!$F$5:$F$44,MATCH(O2593,'Techniciens'!$B$5:$B$44,0)),'Paramètres'!$AA$10))</f>
        <v/>
      </c>
      <c r="V2593" s="70">
        <f>IF($A2593="","",IF(OR(AC2593="Demandé",AC2593="Planifié",AC2593="Annulé"),0,N(T2593)*N(U2593)))</f>
        <v/>
      </c>
      <c r="W2593" s="70">
        <f>IF($A2593="","",SUMIFS('Mouvements stock'!$H$5:$H$3004,'Mouvements stock'!$I$5:$I$3004,$A2593,'Mouvements stock'!$C$5:$C$3004,"Sortie")-SUMIFS('Mouvements stock'!$H$5:$H$3004,'Mouvements stock'!$I$5:$I$3004,$A2593,'Mouvements stock'!$C$5:$C$3004,"Retour"))</f>
        <v/>
      </c>
      <c r="X2593" s="66" t="n"/>
      <c r="Y2593" s="66" t="n"/>
      <c r="Z2593" s="7" t="n"/>
      <c r="AA2593" s="70">
        <f>IF($A2593="","",N(V2593)+N(W2593)+N(X2593)+N(Y2593))</f>
        <v/>
      </c>
      <c r="AB2593" s="70">
        <f>IF($A2593="","",N(S2593)*'Paramètres'!$AA$9*IFERROR(INDEX('Paramètres'!$O$5:$O$7,MATCH(G2593,'Paramètres'!$N$5:$N$7,0)),0))</f>
        <v/>
      </c>
      <c r="AC2593" s="7" t="n"/>
      <c r="AD2593" s="69">
        <f>IF(OR($A2593="",Q2593=""),"",(Q2593-B2593)*24)</f>
        <v/>
      </c>
      <c r="AE2593" s="69">
        <f>IF(OR(Q2593="",R2593=""),"",(R2593-Q2593)*24)</f>
        <v/>
      </c>
      <c r="AF2593" s="77">
        <f>IF(OR($A2593="",B2593=""),"",YEAR(B2593))</f>
        <v/>
      </c>
      <c r="AG2593" s="77">
        <f>IF(OR($A2593="",B2593=""),"",MONTH(B2593))</f>
        <v/>
      </c>
    </row>
    <row r="2594">
      <c r="A2594" s="7" t="n"/>
      <c r="B2594" s="75" t="n"/>
      <c r="C2594" s="7" t="n"/>
      <c r="D2594" s="7" t="n"/>
      <c r="E2594" s="9">
        <f>IF(D2594="","",IFERROR(INDEX('Équipements'!$B$5:$B$304,MATCH(D2594,'Équipements'!$A$5:$A$304,0)),"Code inconnu"))</f>
        <v/>
      </c>
      <c r="F2594" s="9">
        <f>IF(D2594="","",IFERROR(INDEX('Équipements'!$D$5:$D$304,MATCH(D2594,'Équipements'!$A$5:$A$304,0)),""))</f>
        <v/>
      </c>
      <c r="G2594" s="9">
        <f>IF(D2594="","",IFERROR(INDEX('Équipements'!$K$5:$K$304,MATCH(D2594,'Équipements'!$A$5:$A$304,0)),""))</f>
        <v/>
      </c>
      <c r="H2594" s="7" t="n"/>
      <c r="I2594" s="7" t="n"/>
      <c r="J2594" s="7" t="n"/>
      <c r="K2594" s="7" t="n"/>
      <c r="L2594" s="7" t="n"/>
      <c r="M2594" s="7" t="n"/>
      <c r="N2594" s="7" t="n"/>
      <c r="O2594" s="7" t="n"/>
      <c r="P2594" s="65" t="n"/>
      <c r="Q2594" s="75" t="n"/>
      <c r="R2594" s="75" t="n"/>
      <c r="S2594" s="76" t="n"/>
      <c r="T2594" s="76" t="n"/>
      <c r="U2594" s="70">
        <f>IF($A2594="","",IFERROR(INDEX('Techniciens'!$F$5:$F$44,MATCH(O2594,'Techniciens'!$B$5:$B$44,0)),'Paramètres'!$AA$10))</f>
        <v/>
      </c>
      <c r="V2594" s="70">
        <f>IF($A2594="","",IF(OR(AC2594="Demandé",AC2594="Planifié",AC2594="Annulé"),0,N(T2594)*N(U2594)))</f>
        <v/>
      </c>
      <c r="W2594" s="70">
        <f>IF($A2594="","",SUMIFS('Mouvements stock'!$H$5:$H$3004,'Mouvements stock'!$I$5:$I$3004,$A2594,'Mouvements stock'!$C$5:$C$3004,"Sortie")-SUMIFS('Mouvements stock'!$H$5:$H$3004,'Mouvements stock'!$I$5:$I$3004,$A2594,'Mouvements stock'!$C$5:$C$3004,"Retour"))</f>
        <v/>
      </c>
      <c r="X2594" s="66" t="n"/>
      <c r="Y2594" s="66" t="n"/>
      <c r="Z2594" s="7" t="n"/>
      <c r="AA2594" s="70">
        <f>IF($A2594="","",N(V2594)+N(W2594)+N(X2594)+N(Y2594))</f>
        <v/>
      </c>
      <c r="AB2594" s="70">
        <f>IF($A2594="","",N(S2594)*'Paramètres'!$AA$9*IFERROR(INDEX('Paramètres'!$O$5:$O$7,MATCH(G2594,'Paramètres'!$N$5:$N$7,0)),0))</f>
        <v/>
      </c>
      <c r="AC2594" s="7" t="n"/>
      <c r="AD2594" s="69">
        <f>IF(OR($A2594="",Q2594=""),"",(Q2594-B2594)*24)</f>
        <v/>
      </c>
      <c r="AE2594" s="69">
        <f>IF(OR(Q2594="",R2594=""),"",(R2594-Q2594)*24)</f>
        <v/>
      </c>
      <c r="AF2594" s="77">
        <f>IF(OR($A2594="",B2594=""),"",YEAR(B2594))</f>
        <v/>
      </c>
      <c r="AG2594" s="77">
        <f>IF(OR($A2594="",B2594=""),"",MONTH(B2594))</f>
        <v/>
      </c>
    </row>
    <row r="2595">
      <c r="A2595" s="7" t="n"/>
      <c r="B2595" s="75" t="n"/>
      <c r="C2595" s="7" t="n"/>
      <c r="D2595" s="7" t="n"/>
      <c r="E2595" s="9">
        <f>IF(D2595="","",IFERROR(INDEX('Équipements'!$B$5:$B$304,MATCH(D2595,'Équipements'!$A$5:$A$304,0)),"Code inconnu"))</f>
        <v/>
      </c>
      <c r="F2595" s="9">
        <f>IF(D2595="","",IFERROR(INDEX('Équipements'!$D$5:$D$304,MATCH(D2595,'Équipements'!$A$5:$A$304,0)),""))</f>
        <v/>
      </c>
      <c r="G2595" s="9">
        <f>IF(D2595="","",IFERROR(INDEX('Équipements'!$K$5:$K$304,MATCH(D2595,'Équipements'!$A$5:$A$304,0)),""))</f>
        <v/>
      </c>
      <c r="H2595" s="7" t="n"/>
      <c r="I2595" s="7" t="n"/>
      <c r="J2595" s="7" t="n"/>
      <c r="K2595" s="7" t="n"/>
      <c r="L2595" s="7" t="n"/>
      <c r="M2595" s="7" t="n"/>
      <c r="N2595" s="7" t="n"/>
      <c r="O2595" s="7" t="n"/>
      <c r="P2595" s="65" t="n"/>
      <c r="Q2595" s="75" t="n"/>
      <c r="R2595" s="75" t="n"/>
      <c r="S2595" s="76" t="n"/>
      <c r="T2595" s="76" t="n"/>
      <c r="U2595" s="70">
        <f>IF($A2595="","",IFERROR(INDEX('Techniciens'!$F$5:$F$44,MATCH(O2595,'Techniciens'!$B$5:$B$44,0)),'Paramètres'!$AA$10))</f>
        <v/>
      </c>
      <c r="V2595" s="70">
        <f>IF($A2595="","",IF(OR(AC2595="Demandé",AC2595="Planifié",AC2595="Annulé"),0,N(T2595)*N(U2595)))</f>
        <v/>
      </c>
      <c r="W2595" s="70">
        <f>IF($A2595="","",SUMIFS('Mouvements stock'!$H$5:$H$3004,'Mouvements stock'!$I$5:$I$3004,$A2595,'Mouvements stock'!$C$5:$C$3004,"Sortie")-SUMIFS('Mouvements stock'!$H$5:$H$3004,'Mouvements stock'!$I$5:$I$3004,$A2595,'Mouvements stock'!$C$5:$C$3004,"Retour"))</f>
        <v/>
      </c>
      <c r="X2595" s="66" t="n"/>
      <c r="Y2595" s="66" t="n"/>
      <c r="Z2595" s="7" t="n"/>
      <c r="AA2595" s="70">
        <f>IF($A2595="","",N(V2595)+N(W2595)+N(X2595)+N(Y2595))</f>
        <v/>
      </c>
      <c r="AB2595" s="70">
        <f>IF($A2595="","",N(S2595)*'Paramètres'!$AA$9*IFERROR(INDEX('Paramètres'!$O$5:$O$7,MATCH(G2595,'Paramètres'!$N$5:$N$7,0)),0))</f>
        <v/>
      </c>
      <c r="AC2595" s="7" t="n"/>
      <c r="AD2595" s="69">
        <f>IF(OR($A2595="",Q2595=""),"",(Q2595-B2595)*24)</f>
        <v/>
      </c>
      <c r="AE2595" s="69">
        <f>IF(OR(Q2595="",R2595=""),"",(R2595-Q2595)*24)</f>
        <v/>
      </c>
      <c r="AF2595" s="77">
        <f>IF(OR($A2595="",B2595=""),"",YEAR(B2595))</f>
        <v/>
      </c>
      <c r="AG2595" s="77">
        <f>IF(OR($A2595="",B2595=""),"",MONTH(B2595))</f>
        <v/>
      </c>
    </row>
    <row r="2596">
      <c r="A2596" s="7" t="n"/>
      <c r="B2596" s="75" t="n"/>
      <c r="C2596" s="7" t="n"/>
      <c r="D2596" s="7" t="n"/>
      <c r="E2596" s="9">
        <f>IF(D2596="","",IFERROR(INDEX('Équipements'!$B$5:$B$304,MATCH(D2596,'Équipements'!$A$5:$A$304,0)),"Code inconnu"))</f>
        <v/>
      </c>
      <c r="F2596" s="9">
        <f>IF(D2596="","",IFERROR(INDEX('Équipements'!$D$5:$D$304,MATCH(D2596,'Équipements'!$A$5:$A$304,0)),""))</f>
        <v/>
      </c>
      <c r="G2596" s="9">
        <f>IF(D2596="","",IFERROR(INDEX('Équipements'!$K$5:$K$304,MATCH(D2596,'Équipements'!$A$5:$A$304,0)),""))</f>
        <v/>
      </c>
      <c r="H2596" s="7" t="n"/>
      <c r="I2596" s="7" t="n"/>
      <c r="J2596" s="7" t="n"/>
      <c r="K2596" s="7" t="n"/>
      <c r="L2596" s="7" t="n"/>
      <c r="M2596" s="7" t="n"/>
      <c r="N2596" s="7" t="n"/>
      <c r="O2596" s="7" t="n"/>
      <c r="P2596" s="65" t="n"/>
      <c r="Q2596" s="75" t="n"/>
      <c r="R2596" s="75" t="n"/>
      <c r="S2596" s="76" t="n"/>
      <c r="T2596" s="76" t="n"/>
      <c r="U2596" s="70">
        <f>IF($A2596="","",IFERROR(INDEX('Techniciens'!$F$5:$F$44,MATCH(O2596,'Techniciens'!$B$5:$B$44,0)),'Paramètres'!$AA$10))</f>
        <v/>
      </c>
      <c r="V2596" s="70">
        <f>IF($A2596="","",IF(OR(AC2596="Demandé",AC2596="Planifié",AC2596="Annulé"),0,N(T2596)*N(U2596)))</f>
        <v/>
      </c>
      <c r="W2596" s="70">
        <f>IF($A2596="","",SUMIFS('Mouvements stock'!$H$5:$H$3004,'Mouvements stock'!$I$5:$I$3004,$A2596,'Mouvements stock'!$C$5:$C$3004,"Sortie")-SUMIFS('Mouvements stock'!$H$5:$H$3004,'Mouvements stock'!$I$5:$I$3004,$A2596,'Mouvements stock'!$C$5:$C$3004,"Retour"))</f>
        <v/>
      </c>
      <c r="X2596" s="66" t="n"/>
      <c r="Y2596" s="66" t="n"/>
      <c r="Z2596" s="7" t="n"/>
      <c r="AA2596" s="70">
        <f>IF($A2596="","",N(V2596)+N(W2596)+N(X2596)+N(Y2596))</f>
        <v/>
      </c>
      <c r="AB2596" s="70">
        <f>IF($A2596="","",N(S2596)*'Paramètres'!$AA$9*IFERROR(INDEX('Paramètres'!$O$5:$O$7,MATCH(G2596,'Paramètres'!$N$5:$N$7,0)),0))</f>
        <v/>
      </c>
      <c r="AC2596" s="7" t="n"/>
      <c r="AD2596" s="69">
        <f>IF(OR($A2596="",Q2596=""),"",(Q2596-B2596)*24)</f>
        <v/>
      </c>
      <c r="AE2596" s="69">
        <f>IF(OR(Q2596="",R2596=""),"",(R2596-Q2596)*24)</f>
        <v/>
      </c>
      <c r="AF2596" s="77">
        <f>IF(OR($A2596="",B2596=""),"",YEAR(B2596))</f>
        <v/>
      </c>
      <c r="AG2596" s="77">
        <f>IF(OR($A2596="",B2596=""),"",MONTH(B2596))</f>
        <v/>
      </c>
    </row>
    <row r="2597">
      <c r="A2597" s="7" t="n"/>
      <c r="B2597" s="75" t="n"/>
      <c r="C2597" s="7" t="n"/>
      <c r="D2597" s="7" t="n"/>
      <c r="E2597" s="9">
        <f>IF(D2597="","",IFERROR(INDEX('Équipements'!$B$5:$B$304,MATCH(D2597,'Équipements'!$A$5:$A$304,0)),"Code inconnu"))</f>
        <v/>
      </c>
      <c r="F2597" s="9">
        <f>IF(D2597="","",IFERROR(INDEX('Équipements'!$D$5:$D$304,MATCH(D2597,'Équipements'!$A$5:$A$304,0)),""))</f>
        <v/>
      </c>
      <c r="G2597" s="9">
        <f>IF(D2597="","",IFERROR(INDEX('Équipements'!$K$5:$K$304,MATCH(D2597,'Équipements'!$A$5:$A$304,0)),""))</f>
        <v/>
      </c>
      <c r="H2597" s="7" t="n"/>
      <c r="I2597" s="7" t="n"/>
      <c r="J2597" s="7" t="n"/>
      <c r="K2597" s="7" t="n"/>
      <c r="L2597" s="7" t="n"/>
      <c r="M2597" s="7" t="n"/>
      <c r="N2597" s="7" t="n"/>
      <c r="O2597" s="7" t="n"/>
      <c r="P2597" s="65" t="n"/>
      <c r="Q2597" s="75" t="n"/>
      <c r="R2597" s="75" t="n"/>
      <c r="S2597" s="76" t="n"/>
      <c r="T2597" s="76" t="n"/>
      <c r="U2597" s="70">
        <f>IF($A2597="","",IFERROR(INDEX('Techniciens'!$F$5:$F$44,MATCH(O2597,'Techniciens'!$B$5:$B$44,0)),'Paramètres'!$AA$10))</f>
        <v/>
      </c>
      <c r="V2597" s="70">
        <f>IF($A2597="","",IF(OR(AC2597="Demandé",AC2597="Planifié",AC2597="Annulé"),0,N(T2597)*N(U2597)))</f>
        <v/>
      </c>
      <c r="W2597" s="70">
        <f>IF($A2597="","",SUMIFS('Mouvements stock'!$H$5:$H$3004,'Mouvements stock'!$I$5:$I$3004,$A2597,'Mouvements stock'!$C$5:$C$3004,"Sortie")-SUMIFS('Mouvements stock'!$H$5:$H$3004,'Mouvements stock'!$I$5:$I$3004,$A2597,'Mouvements stock'!$C$5:$C$3004,"Retour"))</f>
        <v/>
      </c>
      <c r="X2597" s="66" t="n"/>
      <c r="Y2597" s="66" t="n"/>
      <c r="Z2597" s="7" t="n"/>
      <c r="AA2597" s="70">
        <f>IF($A2597="","",N(V2597)+N(W2597)+N(X2597)+N(Y2597))</f>
        <v/>
      </c>
      <c r="AB2597" s="70">
        <f>IF($A2597="","",N(S2597)*'Paramètres'!$AA$9*IFERROR(INDEX('Paramètres'!$O$5:$O$7,MATCH(G2597,'Paramètres'!$N$5:$N$7,0)),0))</f>
        <v/>
      </c>
      <c r="AC2597" s="7" t="n"/>
      <c r="AD2597" s="69">
        <f>IF(OR($A2597="",Q2597=""),"",(Q2597-B2597)*24)</f>
        <v/>
      </c>
      <c r="AE2597" s="69">
        <f>IF(OR(Q2597="",R2597=""),"",(R2597-Q2597)*24)</f>
        <v/>
      </c>
      <c r="AF2597" s="77">
        <f>IF(OR($A2597="",B2597=""),"",YEAR(B2597))</f>
        <v/>
      </c>
      <c r="AG2597" s="77">
        <f>IF(OR($A2597="",B2597=""),"",MONTH(B2597))</f>
        <v/>
      </c>
    </row>
    <row r="2598">
      <c r="A2598" s="7" t="n"/>
      <c r="B2598" s="75" t="n"/>
      <c r="C2598" s="7" t="n"/>
      <c r="D2598" s="7" t="n"/>
      <c r="E2598" s="9">
        <f>IF(D2598="","",IFERROR(INDEX('Équipements'!$B$5:$B$304,MATCH(D2598,'Équipements'!$A$5:$A$304,0)),"Code inconnu"))</f>
        <v/>
      </c>
      <c r="F2598" s="9">
        <f>IF(D2598="","",IFERROR(INDEX('Équipements'!$D$5:$D$304,MATCH(D2598,'Équipements'!$A$5:$A$304,0)),""))</f>
        <v/>
      </c>
      <c r="G2598" s="9">
        <f>IF(D2598="","",IFERROR(INDEX('Équipements'!$K$5:$K$304,MATCH(D2598,'Équipements'!$A$5:$A$304,0)),""))</f>
        <v/>
      </c>
      <c r="H2598" s="7" t="n"/>
      <c r="I2598" s="7" t="n"/>
      <c r="J2598" s="7" t="n"/>
      <c r="K2598" s="7" t="n"/>
      <c r="L2598" s="7" t="n"/>
      <c r="M2598" s="7" t="n"/>
      <c r="N2598" s="7" t="n"/>
      <c r="O2598" s="7" t="n"/>
      <c r="P2598" s="65" t="n"/>
      <c r="Q2598" s="75" t="n"/>
      <c r="R2598" s="75" t="n"/>
      <c r="S2598" s="76" t="n"/>
      <c r="T2598" s="76" t="n"/>
      <c r="U2598" s="70">
        <f>IF($A2598="","",IFERROR(INDEX('Techniciens'!$F$5:$F$44,MATCH(O2598,'Techniciens'!$B$5:$B$44,0)),'Paramètres'!$AA$10))</f>
        <v/>
      </c>
      <c r="V2598" s="70">
        <f>IF($A2598="","",IF(OR(AC2598="Demandé",AC2598="Planifié",AC2598="Annulé"),0,N(T2598)*N(U2598)))</f>
        <v/>
      </c>
      <c r="W2598" s="70">
        <f>IF($A2598="","",SUMIFS('Mouvements stock'!$H$5:$H$3004,'Mouvements stock'!$I$5:$I$3004,$A2598,'Mouvements stock'!$C$5:$C$3004,"Sortie")-SUMIFS('Mouvements stock'!$H$5:$H$3004,'Mouvements stock'!$I$5:$I$3004,$A2598,'Mouvements stock'!$C$5:$C$3004,"Retour"))</f>
        <v/>
      </c>
      <c r="X2598" s="66" t="n"/>
      <c r="Y2598" s="66" t="n"/>
      <c r="Z2598" s="7" t="n"/>
      <c r="AA2598" s="70">
        <f>IF($A2598="","",N(V2598)+N(W2598)+N(X2598)+N(Y2598))</f>
        <v/>
      </c>
      <c r="AB2598" s="70">
        <f>IF($A2598="","",N(S2598)*'Paramètres'!$AA$9*IFERROR(INDEX('Paramètres'!$O$5:$O$7,MATCH(G2598,'Paramètres'!$N$5:$N$7,0)),0))</f>
        <v/>
      </c>
      <c r="AC2598" s="7" t="n"/>
      <c r="AD2598" s="69">
        <f>IF(OR($A2598="",Q2598=""),"",(Q2598-B2598)*24)</f>
        <v/>
      </c>
      <c r="AE2598" s="69">
        <f>IF(OR(Q2598="",R2598=""),"",(R2598-Q2598)*24)</f>
        <v/>
      </c>
      <c r="AF2598" s="77">
        <f>IF(OR($A2598="",B2598=""),"",YEAR(B2598))</f>
        <v/>
      </c>
      <c r="AG2598" s="77">
        <f>IF(OR($A2598="",B2598=""),"",MONTH(B2598))</f>
        <v/>
      </c>
    </row>
    <row r="2599">
      <c r="A2599" s="7" t="n"/>
      <c r="B2599" s="75" t="n"/>
      <c r="C2599" s="7" t="n"/>
      <c r="D2599" s="7" t="n"/>
      <c r="E2599" s="9">
        <f>IF(D2599="","",IFERROR(INDEX('Équipements'!$B$5:$B$304,MATCH(D2599,'Équipements'!$A$5:$A$304,0)),"Code inconnu"))</f>
        <v/>
      </c>
      <c r="F2599" s="9">
        <f>IF(D2599="","",IFERROR(INDEX('Équipements'!$D$5:$D$304,MATCH(D2599,'Équipements'!$A$5:$A$304,0)),""))</f>
        <v/>
      </c>
      <c r="G2599" s="9">
        <f>IF(D2599="","",IFERROR(INDEX('Équipements'!$K$5:$K$304,MATCH(D2599,'Équipements'!$A$5:$A$304,0)),""))</f>
        <v/>
      </c>
      <c r="H2599" s="7" t="n"/>
      <c r="I2599" s="7" t="n"/>
      <c r="J2599" s="7" t="n"/>
      <c r="K2599" s="7" t="n"/>
      <c r="L2599" s="7" t="n"/>
      <c r="M2599" s="7" t="n"/>
      <c r="N2599" s="7" t="n"/>
      <c r="O2599" s="7" t="n"/>
      <c r="P2599" s="65" t="n"/>
      <c r="Q2599" s="75" t="n"/>
      <c r="R2599" s="75" t="n"/>
      <c r="S2599" s="76" t="n"/>
      <c r="T2599" s="76" t="n"/>
      <c r="U2599" s="70">
        <f>IF($A2599="","",IFERROR(INDEX('Techniciens'!$F$5:$F$44,MATCH(O2599,'Techniciens'!$B$5:$B$44,0)),'Paramètres'!$AA$10))</f>
        <v/>
      </c>
      <c r="V2599" s="70">
        <f>IF($A2599="","",IF(OR(AC2599="Demandé",AC2599="Planifié",AC2599="Annulé"),0,N(T2599)*N(U2599)))</f>
        <v/>
      </c>
      <c r="W2599" s="70">
        <f>IF($A2599="","",SUMIFS('Mouvements stock'!$H$5:$H$3004,'Mouvements stock'!$I$5:$I$3004,$A2599,'Mouvements stock'!$C$5:$C$3004,"Sortie")-SUMIFS('Mouvements stock'!$H$5:$H$3004,'Mouvements stock'!$I$5:$I$3004,$A2599,'Mouvements stock'!$C$5:$C$3004,"Retour"))</f>
        <v/>
      </c>
      <c r="X2599" s="66" t="n"/>
      <c r="Y2599" s="66" t="n"/>
      <c r="Z2599" s="7" t="n"/>
      <c r="AA2599" s="70">
        <f>IF($A2599="","",N(V2599)+N(W2599)+N(X2599)+N(Y2599))</f>
        <v/>
      </c>
      <c r="AB2599" s="70">
        <f>IF($A2599="","",N(S2599)*'Paramètres'!$AA$9*IFERROR(INDEX('Paramètres'!$O$5:$O$7,MATCH(G2599,'Paramètres'!$N$5:$N$7,0)),0))</f>
        <v/>
      </c>
      <c r="AC2599" s="7" t="n"/>
      <c r="AD2599" s="69">
        <f>IF(OR($A2599="",Q2599=""),"",(Q2599-B2599)*24)</f>
        <v/>
      </c>
      <c r="AE2599" s="69">
        <f>IF(OR(Q2599="",R2599=""),"",(R2599-Q2599)*24)</f>
        <v/>
      </c>
      <c r="AF2599" s="77">
        <f>IF(OR($A2599="",B2599=""),"",YEAR(B2599))</f>
        <v/>
      </c>
      <c r="AG2599" s="77">
        <f>IF(OR($A2599="",B2599=""),"",MONTH(B2599))</f>
        <v/>
      </c>
    </row>
    <row r="2600">
      <c r="A2600" s="7" t="n"/>
      <c r="B2600" s="75" t="n"/>
      <c r="C2600" s="7" t="n"/>
      <c r="D2600" s="7" t="n"/>
      <c r="E2600" s="9">
        <f>IF(D2600="","",IFERROR(INDEX('Équipements'!$B$5:$B$304,MATCH(D2600,'Équipements'!$A$5:$A$304,0)),"Code inconnu"))</f>
        <v/>
      </c>
      <c r="F2600" s="9">
        <f>IF(D2600="","",IFERROR(INDEX('Équipements'!$D$5:$D$304,MATCH(D2600,'Équipements'!$A$5:$A$304,0)),""))</f>
        <v/>
      </c>
      <c r="G2600" s="9">
        <f>IF(D2600="","",IFERROR(INDEX('Équipements'!$K$5:$K$304,MATCH(D2600,'Équipements'!$A$5:$A$304,0)),""))</f>
        <v/>
      </c>
      <c r="H2600" s="7" t="n"/>
      <c r="I2600" s="7" t="n"/>
      <c r="J2600" s="7" t="n"/>
      <c r="K2600" s="7" t="n"/>
      <c r="L2600" s="7" t="n"/>
      <c r="M2600" s="7" t="n"/>
      <c r="N2600" s="7" t="n"/>
      <c r="O2600" s="7" t="n"/>
      <c r="P2600" s="65" t="n"/>
      <c r="Q2600" s="75" t="n"/>
      <c r="R2600" s="75" t="n"/>
      <c r="S2600" s="76" t="n"/>
      <c r="T2600" s="76" t="n"/>
      <c r="U2600" s="70">
        <f>IF($A2600="","",IFERROR(INDEX('Techniciens'!$F$5:$F$44,MATCH(O2600,'Techniciens'!$B$5:$B$44,0)),'Paramètres'!$AA$10))</f>
        <v/>
      </c>
      <c r="V2600" s="70">
        <f>IF($A2600="","",IF(OR(AC2600="Demandé",AC2600="Planifié",AC2600="Annulé"),0,N(T2600)*N(U2600)))</f>
        <v/>
      </c>
      <c r="W2600" s="70">
        <f>IF($A2600="","",SUMIFS('Mouvements stock'!$H$5:$H$3004,'Mouvements stock'!$I$5:$I$3004,$A2600,'Mouvements stock'!$C$5:$C$3004,"Sortie")-SUMIFS('Mouvements stock'!$H$5:$H$3004,'Mouvements stock'!$I$5:$I$3004,$A2600,'Mouvements stock'!$C$5:$C$3004,"Retour"))</f>
        <v/>
      </c>
      <c r="X2600" s="66" t="n"/>
      <c r="Y2600" s="66" t="n"/>
      <c r="Z2600" s="7" t="n"/>
      <c r="AA2600" s="70">
        <f>IF($A2600="","",N(V2600)+N(W2600)+N(X2600)+N(Y2600))</f>
        <v/>
      </c>
      <c r="AB2600" s="70">
        <f>IF($A2600="","",N(S2600)*'Paramètres'!$AA$9*IFERROR(INDEX('Paramètres'!$O$5:$O$7,MATCH(G2600,'Paramètres'!$N$5:$N$7,0)),0))</f>
        <v/>
      </c>
      <c r="AC2600" s="7" t="n"/>
      <c r="AD2600" s="69">
        <f>IF(OR($A2600="",Q2600=""),"",(Q2600-B2600)*24)</f>
        <v/>
      </c>
      <c r="AE2600" s="69">
        <f>IF(OR(Q2600="",R2600=""),"",(R2600-Q2600)*24)</f>
        <v/>
      </c>
      <c r="AF2600" s="77">
        <f>IF(OR($A2600="",B2600=""),"",YEAR(B2600))</f>
        <v/>
      </c>
      <c r="AG2600" s="77">
        <f>IF(OR($A2600="",B2600=""),"",MONTH(B2600))</f>
        <v/>
      </c>
    </row>
    <row r="2601">
      <c r="A2601" s="7" t="n"/>
      <c r="B2601" s="75" t="n"/>
      <c r="C2601" s="7" t="n"/>
      <c r="D2601" s="7" t="n"/>
      <c r="E2601" s="9">
        <f>IF(D2601="","",IFERROR(INDEX('Équipements'!$B$5:$B$304,MATCH(D2601,'Équipements'!$A$5:$A$304,0)),"Code inconnu"))</f>
        <v/>
      </c>
      <c r="F2601" s="9">
        <f>IF(D2601="","",IFERROR(INDEX('Équipements'!$D$5:$D$304,MATCH(D2601,'Équipements'!$A$5:$A$304,0)),""))</f>
        <v/>
      </c>
      <c r="G2601" s="9">
        <f>IF(D2601="","",IFERROR(INDEX('Équipements'!$K$5:$K$304,MATCH(D2601,'Équipements'!$A$5:$A$304,0)),""))</f>
        <v/>
      </c>
      <c r="H2601" s="7" t="n"/>
      <c r="I2601" s="7" t="n"/>
      <c r="J2601" s="7" t="n"/>
      <c r="K2601" s="7" t="n"/>
      <c r="L2601" s="7" t="n"/>
      <c r="M2601" s="7" t="n"/>
      <c r="N2601" s="7" t="n"/>
      <c r="O2601" s="7" t="n"/>
      <c r="P2601" s="65" t="n"/>
      <c r="Q2601" s="75" t="n"/>
      <c r="R2601" s="75" t="n"/>
      <c r="S2601" s="76" t="n"/>
      <c r="T2601" s="76" t="n"/>
      <c r="U2601" s="70">
        <f>IF($A2601="","",IFERROR(INDEX('Techniciens'!$F$5:$F$44,MATCH(O2601,'Techniciens'!$B$5:$B$44,0)),'Paramètres'!$AA$10))</f>
        <v/>
      </c>
      <c r="V2601" s="70">
        <f>IF($A2601="","",IF(OR(AC2601="Demandé",AC2601="Planifié",AC2601="Annulé"),0,N(T2601)*N(U2601)))</f>
        <v/>
      </c>
      <c r="W2601" s="70">
        <f>IF($A2601="","",SUMIFS('Mouvements stock'!$H$5:$H$3004,'Mouvements stock'!$I$5:$I$3004,$A2601,'Mouvements stock'!$C$5:$C$3004,"Sortie")-SUMIFS('Mouvements stock'!$H$5:$H$3004,'Mouvements stock'!$I$5:$I$3004,$A2601,'Mouvements stock'!$C$5:$C$3004,"Retour"))</f>
        <v/>
      </c>
      <c r="X2601" s="66" t="n"/>
      <c r="Y2601" s="66" t="n"/>
      <c r="Z2601" s="7" t="n"/>
      <c r="AA2601" s="70">
        <f>IF($A2601="","",N(V2601)+N(W2601)+N(X2601)+N(Y2601))</f>
        <v/>
      </c>
      <c r="AB2601" s="70">
        <f>IF($A2601="","",N(S2601)*'Paramètres'!$AA$9*IFERROR(INDEX('Paramètres'!$O$5:$O$7,MATCH(G2601,'Paramètres'!$N$5:$N$7,0)),0))</f>
        <v/>
      </c>
      <c r="AC2601" s="7" t="n"/>
      <c r="AD2601" s="69">
        <f>IF(OR($A2601="",Q2601=""),"",(Q2601-B2601)*24)</f>
        <v/>
      </c>
      <c r="AE2601" s="69">
        <f>IF(OR(Q2601="",R2601=""),"",(R2601-Q2601)*24)</f>
        <v/>
      </c>
      <c r="AF2601" s="77">
        <f>IF(OR($A2601="",B2601=""),"",YEAR(B2601))</f>
        <v/>
      </c>
      <c r="AG2601" s="77">
        <f>IF(OR($A2601="",B2601=""),"",MONTH(B2601))</f>
        <v/>
      </c>
    </row>
    <row r="2602">
      <c r="A2602" s="7" t="n"/>
      <c r="B2602" s="75" t="n"/>
      <c r="C2602" s="7" t="n"/>
      <c r="D2602" s="7" t="n"/>
      <c r="E2602" s="9">
        <f>IF(D2602="","",IFERROR(INDEX('Équipements'!$B$5:$B$304,MATCH(D2602,'Équipements'!$A$5:$A$304,0)),"Code inconnu"))</f>
        <v/>
      </c>
      <c r="F2602" s="9">
        <f>IF(D2602="","",IFERROR(INDEX('Équipements'!$D$5:$D$304,MATCH(D2602,'Équipements'!$A$5:$A$304,0)),""))</f>
        <v/>
      </c>
      <c r="G2602" s="9">
        <f>IF(D2602="","",IFERROR(INDEX('Équipements'!$K$5:$K$304,MATCH(D2602,'Équipements'!$A$5:$A$304,0)),""))</f>
        <v/>
      </c>
      <c r="H2602" s="7" t="n"/>
      <c r="I2602" s="7" t="n"/>
      <c r="J2602" s="7" t="n"/>
      <c r="K2602" s="7" t="n"/>
      <c r="L2602" s="7" t="n"/>
      <c r="M2602" s="7" t="n"/>
      <c r="N2602" s="7" t="n"/>
      <c r="O2602" s="7" t="n"/>
      <c r="P2602" s="65" t="n"/>
      <c r="Q2602" s="75" t="n"/>
      <c r="R2602" s="75" t="n"/>
      <c r="S2602" s="76" t="n"/>
      <c r="T2602" s="76" t="n"/>
      <c r="U2602" s="70">
        <f>IF($A2602="","",IFERROR(INDEX('Techniciens'!$F$5:$F$44,MATCH(O2602,'Techniciens'!$B$5:$B$44,0)),'Paramètres'!$AA$10))</f>
        <v/>
      </c>
      <c r="V2602" s="70">
        <f>IF($A2602="","",IF(OR(AC2602="Demandé",AC2602="Planifié",AC2602="Annulé"),0,N(T2602)*N(U2602)))</f>
        <v/>
      </c>
      <c r="W2602" s="70">
        <f>IF($A2602="","",SUMIFS('Mouvements stock'!$H$5:$H$3004,'Mouvements stock'!$I$5:$I$3004,$A2602,'Mouvements stock'!$C$5:$C$3004,"Sortie")-SUMIFS('Mouvements stock'!$H$5:$H$3004,'Mouvements stock'!$I$5:$I$3004,$A2602,'Mouvements stock'!$C$5:$C$3004,"Retour"))</f>
        <v/>
      </c>
      <c r="X2602" s="66" t="n"/>
      <c r="Y2602" s="66" t="n"/>
      <c r="Z2602" s="7" t="n"/>
      <c r="AA2602" s="70">
        <f>IF($A2602="","",N(V2602)+N(W2602)+N(X2602)+N(Y2602))</f>
        <v/>
      </c>
      <c r="AB2602" s="70">
        <f>IF($A2602="","",N(S2602)*'Paramètres'!$AA$9*IFERROR(INDEX('Paramètres'!$O$5:$O$7,MATCH(G2602,'Paramètres'!$N$5:$N$7,0)),0))</f>
        <v/>
      </c>
      <c r="AC2602" s="7" t="n"/>
      <c r="AD2602" s="69">
        <f>IF(OR($A2602="",Q2602=""),"",(Q2602-B2602)*24)</f>
        <v/>
      </c>
      <c r="AE2602" s="69">
        <f>IF(OR(Q2602="",R2602=""),"",(R2602-Q2602)*24)</f>
        <v/>
      </c>
      <c r="AF2602" s="77">
        <f>IF(OR($A2602="",B2602=""),"",YEAR(B2602))</f>
        <v/>
      </c>
      <c r="AG2602" s="77">
        <f>IF(OR($A2602="",B2602=""),"",MONTH(B2602))</f>
        <v/>
      </c>
    </row>
    <row r="2603">
      <c r="A2603" s="7" t="n"/>
      <c r="B2603" s="75" t="n"/>
      <c r="C2603" s="7" t="n"/>
      <c r="D2603" s="7" t="n"/>
      <c r="E2603" s="9">
        <f>IF(D2603="","",IFERROR(INDEX('Équipements'!$B$5:$B$304,MATCH(D2603,'Équipements'!$A$5:$A$304,0)),"Code inconnu"))</f>
        <v/>
      </c>
      <c r="F2603" s="9">
        <f>IF(D2603="","",IFERROR(INDEX('Équipements'!$D$5:$D$304,MATCH(D2603,'Équipements'!$A$5:$A$304,0)),""))</f>
        <v/>
      </c>
      <c r="G2603" s="9">
        <f>IF(D2603="","",IFERROR(INDEX('Équipements'!$K$5:$K$304,MATCH(D2603,'Équipements'!$A$5:$A$304,0)),""))</f>
        <v/>
      </c>
      <c r="H2603" s="7" t="n"/>
      <c r="I2603" s="7" t="n"/>
      <c r="J2603" s="7" t="n"/>
      <c r="K2603" s="7" t="n"/>
      <c r="L2603" s="7" t="n"/>
      <c r="M2603" s="7" t="n"/>
      <c r="N2603" s="7" t="n"/>
      <c r="O2603" s="7" t="n"/>
      <c r="P2603" s="65" t="n"/>
      <c r="Q2603" s="75" t="n"/>
      <c r="R2603" s="75" t="n"/>
      <c r="S2603" s="76" t="n"/>
      <c r="T2603" s="76" t="n"/>
      <c r="U2603" s="70">
        <f>IF($A2603="","",IFERROR(INDEX('Techniciens'!$F$5:$F$44,MATCH(O2603,'Techniciens'!$B$5:$B$44,0)),'Paramètres'!$AA$10))</f>
        <v/>
      </c>
      <c r="V2603" s="70">
        <f>IF($A2603="","",IF(OR(AC2603="Demandé",AC2603="Planifié",AC2603="Annulé"),0,N(T2603)*N(U2603)))</f>
        <v/>
      </c>
      <c r="W2603" s="70">
        <f>IF($A2603="","",SUMIFS('Mouvements stock'!$H$5:$H$3004,'Mouvements stock'!$I$5:$I$3004,$A2603,'Mouvements stock'!$C$5:$C$3004,"Sortie")-SUMIFS('Mouvements stock'!$H$5:$H$3004,'Mouvements stock'!$I$5:$I$3004,$A2603,'Mouvements stock'!$C$5:$C$3004,"Retour"))</f>
        <v/>
      </c>
      <c r="X2603" s="66" t="n"/>
      <c r="Y2603" s="66" t="n"/>
      <c r="Z2603" s="7" t="n"/>
      <c r="AA2603" s="70">
        <f>IF($A2603="","",N(V2603)+N(W2603)+N(X2603)+N(Y2603))</f>
        <v/>
      </c>
      <c r="AB2603" s="70">
        <f>IF($A2603="","",N(S2603)*'Paramètres'!$AA$9*IFERROR(INDEX('Paramètres'!$O$5:$O$7,MATCH(G2603,'Paramètres'!$N$5:$N$7,0)),0))</f>
        <v/>
      </c>
      <c r="AC2603" s="7" t="n"/>
      <c r="AD2603" s="69">
        <f>IF(OR($A2603="",Q2603=""),"",(Q2603-B2603)*24)</f>
        <v/>
      </c>
      <c r="AE2603" s="69">
        <f>IF(OR(Q2603="",R2603=""),"",(R2603-Q2603)*24)</f>
        <v/>
      </c>
      <c r="AF2603" s="77">
        <f>IF(OR($A2603="",B2603=""),"",YEAR(B2603))</f>
        <v/>
      </c>
      <c r="AG2603" s="77">
        <f>IF(OR($A2603="",B2603=""),"",MONTH(B2603))</f>
        <v/>
      </c>
    </row>
    <row r="2604">
      <c r="A2604" s="7" t="n"/>
      <c r="B2604" s="75" t="n"/>
      <c r="C2604" s="7" t="n"/>
      <c r="D2604" s="7" t="n"/>
      <c r="E2604" s="9">
        <f>IF(D2604="","",IFERROR(INDEX('Équipements'!$B$5:$B$304,MATCH(D2604,'Équipements'!$A$5:$A$304,0)),"Code inconnu"))</f>
        <v/>
      </c>
      <c r="F2604" s="9">
        <f>IF(D2604="","",IFERROR(INDEX('Équipements'!$D$5:$D$304,MATCH(D2604,'Équipements'!$A$5:$A$304,0)),""))</f>
        <v/>
      </c>
      <c r="G2604" s="9">
        <f>IF(D2604="","",IFERROR(INDEX('Équipements'!$K$5:$K$304,MATCH(D2604,'Équipements'!$A$5:$A$304,0)),""))</f>
        <v/>
      </c>
      <c r="H2604" s="7" t="n"/>
      <c r="I2604" s="7" t="n"/>
      <c r="J2604" s="7" t="n"/>
      <c r="K2604" s="7" t="n"/>
      <c r="L2604" s="7" t="n"/>
      <c r="M2604" s="7" t="n"/>
      <c r="N2604" s="7" t="n"/>
      <c r="O2604" s="7" t="n"/>
      <c r="P2604" s="65" t="n"/>
      <c r="Q2604" s="75" t="n"/>
      <c r="R2604" s="75" t="n"/>
      <c r="S2604" s="76" t="n"/>
      <c r="T2604" s="76" t="n"/>
      <c r="U2604" s="70">
        <f>IF($A2604="","",IFERROR(INDEX('Techniciens'!$F$5:$F$44,MATCH(O2604,'Techniciens'!$B$5:$B$44,0)),'Paramètres'!$AA$10))</f>
        <v/>
      </c>
      <c r="V2604" s="70">
        <f>IF($A2604="","",IF(OR(AC2604="Demandé",AC2604="Planifié",AC2604="Annulé"),0,N(T2604)*N(U2604)))</f>
        <v/>
      </c>
      <c r="W2604" s="70">
        <f>IF($A2604="","",SUMIFS('Mouvements stock'!$H$5:$H$3004,'Mouvements stock'!$I$5:$I$3004,$A2604,'Mouvements stock'!$C$5:$C$3004,"Sortie")-SUMIFS('Mouvements stock'!$H$5:$H$3004,'Mouvements stock'!$I$5:$I$3004,$A2604,'Mouvements stock'!$C$5:$C$3004,"Retour"))</f>
        <v/>
      </c>
      <c r="X2604" s="66" t="n"/>
      <c r="Y2604" s="66" t="n"/>
      <c r="Z2604" s="7" t="n"/>
      <c r="AA2604" s="70">
        <f>IF($A2604="","",N(V2604)+N(W2604)+N(X2604)+N(Y2604))</f>
        <v/>
      </c>
      <c r="AB2604" s="70">
        <f>IF($A2604="","",N(S2604)*'Paramètres'!$AA$9*IFERROR(INDEX('Paramètres'!$O$5:$O$7,MATCH(G2604,'Paramètres'!$N$5:$N$7,0)),0))</f>
        <v/>
      </c>
      <c r="AC2604" s="7" t="n"/>
      <c r="AD2604" s="69">
        <f>IF(OR($A2604="",Q2604=""),"",(Q2604-B2604)*24)</f>
        <v/>
      </c>
      <c r="AE2604" s="69">
        <f>IF(OR(Q2604="",R2604=""),"",(R2604-Q2604)*24)</f>
        <v/>
      </c>
      <c r="AF2604" s="77">
        <f>IF(OR($A2604="",B2604=""),"",YEAR(B2604))</f>
        <v/>
      </c>
      <c r="AG2604" s="77">
        <f>IF(OR($A2604="",B2604=""),"",MONTH(B2604))</f>
        <v/>
      </c>
    </row>
    <row r="2605">
      <c r="A2605" s="7" t="n"/>
      <c r="B2605" s="75" t="n"/>
      <c r="C2605" s="7" t="n"/>
      <c r="D2605" s="7" t="n"/>
      <c r="E2605" s="9">
        <f>IF(D2605="","",IFERROR(INDEX('Équipements'!$B$5:$B$304,MATCH(D2605,'Équipements'!$A$5:$A$304,0)),"Code inconnu"))</f>
        <v/>
      </c>
      <c r="F2605" s="9">
        <f>IF(D2605="","",IFERROR(INDEX('Équipements'!$D$5:$D$304,MATCH(D2605,'Équipements'!$A$5:$A$304,0)),""))</f>
        <v/>
      </c>
      <c r="G2605" s="9">
        <f>IF(D2605="","",IFERROR(INDEX('Équipements'!$K$5:$K$304,MATCH(D2605,'Équipements'!$A$5:$A$304,0)),""))</f>
        <v/>
      </c>
      <c r="H2605" s="7" t="n"/>
      <c r="I2605" s="7" t="n"/>
      <c r="J2605" s="7" t="n"/>
      <c r="K2605" s="7" t="n"/>
      <c r="L2605" s="7" t="n"/>
      <c r="M2605" s="7" t="n"/>
      <c r="N2605" s="7" t="n"/>
      <c r="O2605" s="7" t="n"/>
      <c r="P2605" s="65" t="n"/>
      <c r="Q2605" s="75" t="n"/>
      <c r="R2605" s="75" t="n"/>
      <c r="S2605" s="76" t="n"/>
      <c r="T2605" s="76" t="n"/>
      <c r="U2605" s="70">
        <f>IF($A2605="","",IFERROR(INDEX('Techniciens'!$F$5:$F$44,MATCH(O2605,'Techniciens'!$B$5:$B$44,0)),'Paramètres'!$AA$10))</f>
        <v/>
      </c>
      <c r="V2605" s="70">
        <f>IF($A2605="","",IF(OR(AC2605="Demandé",AC2605="Planifié",AC2605="Annulé"),0,N(T2605)*N(U2605)))</f>
        <v/>
      </c>
      <c r="W2605" s="70">
        <f>IF($A2605="","",SUMIFS('Mouvements stock'!$H$5:$H$3004,'Mouvements stock'!$I$5:$I$3004,$A2605,'Mouvements stock'!$C$5:$C$3004,"Sortie")-SUMIFS('Mouvements stock'!$H$5:$H$3004,'Mouvements stock'!$I$5:$I$3004,$A2605,'Mouvements stock'!$C$5:$C$3004,"Retour"))</f>
        <v/>
      </c>
      <c r="X2605" s="66" t="n"/>
      <c r="Y2605" s="66" t="n"/>
      <c r="Z2605" s="7" t="n"/>
      <c r="AA2605" s="70">
        <f>IF($A2605="","",N(V2605)+N(W2605)+N(X2605)+N(Y2605))</f>
        <v/>
      </c>
      <c r="AB2605" s="70">
        <f>IF($A2605="","",N(S2605)*'Paramètres'!$AA$9*IFERROR(INDEX('Paramètres'!$O$5:$O$7,MATCH(G2605,'Paramètres'!$N$5:$N$7,0)),0))</f>
        <v/>
      </c>
      <c r="AC2605" s="7" t="n"/>
      <c r="AD2605" s="69">
        <f>IF(OR($A2605="",Q2605=""),"",(Q2605-B2605)*24)</f>
        <v/>
      </c>
      <c r="AE2605" s="69">
        <f>IF(OR(Q2605="",R2605=""),"",(R2605-Q2605)*24)</f>
        <v/>
      </c>
      <c r="AF2605" s="77">
        <f>IF(OR($A2605="",B2605=""),"",YEAR(B2605))</f>
        <v/>
      </c>
      <c r="AG2605" s="77">
        <f>IF(OR($A2605="",B2605=""),"",MONTH(B2605))</f>
        <v/>
      </c>
    </row>
    <row r="2606">
      <c r="A2606" s="7" t="n"/>
      <c r="B2606" s="75" t="n"/>
      <c r="C2606" s="7" t="n"/>
      <c r="D2606" s="7" t="n"/>
      <c r="E2606" s="9">
        <f>IF(D2606="","",IFERROR(INDEX('Équipements'!$B$5:$B$304,MATCH(D2606,'Équipements'!$A$5:$A$304,0)),"Code inconnu"))</f>
        <v/>
      </c>
      <c r="F2606" s="9">
        <f>IF(D2606="","",IFERROR(INDEX('Équipements'!$D$5:$D$304,MATCH(D2606,'Équipements'!$A$5:$A$304,0)),""))</f>
        <v/>
      </c>
      <c r="G2606" s="9">
        <f>IF(D2606="","",IFERROR(INDEX('Équipements'!$K$5:$K$304,MATCH(D2606,'Équipements'!$A$5:$A$304,0)),""))</f>
        <v/>
      </c>
      <c r="H2606" s="7" t="n"/>
      <c r="I2606" s="7" t="n"/>
      <c r="J2606" s="7" t="n"/>
      <c r="K2606" s="7" t="n"/>
      <c r="L2606" s="7" t="n"/>
      <c r="M2606" s="7" t="n"/>
      <c r="N2606" s="7" t="n"/>
      <c r="O2606" s="7" t="n"/>
      <c r="P2606" s="65" t="n"/>
      <c r="Q2606" s="75" t="n"/>
      <c r="R2606" s="75" t="n"/>
      <c r="S2606" s="76" t="n"/>
      <c r="T2606" s="76" t="n"/>
      <c r="U2606" s="70">
        <f>IF($A2606="","",IFERROR(INDEX('Techniciens'!$F$5:$F$44,MATCH(O2606,'Techniciens'!$B$5:$B$44,0)),'Paramètres'!$AA$10))</f>
        <v/>
      </c>
      <c r="V2606" s="70">
        <f>IF($A2606="","",IF(OR(AC2606="Demandé",AC2606="Planifié",AC2606="Annulé"),0,N(T2606)*N(U2606)))</f>
        <v/>
      </c>
      <c r="W2606" s="70">
        <f>IF($A2606="","",SUMIFS('Mouvements stock'!$H$5:$H$3004,'Mouvements stock'!$I$5:$I$3004,$A2606,'Mouvements stock'!$C$5:$C$3004,"Sortie")-SUMIFS('Mouvements stock'!$H$5:$H$3004,'Mouvements stock'!$I$5:$I$3004,$A2606,'Mouvements stock'!$C$5:$C$3004,"Retour"))</f>
        <v/>
      </c>
      <c r="X2606" s="66" t="n"/>
      <c r="Y2606" s="66" t="n"/>
      <c r="Z2606" s="7" t="n"/>
      <c r="AA2606" s="70">
        <f>IF($A2606="","",N(V2606)+N(W2606)+N(X2606)+N(Y2606))</f>
        <v/>
      </c>
      <c r="AB2606" s="70">
        <f>IF($A2606="","",N(S2606)*'Paramètres'!$AA$9*IFERROR(INDEX('Paramètres'!$O$5:$O$7,MATCH(G2606,'Paramètres'!$N$5:$N$7,0)),0))</f>
        <v/>
      </c>
      <c r="AC2606" s="7" t="n"/>
      <c r="AD2606" s="69">
        <f>IF(OR($A2606="",Q2606=""),"",(Q2606-B2606)*24)</f>
        <v/>
      </c>
      <c r="AE2606" s="69">
        <f>IF(OR(Q2606="",R2606=""),"",(R2606-Q2606)*24)</f>
        <v/>
      </c>
      <c r="AF2606" s="77">
        <f>IF(OR($A2606="",B2606=""),"",YEAR(B2606))</f>
        <v/>
      </c>
      <c r="AG2606" s="77">
        <f>IF(OR($A2606="",B2606=""),"",MONTH(B2606))</f>
        <v/>
      </c>
    </row>
    <row r="2607">
      <c r="A2607" s="7" t="n"/>
      <c r="B2607" s="75" t="n"/>
      <c r="C2607" s="7" t="n"/>
      <c r="D2607" s="7" t="n"/>
      <c r="E2607" s="9">
        <f>IF(D2607="","",IFERROR(INDEX('Équipements'!$B$5:$B$304,MATCH(D2607,'Équipements'!$A$5:$A$304,0)),"Code inconnu"))</f>
        <v/>
      </c>
      <c r="F2607" s="9">
        <f>IF(D2607="","",IFERROR(INDEX('Équipements'!$D$5:$D$304,MATCH(D2607,'Équipements'!$A$5:$A$304,0)),""))</f>
        <v/>
      </c>
      <c r="G2607" s="9">
        <f>IF(D2607="","",IFERROR(INDEX('Équipements'!$K$5:$K$304,MATCH(D2607,'Équipements'!$A$5:$A$304,0)),""))</f>
        <v/>
      </c>
      <c r="H2607" s="7" t="n"/>
      <c r="I2607" s="7" t="n"/>
      <c r="J2607" s="7" t="n"/>
      <c r="K2607" s="7" t="n"/>
      <c r="L2607" s="7" t="n"/>
      <c r="M2607" s="7" t="n"/>
      <c r="N2607" s="7" t="n"/>
      <c r="O2607" s="7" t="n"/>
      <c r="P2607" s="65" t="n"/>
      <c r="Q2607" s="75" t="n"/>
      <c r="R2607" s="75" t="n"/>
      <c r="S2607" s="76" t="n"/>
      <c r="T2607" s="76" t="n"/>
      <c r="U2607" s="70">
        <f>IF($A2607="","",IFERROR(INDEX('Techniciens'!$F$5:$F$44,MATCH(O2607,'Techniciens'!$B$5:$B$44,0)),'Paramètres'!$AA$10))</f>
        <v/>
      </c>
      <c r="V2607" s="70">
        <f>IF($A2607="","",IF(OR(AC2607="Demandé",AC2607="Planifié",AC2607="Annulé"),0,N(T2607)*N(U2607)))</f>
        <v/>
      </c>
      <c r="W2607" s="70">
        <f>IF($A2607="","",SUMIFS('Mouvements stock'!$H$5:$H$3004,'Mouvements stock'!$I$5:$I$3004,$A2607,'Mouvements stock'!$C$5:$C$3004,"Sortie")-SUMIFS('Mouvements stock'!$H$5:$H$3004,'Mouvements stock'!$I$5:$I$3004,$A2607,'Mouvements stock'!$C$5:$C$3004,"Retour"))</f>
        <v/>
      </c>
      <c r="X2607" s="66" t="n"/>
      <c r="Y2607" s="66" t="n"/>
      <c r="Z2607" s="7" t="n"/>
      <c r="AA2607" s="70">
        <f>IF($A2607="","",N(V2607)+N(W2607)+N(X2607)+N(Y2607))</f>
        <v/>
      </c>
      <c r="AB2607" s="70">
        <f>IF($A2607="","",N(S2607)*'Paramètres'!$AA$9*IFERROR(INDEX('Paramètres'!$O$5:$O$7,MATCH(G2607,'Paramètres'!$N$5:$N$7,0)),0))</f>
        <v/>
      </c>
      <c r="AC2607" s="7" t="n"/>
      <c r="AD2607" s="69">
        <f>IF(OR($A2607="",Q2607=""),"",(Q2607-B2607)*24)</f>
        <v/>
      </c>
      <c r="AE2607" s="69">
        <f>IF(OR(Q2607="",R2607=""),"",(R2607-Q2607)*24)</f>
        <v/>
      </c>
      <c r="AF2607" s="77">
        <f>IF(OR($A2607="",B2607=""),"",YEAR(B2607))</f>
        <v/>
      </c>
      <c r="AG2607" s="77">
        <f>IF(OR($A2607="",B2607=""),"",MONTH(B2607))</f>
        <v/>
      </c>
    </row>
    <row r="2608">
      <c r="A2608" s="7" t="n"/>
      <c r="B2608" s="75" t="n"/>
      <c r="C2608" s="7" t="n"/>
      <c r="D2608" s="7" t="n"/>
      <c r="E2608" s="9">
        <f>IF(D2608="","",IFERROR(INDEX('Équipements'!$B$5:$B$304,MATCH(D2608,'Équipements'!$A$5:$A$304,0)),"Code inconnu"))</f>
        <v/>
      </c>
      <c r="F2608" s="9">
        <f>IF(D2608="","",IFERROR(INDEX('Équipements'!$D$5:$D$304,MATCH(D2608,'Équipements'!$A$5:$A$304,0)),""))</f>
        <v/>
      </c>
      <c r="G2608" s="9">
        <f>IF(D2608="","",IFERROR(INDEX('Équipements'!$K$5:$K$304,MATCH(D2608,'Équipements'!$A$5:$A$304,0)),""))</f>
        <v/>
      </c>
      <c r="H2608" s="7" t="n"/>
      <c r="I2608" s="7" t="n"/>
      <c r="J2608" s="7" t="n"/>
      <c r="K2608" s="7" t="n"/>
      <c r="L2608" s="7" t="n"/>
      <c r="M2608" s="7" t="n"/>
      <c r="N2608" s="7" t="n"/>
      <c r="O2608" s="7" t="n"/>
      <c r="P2608" s="65" t="n"/>
      <c r="Q2608" s="75" t="n"/>
      <c r="R2608" s="75" t="n"/>
      <c r="S2608" s="76" t="n"/>
      <c r="T2608" s="76" t="n"/>
      <c r="U2608" s="70">
        <f>IF($A2608="","",IFERROR(INDEX('Techniciens'!$F$5:$F$44,MATCH(O2608,'Techniciens'!$B$5:$B$44,0)),'Paramètres'!$AA$10))</f>
        <v/>
      </c>
      <c r="V2608" s="70">
        <f>IF($A2608="","",IF(OR(AC2608="Demandé",AC2608="Planifié",AC2608="Annulé"),0,N(T2608)*N(U2608)))</f>
        <v/>
      </c>
      <c r="W2608" s="70">
        <f>IF($A2608="","",SUMIFS('Mouvements stock'!$H$5:$H$3004,'Mouvements stock'!$I$5:$I$3004,$A2608,'Mouvements stock'!$C$5:$C$3004,"Sortie")-SUMIFS('Mouvements stock'!$H$5:$H$3004,'Mouvements stock'!$I$5:$I$3004,$A2608,'Mouvements stock'!$C$5:$C$3004,"Retour"))</f>
        <v/>
      </c>
      <c r="X2608" s="66" t="n"/>
      <c r="Y2608" s="66" t="n"/>
      <c r="Z2608" s="7" t="n"/>
      <c r="AA2608" s="70">
        <f>IF($A2608="","",N(V2608)+N(W2608)+N(X2608)+N(Y2608))</f>
        <v/>
      </c>
      <c r="AB2608" s="70">
        <f>IF($A2608="","",N(S2608)*'Paramètres'!$AA$9*IFERROR(INDEX('Paramètres'!$O$5:$O$7,MATCH(G2608,'Paramètres'!$N$5:$N$7,0)),0))</f>
        <v/>
      </c>
      <c r="AC2608" s="7" t="n"/>
      <c r="AD2608" s="69">
        <f>IF(OR($A2608="",Q2608=""),"",(Q2608-B2608)*24)</f>
        <v/>
      </c>
      <c r="AE2608" s="69">
        <f>IF(OR(Q2608="",R2608=""),"",(R2608-Q2608)*24)</f>
        <v/>
      </c>
      <c r="AF2608" s="77">
        <f>IF(OR($A2608="",B2608=""),"",YEAR(B2608))</f>
        <v/>
      </c>
      <c r="AG2608" s="77">
        <f>IF(OR($A2608="",B2608=""),"",MONTH(B2608))</f>
        <v/>
      </c>
    </row>
    <row r="2609">
      <c r="A2609" s="7" t="n"/>
      <c r="B2609" s="75" t="n"/>
      <c r="C2609" s="7" t="n"/>
      <c r="D2609" s="7" t="n"/>
      <c r="E2609" s="9">
        <f>IF(D2609="","",IFERROR(INDEX('Équipements'!$B$5:$B$304,MATCH(D2609,'Équipements'!$A$5:$A$304,0)),"Code inconnu"))</f>
        <v/>
      </c>
      <c r="F2609" s="9">
        <f>IF(D2609="","",IFERROR(INDEX('Équipements'!$D$5:$D$304,MATCH(D2609,'Équipements'!$A$5:$A$304,0)),""))</f>
        <v/>
      </c>
      <c r="G2609" s="9">
        <f>IF(D2609="","",IFERROR(INDEX('Équipements'!$K$5:$K$304,MATCH(D2609,'Équipements'!$A$5:$A$304,0)),""))</f>
        <v/>
      </c>
      <c r="H2609" s="7" t="n"/>
      <c r="I2609" s="7" t="n"/>
      <c r="J2609" s="7" t="n"/>
      <c r="K2609" s="7" t="n"/>
      <c r="L2609" s="7" t="n"/>
      <c r="M2609" s="7" t="n"/>
      <c r="N2609" s="7" t="n"/>
      <c r="O2609" s="7" t="n"/>
      <c r="P2609" s="65" t="n"/>
      <c r="Q2609" s="75" t="n"/>
      <c r="R2609" s="75" t="n"/>
      <c r="S2609" s="76" t="n"/>
      <c r="T2609" s="76" t="n"/>
      <c r="U2609" s="70">
        <f>IF($A2609="","",IFERROR(INDEX('Techniciens'!$F$5:$F$44,MATCH(O2609,'Techniciens'!$B$5:$B$44,0)),'Paramètres'!$AA$10))</f>
        <v/>
      </c>
      <c r="V2609" s="70">
        <f>IF($A2609="","",IF(OR(AC2609="Demandé",AC2609="Planifié",AC2609="Annulé"),0,N(T2609)*N(U2609)))</f>
        <v/>
      </c>
      <c r="W2609" s="70">
        <f>IF($A2609="","",SUMIFS('Mouvements stock'!$H$5:$H$3004,'Mouvements stock'!$I$5:$I$3004,$A2609,'Mouvements stock'!$C$5:$C$3004,"Sortie")-SUMIFS('Mouvements stock'!$H$5:$H$3004,'Mouvements stock'!$I$5:$I$3004,$A2609,'Mouvements stock'!$C$5:$C$3004,"Retour"))</f>
        <v/>
      </c>
      <c r="X2609" s="66" t="n"/>
      <c r="Y2609" s="66" t="n"/>
      <c r="Z2609" s="7" t="n"/>
      <c r="AA2609" s="70">
        <f>IF($A2609="","",N(V2609)+N(W2609)+N(X2609)+N(Y2609))</f>
        <v/>
      </c>
      <c r="AB2609" s="70">
        <f>IF($A2609="","",N(S2609)*'Paramètres'!$AA$9*IFERROR(INDEX('Paramètres'!$O$5:$O$7,MATCH(G2609,'Paramètres'!$N$5:$N$7,0)),0))</f>
        <v/>
      </c>
      <c r="AC2609" s="7" t="n"/>
      <c r="AD2609" s="69">
        <f>IF(OR($A2609="",Q2609=""),"",(Q2609-B2609)*24)</f>
        <v/>
      </c>
      <c r="AE2609" s="69">
        <f>IF(OR(Q2609="",R2609=""),"",(R2609-Q2609)*24)</f>
        <v/>
      </c>
      <c r="AF2609" s="77">
        <f>IF(OR($A2609="",B2609=""),"",YEAR(B2609))</f>
        <v/>
      </c>
      <c r="AG2609" s="77">
        <f>IF(OR($A2609="",B2609=""),"",MONTH(B2609))</f>
        <v/>
      </c>
    </row>
    <row r="2610">
      <c r="A2610" s="7" t="n"/>
      <c r="B2610" s="75" t="n"/>
      <c r="C2610" s="7" t="n"/>
      <c r="D2610" s="7" t="n"/>
      <c r="E2610" s="9">
        <f>IF(D2610="","",IFERROR(INDEX('Équipements'!$B$5:$B$304,MATCH(D2610,'Équipements'!$A$5:$A$304,0)),"Code inconnu"))</f>
        <v/>
      </c>
      <c r="F2610" s="9">
        <f>IF(D2610="","",IFERROR(INDEX('Équipements'!$D$5:$D$304,MATCH(D2610,'Équipements'!$A$5:$A$304,0)),""))</f>
        <v/>
      </c>
      <c r="G2610" s="9">
        <f>IF(D2610="","",IFERROR(INDEX('Équipements'!$K$5:$K$304,MATCH(D2610,'Équipements'!$A$5:$A$304,0)),""))</f>
        <v/>
      </c>
      <c r="H2610" s="7" t="n"/>
      <c r="I2610" s="7" t="n"/>
      <c r="J2610" s="7" t="n"/>
      <c r="K2610" s="7" t="n"/>
      <c r="L2610" s="7" t="n"/>
      <c r="M2610" s="7" t="n"/>
      <c r="N2610" s="7" t="n"/>
      <c r="O2610" s="7" t="n"/>
      <c r="P2610" s="65" t="n"/>
      <c r="Q2610" s="75" t="n"/>
      <c r="R2610" s="75" t="n"/>
      <c r="S2610" s="76" t="n"/>
      <c r="T2610" s="76" t="n"/>
      <c r="U2610" s="70">
        <f>IF($A2610="","",IFERROR(INDEX('Techniciens'!$F$5:$F$44,MATCH(O2610,'Techniciens'!$B$5:$B$44,0)),'Paramètres'!$AA$10))</f>
        <v/>
      </c>
      <c r="V2610" s="70">
        <f>IF($A2610="","",IF(OR(AC2610="Demandé",AC2610="Planifié",AC2610="Annulé"),0,N(T2610)*N(U2610)))</f>
        <v/>
      </c>
      <c r="W2610" s="70">
        <f>IF($A2610="","",SUMIFS('Mouvements stock'!$H$5:$H$3004,'Mouvements stock'!$I$5:$I$3004,$A2610,'Mouvements stock'!$C$5:$C$3004,"Sortie")-SUMIFS('Mouvements stock'!$H$5:$H$3004,'Mouvements stock'!$I$5:$I$3004,$A2610,'Mouvements stock'!$C$5:$C$3004,"Retour"))</f>
        <v/>
      </c>
      <c r="X2610" s="66" t="n"/>
      <c r="Y2610" s="66" t="n"/>
      <c r="Z2610" s="7" t="n"/>
      <c r="AA2610" s="70">
        <f>IF($A2610="","",N(V2610)+N(W2610)+N(X2610)+N(Y2610))</f>
        <v/>
      </c>
      <c r="AB2610" s="70">
        <f>IF($A2610="","",N(S2610)*'Paramètres'!$AA$9*IFERROR(INDEX('Paramètres'!$O$5:$O$7,MATCH(G2610,'Paramètres'!$N$5:$N$7,0)),0))</f>
        <v/>
      </c>
      <c r="AC2610" s="7" t="n"/>
      <c r="AD2610" s="69">
        <f>IF(OR($A2610="",Q2610=""),"",(Q2610-B2610)*24)</f>
        <v/>
      </c>
      <c r="AE2610" s="69">
        <f>IF(OR(Q2610="",R2610=""),"",(R2610-Q2610)*24)</f>
        <v/>
      </c>
      <c r="AF2610" s="77">
        <f>IF(OR($A2610="",B2610=""),"",YEAR(B2610))</f>
        <v/>
      </c>
      <c r="AG2610" s="77">
        <f>IF(OR($A2610="",B2610=""),"",MONTH(B2610))</f>
        <v/>
      </c>
    </row>
    <row r="2611">
      <c r="A2611" s="7" t="n"/>
      <c r="B2611" s="75" t="n"/>
      <c r="C2611" s="7" t="n"/>
      <c r="D2611" s="7" t="n"/>
      <c r="E2611" s="9">
        <f>IF(D2611="","",IFERROR(INDEX('Équipements'!$B$5:$B$304,MATCH(D2611,'Équipements'!$A$5:$A$304,0)),"Code inconnu"))</f>
        <v/>
      </c>
      <c r="F2611" s="9">
        <f>IF(D2611="","",IFERROR(INDEX('Équipements'!$D$5:$D$304,MATCH(D2611,'Équipements'!$A$5:$A$304,0)),""))</f>
        <v/>
      </c>
      <c r="G2611" s="9">
        <f>IF(D2611="","",IFERROR(INDEX('Équipements'!$K$5:$K$304,MATCH(D2611,'Équipements'!$A$5:$A$304,0)),""))</f>
        <v/>
      </c>
      <c r="H2611" s="7" t="n"/>
      <c r="I2611" s="7" t="n"/>
      <c r="J2611" s="7" t="n"/>
      <c r="K2611" s="7" t="n"/>
      <c r="L2611" s="7" t="n"/>
      <c r="M2611" s="7" t="n"/>
      <c r="N2611" s="7" t="n"/>
      <c r="O2611" s="7" t="n"/>
      <c r="P2611" s="65" t="n"/>
      <c r="Q2611" s="75" t="n"/>
      <c r="R2611" s="75" t="n"/>
      <c r="S2611" s="76" t="n"/>
      <c r="T2611" s="76" t="n"/>
      <c r="U2611" s="70">
        <f>IF($A2611="","",IFERROR(INDEX('Techniciens'!$F$5:$F$44,MATCH(O2611,'Techniciens'!$B$5:$B$44,0)),'Paramètres'!$AA$10))</f>
        <v/>
      </c>
      <c r="V2611" s="70">
        <f>IF($A2611="","",IF(OR(AC2611="Demandé",AC2611="Planifié",AC2611="Annulé"),0,N(T2611)*N(U2611)))</f>
        <v/>
      </c>
      <c r="W2611" s="70">
        <f>IF($A2611="","",SUMIFS('Mouvements stock'!$H$5:$H$3004,'Mouvements stock'!$I$5:$I$3004,$A2611,'Mouvements stock'!$C$5:$C$3004,"Sortie")-SUMIFS('Mouvements stock'!$H$5:$H$3004,'Mouvements stock'!$I$5:$I$3004,$A2611,'Mouvements stock'!$C$5:$C$3004,"Retour"))</f>
        <v/>
      </c>
      <c r="X2611" s="66" t="n"/>
      <c r="Y2611" s="66" t="n"/>
      <c r="Z2611" s="7" t="n"/>
      <c r="AA2611" s="70">
        <f>IF($A2611="","",N(V2611)+N(W2611)+N(X2611)+N(Y2611))</f>
        <v/>
      </c>
      <c r="AB2611" s="70">
        <f>IF($A2611="","",N(S2611)*'Paramètres'!$AA$9*IFERROR(INDEX('Paramètres'!$O$5:$O$7,MATCH(G2611,'Paramètres'!$N$5:$N$7,0)),0))</f>
        <v/>
      </c>
      <c r="AC2611" s="7" t="n"/>
      <c r="AD2611" s="69">
        <f>IF(OR($A2611="",Q2611=""),"",(Q2611-B2611)*24)</f>
        <v/>
      </c>
      <c r="AE2611" s="69">
        <f>IF(OR(Q2611="",R2611=""),"",(R2611-Q2611)*24)</f>
        <v/>
      </c>
      <c r="AF2611" s="77">
        <f>IF(OR($A2611="",B2611=""),"",YEAR(B2611))</f>
        <v/>
      </c>
      <c r="AG2611" s="77">
        <f>IF(OR($A2611="",B2611=""),"",MONTH(B2611))</f>
        <v/>
      </c>
    </row>
    <row r="2612">
      <c r="A2612" s="7" t="n"/>
      <c r="B2612" s="75" t="n"/>
      <c r="C2612" s="7" t="n"/>
      <c r="D2612" s="7" t="n"/>
      <c r="E2612" s="9">
        <f>IF(D2612="","",IFERROR(INDEX('Équipements'!$B$5:$B$304,MATCH(D2612,'Équipements'!$A$5:$A$304,0)),"Code inconnu"))</f>
        <v/>
      </c>
      <c r="F2612" s="9">
        <f>IF(D2612="","",IFERROR(INDEX('Équipements'!$D$5:$D$304,MATCH(D2612,'Équipements'!$A$5:$A$304,0)),""))</f>
        <v/>
      </c>
      <c r="G2612" s="9">
        <f>IF(D2612="","",IFERROR(INDEX('Équipements'!$K$5:$K$304,MATCH(D2612,'Équipements'!$A$5:$A$304,0)),""))</f>
        <v/>
      </c>
      <c r="H2612" s="7" t="n"/>
      <c r="I2612" s="7" t="n"/>
      <c r="J2612" s="7" t="n"/>
      <c r="K2612" s="7" t="n"/>
      <c r="L2612" s="7" t="n"/>
      <c r="M2612" s="7" t="n"/>
      <c r="N2612" s="7" t="n"/>
      <c r="O2612" s="7" t="n"/>
      <c r="P2612" s="65" t="n"/>
      <c r="Q2612" s="75" t="n"/>
      <c r="R2612" s="75" t="n"/>
      <c r="S2612" s="76" t="n"/>
      <c r="T2612" s="76" t="n"/>
      <c r="U2612" s="70">
        <f>IF($A2612="","",IFERROR(INDEX('Techniciens'!$F$5:$F$44,MATCH(O2612,'Techniciens'!$B$5:$B$44,0)),'Paramètres'!$AA$10))</f>
        <v/>
      </c>
      <c r="V2612" s="70">
        <f>IF($A2612="","",IF(OR(AC2612="Demandé",AC2612="Planifié",AC2612="Annulé"),0,N(T2612)*N(U2612)))</f>
        <v/>
      </c>
      <c r="W2612" s="70">
        <f>IF($A2612="","",SUMIFS('Mouvements stock'!$H$5:$H$3004,'Mouvements stock'!$I$5:$I$3004,$A2612,'Mouvements stock'!$C$5:$C$3004,"Sortie")-SUMIFS('Mouvements stock'!$H$5:$H$3004,'Mouvements stock'!$I$5:$I$3004,$A2612,'Mouvements stock'!$C$5:$C$3004,"Retour"))</f>
        <v/>
      </c>
      <c r="X2612" s="66" t="n"/>
      <c r="Y2612" s="66" t="n"/>
      <c r="Z2612" s="7" t="n"/>
      <c r="AA2612" s="70">
        <f>IF($A2612="","",N(V2612)+N(W2612)+N(X2612)+N(Y2612))</f>
        <v/>
      </c>
      <c r="AB2612" s="70">
        <f>IF($A2612="","",N(S2612)*'Paramètres'!$AA$9*IFERROR(INDEX('Paramètres'!$O$5:$O$7,MATCH(G2612,'Paramètres'!$N$5:$N$7,0)),0))</f>
        <v/>
      </c>
      <c r="AC2612" s="7" t="n"/>
      <c r="AD2612" s="69">
        <f>IF(OR($A2612="",Q2612=""),"",(Q2612-B2612)*24)</f>
        <v/>
      </c>
      <c r="AE2612" s="69">
        <f>IF(OR(Q2612="",R2612=""),"",(R2612-Q2612)*24)</f>
        <v/>
      </c>
      <c r="AF2612" s="77">
        <f>IF(OR($A2612="",B2612=""),"",YEAR(B2612))</f>
        <v/>
      </c>
      <c r="AG2612" s="77">
        <f>IF(OR($A2612="",B2612=""),"",MONTH(B2612))</f>
        <v/>
      </c>
    </row>
    <row r="2613">
      <c r="A2613" s="7" t="n"/>
      <c r="B2613" s="75" t="n"/>
      <c r="C2613" s="7" t="n"/>
      <c r="D2613" s="7" t="n"/>
      <c r="E2613" s="9">
        <f>IF(D2613="","",IFERROR(INDEX('Équipements'!$B$5:$B$304,MATCH(D2613,'Équipements'!$A$5:$A$304,0)),"Code inconnu"))</f>
        <v/>
      </c>
      <c r="F2613" s="9">
        <f>IF(D2613="","",IFERROR(INDEX('Équipements'!$D$5:$D$304,MATCH(D2613,'Équipements'!$A$5:$A$304,0)),""))</f>
        <v/>
      </c>
      <c r="G2613" s="9">
        <f>IF(D2613="","",IFERROR(INDEX('Équipements'!$K$5:$K$304,MATCH(D2613,'Équipements'!$A$5:$A$304,0)),""))</f>
        <v/>
      </c>
      <c r="H2613" s="7" t="n"/>
      <c r="I2613" s="7" t="n"/>
      <c r="J2613" s="7" t="n"/>
      <c r="K2613" s="7" t="n"/>
      <c r="L2613" s="7" t="n"/>
      <c r="M2613" s="7" t="n"/>
      <c r="N2613" s="7" t="n"/>
      <c r="O2613" s="7" t="n"/>
      <c r="P2613" s="65" t="n"/>
      <c r="Q2613" s="75" t="n"/>
      <c r="R2613" s="75" t="n"/>
      <c r="S2613" s="76" t="n"/>
      <c r="T2613" s="76" t="n"/>
      <c r="U2613" s="70">
        <f>IF($A2613="","",IFERROR(INDEX('Techniciens'!$F$5:$F$44,MATCH(O2613,'Techniciens'!$B$5:$B$44,0)),'Paramètres'!$AA$10))</f>
        <v/>
      </c>
      <c r="V2613" s="70">
        <f>IF($A2613="","",IF(OR(AC2613="Demandé",AC2613="Planifié",AC2613="Annulé"),0,N(T2613)*N(U2613)))</f>
        <v/>
      </c>
      <c r="W2613" s="70">
        <f>IF($A2613="","",SUMIFS('Mouvements stock'!$H$5:$H$3004,'Mouvements stock'!$I$5:$I$3004,$A2613,'Mouvements stock'!$C$5:$C$3004,"Sortie")-SUMIFS('Mouvements stock'!$H$5:$H$3004,'Mouvements stock'!$I$5:$I$3004,$A2613,'Mouvements stock'!$C$5:$C$3004,"Retour"))</f>
        <v/>
      </c>
      <c r="X2613" s="66" t="n"/>
      <c r="Y2613" s="66" t="n"/>
      <c r="Z2613" s="7" t="n"/>
      <c r="AA2613" s="70">
        <f>IF($A2613="","",N(V2613)+N(W2613)+N(X2613)+N(Y2613))</f>
        <v/>
      </c>
      <c r="AB2613" s="70">
        <f>IF($A2613="","",N(S2613)*'Paramètres'!$AA$9*IFERROR(INDEX('Paramètres'!$O$5:$O$7,MATCH(G2613,'Paramètres'!$N$5:$N$7,0)),0))</f>
        <v/>
      </c>
      <c r="AC2613" s="7" t="n"/>
      <c r="AD2613" s="69">
        <f>IF(OR($A2613="",Q2613=""),"",(Q2613-B2613)*24)</f>
        <v/>
      </c>
      <c r="AE2613" s="69">
        <f>IF(OR(Q2613="",R2613=""),"",(R2613-Q2613)*24)</f>
        <v/>
      </c>
      <c r="AF2613" s="77">
        <f>IF(OR($A2613="",B2613=""),"",YEAR(B2613))</f>
        <v/>
      </c>
      <c r="AG2613" s="77">
        <f>IF(OR($A2613="",B2613=""),"",MONTH(B2613))</f>
        <v/>
      </c>
    </row>
    <row r="2614">
      <c r="A2614" s="7" t="n"/>
      <c r="B2614" s="75" t="n"/>
      <c r="C2614" s="7" t="n"/>
      <c r="D2614" s="7" t="n"/>
      <c r="E2614" s="9">
        <f>IF(D2614="","",IFERROR(INDEX('Équipements'!$B$5:$B$304,MATCH(D2614,'Équipements'!$A$5:$A$304,0)),"Code inconnu"))</f>
        <v/>
      </c>
      <c r="F2614" s="9">
        <f>IF(D2614="","",IFERROR(INDEX('Équipements'!$D$5:$D$304,MATCH(D2614,'Équipements'!$A$5:$A$304,0)),""))</f>
        <v/>
      </c>
      <c r="G2614" s="9">
        <f>IF(D2614="","",IFERROR(INDEX('Équipements'!$K$5:$K$304,MATCH(D2614,'Équipements'!$A$5:$A$304,0)),""))</f>
        <v/>
      </c>
      <c r="H2614" s="7" t="n"/>
      <c r="I2614" s="7" t="n"/>
      <c r="J2614" s="7" t="n"/>
      <c r="K2614" s="7" t="n"/>
      <c r="L2614" s="7" t="n"/>
      <c r="M2614" s="7" t="n"/>
      <c r="N2614" s="7" t="n"/>
      <c r="O2614" s="7" t="n"/>
      <c r="P2614" s="65" t="n"/>
      <c r="Q2614" s="75" t="n"/>
      <c r="R2614" s="75" t="n"/>
      <c r="S2614" s="76" t="n"/>
      <c r="T2614" s="76" t="n"/>
      <c r="U2614" s="70">
        <f>IF($A2614="","",IFERROR(INDEX('Techniciens'!$F$5:$F$44,MATCH(O2614,'Techniciens'!$B$5:$B$44,0)),'Paramètres'!$AA$10))</f>
        <v/>
      </c>
      <c r="V2614" s="70">
        <f>IF($A2614="","",IF(OR(AC2614="Demandé",AC2614="Planifié",AC2614="Annulé"),0,N(T2614)*N(U2614)))</f>
        <v/>
      </c>
      <c r="W2614" s="70">
        <f>IF($A2614="","",SUMIFS('Mouvements stock'!$H$5:$H$3004,'Mouvements stock'!$I$5:$I$3004,$A2614,'Mouvements stock'!$C$5:$C$3004,"Sortie")-SUMIFS('Mouvements stock'!$H$5:$H$3004,'Mouvements stock'!$I$5:$I$3004,$A2614,'Mouvements stock'!$C$5:$C$3004,"Retour"))</f>
        <v/>
      </c>
      <c r="X2614" s="66" t="n"/>
      <c r="Y2614" s="66" t="n"/>
      <c r="Z2614" s="7" t="n"/>
      <c r="AA2614" s="70">
        <f>IF($A2614="","",N(V2614)+N(W2614)+N(X2614)+N(Y2614))</f>
        <v/>
      </c>
      <c r="AB2614" s="70">
        <f>IF($A2614="","",N(S2614)*'Paramètres'!$AA$9*IFERROR(INDEX('Paramètres'!$O$5:$O$7,MATCH(G2614,'Paramètres'!$N$5:$N$7,0)),0))</f>
        <v/>
      </c>
      <c r="AC2614" s="7" t="n"/>
      <c r="AD2614" s="69">
        <f>IF(OR($A2614="",Q2614=""),"",(Q2614-B2614)*24)</f>
        <v/>
      </c>
      <c r="AE2614" s="69">
        <f>IF(OR(Q2614="",R2614=""),"",(R2614-Q2614)*24)</f>
        <v/>
      </c>
      <c r="AF2614" s="77">
        <f>IF(OR($A2614="",B2614=""),"",YEAR(B2614))</f>
        <v/>
      </c>
      <c r="AG2614" s="77">
        <f>IF(OR($A2614="",B2614=""),"",MONTH(B2614))</f>
        <v/>
      </c>
    </row>
    <row r="2615">
      <c r="A2615" s="7" t="n"/>
      <c r="B2615" s="75" t="n"/>
      <c r="C2615" s="7" t="n"/>
      <c r="D2615" s="7" t="n"/>
      <c r="E2615" s="9">
        <f>IF(D2615="","",IFERROR(INDEX('Équipements'!$B$5:$B$304,MATCH(D2615,'Équipements'!$A$5:$A$304,0)),"Code inconnu"))</f>
        <v/>
      </c>
      <c r="F2615" s="9">
        <f>IF(D2615="","",IFERROR(INDEX('Équipements'!$D$5:$D$304,MATCH(D2615,'Équipements'!$A$5:$A$304,0)),""))</f>
        <v/>
      </c>
      <c r="G2615" s="9">
        <f>IF(D2615="","",IFERROR(INDEX('Équipements'!$K$5:$K$304,MATCH(D2615,'Équipements'!$A$5:$A$304,0)),""))</f>
        <v/>
      </c>
      <c r="H2615" s="7" t="n"/>
      <c r="I2615" s="7" t="n"/>
      <c r="J2615" s="7" t="n"/>
      <c r="K2615" s="7" t="n"/>
      <c r="L2615" s="7" t="n"/>
      <c r="M2615" s="7" t="n"/>
      <c r="N2615" s="7" t="n"/>
      <c r="O2615" s="7" t="n"/>
      <c r="P2615" s="65" t="n"/>
      <c r="Q2615" s="75" t="n"/>
      <c r="R2615" s="75" t="n"/>
      <c r="S2615" s="76" t="n"/>
      <c r="T2615" s="76" t="n"/>
      <c r="U2615" s="70">
        <f>IF($A2615="","",IFERROR(INDEX('Techniciens'!$F$5:$F$44,MATCH(O2615,'Techniciens'!$B$5:$B$44,0)),'Paramètres'!$AA$10))</f>
        <v/>
      </c>
      <c r="V2615" s="70">
        <f>IF($A2615="","",IF(OR(AC2615="Demandé",AC2615="Planifié",AC2615="Annulé"),0,N(T2615)*N(U2615)))</f>
        <v/>
      </c>
      <c r="W2615" s="70">
        <f>IF($A2615="","",SUMIFS('Mouvements stock'!$H$5:$H$3004,'Mouvements stock'!$I$5:$I$3004,$A2615,'Mouvements stock'!$C$5:$C$3004,"Sortie")-SUMIFS('Mouvements stock'!$H$5:$H$3004,'Mouvements stock'!$I$5:$I$3004,$A2615,'Mouvements stock'!$C$5:$C$3004,"Retour"))</f>
        <v/>
      </c>
      <c r="X2615" s="66" t="n"/>
      <c r="Y2615" s="66" t="n"/>
      <c r="Z2615" s="7" t="n"/>
      <c r="AA2615" s="70">
        <f>IF($A2615="","",N(V2615)+N(W2615)+N(X2615)+N(Y2615))</f>
        <v/>
      </c>
      <c r="AB2615" s="70">
        <f>IF($A2615="","",N(S2615)*'Paramètres'!$AA$9*IFERROR(INDEX('Paramètres'!$O$5:$O$7,MATCH(G2615,'Paramètres'!$N$5:$N$7,0)),0))</f>
        <v/>
      </c>
      <c r="AC2615" s="7" t="n"/>
      <c r="AD2615" s="69">
        <f>IF(OR($A2615="",Q2615=""),"",(Q2615-B2615)*24)</f>
        <v/>
      </c>
      <c r="AE2615" s="69">
        <f>IF(OR(Q2615="",R2615=""),"",(R2615-Q2615)*24)</f>
        <v/>
      </c>
      <c r="AF2615" s="77">
        <f>IF(OR($A2615="",B2615=""),"",YEAR(B2615))</f>
        <v/>
      </c>
      <c r="AG2615" s="77">
        <f>IF(OR($A2615="",B2615=""),"",MONTH(B2615))</f>
        <v/>
      </c>
    </row>
    <row r="2616">
      <c r="A2616" s="7" t="n"/>
      <c r="B2616" s="75" t="n"/>
      <c r="C2616" s="7" t="n"/>
      <c r="D2616" s="7" t="n"/>
      <c r="E2616" s="9">
        <f>IF(D2616="","",IFERROR(INDEX('Équipements'!$B$5:$B$304,MATCH(D2616,'Équipements'!$A$5:$A$304,0)),"Code inconnu"))</f>
        <v/>
      </c>
      <c r="F2616" s="9">
        <f>IF(D2616="","",IFERROR(INDEX('Équipements'!$D$5:$D$304,MATCH(D2616,'Équipements'!$A$5:$A$304,0)),""))</f>
        <v/>
      </c>
      <c r="G2616" s="9">
        <f>IF(D2616="","",IFERROR(INDEX('Équipements'!$K$5:$K$304,MATCH(D2616,'Équipements'!$A$5:$A$304,0)),""))</f>
        <v/>
      </c>
      <c r="H2616" s="7" t="n"/>
      <c r="I2616" s="7" t="n"/>
      <c r="J2616" s="7" t="n"/>
      <c r="K2616" s="7" t="n"/>
      <c r="L2616" s="7" t="n"/>
      <c r="M2616" s="7" t="n"/>
      <c r="N2616" s="7" t="n"/>
      <c r="O2616" s="7" t="n"/>
      <c r="P2616" s="65" t="n"/>
      <c r="Q2616" s="75" t="n"/>
      <c r="R2616" s="75" t="n"/>
      <c r="S2616" s="76" t="n"/>
      <c r="T2616" s="76" t="n"/>
      <c r="U2616" s="70">
        <f>IF($A2616="","",IFERROR(INDEX('Techniciens'!$F$5:$F$44,MATCH(O2616,'Techniciens'!$B$5:$B$44,0)),'Paramètres'!$AA$10))</f>
        <v/>
      </c>
      <c r="V2616" s="70">
        <f>IF($A2616="","",IF(OR(AC2616="Demandé",AC2616="Planifié",AC2616="Annulé"),0,N(T2616)*N(U2616)))</f>
        <v/>
      </c>
      <c r="W2616" s="70">
        <f>IF($A2616="","",SUMIFS('Mouvements stock'!$H$5:$H$3004,'Mouvements stock'!$I$5:$I$3004,$A2616,'Mouvements stock'!$C$5:$C$3004,"Sortie")-SUMIFS('Mouvements stock'!$H$5:$H$3004,'Mouvements stock'!$I$5:$I$3004,$A2616,'Mouvements stock'!$C$5:$C$3004,"Retour"))</f>
        <v/>
      </c>
      <c r="X2616" s="66" t="n"/>
      <c r="Y2616" s="66" t="n"/>
      <c r="Z2616" s="7" t="n"/>
      <c r="AA2616" s="70">
        <f>IF($A2616="","",N(V2616)+N(W2616)+N(X2616)+N(Y2616))</f>
        <v/>
      </c>
      <c r="AB2616" s="70">
        <f>IF($A2616="","",N(S2616)*'Paramètres'!$AA$9*IFERROR(INDEX('Paramètres'!$O$5:$O$7,MATCH(G2616,'Paramètres'!$N$5:$N$7,0)),0))</f>
        <v/>
      </c>
      <c r="AC2616" s="7" t="n"/>
      <c r="AD2616" s="69">
        <f>IF(OR($A2616="",Q2616=""),"",(Q2616-B2616)*24)</f>
        <v/>
      </c>
      <c r="AE2616" s="69">
        <f>IF(OR(Q2616="",R2616=""),"",(R2616-Q2616)*24)</f>
        <v/>
      </c>
      <c r="AF2616" s="77">
        <f>IF(OR($A2616="",B2616=""),"",YEAR(B2616))</f>
        <v/>
      </c>
      <c r="AG2616" s="77">
        <f>IF(OR($A2616="",B2616=""),"",MONTH(B2616))</f>
        <v/>
      </c>
    </row>
    <row r="2617">
      <c r="A2617" s="7" t="n"/>
      <c r="B2617" s="75" t="n"/>
      <c r="C2617" s="7" t="n"/>
      <c r="D2617" s="7" t="n"/>
      <c r="E2617" s="9">
        <f>IF(D2617="","",IFERROR(INDEX('Équipements'!$B$5:$B$304,MATCH(D2617,'Équipements'!$A$5:$A$304,0)),"Code inconnu"))</f>
        <v/>
      </c>
      <c r="F2617" s="9">
        <f>IF(D2617="","",IFERROR(INDEX('Équipements'!$D$5:$D$304,MATCH(D2617,'Équipements'!$A$5:$A$304,0)),""))</f>
        <v/>
      </c>
      <c r="G2617" s="9">
        <f>IF(D2617="","",IFERROR(INDEX('Équipements'!$K$5:$K$304,MATCH(D2617,'Équipements'!$A$5:$A$304,0)),""))</f>
        <v/>
      </c>
      <c r="H2617" s="7" t="n"/>
      <c r="I2617" s="7" t="n"/>
      <c r="J2617" s="7" t="n"/>
      <c r="K2617" s="7" t="n"/>
      <c r="L2617" s="7" t="n"/>
      <c r="M2617" s="7" t="n"/>
      <c r="N2617" s="7" t="n"/>
      <c r="O2617" s="7" t="n"/>
      <c r="P2617" s="65" t="n"/>
      <c r="Q2617" s="75" t="n"/>
      <c r="R2617" s="75" t="n"/>
      <c r="S2617" s="76" t="n"/>
      <c r="T2617" s="76" t="n"/>
      <c r="U2617" s="70">
        <f>IF($A2617="","",IFERROR(INDEX('Techniciens'!$F$5:$F$44,MATCH(O2617,'Techniciens'!$B$5:$B$44,0)),'Paramètres'!$AA$10))</f>
        <v/>
      </c>
      <c r="V2617" s="70">
        <f>IF($A2617="","",IF(OR(AC2617="Demandé",AC2617="Planifié",AC2617="Annulé"),0,N(T2617)*N(U2617)))</f>
        <v/>
      </c>
      <c r="W2617" s="70">
        <f>IF($A2617="","",SUMIFS('Mouvements stock'!$H$5:$H$3004,'Mouvements stock'!$I$5:$I$3004,$A2617,'Mouvements stock'!$C$5:$C$3004,"Sortie")-SUMIFS('Mouvements stock'!$H$5:$H$3004,'Mouvements stock'!$I$5:$I$3004,$A2617,'Mouvements stock'!$C$5:$C$3004,"Retour"))</f>
        <v/>
      </c>
      <c r="X2617" s="66" t="n"/>
      <c r="Y2617" s="66" t="n"/>
      <c r="Z2617" s="7" t="n"/>
      <c r="AA2617" s="70">
        <f>IF($A2617="","",N(V2617)+N(W2617)+N(X2617)+N(Y2617))</f>
        <v/>
      </c>
      <c r="AB2617" s="70">
        <f>IF($A2617="","",N(S2617)*'Paramètres'!$AA$9*IFERROR(INDEX('Paramètres'!$O$5:$O$7,MATCH(G2617,'Paramètres'!$N$5:$N$7,0)),0))</f>
        <v/>
      </c>
      <c r="AC2617" s="7" t="n"/>
      <c r="AD2617" s="69">
        <f>IF(OR($A2617="",Q2617=""),"",(Q2617-B2617)*24)</f>
        <v/>
      </c>
      <c r="AE2617" s="69">
        <f>IF(OR(Q2617="",R2617=""),"",(R2617-Q2617)*24)</f>
        <v/>
      </c>
      <c r="AF2617" s="77">
        <f>IF(OR($A2617="",B2617=""),"",YEAR(B2617))</f>
        <v/>
      </c>
      <c r="AG2617" s="77">
        <f>IF(OR($A2617="",B2617=""),"",MONTH(B2617))</f>
        <v/>
      </c>
    </row>
    <row r="2618">
      <c r="A2618" s="7" t="n"/>
      <c r="B2618" s="75" t="n"/>
      <c r="C2618" s="7" t="n"/>
      <c r="D2618" s="7" t="n"/>
      <c r="E2618" s="9">
        <f>IF(D2618="","",IFERROR(INDEX('Équipements'!$B$5:$B$304,MATCH(D2618,'Équipements'!$A$5:$A$304,0)),"Code inconnu"))</f>
        <v/>
      </c>
      <c r="F2618" s="9">
        <f>IF(D2618="","",IFERROR(INDEX('Équipements'!$D$5:$D$304,MATCH(D2618,'Équipements'!$A$5:$A$304,0)),""))</f>
        <v/>
      </c>
      <c r="G2618" s="9">
        <f>IF(D2618="","",IFERROR(INDEX('Équipements'!$K$5:$K$304,MATCH(D2618,'Équipements'!$A$5:$A$304,0)),""))</f>
        <v/>
      </c>
      <c r="H2618" s="7" t="n"/>
      <c r="I2618" s="7" t="n"/>
      <c r="J2618" s="7" t="n"/>
      <c r="K2618" s="7" t="n"/>
      <c r="L2618" s="7" t="n"/>
      <c r="M2618" s="7" t="n"/>
      <c r="N2618" s="7" t="n"/>
      <c r="O2618" s="7" t="n"/>
      <c r="P2618" s="65" t="n"/>
      <c r="Q2618" s="75" t="n"/>
      <c r="R2618" s="75" t="n"/>
      <c r="S2618" s="76" t="n"/>
      <c r="T2618" s="76" t="n"/>
      <c r="U2618" s="70">
        <f>IF($A2618="","",IFERROR(INDEX('Techniciens'!$F$5:$F$44,MATCH(O2618,'Techniciens'!$B$5:$B$44,0)),'Paramètres'!$AA$10))</f>
        <v/>
      </c>
      <c r="V2618" s="70">
        <f>IF($A2618="","",IF(OR(AC2618="Demandé",AC2618="Planifié",AC2618="Annulé"),0,N(T2618)*N(U2618)))</f>
        <v/>
      </c>
      <c r="W2618" s="70">
        <f>IF($A2618="","",SUMIFS('Mouvements stock'!$H$5:$H$3004,'Mouvements stock'!$I$5:$I$3004,$A2618,'Mouvements stock'!$C$5:$C$3004,"Sortie")-SUMIFS('Mouvements stock'!$H$5:$H$3004,'Mouvements stock'!$I$5:$I$3004,$A2618,'Mouvements stock'!$C$5:$C$3004,"Retour"))</f>
        <v/>
      </c>
      <c r="X2618" s="66" t="n"/>
      <c r="Y2618" s="66" t="n"/>
      <c r="Z2618" s="7" t="n"/>
      <c r="AA2618" s="70">
        <f>IF($A2618="","",N(V2618)+N(W2618)+N(X2618)+N(Y2618))</f>
        <v/>
      </c>
      <c r="AB2618" s="70">
        <f>IF($A2618="","",N(S2618)*'Paramètres'!$AA$9*IFERROR(INDEX('Paramètres'!$O$5:$O$7,MATCH(G2618,'Paramètres'!$N$5:$N$7,0)),0))</f>
        <v/>
      </c>
      <c r="AC2618" s="7" t="n"/>
      <c r="AD2618" s="69">
        <f>IF(OR($A2618="",Q2618=""),"",(Q2618-B2618)*24)</f>
        <v/>
      </c>
      <c r="AE2618" s="69">
        <f>IF(OR(Q2618="",R2618=""),"",(R2618-Q2618)*24)</f>
        <v/>
      </c>
      <c r="AF2618" s="77">
        <f>IF(OR($A2618="",B2618=""),"",YEAR(B2618))</f>
        <v/>
      </c>
      <c r="AG2618" s="77">
        <f>IF(OR($A2618="",B2618=""),"",MONTH(B2618))</f>
        <v/>
      </c>
    </row>
    <row r="2619">
      <c r="A2619" s="7" t="n"/>
      <c r="B2619" s="75" t="n"/>
      <c r="C2619" s="7" t="n"/>
      <c r="D2619" s="7" t="n"/>
      <c r="E2619" s="9">
        <f>IF(D2619="","",IFERROR(INDEX('Équipements'!$B$5:$B$304,MATCH(D2619,'Équipements'!$A$5:$A$304,0)),"Code inconnu"))</f>
        <v/>
      </c>
      <c r="F2619" s="9">
        <f>IF(D2619="","",IFERROR(INDEX('Équipements'!$D$5:$D$304,MATCH(D2619,'Équipements'!$A$5:$A$304,0)),""))</f>
        <v/>
      </c>
      <c r="G2619" s="9">
        <f>IF(D2619="","",IFERROR(INDEX('Équipements'!$K$5:$K$304,MATCH(D2619,'Équipements'!$A$5:$A$304,0)),""))</f>
        <v/>
      </c>
      <c r="H2619" s="7" t="n"/>
      <c r="I2619" s="7" t="n"/>
      <c r="J2619" s="7" t="n"/>
      <c r="K2619" s="7" t="n"/>
      <c r="L2619" s="7" t="n"/>
      <c r="M2619" s="7" t="n"/>
      <c r="N2619" s="7" t="n"/>
      <c r="O2619" s="7" t="n"/>
      <c r="P2619" s="65" t="n"/>
      <c r="Q2619" s="75" t="n"/>
      <c r="R2619" s="75" t="n"/>
      <c r="S2619" s="76" t="n"/>
      <c r="T2619" s="76" t="n"/>
      <c r="U2619" s="70">
        <f>IF($A2619="","",IFERROR(INDEX('Techniciens'!$F$5:$F$44,MATCH(O2619,'Techniciens'!$B$5:$B$44,0)),'Paramètres'!$AA$10))</f>
        <v/>
      </c>
      <c r="V2619" s="70">
        <f>IF($A2619="","",IF(OR(AC2619="Demandé",AC2619="Planifié",AC2619="Annulé"),0,N(T2619)*N(U2619)))</f>
        <v/>
      </c>
      <c r="W2619" s="70">
        <f>IF($A2619="","",SUMIFS('Mouvements stock'!$H$5:$H$3004,'Mouvements stock'!$I$5:$I$3004,$A2619,'Mouvements stock'!$C$5:$C$3004,"Sortie")-SUMIFS('Mouvements stock'!$H$5:$H$3004,'Mouvements stock'!$I$5:$I$3004,$A2619,'Mouvements stock'!$C$5:$C$3004,"Retour"))</f>
        <v/>
      </c>
      <c r="X2619" s="66" t="n"/>
      <c r="Y2619" s="66" t="n"/>
      <c r="Z2619" s="7" t="n"/>
      <c r="AA2619" s="70">
        <f>IF($A2619="","",N(V2619)+N(W2619)+N(X2619)+N(Y2619))</f>
        <v/>
      </c>
      <c r="AB2619" s="70">
        <f>IF($A2619="","",N(S2619)*'Paramètres'!$AA$9*IFERROR(INDEX('Paramètres'!$O$5:$O$7,MATCH(G2619,'Paramètres'!$N$5:$N$7,0)),0))</f>
        <v/>
      </c>
      <c r="AC2619" s="7" t="n"/>
      <c r="AD2619" s="69">
        <f>IF(OR($A2619="",Q2619=""),"",(Q2619-B2619)*24)</f>
        <v/>
      </c>
      <c r="AE2619" s="69">
        <f>IF(OR(Q2619="",R2619=""),"",(R2619-Q2619)*24)</f>
        <v/>
      </c>
      <c r="AF2619" s="77">
        <f>IF(OR($A2619="",B2619=""),"",YEAR(B2619))</f>
        <v/>
      </c>
      <c r="AG2619" s="77">
        <f>IF(OR($A2619="",B2619=""),"",MONTH(B2619))</f>
        <v/>
      </c>
    </row>
    <row r="2620">
      <c r="A2620" s="7" t="n"/>
      <c r="B2620" s="75" t="n"/>
      <c r="C2620" s="7" t="n"/>
      <c r="D2620" s="7" t="n"/>
      <c r="E2620" s="9">
        <f>IF(D2620="","",IFERROR(INDEX('Équipements'!$B$5:$B$304,MATCH(D2620,'Équipements'!$A$5:$A$304,0)),"Code inconnu"))</f>
        <v/>
      </c>
      <c r="F2620" s="9">
        <f>IF(D2620="","",IFERROR(INDEX('Équipements'!$D$5:$D$304,MATCH(D2620,'Équipements'!$A$5:$A$304,0)),""))</f>
        <v/>
      </c>
      <c r="G2620" s="9">
        <f>IF(D2620="","",IFERROR(INDEX('Équipements'!$K$5:$K$304,MATCH(D2620,'Équipements'!$A$5:$A$304,0)),""))</f>
        <v/>
      </c>
      <c r="H2620" s="7" t="n"/>
      <c r="I2620" s="7" t="n"/>
      <c r="J2620" s="7" t="n"/>
      <c r="K2620" s="7" t="n"/>
      <c r="L2620" s="7" t="n"/>
      <c r="M2620" s="7" t="n"/>
      <c r="N2620" s="7" t="n"/>
      <c r="O2620" s="7" t="n"/>
      <c r="P2620" s="65" t="n"/>
      <c r="Q2620" s="75" t="n"/>
      <c r="R2620" s="75" t="n"/>
      <c r="S2620" s="76" t="n"/>
      <c r="T2620" s="76" t="n"/>
      <c r="U2620" s="70">
        <f>IF($A2620="","",IFERROR(INDEX('Techniciens'!$F$5:$F$44,MATCH(O2620,'Techniciens'!$B$5:$B$44,0)),'Paramètres'!$AA$10))</f>
        <v/>
      </c>
      <c r="V2620" s="70">
        <f>IF($A2620="","",IF(OR(AC2620="Demandé",AC2620="Planifié",AC2620="Annulé"),0,N(T2620)*N(U2620)))</f>
        <v/>
      </c>
      <c r="W2620" s="70">
        <f>IF($A2620="","",SUMIFS('Mouvements stock'!$H$5:$H$3004,'Mouvements stock'!$I$5:$I$3004,$A2620,'Mouvements stock'!$C$5:$C$3004,"Sortie")-SUMIFS('Mouvements stock'!$H$5:$H$3004,'Mouvements stock'!$I$5:$I$3004,$A2620,'Mouvements stock'!$C$5:$C$3004,"Retour"))</f>
        <v/>
      </c>
      <c r="X2620" s="66" t="n"/>
      <c r="Y2620" s="66" t="n"/>
      <c r="Z2620" s="7" t="n"/>
      <c r="AA2620" s="70">
        <f>IF($A2620="","",N(V2620)+N(W2620)+N(X2620)+N(Y2620))</f>
        <v/>
      </c>
      <c r="AB2620" s="70">
        <f>IF($A2620="","",N(S2620)*'Paramètres'!$AA$9*IFERROR(INDEX('Paramètres'!$O$5:$O$7,MATCH(G2620,'Paramètres'!$N$5:$N$7,0)),0))</f>
        <v/>
      </c>
      <c r="AC2620" s="7" t="n"/>
      <c r="AD2620" s="69">
        <f>IF(OR($A2620="",Q2620=""),"",(Q2620-B2620)*24)</f>
        <v/>
      </c>
      <c r="AE2620" s="69">
        <f>IF(OR(Q2620="",R2620=""),"",(R2620-Q2620)*24)</f>
        <v/>
      </c>
      <c r="AF2620" s="77">
        <f>IF(OR($A2620="",B2620=""),"",YEAR(B2620))</f>
        <v/>
      </c>
      <c r="AG2620" s="77">
        <f>IF(OR($A2620="",B2620=""),"",MONTH(B2620))</f>
        <v/>
      </c>
    </row>
    <row r="2621">
      <c r="A2621" s="7" t="n"/>
      <c r="B2621" s="75" t="n"/>
      <c r="C2621" s="7" t="n"/>
      <c r="D2621" s="7" t="n"/>
      <c r="E2621" s="9">
        <f>IF(D2621="","",IFERROR(INDEX('Équipements'!$B$5:$B$304,MATCH(D2621,'Équipements'!$A$5:$A$304,0)),"Code inconnu"))</f>
        <v/>
      </c>
      <c r="F2621" s="9">
        <f>IF(D2621="","",IFERROR(INDEX('Équipements'!$D$5:$D$304,MATCH(D2621,'Équipements'!$A$5:$A$304,0)),""))</f>
        <v/>
      </c>
      <c r="G2621" s="9">
        <f>IF(D2621="","",IFERROR(INDEX('Équipements'!$K$5:$K$304,MATCH(D2621,'Équipements'!$A$5:$A$304,0)),""))</f>
        <v/>
      </c>
      <c r="H2621" s="7" t="n"/>
      <c r="I2621" s="7" t="n"/>
      <c r="J2621" s="7" t="n"/>
      <c r="K2621" s="7" t="n"/>
      <c r="L2621" s="7" t="n"/>
      <c r="M2621" s="7" t="n"/>
      <c r="N2621" s="7" t="n"/>
      <c r="O2621" s="7" t="n"/>
      <c r="P2621" s="65" t="n"/>
      <c r="Q2621" s="75" t="n"/>
      <c r="R2621" s="75" t="n"/>
      <c r="S2621" s="76" t="n"/>
      <c r="T2621" s="76" t="n"/>
      <c r="U2621" s="70">
        <f>IF($A2621="","",IFERROR(INDEX('Techniciens'!$F$5:$F$44,MATCH(O2621,'Techniciens'!$B$5:$B$44,0)),'Paramètres'!$AA$10))</f>
        <v/>
      </c>
      <c r="V2621" s="70">
        <f>IF($A2621="","",IF(OR(AC2621="Demandé",AC2621="Planifié",AC2621="Annulé"),0,N(T2621)*N(U2621)))</f>
        <v/>
      </c>
      <c r="W2621" s="70">
        <f>IF($A2621="","",SUMIFS('Mouvements stock'!$H$5:$H$3004,'Mouvements stock'!$I$5:$I$3004,$A2621,'Mouvements stock'!$C$5:$C$3004,"Sortie")-SUMIFS('Mouvements stock'!$H$5:$H$3004,'Mouvements stock'!$I$5:$I$3004,$A2621,'Mouvements stock'!$C$5:$C$3004,"Retour"))</f>
        <v/>
      </c>
      <c r="X2621" s="66" t="n"/>
      <c r="Y2621" s="66" t="n"/>
      <c r="Z2621" s="7" t="n"/>
      <c r="AA2621" s="70">
        <f>IF($A2621="","",N(V2621)+N(W2621)+N(X2621)+N(Y2621))</f>
        <v/>
      </c>
      <c r="AB2621" s="70">
        <f>IF($A2621="","",N(S2621)*'Paramètres'!$AA$9*IFERROR(INDEX('Paramètres'!$O$5:$O$7,MATCH(G2621,'Paramètres'!$N$5:$N$7,0)),0))</f>
        <v/>
      </c>
      <c r="AC2621" s="7" t="n"/>
      <c r="AD2621" s="69">
        <f>IF(OR($A2621="",Q2621=""),"",(Q2621-B2621)*24)</f>
        <v/>
      </c>
      <c r="AE2621" s="69">
        <f>IF(OR(Q2621="",R2621=""),"",(R2621-Q2621)*24)</f>
        <v/>
      </c>
      <c r="AF2621" s="77">
        <f>IF(OR($A2621="",B2621=""),"",YEAR(B2621))</f>
        <v/>
      </c>
      <c r="AG2621" s="77">
        <f>IF(OR($A2621="",B2621=""),"",MONTH(B2621))</f>
        <v/>
      </c>
    </row>
    <row r="2622">
      <c r="A2622" s="7" t="n"/>
      <c r="B2622" s="75" t="n"/>
      <c r="C2622" s="7" t="n"/>
      <c r="D2622" s="7" t="n"/>
      <c r="E2622" s="9">
        <f>IF(D2622="","",IFERROR(INDEX('Équipements'!$B$5:$B$304,MATCH(D2622,'Équipements'!$A$5:$A$304,0)),"Code inconnu"))</f>
        <v/>
      </c>
      <c r="F2622" s="9">
        <f>IF(D2622="","",IFERROR(INDEX('Équipements'!$D$5:$D$304,MATCH(D2622,'Équipements'!$A$5:$A$304,0)),""))</f>
        <v/>
      </c>
      <c r="G2622" s="9">
        <f>IF(D2622="","",IFERROR(INDEX('Équipements'!$K$5:$K$304,MATCH(D2622,'Équipements'!$A$5:$A$304,0)),""))</f>
        <v/>
      </c>
      <c r="H2622" s="7" t="n"/>
      <c r="I2622" s="7" t="n"/>
      <c r="J2622" s="7" t="n"/>
      <c r="K2622" s="7" t="n"/>
      <c r="L2622" s="7" t="n"/>
      <c r="M2622" s="7" t="n"/>
      <c r="N2622" s="7" t="n"/>
      <c r="O2622" s="7" t="n"/>
      <c r="P2622" s="65" t="n"/>
      <c r="Q2622" s="75" t="n"/>
      <c r="R2622" s="75" t="n"/>
      <c r="S2622" s="76" t="n"/>
      <c r="T2622" s="76" t="n"/>
      <c r="U2622" s="70">
        <f>IF($A2622="","",IFERROR(INDEX('Techniciens'!$F$5:$F$44,MATCH(O2622,'Techniciens'!$B$5:$B$44,0)),'Paramètres'!$AA$10))</f>
        <v/>
      </c>
      <c r="V2622" s="70">
        <f>IF($A2622="","",IF(OR(AC2622="Demandé",AC2622="Planifié",AC2622="Annulé"),0,N(T2622)*N(U2622)))</f>
        <v/>
      </c>
      <c r="W2622" s="70">
        <f>IF($A2622="","",SUMIFS('Mouvements stock'!$H$5:$H$3004,'Mouvements stock'!$I$5:$I$3004,$A2622,'Mouvements stock'!$C$5:$C$3004,"Sortie")-SUMIFS('Mouvements stock'!$H$5:$H$3004,'Mouvements stock'!$I$5:$I$3004,$A2622,'Mouvements stock'!$C$5:$C$3004,"Retour"))</f>
        <v/>
      </c>
      <c r="X2622" s="66" t="n"/>
      <c r="Y2622" s="66" t="n"/>
      <c r="Z2622" s="7" t="n"/>
      <c r="AA2622" s="70">
        <f>IF($A2622="","",N(V2622)+N(W2622)+N(X2622)+N(Y2622))</f>
        <v/>
      </c>
      <c r="AB2622" s="70">
        <f>IF($A2622="","",N(S2622)*'Paramètres'!$AA$9*IFERROR(INDEX('Paramètres'!$O$5:$O$7,MATCH(G2622,'Paramètres'!$N$5:$N$7,0)),0))</f>
        <v/>
      </c>
      <c r="AC2622" s="7" t="n"/>
      <c r="AD2622" s="69">
        <f>IF(OR($A2622="",Q2622=""),"",(Q2622-B2622)*24)</f>
        <v/>
      </c>
      <c r="AE2622" s="69">
        <f>IF(OR(Q2622="",R2622=""),"",(R2622-Q2622)*24)</f>
        <v/>
      </c>
      <c r="AF2622" s="77">
        <f>IF(OR($A2622="",B2622=""),"",YEAR(B2622))</f>
        <v/>
      </c>
      <c r="AG2622" s="77">
        <f>IF(OR($A2622="",B2622=""),"",MONTH(B2622))</f>
        <v/>
      </c>
    </row>
    <row r="2623">
      <c r="A2623" s="7" t="n"/>
      <c r="B2623" s="75" t="n"/>
      <c r="C2623" s="7" t="n"/>
      <c r="D2623" s="7" t="n"/>
      <c r="E2623" s="9">
        <f>IF(D2623="","",IFERROR(INDEX('Équipements'!$B$5:$B$304,MATCH(D2623,'Équipements'!$A$5:$A$304,0)),"Code inconnu"))</f>
        <v/>
      </c>
      <c r="F2623" s="9">
        <f>IF(D2623="","",IFERROR(INDEX('Équipements'!$D$5:$D$304,MATCH(D2623,'Équipements'!$A$5:$A$304,0)),""))</f>
        <v/>
      </c>
      <c r="G2623" s="9">
        <f>IF(D2623="","",IFERROR(INDEX('Équipements'!$K$5:$K$304,MATCH(D2623,'Équipements'!$A$5:$A$304,0)),""))</f>
        <v/>
      </c>
      <c r="H2623" s="7" t="n"/>
      <c r="I2623" s="7" t="n"/>
      <c r="J2623" s="7" t="n"/>
      <c r="K2623" s="7" t="n"/>
      <c r="L2623" s="7" t="n"/>
      <c r="M2623" s="7" t="n"/>
      <c r="N2623" s="7" t="n"/>
      <c r="O2623" s="7" t="n"/>
      <c r="P2623" s="65" t="n"/>
      <c r="Q2623" s="75" t="n"/>
      <c r="R2623" s="75" t="n"/>
      <c r="S2623" s="76" t="n"/>
      <c r="T2623" s="76" t="n"/>
      <c r="U2623" s="70">
        <f>IF($A2623="","",IFERROR(INDEX('Techniciens'!$F$5:$F$44,MATCH(O2623,'Techniciens'!$B$5:$B$44,0)),'Paramètres'!$AA$10))</f>
        <v/>
      </c>
      <c r="V2623" s="70">
        <f>IF($A2623="","",IF(OR(AC2623="Demandé",AC2623="Planifié",AC2623="Annulé"),0,N(T2623)*N(U2623)))</f>
        <v/>
      </c>
      <c r="W2623" s="70">
        <f>IF($A2623="","",SUMIFS('Mouvements stock'!$H$5:$H$3004,'Mouvements stock'!$I$5:$I$3004,$A2623,'Mouvements stock'!$C$5:$C$3004,"Sortie")-SUMIFS('Mouvements stock'!$H$5:$H$3004,'Mouvements stock'!$I$5:$I$3004,$A2623,'Mouvements stock'!$C$5:$C$3004,"Retour"))</f>
        <v/>
      </c>
      <c r="X2623" s="66" t="n"/>
      <c r="Y2623" s="66" t="n"/>
      <c r="Z2623" s="7" t="n"/>
      <c r="AA2623" s="70">
        <f>IF($A2623="","",N(V2623)+N(W2623)+N(X2623)+N(Y2623))</f>
        <v/>
      </c>
      <c r="AB2623" s="70">
        <f>IF($A2623="","",N(S2623)*'Paramètres'!$AA$9*IFERROR(INDEX('Paramètres'!$O$5:$O$7,MATCH(G2623,'Paramètres'!$N$5:$N$7,0)),0))</f>
        <v/>
      </c>
      <c r="AC2623" s="7" t="n"/>
      <c r="AD2623" s="69">
        <f>IF(OR($A2623="",Q2623=""),"",(Q2623-B2623)*24)</f>
        <v/>
      </c>
      <c r="AE2623" s="69">
        <f>IF(OR(Q2623="",R2623=""),"",(R2623-Q2623)*24)</f>
        <v/>
      </c>
      <c r="AF2623" s="77">
        <f>IF(OR($A2623="",B2623=""),"",YEAR(B2623))</f>
        <v/>
      </c>
      <c r="AG2623" s="77">
        <f>IF(OR($A2623="",B2623=""),"",MONTH(B2623))</f>
        <v/>
      </c>
    </row>
    <row r="2624">
      <c r="A2624" s="7" t="n"/>
      <c r="B2624" s="75" t="n"/>
      <c r="C2624" s="7" t="n"/>
      <c r="D2624" s="7" t="n"/>
      <c r="E2624" s="9">
        <f>IF(D2624="","",IFERROR(INDEX('Équipements'!$B$5:$B$304,MATCH(D2624,'Équipements'!$A$5:$A$304,0)),"Code inconnu"))</f>
        <v/>
      </c>
      <c r="F2624" s="9">
        <f>IF(D2624="","",IFERROR(INDEX('Équipements'!$D$5:$D$304,MATCH(D2624,'Équipements'!$A$5:$A$304,0)),""))</f>
        <v/>
      </c>
      <c r="G2624" s="9">
        <f>IF(D2624="","",IFERROR(INDEX('Équipements'!$K$5:$K$304,MATCH(D2624,'Équipements'!$A$5:$A$304,0)),""))</f>
        <v/>
      </c>
      <c r="H2624" s="7" t="n"/>
      <c r="I2624" s="7" t="n"/>
      <c r="J2624" s="7" t="n"/>
      <c r="K2624" s="7" t="n"/>
      <c r="L2624" s="7" t="n"/>
      <c r="M2624" s="7" t="n"/>
      <c r="N2624" s="7" t="n"/>
      <c r="O2624" s="7" t="n"/>
      <c r="P2624" s="65" t="n"/>
      <c r="Q2624" s="75" t="n"/>
      <c r="R2624" s="75" t="n"/>
      <c r="S2624" s="76" t="n"/>
      <c r="T2624" s="76" t="n"/>
      <c r="U2624" s="70">
        <f>IF($A2624="","",IFERROR(INDEX('Techniciens'!$F$5:$F$44,MATCH(O2624,'Techniciens'!$B$5:$B$44,0)),'Paramètres'!$AA$10))</f>
        <v/>
      </c>
      <c r="V2624" s="70">
        <f>IF($A2624="","",IF(OR(AC2624="Demandé",AC2624="Planifié",AC2624="Annulé"),0,N(T2624)*N(U2624)))</f>
        <v/>
      </c>
      <c r="W2624" s="70">
        <f>IF($A2624="","",SUMIFS('Mouvements stock'!$H$5:$H$3004,'Mouvements stock'!$I$5:$I$3004,$A2624,'Mouvements stock'!$C$5:$C$3004,"Sortie")-SUMIFS('Mouvements stock'!$H$5:$H$3004,'Mouvements stock'!$I$5:$I$3004,$A2624,'Mouvements stock'!$C$5:$C$3004,"Retour"))</f>
        <v/>
      </c>
      <c r="X2624" s="66" t="n"/>
      <c r="Y2624" s="66" t="n"/>
      <c r="Z2624" s="7" t="n"/>
      <c r="AA2624" s="70">
        <f>IF($A2624="","",N(V2624)+N(W2624)+N(X2624)+N(Y2624))</f>
        <v/>
      </c>
      <c r="AB2624" s="70">
        <f>IF($A2624="","",N(S2624)*'Paramètres'!$AA$9*IFERROR(INDEX('Paramètres'!$O$5:$O$7,MATCH(G2624,'Paramètres'!$N$5:$N$7,0)),0))</f>
        <v/>
      </c>
      <c r="AC2624" s="7" t="n"/>
      <c r="AD2624" s="69">
        <f>IF(OR($A2624="",Q2624=""),"",(Q2624-B2624)*24)</f>
        <v/>
      </c>
      <c r="AE2624" s="69">
        <f>IF(OR(Q2624="",R2624=""),"",(R2624-Q2624)*24)</f>
        <v/>
      </c>
      <c r="AF2624" s="77">
        <f>IF(OR($A2624="",B2624=""),"",YEAR(B2624))</f>
        <v/>
      </c>
      <c r="AG2624" s="77">
        <f>IF(OR($A2624="",B2624=""),"",MONTH(B2624))</f>
        <v/>
      </c>
    </row>
    <row r="2625">
      <c r="A2625" s="7" t="n"/>
      <c r="B2625" s="75" t="n"/>
      <c r="C2625" s="7" t="n"/>
      <c r="D2625" s="7" t="n"/>
      <c r="E2625" s="9">
        <f>IF(D2625="","",IFERROR(INDEX('Équipements'!$B$5:$B$304,MATCH(D2625,'Équipements'!$A$5:$A$304,0)),"Code inconnu"))</f>
        <v/>
      </c>
      <c r="F2625" s="9">
        <f>IF(D2625="","",IFERROR(INDEX('Équipements'!$D$5:$D$304,MATCH(D2625,'Équipements'!$A$5:$A$304,0)),""))</f>
        <v/>
      </c>
      <c r="G2625" s="9">
        <f>IF(D2625="","",IFERROR(INDEX('Équipements'!$K$5:$K$304,MATCH(D2625,'Équipements'!$A$5:$A$304,0)),""))</f>
        <v/>
      </c>
      <c r="H2625" s="7" t="n"/>
      <c r="I2625" s="7" t="n"/>
      <c r="J2625" s="7" t="n"/>
      <c r="K2625" s="7" t="n"/>
      <c r="L2625" s="7" t="n"/>
      <c r="M2625" s="7" t="n"/>
      <c r="N2625" s="7" t="n"/>
      <c r="O2625" s="7" t="n"/>
      <c r="P2625" s="65" t="n"/>
      <c r="Q2625" s="75" t="n"/>
      <c r="R2625" s="75" t="n"/>
      <c r="S2625" s="76" t="n"/>
      <c r="T2625" s="76" t="n"/>
      <c r="U2625" s="70">
        <f>IF($A2625="","",IFERROR(INDEX('Techniciens'!$F$5:$F$44,MATCH(O2625,'Techniciens'!$B$5:$B$44,0)),'Paramètres'!$AA$10))</f>
        <v/>
      </c>
      <c r="V2625" s="70">
        <f>IF($A2625="","",IF(OR(AC2625="Demandé",AC2625="Planifié",AC2625="Annulé"),0,N(T2625)*N(U2625)))</f>
        <v/>
      </c>
      <c r="W2625" s="70">
        <f>IF($A2625="","",SUMIFS('Mouvements stock'!$H$5:$H$3004,'Mouvements stock'!$I$5:$I$3004,$A2625,'Mouvements stock'!$C$5:$C$3004,"Sortie")-SUMIFS('Mouvements stock'!$H$5:$H$3004,'Mouvements stock'!$I$5:$I$3004,$A2625,'Mouvements stock'!$C$5:$C$3004,"Retour"))</f>
        <v/>
      </c>
      <c r="X2625" s="66" t="n"/>
      <c r="Y2625" s="66" t="n"/>
      <c r="Z2625" s="7" t="n"/>
      <c r="AA2625" s="70">
        <f>IF($A2625="","",N(V2625)+N(W2625)+N(X2625)+N(Y2625))</f>
        <v/>
      </c>
      <c r="AB2625" s="70">
        <f>IF($A2625="","",N(S2625)*'Paramètres'!$AA$9*IFERROR(INDEX('Paramètres'!$O$5:$O$7,MATCH(G2625,'Paramètres'!$N$5:$N$7,0)),0))</f>
        <v/>
      </c>
      <c r="AC2625" s="7" t="n"/>
      <c r="AD2625" s="69">
        <f>IF(OR($A2625="",Q2625=""),"",(Q2625-B2625)*24)</f>
        <v/>
      </c>
      <c r="AE2625" s="69">
        <f>IF(OR(Q2625="",R2625=""),"",(R2625-Q2625)*24)</f>
        <v/>
      </c>
      <c r="AF2625" s="77">
        <f>IF(OR($A2625="",B2625=""),"",YEAR(B2625))</f>
        <v/>
      </c>
      <c r="AG2625" s="77">
        <f>IF(OR($A2625="",B2625=""),"",MONTH(B2625))</f>
        <v/>
      </c>
    </row>
    <row r="2626">
      <c r="A2626" s="7" t="n"/>
      <c r="B2626" s="75" t="n"/>
      <c r="C2626" s="7" t="n"/>
      <c r="D2626" s="7" t="n"/>
      <c r="E2626" s="9">
        <f>IF(D2626="","",IFERROR(INDEX('Équipements'!$B$5:$B$304,MATCH(D2626,'Équipements'!$A$5:$A$304,0)),"Code inconnu"))</f>
        <v/>
      </c>
      <c r="F2626" s="9">
        <f>IF(D2626="","",IFERROR(INDEX('Équipements'!$D$5:$D$304,MATCH(D2626,'Équipements'!$A$5:$A$304,0)),""))</f>
        <v/>
      </c>
      <c r="G2626" s="9">
        <f>IF(D2626="","",IFERROR(INDEX('Équipements'!$K$5:$K$304,MATCH(D2626,'Équipements'!$A$5:$A$304,0)),""))</f>
        <v/>
      </c>
      <c r="H2626" s="7" t="n"/>
      <c r="I2626" s="7" t="n"/>
      <c r="J2626" s="7" t="n"/>
      <c r="K2626" s="7" t="n"/>
      <c r="L2626" s="7" t="n"/>
      <c r="M2626" s="7" t="n"/>
      <c r="N2626" s="7" t="n"/>
      <c r="O2626" s="7" t="n"/>
      <c r="P2626" s="65" t="n"/>
      <c r="Q2626" s="75" t="n"/>
      <c r="R2626" s="75" t="n"/>
      <c r="S2626" s="76" t="n"/>
      <c r="T2626" s="76" t="n"/>
      <c r="U2626" s="70">
        <f>IF($A2626="","",IFERROR(INDEX('Techniciens'!$F$5:$F$44,MATCH(O2626,'Techniciens'!$B$5:$B$44,0)),'Paramètres'!$AA$10))</f>
        <v/>
      </c>
      <c r="V2626" s="70">
        <f>IF($A2626="","",IF(OR(AC2626="Demandé",AC2626="Planifié",AC2626="Annulé"),0,N(T2626)*N(U2626)))</f>
        <v/>
      </c>
      <c r="W2626" s="70">
        <f>IF($A2626="","",SUMIFS('Mouvements stock'!$H$5:$H$3004,'Mouvements stock'!$I$5:$I$3004,$A2626,'Mouvements stock'!$C$5:$C$3004,"Sortie")-SUMIFS('Mouvements stock'!$H$5:$H$3004,'Mouvements stock'!$I$5:$I$3004,$A2626,'Mouvements stock'!$C$5:$C$3004,"Retour"))</f>
        <v/>
      </c>
      <c r="X2626" s="66" t="n"/>
      <c r="Y2626" s="66" t="n"/>
      <c r="Z2626" s="7" t="n"/>
      <c r="AA2626" s="70">
        <f>IF($A2626="","",N(V2626)+N(W2626)+N(X2626)+N(Y2626))</f>
        <v/>
      </c>
      <c r="AB2626" s="70">
        <f>IF($A2626="","",N(S2626)*'Paramètres'!$AA$9*IFERROR(INDEX('Paramètres'!$O$5:$O$7,MATCH(G2626,'Paramètres'!$N$5:$N$7,0)),0))</f>
        <v/>
      </c>
      <c r="AC2626" s="7" t="n"/>
      <c r="AD2626" s="69">
        <f>IF(OR($A2626="",Q2626=""),"",(Q2626-B2626)*24)</f>
        <v/>
      </c>
      <c r="AE2626" s="69">
        <f>IF(OR(Q2626="",R2626=""),"",(R2626-Q2626)*24)</f>
        <v/>
      </c>
      <c r="AF2626" s="77">
        <f>IF(OR($A2626="",B2626=""),"",YEAR(B2626))</f>
        <v/>
      </c>
      <c r="AG2626" s="77">
        <f>IF(OR($A2626="",B2626=""),"",MONTH(B2626))</f>
        <v/>
      </c>
    </row>
    <row r="2627">
      <c r="A2627" s="7" t="n"/>
      <c r="B2627" s="75" t="n"/>
      <c r="C2627" s="7" t="n"/>
      <c r="D2627" s="7" t="n"/>
      <c r="E2627" s="9">
        <f>IF(D2627="","",IFERROR(INDEX('Équipements'!$B$5:$B$304,MATCH(D2627,'Équipements'!$A$5:$A$304,0)),"Code inconnu"))</f>
        <v/>
      </c>
      <c r="F2627" s="9">
        <f>IF(D2627="","",IFERROR(INDEX('Équipements'!$D$5:$D$304,MATCH(D2627,'Équipements'!$A$5:$A$304,0)),""))</f>
        <v/>
      </c>
      <c r="G2627" s="9">
        <f>IF(D2627="","",IFERROR(INDEX('Équipements'!$K$5:$K$304,MATCH(D2627,'Équipements'!$A$5:$A$304,0)),""))</f>
        <v/>
      </c>
      <c r="H2627" s="7" t="n"/>
      <c r="I2627" s="7" t="n"/>
      <c r="J2627" s="7" t="n"/>
      <c r="K2627" s="7" t="n"/>
      <c r="L2627" s="7" t="n"/>
      <c r="M2627" s="7" t="n"/>
      <c r="N2627" s="7" t="n"/>
      <c r="O2627" s="7" t="n"/>
      <c r="P2627" s="65" t="n"/>
      <c r="Q2627" s="75" t="n"/>
      <c r="R2627" s="75" t="n"/>
      <c r="S2627" s="76" t="n"/>
      <c r="T2627" s="76" t="n"/>
      <c r="U2627" s="70">
        <f>IF($A2627="","",IFERROR(INDEX('Techniciens'!$F$5:$F$44,MATCH(O2627,'Techniciens'!$B$5:$B$44,0)),'Paramètres'!$AA$10))</f>
        <v/>
      </c>
      <c r="V2627" s="70">
        <f>IF($A2627="","",IF(OR(AC2627="Demandé",AC2627="Planifié",AC2627="Annulé"),0,N(T2627)*N(U2627)))</f>
        <v/>
      </c>
      <c r="W2627" s="70">
        <f>IF($A2627="","",SUMIFS('Mouvements stock'!$H$5:$H$3004,'Mouvements stock'!$I$5:$I$3004,$A2627,'Mouvements stock'!$C$5:$C$3004,"Sortie")-SUMIFS('Mouvements stock'!$H$5:$H$3004,'Mouvements stock'!$I$5:$I$3004,$A2627,'Mouvements stock'!$C$5:$C$3004,"Retour"))</f>
        <v/>
      </c>
      <c r="X2627" s="66" t="n"/>
      <c r="Y2627" s="66" t="n"/>
      <c r="Z2627" s="7" t="n"/>
      <c r="AA2627" s="70">
        <f>IF($A2627="","",N(V2627)+N(W2627)+N(X2627)+N(Y2627))</f>
        <v/>
      </c>
      <c r="AB2627" s="70">
        <f>IF($A2627="","",N(S2627)*'Paramètres'!$AA$9*IFERROR(INDEX('Paramètres'!$O$5:$O$7,MATCH(G2627,'Paramètres'!$N$5:$N$7,0)),0))</f>
        <v/>
      </c>
      <c r="AC2627" s="7" t="n"/>
      <c r="AD2627" s="69">
        <f>IF(OR($A2627="",Q2627=""),"",(Q2627-B2627)*24)</f>
        <v/>
      </c>
      <c r="AE2627" s="69">
        <f>IF(OR(Q2627="",R2627=""),"",(R2627-Q2627)*24)</f>
        <v/>
      </c>
      <c r="AF2627" s="77">
        <f>IF(OR($A2627="",B2627=""),"",YEAR(B2627))</f>
        <v/>
      </c>
      <c r="AG2627" s="77">
        <f>IF(OR($A2627="",B2627=""),"",MONTH(B2627))</f>
        <v/>
      </c>
    </row>
    <row r="2628">
      <c r="A2628" s="7" t="n"/>
      <c r="B2628" s="75" t="n"/>
      <c r="C2628" s="7" t="n"/>
      <c r="D2628" s="7" t="n"/>
      <c r="E2628" s="9">
        <f>IF(D2628="","",IFERROR(INDEX('Équipements'!$B$5:$B$304,MATCH(D2628,'Équipements'!$A$5:$A$304,0)),"Code inconnu"))</f>
        <v/>
      </c>
      <c r="F2628" s="9">
        <f>IF(D2628="","",IFERROR(INDEX('Équipements'!$D$5:$D$304,MATCH(D2628,'Équipements'!$A$5:$A$304,0)),""))</f>
        <v/>
      </c>
      <c r="G2628" s="9">
        <f>IF(D2628="","",IFERROR(INDEX('Équipements'!$K$5:$K$304,MATCH(D2628,'Équipements'!$A$5:$A$304,0)),""))</f>
        <v/>
      </c>
      <c r="H2628" s="7" t="n"/>
      <c r="I2628" s="7" t="n"/>
      <c r="J2628" s="7" t="n"/>
      <c r="K2628" s="7" t="n"/>
      <c r="L2628" s="7" t="n"/>
      <c r="M2628" s="7" t="n"/>
      <c r="N2628" s="7" t="n"/>
      <c r="O2628" s="7" t="n"/>
      <c r="P2628" s="65" t="n"/>
      <c r="Q2628" s="75" t="n"/>
      <c r="R2628" s="75" t="n"/>
      <c r="S2628" s="76" t="n"/>
      <c r="T2628" s="76" t="n"/>
      <c r="U2628" s="70">
        <f>IF($A2628="","",IFERROR(INDEX('Techniciens'!$F$5:$F$44,MATCH(O2628,'Techniciens'!$B$5:$B$44,0)),'Paramètres'!$AA$10))</f>
        <v/>
      </c>
      <c r="V2628" s="70">
        <f>IF($A2628="","",IF(OR(AC2628="Demandé",AC2628="Planifié",AC2628="Annulé"),0,N(T2628)*N(U2628)))</f>
        <v/>
      </c>
      <c r="W2628" s="70">
        <f>IF($A2628="","",SUMIFS('Mouvements stock'!$H$5:$H$3004,'Mouvements stock'!$I$5:$I$3004,$A2628,'Mouvements stock'!$C$5:$C$3004,"Sortie")-SUMIFS('Mouvements stock'!$H$5:$H$3004,'Mouvements stock'!$I$5:$I$3004,$A2628,'Mouvements stock'!$C$5:$C$3004,"Retour"))</f>
        <v/>
      </c>
      <c r="X2628" s="66" t="n"/>
      <c r="Y2628" s="66" t="n"/>
      <c r="Z2628" s="7" t="n"/>
      <c r="AA2628" s="70">
        <f>IF($A2628="","",N(V2628)+N(W2628)+N(X2628)+N(Y2628))</f>
        <v/>
      </c>
      <c r="AB2628" s="70">
        <f>IF($A2628="","",N(S2628)*'Paramètres'!$AA$9*IFERROR(INDEX('Paramètres'!$O$5:$O$7,MATCH(G2628,'Paramètres'!$N$5:$N$7,0)),0))</f>
        <v/>
      </c>
      <c r="AC2628" s="7" t="n"/>
      <c r="AD2628" s="69">
        <f>IF(OR($A2628="",Q2628=""),"",(Q2628-B2628)*24)</f>
        <v/>
      </c>
      <c r="AE2628" s="69">
        <f>IF(OR(Q2628="",R2628=""),"",(R2628-Q2628)*24)</f>
        <v/>
      </c>
      <c r="AF2628" s="77">
        <f>IF(OR($A2628="",B2628=""),"",YEAR(B2628))</f>
        <v/>
      </c>
      <c r="AG2628" s="77">
        <f>IF(OR($A2628="",B2628=""),"",MONTH(B2628))</f>
        <v/>
      </c>
    </row>
    <row r="2629">
      <c r="A2629" s="7" t="n"/>
      <c r="B2629" s="75" t="n"/>
      <c r="C2629" s="7" t="n"/>
      <c r="D2629" s="7" t="n"/>
      <c r="E2629" s="9">
        <f>IF(D2629="","",IFERROR(INDEX('Équipements'!$B$5:$B$304,MATCH(D2629,'Équipements'!$A$5:$A$304,0)),"Code inconnu"))</f>
        <v/>
      </c>
      <c r="F2629" s="9">
        <f>IF(D2629="","",IFERROR(INDEX('Équipements'!$D$5:$D$304,MATCH(D2629,'Équipements'!$A$5:$A$304,0)),""))</f>
        <v/>
      </c>
      <c r="G2629" s="9">
        <f>IF(D2629="","",IFERROR(INDEX('Équipements'!$K$5:$K$304,MATCH(D2629,'Équipements'!$A$5:$A$304,0)),""))</f>
        <v/>
      </c>
      <c r="H2629" s="7" t="n"/>
      <c r="I2629" s="7" t="n"/>
      <c r="J2629" s="7" t="n"/>
      <c r="K2629" s="7" t="n"/>
      <c r="L2629" s="7" t="n"/>
      <c r="M2629" s="7" t="n"/>
      <c r="N2629" s="7" t="n"/>
      <c r="O2629" s="7" t="n"/>
      <c r="P2629" s="65" t="n"/>
      <c r="Q2629" s="75" t="n"/>
      <c r="R2629" s="75" t="n"/>
      <c r="S2629" s="76" t="n"/>
      <c r="T2629" s="76" t="n"/>
      <c r="U2629" s="70">
        <f>IF($A2629="","",IFERROR(INDEX('Techniciens'!$F$5:$F$44,MATCH(O2629,'Techniciens'!$B$5:$B$44,0)),'Paramètres'!$AA$10))</f>
        <v/>
      </c>
      <c r="V2629" s="70">
        <f>IF($A2629="","",IF(OR(AC2629="Demandé",AC2629="Planifié",AC2629="Annulé"),0,N(T2629)*N(U2629)))</f>
        <v/>
      </c>
      <c r="W2629" s="70">
        <f>IF($A2629="","",SUMIFS('Mouvements stock'!$H$5:$H$3004,'Mouvements stock'!$I$5:$I$3004,$A2629,'Mouvements stock'!$C$5:$C$3004,"Sortie")-SUMIFS('Mouvements stock'!$H$5:$H$3004,'Mouvements stock'!$I$5:$I$3004,$A2629,'Mouvements stock'!$C$5:$C$3004,"Retour"))</f>
        <v/>
      </c>
      <c r="X2629" s="66" t="n"/>
      <c r="Y2629" s="66" t="n"/>
      <c r="Z2629" s="7" t="n"/>
      <c r="AA2629" s="70">
        <f>IF($A2629="","",N(V2629)+N(W2629)+N(X2629)+N(Y2629))</f>
        <v/>
      </c>
      <c r="AB2629" s="70">
        <f>IF($A2629="","",N(S2629)*'Paramètres'!$AA$9*IFERROR(INDEX('Paramètres'!$O$5:$O$7,MATCH(G2629,'Paramètres'!$N$5:$N$7,0)),0))</f>
        <v/>
      </c>
      <c r="AC2629" s="7" t="n"/>
      <c r="AD2629" s="69">
        <f>IF(OR($A2629="",Q2629=""),"",(Q2629-B2629)*24)</f>
        <v/>
      </c>
      <c r="AE2629" s="69">
        <f>IF(OR(Q2629="",R2629=""),"",(R2629-Q2629)*24)</f>
        <v/>
      </c>
      <c r="AF2629" s="77">
        <f>IF(OR($A2629="",B2629=""),"",YEAR(B2629))</f>
        <v/>
      </c>
      <c r="AG2629" s="77">
        <f>IF(OR($A2629="",B2629=""),"",MONTH(B2629))</f>
        <v/>
      </c>
    </row>
    <row r="2630">
      <c r="A2630" s="7" t="n"/>
      <c r="B2630" s="75" t="n"/>
      <c r="C2630" s="7" t="n"/>
      <c r="D2630" s="7" t="n"/>
      <c r="E2630" s="9">
        <f>IF(D2630="","",IFERROR(INDEX('Équipements'!$B$5:$B$304,MATCH(D2630,'Équipements'!$A$5:$A$304,0)),"Code inconnu"))</f>
        <v/>
      </c>
      <c r="F2630" s="9">
        <f>IF(D2630="","",IFERROR(INDEX('Équipements'!$D$5:$D$304,MATCH(D2630,'Équipements'!$A$5:$A$304,0)),""))</f>
        <v/>
      </c>
      <c r="G2630" s="9">
        <f>IF(D2630="","",IFERROR(INDEX('Équipements'!$K$5:$K$304,MATCH(D2630,'Équipements'!$A$5:$A$304,0)),""))</f>
        <v/>
      </c>
      <c r="H2630" s="7" t="n"/>
      <c r="I2630" s="7" t="n"/>
      <c r="J2630" s="7" t="n"/>
      <c r="K2630" s="7" t="n"/>
      <c r="L2630" s="7" t="n"/>
      <c r="M2630" s="7" t="n"/>
      <c r="N2630" s="7" t="n"/>
      <c r="O2630" s="7" t="n"/>
      <c r="P2630" s="65" t="n"/>
      <c r="Q2630" s="75" t="n"/>
      <c r="R2630" s="75" t="n"/>
      <c r="S2630" s="76" t="n"/>
      <c r="T2630" s="76" t="n"/>
      <c r="U2630" s="70">
        <f>IF($A2630="","",IFERROR(INDEX('Techniciens'!$F$5:$F$44,MATCH(O2630,'Techniciens'!$B$5:$B$44,0)),'Paramètres'!$AA$10))</f>
        <v/>
      </c>
      <c r="V2630" s="70">
        <f>IF($A2630="","",IF(OR(AC2630="Demandé",AC2630="Planifié",AC2630="Annulé"),0,N(T2630)*N(U2630)))</f>
        <v/>
      </c>
      <c r="W2630" s="70">
        <f>IF($A2630="","",SUMIFS('Mouvements stock'!$H$5:$H$3004,'Mouvements stock'!$I$5:$I$3004,$A2630,'Mouvements stock'!$C$5:$C$3004,"Sortie")-SUMIFS('Mouvements stock'!$H$5:$H$3004,'Mouvements stock'!$I$5:$I$3004,$A2630,'Mouvements stock'!$C$5:$C$3004,"Retour"))</f>
        <v/>
      </c>
      <c r="X2630" s="66" t="n"/>
      <c r="Y2630" s="66" t="n"/>
      <c r="Z2630" s="7" t="n"/>
      <c r="AA2630" s="70">
        <f>IF($A2630="","",N(V2630)+N(W2630)+N(X2630)+N(Y2630))</f>
        <v/>
      </c>
      <c r="AB2630" s="70">
        <f>IF($A2630="","",N(S2630)*'Paramètres'!$AA$9*IFERROR(INDEX('Paramètres'!$O$5:$O$7,MATCH(G2630,'Paramètres'!$N$5:$N$7,0)),0))</f>
        <v/>
      </c>
      <c r="AC2630" s="7" t="n"/>
      <c r="AD2630" s="69">
        <f>IF(OR($A2630="",Q2630=""),"",(Q2630-B2630)*24)</f>
        <v/>
      </c>
      <c r="AE2630" s="69">
        <f>IF(OR(Q2630="",R2630=""),"",(R2630-Q2630)*24)</f>
        <v/>
      </c>
      <c r="AF2630" s="77">
        <f>IF(OR($A2630="",B2630=""),"",YEAR(B2630))</f>
        <v/>
      </c>
      <c r="AG2630" s="77">
        <f>IF(OR($A2630="",B2630=""),"",MONTH(B2630))</f>
        <v/>
      </c>
    </row>
    <row r="2631">
      <c r="A2631" s="7" t="n"/>
      <c r="B2631" s="75" t="n"/>
      <c r="C2631" s="7" t="n"/>
      <c r="D2631" s="7" t="n"/>
      <c r="E2631" s="9">
        <f>IF(D2631="","",IFERROR(INDEX('Équipements'!$B$5:$B$304,MATCH(D2631,'Équipements'!$A$5:$A$304,0)),"Code inconnu"))</f>
        <v/>
      </c>
      <c r="F2631" s="9">
        <f>IF(D2631="","",IFERROR(INDEX('Équipements'!$D$5:$D$304,MATCH(D2631,'Équipements'!$A$5:$A$304,0)),""))</f>
        <v/>
      </c>
      <c r="G2631" s="9">
        <f>IF(D2631="","",IFERROR(INDEX('Équipements'!$K$5:$K$304,MATCH(D2631,'Équipements'!$A$5:$A$304,0)),""))</f>
        <v/>
      </c>
      <c r="H2631" s="7" t="n"/>
      <c r="I2631" s="7" t="n"/>
      <c r="J2631" s="7" t="n"/>
      <c r="K2631" s="7" t="n"/>
      <c r="L2631" s="7" t="n"/>
      <c r="M2631" s="7" t="n"/>
      <c r="N2631" s="7" t="n"/>
      <c r="O2631" s="7" t="n"/>
      <c r="P2631" s="65" t="n"/>
      <c r="Q2631" s="75" t="n"/>
      <c r="R2631" s="75" t="n"/>
      <c r="S2631" s="76" t="n"/>
      <c r="T2631" s="76" t="n"/>
      <c r="U2631" s="70">
        <f>IF($A2631="","",IFERROR(INDEX('Techniciens'!$F$5:$F$44,MATCH(O2631,'Techniciens'!$B$5:$B$44,0)),'Paramètres'!$AA$10))</f>
        <v/>
      </c>
      <c r="V2631" s="70">
        <f>IF($A2631="","",IF(OR(AC2631="Demandé",AC2631="Planifié",AC2631="Annulé"),0,N(T2631)*N(U2631)))</f>
        <v/>
      </c>
      <c r="W2631" s="70">
        <f>IF($A2631="","",SUMIFS('Mouvements stock'!$H$5:$H$3004,'Mouvements stock'!$I$5:$I$3004,$A2631,'Mouvements stock'!$C$5:$C$3004,"Sortie")-SUMIFS('Mouvements stock'!$H$5:$H$3004,'Mouvements stock'!$I$5:$I$3004,$A2631,'Mouvements stock'!$C$5:$C$3004,"Retour"))</f>
        <v/>
      </c>
      <c r="X2631" s="66" t="n"/>
      <c r="Y2631" s="66" t="n"/>
      <c r="Z2631" s="7" t="n"/>
      <c r="AA2631" s="70">
        <f>IF($A2631="","",N(V2631)+N(W2631)+N(X2631)+N(Y2631))</f>
        <v/>
      </c>
      <c r="AB2631" s="70">
        <f>IF($A2631="","",N(S2631)*'Paramètres'!$AA$9*IFERROR(INDEX('Paramètres'!$O$5:$O$7,MATCH(G2631,'Paramètres'!$N$5:$N$7,0)),0))</f>
        <v/>
      </c>
      <c r="AC2631" s="7" t="n"/>
      <c r="AD2631" s="69">
        <f>IF(OR($A2631="",Q2631=""),"",(Q2631-B2631)*24)</f>
        <v/>
      </c>
      <c r="AE2631" s="69">
        <f>IF(OR(Q2631="",R2631=""),"",(R2631-Q2631)*24)</f>
        <v/>
      </c>
      <c r="AF2631" s="77">
        <f>IF(OR($A2631="",B2631=""),"",YEAR(B2631))</f>
        <v/>
      </c>
      <c r="AG2631" s="77">
        <f>IF(OR($A2631="",B2631=""),"",MONTH(B2631))</f>
        <v/>
      </c>
    </row>
    <row r="2632">
      <c r="A2632" s="7" t="n"/>
      <c r="B2632" s="75" t="n"/>
      <c r="C2632" s="7" t="n"/>
      <c r="D2632" s="7" t="n"/>
      <c r="E2632" s="9">
        <f>IF(D2632="","",IFERROR(INDEX('Équipements'!$B$5:$B$304,MATCH(D2632,'Équipements'!$A$5:$A$304,0)),"Code inconnu"))</f>
        <v/>
      </c>
      <c r="F2632" s="9">
        <f>IF(D2632="","",IFERROR(INDEX('Équipements'!$D$5:$D$304,MATCH(D2632,'Équipements'!$A$5:$A$304,0)),""))</f>
        <v/>
      </c>
      <c r="G2632" s="9">
        <f>IF(D2632="","",IFERROR(INDEX('Équipements'!$K$5:$K$304,MATCH(D2632,'Équipements'!$A$5:$A$304,0)),""))</f>
        <v/>
      </c>
      <c r="H2632" s="7" t="n"/>
      <c r="I2632" s="7" t="n"/>
      <c r="J2632" s="7" t="n"/>
      <c r="K2632" s="7" t="n"/>
      <c r="L2632" s="7" t="n"/>
      <c r="M2632" s="7" t="n"/>
      <c r="N2632" s="7" t="n"/>
      <c r="O2632" s="7" t="n"/>
      <c r="P2632" s="65" t="n"/>
      <c r="Q2632" s="75" t="n"/>
      <c r="R2632" s="75" t="n"/>
      <c r="S2632" s="76" t="n"/>
      <c r="T2632" s="76" t="n"/>
      <c r="U2632" s="70">
        <f>IF($A2632="","",IFERROR(INDEX('Techniciens'!$F$5:$F$44,MATCH(O2632,'Techniciens'!$B$5:$B$44,0)),'Paramètres'!$AA$10))</f>
        <v/>
      </c>
      <c r="V2632" s="70">
        <f>IF($A2632="","",IF(OR(AC2632="Demandé",AC2632="Planifié",AC2632="Annulé"),0,N(T2632)*N(U2632)))</f>
        <v/>
      </c>
      <c r="W2632" s="70">
        <f>IF($A2632="","",SUMIFS('Mouvements stock'!$H$5:$H$3004,'Mouvements stock'!$I$5:$I$3004,$A2632,'Mouvements stock'!$C$5:$C$3004,"Sortie")-SUMIFS('Mouvements stock'!$H$5:$H$3004,'Mouvements stock'!$I$5:$I$3004,$A2632,'Mouvements stock'!$C$5:$C$3004,"Retour"))</f>
        <v/>
      </c>
      <c r="X2632" s="66" t="n"/>
      <c r="Y2632" s="66" t="n"/>
      <c r="Z2632" s="7" t="n"/>
      <c r="AA2632" s="70">
        <f>IF($A2632="","",N(V2632)+N(W2632)+N(X2632)+N(Y2632))</f>
        <v/>
      </c>
      <c r="AB2632" s="70">
        <f>IF($A2632="","",N(S2632)*'Paramètres'!$AA$9*IFERROR(INDEX('Paramètres'!$O$5:$O$7,MATCH(G2632,'Paramètres'!$N$5:$N$7,0)),0))</f>
        <v/>
      </c>
      <c r="AC2632" s="7" t="n"/>
      <c r="AD2632" s="69">
        <f>IF(OR($A2632="",Q2632=""),"",(Q2632-B2632)*24)</f>
        <v/>
      </c>
      <c r="AE2632" s="69">
        <f>IF(OR(Q2632="",R2632=""),"",(R2632-Q2632)*24)</f>
        <v/>
      </c>
      <c r="AF2632" s="77">
        <f>IF(OR($A2632="",B2632=""),"",YEAR(B2632))</f>
        <v/>
      </c>
      <c r="AG2632" s="77">
        <f>IF(OR($A2632="",B2632=""),"",MONTH(B2632))</f>
        <v/>
      </c>
    </row>
    <row r="2633">
      <c r="A2633" s="7" t="n"/>
      <c r="B2633" s="75" t="n"/>
      <c r="C2633" s="7" t="n"/>
      <c r="D2633" s="7" t="n"/>
      <c r="E2633" s="9">
        <f>IF(D2633="","",IFERROR(INDEX('Équipements'!$B$5:$B$304,MATCH(D2633,'Équipements'!$A$5:$A$304,0)),"Code inconnu"))</f>
        <v/>
      </c>
      <c r="F2633" s="9">
        <f>IF(D2633="","",IFERROR(INDEX('Équipements'!$D$5:$D$304,MATCH(D2633,'Équipements'!$A$5:$A$304,0)),""))</f>
        <v/>
      </c>
      <c r="G2633" s="9">
        <f>IF(D2633="","",IFERROR(INDEX('Équipements'!$K$5:$K$304,MATCH(D2633,'Équipements'!$A$5:$A$304,0)),""))</f>
        <v/>
      </c>
      <c r="H2633" s="7" t="n"/>
      <c r="I2633" s="7" t="n"/>
      <c r="J2633" s="7" t="n"/>
      <c r="K2633" s="7" t="n"/>
      <c r="L2633" s="7" t="n"/>
      <c r="M2633" s="7" t="n"/>
      <c r="N2633" s="7" t="n"/>
      <c r="O2633" s="7" t="n"/>
      <c r="P2633" s="65" t="n"/>
      <c r="Q2633" s="75" t="n"/>
      <c r="R2633" s="75" t="n"/>
      <c r="S2633" s="76" t="n"/>
      <c r="T2633" s="76" t="n"/>
      <c r="U2633" s="70">
        <f>IF($A2633="","",IFERROR(INDEX('Techniciens'!$F$5:$F$44,MATCH(O2633,'Techniciens'!$B$5:$B$44,0)),'Paramètres'!$AA$10))</f>
        <v/>
      </c>
      <c r="V2633" s="70">
        <f>IF($A2633="","",IF(OR(AC2633="Demandé",AC2633="Planifié",AC2633="Annulé"),0,N(T2633)*N(U2633)))</f>
        <v/>
      </c>
      <c r="W2633" s="70">
        <f>IF($A2633="","",SUMIFS('Mouvements stock'!$H$5:$H$3004,'Mouvements stock'!$I$5:$I$3004,$A2633,'Mouvements stock'!$C$5:$C$3004,"Sortie")-SUMIFS('Mouvements stock'!$H$5:$H$3004,'Mouvements stock'!$I$5:$I$3004,$A2633,'Mouvements stock'!$C$5:$C$3004,"Retour"))</f>
        <v/>
      </c>
      <c r="X2633" s="66" t="n"/>
      <c r="Y2633" s="66" t="n"/>
      <c r="Z2633" s="7" t="n"/>
      <c r="AA2633" s="70">
        <f>IF($A2633="","",N(V2633)+N(W2633)+N(X2633)+N(Y2633))</f>
        <v/>
      </c>
      <c r="AB2633" s="70">
        <f>IF($A2633="","",N(S2633)*'Paramètres'!$AA$9*IFERROR(INDEX('Paramètres'!$O$5:$O$7,MATCH(G2633,'Paramètres'!$N$5:$N$7,0)),0))</f>
        <v/>
      </c>
      <c r="AC2633" s="7" t="n"/>
      <c r="AD2633" s="69">
        <f>IF(OR($A2633="",Q2633=""),"",(Q2633-B2633)*24)</f>
        <v/>
      </c>
      <c r="AE2633" s="69">
        <f>IF(OR(Q2633="",R2633=""),"",(R2633-Q2633)*24)</f>
        <v/>
      </c>
      <c r="AF2633" s="77">
        <f>IF(OR($A2633="",B2633=""),"",YEAR(B2633))</f>
        <v/>
      </c>
      <c r="AG2633" s="77">
        <f>IF(OR($A2633="",B2633=""),"",MONTH(B2633))</f>
        <v/>
      </c>
    </row>
    <row r="2634">
      <c r="A2634" s="7" t="n"/>
      <c r="B2634" s="75" t="n"/>
      <c r="C2634" s="7" t="n"/>
      <c r="D2634" s="7" t="n"/>
      <c r="E2634" s="9">
        <f>IF(D2634="","",IFERROR(INDEX('Équipements'!$B$5:$B$304,MATCH(D2634,'Équipements'!$A$5:$A$304,0)),"Code inconnu"))</f>
        <v/>
      </c>
      <c r="F2634" s="9">
        <f>IF(D2634="","",IFERROR(INDEX('Équipements'!$D$5:$D$304,MATCH(D2634,'Équipements'!$A$5:$A$304,0)),""))</f>
        <v/>
      </c>
      <c r="G2634" s="9">
        <f>IF(D2634="","",IFERROR(INDEX('Équipements'!$K$5:$K$304,MATCH(D2634,'Équipements'!$A$5:$A$304,0)),""))</f>
        <v/>
      </c>
      <c r="H2634" s="7" t="n"/>
      <c r="I2634" s="7" t="n"/>
      <c r="J2634" s="7" t="n"/>
      <c r="K2634" s="7" t="n"/>
      <c r="L2634" s="7" t="n"/>
      <c r="M2634" s="7" t="n"/>
      <c r="N2634" s="7" t="n"/>
      <c r="O2634" s="7" t="n"/>
      <c r="P2634" s="65" t="n"/>
      <c r="Q2634" s="75" t="n"/>
      <c r="R2634" s="75" t="n"/>
      <c r="S2634" s="76" t="n"/>
      <c r="T2634" s="76" t="n"/>
      <c r="U2634" s="70">
        <f>IF($A2634="","",IFERROR(INDEX('Techniciens'!$F$5:$F$44,MATCH(O2634,'Techniciens'!$B$5:$B$44,0)),'Paramètres'!$AA$10))</f>
        <v/>
      </c>
      <c r="V2634" s="70">
        <f>IF($A2634="","",IF(OR(AC2634="Demandé",AC2634="Planifié",AC2634="Annulé"),0,N(T2634)*N(U2634)))</f>
        <v/>
      </c>
      <c r="W2634" s="70">
        <f>IF($A2634="","",SUMIFS('Mouvements stock'!$H$5:$H$3004,'Mouvements stock'!$I$5:$I$3004,$A2634,'Mouvements stock'!$C$5:$C$3004,"Sortie")-SUMIFS('Mouvements stock'!$H$5:$H$3004,'Mouvements stock'!$I$5:$I$3004,$A2634,'Mouvements stock'!$C$5:$C$3004,"Retour"))</f>
        <v/>
      </c>
      <c r="X2634" s="66" t="n"/>
      <c r="Y2634" s="66" t="n"/>
      <c r="Z2634" s="7" t="n"/>
      <c r="AA2634" s="70">
        <f>IF($A2634="","",N(V2634)+N(W2634)+N(X2634)+N(Y2634))</f>
        <v/>
      </c>
      <c r="AB2634" s="70">
        <f>IF($A2634="","",N(S2634)*'Paramètres'!$AA$9*IFERROR(INDEX('Paramètres'!$O$5:$O$7,MATCH(G2634,'Paramètres'!$N$5:$N$7,0)),0))</f>
        <v/>
      </c>
      <c r="AC2634" s="7" t="n"/>
      <c r="AD2634" s="69">
        <f>IF(OR($A2634="",Q2634=""),"",(Q2634-B2634)*24)</f>
        <v/>
      </c>
      <c r="AE2634" s="69">
        <f>IF(OR(Q2634="",R2634=""),"",(R2634-Q2634)*24)</f>
        <v/>
      </c>
      <c r="AF2634" s="77">
        <f>IF(OR($A2634="",B2634=""),"",YEAR(B2634))</f>
        <v/>
      </c>
      <c r="AG2634" s="77">
        <f>IF(OR($A2634="",B2634=""),"",MONTH(B2634))</f>
        <v/>
      </c>
    </row>
    <row r="2635">
      <c r="A2635" s="7" t="n"/>
      <c r="B2635" s="75" t="n"/>
      <c r="C2635" s="7" t="n"/>
      <c r="D2635" s="7" t="n"/>
      <c r="E2635" s="9">
        <f>IF(D2635="","",IFERROR(INDEX('Équipements'!$B$5:$B$304,MATCH(D2635,'Équipements'!$A$5:$A$304,0)),"Code inconnu"))</f>
        <v/>
      </c>
      <c r="F2635" s="9">
        <f>IF(D2635="","",IFERROR(INDEX('Équipements'!$D$5:$D$304,MATCH(D2635,'Équipements'!$A$5:$A$304,0)),""))</f>
        <v/>
      </c>
      <c r="G2635" s="9">
        <f>IF(D2635="","",IFERROR(INDEX('Équipements'!$K$5:$K$304,MATCH(D2635,'Équipements'!$A$5:$A$304,0)),""))</f>
        <v/>
      </c>
      <c r="H2635" s="7" t="n"/>
      <c r="I2635" s="7" t="n"/>
      <c r="J2635" s="7" t="n"/>
      <c r="K2635" s="7" t="n"/>
      <c r="L2635" s="7" t="n"/>
      <c r="M2635" s="7" t="n"/>
      <c r="N2635" s="7" t="n"/>
      <c r="O2635" s="7" t="n"/>
      <c r="P2635" s="65" t="n"/>
      <c r="Q2635" s="75" t="n"/>
      <c r="R2635" s="75" t="n"/>
      <c r="S2635" s="76" t="n"/>
      <c r="T2635" s="76" t="n"/>
      <c r="U2635" s="70">
        <f>IF($A2635="","",IFERROR(INDEX('Techniciens'!$F$5:$F$44,MATCH(O2635,'Techniciens'!$B$5:$B$44,0)),'Paramètres'!$AA$10))</f>
        <v/>
      </c>
      <c r="V2635" s="70">
        <f>IF($A2635="","",IF(OR(AC2635="Demandé",AC2635="Planifié",AC2635="Annulé"),0,N(T2635)*N(U2635)))</f>
        <v/>
      </c>
      <c r="W2635" s="70">
        <f>IF($A2635="","",SUMIFS('Mouvements stock'!$H$5:$H$3004,'Mouvements stock'!$I$5:$I$3004,$A2635,'Mouvements stock'!$C$5:$C$3004,"Sortie")-SUMIFS('Mouvements stock'!$H$5:$H$3004,'Mouvements stock'!$I$5:$I$3004,$A2635,'Mouvements stock'!$C$5:$C$3004,"Retour"))</f>
        <v/>
      </c>
      <c r="X2635" s="66" t="n"/>
      <c r="Y2635" s="66" t="n"/>
      <c r="Z2635" s="7" t="n"/>
      <c r="AA2635" s="70">
        <f>IF($A2635="","",N(V2635)+N(W2635)+N(X2635)+N(Y2635))</f>
        <v/>
      </c>
      <c r="AB2635" s="70">
        <f>IF($A2635="","",N(S2635)*'Paramètres'!$AA$9*IFERROR(INDEX('Paramètres'!$O$5:$O$7,MATCH(G2635,'Paramètres'!$N$5:$N$7,0)),0))</f>
        <v/>
      </c>
      <c r="AC2635" s="7" t="n"/>
      <c r="AD2635" s="69">
        <f>IF(OR($A2635="",Q2635=""),"",(Q2635-B2635)*24)</f>
        <v/>
      </c>
      <c r="AE2635" s="69">
        <f>IF(OR(Q2635="",R2635=""),"",(R2635-Q2635)*24)</f>
        <v/>
      </c>
      <c r="AF2635" s="77">
        <f>IF(OR($A2635="",B2635=""),"",YEAR(B2635))</f>
        <v/>
      </c>
      <c r="AG2635" s="77">
        <f>IF(OR($A2635="",B2635=""),"",MONTH(B2635))</f>
        <v/>
      </c>
    </row>
    <row r="2636">
      <c r="A2636" s="7" t="n"/>
      <c r="B2636" s="75" t="n"/>
      <c r="C2636" s="7" t="n"/>
      <c r="D2636" s="7" t="n"/>
      <c r="E2636" s="9">
        <f>IF(D2636="","",IFERROR(INDEX('Équipements'!$B$5:$B$304,MATCH(D2636,'Équipements'!$A$5:$A$304,0)),"Code inconnu"))</f>
        <v/>
      </c>
      <c r="F2636" s="9">
        <f>IF(D2636="","",IFERROR(INDEX('Équipements'!$D$5:$D$304,MATCH(D2636,'Équipements'!$A$5:$A$304,0)),""))</f>
        <v/>
      </c>
      <c r="G2636" s="9">
        <f>IF(D2636="","",IFERROR(INDEX('Équipements'!$K$5:$K$304,MATCH(D2636,'Équipements'!$A$5:$A$304,0)),""))</f>
        <v/>
      </c>
      <c r="H2636" s="7" t="n"/>
      <c r="I2636" s="7" t="n"/>
      <c r="J2636" s="7" t="n"/>
      <c r="K2636" s="7" t="n"/>
      <c r="L2636" s="7" t="n"/>
      <c r="M2636" s="7" t="n"/>
      <c r="N2636" s="7" t="n"/>
      <c r="O2636" s="7" t="n"/>
      <c r="P2636" s="65" t="n"/>
      <c r="Q2636" s="75" t="n"/>
      <c r="R2636" s="75" t="n"/>
      <c r="S2636" s="76" t="n"/>
      <c r="T2636" s="76" t="n"/>
      <c r="U2636" s="70">
        <f>IF($A2636="","",IFERROR(INDEX('Techniciens'!$F$5:$F$44,MATCH(O2636,'Techniciens'!$B$5:$B$44,0)),'Paramètres'!$AA$10))</f>
        <v/>
      </c>
      <c r="V2636" s="70">
        <f>IF($A2636="","",IF(OR(AC2636="Demandé",AC2636="Planifié",AC2636="Annulé"),0,N(T2636)*N(U2636)))</f>
        <v/>
      </c>
      <c r="W2636" s="70">
        <f>IF($A2636="","",SUMIFS('Mouvements stock'!$H$5:$H$3004,'Mouvements stock'!$I$5:$I$3004,$A2636,'Mouvements stock'!$C$5:$C$3004,"Sortie")-SUMIFS('Mouvements stock'!$H$5:$H$3004,'Mouvements stock'!$I$5:$I$3004,$A2636,'Mouvements stock'!$C$5:$C$3004,"Retour"))</f>
        <v/>
      </c>
      <c r="X2636" s="66" t="n"/>
      <c r="Y2636" s="66" t="n"/>
      <c r="Z2636" s="7" t="n"/>
      <c r="AA2636" s="70">
        <f>IF($A2636="","",N(V2636)+N(W2636)+N(X2636)+N(Y2636))</f>
        <v/>
      </c>
      <c r="AB2636" s="70">
        <f>IF($A2636="","",N(S2636)*'Paramètres'!$AA$9*IFERROR(INDEX('Paramètres'!$O$5:$O$7,MATCH(G2636,'Paramètres'!$N$5:$N$7,0)),0))</f>
        <v/>
      </c>
      <c r="AC2636" s="7" t="n"/>
      <c r="AD2636" s="69">
        <f>IF(OR($A2636="",Q2636=""),"",(Q2636-B2636)*24)</f>
        <v/>
      </c>
      <c r="AE2636" s="69">
        <f>IF(OR(Q2636="",R2636=""),"",(R2636-Q2636)*24)</f>
        <v/>
      </c>
      <c r="AF2636" s="77">
        <f>IF(OR($A2636="",B2636=""),"",YEAR(B2636))</f>
        <v/>
      </c>
      <c r="AG2636" s="77">
        <f>IF(OR($A2636="",B2636=""),"",MONTH(B2636))</f>
        <v/>
      </c>
    </row>
    <row r="2637">
      <c r="A2637" s="7" t="n"/>
      <c r="B2637" s="75" t="n"/>
      <c r="C2637" s="7" t="n"/>
      <c r="D2637" s="7" t="n"/>
      <c r="E2637" s="9">
        <f>IF(D2637="","",IFERROR(INDEX('Équipements'!$B$5:$B$304,MATCH(D2637,'Équipements'!$A$5:$A$304,0)),"Code inconnu"))</f>
        <v/>
      </c>
      <c r="F2637" s="9">
        <f>IF(D2637="","",IFERROR(INDEX('Équipements'!$D$5:$D$304,MATCH(D2637,'Équipements'!$A$5:$A$304,0)),""))</f>
        <v/>
      </c>
      <c r="G2637" s="9">
        <f>IF(D2637="","",IFERROR(INDEX('Équipements'!$K$5:$K$304,MATCH(D2637,'Équipements'!$A$5:$A$304,0)),""))</f>
        <v/>
      </c>
      <c r="H2637" s="7" t="n"/>
      <c r="I2637" s="7" t="n"/>
      <c r="J2637" s="7" t="n"/>
      <c r="K2637" s="7" t="n"/>
      <c r="L2637" s="7" t="n"/>
      <c r="M2637" s="7" t="n"/>
      <c r="N2637" s="7" t="n"/>
      <c r="O2637" s="7" t="n"/>
      <c r="P2637" s="65" t="n"/>
      <c r="Q2637" s="75" t="n"/>
      <c r="R2637" s="75" t="n"/>
      <c r="S2637" s="76" t="n"/>
      <c r="T2637" s="76" t="n"/>
      <c r="U2637" s="70">
        <f>IF($A2637="","",IFERROR(INDEX('Techniciens'!$F$5:$F$44,MATCH(O2637,'Techniciens'!$B$5:$B$44,0)),'Paramètres'!$AA$10))</f>
        <v/>
      </c>
      <c r="V2637" s="70">
        <f>IF($A2637="","",IF(OR(AC2637="Demandé",AC2637="Planifié",AC2637="Annulé"),0,N(T2637)*N(U2637)))</f>
        <v/>
      </c>
      <c r="W2637" s="70">
        <f>IF($A2637="","",SUMIFS('Mouvements stock'!$H$5:$H$3004,'Mouvements stock'!$I$5:$I$3004,$A2637,'Mouvements stock'!$C$5:$C$3004,"Sortie")-SUMIFS('Mouvements stock'!$H$5:$H$3004,'Mouvements stock'!$I$5:$I$3004,$A2637,'Mouvements stock'!$C$5:$C$3004,"Retour"))</f>
        <v/>
      </c>
      <c r="X2637" s="66" t="n"/>
      <c r="Y2637" s="66" t="n"/>
      <c r="Z2637" s="7" t="n"/>
      <c r="AA2637" s="70">
        <f>IF($A2637="","",N(V2637)+N(W2637)+N(X2637)+N(Y2637))</f>
        <v/>
      </c>
      <c r="AB2637" s="70">
        <f>IF($A2637="","",N(S2637)*'Paramètres'!$AA$9*IFERROR(INDEX('Paramètres'!$O$5:$O$7,MATCH(G2637,'Paramètres'!$N$5:$N$7,0)),0))</f>
        <v/>
      </c>
      <c r="AC2637" s="7" t="n"/>
      <c r="AD2637" s="69">
        <f>IF(OR($A2637="",Q2637=""),"",(Q2637-B2637)*24)</f>
        <v/>
      </c>
      <c r="AE2637" s="69">
        <f>IF(OR(Q2637="",R2637=""),"",(R2637-Q2637)*24)</f>
        <v/>
      </c>
      <c r="AF2637" s="77">
        <f>IF(OR($A2637="",B2637=""),"",YEAR(B2637))</f>
        <v/>
      </c>
      <c r="AG2637" s="77">
        <f>IF(OR($A2637="",B2637=""),"",MONTH(B2637))</f>
        <v/>
      </c>
    </row>
    <row r="2638">
      <c r="A2638" s="7" t="n"/>
      <c r="B2638" s="75" t="n"/>
      <c r="C2638" s="7" t="n"/>
      <c r="D2638" s="7" t="n"/>
      <c r="E2638" s="9">
        <f>IF(D2638="","",IFERROR(INDEX('Équipements'!$B$5:$B$304,MATCH(D2638,'Équipements'!$A$5:$A$304,0)),"Code inconnu"))</f>
        <v/>
      </c>
      <c r="F2638" s="9">
        <f>IF(D2638="","",IFERROR(INDEX('Équipements'!$D$5:$D$304,MATCH(D2638,'Équipements'!$A$5:$A$304,0)),""))</f>
        <v/>
      </c>
      <c r="G2638" s="9">
        <f>IF(D2638="","",IFERROR(INDEX('Équipements'!$K$5:$K$304,MATCH(D2638,'Équipements'!$A$5:$A$304,0)),""))</f>
        <v/>
      </c>
      <c r="H2638" s="7" t="n"/>
      <c r="I2638" s="7" t="n"/>
      <c r="J2638" s="7" t="n"/>
      <c r="K2638" s="7" t="n"/>
      <c r="L2638" s="7" t="n"/>
      <c r="M2638" s="7" t="n"/>
      <c r="N2638" s="7" t="n"/>
      <c r="O2638" s="7" t="n"/>
      <c r="P2638" s="65" t="n"/>
      <c r="Q2638" s="75" t="n"/>
      <c r="R2638" s="75" t="n"/>
      <c r="S2638" s="76" t="n"/>
      <c r="T2638" s="76" t="n"/>
      <c r="U2638" s="70">
        <f>IF($A2638="","",IFERROR(INDEX('Techniciens'!$F$5:$F$44,MATCH(O2638,'Techniciens'!$B$5:$B$44,0)),'Paramètres'!$AA$10))</f>
        <v/>
      </c>
      <c r="V2638" s="70">
        <f>IF($A2638="","",IF(OR(AC2638="Demandé",AC2638="Planifié",AC2638="Annulé"),0,N(T2638)*N(U2638)))</f>
        <v/>
      </c>
      <c r="W2638" s="70">
        <f>IF($A2638="","",SUMIFS('Mouvements stock'!$H$5:$H$3004,'Mouvements stock'!$I$5:$I$3004,$A2638,'Mouvements stock'!$C$5:$C$3004,"Sortie")-SUMIFS('Mouvements stock'!$H$5:$H$3004,'Mouvements stock'!$I$5:$I$3004,$A2638,'Mouvements stock'!$C$5:$C$3004,"Retour"))</f>
        <v/>
      </c>
      <c r="X2638" s="66" t="n"/>
      <c r="Y2638" s="66" t="n"/>
      <c r="Z2638" s="7" t="n"/>
      <c r="AA2638" s="70">
        <f>IF($A2638="","",N(V2638)+N(W2638)+N(X2638)+N(Y2638))</f>
        <v/>
      </c>
      <c r="AB2638" s="70">
        <f>IF($A2638="","",N(S2638)*'Paramètres'!$AA$9*IFERROR(INDEX('Paramètres'!$O$5:$O$7,MATCH(G2638,'Paramètres'!$N$5:$N$7,0)),0))</f>
        <v/>
      </c>
      <c r="AC2638" s="7" t="n"/>
      <c r="AD2638" s="69">
        <f>IF(OR($A2638="",Q2638=""),"",(Q2638-B2638)*24)</f>
        <v/>
      </c>
      <c r="AE2638" s="69">
        <f>IF(OR(Q2638="",R2638=""),"",(R2638-Q2638)*24)</f>
        <v/>
      </c>
      <c r="AF2638" s="77">
        <f>IF(OR($A2638="",B2638=""),"",YEAR(B2638))</f>
        <v/>
      </c>
      <c r="AG2638" s="77">
        <f>IF(OR($A2638="",B2638=""),"",MONTH(B2638))</f>
        <v/>
      </c>
    </row>
    <row r="2639">
      <c r="A2639" s="7" t="n"/>
      <c r="B2639" s="75" t="n"/>
      <c r="C2639" s="7" t="n"/>
      <c r="D2639" s="7" t="n"/>
      <c r="E2639" s="9">
        <f>IF(D2639="","",IFERROR(INDEX('Équipements'!$B$5:$B$304,MATCH(D2639,'Équipements'!$A$5:$A$304,0)),"Code inconnu"))</f>
        <v/>
      </c>
      <c r="F2639" s="9">
        <f>IF(D2639="","",IFERROR(INDEX('Équipements'!$D$5:$D$304,MATCH(D2639,'Équipements'!$A$5:$A$304,0)),""))</f>
        <v/>
      </c>
      <c r="G2639" s="9">
        <f>IF(D2639="","",IFERROR(INDEX('Équipements'!$K$5:$K$304,MATCH(D2639,'Équipements'!$A$5:$A$304,0)),""))</f>
        <v/>
      </c>
      <c r="H2639" s="7" t="n"/>
      <c r="I2639" s="7" t="n"/>
      <c r="J2639" s="7" t="n"/>
      <c r="K2639" s="7" t="n"/>
      <c r="L2639" s="7" t="n"/>
      <c r="M2639" s="7" t="n"/>
      <c r="N2639" s="7" t="n"/>
      <c r="O2639" s="7" t="n"/>
      <c r="P2639" s="65" t="n"/>
      <c r="Q2639" s="75" t="n"/>
      <c r="R2639" s="75" t="n"/>
      <c r="S2639" s="76" t="n"/>
      <c r="T2639" s="76" t="n"/>
      <c r="U2639" s="70">
        <f>IF($A2639="","",IFERROR(INDEX('Techniciens'!$F$5:$F$44,MATCH(O2639,'Techniciens'!$B$5:$B$44,0)),'Paramètres'!$AA$10))</f>
        <v/>
      </c>
      <c r="V2639" s="70">
        <f>IF($A2639="","",IF(OR(AC2639="Demandé",AC2639="Planifié",AC2639="Annulé"),0,N(T2639)*N(U2639)))</f>
        <v/>
      </c>
      <c r="W2639" s="70">
        <f>IF($A2639="","",SUMIFS('Mouvements stock'!$H$5:$H$3004,'Mouvements stock'!$I$5:$I$3004,$A2639,'Mouvements stock'!$C$5:$C$3004,"Sortie")-SUMIFS('Mouvements stock'!$H$5:$H$3004,'Mouvements stock'!$I$5:$I$3004,$A2639,'Mouvements stock'!$C$5:$C$3004,"Retour"))</f>
        <v/>
      </c>
      <c r="X2639" s="66" t="n"/>
      <c r="Y2639" s="66" t="n"/>
      <c r="Z2639" s="7" t="n"/>
      <c r="AA2639" s="70">
        <f>IF($A2639="","",N(V2639)+N(W2639)+N(X2639)+N(Y2639))</f>
        <v/>
      </c>
      <c r="AB2639" s="70">
        <f>IF($A2639="","",N(S2639)*'Paramètres'!$AA$9*IFERROR(INDEX('Paramètres'!$O$5:$O$7,MATCH(G2639,'Paramètres'!$N$5:$N$7,0)),0))</f>
        <v/>
      </c>
      <c r="AC2639" s="7" t="n"/>
      <c r="AD2639" s="69">
        <f>IF(OR($A2639="",Q2639=""),"",(Q2639-B2639)*24)</f>
        <v/>
      </c>
      <c r="AE2639" s="69">
        <f>IF(OR(Q2639="",R2639=""),"",(R2639-Q2639)*24)</f>
        <v/>
      </c>
      <c r="AF2639" s="77">
        <f>IF(OR($A2639="",B2639=""),"",YEAR(B2639))</f>
        <v/>
      </c>
      <c r="AG2639" s="77">
        <f>IF(OR($A2639="",B2639=""),"",MONTH(B2639))</f>
        <v/>
      </c>
    </row>
    <row r="2640">
      <c r="A2640" s="7" t="n"/>
      <c r="B2640" s="75" t="n"/>
      <c r="C2640" s="7" t="n"/>
      <c r="D2640" s="7" t="n"/>
      <c r="E2640" s="9">
        <f>IF(D2640="","",IFERROR(INDEX('Équipements'!$B$5:$B$304,MATCH(D2640,'Équipements'!$A$5:$A$304,0)),"Code inconnu"))</f>
        <v/>
      </c>
      <c r="F2640" s="9">
        <f>IF(D2640="","",IFERROR(INDEX('Équipements'!$D$5:$D$304,MATCH(D2640,'Équipements'!$A$5:$A$304,0)),""))</f>
        <v/>
      </c>
      <c r="G2640" s="9">
        <f>IF(D2640="","",IFERROR(INDEX('Équipements'!$K$5:$K$304,MATCH(D2640,'Équipements'!$A$5:$A$304,0)),""))</f>
        <v/>
      </c>
      <c r="H2640" s="7" t="n"/>
      <c r="I2640" s="7" t="n"/>
      <c r="J2640" s="7" t="n"/>
      <c r="K2640" s="7" t="n"/>
      <c r="L2640" s="7" t="n"/>
      <c r="M2640" s="7" t="n"/>
      <c r="N2640" s="7" t="n"/>
      <c r="O2640" s="7" t="n"/>
      <c r="P2640" s="65" t="n"/>
      <c r="Q2640" s="75" t="n"/>
      <c r="R2640" s="75" t="n"/>
      <c r="S2640" s="76" t="n"/>
      <c r="T2640" s="76" t="n"/>
      <c r="U2640" s="70">
        <f>IF($A2640="","",IFERROR(INDEX('Techniciens'!$F$5:$F$44,MATCH(O2640,'Techniciens'!$B$5:$B$44,0)),'Paramètres'!$AA$10))</f>
        <v/>
      </c>
      <c r="V2640" s="70">
        <f>IF($A2640="","",IF(OR(AC2640="Demandé",AC2640="Planifié",AC2640="Annulé"),0,N(T2640)*N(U2640)))</f>
        <v/>
      </c>
      <c r="W2640" s="70">
        <f>IF($A2640="","",SUMIFS('Mouvements stock'!$H$5:$H$3004,'Mouvements stock'!$I$5:$I$3004,$A2640,'Mouvements stock'!$C$5:$C$3004,"Sortie")-SUMIFS('Mouvements stock'!$H$5:$H$3004,'Mouvements stock'!$I$5:$I$3004,$A2640,'Mouvements stock'!$C$5:$C$3004,"Retour"))</f>
        <v/>
      </c>
      <c r="X2640" s="66" t="n"/>
      <c r="Y2640" s="66" t="n"/>
      <c r="Z2640" s="7" t="n"/>
      <c r="AA2640" s="70">
        <f>IF($A2640="","",N(V2640)+N(W2640)+N(X2640)+N(Y2640))</f>
        <v/>
      </c>
      <c r="AB2640" s="70">
        <f>IF($A2640="","",N(S2640)*'Paramètres'!$AA$9*IFERROR(INDEX('Paramètres'!$O$5:$O$7,MATCH(G2640,'Paramètres'!$N$5:$N$7,0)),0))</f>
        <v/>
      </c>
      <c r="AC2640" s="7" t="n"/>
      <c r="AD2640" s="69">
        <f>IF(OR($A2640="",Q2640=""),"",(Q2640-B2640)*24)</f>
        <v/>
      </c>
      <c r="AE2640" s="69">
        <f>IF(OR(Q2640="",R2640=""),"",(R2640-Q2640)*24)</f>
        <v/>
      </c>
      <c r="AF2640" s="77">
        <f>IF(OR($A2640="",B2640=""),"",YEAR(B2640))</f>
        <v/>
      </c>
      <c r="AG2640" s="77">
        <f>IF(OR($A2640="",B2640=""),"",MONTH(B2640))</f>
        <v/>
      </c>
    </row>
    <row r="2641">
      <c r="A2641" s="7" t="n"/>
      <c r="B2641" s="75" t="n"/>
      <c r="C2641" s="7" t="n"/>
      <c r="D2641" s="7" t="n"/>
      <c r="E2641" s="9">
        <f>IF(D2641="","",IFERROR(INDEX('Équipements'!$B$5:$B$304,MATCH(D2641,'Équipements'!$A$5:$A$304,0)),"Code inconnu"))</f>
        <v/>
      </c>
      <c r="F2641" s="9">
        <f>IF(D2641="","",IFERROR(INDEX('Équipements'!$D$5:$D$304,MATCH(D2641,'Équipements'!$A$5:$A$304,0)),""))</f>
        <v/>
      </c>
      <c r="G2641" s="9">
        <f>IF(D2641="","",IFERROR(INDEX('Équipements'!$K$5:$K$304,MATCH(D2641,'Équipements'!$A$5:$A$304,0)),""))</f>
        <v/>
      </c>
      <c r="H2641" s="7" t="n"/>
      <c r="I2641" s="7" t="n"/>
      <c r="J2641" s="7" t="n"/>
      <c r="K2641" s="7" t="n"/>
      <c r="L2641" s="7" t="n"/>
      <c r="M2641" s="7" t="n"/>
      <c r="N2641" s="7" t="n"/>
      <c r="O2641" s="7" t="n"/>
      <c r="P2641" s="65" t="n"/>
      <c r="Q2641" s="75" t="n"/>
      <c r="R2641" s="75" t="n"/>
      <c r="S2641" s="76" t="n"/>
      <c r="T2641" s="76" t="n"/>
      <c r="U2641" s="70">
        <f>IF($A2641="","",IFERROR(INDEX('Techniciens'!$F$5:$F$44,MATCH(O2641,'Techniciens'!$B$5:$B$44,0)),'Paramètres'!$AA$10))</f>
        <v/>
      </c>
      <c r="V2641" s="70">
        <f>IF($A2641="","",IF(OR(AC2641="Demandé",AC2641="Planifié",AC2641="Annulé"),0,N(T2641)*N(U2641)))</f>
        <v/>
      </c>
      <c r="W2641" s="70">
        <f>IF($A2641="","",SUMIFS('Mouvements stock'!$H$5:$H$3004,'Mouvements stock'!$I$5:$I$3004,$A2641,'Mouvements stock'!$C$5:$C$3004,"Sortie")-SUMIFS('Mouvements stock'!$H$5:$H$3004,'Mouvements stock'!$I$5:$I$3004,$A2641,'Mouvements stock'!$C$5:$C$3004,"Retour"))</f>
        <v/>
      </c>
      <c r="X2641" s="66" t="n"/>
      <c r="Y2641" s="66" t="n"/>
      <c r="Z2641" s="7" t="n"/>
      <c r="AA2641" s="70">
        <f>IF($A2641="","",N(V2641)+N(W2641)+N(X2641)+N(Y2641))</f>
        <v/>
      </c>
      <c r="AB2641" s="70">
        <f>IF($A2641="","",N(S2641)*'Paramètres'!$AA$9*IFERROR(INDEX('Paramètres'!$O$5:$O$7,MATCH(G2641,'Paramètres'!$N$5:$N$7,0)),0))</f>
        <v/>
      </c>
      <c r="AC2641" s="7" t="n"/>
      <c r="AD2641" s="69">
        <f>IF(OR($A2641="",Q2641=""),"",(Q2641-B2641)*24)</f>
        <v/>
      </c>
      <c r="AE2641" s="69">
        <f>IF(OR(Q2641="",R2641=""),"",(R2641-Q2641)*24)</f>
        <v/>
      </c>
      <c r="AF2641" s="77">
        <f>IF(OR($A2641="",B2641=""),"",YEAR(B2641))</f>
        <v/>
      </c>
      <c r="AG2641" s="77">
        <f>IF(OR($A2641="",B2641=""),"",MONTH(B2641))</f>
        <v/>
      </c>
    </row>
    <row r="2642">
      <c r="A2642" s="7" t="n"/>
      <c r="B2642" s="75" t="n"/>
      <c r="C2642" s="7" t="n"/>
      <c r="D2642" s="7" t="n"/>
      <c r="E2642" s="9">
        <f>IF(D2642="","",IFERROR(INDEX('Équipements'!$B$5:$B$304,MATCH(D2642,'Équipements'!$A$5:$A$304,0)),"Code inconnu"))</f>
        <v/>
      </c>
      <c r="F2642" s="9">
        <f>IF(D2642="","",IFERROR(INDEX('Équipements'!$D$5:$D$304,MATCH(D2642,'Équipements'!$A$5:$A$304,0)),""))</f>
        <v/>
      </c>
      <c r="G2642" s="9">
        <f>IF(D2642="","",IFERROR(INDEX('Équipements'!$K$5:$K$304,MATCH(D2642,'Équipements'!$A$5:$A$304,0)),""))</f>
        <v/>
      </c>
      <c r="H2642" s="7" t="n"/>
      <c r="I2642" s="7" t="n"/>
      <c r="J2642" s="7" t="n"/>
      <c r="K2642" s="7" t="n"/>
      <c r="L2642" s="7" t="n"/>
      <c r="M2642" s="7" t="n"/>
      <c r="N2642" s="7" t="n"/>
      <c r="O2642" s="7" t="n"/>
      <c r="P2642" s="65" t="n"/>
      <c r="Q2642" s="75" t="n"/>
      <c r="R2642" s="75" t="n"/>
      <c r="S2642" s="76" t="n"/>
      <c r="T2642" s="76" t="n"/>
      <c r="U2642" s="70">
        <f>IF($A2642="","",IFERROR(INDEX('Techniciens'!$F$5:$F$44,MATCH(O2642,'Techniciens'!$B$5:$B$44,0)),'Paramètres'!$AA$10))</f>
        <v/>
      </c>
      <c r="V2642" s="70">
        <f>IF($A2642="","",IF(OR(AC2642="Demandé",AC2642="Planifié",AC2642="Annulé"),0,N(T2642)*N(U2642)))</f>
        <v/>
      </c>
      <c r="W2642" s="70">
        <f>IF($A2642="","",SUMIFS('Mouvements stock'!$H$5:$H$3004,'Mouvements stock'!$I$5:$I$3004,$A2642,'Mouvements stock'!$C$5:$C$3004,"Sortie")-SUMIFS('Mouvements stock'!$H$5:$H$3004,'Mouvements stock'!$I$5:$I$3004,$A2642,'Mouvements stock'!$C$5:$C$3004,"Retour"))</f>
        <v/>
      </c>
      <c r="X2642" s="66" t="n"/>
      <c r="Y2642" s="66" t="n"/>
      <c r="Z2642" s="7" t="n"/>
      <c r="AA2642" s="70">
        <f>IF($A2642="","",N(V2642)+N(W2642)+N(X2642)+N(Y2642))</f>
        <v/>
      </c>
      <c r="AB2642" s="70">
        <f>IF($A2642="","",N(S2642)*'Paramètres'!$AA$9*IFERROR(INDEX('Paramètres'!$O$5:$O$7,MATCH(G2642,'Paramètres'!$N$5:$N$7,0)),0))</f>
        <v/>
      </c>
      <c r="AC2642" s="7" t="n"/>
      <c r="AD2642" s="69">
        <f>IF(OR($A2642="",Q2642=""),"",(Q2642-B2642)*24)</f>
        <v/>
      </c>
      <c r="AE2642" s="69">
        <f>IF(OR(Q2642="",R2642=""),"",(R2642-Q2642)*24)</f>
        <v/>
      </c>
      <c r="AF2642" s="77">
        <f>IF(OR($A2642="",B2642=""),"",YEAR(B2642))</f>
        <v/>
      </c>
      <c r="AG2642" s="77">
        <f>IF(OR($A2642="",B2642=""),"",MONTH(B2642))</f>
        <v/>
      </c>
    </row>
    <row r="2643">
      <c r="A2643" s="7" t="n"/>
      <c r="B2643" s="75" t="n"/>
      <c r="C2643" s="7" t="n"/>
      <c r="D2643" s="7" t="n"/>
      <c r="E2643" s="9">
        <f>IF(D2643="","",IFERROR(INDEX('Équipements'!$B$5:$B$304,MATCH(D2643,'Équipements'!$A$5:$A$304,0)),"Code inconnu"))</f>
        <v/>
      </c>
      <c r="F2643" s="9">
        <f>IF(D2643="","",IFERROR(INDEX('Équipements'!$D$5:$D$304,MATCH(D2643,'Équipements'!$A$5:$A$304,0)),""))</f>
        <v/>
      </c>
      <c r="G2643" s="9">
        <f>IF(D2643="","",IFERROR(INDEX('Équipements'!$K$5:$K$304,MATCH(D2643,'Équipements'!$A$5:$A$304,0)),""))</f>
        <v/>
      </c>
      <c r="H2643" s="7" t="n"/>
      <c r="I2643" s="7" t="n"/>
      <c r="J2643" s="7" t="n"/>
      <c r="K2643" s="7" t="n"/>
      <c r="L2643" s="7" t="n"/>
      <c r="M2643" s="7" t="n"/>
      <c r="N2643" s="7" t="n"/>
      <c r="O2643" s="7" t="n"/>
      <c r="P2643" s="65" t="n"/>
      <c r="Q2643" s="75" t="n"/>
      <c r="R2643" s="75" t="n"/>
      <c r="S2643" s="76" t="n"/>
      <c r="T2643" s="76" t="n"/>
      <c r="U2643" s="70">
        <f>IF($A2643="","",IFERROR(INDEX('Techniciens'!$F$5:$F$44,MATCH(O2643,'Techniciens'!$B$5:$B$44,0)),'Paramètres'!$AA$10))</f>
        <v/>
      </c>
      <c r="V2643" s="70">
        <f>IF($A2643="","",IF(OR(AC2643="Demandé",AC2643="Planifié",AC2643="Annulé"),0,N(T2643)*N(U2643)))</f>
        <v/>
      </c>
      <c r="W2643" s="70">
        <f>IF($A2643="","",SUMIFS('Mouvements stock'!$H$5:$H$3004,'Mouvements stock'!$I$5:$I$3004,$A2643,'Mouvements stock'!$C$5:$C$3004,"Sortie")-SUMIFS('Mouvements stock'!$H$5:$H$3004,'Mouvements stock'!$I$5:$I$3004,$A2643,'Mouvements stock'!$C$5:$C$3004,"Retour"))</f>
        <v/>
      </c>
      <c r="X2643" s="66" t="n"/>
      <c r="Y2643" s="66" t="n"/>
      <c r="Z2643" s="7" t="n"/>
      <c r="AA2643" s="70">
        <f>IF($A2643="","",N(V2643)+N(W2643)+N(X2643)+N(Y2643))</f>
        <v/>
      </c>
      <c r="AB2643" s="70">
        <f>IF($A2643="","",N(S2643)*'Paramètres'!$AA$9*IFERROR(INDEX('Paramètres'!$O$5:$O$7,MATCH(G2643,'Paramètres'!$N$5:$N$7,0)),0))</f>
        <v/>
      </c>
      <c r="AC2643" s="7" t="n"/>
      <c r="AD2643" s="69">
        <f>IF(OR($A2643="",Q2643=""),"",(Q2643-B2643)*24)</f>
        <v/>
      </c>
      <c r="AE2643" s="69">
        <f>IF(OR(Q2643="",R2643=""),"",(R2643-Q2643)*24)</f>
        <v/>
      </c>
      <c r="AF2643" s="77">
        <f>IF(OR($A2643="",B2643=""),"",YEAR(B2643))</f>
        <v/>
      </c>
      <c r="AG2643" s="77">
        <f>IF(OR($A2643="",B2643=""),"",MONTH(B2643))</f>
        <v/>
      </c>
    </row>
    <row r="2644">
      <c r="A2644" s="7" t="n"/>
      <c r="B2644" s="75" t="n"/>
      <c r="C2644" s="7" t="n"/>
      <c r="D2644" s="7" t="n"/>
      <c r="E2644" s="9">
        <f>IF(D2644="","",IFERROR(INDEX('Équipements'!$B$5:$B$304,MATCH(D2644,'Équipements'!$A$5:$A$304,0)),"Code inconnu"))</f>
        <v/>
      </c>
      <c r="F2644" s="9">
        <f>IF(D2644="","",IFERROR(INDEX('Équipements'!$D$5:$D$304,MATCH(D2644,'Équipements'!$A$5:$A$304,0)),""))</f>
        <v/>
      </c>
      <c r="G2644" s="9">
        <f>IF(D2644="","",IFERROR(INDEX('Équipements'!$K$5:$K$304,MATCH(D2644,'Équipements'!$A$5:$A$304,0)),""))</f>
        <v/>
      </c>
      <c r="H2644" s="7" t="n"/>
      <c r="I2644" s="7" t="n"/>
      <c r="J2644" s="7" t="n"/>
      <c r="K2644" s="7" t="n"/>
      <c r="L2644" s="7" t="n"/>
      <c r="M2644" s="7" t="n"/>
      <c r="N2644" s="7" t="n"/>
      <c r="O2644" s="7" t="n"/>
      <c r="P2644" s="65" t="n"/>
      <c r="Q2644" s="75" t="n"/>
      <c r="R2644" s="75" t="n"/>
      <c r="S2644" s="76" t="n"/>
      <c r="T2644" s="76" t="n"/>
      <c r="U2644" s="70">
        <f>IF($A2644="","",IFERROR(INDEX('Techniciens'!$F$5:$F$44,MATCH(O2644,'Techniciens'!$B$5:$B$44,0)),'Paramètres'!$AA$10))</f>
        <v/>
      </c>
      <c r="V2644" s="70">
        <f>IF($A2644="","",IF(OR(AC2644="Demandé",AC2644="Planifié",AC2644="Annulé"),0,N(T2644)*N(U2644)))</f>
        <v/>
      </c>
      <c r="W2644" s="70">
        <f>IF($A2644="","",SUMIFS('Mouvements stock'!$H$5:$H$3004,'Mouvements stock'!$I$5:$I$3004,$A2644,'Mouvements stock'!$C$5:$C$3004,"Sortie")-SUMIFS('Mouvements stock'!$H$5:$H$3004,'Mouvements stock'!$I$5:$I$3004,$A2644,'Mouvements stock'!$C$5:$C$3004,"Retour"))</f>
        <v/>
      </c>
      <c r="X2644" s="66" t="n"/>
      <c r="Y2644" s="66" t="n"/>
      <c r="Z2644" s="7" t="n"/>
      <c r="AA2644" s="70">
        <f>IF($A2644="","",N(V2644)+N(W2644)+N(X2644)+N(Y2644))</f>
        <v/>
      </c>
      <c r="AB2644" s="70">
        <f>IF($A2644="","",N(S2644)*'Paramètres'!$AA$9*IFERROR(INDEX('Paramètres'!$O$5:$O$7,MATCH(G2644,'Paramètres'!$N$5:$N$7,0)),0))</f>
        <v/>
      </c>
      <c r="AC2644" s="7" t="n"/>
      <c r="AD2644" s="69">
        <f>IF(OR($A2644="",Q2644=""),"",(Q2644-B2644)*24)</f>
        <v/>
      </c>
      <c r="AE2644" s="69">
        <f>IF(OR(Q2644="",R2644=""),"",(R2644-Q2644)*24)</f>
        <v/>
      </c>
      <c r="AF2644" s="77">
        <f>IF(OR($A2644="",B2644=""),"",YEAR(B2644))</f>
        <v/>
      </c>
      <c r="AG2644" s="77">
        <f>IF(OR($A2644="",B2644=""),"",MONTH(B2644))</f>
        <v/>
      </c>
    </row>
    <row r="2645">
      <c r="A2645" s="7" t="n"/>
      <c r="B2645" s="75" t="n"/>
      <c r="C2645" s="7" t="n"/>
      <c r="D2645" s="7" t="n"/>
      <c r="E2645" s="9">
        <f>IF(D2645="","",IFERROR(INDEX('Équipements'!$B$5:$B$304,MATCH(D2645,'Équipements'!$A$5:$A$304,0)),"Code inconnu"))</f>
        <v/>
      </c>
      <c r="F2645" s="9">
        <f>IF(D2645="","",IFERROR(INDEX('Équipements'!$D$5:$D$304,MATCH(D2645,'Équipements'!$A$5:$A$304,0)),""))</f>
        <v/>
      </c>
      <c r="G2645" s="9">
        <f>IF(D2645="","",IFERROR(INDEX('Équipements'!$K$5:$K$304,MATCH(D2645,'Équipements'!$A$5:$A$304,0)),""))</f>
        <v/>
      </c>
      <c r="H2645" s="7" t="n"/>
      <c r="I2645" s="7" t="n"/>
      <c r="J2645" s="7" t="n"/>
      <c r="K2645" s="7" t="n"/>
      <c r="L2645" s="7" t="n"/>
      <c r="M2645" s="7" t="n"/>
      <c r="N2645" s="7" t="n"/>
      <c r="O2645" s="7" t="n"/>
      <c r="P2645" s="65" t="n"/>
      <c r="Q2645" s="75" t="n"/>
      <c r="R2645" s="75" t="n"/>
      <c r="S2645" s="76" t="n"/>
      <c r="T2645" s="76" t="n"/>
      <c r="U2645" s="70">
        <f>IF($A2645="","",IFERROR(INDEX('Techniciens'!$F$5:$F$44,MATCH(O2645,'Techniciens'!$B$5:$B$44,0)),'Paramètres'!$AA$10))</f>
        <v/>
      </c>
      <c r="V2645" s="70">
        <f>IF($A2645="","",IF(OR(AC2645="Demandé",AC2645="Planifié",AC2645="Annulé"),0,N(T2645)*N(U2645)))</f>
        <v/>
      </c>
      <c r="W2645" s="70">
        <f>IF($A2645="","",SUMIFS('Mouvements stock'!$H$5:$H$3004,'Mouvements stock'!$I$5:$I$3004,$A2645,'Mouvements stock'!$C$5:$C$3004,"Sortie")-SUMIFS('Mouvements stock'!$H$5:$H$3004,'Mouvements stock'!$I$5:$I$3004,$A2645,'Mouvements stock'!$C$5:$C$3004,"Retour"))</f>
        <v/>
      </c>
      <c r="X2645" s="66" t="n"/>
      <c r="Y2645" s="66" t="n"/>
      <c r="Z2645" s="7" t="n"/>
      <c r="AA2645" s="70">
        <f>IF($A2645="","",N(V2645)+N(W2645)+N(X2645)+N(Y2645))</f>
        <v/>
      </c>
      <c r="AB2645" s="70">
        <f>IF($A2645="","",N(S2645)*'Paramètres'!$AA$9*IFERROR(INDEX('Paramètres'!$O$5:$O$7,MATCH(G2645,'Paramètres'!$N$5:$N$7,0)),0))</f>
        <v/>
      </c>
      <c r="AC2645" s="7" t="n"/>
      <c r="AD2645" s="69">
        <f>IF(OR($A2645="",Q2645=""),"",(Q2645-B2645)*24)</f>
        <v/>
      </c>
      <c r="AE2645" s="69">
        <f>IF(OR(Q2645="",R2645=""),"",(R2645-Q2645)*24)</f>
        <v/>
      </c>
      <c r="AF2645" s="77">
        <f>IF(OR($A2645="",B2645=""),"",YEAR(B2645))</f>
        <v/>
      </c>
      <c r="AG2645" s="77">
        <f>IF(OR($A2645="",B2645=""),"",MONTH(B2645))</f>
        <v/>
      </c>
    </row>
    <row r="2646">
      <c r="A2646" s="7" t="n"/>
      <c r="B2646" s="75" t="n"/>
      <c r="C2646" s="7" t="n"/>
      <c r="D2646" s="7" t="n"/>
      <c r="E2646" s="9">
        <f>IF(D2646="","",IFERROR(INDEX('Équipements'!$B$5:$B$304,MATCH(D2646,'Équipements'!$A$5:$A$304,0)),"Code inconnu"))</f>
        <v/>
      </c>
      <c r="F2646" s="9">
        <f>IF(D2646="","",IFERROR(INDEX('Équipements'!$D$5:$D$304,MATCH(D2646,'Équipements'!$A$5:$A$304,0)),""))</f>
        <v/>
      </c>
      <c r="G2646" s="9">
        <f>IF(D2646="","",IFERROR(INDEX('Équipements'!$K$5:$K$304,MATCH(D2646,'Équipements'!$A$5:$A$304,0)),""))</f>
        <v/>
      </c>
      <c r="H2646" s="7" t="n"/>
      <c r="I2646" s="7" t="n"/>
      <c r="J2646" s="7" t="n"/>
      <c r="K2646" s="7" t="n"/>
      <c r="L2646" s="7" t="n"/>
      <c r="M2646" s="7" t="n"/>
      <c r="N2646" s="7" t="n"/>
      <c r="O2646" s="7" t="n"/>
      <c r="P2646" s="65" t="n"/>
      <c r="Q2646" s="75" t="n"/>
      <c r="R2646" s="75" t="n"/>
      <c r="S2646" s="76" t="n"/>
      <c r="T2646" s="76" t="n"/>
      <c r="U2646" s="70">
        <f>IF($A2646="","",IFERROR(INDEX('Techniciens'!$F$5:$F$44,MATCH(O2646,'Techniciens'!$B$5:$B$44,0)),'Paramètres'!$AA$10))</f>
        <v/>
      </c>
      <c r="V2646" s="70">
        <f>IF($A2646="","",IF(OR(AC2646="Demandé",AC2646="Planifié",AC2646="Annulé"),0,N(T2646)*N(U2646)))</f>
        <v/>
      </c>
      <c r="W2646" s="70">
        <f>IF($A2646="","",SUMIFS('Mouvements stock'!$H$5:$H$3004,'Mouvements stock'!$I$5:$I$3004,$A2646,'Mouvements stock'!$C$5:$C$3004,"Sortie")-SUMIFS('Mouvements stock'!$H$5:$H$3004,'Mouvements stock'!$I$5:$I$3004,$A2646,'Mouvements stock'!$C$5:$C$3004,"Retour"))</f>
        <v/>
      </c>
      <c r="X2646" s="66" t="n"/>
      <c r="Y2646" s="66" t="n"/>
      <c r="Z2646" s="7" t="n"/>
      <c r="AA2646" s="70">
        <f>IF($A2646="","",N(V2646)+N(W2646)+N(X2646)+N(Y2646))</f>
        <v/>
      </c>
      <c r="AB2646" s="70">
        <f>IF($A2646="","",N(S2646)*'Paramètres'!$AA$9*IFERROR(INDEX('Paramètres'!$O$5:$O$7,MATCH(G2646,'Paramètres'!$N$5:$N$7,0)),0))</f>
        <v/>
      </c>
      <c r="AC2646" s="7" t="n"/>
      <c r="AD2646" s="69">
        <f>IF(OR($A2646="",Q2646=""),"",(Q2646-B2646)*24)</f>
        <v/>
      </c>
      <c r="AE2646" s="69">
        <f>IF(OR(Q2646="",R2646=""),"",(R2646-Q2646)*24)</f>
        <v/>
      </c>
      <c r="AF2646" s="77">
        <f>IF(OR($A2646="",B2646=""),"",YEAR(B2646))</f>
        <v/>
      </c>
      <c r="AG2646" s="77">
        <f>IF(OR($A2646="",B2646=""),"",MONTH(B2646))</f>
        <v/>
      </c>
    </row>
    <row r="2647">
      <c r="A2647" s="7" t="n"/>
      <c r="B2647" s="75" t="n"/>
      <c r="C2647" s="7" t="n"/>
      <c r="D2647" s="7" t="n"/>
      <c r="E2647" s="9">
        <f>IF(D2647="","",IFERROR(INDEX('Équipements'!$B$5:$B$304,MATCH(D2647,'Équipements'!$A$5:$A$304,0)),"Code inconnu"))</f>
        <v/>
      </c>
      <c r="F2647" s="9">
        <f>IF(D2647="","",IFERROR(INDEX('Équipements'!$D$5:$D$304,MATCH(D2647,'Équipements'!$A$5:$A$304,0)),""))</f>
        <v/>
      </c>
      <c r="G2647" s="9">
        <f>IF(D2647="","",IFERROR(INDEX('Équipements'!$K$5:$K$304,MATCH(D2647,'Équipements'!$A$5:$A$304,0)),""))</f>
        <v/>
      </c>
      <c r="H2647" s="7" t="n"/>
      <c r="I2647" s="7" t="n"/>
      <c r="J2647" s="7" t="n"/>
      <c r="K2647" s="7" t="n"/>
      <c r="L2647" s="7" t="n"/>
      <c r="M2647" s="7" t="n"/>
      <c r="N2647" s="7" t="n"/>
      <c r="O2647" s="7" t="n"/>
      <c r="P2647" s="65" t="n"/>
      <c r="Q2647" s="75" t="n"/>
      <c r="R2647" s="75" t="n"/>
      <c r="S2647" s="76" t="n"/>
      <c r="T2647" s="76" t="n"/>
      <c r="U2647" s="70">
        <f>IF($A2647="","",IFERROR(INDEX('Techniciens'!$F$5:$F$44,MATCH(O2647,'Techniciens'!$B$5:$B$44,0)),'Paramètres'!$AA$10))</f>
        <v/>
      </c>
      <c r="V2647" s="70">
        <f>IF($A2647="","",IF(OR(AC2647="Demandé",AC2647="Planifié",AC2647="Annulé"),0,N(T2647)*N(U2647)))</f>
        <v/>
      </c>
      <c r="W2647" s="70">
        <f>IF($A2647="","",SUMIFS('Mouvements stock'!$H$5:$H$3004,'Mouvements stock'!$I$5:$I$3004,$A2647,'Mouvements stock'!$C$5:$C$3004,"Sortie")-SUMIFS('Mouvements stock'!$H$5:$H$3004,'Mouvements stock'!$I$5:$I$3004,$A2647,'Mouvements stock'!$C$5:$C$3004,"Retour"))</f>
        <v/>
      </c>
      <c r="X2647" s="66" t="n"/>
      <c r="Y2647" s="66" t="n"/>
      <c r="Z2647" s="7" t="n"/>
      <c r="AA2647" s="70">
        <f>IF($A2647="","",N(V2647)+N(W2647)+N(X2647)+N(Y2647))</f>
        <v/>
      </c>
      <c r="AB2647" s="70">
        <f>IF($A2647="","",N(S2647)*'Paramètres'!$AA$9*IFERROR(INDEX('Paramètres'!$O$5:$O$7,MATCH(G2647,'Paramètres'!$N$5:$N$7,0)),0))</f>
        <v/>
      </c>
      <c r="AC2647" s="7" t="n"/>
      <c r="AD2647" s="69">
        <f>IF(OR($A2647="",Q2647=""),"",(Q2647-B2647)*24)</f>
        <v/>
      </c>
      <c r="AE2647" s="69">
        <f>IF(OR(Q2647="",R2647=""),"",(R2647-Q2647)*24)</f>
        <v/>
      </c>
      <c r="AF2647" s="77">
        <f>IF(OR($A2647="",B2647=""),"",YEAR(B2647))</f>
        <v/>
      </c>
      <c r="AG2647" s="77">
        <f>IF(OR($A2647="",B2647=""),"",MONTH(B2647))</f>
        <v/>
      </c>
    </row>
    <row r="2648">
      <c r="A2648" s="7" t="n"/>
      <c r="B2648" s="75" t="n"/>
      <c r="C2648" s="7" t="n"/>
      <c r="D2648" s="7" t="n"/>
      <c r="E2648" s="9">
        <f>IF(D2648="","",IFERROR(INDEX('Équipements'!$B$5:$B$304,MATCH(D2648,'Équipements'!$A$5:$A$304,0)),"Code inconnu"))</f>
        <v/>
      </c>
      <c r="F2648" s="9">
        <f>IF(D2648="","",IFERROR(INDEX('Équipements'!$D$5:$D$304,MATCH(D2648,'Équipements'!$A$5:$A$304,0)),""))</f>
        <v/>
      </c>
      <c r="G2648" s="9">
        <f>IF(D2648="","",IFERROR(INDEX('Équipements'!$K$5:$K$304,MATCH(D2648,'Équipements'!$A$5:$A$304,0)),""))</f>
        <v/>
      </c>
      <c r="H2648" s="7" t="n"/>
      <c r="I2648" s="7" t="n"/>
      <c r="J2648" s="7" t="n"/>
      <c r="K2648" s="7" t="n"/>
      <c r="L2648" s="7" t="n"/>
      <c r="M2648" s="7" t="n"/>
      <c r="N2648" s="7" t="n"/>
      <c r="O2648" s="7" t="n"/>
      <c r="P2648" s="65" t="n"/>
      <c r="Q2648" s="75" t="n"/>
      <c r="R2648" s="75" t="n"/>
      <c r="S2648" s="76" t="n"/>
      <c r="T2648" s="76" t="n"/>
      <c r="U2648" s="70">
        <f>IF($A2648="","",IFERROR(INDEX('Techniciens'!$F$5:$F$44,MATCH(O2648,'Techniciens'!$B$5:$B$44,0)),'Paramètres'!$AA$10))</f>
        <v/>
      </c>
      <c r="V2648" s="70">
        <f>IF($A2648="","",IF(OR(AC2648="Demandé",AC2648="Planifié",AC2648="Annulé"),0,N(T2648)*N(U2648)))</f>
        <v/>
      </c>
      <c r="W2648" s="70">
        <f>IF($A2648="","",SUMIFS('Mouvements stock'!$H$5:$H$3004,'Mouvements stock'!$I$5:$I$3004,$A2648,'Mouvements stock'!$C$5:$C$3004,"Sortie")-SUMIFS('Mouvements stock'!$H$5:$H$3004,'Mouvements stock'!$I$5:$I$3004,$A2648,'Mouvements stock'!$C$5:$C$3004,"Retour"))</f>
        <v/>
      </c>
      <c r="X2648" s="66" t="n"/>
      <c r="Y2648" s="66" t="n"/>
      <c r="Z2648" s="7" t="n"/>
      <c r="AA2648" s="70">
        <f>IF($A2648="","",N(V2648)+N(W2648)+N(X2648)+N(Y2648))</f>
        <v/>
      </c>
      <c r="AB2648" s="70">
        <f>IF($A2648="","",N(S2648)*'Paramètres'!$AA$9*IFERROR(INDEX('Paramètres'!$O$5:$O$7,MATCH(G2648,'Paramètres'!$N$5:$N$7,0)),0))</f>
        <v/>
      </c>
      <c r="AC2648" s="7" t="n"/>
      <c r="AD2648" s="69">
        <f>IF(OR($A2648="",Q2648=""),"",(Q2648-B2648)*24)</f>
        <v/>
      </c>
      <c r="AE2648" s="69">
        <f>IF(OR(Q2648="",R2648=""),"",(R2648-Q2648)*24)</f>
        <v/>
      </c>
      <c r="AF2648" s="77">
        <f>IF(OR($A2648="",B2648=""),"",YEAR(B2648))</f>
        <v/>
      </c>
      <c r="AG2648" s="77">
        <f>IF(OR($A2648="",B2648=""),"",MONTH(B2648))</f>
        <v/>
      </c>
    </row>
    <row r="2649">
      <c r="A2649" s="7" t="n"/>
      <c r="B2649" s="75" t="n"/>
      <c r="C2649" s="7" t="n"/>
      <c r="D2649" s="7" t="n"/>
      <c r="E2649" s="9">
        <f>IF(D2649="","",IFERROR(INDEX('Équipements'!$B$5:$B$304,MATCH(D2649,'Équipements'!$A$5:$A$304,0)),"Code inconnu"))</f>
        <v/>
      </c>
      <c r="F2649" s="9">
        <f>IF(D2649="","",IFERROR(INDEX('Équipements'!$D$5:$D$304,MATCH(D2649,'Équipements'!$A$5:$A$304,0)),""))</f>
        <v/>
      </c>
      <c r="G2649" s="9">
        <f>IF(D2649="","",IFERROR(INDEX('Équipements'!$K$5:$K$304,MATCH(D2649,'Équipements'!$A$5:$A$304,0)),""))</f>
        <v/>
      </c>
      <c r="H2649" s="7" t="n"/>
      <c r="I2649" s="7" t="n"/>
      <c r="J2649" s="7" t="n"/>
      <c r="K2649" s="7" t="n"/>
      <c r="L2649" s="7" t="n"/>
      <c r="M2649" s="7" t="n"/>
      <c r="N2649" s="7" t="n"/>
      <c r="O2649" s="7" t="n"/>
      <c r="P2649" s="65" t="n"/>
      <c r="Q2649" s="75" t="n"/>
      <c r="R2649" s="75" t="n"/>
      <c r="S2649" s="76" t="n"/>
      <c r="T2649" s="76" t="n"/>
      <c r="U2649" s="70">
        <f>IF($A2649="","",IFERROR(INDEX('Techniciens'!$F$5:$F$44,MATCH(O2649,'Techniciens'!$B$5:$B$44,0)),'Paramètres'!$AA$10))</f>
        <v/>
      </c>
      <c r="V2649" s="70">
        <f>IF($A2649="","",IF(OR(AC2649="Demandé",AC2649="Planifié",AC2649="Annulé"),0,N(T2649)*N(U2649)))</f>
        <v/>
      </c>
      <c r="W2649" s="70">
        <f>IF($A2649="","",SUMIFS('Mouvements stock'!$H$5:$H$3004,'Mouvements stock'!$I$5:$I$3004,$A2649,'Mouvements stock'!$C$5:$C$3004,"Sortie")-SUMIFS('Mouvements stock'!$H$5:$H$3004,'Mouvements stock'!$I$5:$I$3004,$A2649,'Mouvements stock'!$C$5:$C$3004,"Retour"))</f>
        <v/>
      </c>
      <c r="X2649" s="66" t="n"/>
      <c r="Y2649" s="66" t="n"/>
      <c r="Z2649" s="7" t="n"/>
      <c r="AA2649" s="70">
        <f>IF($A2649="","",N(V2649)+N(W2649)+N(X2649)+N(Y2649))</f>
        <v/>
      </c>
      <c r="AB2649" s="70">
        <f>IF($A2649="","",N(S2649)*'Paramètres'!$AA$9*IFERROR(INDEX('Paramètres'!$O$5:$O$7,MATCH(G2649,'Paramètres'!$N$5:$N$7,0)),0))</f>
        <v/>
      </c>
      <c r="AC2649" s="7" t="n"/>
      <c r="AD2649" s="69">
        <f>IF(OR($A2649="",Q2649=""),"",(Q2649-B2649)*24)</f>
        <v/>
      </c>
      <c r="AE2649" s="69">
        <f>IF(OR(Q2649="",R2649=""),"",(R2649-Q2649)*24)</f>
        <v/>
      </c>
      <c r="AF2649" s="77">
        <f>IF(OR($A2649="",B2649=""),"",YEAR(B2649))</f>
        <v/>
      </c>
      <c r="AG2649" s="77">
        <f>IF(OR($A2649="",B2649=""),"",MONTH(B2649))</f>
        <v/>
      </c>
    </row>
    <row r="2650">
      <c r="A2650" s="7" t="n"/>
      <c r="B2650" s="75" t="n"/>
      <c r="C2650" s="7" t="n"/>
      <c r="D2650" s="7" t="n"/>
      <c r="E2650" s="9">
        <f>IF(D2650="","",IFERROR(INDEX('Équipements'!$B$5:$B$304,MATCH(D2650,'Équipements'!$A$5:$A$304,0)),"Code inconnu"))</f>
        <v/>
      </c>
      <c r="F2650" s="9">
        <f>IF(D2650="","",IFERROR(INDEX('Équipements'!$D$5:$D$304,MATCH(D2650,'Équipements'!$A$5:$A$304,0)),""))</f>
        <v/>
      </c>
      <c r="G2650" s="9">
        <f>IF(D2650="","",IFERROR(INDEX('Équipements'!$K$5:$K$304,MATCH(D2650,'Équipements'!$A$5:$A$304,0)),""))</f>
        <v/>
      </c>
      <c r="H2650" s="7" t="n"/>
      <c r="I2650" s="7" t="n"/>
      <c r="J2650" s="7" t="n"/>
      <c r="K2650" s="7" t="n"/>
      <c r="L2650" s="7" t="n"/>
      <c r="M2650" s="7" t="n"/>
      <c r="N2650" s="7" t="n"/>
      <c r="O2650" s="7" t="n"/>
      <c r="P2650" s="65" t="n"/>
      <c r="Q2650" s="75" t="n"/>
      <c r="R2650" s="75" t="n"/>
      <c r="S2650" s="76" t="n"/>
      <c r="T2650" s="76" t="n"/>
      <c r="U2650" s="70">
        <f>IF($A2650="","",IFERROR(INDEX('Techniciens'!$F$5:$F$44,MATCH(O2650,'Techniciens'!$B$5:$B$44,0)),'Paramètres'!$AA$10))</f>
        <v/>
      </c>
      <c r="V2650" s="70">
        <f>IF($A2650="","",IF(OR(AC2650="Demandé",AC2650="Planifié",AC2650="Annulé"),0,N(T2650)*N(U2650)))</f>
        <v/>
      </c>
      <c r="W2650" s="70">
        <f>IF($A2650="","",SUMIFS('Mouvements stock'!$H$5:$H$3004,'Mouvements stock'!$I$5:$I$3004,$A2650,'Mouvements stock'!$C$5:$C$3004,"Sortie")-SUMIFS('Mouvements stock'!$H$5:$H$3004,'Mouvements stock'!$I$5:$I$3004,$A2650,'Mouvements stock'!$C$5:$C$3004,"Retour"))</f>
        <v/>
      </c>
      <c r="X2650" s="66" t="n"/>
      <c r="Y2650" s="66" t="n"/>
      <c r="Z2650" s="7" t="n"/>
      <c r="AA2650" s="70">
        <f>IF($A2650="","",N(V2650)+N(W2650)+N(X2650)+N(Y2650))</f>
        <v/>
      </c>
      <c r="AB2650" s="70">
        <f>IF($A2650="","",N(S2650)*'Paramètres'!$AA$9*IFERROR(INDEX('Paramètres'!$O$5:$O$7,MATCH(G2650,'Paramètres'!$N$5:$N$7,0)),0))</f>
        <v/>
      </c>
      <c r="AC2650" s="7" t="n"/>
      <c r="AD2650" s="69">
        <f>IF(OR($A2650="",Q2650=""),"",(Q2650-B2650)*24)</f>
        <v/>
      </c>
      <c r="AE2650" s="69">
        <f>IF(OR(Q2650="",R2650=""),"",(R2650-Q2650)*24)</f>
        <v/>
      </c>
      <c r="AF2650" s="77">
        <f>IF(OR($A2650="",B2650=""),"",YEAR(B2650))</f>
        <v/>
      </c>
      <c r="AG2650" s="77">
        <f>IF(OR($A2650="",B2650=""),"",MONTH(B2650))</f>
        <v/>
      </c>
    </row>
    <row r="2651">
      <c r="A2651" s="7" t="n"/>
      <c r="B2651" s="75" t="n"/>
      <c r="C2651" s="7" t="n"/>
      <c r="D2651" s="7" t="n"/>
      <c r="E2651" s="9">
        <f>IF(D2651="","",IFERROR(INDEX('Équipements'!$B$5:$B$304,MATCH(D2651,'Équipements'!$A$5:$A$304,0)),"Code inconnu"))</f>
        <v/>
      </c>
      <c r="F2651" s="9">
        <f>IF(D2651="","",IFERROR(INDEX('Équipements'!$D$5:$D$304,MATCH(D2651,'Équipements'!$A$5:$A$304,0)),""))</f>
        <v/>
      </c>
      <c r="G2651" s="9">
        <f>IF(D2651="","",IFERROR(INDEX('Équipements'!$K$5:$K$304,MATCH(D2651,'Équipements'!$A$5:$A$304,0)),""))</f>
        <v/>
      </c>
      <c r="H2651" s="7" t="n"/>
      <c r="I2651" s="7" t="n"/>
      <c r="J2651" s="7" t="n"/>
      <c r="K2651" s="7" t="n"/>
      <c r="L2651" s="7" t="n"/>
      <c r="M2651" s="7" t="n"/>
      <c r="N2651" s="7" t="n"/>
      <c r="O2651" s="7" t="n"/>
      <c r="P2651" s="65" t="n"/>
      <c r="Q2651" s="75" t="n"/>
      <c r="R2651" s="75" t="n"/>
      <c r="S2651" s="76" t="n"/>
      <c r="T2651" s="76" t="n"/>
      <c r="U2651" s="70">
        <f>IF($A2651="","",IFERROR(INDEX('Techniciens'!$F$5:$F$44,MATCH(O2651,'Techniciens'!$B$5:$B$44,0)),'Paramètres'!$AA$10))</f>
        <v/>
      </c>
      <c r="V2651" s="70">
        <f>IF($A2651="","",IF(OR(AC2651="Demandé",AC2651="Planifié",AC2651="Annulé"),0,N(T2651)*N(U2651)))</f>
        <v/>
      </c>
      <c r="W2651" s="70">
        <f>IF($A2651="","",SUMIFS('Mouvements stock'!$H$5:$H$3004,'Mouvements stock'!$I$5:$I$3004,$A2651,'Mouvements stock'!$C$5:$C$3004,"Sortie")-SUMIFS('Mouvements stock'!$H$5:$H$3004,'Mouvements stock'!$I$5:$I$3004,$A2651,'Mouvements stock'!$C$5:$C$3004,"Retour"))</f>
        <v/>
      </c>
      <c r="X2651" s="66" t="n"/>
      <c r="Y2651" s="66" t="n"/>
      <c r="Z2651" s="7" t="n"/>
      <c r="AA2651" s="70">
        <f>IF($A2651="","",N(V2651)+N(W2651)+N(X2651)+N(Y2651))</f>
        <v/>
      </c>
      <c r="AB2651" s="70">
        <f>IF($A2651="","",N(S2651)*'Paramètres'!$AA$9*IFERROR(INDEX('Paramètres'!$O$5:$O$7,MATCH(G2651,'Paramètres'!$N$5:$N$7,0)),0))</f>
        <v/>
      </c>
      <c r="AC2651" s="7" t="n"/>
      <c r="AD2651" s="69">
        <f>IF(OR($A2651="",Q2651=""),"",(Q2651-B2651)*24)</f>
        <v/>
      </c>
      <c r="AE2651" s="69">
        <f>IF(OR(Q2651="",R2651=""),"",(R2651-Q2651)*24)</f>
        <v/>
      </c>
      <c r="AF2651" s="77">
        <f>IF(OR($A2651="",B2651=""),"",YEAR(B2651))</f>
        <v/>
      </c>
      <c r="AG2651" s="77">
        <f>IF(OR($A2651="",B2651=""),"",MONTH(B2651))</f>
        <v/>
      </c>
    </row>
    <row r="2652">
      <c r="A2652" s="7" t="n"/>
      <c r="B2652" s="75" t="n"/>
      <c r="C2652" s="7" t="n"/>
      <c r="D2652" s="7" t="n"/>
      <c r="E2652" s="9">
        <f>IF(D2652="","",IFERROR(INDEX('Équipements'!$B$5:$B$304,MATCH(D2652,'Équipements'!$A$5:$A$304,0)),"Code inconnu"))</f>
        <v/>
      </c>
      <c r="F2652" s="9">
        <f>IF(D2652="","",IFERROR(INDEX('Équipements'!$D$5:$D$304,MATCH(D2652,'Équipements'!$A$5:$A$304,0)),""))</f>
        <v/>
      </c>
      <c r="G2652" s="9">
        <f>IF(D2652="","",IFERROR(INDEX('Équipements'!$K$5:$K$304,MATCH(D2652,'Équipements'!$A$5:$A$304,0)),""))</f>
        <v/>
      </c>
      <c r="H2652" s="7" t="n"/>
      <c r="I2652" s="7" t="n"/>
      <c r="J2652" s="7" t="n"/>
      <c r="K2652" s="7" t="n"/>
      <c r="L2652" s="7" t="n"/>
      <c r="M2652" s="7" t="n"/>
      <c r="N2652" s="7" t="n"/>
      <c r="O2652" s="7" t="n"/>
      <c r="P2652" s="65" t="n"/>
      <c r="Q2652" s="75" t="n"/>
      <c r="R2652" s="75" t="n"/>
      <c r="S2652" s="76" t="n"/>
      <c r="T2652" s="76" t="n"/>
      <c r="U2652" s="70">
        <f>IF($A2652="","",IFERROR(INDEX('Techniciens'!$F$5:$F$44,MATCH(O2652,'Techniciens'!$B$5:$B$44,0)),'Paramètres'!$AA$10))</f>
        <v/>
      </c>
      <c r="V2652" s="70">
        <f>IF($A2652="","",IF(OR(AC2652="Demandé",AC2652="Planifié",AC2652="Annulé"),0,N(T2652)*N(U2652)))</f>
        <v/>
      </c>
      <c r="W2652" s="70">
        <f>IF($A2652="","",SUMIFS('Mouvements stock'!$H$5:$H$3004,'Mouvements stock'!$I$5:$I$3004,$A2652,'Mouvements stock'!$C$5:$C$3004,"Sortie")-SUMIFS('Mouvements stock'!$H$5:$H$3004,'Mouvements stock'!$I$5:$I$3004,$A2652,'Mouvements stock'!$C$5:$C$3004,"Retour"))</f>
        <v/>
      </c>
      <c r="X2652" s="66" t="n"/>
      <c r="Y2652" s="66" t="n"/>
      <c r="Z2652" s="7" t="n"/>
      <c r="AA2652" s="70">
        <f>IF($A2652="","",N(V2652)+N(W2652)+N(X2652)+N(Y2652))</f>
        <v/>
      </c>
      <c r="AB2652" s="70">
        <f>IF($A2652="","",N(S2652)*'Paramètres'!$AA$9*IFERROR(INDEX('Paramètres'!$O$5:$O$7,MATCH(G2652,'Paramètres'!$N$5:$N$7,0)),0))</f>
        <v/>
      </c>
      <c r="AC2652" s="7" t="n"/>
      <c r="AD2652" s="69">
        <f>IF(OR($A2652="",Q2652=""),"",(Q2652-B2652)*24)</f>
        <v/>
      </c>
      <c r="AE2652" s="69">
        <f>IF(OR(Q2652="",R2652=""),"",(R2652-Q2652)*24)</f>
        <v/>
      </c>
      <c r="AF2652" s="77">
        <f>IF(OR($A2652="",B2652=""),"",YEAR(B2652))</f>
        <v/>
      </c>
      <c r="AG2652" s="77">
        <f>IF(OR($A2652="",B2652=""),"",MONTH(B2652))</f>
        <v/>
      </c>
    </row>
    <row r="2653">
      <c r="A2653" s="7" t="n"/>
      <c r="B2653" s="75" t="n"/>
      <c r="C2653" s="7" t="n"/>
      <c r="D2653" s="7" t="n"/>
      <c r="E2653" s="9">
        <f>IF(D2653="","",IFERROR(INDEX('Équipements'!$B$5:$B$304,MATCH(D2653,'Équipements'!$A$5:$A$304,0)),"Code inconnu"))</f>
        <v/>
      </c>
      <c r="F2653" s="9">
        <f>IF(D2653="","",IFERROR(INDEX('Équipements'!$D$5:$D$304,MATCH(D2653,'Équipements'!$A$5:$A$304,0)),""))</f>
        <v/>
      </c>
      <c r="G2653" s="9">
        <f>IF(D2653="","",IFERROR(INDEX('Équipements'!$K$5:$K$304,MATCH(D2653,'Équipements'!$A$5:$A$304,0)),""))</f>
        <v/>
      </c>
      <c r="H2653" s="7" t="n"/>
      <c r="I2653" s="7" t="n"/>
      <c r="J2653" s="7" t="n"/>
      <c r="K2653" s="7" t="n"/>
      <c r="L2653" s="7" t="n"/>
      <c r="M2653" s="7" t="n"/>
      <c r="N2653" s="7" t="n"/>
      <c r="O2653" s="7" t="n"/>
      <c r="P2653" s="65" t="n"/>
      <c r="Q2653" s="75" t="n"/>
      <c r="R2653" s="75" t="n"/>
      <c r="S2653" s="76" t="n"/>
      <c r="T2653" s="76" t="n"/>
      <c r="U2653" s="70">
        <f>IF($A2653="","",IFERROR(INDEX('Techniciens'!$F$5:$F$44,MATCH(O2653,'Techniciens'!$B$5:$B$44,0)),'Paramètres'!$AA$10))</f>
        <v/>
      </c>
      <c r="V2653" s="70">
        <f>IF($A2653="","",IF(OR(AC2653="Demandé",AC2653="Planifié",AC2653="Annulé"),0,N(T2653)*N(U2653)))</f>
        <v/>
      </c>
      <c r="W2653" s="70">
        <f>IF($A2653="","",SUMIFS('Mouvements stock'!$H$5:$H$3004,'Mouvements stock'!$I$5:$I$3004,$A2653,'Mouvements stock'!$C$5:$C$3004,"Sortie")-SUMIFS('Mouvements stock'!$H$5:$H$3004,'Mouvements stock'!$I$5:$I$3004,$A2653,'Mouvements stock'!$C$5:$C$3004,"Retour"))</f>
        <v/>
      </c>
      <c r="X2653" s="66" t="n"/>
      <c r="Y2653" s="66" t="n"/>
      <c r="Z2653" s="7" t="n"/>
      <c r="AA2653" s="70">
        <f>IF($A2653="","",N(V2653)+N(W2653)+N(X2653)+N(Y2653))</f>
        <v/>
      </c>
      <c r="AB2653" s="70">
        <f>IF($A2653="","",N(S2653)*'Paramètres'!$AA$9*IFERROR(INDEX('Paramètres'!$O$5:$O$7,MATCH(G2653,'Paramètres'!$N$5:$N$7,0)),0))</f>
        <v/>
      </c>
      <c r="AC2653" s="7" t="n"/>
      <c r="AD2653" s="69">
        <f>IF(OR($A2653="",Q2653=""),"",(Q2653-B2653)*24)</f>
        <v/>
      </c>
      <c r="AE2653" s="69">
        <f>IF(OR(Q2653="",R2653=""),"",(R2653-Q2653)*24)</f>
        <v/>
      </c>
      <c r="AF2653" s="77">
        <f>IF(OR($A2653="",B2653=""),"",YEAR(B2653))</f>
        <v/>
      </c>
      <c r="AG2653" s="77">
        <f>IF(OR($A2653="",B2653=""),"",MONTH(B2653))</f>
        <v/>
      </c>
    </row>
    <row r="2654">
      <c r="A2654" s="7" t="n"/>
      <c r="B2654" s="75" t="n"/>
      <c r="C2654" s="7" t="n"/>
      <c r="D2654" s="7" t="n"/>
      <c r="E2654" s="9">
        <f>IF(D2654="","",IFERROR(INDEX('Équipements'!$B$5:$B$304,MATCH(D2654,'Équipements'!$A$5:$A$304,0)),"Code inconnu"))</f>
        <v/>
      </c>
      <c r="F2654" s="9">
        <f>IF(D2654="","",IFERROR(INDEX('Équipements'!$D$5:$D$304,MATCH(D2654,'Équipements'!$A$5:$A$304,0)),""))</f>
        <v/>
      </c>
      <c r="G2654" s="9">
        <f>IF(D2654="","",IFERROR(INDEX('Équipements'!$K$5:$K$304,MATCH(D2654,'Équipements'!$A$5:$A$304,0)),""))</f>
        <v/>
      </c>
      <c r="H2654" s="7" t="n"/>
      <c r="I2654" s="7" t="n"/>
      <c r="J2654" s="7" t="n"/>
      <c r="K2654" s="7" t="n"/>
      <c r="L2654" s="7" t="n"/>
      <c r="M2654" s="7" t="n"/>
      <c r="N2654" s="7" t="n"/>
      <c r="O2654" s="7" t="n"/>
      <c r="P2654" s="65" t="n"/>
      <c r="Q2654" s="75" t="n"/>
      <c r="R2654" s="75" t="n"/>
      <c r="S2654" s="76" t="n"/>
      <c r="T2654" s="76" t="n"/>
      <c r="U2654" s="70">
        <f>IF($A2654="","",IFERROR(INDEX('Techniciens'!$F$5:$F$44,MATCH(O2654,'Techniciens'!$B$5:$B$44,0)),'Paramètres'!$AA$10))</f>
        <v/>
      </c>
      <c r="V2654" s="70">
        <f>IF($A2654="","",IF(OR(AC2654="Demandé",AC2654="Planifié",AC2654="Annulé"),0,N(T2654)*N(U2654)))</f>
        <v/>
      </c>
      <c r="W2654" s="70">
        <f>IF($A2654="","",SUMIFS('Mouvements stock'!$H$5:$H$3004,'Mouvements stock'!$I$5:$I$3004,$A2654,'Mouvements stock'!$C$5:$C$3004,"Sortie")-SUMIFS('Mouvements stock'!$H$5:$H$3004,'Mouvements stock'!$I$5:$I$3004,$A2654,'Mouvements stock'!$C$5:$C$3004,"Retour"))</f>
        <v/>
      </c>
      <c r="X2654" s="66" t="n"/>
      <c r="Y2654" s="66" t="n"/>
      <c r="Z2654" s="7" t="n"/>
      <c r="AA2654" s="70">
        <f>IF($A2654="","",N(V2654)+N(W2654)+N(X2654)+N(Y2654))</f>
        <v/>
      </c>
      <c r="AB2654" s="70">
        <f>IF($A2654="","",N(S2654)*'Paramètres'!$AA$9*IFERROR(INDEX('Paramètres'!$O$5:$O$7,MATCH(G2654,'Paramètres'!$N$5:$N$7,0)),0))</f>
        <v/>
      </c>
      <c r="AC2654" s="7" t="n"/>
      <c r="AD2654" s="69">
        <f>IF(OR($A2654="",Q2654=""),"",(Q2654-B2654)*24)</f>
        <v/>
      </c>
      <c r="AE2654" s="69">
        <f>IF(OR(Q2654="",R2654=""),"",(R2654-Q2654)*24)</f>
        <v/>
      </c>
      <c r="AF2654" s="77">
        <f>IF(OR($A2654="",B2654=""),"",YEAR(B2654))</f>
        <v/>
      </c>
      <c r="AG2654" s="77">
        <f>IF(OR($A2654="",B2654=""),"",MONTH(B2654))</f>
        <v/>
      </c>
    </row>
    <row r="2655">
      <c r="A2655" s="7" t="n"/>
      <c r="B2655" s="75" t="n"/>
      <c r="C2655" s="7" t="n"/>
      <c r="D2655" s="7" t="n"/>
      <c r="E2655" s="9">
        <f>IF(D2655="","",IFERROR(INDEX('Équipements'!$B$5:$B$304,MATCH(D2655,'Équipements'!$A$5:$A$304,0)),"Code inconnu"))</f>
        <v/>
      </c>
      <c r="F2655" s="9">
        <f>IF(D2655="","",IFERROR(INDEX('Équipements'!$D$5:$D$304,MATCH(D2655,'Équipements'!$A$5:$A$304,0)),""))</f>
        <v/>
      </c>
      <c r="G2655" s="9">
        <f>IF(D2655="","",IFERROR(INDEX('Équipements'!$K$5:$K$304,MATCH(D2655,'Équipements'!$A$5:$A$304,0)),""))</f>
        <v/>
      </c>
      <c r="H2655" s="7" t="n"/>
      <c r="I2655" s="7" t="n"/>
      <c r="J2655" s="7" t="n"/>
      <c r="K2655" s="7" t="n"/>
      <c r="L2655" s="7" t="n"/>
      <c r="M2655" s="7" t="n"/>
      <c r="N2655" s="7" t="n"/>
      <c r="O2655" s="7" t="n"/>
      <c r="P2655" s="65" t="n"/>
      <c r="Q2655" s="75" t="n"/>
      <c r="R2655" s="75" t="n"/>
      <c r="S2655" s="76" t="n"/>
      <c r="T2655" s="76" t="n"/>
      <c r="U2655" s="70">
        <f>IF($A2655="","",IFERROR(INDEX('Techniciens'!$F$5:$F$44,MATCH(O2655,'Techniciens'!$B$5:$B$44,0)),'Paramètres'!$AA$10))</f>
        <v/>
      </c>
      <c r="V2655" s="70">
        <f>IF($A2655="","",IF(OR(AC2655="Demandé",AC2655="Planifié",AC2655="Annulé"),0,N(T2655)*N(U2655)))</f>
        <v/>
      </c>
      <c r="W2655" s="70">
        <f>IF($A2655="","",SUMIFS('Mouvements stock'!$H$5:$H$3004,'Mouvements stock'!$I$5:$I$3004,$A2655,'Mouvements stock'!$C$5:$C$3004,"Sortie")-SUMIFS('Mouvements stock'!$H$5:$H$3004,'Mouvements stock'!$I$5:$I$3004,$A2655,'Mouvements stock'!$C$5:$C$3004,"Retour"))</f>
        <v/>
      </c>
      <c r="X2655" s="66" t="n"/>
      <c r="Y2655" s="66" t="n"/>
      <c r="Z2655" s="7" t="n"/>
      <c r="AA2655" s="70">
        <f>IF($A2655="","",N(V2655)+N(W2655)+N(X2655)+N(Y2655))</f>
        <v/>
      </c>
      <c r="AB2655" s="70">
        <f>IF($A2655="","",N(S2655)*'Paramètres'!$AA$9*IFERROR(INDEX('Paramètres'!$O$5:$O$7,MATCH(G2655,'Paramètres'!$N$5:$N$7,0)),0))</f>
        <v/>
      </c>
      <c r="AC2655" s="7" t="n"/>
      <c r="AD2655" s="69">
        <f>IF(OR($A2655="",Q2655=""),"",(Q2655-B2655)*24)</f>
        <v/>
      </c>
      <c r="AE2655" s="69">
        <f>IF(OR(Q2655="",R2655=""),"",(R2655-Q2655)*24)</f>
        <v/>
      </c>
      <c r="AF2655" s="77">
        <f>IF(OR($A2655="",B2655=""),"",YEAR(B2655))</f>
        <v/>
      </c>
      <c r="AG2655" s="77">
        <f>IF(OR($A2655="",B2655=""),"",MONTH(B2655))</f>
        <v/>
      </c>
    </row>
    <row r="2656">
      <c r="A2656" s="7" t="n"/>
      <c r="B2656" s="75" t="n"/>
      <c r="C2656" s="7" t="n"/>
      <c r="D2656" s="7" t="n"/>
      <c r="E2656" s="9">
        <f>IF(D2656="","",IFERROR(INDEX('Équipements'!$B$5:$B$304,MATCH(D2656,'Équipements'!$A$5:$A$304,0)),"Code inconnu"))</f>
        <v/>
      </c>
      <c r="F2656" s="9">
        <f>IF(D2656="","",IFERROR(INDEX('Équipements'!$D$5:$D$304,MATCH(D2656,'Équipements'!$A$5:$A$304,0)),""))</f>
        <v/>
      </c>
      <c r="G2656" s="9">
        <f>IF(D2656="","",IFERROR(INDEX('Équipements'!$K$5:$K$304,MATCH(D2656,'Équipements'!$A$5:$A$304,0)),""))</f>
        <v/>
      </c>
      <c r="H2656" s="7" t="n"/>
      <c r="I2656" s="7" t="n"/>
      <c r="J2656" s="7" t="n"/>
      <c r="K2656" s="7" t="n"/>
      <c r="L2656" s="7" t="n"/>
      <c r="M2656" s="7" t="n"/>
      <c r="N2656" s="7" t="n"/>
      <c r="O2656" s="7" t="n"/>
      <c r="P2656" s="65" t="n"/>
      <c r="Q2656" s="75" t="n"/>
      <c r="R2656" s="75" t="n"/>
      <c r="S2656" s="76" t="n"/>
      <c r="T2656" s="76" t="n"/>
      <c r="U2656" s="70">
        <f>IF($A2656="","",IFERROR(INDEX('Techniciens'!$F$5:$F$44,MATCH(O2656,'Techniciens'!$B$5:$B$44,0)),'Paramètres'!$AA$10))</f>
        <v/>
      </c>
      <c r="V2656" s="70">
        <f>IF($A2656="","",IF(OR(AC2656="Demandé",AC2656="Planifié",AC2656="Annulé"),0,N(T2656)*N(U2656)))</f>
        <v/>
      </c>
      <c r="W2656" s="70">
        <f>IF($A2656="","",SUMIFS('Mouvements stock'!$H$5:$H$3004,'Mouvements stock'!$I$5:$I$3004,$A2656,'Mouvements stock'!$C$5:$C$3004,"Sortie")-SUMIFS('Mouvements stock'!$H$5:$H$3004,'Mouvements stock'!$I$5:$I$3004,$A2656,'Mouvements stock'!$C$5:$C$3004,"Retour"))</f>
        <v/>
      </c>
      <c r="X2656" s="66" t="n"/>
      <c r="Y2656" s="66" t="n"/>
      <c r="Z2656" s="7" t="n"/>
      <c r="AA2656" s="70">
        <f>IF($A2656="","",N(V2656)+N(W2656)+N(X2656)+N(Y2656))</f>
        <v/>
      </c>
      <c r="AB2656" s="70">
        <f>IF($A2656="","",N(S2656)*'Paramètres'!$AA$9*IFERROR(INDEX('Paramètres'!$O$5:$O$7,MATCH(G2656,'Paramètres'!$N$5:$N$7,0)),0))</f>
        <v/>
      </c>
      <c r="AC2656" s="7" t="n"/>
      <c r="AD2656" s="69">
        <f>IF(OR($A2656="",Q2656=""),"",(Q2656-B2656)*24)</f>
        <v/>
      </c>
      <c r="AE2656" s="69">
        <f>IF(OR(Q2656="",R2656=""),"",(R2656-Q2656)*24)</f>
        <v/>
      </c>
      <c r="AF2656" s="77">
        <f>IF(OR($A2656="",B2656=""),"",YEAR(B2656))</f>
        <v/>
      </c>
      <c r="AG2656" s="77">
        <f>IF(OR($A2656="",B2656=""),"",MONTH(B2656))</f>
        <v/>
      </c>
    </row>
    <row r="2657">
      <c r="A2657" s="7" t="n"/>
      <c r="B2657" s="75" t="n"/>
      <c r="C2657" s="7" t="n"/>
      <c r="D2657" s="7" t="n"/>
      <c r="E2657" s="9">
        <f>IF(D2657="","",IFERROR(INDEX('Équipements'!$B$5:$B$304,MATCH(D2657,'Équipements'!$A$5:$A$304,0)),"Code inconnu"))</f>
        <v/>
      </c>
      <c r="F2657" s="9">
        <f>IF(D2657="","",IFERROR(INDEX('Équipements'!$D$5:$D$304,MATCH(D2657,'Équipements'!$A$5:$A$304,0)),""))</f>
        <v/>
      </c>
      <c r="G2657" s="9">
        <f>IF(D2657="","",IFERROR(INDEX('Équipements'!$K$5:$K$304,MATCH(D2657,'Équipements'!$A$5:$A$304,0)),""))</f>
        <v/>
      </c>
      <c r="H2657" s="7" t="n"/>
      <c r="I2657" s="7" t="n"/>
      <c r="J2657" s="7" t="n"/>
      <c r="K2657" s="7" t="n"/>
      <c r="L2657" s="7" t="n"/>
      <c r="M2657" s="7" t="n"/>
      <c r="N2657" s="7" t="n"/>
      <c r="O2657" s="7" t="n"/>
      <c r="P2657" s="65" t="n"/>
      <c r="Q2657" s="75" t="n"/>
      <c r="R2657" s="75" t="n"/>
      <c r="S2657" s="76" t="n"/>
      <c r="T2657" s="76" t="n"/>
      <c r="U2657" s="70">
        <f>IF($A2657="","",IFERROR(INDEX('Techniciens'!$F$5:$F$44,MATCH(O2657,'Techniciens'!$B$5:$B$44,0)),'Paramètres'!$AA$10))</f>
        <v/>
      </c>
      <c r="V2657" s="70">
        <f>IF($A2657="","",IF(OR(AC2657="Demandé",AC2657="Planifié",AC2657="Annulé"),0,N(T2657)*N(U2657)))</f>
        <v/>
      </c>
      <c r="W2657" s="70">
        <f>IF($A2657="","",SUMIFS('Mouvements stock'!$H$5:$H$3004,'Mouvements stock'!$I$5:$I$3004,$A2657,'Mouvements stock'!$C$5:$C$3004,"Sortie")-SUMIFS('Mouvements stock'!$H$5:$H$3004,'Mouvements stock'!$I$5:$I$3004,$A2657,'Mouvements stock'!$C$5:$C$3004,"Retour"))</f>
        <v/>
      </c>
      <c r="X2657" s="66" t="n"/>
      <c r="Y2657" s="66" t="n"/>
      <c r="Z2657" s="7" t="n"/>
      <c r="AA2657" s="70">
        <f>IF($A2657="","",N(V2657)+N(W2657)+N(X2657)+N(Y2657))</f>
        <v/>
      </c>
      <c r="AB2657" s="70">
        <f>IF($A2657="","",N(S2657)*'Paramètres'!$AA$9*IFERROR(INDEX('Paramètres'!$O$5:$O$7,MATCH(G2657,'Paramètres'!$N$5:$N$7,0)),0))</f>
        <v/>
      </c>
      <c r="AC2657" s="7" t="n"/>
      <c r="AD2657" s="69">
        <f>IF(OR($A2657="",Q2657=""),"",(Q2657-B2657)*24)</f>
        <v/>
      </c>
      <c r="AE2657" s="69">
        <f>IF(OR(Q2657="",R2657=""),"",(R2657-Q2657)*24)</f>
        <v/>
      </c>
      <c r="AF2657" s="77">
        <f>IF(OR($A2657="",B2657=""),"",YEAR(B2657))</f>
        <v/>
      </c>
      <c r="AG2657" s="77">
        <f>IF(OR($A2657="",B2657=""),"",MONTH(B2657))</f>
        <v/>
      </c>
    </row>
    <row r="2658">
      <c r="A2658" s="7" t="n"/>
      <c r="B2658" s="75" t="n"/>
      <c r="C2658" s="7" t="n"/>
      <c r="D2658" s="7" t="n"/>
      <c r="E2658" s="9">
        <f>IF(D2658="","",IFERROR(INDEX('Équipements'!$B$5:$B$304,MATCH(D2658,'Équipements'!$A$5:$A$304,0)),"Code inconnu"))</f>
        <v/>
      </c>
      <c r="F2658" s="9">
        <f>IF(D2658="","",IFERROR(INDEX('Équipements'!$D$5:$D$304,MATCH(D2658,'Équipements'!$A$5:$A$304,0)),""))</f>
        <v/>
      </c>
      <c r="G2658" s="9">
        <f>IF(D2658="","",IFERROR(INDEX('Équipements'!$K$5:$K$304,MATCH(D2658,'Équipements'!$A$5:$A$304,0)),""))</f>
        <v/>
      </c>
      <c r="H2658" s="7" t="n"/>
      <c r="I2658" s="7" t="n"/>
      <c r="J2658" s="7" t="n"/>
      <c r="K2658" s="7" t="n"/>
      <c r="L2658" s="7" t="n"/>
      <c r="M2658" s="7" t="n"/>
      <c r="N2658" s="7" t="n"/>
      <c r="O2658" s="7" t="n"/>
      <c r="P2658" s="65" t="n"/>
      <c r="Q2658" s="75" t="n"/>
      <c r="R2658" s="75" t="n"/>
      <c r="S2658" s="76" t="n"/>
      <c r="T2658" s="76" t="n"/>
      <c r="U2658" s="70">
        <f>IF($A2658="","",IFERROR(INDEX('Techniciens'!$F$5:$F$44,MATCH(O2658,'Techniciens'!$B$5:$B$44,0)),'Paramètres'!$AA$10))</f>
        <v/>
      </c>
      <c r="V2658" s="70">
        <f>IF($A2658="","",IF(OR(AC2658="Demandé",AC2658="Planifié",AC2658="Annulé"),0,N(T2658)*N(U2658)))</f>
        <v/>
      </c>
      <c r="W2658" s="70">
        <f>IF($A2658="","",SUMIFS('Mouvements stock'!$H$5:$H$3004,'Mouvements stock'!$I$5:$I$3004,$A2658,'Mouvements stock'!$C$5:$C$3004,"Sortie")-SUMIFS('Mouvements stock'!$H$5:$H$3004,'Mouvements stock'!$I$5:$I$3004,$A2658,'Mouvements stock'!$C$5:$C$3004,"Retour"))</f>
        <v/>
      </c>
      <c r="X2658" s="66" t="n"/>
      <c r="Y2658" s="66" t="n"/>
      <c r="Z2658" s="7" t="n"/>
      <c r="AA2658" s="70">
        <f>IF($A2658="","",N(V2658)+N(W2658)+N(X2658)+N(Y2658))</f>
        <v/>
      </c>
      <c r="AB2658" s="70">
        <f>IF($A2658="","",N(S2658)*'Paramètres'!$AA$9*IFERROR(INDEX('Paramètres'!$O$5:$O$7,MATCH(G2658,'Paramètres'!$N$5:$N$7,0)),0))</f>
        <v/>
      </c>
      <c r="AC2658" s="7" t="n"/>
      <c r="AD2658" s="69">
        <f>IF(OR($A2658="",Q2658=""),"",(Q2658-B2658)*24)</f>
        <v/>
      </c>
      <c r="AE2658" s="69">
        <f>IF(OR(Q2658="",R2658=""),"",(R2658-Q2658)*24)</f>
        <v/>
      </c>
      <c r="AF2658" s="77">
        <f>IF(OR($A2658="",B2658=""),"",YEAR(B2658))</f>
        <v/>
      </c>
      <c r="AG2658" s="77">
        <f>IF(OR($A2658="",B2658=""),"",MONTH(B2658))</f>
        <v/>
      </c>
    </row>
    <row r="2659">
      <c r="A2659" s="7" t="n"/>
      <c r="B2659" s="75" t="n"/>
      <c r="C2659" s="7" t="n"/>
      <c r="D2659" s="7" t="n"/>
      <c r="E2659" s="9">
        <f>IF(D2659="","",IFERROR(INDEX('Équipements'!$B$5:$B$304,MATCH(D2659,'Équipements'!$A$5:$A$304,0)),"Code inconnu"))</f>
        <v/>
      </c>
      <c r="F2659" s="9">
        <f>IF(D2659="","",IFERROR(INDEX('Équipements'!$D$5:$D$304,MATCH(D2659,'Équipements'!$A$5:$A$304,0)),""))</f>
        <v/>
      </c>
      <c r="G2659" s="9">
        <f>IF(D2659="","",IFERROR(INDEX('Équipements'!$K$5:$K$304,MATCH(D2659,'Équipements'!$A$5:$A$304,0)),""))</f>
        <v/>
      </c>
      <c r="H2659" s="7" t="n"/>
      <c r="I2659" s="7" t="n"/>
      <c r="J2659" s="7" t="n"/>
      <c r="K2659" s="7" t="n"/>
      <c r="L2659" s="7" t="n"/>
      <c r="M2659" s="7" t="n"/>
      <c r="N2659" s="7" t="n"/>
      <c r="O2659" s="7" t="n"/>
      <c r="P2659" s="65" t="n"/>
      <c r="Q2659" s="75" t="n"/>
      <c r="R2659" s="75" t="n"/>
      <c r="S2659" s="76" t="n"/>
      <c r="T2659" s="76" t="n"/>
      <c r="U2659" s="70">
        <f>IF($A2659="","",IFERROR(INDEX('Techniciens'!$F$5:$F$44,MATCH(O2659,'Techniciens'!$B$5:$B$44,0)),'Paramètres'!$AA$10))</f>
        <v/>
      </c>
      <c r="V2659" s="70">
        <f>IF($A2659="","",IF(OR(AC2659="Demandé",AC2659="Planifié",AC2659="Annulé"),0,N(T2659)*N(U2659)))</f>
        <v/>
      </c>
      <c r="W2659" s="70">
        <f>IF($A2659="","",SUMIFS('Mouvements stock'!$H$5:$H$3004,'Mouvements stock'!$I$5:$I$3004,$A2659,'Mouvements stock'!$C$5:$C$3004,"Sortie")-SUMIFS('Mouvements stock'!$H$5:$H$3004,'Mouvements stock'!$I$5:$I$3004,$A2659,'Mouvements stock'!$C$5:$C$3004,"Retour"))</f>
        <v/>
      </c>
      <c r="X2659" s="66" t="n"/>
      <c r="Y2659" s="66" t="n"/>
      <c r="Z2659" s="7" t="n"/>
      <c r="AA2659" s="70">
        <f>IF($A2659="","",N(V2659)+N(W2659)+N(X2659)+N(Y2659))</f>
        <v/>
      </c>
      <c r="AB2659" s="70">
        <f>IF($A2659="","",N(S2659)*'Paramètres'!$AA$9*IFERROR(INDEX('Paramètres'!$O$5:$O$7,MATCH(G2659,'Paramètres'!$N$5:$N$7,0)),0))</f>
        <v/>
      </c>
      <c r="AC2659" s="7" t="n"/>
      <c r="AD2659" s="69">
        <f>IF(OR($A2659="",Q2659=""),"",(Q2659-B2659)*24)</f>
        <v/>
      </c>
      <c r="AE2659" s="69">
        <f>IF(OR(Q2659="",R2659=""),"",(R2659-Q2659)*24)</f>
        <v/>
      </c>
      <c r="AF2659" s="77">
        <f>IF(OR($A2659="",B2659=""),"",YEAR(B2659))</f>
        <v/>
      </c>
      <c r="AG2659" s="77">
        <f>IF(OR($A2659="",B2659=""),"",MONTH(B2659))</f>
        <v/>
      </c>
    </row>
    <row r="2660">
      <c r="A2660" s="7" t="n"/>
      <c r="B2660" s="75" t="n"/>
      <c r="C2660" s="7" t="n"/>
      <c r="D2660" s="7" t="n"/>
      <c r="E2660" s="9">
        <f>IF(D2660="","",IFERROR(INDEX('Équipements'!$B$5:$B$304,MATCH(D2660,'Équipements'!$A$5:$A$304,0)),"Code inconnu"))</f>
        <v/>
      </c>
      <c r="F2660" s="9">
        <f>IF(D2660="","",IFERROR(INDEX('Équipements'!$D$5:$D$304,MATCH(D2660,'Équipements'!$A$5:$A$304,0)),""))</f>
        <v/>
      </c>
      <c r="G2660" s="9">
        <f>IF(D2660="","",IFERROR(INDEX('Équipements'!$K$5:$K$304,MATCH(D2660,'Équipements'!$A$5:$A$304,0)),""))</f>
        <v/>
      </c>
      <c r="H2660" s="7" t="n"/>
      <c r="I2660" s="7" t="n"/>
      <c r="J2660" s="7" t="n"/>
      <c r="K2660" s="7" t="n"/>
      <c r="L2660" s="7" t="n"/>
      <c r="M2660" s="7" t="n"/>
      <c r="N2660" s="7" t="n"/>
      <c r="O2660" s="7" t="n"/>
      <c r="P2660" s="65" t="n"/>
      <c r="Q2660" s="75" t="n"/>
      <c r="R2660" s="75" t="n"/>
      <c r="S2660" s="76" t="n"/>
      <c r="T2660" s="76" t="n"/>
      <c r="U2660" s="70">
        <f>IF($A2660="","",IFERROR(INDEX('Techniciens'!$F$5:$F$44,MATCH(O2660,'Techniciens'!$B$5:$B$44,0)),'Paramètres'!$AA$10))</f>
        <v/>
      </c>
      <c r="V2660" s="70">
        <f>IF($A2660="","",IF(OR(AC2660="Demandé",AC2660="Planifié",AC2660="Annulé"),0,N(T2660)*N(U2660)))</f>
        <v/>
      </c>
      <c r="W2660" s="70">
        <f>IF($A2660="","",SUMIFS('Mouvements stock'!$H$5:$H$3004,'Mouvements stock'!$I$5:$I$3004,$A2660,'Mouvements stock'!$C$5:$C$3004,"Sortie")-SUMIFS('Mouvements stock'!$H$5:$H$3004,'Mouvements stock'!$I$5:$I$3004,$A2660,'Mouvements stock'!$C$5:$C$3004,"Retour"))</f>
        <v/>
      </c>
      <c r="X2660" s="66" t="n"/>
      <c r="Y2660" s="66" t="n"/>
      <c r="Z2660" s="7" t="n"/>
      <c r="AA2660" s="70">
        <f>IF($A2660="","",N(V2660)+N(W2660)+N(X2660)+N(Y2660))</f>
        <v/>
      </c>
      <c r="AB2660" s="70">
        <f>IF($A2660="","",N(S2660)*'Paramètres'!$AA$9*IFERROR(INDEX('Paramètres'!$O$5:$O$7,MATCH(G2660,'Paramètres'!$N$5:$N$7,0)),0))</f>
        <v/>
      </c>
      <c r="AC2660" s="7" t="n"/>
      <c r="AD2660" s="69">
        <f>IF(OR($A2660="",Q2660=""),"",(Q2660-B2660)*24)</f>
        <v/>
      </c>
      <c r="AE2660" s="69">
        <f>IF(OR(Q2660="",R2660=""),"",(R2660-Q2660)*24)</f>
        <v/>
      </c>
      <c r="AF2660" s="77">
        <f>IF(OR($A2660="",B2660=""),"",YEAR(B2660))</f>
        <v/>
      </c>
      <c r="AG2660" s="77">
        <f>IF(OR($A2660="",B2660=""),"",MONTH(B2660))</f>
        <v/>
      </c>
    </row>
    <row r="2661">
      <c r="A2661" s="7" t="n"/>
      <c r="B2661" s="75" t="n"/>
      <c r="C2661" s="7" t="n"/>
      <c r="D2661" s="7" t="n"/>
      <c r="E2661" s="9">
        <f>IF(D2661="","",IFERROR(INDEX('Équipements'!$B$5:$B$304,MATCH(D2661,'Équipements'!$A$5:$A$304,0)),"Code inconnu"))</f>
        <v/>
      </c>
      <c r="F2661" s="9">
        <f>IF(D2661="","",IFERROR(INDEX('Équipements'!$D$5:$D$304,MATCH(D2661,'Équipements'!$A$5:$A$304,0)),""))</f>
        <v/>
      </c>
      <c r="G2661" s="9">
        <f>IF(D2661="","",IFERROR(INDEX('Équipements'!$K$5:$K$304,MATCH(D2661,'Équipements'!$A$5:$A$304,0)),""))</f>
        <v/>
      </c>
      <c r="H2661" s="7" t="n"/>
      <c r="I2661" s="7" t="n"/>
      <c r="J2661" s="7" t="n"/>
      <c r="K2661" s="7" t="n"/>
      <c r="L2661" s="7" t="n"/>
      <c r="M2661" s="7" t="n"/>
      <c r="N2661" s="7" t="n"/>
      <c r="O2661" s="7" t="n"/>
      <c r="P2661" s="65" t="n"/>
      <c r="Q2661" s="75" t="n"/>
      <c r="R2661" s="75" t="n"/>
      <c r="S2661" s="76" t="n"/>
      <c r="T2661" s="76" t="n"/>
      <c r="U2661" s="70">
        <f>IF($A2661="","",IFERROR(INDEX('Techniciens'!$F$5:$F$44,MATCH(O2661,'Techniciens'!$B$5:$B$44,0)),'Paramètres'!$AA$10))</f>
        <v/>
      </c>
      <c r="V2661" s="70">
        <f>IF($A2661="","",IF(OR(AC2661="Demandé",AC2661="Planifié",AC2661="Annulé"),0,N(T2661)*N(U2661)))</f>
        <v/>
      </c>
      <c r="W2661" s="70">
        <f>IF($A2661="","",SUMIFS('Mouvements stock'!$H$5:$H$3004,'Mouvements stock'!$I$5:$I$3004,$A2661,'Mouvements stock'!$C$5:$C$3004,"Sortie")-SUMIFS('Mouvements stock'!$H$5:$H$3004,'Mouvements stock'!$I$5:$I$3004,$A2661,'Mouvements stock'!$C$5:$C$3004,"Retour"))</f>
        <v/>
      </c>
      <c r="X2661" s="66" t="n"/>
      <c r="Y2661" s="66" t="n"/>
      <c r="Z2661" s="7" t="n"/>
      <c r="AA2661" s="70">
        <f>IF($A2661="","",N(V2661)+N(W2661)+N(X2661)+N(Y2661))</f>
        <v/>
      </c>
      <c r="AB2661" s="70">
        <f>IF($A2661="","",N(S2661)*'Paramètres'!$AA$9*IFERROR(INDEX('Paramètres'!$O$5:$O$7,MATCH(G2661,'Paramètres'!$N$5:$N$7,0)),0))</f>
        <v/>
      </c>
      <c r="AC2661" s="7" t="n"/>
      <c r="AD2661" s="69">
        <f>IF(OR($A2661="",Q2661=""),"",(Q2661-B2661)*24)</f>
        <v/>
      </c>
      <c r="AE2661" s="69">
        <f>IF(OR(Q2661="",R2661=""),"",(R2661-Q2661)*24)</f>
        <v/>
      </c>
      <c r="AF2661" s="77">
        <f>IF(OR($A2661="",B2661=""),"",YEAR(B2661))</f>
        <v/>
      </c>
      <c r="AG2661" s="77">
        <f>IF(OR($A2661="",B2661=""),"",MONTH(B2661))</f>
        <v/>
      </c>
    </row>
    <row r="2662">
      <c r="A2662" s="7" t="n"/>
      <c r="B2662" s="75" t="n"/>
      <c r="C2662" s="7" t="n"/>
      <c r="D2662" s="7" t="n"/>
      <c r="E2662" s="9">
        <f>IF(D2662="","",IFERROR(INDEX('Équipements'!$B$5:$B$304,MATCH(D2662,'Équipements'!$A$5:$A$304,0)),"Code inconnu"))</f>
        <v/>
      </c>
      <c r="F2662" s="9">
        <f>IF(D2662="","",IFERROR(INDEX('Équipements'!$D$5:$D$304,MATCH(D2662,'Équipements'!$A$5:$A$304,0)),""))</f>
        <v/>
      </c>
      <c r="G2662" s="9">
        <f>IF(D2662="","",IFERROR(INDEX('Équipements'!$K$5:$K$304,MATCH(D2662,'Équipements'!$A$5:$A$304,0)),""))</f>
        <v/>
      </c>
      <c r="H2662" s="7" t="n"/>
      <c r="I2662" s="7" t="n"/>
      <c r="J2662" s="7" t="n"/>
      <c r="K2662" s="7" t="n"/>
      <c r="L2662" s="7" t="n"/>
      <c r="M2662" s="7" t="n"/>
      <c r="N2662" s="7" t="n"/>
      <c r="O2662" s="7" t="n"/>
      <c r="P2662" s="65" t="n"/>
      <c r="Q2662" s="75" t="n"/>
      <c r="R2662" s="75" t="n"/>
      <c r="S2662" s="76" t="n"/>
      <c r="T2662" s="76" t="n"/>
      <c r="U2662" s="70">
        <f>IF($A2662="","",IFERROR(INDEX('Techniciens'!$F$5:$F$44,MATCH(O2662,'Techniciens'!$B$5:$B$44,0)),'Paramètres'!$AA$10))</f>
        <v/>
      </c>
      <c r="V2662" s="70">
        <f>IF($A2662="","",IF(OR(AC2662="Demandé",AC2662="Planifié",AC2662="Annulé"),0,N(T2662)*N(U2662)))</f>
        <v/>
      </c>
      <c r="W2662" s="70">
        <f>IF($A2662="","",SUMIFS('Mouvements stock'!$H$5:$H$3004,'Mouvements stock'!$I$5:$I$3004,$A2662,'Mouvements stock'!$C$5:$C$3004,"Sortie")-SUMIFS('Mouvements stock'!$H$5:$H$3004,'Mouvements stock'!$I$5:$I$3004,$A2662,'Mouvements stock'!$C$5:$C$3004,"Retour"))</f>
        <v/>
      </c>
      <c r="X2662" s="66" t="n"/>
      <c r="Y2662" s="66" t="n"/>
      <c r="Z2662" s="7" t="n"/>
      <c r="AA2662" s="70">
        <f>IF($A2662="","",N(V2662)+N(W2662)+N(X2662)+N(Y2662))</f>
        <v/>
      </c>
      <c r="AB2662" s="70">
        <f>IF($A2662="","",N(S2662)*'Paramètres'!$AA$9*IFERROR(INDEX('Paramètres'!$O$5:$O$7,MATCH(G2662,'Paramètres'!$N$5:$N$7,0)),0))</f>
        <v/>
      </c>
      <c r="AC2662" s="7" t="n"/>
      <c r="AD2662" s="69">
        <f>IF(OR($A2662="",Q2662=""),"",(Q2662-B2662)*24)</f>
        <v/>
      </c>
      <c r="AE2662" s="69">
        <f>IF(OR(Q2662="",R2662=""),"",(R2662-Q2662)*24)</f>
        <v/>
      </c>
      <c r="AF2662" s="77">
        <f>IF(OR($A2662="",B2662=""),"",YEAR(B2662))</f>
        <v/>
      </c>
      <c r="AG2662" s="77">
        <f>IF(OR($A2662="",B2662=""),"",MONTH(B2662))</f>
        <v/>
      </c>
    </row>
    <row r="2663">
      <c r="A2663" s="7" t="n"/>
      <c r="B2663" s="75" t="n"/>
      <c r="C2663" s="7" t="n"/>
      <c r="D2663" s="7" t="n"/>
      <c r="E2663" s="9">
        <f>IF(D2663="","",IFERROR(INDEX('Équipements'!$B$5:$B$304,MATCH(D2663,'Équipements'!$A$5:$A$304,0)),"Code inconnu"))</f>
        <v/>
      </c>
      <c r="F2663" s="9">
        <f>IF(D2663="","",IFERROR(INDEX('Équipements'!$D$5:$D$304,MATCH(D2663,'Équipements'!$A$5:$A$304,0)),""))</f>
        <v/>
      </c>
      <c r="G2663" s="9">
        <f>IF(D2663="","",IFERROR(INDEX('Équipements'!$K$5:$K$304,MATCH(D2663,'Équipements'!$A$5:$A$304,0)),""))</f>
        <v/>
      </c>
      <c r="H2663" s="7" t="n"/>
      <c r="I2663" s="7" t="n"/>
      <c r="J2663" s="7" t="n"/>
      <c r="K2663" s="7" t="n"/>
      <c r="L2663" s="7" t="n"/>
      <c r="M2663" s="7" t="n"/>
      <c r="N2663" s="7" t="n"/>
      <c r="O2663" s="7" t="n"/>
      <c r="P2663" s="65" t="n"/>
      <c r="Q2663" s="75" t="n"/>
      <c r="R2663" s="75" t="n"/>
      <c r="S2663" s="76" t="n"/>
      <c r="T2663" s="76" t="n"/>
      <c r="U2663" s="70">
        <f>IF($A2663="","",IFERROR(INDEX('Techniciens'!$F$5:$F$44,MATCH(O2663,'Techniciens'!$B$5:$B$44,0)),'Paramètres'!$AA$10))</f>
        <v/>
      </c>
      <c r="V2663" s="70">
        <f>IF($A2663="","",IF(OR(AC2663="Demandé",AC2663="Planifié",AC2663="Annulé"),0,N(T2663)*N(U2663)))</f>
        <v/>
      </c>
      <c r="W2663" s="70">
        <f>IF($A2663="","",SUMIFS('Mouvements stock'!$H$5:$H$3004,'Mouvements stock'!$I$5:$I$3004,$A2663,'Mouvements stock'!$C$5:$C$3004,"Sortie")-SUMIFS('Mouvements stock'!$H$5:$H$3004,'Mouvements stock'!$I$5:$I$3004,$A2663,'Mouvements stock'!$C$5:$C$3004,"Retour"))</f>
        <v/>
      </c>
      <c r="X2663" s="66" t="n"/>
      <c r="Y2663" s="66" t="n"/>
      <c r="Z2663" s="7" t="n"/>
      <c r="AA2663" s="70">
        <f>IF($A2663="","",N(V2663)+N(W2663)+N(X2663)+N(Y2663))</f>
        <v/>
      </c>
      <c r="AB2663" s="70">
        <f>IF($A2663="","",N(S2663)*'Paramètres'!$AA$9*IFERROR(INDEX('Paramètres'!$O$5:$O$7,MATCH(G2663,'Paramètres'!$N$5:$N$7,0)),0))</f>
        <v/>
      </c>
      <c r="AC2663" s="7" t="n"/>
      <c r="AD2663" s="69">
        <f>IF(OR($A2663="",Q2663=""),"",(Q2663-B2663)*24)</f>
        <v/>
      </c>
      <c r="AE2663" s="69">
        <f>IF(OR(Q2663="",R2663=""),"",(R2663-Q2663)*24)</f>
        <v/>
      </c>
      <c r="AF2663" s="77">
        <f>IF(OR($A2663="",B2663=""),"",YEAR(B2663))</f>
        <v/>
      </c>
      <c r="AG2663" s="77">
        <f>IF(OR($A2663="",B2663=""),"",MONTH(B2663))</f>
        <v/>
      </c>
    </row>
    <row r="2664">
      <c r="A2664" s="7" t="n"/>
      <c r="B2664" s="75" t="n"/>
      <c r="C2664" s="7" t="n"/>
      <c r="D2664" s="7" t="n"/>
      <c r="E2664" s="9">
        <f>IF(D2664="","",IFERROR(INDEX('Équipements'!$B$5:$B$304,MATCH(D2664,'Équipements'!$A$5:$A$304,0)),"Code inconnu"))</f>
        <v/>
      </c>
      <c r="F2664" s="9">
        <f>IF(D2664="","",IFERROR(INDEX('Équipements'!$D$5:$D$304,MATCH(D2664,'Équipements'!$A$5:$A$304,0)),""))</f>
        <v/>
      </c>
      <c r="G2664" s="9">
        <f>IF(D2664="","",IFERROR(INDEX('Équipements'!$K$5:$K$304,MATCH(D2664,'Équipements'!$A$5:$A$304,0)),""))</f>
        <v/>
      </c>
      <c r="H2664" s="7" t="n"/>
      <c r="I2664" s="7" t="n"/>
      <c r="J2664" s="7" t="n"/>
      <c r="K2664" s="7" t="n"/>
      <c r="L2664" s="7" t="n"/>
      <c r="M2664" s="7" t="n"/>
      <c r="N2664" s="7" t="n"/>
      <c r="O2664" s="7" t="n"/>
      <c r="P2664" s="65" t="n"/>
      <c r="Q2664" s="75" t="n"/>
      <c r="R2664" s="75" t="n"/>
      <c r="S2664" s="76" t="n"/>
      <c r="T2664" s="76" t="n"/>
      <c r="U2664" s="70">
        <f>IF($A2664="","",IFERROR(INDEX('Techniciens'!$F$5:$F$44,MATCH(O2664,'Techniciens'!$B$5:$B$44,0)),'Paramètres'!$AA$10))</f>
        <v/>
      </c>
      <c r="V2664" s="70">
        <f>IF($A2664="","",IF(OR(AC2664="Demandé",AC2664="Planifié",AC2664="Annulé"),0,N(T2664)*N(U2664)))</f>
        <v/>
      </c>
      <c r="W2664" s="70">
        <f>IF($A2664="","",SUMIFS('Mouvements stock'!$H$5:$H$3004,'Mouvements stock'!$I$5:$I$3004,$A2664,'Mouvements stock'!$C$5:$C$3004,"Sortie")-SUMIFS('Mouvements stock'!$H$5:$H$3004,'Mouvements stock'!$I$5:$I$3004,$A2664,'Mouvements stock'!$C$5:$C$3004,"Retour"))</f>
        <v/>
      </c>
      <c r="X2664" s="66" t="n"/>
      <c r="Y2664" s="66" t="n"/>
      <c r="Z2664" s="7" t="n"/>
      <c r="AA2664" s="70">
        <f>IF($A2664="","",N(V2664)+N(W2664)+N(X2664)+N(Y2664))</f>
        <v/>
      </c>
      <c r="AB2664" s="70">
        <f>IF($A2664="","",N(S2664)*'Paramètres'!$AA$9*IFERROR(INDEX('Paramètres'!$O$5:$O$7,MATCH(G2664,'Paramètres'!$N$5:$N$7,0)),0))</f>
        <v/>
      </c>
      <c r="AC2664" s="7" t="n"/>
      <c r="AD2664" s="69">
        <f>IF(OR($A2664="",Q2664=""),"",(Q2664-B2664)*24)</f>
        <v/>
      </c>
      <c r="AE2664" s="69">
        <f>IF(OR(Q2664="",R2664=""),"",(R2664-Q2664)*24)</f>
        <v/>
      </c>
      <c r="AF2664" s="77">
        <f>IF(OR($A2664="",B2664=""),"",YEAR(B2664))</f>
        <v/>
      </c>
      <c r="AG2664" s="77">
        <f>IF(OR($A2664="",B2664=""),"",MONTH(B2664))</f>
        <v/>
      </c>
    </row>
    <row r="2665">
      <c r="A2665" s="7" t="n"/>
      <c r="B2665" s="75" t="n"/>
      <c r="C2665" s="7" t="n"/>
      <c r="D2665" s="7" t="n"/>
      <c r="E2665" s="9">
        <f>IF(D2665="","",IFERROR(INDEX('Équipements'!$B$5:$B$304,MATCH(D2665,'Équipements'!$A$5:$A$304,0)),"Code inconnu"))</f>
        <v/>
      </c>
      <c r="F2665" s="9">
        <f>IF(D2665="","",IFERROR(INDEX('Équipements'!$D$5:$D$304,MATCH(D2665,'Équipements'!$A$5:$A$304,0)),""))</f>
        <v/>
      </c>
      <c r="G2665" s="9">
        <f>IF(D2665="","",IFERROR(INDEX('Équipements'!$K$5:$K$304,MATCH(D2665,'Équipements'!$A$5:$A$304,0)),""))</f>
        <v/>
      </c>
      <c r="H2665" s="7" t="n"/>
      <c r="I2665" s="7" t="n"/>
      <c r="J2665" s="7" t="n"/>
      <c r="K2665" s="7" t="n"/>
      <c r="L2665" s="7" t="n"/>
      <c r="M2665" s="7" t="n"/>
      <c r="N2665" s="7" t="n"/>
      <c r="O2665" s="7" t="n"/>
      <c r="P2665" s="65" t="n"/>
      <c r="Q2665" s="75" t="n"/>
      <c r="R2665" s="75" t="n"/>
      <c r="S2665" s="76" t="n"/>
      <c r="T2665" s="76" t="n"/>
      <c r="U2665" s="70">
        <f>IF($A2665="","",IFERROR(INDEX('Techniciens'!$F$5:$F$44,MATCH(O2665,'Techniciens'!$B$5:$B$44,0)),'Paramètres'!$AA$10))</f>
        <v/>
      </c>
      <c r="V2665" s="70">
        <f>IF($A2665="","",IF(OR(AC2665="Demandé",AC2665="Planifié",AC2665="Annulé"),0,N(T2665)*N(U2665)))</f>
        <v/>
      </c>
      <c r="W2665" s="70">
        <f>IF($A2665="","",SUMIFS('Mouvements stock'!$H$5:$H$3004,'Mouvements stock'!$I$5:$I$3004,$A2665,'Mouvements stock'!$C$5:$C$3004,"Sortie")-SUMIFS('Mouvements stock'!$H$5:$H$3004,'Mouvements stock'!$I$5:$I$3004,$A2665,'Mouvements stock'!$C$5:$C$3004,"Retour"))</f>
        <v/>
      </c>
      <c r="X2665" s="66" t="n"/>
      <c r="Y2665" s="66" t="n"/>
      <c r="Z2665" s="7" t="n"/>
      <c r="AA2665" s="70">
        <f>IF($A2665="","",N(V2665)+N(W2665)+N(X2665)+N(Y2665))</f>
        <v/>
      </c>
      <c r="AB2665" s="70">
        <f>IF($A2665="","",N(S2665)*'Paramètres'!$AA$9*IFERROR(INDEX('Paramètres'!$O$5:$O$7,MATCH(G2665,'Paramètres'!$N$5:$N$7,0)),0))</f>
        <v/>
      </c>
      <c r="AC2665" s="7" t="n"/>
      <c r="AD2665" s="69">
        <f>IF(OR($A2665="",Q2665=""),"",(Q2665-B2665)*24)</f>
        <v/>
      </c>
      <c r="AE2665" s="69">
        <f>IF(OR(Q2665="",R2665=""),"",(R2665-Q2665)*24)</f>
        <v/>
      </c>
      <c r="AF2665" s="77">
        <f>IF(OR($A2665="",B2665=""),"",YEAR(B2665))</f>
        <v/>
      </c>
      <c r="AG2665" s="77">
        <f>IF(OR($A2665="",B2665=""),"",MONTH(B2665))</f>
        <v/>
      </c>
    </row>
    <row r="2666">
      <c r="A2666" s="7" t="n"/>
      <c r="B2666" s="75" t="n"/>
      <c r="C2666" s="7" t="n"/>
      <c r="D2666" s="7" t="n"/>
      <c r="E2666" s="9">
        <f>IF(D2666="","",IFERROR(INDEX('Équipements'!$B$5:$B$304,MATCH(D2666,'Équipements'!$A$5:$A$304,0)),"Code inconnu"))</f>
        <v/>
      </c>
      <c r="F2666" s="9">
        <f>IF(D2666="","",IFERROR(INDEX('Équipements'!$D$5:$D$304,MATCH(D2666,'Équipements'!$A$5:$A$304,0)),""))</f>
        <v/>
      </c>
      <c r="G2666" s="9">
        <f>IF(D2666="","",IFERROR(INDEX('Équipements'!$K$5:$K$304,MATCH(D2666,'Équipements'!$A$5:$A$304,0)),""))</f>
        <v/>
      </c>
      <c r="H2666" s="7" t="n"/>
      <c r="I2666" s="7" t="n"/>
      <c r="J2666" s="7" t="n"/>
      <c r="K2666" s="7" t="n"/>
      <c r="L2666" s="7" t="n"/>
      <c r="M2666" s="7" t="n"/>
      <c r="N2666" s="7" t="n"/>
      <c r="O2666" s="7" t="n"/>
      <c r="P2666" s="65" t="n"/>
      <c r="Q2666" s="75" t="n"/>
      <c r="R2666" s="75" t="n"/>
      <c r="S2666" s="76" t="n"/>
      <c r="T2666" s="76" t="n"/>
      <c r="U2666" s="70">
        <f>IF($A2666="","",IFERROR(INDEX('Techniciens'!$F$5:$F$44,MATCH(O2666,'Techniciens'!$B$5:$B$44,0)),'Paramètres'!$AA$10))</f>
        <v/>
      </c>
      <c r="V2666" s="70">
        <f>IF($A2666="","",IF(OR(AC2666="Demandé",AC2666="Planifié",AC2666="Annulé"),0,N(T2666)*N(U2666)))</f>
        <v/>
      </c>
      <c r="W2666" s="70">
        <f>IF($A2666="","",SUMIFS('Mouvements stock'!$H$5:$H$3004,'Mouvements stock'!$I$5:$I$3004,$A2666,'Mouvements stock'!$C$5:$C$3004,"Sortie")-SUMIFS('Mouvements stock'!$H$5:$H$3004,'Mouvements stock'!$I$5:$I$3004,$A2666,'Mouvements stock'!$C$5:$C$3004,"Retour"))</f>
        <v/>
      </c>
      <c r="X2666" s="66" t="n"/>
      <c r="Y2666" s="66" t="n"/>
      <c r="Z2666" s="7" t="n"/>
      <c r="AA2666" s="70">
        <f>IF($A2666="","",N(V2666)+N(W2666)+N(X2666)+N(Y2666))</f>
        <v/>
      </c>
      <c r="AB2666" s="70">
        <f>IF($A2666="","",N(S2666)*'Paramètres'!$AA$9*IFERROR(INDEX('Paramètres'!$O$5:$O$7,MATCH(G2666,'Paramètres'!$N$5:$N$7,0)),0))</f>
        <v/>
      </c>
      <c r="AC2666" s="7" t="n"/>
      <c r="AD2666" s="69">
        <f>IF(OR($A2666="",Q2666=""),"",(Q2666-B2666)*24)</f>
        <v/>
      </c>
      <c r="AE2666" s="69">
        <f>IF(OR(Q2666="",R2666=""),"",(R2666-Q2666)*24)</f>
        <v/>
      </c>
      <c r="AF2666" s="77">
        <f>IF(OR($A2666="",B2666=""),"",YEAR(B2666))</f>
        <v/>
      </c>
      <c r="AG2666" s="77">
        <f>IF(OR($A2666="",B2666=""),"",MONTH(B2666))</f>
        <v/>
      </c>
    </row>
    <row r="2667">
      <c r="A2667" s="7" t="n"/>
      <c r="B2667" s="75" t="n"/>
      <c r="C2667" s="7" t="n"/>
      <c r="D2667" s="7" t="n"/>
      <c r="E2667" s="9">
        <f>IF(D2667="","",IFERROR(INDEX('Équipements'!$B$5:$B$304,MATCH(D2667,'Équipements'!$A$5:$A$304,0)),"Code inconnu"))</f>
        <v/>
      </c>
      <c r="F2667" s="9">
        <f>IF(D2667="","",IFERROR(INDEX('Équipements'!$D$5:$D$304,MATCH(D2667,'Équipements'!$A$5:$A$304,0)),""))</f>
        <v/>
      </c>
      <c r="G2667" s="9">
        <f>IF(D2667="","",IFERROR(INDEX('Équipements'!$K$5:$K$304,MATCH(D2667,'Équipements'!$A$5:$A$304,0)),""))</f>
        <v/>
      </c>
      <c r="H2667" s="7" t="n"/>
      <c r="I2667" s="7" t="n"/>
      <c r="J2667" s="7" t="n"/>
      <c r="K2667" s="7" t="n"/>
      <c r="L2667" s="7" t="n"/>
      <c r="M2667" s="7" t="n"/>
      <c r="N2667" s="7" t="n"/>
      <c r="O2667" s="7" t="n"/>
      <c r="P2667" s="65" t="n"/>
      <c r="Q2667" s="75" t="n"/>
      <c r="R2667" s="75" t="n"/>
      <c r="S2667" s="76" t="n"/>
      <c r="T2667" s="76" t="n"/>
      <c r="U2667" s="70">
        <f>IF($A2667="","",IFERROR(INDEX('Techniciens'!$F$5:$F$44,MATCH(O2667,'Techniciens'!$B$5:$B$44,0)),'Paramètres'!$AA$10))</f>
        <v/>
      </c>
      <c r="V2667" s="70">
        <f>IF($A2667="","",IF(OR(AC2667="Demandé",AC2667="Planifié",AC2667="Annulé"),0,N(T2667)*N(U2667)))</f>
        <v/>
      </c>
      <c r="W2667" s="70">
        <f>IF($A2667="","",SUMIFS('Mouvements stock'!$H$5:$H$3004,'Mouvements stock'!$I$5:$I$3004,$A2667,'Mouvements stock'!$C$5:$C$3004,"Sortie")-SUMIFS('Mouvements stock'!$H$5:$H$3004,'Mouvements stock'!$I$5:$I$3004,$A2667,'Mouvements stock'!$C$5:$C$3004,"Retour"))</f>
        <v/>
      </c>
      <c r="X2667" s="66" t="n"/>
      <c r="Y2667" s="66" t="n"/>
      <c r="Z2667" s="7" t="n"/>
      <c r="AA2667" s="70">
        <f>IF($A2667="","",N(V2667)+N(W2667)+N(X2667)+N(Y2667))</f>
        <v/>
      </c>
      <c r="AB2667" s="70">
        <f>IF($A2667="","",N(S2667)*'Paramètres'!$AA$9*IFERROR(INDEX('Paramètres'!$O$5:$O$7,MATCH(G2667,'Paramètres'!$N$5:$N$7,0)),0))</f>
        <v/>
      </c>
      <c r="AC2667" s="7" t="n"/>
      <c r="AD2667" s="69">
        <f>IF(OR($A2667="",Q2667=""),"",(Q2667-B2667)*24)</f>
        <v/>
      </c>
      <c r="AE2667" s="69">
        <f>IF(OR(Q2667="",R2667=""),"",(R2667-Q2667)*24)</f>
        <v/>
      </c>
      <c r="AF2667" s="77">
        <f>IF(OR($A2667="",B2667=""),"",YEAR(B2667))</f>
        <v/>
      </c>
      <c r="AG2667" s="77">
        <f>IF(OR($A2667="",B2667=""),"",MONTH(B2667))</f>
        <v/>
      </c>
    </row>
    <row r="2668">
      <c r="A2668" s="7" t="n"/>
      <c r="B2668" s="75" t="n"/>
      <c r="C2668" s="7" t="n"/>
      <c r="D2668" s="7" t="n"/>
      <c r="E2668" s="9">
        <f>IF(D2668="","",IFERROR(INDEX('Équipements'!$B$5:$B$304,MATCH(D2668,'Équipements'!$A$5:$A$304,0)),"Code inconnu"))</f>
        <v/>
      </c>
      <c r="F2668" s="9">
        <f>IF(D2668="","",IFERROR(INDEX('Équipements'!$D$5:$D$304,MATCH(D2668,'Équipements'!$A$5:$A$304,0)),""))</f>
        <v/>
      </c>
      <c r="G2668" s="9">
        <f>IF(D2668="","",IFERROR(INDEX('Équipements'!$K$5:$K$304,MATCH(D2668,'Équipements'!$A$5:$A$304,0)),""))</f>
        <v/>
      </c>
      <c r="H2668" s="7" t="n"/>
      <c r="I2668" s="7" t="n"/>
      <c r="J2668" s="7" t="n"/>
      <c r="K2668" s="7" t="n"/>
      <c r="L2668" s="7" t="n"/>
      <c r="M2668" s="7" t="n"/>
      <c r="N2668" s="7" t="n"/>
      <c r="O2668" s="7" t="n"/>
      <c r="P2668" s="65" t="n"/>
      <c r="Q2668" s="75" t="n"/>
      <c r="R2668" s="75" t="n"/>
      <c r="S2668" s="76" t="n"/>
      <c r="T2668" s="76" t="n"/>
      <c r="U2668" s="70">
        <f>IF($A2668="","",IFERROR(INDEX('Techniciens'!$F$5:$F$44,MATCH(O2668,'Techniciens'!$B$5:$B$44,0)),'Paramètres'!$AA$10))</f>
        <v/>
      </c>
      <c r="V2668" s="70">
        <f>IF($A2668="","",IF(OR(AC2668="Demandé",AC2668="Planifié",AC2668="Annulé"),0,N(T2668)*N(U2668)))</f>
        <v/>
      </c>
      <c r="W2668" s="70">
        <f>IF($A2668="","",SUMIFS('Mouvements stock'!$H$5:$H$3004,'Mouvements stock'!$I$5:$I$3004,$A2668,'Mouvements stock'!$C$5:$C$3004,"Sortie")-SUMIFS('Mouvements stock'!$H$5:$H$3004,'Mouvements stock'!$I$5:$I$3004,$A2668,'Mouvements stock'!$C$5:$C$3004,"Retour"))</f>
        <v/>
      </c>
      <c r="X2668" s="66" t="n"/>
      <c r="Y2668" s="66" t="n"/>
      <c r="Z2668" s="7" t="n"/>
      <c r="AA2668" s="70">
        <f>IF($A2668="","",N(V2668)+N(W2668)+N(X2668)+N(Y2668))</f>
        <v/>
      </c>
      <c r="AB2668" s="70">
        <f>IF($A2668="","",N(S2668)*'Paramètres'!$AA$9*IFERROR(INDEX('Paramètres'!$O$5:$O$7,MATCH(G2668,'Paramètres'!$N$5:$N$7,0)),0))</f>
        <v/>
      </c>
      <c r="AC2668" s="7" t="n"/>
      <c r="AD2668" s="69">
        <f>IF(OR($A2668="",Q2668=""),"",(Q2668-B2668)*24)</f>
        <v/>
      </c>
      <c r="AE2668" s="69">
        <f>IF(OR(Q2668="",R2668=""),"",(R2668-Q2668)*24)</f>
        <v/>
      </c>
      <c r="AF2668" s="77">
        <f>IF(OR($A2668="",B2668=""),"",YEAR(B2668))</f>
        <v/>
      </c>
      <c r="AG2668" s="77">
        <f>IF(OR($A2668="",B2668=""),"",MONTH(B2668))</f>
        <v/>
      </c>
    </row>
    <row r="2669">
      <c r="A2669" s="7" t="n"/>
      <c r="B2669" s="75" t="n"/>
      <c r="C2669" s="7" t="n"/>
      <c r="D2669" s="7" t="n"/>
      <c r="E2669" s="9">
        <f>IF(D2669="","",IFERROR(INDEX('Équipements'!$B$5:$B$304,MATCH(D2669,'Équipements'!$A$5:$A$304,0)),"Code inconnu"))</f>
        <v/>
      </c>
      <c r="F2669" s="9">
        <f>IF(D2669="","",IFERROR(INDEX('Équipements'!$D$5:$D$304,MATCH(D2669,'Équipements'!$A$5:$A$304,0)),""))</f>
        <v/>
      </c>
      <c r="G2669" s="9">
        <f>IF(D2669="","",IFERROR(INDEX('Équipements'!$K$5:$K$304,MATCH(D2669,'Équipements'!$A$5:$A$304,0)),""))</f>
        <v/>
      </c>
      <c r="H2669" s="7" t="n"/>
      <c r="I2669" s="7" t="n"/>
      <c r="J2669" s="7" t="n"/>
      <c r="K2669" s="7" t="n"/>
      <c r="L2669" s="7" t="n"/>
      <c r="M2669" s="7" t="n"/>
      <c r="N2669" s="7" t="n"/>
      <c r="O2669" s="7" t="n"/>
      <c r="P2669" s="65" t="n"/>
      <c r="Q2669" s="75" t="n"/>
      <c r="R2669" s="75" t="n"/>
      <c r="S2669" s="76" t="n"/>
      <c r="T2669" s="76" t="n"/>
      <c r="U2669" s="70">
        <f>IF($A2669="","",IFERROR(INDEX('Techniciens'!$F$5:$F$44,MATCH(O2669,'Techniciens'!$B$5:$B$44,0)),'Paramètres'!$AA$10))</f>
        <v/>
      </c>
      <c r="V2669" s="70">
        <f>IF($A2669="","",IF(OR(AC2669="Demandé",AC2669="Planifié",AC2669="Annulé"),0,N(T2669)*N(U2669)))</f>
        <v/>
      </c>
      <c r="W2669" s="70">
        <f>IF($A2669="","",SUMIFS('Mouvements stock'!$H$5:$H$3004,'Mouvements stock'!$I$5:$I$3004,$A2669,'Mouvements stock'!$C$5:$C$3004,"Sortie")-SUMIFS('Mouvements stock'!$H$5:$H$3004,'Mouvements stock'!$I$5:$I$3004,$A2669,'Mouvements stock'!$C$5:$C$3004,"Retour"))</f>
        <v/>
      </c>
      <c r="X2669" s="66" t="n"/>
      <c r="Y2669" s="66" t="n"/>
      <c r="Z2669" s="7" t="n"/>
      <c r="AA2669" s="70">
        <f>IF($A2669="","",N(V2669)+N(W2669)+N(X2669)+N(Y2669))</f>
        <v/>
      </c>
      <c r="AB2669" s="70">
        <f>IF($A2669="","",N(S2669)*'Paramètres'!$AA$9*IFERROR(INDEX('Paramètres'!$O$5:$O$7,MATCH(G2669,'Paramètres'!$N$5:$N$7,0)),0))</f>
        <v/>
      </c>
      <c r="AC2669" s="7" t="n"/>
      <c r="AD2669" s="69">
        <f>IF(OR($A2669="",Q2669=""),"",(Q2669-B2669)*24)</f>
        <v/>
      </c>
      <c r="AE2669" s="69">
        <f>IF(OR(Q2669="",R2669=""),"",(R2669-Q2669)*24)</f>
        <v/>
      </c>
      <c r="AF2669" s="77">
        <f>IF(OR($A2669="",B2669=""),"",YEAR(B2669))</f>
        <v/>
      </c>
      <c r="AG2669" s="77">
        <f>IF(OR($A2669="",B2669=""),"",MONTH(B2669))</f>
        <v/>
      </c>
    </row>
    <row r="2670">
      <c r="A2670" s="7" t="n"/>
      <c r="B2670" s="75" t="n"/>
      <c r="C2670" s="7" t="n"/>
      <c r="D2670" s="7" t="n"/>
      <c r="E2670" s="9">
        <f>IF(D2670="","",IFERROR(INDEX('Équipements'!$B$5:$B$304,MATCH(D2670,'Équipements'!$A$5:$A$304,0)),"Code inconnu"))</f>
        <v/>
      </c>
      <c r="F2670" s="9">
        <f>IF(D2670="","",IFERROR(INDEX('Équipements'!$D$5:$D$304,MATCH(D2670,'Équipements'!$A$5:$A$304,0)),""))</f>
        <v/>
      </c>
      <c r="G2670" s="9">
        <f>IF(D2670="","",IFERROR(INDEX('Équipements'!$K$5:$K$304,MATCH(D2670,'Équipements'!$A$5:$A$304,0)),""))</f>
        <v/>
      </c>
      <c r="H2670" s="7" t="n"/>
      <c r="I2670" s="7" t="n"/>
      <c r="J2670" s="7" t="n"/>
      <c r="K2670" s="7" t="n"/>
      <c r="L2670" s="7" t="n"/>
      <c r="M2670" s="7" t="n"/>
      <c r="N2670" s="7" t="n"/>
      <c r="O2670" s="7" t="n"/>
      <c r="P2670" s="65" t="n"/>
      <c r="Q2670" s="75" t="n"/>
      <c r="R2670" s="75" t="n"/>
      <c r="S2670" s="76" t="n"/>
      <c r="T2670" s="76" t="n"/>
      <c r="U2670" s="70">
        <f>IF($A2670="","",IFERROR(INDEX('Techniciens'!$F$5:$F$44,MATCH(O2670,'Techniciens'!$B$5:$B$44,0)),'Paramètres'!$AA$10))</f>
        <v/>
      </c>
      <c r="V2670" s="70">
        <f>IF($A2670="","",IF(OR(AC2670="Demandé",AC2670="Planifié",AC2670="Annulé"),0,N(T2670)*N(U2670)))</f>
        <v/>
      </c>
      <c r="W2670" s="70">
        <f>IF($A2670="","",SUMIFS('Mouvements stock'!$H$5:$H$3004,'Mouvements stock'!$I$5:$I$3004,$A2670,'Mouvements stock'!$C$5:$C$3004,"Sortie")-SUMIFS('Mouvements stock'!$H$5:$H$3004,'Mouvements stock'!$I$5:$I$3004,$A2670,'Mouvements stock'!$C$5:$C$3004,"Retour"))</f>
        <v/>
      </c>
      <c r="X2670" s="66" t="n"/>
      <c r="Y2670" s="66" t="n"/>
      <c r="Z2670" s="7" t="n"/>
      <c r="AA2670" s="70">
        <f>IF($A2670="","",N(V2670)+N(W2670)+N(X2670)+N(Y2670))</f>
        <v/>
      </c>
      <c r="AB2670" s="70">
        <f>IF($A2670="","",N(S2670)*'Paramètres'!$AA$9*IFERROR(INDEX('Paramètres'!$O$5:$O$7,MATCH(G2670,'Paramètres'!$N$5:$N$7,0)),0))</f>
        <v/>
      </c>
      <c r="AC2670" s="7" t="n"/>
      <c r="AD2670" s="69">
        <f>IF(OR($A2670="",Q2670=""),"",(Q2670-B2670)*24)</f>
        <v/>
      </c>
      <c r="AE2670" s="69">
        <f>IF(OR(Q2670="",R2670=""),"",(R2670-Q2670)*24)</f>
        <v/>
      </c>
      <c r="AF2670" s="77">
        <f>IF(OR($A2670="",B2670=""),"",YEAR(B2670))</f>
        <v/>
      </c>
      <c r="AG2670" s="77">
        <f>IF(OR($A2670="",B2670=""),"",MONTH(B2670))</f>
        <v/>
      </c>
    </row>
    <row r="2671">
      <c r="A2671" s="7" t="n"/>
      <c r="B2671" s="75" t="n"/>
      <c r="C2671" s="7" t="n"/>
      <c r="D2671" s="7" t="n"/>
      <c r="E2671" s="9">
        <f>IF(D2671="","",IFERROR(INDEX('Équipements'!$B$5:$B$304,MATCH(D2671,'Équipements'!$A$5:$A$304,0)),"Code inconnu"))</f>
        <v/>
      </c>
      <c r="F2671" s="9">
        <f>IF(D2671="","",IFERROR(INDEX('Équipements'!$D$5:$D$304,MATCH(D2671,'Équipements'!$A$5:$A$304,0)),""))</f>
        <v/>
      </c>
      <c r="G2671" s="9">
        <f>IF(D2671="","",IFERROR(INDEX('Équipements'!$K$5:$K$304,MATCH(D2671,'Équipements'!$A$5:$A$304,0)),""))</f>
        <v/>
      </c>
      <c r="H2671" s="7" t="n"/>
      <c r="I2671" s="7" t="n"/>
      <c r="J2671" s="7" t="n"/>
      <c r="K2671" s="7" t="n"/>
      <c r="L2671" s="7" t="n"/>
      <c r="M2671" s="7" t="n"/>
      <c r="N2671" s="7" t="n"/>
      <c r="O2671" s="7" t="n"/>
      <c r="P2671" s="65" t="n"/>
      <c r="Q2671" s="75" t="n"/>
      <c r="R2671" s="75" t="n"/>
      <c r="S2671" s="76" t="n"/>
      <c r="T2671" s="76" t="n"/>
      <c r="U2671" s="70">
        <f>IF($A2671="","",IFERROR(INDEX('Techniciens'!$F$5:$F$44,MATCH(O2671,'Techniciens'!$B$5:$B$44,0)),'Paramètres'!$AA$10))</f>
        <v/>
      </c>
      <c r="V2671" s="70">
        <f>IF($A2671="","",IF(OR(AC2671="Demandé",AC2671="Planifié",AC2671="Annulé"),0,N(T2671)*N(U2671)))</f>
        <v/>
      </c>
      <c r="W2671" s="70">
        <f>IF($A2671="","",SUMIFS('Mouvements stock'!$H$5:$H$3004,'Mouvements stock'!$I$5:$I$3004,$A2671,'Mouvements stock'!$C$5:$C$3004,"Sortie")-SUMIFS('Mouvements stock'!$H$5:$H$3004,'Mouvements stock'!$I$5:$I$3004,$A2671,'Mouvements stock'!$C$5:$C$3004,"Retour"))</f>
        <v/>
      </c>
      <c r="X2671" s="66" t="n"/>
      <c r="Y2671" s="66" t="n"/>
      <c r="Z2671" s="7" t="n"/>
      <c r="AA2671" s="70">
        <f>IF($A2671="","",N(V2671)+N(W2671)+N(X2671)+N(Y2671))</f>
        <v/>
      </c>
      <c r="AB2671" s="70">
        <f>IF($A2671="","",N(S2671)*'Paramètres'!$AA$9*IFERROR(INDEX('Paramètres'!$O$5:$O$7,MATCH(G2671,'Paramètres'!$N$5:$N$7,0)),0))</f>
        <v/>
      </c>
      <c r="AC2671" s="7" t="n"/>
      <c r="AD2671" s="69">
        <f>IF(OR($A2671="",Q2671=""),"",(Q2671-B2671)*24)</f>
        <v/>
      </c>
      <c r="AE2671" s="69">
        <f>IF(OR(Q2671="",R2671=""),"",(R2671-Q2671)*24)</f>
        <v/>
      </c>
      <c r="AF2671" s="77">
        <f>IF(OR($A2671="",B2671=""),"",YEAR(B2671))</f>
        <v/>
      </c>
      <c r="AG2671" s="77">
        <f>IF(OR($A2671="",B2671=""),"",MONTH(B2671))</f>
        <v/>
      </c>
    </row>
    <row r="2672">
      <c r="A2672" s="7" t="n"/>
      <c r="B2672" s="75" t="n"/>
      <c r="C2672" s="7" t="n"/>
      <c r="D2672" s="7" t="n"/>
      <c r="E2672" s="9">
        <f>IF(D2672="","",IFERROR(INDEX('Équipements'!$B$5:$B$304,MATCH(D2672,'Équipements'!$A$5:$A$304,0)),"Code inconnu"))</f>
        <v/>
      </c>
      <c r="F2672" s="9">
        <f>IF(D2672="","",IFERROR(INDEX('Équipements'!$D$5:$D$304,MATCH(D2672,'Équipements'!$A$5:$A$304,0)),""))</f>
        <v/>
      </c>
      <c r="G2672" s="9">
        <f>IF(D2672="","",IFERROR(INDEX('Équipements'!$K$5:$K$304,MATCH(D2672,'Équipements'!$A$5:$A$304,0)),""))</f>
        <v/>
      </c>
      <c r="H2672" s="7" t="n"/>
      <c r="I2672" s="7" t="n"/>
      <c r="J2672" s="7" t="n"/>
      <c r="K2672" s="7" t="n"/>
      <c r="L2672" s="7" t="n"/>
      <c r="M2672" s="7" t="n"/>
      <c r="N2672" s="7" t="n"/>
      <c r="O2672" s="7" t="n"/>
      <c r="P2672" s="65" t="n"/>
      <c r="Q2672" s="75" t="n"/>
      <c r="R2672" s="75" t="n"/>
      <c r="S2672" s="76" t="n"/>
      <c r="T2672" s="76" t="n"/>
      <c r="U2672" s="70">
        <f>IF($A2672="","",IFERROR(INDEX('Techniciens'!$F$5:$F$44,MATCH(O2672,'Techniciens'!$B$5:$B$44,0)),'Paramètres'!$AA$10))</f>
        <v/>
      </c>
      <c r="V2672" s="70">
        <f>IF($A2672="","",IF(OR(AC2672="Demandé",AC2672="Planifié",AC2672="Annulé"),0,N(T2672)*N(U2672)))</f>
        <v/>
      </c>
      <c r="W2672" s="70">
        <f>IF($A2672="","",SUMIFS('Mouvements stock'!$H$5:$H$3004,'Mouvements stock'!$I$5:$I$3004,$A2672,'Mouvements stock'!$C$5:$C$3004,"Sortie")-SUMIFS('Mouvements stock'!$H$5:$H$3004,'Mouvements stock'!$I$5:$I$3004,$A2672,'Mouvements stock'!$C$5:$C$3004,"Retour"))</f>
        <v/>
      </c>
      <c r="X2672" s="66" t="n"/>
      <c r="Y2672" s="66" t="n"/>
      <c r="Z2672" s="7" t="n"/>
      <c r="AA2672" s="70">
        <f>IF($A2672="","",N(V2672)+N(W2672)+N(X2672)+N(Y2672))</f>
        <v/>
      </c>
      <c r="AB2672" s="70">
        <f>IF($A2672="","",N(S2672)*'Paramètres'!$AA$9*IFERROR(INDEX('Paramètres'!$O$5:$O$7,MATCH(G2672,'Paramètres'!$N$5:$N$7,0)),0))</f>
        <v/>
      </c>
      <c r="AC2672" s="7" t="n"/>
      <c r="AD2672" s="69">
        <f>IF(OR($A2672="",Q2672=""),"",(Q2672-B2672)*24)</f>
        <v/>
      </c>
      <c r="AE2672" s="69">
        <f>IF(OR(Q2672="",R2672=""),"",(R2672-Q2672)*24)</f>
        <v/>
      </c>
      <c r="AF2672" s="77">
        <f>IF(OR($A2672="",B2672=""),"",YEAR(B2672))</f>
        <v/>
      </c>
      <c r="AG2672" s="77">
        <f>IF(OR($A2672="",B2672=""),"",MONTH(B2672))</f>
        <v/>
      </c>
    </row>
    <row r="2673">
      <c r="A2673" s="7" t="n"/>
      <c r="B2673" s="75" t="n"/>
      <c r="C2673" s="7" t="n"/>
      <c r="D2673" s="7" t="n"/>
      <c r="E2673" s="9">
        <f>IF(D2673="","",IFERROR(INDEX('Équipements'!$B$5:$B$304,MATCH(D2673,'Équipements'!$A$5:$A$304,0)),"Code inconnu"))</f>
        <v/>
      </c>
      <c r="F2673" s="9">
        <f>IF(D2673="","",IFERROR(INDEX('Équipements'!$D$5:$D$304,MATCH(D2673,'Équipements'!$A$5:$A$304,0)),""))</f>
        <v/>
      </c>
      <c r="G2673" s="9">
        <f>IF(D2673="","",IFERROR(INDEX('Équipements'!$K$5:$K$304,MATCH(D2673,'Équipements'!$A$5:$A$304,0)),""))</f>
        <v/>
      </c>
      <c r="H2673" s="7" t="n"/>
      <c r="I2673" s="7" t="n"/>
      <c r="J2673" s="7" t="n"/>
      <c r="K2673" s="7" t="n"/>
      <c r="L2673" s="7" t="n"/>
      <c r="M2673" s="7" t="n"/>
      <c r="N2673" s="7" t="n"/>
      <c r="O2673" s="7" t="n"/>
      <c r="P2673" s="65" t="n"/>
      <c r="Q2673" s="75" t="n"/>
      <c r="R2673" s="75" t="n"/>
      <c r="S2673" s="76" t="n"/>
      <c r="T2673" s="76" t="n"/>
      <c r="U2673" s="70">
        <f>IF($A2673="","",IFERROR(INDEX('Techniciens'!$F$5:$F$44,MATCH(O2673,'Techniciens'!$B$5:$B$44,0)),'Paramètres'!$AA$10))</f>
        <v/>
      </c>
      <c r="V2673" s="70">
        <f>IF($A2673="","",IF(OR(AC2673="Demandé",AC2673="Planifié",AC2673="Annulé"),0,N(T2673)*N(U2673)))</f>
        <v/>
      </c>
      <c r="W2673" s="70">
        <f>IF($A2673="","",SUMIFS('Mouvements stock'!$H$5:$H$3004,'Mouvements stock'!$I$5:$I$3004,$A2673,'Mouvements stock'!$C$5:$C$3004,"Sortie")-SUMIFS('Mouvements stock'!$H$5:$H$3004,'Mouvements stock'!$I$5:$I$3004,$A2673,'Mouvements stock'!$C$5:$C$3004,"Retour"))</f>
        <v/>
      </c>
      <c r="X2673" s="66" t="n"/>
      <c r="Y2673" s="66" t="n"/>
      <c r="Z2673" s="7" t="n"/>
      <c r="AA2673" s="70">
        <f>IF($A2673="","",N(V2673)+N(W2673)+N(X2673)+N(Y2673))</f>
        <v/>
      </c>
      <c r="AB2673" s="70">
        <f>IF($A2673="","",N(S2673)*'Paramètres'!$AA$9*IFERROR(INDEX('Paramètres'!$O$5:$O$7,MATCH(G2673,'Paramètres'!$N$5:$N$7,0)),0))</f>
        <v/>
      </c>
      <c r="AC2673" s="7" t="n"/>
      <c r="AD2673" s="69">
        <f>IF(OR($A2673="",Q2673=""),"",(Q2673-B2673)*24)</f>
        <v/>
      </c>
      <c r="AE2673" s="69">
        <f>IF(OR(Q2673="",R2673=""),"",(R2673-Q2673)*24)</f>
        <v/>
      </c>
      <c r="AF2673" s="77">
        <f>IF(OR($A2673="",B2673=""),"",YEAR(B2673))</f>
        <v/>
      </c>
      <c r="AG2673" s="77">
        <f>IF(OR($A2673="",B2673=""),"",MONTH(B2673))</f>
        <v/>
      </c>
    </row>
    <row r="2674">
      <c r="A2674" s="7" t="n"/>
      <c r="B2674" s="75" t="n"/>
      <c r="C2674" s="7" t="n"/>
      <c r="D2674" s="7" t="n"/>
      <c r="E2674" s="9">
        <f>IF(D2674="","",IFERROR(INDEX('Équipements'!$B$5:$B$304,MATCH(D2674,'Équipements'!$A$5:$A$304,0)),"Code inconnu"))</f>
        <v/>
      </c>
      <c r="F2674" s="9">
        <f>IF(D2674="","",IFERROR(INDEX('Équipements'!$D$5:$D$304,MATCH(D2674,'Équipements'!$A$5:$A$304,0)),""))</f>
        <v/>
      </c>
      <c r="G2674" s="9">
        <f>IF(D2674="","",IFERROR(INDEX('Équipements'!$K$5:$K$304,MATCH(D2674,'Équipements'!$A$5:$A$304,0)),""))</f>
        <v/>
      </c>
      <c r="H2674" s="7" t="n"/>
      <c r="I2674" s="7" t="n"/>
      <c r="J2674" s="7" t="n"/>
      <c r="K2674" s="7" t="n"/>
      <c r="L2674" s="7" t="n"/>
      <c r="M2674" s="7" t="n"/>
      <c r="N2674" s="7" t="n"/>
      <c r="O2674" s="7" t="n"/>
      <c r="P2674" s="65" t="n"/>
      <c r="Q2674" s="75" t="n"/>
      <c r="R2674" s="75" t="n"/>
      <c r="S2674" s="76" t="n"/>
      <c r="T2674" s="76" t="n"/>
      <c r="U2674" s="70">
        <f>IF($A2674="","",IFERROR(INDEX('Techniciens'!$F$5:$F$44,MATCH(O2674,'Techniciens'!$B$5:$B$44,0)),'Paramètres'!$AA$10))</f>
        <v/>
      </c>
      <c r="V2674" s="70">
        <f>IF($A2674="","",IF(OR(AC2674="Demandé",AC2674="Planifié",AC2674="Annulé"),0,N(T2674)*N(U2674)))</f>
        <v/>
      </c>
      <c r="W2674" s="70">
        <f>IF($A2674="","",SUMIFS('Mouvements stock'!$H$5:$H$3004,'Mouvements stock'!$I$5:$I$3004,$A2674,'Mouvements stock'!$C$5:$C$3004,"Sortie")-SUMIFS('Mouvements stock'!$H$5:$H$3004,'Mouvements stock'!$I$5:$I$3004,$A2674,'Mouvements stock'!$C$5:$C$3004,"Retour"))</f>
        <v/>
      </c>
      <c r="X2674" s="66" t="n"/>
      <c r="Y2674" s="66" t="n"/>
      <c r="Z2674" s="7" t="n"/>
      <c r="AA2674" s="70">
        <f>IF($A2674="","",N(V2674)+N(W2674)+N(X2674)+N(Y2674))</f>
        <v/>
      </c>
      <c r="AB2674" s="70">
        <f>IF($A2674="","",N(S2674)*'Paramètres'!$AA$9*IFERROR(INDEX('Paramètres'!$O$5:$O$7,MATCH(G2674,'Paramètres'!$N$5:$N$7,0)),0))</f>
        <v/>
      </c>
      <c r="AC2674" s="7" t="n"/>
      <c r="AD2674" s="69">
        <f>IF(OR($A2674="",Q2674=""),"",(Q2674-B2674)*24)</f>
        <v/>
      </c>
      <c r="AE2674" s="69">
        <f>IF(OR(Q2674="",R2674=""),"",(R2674-Q2674)*24)</f>
        <v/>
      </c>
      <c r="AF2674" s="77">
        <f>IF(OR($A2674="",B2674=""),"",YEAR(B2674))</f>
        <v/>
      </c>
      <c r="AG2674" s="77">
        <f>IF(OR($A2674="",B2674=""),"",MONTH(B2674))</f>
        <v/>
      </c>
    </row>
    <row r="2675">
      <c r="A2675" s="7" t="n"/>
      <c r="B2675" s="75" t="n"/>
      <c r="C2675" s="7" t="n"/>
      <c r="D2675" s="7" t="n"/>
      <c r="E2675" s="9">
        <f>IF(D2675="","",IFERROR(INDEX('Équipements'!$B$5:$B$304,MATCH(D2675,'Équipements'!$A$5:$A$304,0)),"Code inconnu"))</f>
        <v/>
      </c>
      <c r="F2675" s="9">
        <f>IF(D2675="","",IFERROR(INDEX('Équipements'!$D$5:$D$304,MATCH(D2675,'Équipements'!$A$5:$A$304,0)),""))</f>
        <v/>
      </c>
      <c r="G2675" s="9">
        <f>IF(D2675="","",IFERROR(INDEX('Équipements'!$K$5:$K$304,MATCH(D2675,'Équipements'!$A$5:$A$304,0)),""))</f>
        <v/>
      </c>
      <c r="H2675" s="7" t="n"/>
      <c r="I2675" s="7" t="n"/>
      <c r="J2675" s="7" t="n"/>
      <c r="K2675" s="7" t="n"/>
      <c r="L2675" s="7" t="n"/>
      <c r="M2675" s="7" t="n"/>
      <c r="N2675" s="7" t="n"/>
      <c r="O2675" s="7" t="n"/>
      <c r="P2675" s="65" t="n"/>
      <c r="Q2675" s="75" t="n"/>
      <c r="R2675" s="75" t="n"/>
      <c r="S2675" s="76" t="n"/>
      <c r="T2675" s="76" t="n"/>
      <c r="U2675" s="70">
        <f>IF($A2675="","",IFERROR(INDEX('Techniciens'!$F$5:$F$44,MATCH(O2675,'Techniciens'!$B$5:$B$44,0)),'Paramètres'!$AA$10))</f>
        <v/>
      </c>
      <c r="V2675" s="70">
        <f>IF($A2675="","",IF(OR(AC2675="Demandé",AC2675="Planifié",AC2675="Annulé"),0,N(T2675)*N(U2675)))</f>
        <v/>
      </c>
      <c r="W2675" s="70">
        <f>IF($A2675="","",SUMIFS('Mouvements stock'!$H$5:$H$3004,'Mouvements stock'!$I$5:$I$3004,$A2675,'Mouvements stock'!$C$5:$C$3004,"Sortie")-SUMIFS('Mouvements stock'!$H$5:$H$3004,'Mouvements stock'!$I$5:$I$3004,$A2675,'Mouvements stock'!$C$5:$C$3004,"Retour"))</f>
        <v/>
      </c>
      <c r="X2675" s="66" t="n"/>
      <c r="Y2675" s="66" t="n"/>
      <c r="Z2675" s="7" t="n"/>
      <c r="AA2675" s="70">
        <f>IF($A2675="","",N(V2675)+N(W2675)+N(X2675)+N(Y2675))</f>
        <v/>
      </c>
      <c r="AB2675" s="70">
        <f>IF($A2675="","",N(S2675)*'Paramètres'!$AA$9*IFERROR(INDEX('Paramètres'!$O$5:$O$7,MATCH(G2675,'Paramètres'!$N$5:$N$7,0)),0))</f>
        <v/>
      </c>
      <c r="AC2675" s="7" t="n"/>
      <c r="AD2675" s="69">
        <f>IF(OR($A2675="",Q2675=""),"",(Q2675-B2675)*24)</f>
        <v/>
      </c>
      <c r="AE2675" s="69">
        <f>IF(OR(Q2675="",R2675=""),"",(R2675-Q2675)*24)</f>
        <v/>
      </c>
      <c r="AF2675" s="77">
        <f>IF(OR($A2675="",B2675=""),"",YEAR(B2675))</f>
        <v/>
      </c>
      <c r="AG2675" s="77">
        <f>IF(OR($A2675="",B2675=""),"",MONTH(B2675))</f>
        <v/>
      </c>
    </row>
    <row r="2676">
      <c r="A2676" s="7" t="n"/>
      <c r="B2676" s="75" t="n"/>
      <c r="C2676" s="7" t="n"/>
      <c r="D2676" s="7" t="n"/>
      <c r="E2676" s="9">
        <f>IF(D2676="","",IFERROR(INDEX('Équipements'!$B$5:$B$304,MATCH(D2676,'Équipements'!$A$5:$A$304,0)),"Code inconnu"))</f>
        <v/>
      </c>
      <c r="F2676" s="9">
        <f>IF(D2676="","",IFERROR(INDEX('Équipements'!$D$5:$D$304,MATCH(D2676,'Équipements'!$A$5:$A$304,0)),""))</f>
        <v/>
      </c>
      <c r="G2676" s="9">
        <f>IF(D2676="","",IFERROR(INDEX('Équipements'!$K$5:$K$304,MATCH(D2676,'Équipements'!$A$5:$A$304,0)),""))</f>
        <v/>
      </c>
      <c r="H2676" s="7" t="n"/>
      <c r="I2676" s="7" t="n"/>
      <c r="J2676" s="7" t="n"/>
      <c r="K2676" s="7" t="n"/>
      <c r="L2676" s="7" t="n"/>
      <c r="M2676" s="7" t="n"/>
      <c r="N2676" s="7" t="n"/>
      <c r="O2676" s="7" t="n"/>
      <c r="P2676" s="65" t="n"/>
      <c r="Q2676" s="75" t="n"/>
      <c r="R2676" s="75" t="n"/>
      <c r="S2676" s="76" t="n"/>
      <c r="T2676" s="76" t="n"/>
      <c r="U2676" s="70">
        <f>IF($A2676="","",IFERROR(INDEX('Techniciens'!$F$5:$F$44,MATCH(O2676,'Techniciens'!$B$5:$B$44,0)),'Paramètres'!$AA$10))</f>
        <v/>
      </c>
      <c r="V2676" s="70">
        <f>IF($A2676="","",IF(OR(AC2676="Demandé",AC2676="Planifié",AC2676="Annulé"),0,N(T2676)*N(U2676)))</f>
        <v/>
      </c>
      <c r="W2676" s="70">
        <f>IF($A2676="","",SUMIFS('Mouvements stock'!$H$5:$H$3004,'Mouvements stock'!$I$5:$I$3004,$A2676,'Mouvements stock'!$C$5:$C$3004,"Sortie")-SUMIFS('Mouvements stock'!$H$5:$H$3004,'Mouvements stock'!$I$5:$I$3004,$A2676,'Mouvements stock'!$C$5:$C$3004,"Retour"))</f>
        <v/>
      </c>
      <c r="X2676" s="66" t="n"/>
      <c r="Y2676" s="66" t="n"/>
      <c r="Z2676" s="7" t="n"/>
      <c r="AA2676" s="70">
        <f>IF($A2676="","",N(V2676)+N(W2676)+N(X2676)+N(Y2676))</f>
        <v/>
      </c>
      <c r="AB2676" s="70">
        <f>IF($A2676="","",N(S2676)*'Paramètres'!$AA$9*IFERROR(INDEX('Paramètres'!$O$5:$O$7,MATCH(G2676,'Paramètres'!$N$5:$N$7,0)),0))</f>
        <v/>
      </c>
      <c r="AC2676" s="7" t="n"/>
      <c r="AD2676" s="69">
        <f>IF(OR($A2676="",Q2676=""),"",(Q2676-B2676)*24)</f>
        <v/>
      </c>
      <c r="AE2676" s="69">
        <f>IF(OR(Q2676="",R2676=""),"",(R2676-Q2676)*24)</f>
        <v/>
      </c>
      <c r="AF2676" s="77">
        <f>IF(OR($A2676="",B2676=""),"",YEAR(B2676))</f>
        <v/>
      </c>
      <c r="AG2676" s="77">
        <f>IF(OR($A2676="",B2676=""),"",MONTH(B2676))</f>
        <v/>
      </c>
    </row>
    <row r="2677">
      <c r="A2677" s="7" t="n"/>
      <c r="B2677" s="75" t="n"/>
      <c r="C2677" s="7" t="n"/>
      <c r="D2677" s="7" t="n"/>
      <c r="E2677" s="9">
        <f>IF(D2677="","",IFERROR(INDEX('Équipements'!$B$5:$B$304,MATCH(D2677,'Équipements'!$A$5:$A$304,0)),"Code inconnu"))</f>
        <v/>
      </c>
      <c r="F2677" s="9">
        <f>IF(D2677="","",IFERROR(INDEX('Équipements'!$D$5:$D$304,MATCH(D2677,'Équipements'!$A$5:$A$304,0)),""))</f>
        <v/>
      </c>
      <c r="G2677" s="9">
        <f>IF(D2677="","",IFERROR(INDEX('Équipements'!$K$5:$K$304,MATCH(D2677,'Équipements'!$A$5:$A$304,0)),""))</f>
        <v/>
      </c>
      <c r="H2677" s="7" t="n"/>
      <c r="I2677" s="7" t="n"/>
      <c r="J2677" s="7" t="n"/>
      <c r="K2677" s="7" t="n"/>
      <c r="L2677" s="7" t="n"/>
      <c r="M2677" s="7" t="n"/>
      <c r="N2677" s="7" t="n"/>
      <c r="O2677" s="7" t="n"/>
      <c r="P2677" s="65" t="n"/>
      <c r="Q2677" s="75" t="n"/>
      <c r="R2677" s="75" t="n"/>
      <c r="S2677" s="76" t="n"/>
      <c r="T2677" s="76" t="n"/>
      <c r="U2677" s="70">
        <f>IF($A2677="","",IFERROR(INDEX('Techniciens'!$F$5:$F$44,MATCH(O2677,'Techniciens'!$B$5:$B$44,0)),'Paramètres'!$AA$10))</f>
        <v/>
      </c>
      <c r="V2677" s="70">
        <f>IF($A2677="","",IF(OR(AC2677="Demandé",AC2677="Planifié",AC2677="Annulé"),0,N(T2677)*N(U2677)))</f>
        <v/>
      </c>
      <c r="W2677" s="70">
        <f>IF($A2677="","",SUMIFS('Mouvements stock'!$H$5:$H$3004,'Mouvements stock'!$I$5:$I$3004,$A2677,'Mouvements stock'!$C$5:$C$3004,"Sortie")-SUMIFS('Mouvements stock'!$H$5:$H$3004,'Mouvements stock'!$I$5:$I$3004,$A2677,'Mouvements stock'!$C$5:$C$3004,"Retour"))</f>
        <v/>
      </c>
      <c r="X2677" s="66" t="n"/>
      <c r="Y2677" s="66" t="n"/>
      <c r="Z2677" s="7" t="n"/>
      <c r="AA2677" s="70">
        <f>IF($A2677="","",N(V2677)+N(W2677)+N(X2677)+N(Y2677))</f>
        <v/>
      </c>
      <c r="AB2677" s="70">
        <f>IF($A2677="","",N(S2677)*'Paramètres'!$AA$9*IFERROR(INDEX('Paramètres'!$O$5:$O$7,MATCH(G2677,'Paramètres'!$N$5:$N$7,0)),0))</f>
        <v/>
      </c>
      <c r="AC2677" s="7" t="n"/>
      <c r="AD2677" s="69">
        <f>IF(OR($A2677="",Q2677=""),"",(Q2677-B2677)*24)</f>
        <v/>
      </c>
      <c r="AE2677" s="69">
        <f>IF(OR(Q2677="",R2677=""),"",(R2677-Q2677)*24)</f>
        <v/>
      </c>
      <c r="AF2677" s="77">
        <f>IF(OR($A2677="",B2677=""),"",YEAR(B2677))</f>
        <v/>
      </c>
      <c r="AG2677" s="77">
        <f>IF(OR($A2677="",B2677=""),"",MONTH(B2677))</f>
        <v/>
      </c>
    </row>
    <row r="2678">
      <c r="A2678" s="7" t="n"/>
      <c r="B2678" s="75" t="n"/>
      <c r="C2678" s="7" t="n"/>
      <c r="D2678" s="7" t="n"/>
      <c r="E2678" s="9">
        <f>IF(D2678="","",IFERROR(INDEX('Équipements'!$B$5:$B$304,MATCH(D2678,'Équipements'!$A$5:$A$304,0)),"Code inconnu"))</f>
        <v/>
      </c>
      <c r="F2678" s="9">
        <f>IF(D2678="","",IFERROR(INDEX('Équipements'!$D$5:$D$304,MATCH(D2678,'Équipements'!$A$5:$A$304,0)),""))</f>
        <v/>
      </c>
      <c r="G2678" s="9">
        <f>IF(D2678="","",IFERROR(INDEX('Équipements'!$K$5:$K$304,MATCH(D2678,'Équipements'!$A$5:$A$304,0)),""))</f>
        <v/>
      </c>
      <c r="H2678" s="7" t="n"/>
      <c r="I2678" s="7" t="n"/>
      <c r="J2678" s="7" t="n"/>
      <c r="K2678" s="7" t="n"/>
      <c r="L2678" s="7" t="n"/>
      <c r="M2678" s="7" t="n"/>
      <c r="N2678" s="7" t="n"/>
      <c r="O2678" s="7" t="n"/>
      <c r="P2678" s="65" t="n"/>
      <c r="Q2678" s="75" t="n"/>
      <c r="R2678" s="75" t="n"/>
      <c r="S2678" s="76" t="n"/>
      <c r="T2678" s="76" t="n"/>
      <c r="U2678" s="70">
        <f>IF($A2678="","",IFERROR(INDEX('Techniciens'!$F$5:$F$44,MATCH(O2678,'Techniciens'!$B$5:$B$44,0)),'Paramètres'!$AA$10))</f>
        <v/>
      </c>
      <c r="V2678" s="70">
        <f>IF($A2678="","",IF(OR(AC2678="Demandé",AC2678="Planifié",AC2678="Annulé"),0,N(T2678)*N(U2678)))</f>
        <v/>
      </c>
      <c r="W2678" s="70">
        <f>IF($A2678="","",SUMIFS('Mouvements stock'!$H$5:$H$3004,'Mouvements stock'!$I$5:$I$3004,$A2678,'Mouvements stock'!$C$5:$C$3004,"Sortie")-SUMIFS('Mouvements stock'!$H$5:$H$3004,'Mouvements stock'!$I$5:$I$3004,$A2678,'Mouvements stock'!$C$5:$C$3004,"Retour"))</f>
        <v/>
      </c>
      <c r="X2678" s="66" t="n"/>
      <c r="Y2678" s="66" t="n"/>
      <c r="Z2678" s="7" t="n"/>
      <c r="AA2678" s="70">
        <f>IF($A2678="","",N(V2678)+N(W2678)+N(X2678)+N(Y2678))</f>
        <v/>
      </c>
      <c r="AB2678" s="70">
        <f>IF($A2678="","",N(S2678)*'Paramètres'!$AA$9*IFERROR(INDEX('Paramètres'!$O$5:$O$7,MATCH(G2678,'Paramètres'!$N$5:$N$7,0)),0))</f>
        <v/>
      </c>
      <c r="AC2678" s="7" t="n"/>
      <c r="AD2678" s="69">
        <f>IF(OR($A2678="",Q2678=""),"",(Q2678-B2678)*24)</f>
        <v/>
      </c>
      <c r="AE2678" s="69">
        <f>IF(OR(Q2678="",R2678=""),"",(R2678-Q2678)*24)</f>
        <v/>
      </c>
      <c r="AF2678" s="77">
        <f>IF(OR($A2678="",B2678=""),"",YEAR(B2678))</f>
        <v/>
      </c>
      <c r="AG2678" s="77">
        <f>IF(OR($A2678="",B2678=""),"",MONTH(B2678))</f>
        <v/>
      </c>
    </row>
    <row r="2679">
      <c r="A2679" s="7" t="n"/>
      <c r="B2679" s="75" t="n"/>
      <c r="C2679" s="7" t="n"/>
      <c r="D2679" s="7" t="n"/>
      <c r="E2679" s="9">
        <f>IF(D2679="","",IFERROR(INDEX('Équipements'!$B$5:$B$304,MATCH(D2679,'Équipements'!$A$5:$A$304,0)),"Code inconnu"))</f>
        <v/>
      </c>
      <c r="F2679" s="9">
        <f>IF(D2679="","",IFERROR(INDEX('Équipements'!$D$5:$D$304,MATCH(D2679,'Équipements'!$A$5:$A$304,0)),""))</f>
        <v/>
      </c>
      <c r="G2679" s="9">
        <f>IF(D2679="","",IFERROR(INDEX('Équipements'!$K$5:$K$304,MATCH(D2679,'Équipements'!$A$5:$A$304,0)),""))</f>
        <v/>
      </c>
      <c r="H2679" s="7" t="n"/>
      <c r="I2679" s="7" t="n"/>
      <c r="J2679" s="7" t="n"/>
      <c r="K2679" s="7" t="n"/>
      <c r="L2679" s="7" t="n"/>
      <c r="M2679" s="7" t="n"/>
      <c r="N2679" s="7" t="n"/>
      <c r="O2679" s="7" t="n"/>
      <c r="P2679" s="65" t="n"/>
      <c r="Q2679" s="75" t="n"/>
      <c r="R2679" s="75" t="n"/>
      <c r="S2679" s="76" t="n"/>
      <c r="T2679" s="76" t="n"/>
      <c r="U2679" s="70">
        <f>IF($A2679="","",IFERROR(INDEX('Techniciens'!$F$5:$F$44,MATCH(O2679,'Techniciens'!$B$5:$B$44,0)),'Paramètres'!$AA$10))</f>
        <v/>
      </c>
      <c r="V2679" s="70">
        <f>IF($A2679="","",IF(OR(AC2679="Demandé",AC2679="Planifié",AC2679="Annulé"),0,N(T2679)*N(U2679)))</f>
        <v/>
      </c>
      <c r="W2679" s="70">
        <f>IF($A2679="","",SUMIFS('Mouvements stock'!$H$5:$H$3004,'Mouvements stock'!$I$5:$I$3004,$A2679,'Mouvements stock'!$C$5:$C$3004,"Sortie")-SUMIFS('Mouvements stock'!$H$5:$H$3004,'Mouvements stock'!$I$5:$I$3004,$A2679,'Mouvements stock'!$C$5:$C$3004,"Retour"))</f>
        <v/>
      </c>
      <c r="X2679" s="66" t="n"/>
      <c r="Y2679" s="66" t="n"/>
      <c r="Z2679" s="7" t="n"/>
      <c r="AA2679" s="70">
        <f>IF($A2679="","",N(V2679)+N(W2679)+N(X2679)+N(Y2679))</f>
        <v/>
      </c>
      <c r="AB2679" s="70">
        <f>IF($A2679="","",N(S2679)*'Paramètres'!$AA$9*IFERROR(INDEX('Paramètres'!$O$5:$O$7,MATCH(G2679,'Paramètres'!$N$5:$N$7,0)),0))</f>
        <v/>
      </c>
      <c r="AC2679" s="7" t="n"/>
      <c r="AD2679" s="69">
        <f>IF(OR($A2679="",Q2679=""),"",(Q2679-B2679)*24)</f>
        <v/>
      </c>
      <c r="AE2679" s="69">
        <f>IF(OR(Q2679="",R2679=""),"",(R2679-Q2679)*24)</f>
        <v/>
      </c>
      <c r="AF2679" s="77">
        <f>IF(OR($A2679="",B2679=""),"",YEAR(B2679))</f>
        <v/>
      </c>
      <c r="AG2679" s="77">
        <f>IF(OR($A2679="",B2679=""),"",MONTH(B2679))</f>
        <v/>
      </c>
    </row>
    <row r="2680">
      <c r="A2680" s="7" t="n"/>
      <c r="B2680" s="75" t="n"/>
      <c r="C2680" s="7" t="n"/>
      <c r="D2680" s="7" t="n"/>
      <c r="E2680" s="9">
        <f>IF(D2680="","",IFERROR(INDEX('Équipements'!$B$5:$B$304,MATCH(D2680,'Équipements'!$A$5:$A$304,0)),"Code inconnu"))</f>
        <v/>
      </c>
      <c r="F2680" s="9">
        <f>IF(D2680="","",IFERROR(INDEX('Équipements'!$D$5:$D$304,MATCH(D2680,'Équipements'!$A$5:$A$304,0)),""))</f>
        <v/>
      </c>
      <c r="G2680" s="9">
        <f>IF(D2680="","",IFERROR(INDEX('Équipements'!$K$5:$K$304,MATCH(D2680,'Équipements'!$A$5:$A$304,0)),""))</f>
        <v/>
      </c>
      <c r="H2680" s="7" t="n"/>
      <c r="I2680" s="7" t="n"/>
      <c r="J2680" s="7" t="n"/>
      <c r="K2680" s="7" t="n"/>
      <c r="L2680" s="7" t="n"/>
      <c r="M2680" s="7" t="n"/>
      <c r="N2680" s="7" t="n"/>
      <c r="O2680" s="7" t="n"/>
      <c r="P2680" s="65" t="n"/>
      <c r="Q2680" s="75" t="n"/>
      <c r="R2680" s="75" t="n"/>
      <c r="S2680" s="76" t="n"/>
      <c r="T2680" s="76" t="n"/>
      <c r="U2680" s="70">
        <f>IF($A2680="","",IFERROR(INDEX('Techniciens'!$F$5:$F$44,MATCH(O2680,'Techniciens'!$B$5:$B$44,0)),'Paramètres'!$AA$10))</f>
        <v/>
      </c>
      <c r="V2680" s="70">
        <f>IF($A2680="","",IF(OR(AC2680="Demandé",AC2680="Planifié",AC2680="Annulé"),0,N(T2680)*N(U2680)))</f>
        <v/>
      </c>
      <c r="W2680" s="70">
        <f>IF($A2680="","",SUMIFS('Mouvements stock'!$H$5:$H$3004,'Mouvements stock'!$I$5:$I$3004,$A2680,'Mouvements stock'!$C$5:$C$3004,"Sortie")-SUMIFS('Mouvements stock'!$H$5:$H$3004,'Mouvements stock'!$I$5:$I$3004,$A2680,'Mouvements stock'!$C$5:$C$3004,"Retour"))</f>
        <v/>
      </c>
      <c r="X2680" s="66" t="n"/>
      <c r="Y2680" s="66" t="n"/>
      <c r="Z2680" s="7" t="n"/>
      <c r="AA2680" s="70">
        <f>IF($A2680="","",N(V2680)+N(W2680)+N(X2680)+N(Y2680))</f>
        <v/>
      </c>
      <c r="AB2680" s="70">
        <f>IF($A2680="","",N(S2680)*'Paramètres'!$AA$9*IFERROR(INDEX('Paramètres'!$O$5:$O$7,MATCH(G2680,'Paramètres'!$N$5:$N$7,0)),0))</f>
        <v/>
      </c>
      <c r="AC2680" s="7" t="n"/>
      <c r="AD2680" s="69">
        <f>IF(OR($A2680="",Q2680=""),"",(Q2680-B2680)*24)</f>
        <v/>
      </c>
      <c r="AE2680" s="69">
        <f>IF(OR(Q2680="",R2680=""),"",(R2680-Q2680)*24)</f>
        <v/>
      </c>
      <c r="AF2680" s="77">
        <f>IF(OR($A2680="",B2680=""),"",YEAR(B2680))</f>
        <v/>
      </c>
      <c r="AG2680" s="77">
        <f>IF(OR($A2680="",B2680=""),"",MONTH(B2680))</f>
        <v/>
      </c>
    </row>
    <row r="2681">
      <c r="A2681" s="7" t="n"/>
      <c r="B2681" s="75" t="n"/>
      <c r="C2681" s="7" t="n"/>
      <c r="D2681" s="7" t="n"/>
      <c r="E2681" s="9">
        <f>IF(D2681="","",IFERROR(INDEX('Équipements'!$B$5:$B$304,MATCH(D2681,'Équipements'!$A$5:$A$304,0)),"Code inconnu"))</f>
        <v/>
      </c>
      <c r="F2681" s="9">
        <f>IF(D2681="","",IFERROR(INDEX('Équipements'!$D$5:$D$304,MATCH(D2681,'Équipements'!$A$5:$A$304,0)),""))</f>
        <v/>
      </c>
      <c r="G2681" s="9">
        <f>IF(D2681="","",IFERROR(INDEX('Équipements'!$K$5:$K$304,MATCH(D2681,'Équipements'!$A$5:$A$304,0)),""))</f>
        <v/>
      </c>
      <c r="H2681" s="7" t="n"/>
      <c r="I2681" s="7" t="n"/>
      <c r="J2681" s="7" t="n"/>
      <c r="K2681" s="7" t="n"/>
      <c r="L2681" s="7" t="n"/>
      <c r="M2681" s="7" t="n"/>
      <c r="N2681" s="7" t="n"/>
      <c r="O2681" s="7" t="n"/>
      <c r="P2681" s="65" t="n"/>
      <c r="Q2681" s="75" t="n"/>
      <c r="R2681" s="75" t="n"/>
      <c r="S2681" s="76" t="n"/>
      <c r="T2681" s="76" t="n"/>
      <c r="U2681" s="70">
        <f>IF($A2681="","",IFERROR(INDEX('Techniciens'!$F$5:$F$44,MATCH(O2681,'Techniciens'!$B$5:$B$44,0)),'Paramètres'!$AA$10))</f>
        <v/>
      </c>
      <c r="V2681" s="70">
        <f>IF($A2681="","",IF(OR(AC2681="Demandé",AC2681="Planifié",AC2681="Annulé"),0,N(T2681)*N(U2681)))</f>
        <v/>
      </c>
      <c r="W2681" s="70">
        <f>IF($A2681="","",SUMIFS('Mouvements stock'!$H$5:$H$3004,'Mouvements stock'!$I$5:$I$3004,$A2681,'Mouvements stock'!$C$5:$C$3004,"Sortie")-SUMIFS('Mouvements stock'!$H$5:$H$3004,'Mouvements stock'!$I$5:$I$3004,$A2681,'Mouvements stock'!$C$5:$C$3004,"Retour"))</f>
        <v/>
      </c>
      <c r="X2681" s="66" t="n"/>
      <c r="Y2681" s="66" t="n"/>
      <c r="Z2681" s="7" t="n"/>
      <c r="AA2681" s="70">
        <f>IF($A2681="","",N(V2681)+N(W2681)+N(X2681)+N(Y2681))</f>
        <v/>
      </c>
      <c r="AB2681" s="70">
        <f>IF($A2681="","",N(S2681)*'Paramètres'!$AA$9*IFERROR(INDEX('Paramètres'!$O$5:$O$7,MATCH(G2681,'Paramètres'!$N$5:$N$7,0)),0))</f>
        <v/>
      </c>
      <c r="AC2681" s="7" t="n"/>
      <c r="AD2681" s="69">
        <f>IF(OR($A2681="",Q2681=""),"",(Q2681-B2681)*24)</f>
        <v/>
      </c>
      <c r="AE2681" s="69">
        <f>IF(OR(Q2681="",R2681=""),"",(R2681-Q2681)*24)</f>
        <v/>
      </c>
      <c r="AF2681" s="77">
        <f>IF(OR($A2681="",B2681=""),"",YEAR(B2681))</f>
        <v/>
      </c>
      <c r="AG2681" s="77">
        <f>IF(OR($A2681="",B2681=""),"",MONTH(B2681))</f>
        <v/>
      </c>
    </row>
    <row r="2682">
      <c r="A2682" s="7" t="n"/>
      <c r="B2682" s="75" t="n"/>
      <c r="C2682" s="7" t="n"/>
      <c r="D2682" s="7" t="n"/>
      <c r="E2682" s="9">
        <f>IF(D2682="","",IFERROR(INDEX('Équipements'!$B$5:$B$304,MATCH(D2682,'Équipements'!$A$5:$A$304,0)),"Code inconnu"))</f>
        <v/>
      </c>
      <c r="F2682" s="9">
        <f>IF(D2682="","",IFERROR(INDEX('Équipements'!$D$5:$D$304,MATCH(D2682,'Équipements'!$A$5:$A$304,0)),""))</f>
        <v/>
      </c>
      <c r="G2682" s="9">
        <f>IF(D2682="","",IFERROR(INDEX('Équipements'!$K$5:$K$304,MATCH(D2682,'Équipements'!$A$5:$A$304,0)),""))</f>
        <v/>
      </c>
      <c r="H2682" s="7" t="n"/>
      <c r="I2682" s="7" t="n"/>
      <c r="J2682" s="7" t="n"/>
      <c r="K2682" s="7" t="n"/>
      <c r="L2682" s="7" t="n"/>
      <c r="M2682" s="7" t="n"/>
      <c r="N2682" s="7" t="n"/>
      <c r="O2682" s="7" t="n"/>
      <c r="P2682" s="65" t="n"/>
      <c r="Q2682" s="75" t="n"/>
      <c r="R2682" s="75" t="n"/>
      <c r="S2682" s="76" t="n"/>
      <c r="T2682" s="76" t="n"/>
      <c r="U2682" s="70">
        <f>IF($A2682="","",IFERROR(INDEX('Techniciens'!$F$5:$F$44,MATCH(O2682,'Techniciens'!$B$5:$B$44,0)),'Paramètres'!$AA$10))</f>
        <v/>
      </c>
      <c r="V2682" s="70">
        <f>IF($A2682="","",IF(OR(AC2682="Demandé",AC2682="Planifié",AC2682="Annulé"),0,N(T2682)*N(U2682)))</f>
        <v/>
      </c>
      <c r="W2682" s="70">
        <f>IF($A2682="","",SUMIFS('Mouvements stock'!$H$5:$H$3004,'Mouvements stock'!$I$5:$I$3004,$A2682,'Mouvements stock'!$C$5:$C$3004,"Sortie")-SUMIFS('Mouvements stock'!$H$5:$H$3004,'Mouvements stock'!$I$5:$I$3004,$A2682,'Mouvements stock'!$C$5:$C$3004,"Retour"))</f>
        <v/>
      </c>
      <c r="X2682" s="66" t="n"/>
      <c r="Y2682" s="66" t="n"/>
      <c r="Z2682" s="7" t="n"/>
      <c r="AA2682" s="70">
        <f>IF($A2682="","",N(V2682)+N(W2682)+N(X2682)+N(Y2682))</f>
        <v/>
      </c>
      <c r="AB2682" s="70">
        <f>IF($A2682="","",N(S2682)*'Paramètres'!$AA$9*IFERROR(INDEX('Paramètres'!$O$5:$O$7,MATCH(G2682,'Paramètres'!$N$5:$N$7,0)),0))</f>
        <v/>
      </c>
      <c r="AC2682" s="7" t="n"/>
      <c r="AD2682" s="69">
        <f>IF(OR($A2682="",Q2682=""),"",(Q2682-B2682)*24)</f>
        <v/>
      </c>
      <c r="AE2682" s="69">
        <f>IF(OR(Q2682="",R2682=""),"",(R2682-Q2682)*24)</f>
        <v/>
      </c>
      <c r="AF2682" s="77">
        <f>IF(OR($A2682="",B2682=""),"",YEAR(B2682))</f>
        <v/>
      </c>
      <c r="AG2682" s="77">
        <f>IF(OR($A2682="",B2682=""),"",MONTH(B2682))</f>
        <v/>
      </c>
    </row>
    <row r="2683">
      <c r="A2683" s="7" t="n"/>
      <c r="B2683" s="75" t="n"/>
      <c r="C2683" s="7" t="n"/>
      <c r="D2683" s="7" t="n"/>
      <c r="E2683" s="9">
        <f>IF(D2683="","",IFERROR(INDEX('Équipements'!$B$5:$B$304,MATCH(D2683,'Équipements'!$A$5:$A$304,0)),"Code inconnu"))</f>
        <v/>
      </c>
      <c r="F2683" s="9">
        <f>IF(D2683="","",IFERROR(INDEX('Équipements'!$D$5:$D$304,MATCH(D2683,'Équipements'!$A$5:$A$304,0)),""))</f>
        <v/>
      </c>
      <c r="G2683" s="9">
        <f>IF(D2683="","",IFERROR(INDEX('Équipements'!$K$5:$K$304,MATCH(D2683,'Équipements'!$A$5:$A$304,0)),""))</f>
        <v/>
      </c>
      <c r="H2683" s="7" t="n"/>
      <c r="I2683" s="7" t="n"/>
      <c r="J2683" s="7" t="n"/>
      <c r="K2683" s="7" t="n"/>
      <c r="L2683" s="7" t="n"/>
      <c r="M2683" s="7" t="n"/>
      <c r="N2683" s="7" t="n"/>
      <c r="O2683" s="7" t="n"/>
      <c r="P2683" s="65" t="n"/>
      <c r="Q2683" s="75" t="n"/>
      <c r="R2683" s="75" t="n"/>
      <c r="S2683" s="76" t="n"/>
      <c r="T2683" s="76" t="n"/>
      <c r="U2683" s="70">
        <f>IF($A2683="","",IFERROR(INDEX('Techniciens'!$F$5:$F$44,MATCH(O2683,'Techniciens'!$B$5:$B$44,0)),'Paramètres'!$AA$10))</f>
        <v/>
      </c>
      <c r="V2683" s="70">
        <f>IF($A2683="","",IF(OR(AC2683="Demandé",AC2683="Planifié",AC2683="Annulé"),0,N(T2683)*N(U2683)))</f>
        <v/>
      </c>
      <c r="W2683" s="70">
        <f>IF($A2683="","",SUMIFS('Mouvements stock'!$H$5:$H$3004,'Mouvements stock'!$I$5:$I$3004,$A2683,'Mouvements stock'!$C$5:$C$3004,"Sortie")-SUMIFS('Mouvements stock'!$H$5:$H$3004,'Mouvements stock'!$I$5:$I$3004,$A2683,'Mouvements stock'!$C$5:$C$3004,"Retour"))</f>
        <v/>
      </c>
      <c r="X2683" s="66" t="n"/>
      <c r="Y2683" s="66" t="n"/>
      <c r="Z2683" s="7" t="n"/>
      <c r="AA2683" s="70">
        <f>IF($A2683="","",N(V2683)+N(W2683)+N(X2683)+N(Y2683))</f>
        <v/>
      </c>
      <c r="AB2683" s="70">
        <f>IF($A2683="","",N(S2683)*'Paramètres'!$AA$9*IFERROR(INDEX('Paramètres'!$O$5:$O$7,MATCH(G2683,'Paramètres'!$N$5:$N$7,0)),0))</f>
        <v/>
      </c>
      <c r="AC2683" s="7" t="n"/>
      <c r="AD2683" s="69">
        <f>IF(OR($A2683="",Q2683=""),"",(Q2683-B2683)*24)</f>
        <v/>
      </c>
      <c r="AE2683" s="69">
        <f>IF(OR(Q2683="",R2683=""),"",(R2683-Q2683)*24)</f>
        <v/>
      </c>
      <c r="AF2683" s="77">
        <f>IF(OR($A2683="",B2683=""),"",YEAR(B2683))</f>
        <v/>
      </c>
      <c r="AG2683" s="77">
        <f>IF(OR($A2683="",B2683=""),"",MONTH(B2683))</f>
        <v/>
      </c>
    </row>
    <row r="2684">
      <c r="A2684" s="7" t="n"/>
      <c r="B2684" s="75" t="n"/>
      <c r="C2684" s="7" t="n"/>
      <c r="D2684" s="7" t="n"/>
      <c r="E2684" s="9">
        <f>IF(D2684="","",IFERROR(INDEX('Équipements'!$B$5:$B$304,MATCH(D2684,'Équipements'!$A$5:$A$304,0)),"Code inconnu"))</f>
        <v/>
      </c>
      <c r="F2684" s="9">
        <f>IF(D2684="","",IFERROR(INDEX('Équipements'!$D$5:$D$304,MATCH(D2684,'Équipements'!$A$5:$A$304,0)),""))</f>
        <v/>
      </c>
      <c r="G2684" s="9">
        <f>IF(D2684="","",IFERROR(INDEX('Équipements'!$K$5:$K$304,MATCH(D2684,'Équipements'!$A$5:$A$304,0)),""))</f>
        <v/>
      </c>
      <c r="H2684" s="7" t="n"/>
      <c r="I2684" s="7" t="n"/>
      <c r="J2684" s="7" t="n"/>
      <c r="K2684" s="7" t="n"/>
      <c r="L2684" s="7" t="n"/>
      <c r="M2684" s="7" t="n"/>
      <c r="N2684" s="7" t="n"/>
      <c r="O2684" s="7" t="n"/>
      <c r="P2684" s="65" t="n"/>
      <c r="Q2684" s="75" t="n"/>
      <c r="R2684" s="75" t="n"/>
      <c r="S2684" s="76" t="n"/>
      <c r="T2684" s="76" t="n"/>
      <c r="U2684" s="70">
        <f>IF($A2684="","",IFERROR(INDEX('Techniciens'!$F$5:$F$44,MATCH(O2684,'Techniciens'!$B$5:$B$44,0)),'Paramètres'!$AA$10))</f>
        <v/>
      </c>
      <c r="V2684" s="70">
        <f>IF($A2684="","",IF(OR(AC2684="Demandé",AC2684="Planifié",AC2684="Annulé"),0,N(T2684)*N(U2684)))</f>
        <v/>
      </c>
      <c r="W2684" s="70">
        <f>IF($A2684="","",SUMIFS('Mouvements stock'!$H$5:$H$3004,'Mouvements stock'!$I$5:$I$3004,$A2684,'Mouvements stock'!$C$5:$C$3004,"Sortie")-SUMIFS('Mouvements stock'!$H$5:$H$3004,'Mouvements stock'!$I$5:$I$3004,$A2684,'Mouvements stock'!$C$5:$C$3004,"Retour"))</f>
        <v/>
      </c>
      <c r="X2684" s="66" t="n"/>
      <c r="Y2684" s="66" t="n"/>
      <c r="Z2684" s="7" t="n"/>
      <c r="AA2684" s="70">
        <f>IF($A2684="","",N(V2684)+N(W2684)+N(X2684)+N(Y2684))</f>
        <v/>
      </c>
      <c r="AB2684" s="70">
        <f>IF($A2684="","",N(S2684)*'Paramètres'!$AA$9*IFERROR(INDEX('Paramètres'!$O$5:$O$7,MATCH(G2684,'Paramètres'!$N$5:$N$7,0)),0))</f>
        <v/>
      </c>
      <c r="AC2684" s="7" t="n"/>
      <c r="AD2684" s="69">
        <f>IF(OR($A2684="",Q2684=""),"",(Q2684-B2684)*24)</f>
        <v/>
      </c>
      <c r="AE2684" s="69">
        <f>IF(OR(Q2684="",R2684=""),"",(R2684-Q2684)*24)</f>
        <v/>
      </c>
      <c r="AF2684" s="77">
        <f>IF(OR($A2684="",B2684=""),"",YEAR(B2684))</f>
        <v/>
      </c>
      <c r="AG2684" s="77">
        <f>IF(OR($A2684="",B2684=""),"",MONTH(B2684))</f>
        <v/>
      </c>
    </row>
    <row r="2685">
      <c r="A2685" s="7" t="n"/>
      <c r="B2685" s="75" t="n"/>
      <c r="C2685" s="7" t="n"/>
      <c r="D2685" s="7" t="n"/>
      <c r="E2685" s="9">
        <f>IF(D2685="","",IFERROR(INDEX('Équipements'!$B$5:$B$304,MATCH(D2685,'Équipements'!$A$5:$A$304,0)),"Code inconnu"))</f>
        <v/>
      </c>
      <c r="F2685" s="9">
        <f>IF(D2685="","",IFERROR(INDEX('Équipements'!$D$5:$D$304,MATCH(D2685,'Équipements'!$A$5:$A$304,0)),""))</f>
        <v/>
      </c>
      <c r="G2685" s="9">
        <f>IF(D2685="","",IFERROR(INDEX('Équipements'!$K$5:$K$304,MATCH(D2685,'Équipements'!$A$5:$A$304,0)),""))</f>
        <v/>
      </c>
      <c r="H2685" s="7" t="n"/>
      <c r="I2685" s="7" t="n"/>
      <c r="J2685" s="7" t="n"/>
      <c r="K2685" s="7" t="n"/>
      <c r="L2685" s="7" t="n"/>
      <c r="M2685" s="7" t="n"/>
      <c r="N2685" s="7" t="n"/>
      <c r="O2685" s="7" t="n"/>
      <c r="P2685" s="65" t="n"/>
      <c r="Q2685" s="75" t="n"/>
      <c r="R2685" s="75" t="n"/>
      <c r="S2685" s="76" t="n"/>
      <c r="T2685" s="76" t="n"/>
      <c r="U2685" s="70">
        <f>IF($A2685="","",IFERROR(INDEX('Techniciens'!$F$5:$F$44,MATCH(O2685,'Techniciens'!$B$5:$B$44,0)),'Paramètres'!$AA$10))</f>
        <v/>
      </c>
      <c r="V2685" s="70">
        <f>IF($A2685="","",IF(OR(AC2685="Demandé",AC2685="Planifié",AC2685="Annulé"),0,N(T2685)*N(U2685)))</f>
        <v/>
      </c>
      <c r="W2685" s="70">
        <f>IF($A2685="","",SUMIFS('Mouvements stock'!$H$5:$H$3004,'Mouvements stock'!$I$5:$I$3004,$A2685,'Mouvements stock'!$C$5:$C$3004,"Sortie")-SUMIFS('Mouvements stock'!$H$5:$H$3004,'Mouvements stock'!$I$5:$I$3004,$A2685,'Mouvements stock'!$C$5:$C$3004,"Retour"))</f>
        <v/>
      </c>
      <c r="X2685" s="66" t="n"/>
      <c r="Y2685" s="66" t="n"/>
      <c r="Z2685" s="7" t="n"/>
      <c r="AA2685" s="70">
        <f>IF($A2685="","",N(V2685)+N(W2685)+N(X2685)+N(Y2685))</f>
        <v/>
      </c>
      <c r="AB2685" s="70">
        <f>IF($A2685="","",N(S2685)*'Paramètres'!$AA$9*IFERROR(INDEX('Paramètres'!$O$5:$O$7,MATCH(G2685,'Paramètres'!$N$5:$N$7,0)),0))</f>
        <v/>
      </c>
      <c r="AC2685" s="7" t="n"/>
      <c r="AD2685" s="69">
        <f>IF(OR($A2685="",Q2685=""),"",(Q2685-B2685)*24)</f>
        <v/>
      </c>
      <c r="AE2685" s="69">
        <f>IF(OR(Q2685="",R2685=""),"",(R2685-Q2685)*24)</f>
        <v/>
      </c>
      <c r="AF2685" s="77">
        <f>IF(OR($A2685="",B2685=""),"",YEAR(B2685))</f>
        <v/>
      </c>
      <c r="AG2685" s="77">
        <f>IF(OR($A2685="",B2685=""),"",MONTH(B2685))</f>
        <v/>
      </c>
    </row>
    <row r="2686">
      <c r="A2686" s="7" t="n"/>
      <c r="B2686" s="75" t="n"/>
      <c r="C2686" s="7" t="n"/>
      <c r="D2686" s="7" t="n"/>
      <c r="E2686" s="9">
        <f>IF(D2686="","",IFERROR(INDEX('Équipements'!$B$5:$B$304,MATCH(D2686,'Équipements'!$A$5:$A$304,0)),"Code inconnu"))</f>
        <v/>
      </c>
      <c r="F2686" s="9">
        <f>IF(D2686="","",IFERROR(INDEX('Équipements'!$D$5:$D$304,MATCH(D2686,'Équipements'!$A$5:$A$304,0)),""))</f>
        <v/>
      </c>
      <c r="G2686" s="9">
        <f>IF(D2686="","",IFERROR(INDEX('Équipements'!$K$5:$K$304,MATCH(D2686,'Équipements'!$A$5:$A$304,0)),""))</f>
        <v/>
      </c>
      <c r="H2686" s="7" t="n"/>
      <c r="I2686" s="7" t="n"/>
      <c r="J2686" s="7" t="n"/>
      <c r="K2686" s="7" t="n"/>
      <c r="L2686" s="7" t="n"/>
      <c r="M2686" s="7" t="n"/>
      <c r="N2686" s="7" t="n"/>
      <c r="O2686" s="7" t="n"/>
      <c r="P2686" s="65" t="n"/>
      <c r="Q2686" s="75" t="n"/>
      <c r="R2686" s="75" t="n"/>
      <c r="S2686" s="76" t="n"/>
      <c r="T2686" s="76" t="n"/>
      <c r="U2686" s="70">
        <f>IF($A2686="","",IFERROR(INDEX('Techniciens'!$F$5:$F$44,MATCH(O2686,'Techniciens'!$B$5:$B$44,0)),'Paramètres'!$AA$10))</f>
        <v/>
      </c>
      <c r="V2686" s="70">
        <f>IF($A2686="","",IF(OR(AC2686="Demandé",AC2686="Planifié",AC2686="Annulé"),0,N(T2686)*N(U2686)))</f>
        <v/>
      </c>
      <c r="W2686" s="70">
        <f>IF($A2686="","",SUMIFS('Mouvements stock'!$H$5:$H$3004,'Mouvements stock'!$I$5:$I$3004,$A2686,'Mouvements stock'!$C$5:$C$3004,"Sortie")-SUMIFS('Mouvements stock'!$H$5:$H$3004,'Mouvements stock'!$I$5:$I$3004,$A2686,'Mouvements stock'!$C$5:$C$3004,"Retour"))</f>
        <v/>
      </c>
      <c r="X2686" s="66" t="n"/>
      <c r="Y2686" s="66" t="n"/>
      <c r="Z2686" s="7" t="n"/>
      <c r="AA2686" s="70">
        <f>IF($A2686="","",N(V2686)+N(W2686)+N(X2686)+N(Y2686))</f>
        <v/>
      </c>
      <c r="AB2686" s="70">
        <f>IF($A2686="","",N(S2686)*'Paramètres'!$AA$9*IFERROR(INDEX('Paramètres'!$O$5:$O$7,MATCH(G2686,'Paramètres'!$N$5:$N$7,0)),0))</f>
        <v/>
      </c>
      <c r="AC2686" s="7" t="n"/>
      <c r="AD2686" s="69">
        <f>IF(OR($A2686="",Q2686=""),"",(Q2686-B2686)*24)</f>
        <v/>
      </c>
      <c r="AE2686" s="69">
        <f>IF(OR(Q2686="",R2686=""),"",(R2686-Q2686)*24)</f>
        <v/>
      </c>
      <c r="AF2686" s="77">
        <f>IF(OR($A2686="",B2686=""),"",YEAR(B2686))</f>
        <v/>
      </c>
      <c r="AG2686" s="77">
        <f>IF(OR($A2686="",B2686=""),"",MONTH(B2686))</f>
        <v/>
      </c>
    </row>
    <row r="2687">
      <c r="A2687" s="7" t="n"/>
      <c r="B2687" s="75" t="n"/>
      <c r="C2687" s="7" t="n"/>
      <c r="D2687" s="7" t="n"/>
      <c r="E2687" s="9">
        <f>IF(D2687="","",IFERROR(INDEX('Équipements'!$B$5:$B$304,MATCH(D2687,'Équipements'!$A$5:$A$304,0)),"Code inconnu"))</f>
        <v/>
      </c>
      <c r="F2687" s="9">
        <f>IF(D2687="","",IFERROR(INDEX('Équipements'!$D$5:$D$304,MATCH(D2687,'Équipements'!$A$5:$A$304,0)),""))</f>
        <v/>
      </c>
      <c r="G2687" s="9">
        <f>IF(D2687="","",IFERROR(INDEX('Équipements'!$K$5:$K$304,MATCH(D2687,'Équipements'!$A$5:$A$304,0)),""))</f>
        <v/>
      </c>
      <c r="H2687" s="7" t="n"/>
      <c r="I2687" s="7" t="n"/>
      <c r="J2687" s="7" t="n"/>
      <c r="K2687" s="7" t="n"/>
      <c r="L2687" s="7" t="n"/>
      <c r="M2687" s="7" t="n"/>
      <c r="N2687" s="7" t="n"/>
      <c r="O2687" s="7" t="n"/>
      <c r="P2687" s="65" t="n"/>
      <c r="Q2687" s="75" t="n"/>
      <c r="R2687" s="75" t="n"/>
      <c r="S2687" s="76" t="n"/>
      <c r="T2687" s="76" t="n"/>
      <c r="U2687" s="70">
        <f>IF($A2687="","",IFERROR(INDEX('Techniciens'!$F$5:$F$44,MATCH(O2687,'Techniciens'!$B$5:$B$44,0)),'Paramètres'!$AA$10))</f>
        <v/>
      </c>
      <c r="V2687" s="70">
        <f>IF($A2687="","",IF(OR(AC2687="Demandé",AC2687="Planifié",AC2687="Annulé"),0,N(T2687)*N(U2687)))</f>
        <v/>
      </c>
      <c r="W2687" s="70">
        <f>IF($A2687="","",SUMIFS('Mouvements stock'!$H$5:$H$3004,'Mouvements stock'!$I$5:$I$3004,$A2687,'Mouvements stock'!$C$5:$C$3004,"Sortie")-SUMIFS('Mouvements stock'!$H$5:$H$3004,'Mouvements stock'!$I$5:$I$3004,$A2687,'Mouvements stock'!$C$5:$C$3004,"Retour"))</f>
        <v/>
      </c>
      <c r="X2687" s="66" t="n"/>
      <c r="Y2687" s="66" t="n"/>
      <c r="Z2687" s="7" t="n"/>
      <c r="AA2687" s="70">
        <f>IF($A2687="","",N(V2687)+N(W2687)+N(X2687)+N(Y2687))</f>
        <v/>
      </c>
      <c r="AB2687" s="70">
        <f>IF($A2687="","",N(S2687)*'Paramètres'!$AA$9*IFERROR(INDEX('Paramètres'!$O$5:$O$7,MATCH(G2687,'Paramètres'!$N$5:$N$7,0)),0))</f>
        <v/>
      </c>
      <c r="AC2687" s="7" t="n"/>
      <c r="AD2687" s="69">
        <f>IF(OR($A2687="",Q2687=""),"",(Q2687-B2687)*24)</f>
        <v/>
      </c>
      <c r="AE2687" s="69">
        <f>IF(OR(Q2687="",R2687=""),"",(R2687-Q2687)*24)</f>
        <v/>
      </c>
      <c r="AF2687" s="77">
        <f>IF(OR($A2687="",B2687=""),"",YEAR(B2687))</f>
        <v/>
      </c>
      <c r="AG2687" s="77">
        <f>IF(OR($A2687="",B2687=""),"",MONTH(B2687))</f>
        <v/>
      </c>
    </row>
    <row r="2688">
      <c r="A2688" s="7" t="n"/>
      <c r="B2688" s="75" t="n"/>
      <c r="C2688" s="7" t="n"/>
      <c r="D2688" s="7" t="n"/>
      <c r="E2688" s="9">
        <f>IF(D2688="","",IFERROR(INDEX('Équipements'!$B$5:$B$304,MATCH(D2688,'Équipements'!$A$5:$A$304,0)),"Code inconnu"))</f>
        <v/>
      </c>
      <c r="F2688" s="9">
        <f>IF(D2688="","",IFERROR(INDEX('Équipements'!$D$5:$D$304,MATCH(D2688,'Équipements'!$A$5:$A$304,0)),""))</f>
        <v/>
      </c>
      <c r="G2688" s="9">
        <f>IF(D2688="","",IFERROR(INDEX('Équipements'!$K$5:$K$304,MATCH(D2688,'Équipements'!$A$5:$A$304,0)),""))</f>
        <v/>
      </c>
      <c r="H2688" s="7" t="n"/>
      <c r="I2688" s="7" t="n"/>
      <c r="J2688" s="7" t="n"/>
      <c r="K2688" s="7" t="n"/>
      <c r="L2688" s="7" t="n"/>
      <c r="M2688" s="7" t="n"/>
      <c r="N2688" s="7" t="n"/>
      <c r="O2688" s="7" t="n"/>
      <c r="P2688" s="65" t="n"/>
      <c r="Q2688" s="75" t="n"/>
      <c r="R2688" s="75" t="n"/>
      <c r="S2688" s="76" t="n"/>
      <c r="T2688" s="76" t="n"/>
      <c r="U2688" s="70">
        <f>IF($A2688="","",IFERROR(INDEX('Techniciens'!$F$5:$F$44,MATCH(O2688,'Techniciens'!$B$5:$B$44,0)),'Paramètres'!$AA$10))</f>
        <v/>
      </c>
      <c r="V2688" s="70">
        <f>IF($A2688="","",IF(OR(AC2688="Demandé",AC2688="Planifié",AC2688="Annulé"),0,N(T2688)*N(U2688)))</f>
        <v/>
      </c>
      <c r="W2688" s="70">
        <f>IF($A2688="","",SUMIFS('Mouvements stock'!$H$5:$H$3004,'Mouvements stock'!$I$5:$I$3004,$A2688,'Mouvements stock'!$C$5:$C$3004,"Sortie")-SUMIFS('Mouvements stock'!$H$5:$H$3004,'Mouvements stock'!$I$5:$I$3004,$A2688,'Mouvements stock'!$C$5:$C$3004,"Retour"))</f>
        <v/>
      </c>
      <c r="X2688" s="66" t="n"/>
      <c r="Y2688" s="66" t="n"/>
      <c r="Z2688" s="7" t="n"/>
      <c r="AA2688" s="70">
        <f>IF($A2688="","",N(V2688)+N(W2688)+N(X2688)+N(Y2688))</f>
        <v/>
      </c>
      <c r="AB2688" s="70">
        <f>IF($A2688="","",N(S2688)*'Paramètres'!$AA$9*IFERROR(INDEX('Paramètres'!$O$5:$O$7,MATCH(G2688,'Paramètres'!$N$5:$N$7,0)),0))</f>
        <v/>
      </c>
      <c r="AC2688" s="7" t="n"/>
      <c r="AD2688" s="69">
        <f>IF(OR($A2688="",Q2688=""),"",(Q2688-B2688)*24)</f>
        <v/>
      </c>
      <c r="AE2688" s="69">
        <f>IF(OR(Q2688="",R2688=""),"",(R2688-Q2688)*24)</f>
        <v/>
      </c>
      <c r="AF2688" s="77">
        <f>IF(OR($A2688="",B2688=""),"",YEAR(B2688))</f>
        <v/>
      </c>
      <c r="AG2688" s="77">
        <f>IF(OR($A2688="",B2688=""),"",MONTH(B2688))</f>
        <v/>
      </c>
    </row>
    <row r="2689">
      <c r="A2689" s="7" t="n"/>
      <c r="B2689" s="75" t="n"/>
      <c r="C2689" s="7" t="n"/>
      <c r="D2689" s="7" t="n"/>
      <c r="E2689" s="9">
        <f>IF(D2689="","",IFERROR(INDEX('Équipements'!$B$5:$B$304,MATCH(D2689,'Équipements'!$A$5:$A$304,0)),"Code inconnu"))</f>
        <v/>
      </c>
      <c r="F2689" s="9">
        <f>IF(D2689="","",IFERROR(INDEX('Équipements'!$D$5:$D$304,MATCH(D2689,'Équipements'!$A$5:$A$304,0)),""))</f>
        <v/>
      </c>
      <c r="G2689" s="9">
        <f>IF(D2689="","",IFERROR(INDEX('Équipements'!$K$5:$K$304,MATCH(D2689,'Équipements'!$A$5:$A$304,0)),""))</f>
        <v/>
      </c>
      <c r="H2689" s="7" t="n"/>
      <c r="I2689" s="7" t="n"/>
      <c r="J2689" s="7" t="n"/>
      <c r="K2689" s="7" t="n"/>
      <c r="L2689" s="7" t="n"/>
      <c r="M2689" s="7" t="n"/>
      <c r="N2689" s="7" t="n"/>
      <c r="O2689" s="7" t="n"/>
      <c r="P2689" s="65" t="n"/>
      <c r="Q2689" s="75" t="n"/>
      <c r="R2689" s="75" t="n"/>
      <c r="S2689" s="76" t="n"/>
      <c r="T2689" s="76" t="n"/>
      <c r="U2689" s="70">
        <f>IF($A2689="","",IFERROR(INDEX('Techniciens'!$F$5:$F$44,MATCH(O2689,'Techniciens'!$B$5:$B$44,0)),'Paramètres'!$AA$10))</f>
        <v/>
      </c>
      <c r="V2689" s="70">
        <f>IF($A2689="","",IF(OR(AC2689="Demandé",AC2689="Planifié",AC2689="Annulé"),0,N(T2689)*N(U2689)))</f>
        <v/>
      </c>
      <c r="W2689" s="70">
        <f>IF($A2689="","",SUMIFS('Mouvements stock'!$H$5:$H$3004,'Mouvements stock'!$I$5:$I$3004,$A2689,'Mouvements stock'!$C$5:$C$3004,"Sortie")-SUMIFS('Mouvements stock'!$H$5:$H$3004,'Mouvements stock'!$I$5:$I$3004,$A2689,'Mouvements stock'!$C$5:$C$3004,"Retour"))</f>
        <v/>
      </c>
      <c r="X2689" s="66" t="n"/>
      <c r="Y2689" s="66" t="n"/>
      <c r="Z2689" s="7" t="n"/>
      <c r="AA2689" s="70">
        <f>IF($A2689="","",N(V2689)+N(W2689)+N(X2689)+N(Y2689))</f>
        <v/>
      </c>
      <c r="AB2689" s="70">
        <f>IF($A2689="","",N(S2689)*'Paramètres'!$AA$9*IFERROR(INDEX('Paramètres'!$O$5:$O$7,MATCH(G2689,'Paramètres'!$N$5:$N$7,0)),0))</f>
        <v/>
      </c>
      <c r="AC2689" s="7" t="n"/>
      <c r="AD2689" s="69">
        <f>IF(OR($A2689="",Q2689=""),"",(Q2689-B2689)*24)</f>
        <v/>
      </c>
      <c r="AE2689" s="69">
        <f>IF(OR(Q2689="",R2689=""),"",(R2689-Q2689)*24)</f>
        <v/>
      </c>
      <c r="AF2689" s="77">
        <f>IF(OR($A2689="",B2689=""),"",YEAR(B2689))</f>
        <v/>
      </c>
      <c r="AG2689" s="77">
        <f>IF(OR($A2689="",B2689=""),"",MONTH(B2689))</f>
        <v/>
      </c>
    </row>
    <row r="2690">
      <c r="A2690" s="7" t="n"/>
      <c r="B2690" s="75" t="n"/>
      <c r="C2690" s="7" t="n"/>
      <c r="D2690" s="7" t="n"/>
      <c r="E2690" s="9">
        <f>IF(D2690="","",IFERROR(INDEX('Équipements'!$B$5:$B$304,MATCH(D2690,'Équipements'!$A$5:$A$304,0)),"Code inconnu"))</f>
        <v/>
      </c>
      <c r="F2690" s="9">
        <f>IF(D2690="","",IFERROR(INDEX('Équipements'!$D$5:$D$304,MATCH(D2690,'Équipements'!$A$5:$A$304,0)),""))</f>
        <v/>
      </c>
      <c r="G2690" s="9">
        <f>IF(D2690="","",IFERROR(INDEX('Équipements'!$K$5:$K$304,MATCH(D2690,'Équipements'!$A$5:$A$304,0)),""))</f>
        <v/>
      </c>
      <c r="H2690" s="7" t="n"/>
      <c r="I2690" s="7" t="n"/>
      <c r="J2690" s="7" t="n"/>
      <c r="K2690" s="7" t="n"/>
      <c r="L2690" s="7" t="n"/>
      <c r="M2690" s="7" t="n"/>
      <c r="N2690" s="7" t="n"/>
      <c r="O2690" s="7" t="n"/>
      <c r="P2690" s="65" t="n"/>
      <c r="Q2690" s="75" t="n"/>
      <c r="R2690" s="75" t="n"/>
      <c r="S2690" s="76" t="n"/>
      <c r="T2690" s="76" t="n"/>
      <c r="U2690" s="70">
        <f>IF($A2690="","",IFERROR(INDEX('Techniciens'!$F$5:$F$44,MATCH(O2690,'Techniciens'!$B$5:$B$44,0)),'Paramètres'!$AA$10))</f>
        <v/>
      </c>
      <c r="V2690" s="70">
        <f>IF($A2690="","",IF(OR(AC2690="Demandé",AC2690="Planifié",AC2690="Annulé"),0,N(T2690)*N(U2690)))</f>
        <v/>
      </c>
      <c r="W2690" s="70">
        <f>IF($A2690="","",SUMIFS('Mouvements stock'!$H$5:$H$3004,'Mouvements stock'!$I$5:$I$3004,$A2690,'Mouvements stock'!$C$5:$C$3004,"Sortie")-SUMIFS('Mouvements stock'!$H$5:$H$3004,'Mouvements stock'!$I$5:$I$3004,$A2690,'Mouvements stock'!$C$5:$C$3004,"Retour"))</f>
        <v/>
      </c>
      <c r="X2690" s="66" t="n"/>
      <c r="Y2690" s="66" t="n"/>
      <c r="Z2690" s="7" t="n"/>
      <c r="AA2690" s="70">
        <f>IF($A2690="","",N(V2690)+N(W2690)+N(X2690)+N(Y2690))</f>
        <v/>
      </c>
      <c r="AB2690" s="70">
        <f>IF($A2690="","",N(S2690)*'Paramètres'!$AA$9*IFERROR(INDEX('Paramètres'!$O$5:$O$7,MATCH(G2690,'Paramètres'!$N$5:$N$7,0)),0))</f>
        <v/>
      </c>
      <c r="AC2690" s="7" t="n"/>
      <c r="AD2690" s="69">
        <f>IF(OR($A2690="",Q2690=""),"",(Q2690-B2690)*24)</f>
        <v/>
      </c>
      <c r="AE2690" s="69">
        <f>IF(OR(Q2690="",R2690=""),"",(R2690-Q2690)*24)</f>
        <v/>
      </c>
      <c r="AF2690" s="77">
        <f>IF(OR($A2690="",B2690=""),"",YEAR(B2690))</f>
        <v/>
      </c>
      <c r="AG2690" s="77">
        <f>IF(OR($A2690="",B2690=""),"",MONTH(B2690))</f>
        <v/>
      </c>
    </row>
    <row r="2691">
      <c r="A2691" s="7" t="n"/>
      <c r="B2691" s="75" t="n"/>
      <c r="C2691" s="7" t="n"/>
      <c r="D2691" s="7" t="n"/>
      <c r="E2691" s="9">
        <f>IF(D2691="","",IFERROR(INDEX('Équipements'!$B$5:$B$304,MATCH(D2691,'Équipements'!$A$5:$A$304,0)),"Code inconnu"))</f>
        <v/>
      </c>
      <c r="F2691" s="9">
        <f>IF(D2691="","",IFERROR(INDEX('Équipements'!$D$5:$D$304,MATCH(D2691,'Équipements'!$A$5:$A$304,0)),""))</f>
        <v/>
      </c>
      <c r="G2691" s="9">
        <f>IF(D2691="","",IFERROR(INDEX('Équipements'!$K$5:$K$304,MATCH(D2691,'Équipements'!$A$5:$A$304,0)),""))</f>
        <v/>
      </c>
      <c r="H2691" s="7" t="n"/>
      <c r="I2691" s="7" t="n"/>
      <c r="J2691" s="7" t="n"/>
      <c r="K2691" s="7" t="n"/>
      <c r="L2691" s="7" t="n"/>
      <c r="M2691" s="7" t="n"/>
      <c r="N2691" s="7" t="n"/>
      <c r="O2691" s="7" t="n"/>
      <c r="P2691" s="65" t="n"/>
      <c r="Q2691" s="75" t="n"/>
      <c r="R2691" s="75" t="n"/>
      <c r="S2691" s="76" t="n"/>
      <c r="T2691" s="76" t="n"/>
      <c r="U2691" s="70">
        <f>IF($A2691="","",IFERROR(INDEX('Techniciens'!$F$5:$F$44,MATCH(O2691,'Techniciens'!$B$5:$B$44,0)),'Paramètres'!$AA$10))</f>
        <v/>
      </c>
      <c r="V2691" s="70">
        <f>IF($A2691="","",IF(OR(AC2691="Demandé",AC2691="Planifié",AC2691="Annulé"),0,N(T2691)*N(U2691)))</f>
        <v/>
      </c>
      <c r="W2691" s="70">
        <f>IF($A2691="","",SUMIFS('Mouvements stock'!$H$5:$H$3004,'Mouvements stock'!$I$5:$I$3004,$A2691,'Mouvements stock'!$C$5:$C$3004,"Sortie")-SUMIFS('Mouvements stock'!$H$5:$H$3004,'Mouvements stock'!$I$5:$I$3004,$A2691,'Mouvements stock'!$C$5:$C$3004,"Retour"))</f>
        <v/>
      </c>
      <c r="X2691" s="66" t="n"/>
      <c r="Y2691" s="66" t="n"/>
      <c r="Z2691" s="7" t="n"/>
      <c r="AA2691" s="70">
        <f>IF($A2691="","",N(V2691)+N(W2691)+N(X2691)+N(Y2691))</f>
        <v/>
      </c>
      <c r="AB2691" s="70">
        <f>IF($A2691="","",N(S2691)*'Paramètres'!$AA$9*IFERROR(INDEX('Paramètres'!$O$5:$O$7,MATCH(G2691,'Paramètres'!$N$5:$N$7,0)),0))</f>
        <v/>
      </c>
      <c r="AC2691" s="7" t="n"/>
      <c r="AD2691" s="69">
        <f>IF(OR($A2691="",Q2691=""),"",(Q2691-B2691)*24)</f>
        <v/>
      </c>
      <c r="AE2691" s="69">
        <f>IF(OR(Q2691="",R2691=""),"",(R2691-Q2691)*24)</f>
        <v/>
      </c>
      <c r="AF2691" s="77">
        <f>IF(OR($A2691="",B2691=""),"",YEAR(B2691))</f>
        <v/>
      </c>
      <c r="AG2691" s="77">
        <f>IF(OR($A2691="",B2691=""),"",MONTH(B2691))</f>
        <v/>
      </c>
    </row>
    <row r="2692">
      <c r="A2692" s="7" t="n"/>
      <c r="B2692" s="75" t="n"/>
      <c r="C2692" s="7" t="n"/>
      <c r="D2692" s="7" t="n"/>
      <c r="E2692" s="9">
        <f>IF(D2692="","",IFERROR(INDEX('Équipements'!$B$5:$B$304,MATCH(D2692,'Équipements'!$A$5:$A$304,0)),"Code inconnu"))</f>
        <v/>
      </c>
      <c r="F2692" s="9">
        <f>IF(D2692="","",IFERROR(INDEX('Équipements'!$D$5:$D$304,MATCH(D2692,'Équipements'!$A$5:$A$304,0)),""))</f>
        <v/>
      </c>
      <c r="G2692" s="9">
        <f>IF(D2692="","",IFERROR(INDEX('Équipements'!$K$5:$K$304,MATCH(D2692,'Équipements'!$A$5:$A$304,0)),""))</f>
        <v/>
      </c>
      <c r="H2692" s="7" t="n"/>
      <c r="I2692" s="7" t="n"/>
      <c r="J2692" s="7" t="n"/>
      <c r="K2692" s="7" t="n"/>
      <c r="L2692" s="7" t="n"/>
      <c r="M2692" s="7" t="n"/>
      <c r="N2692" s="7" t="n"/>
      <c r="O2692" s="7" t="n"/>
      <c r="P2692" s="65" t="n"/>
      <c r="Q2692" s="75" t="n"/>
      <c r="R2692" s="75" t="n"/>
      <c r="S2692" s="76" t="n"/>
      <c r="T2692" s="76" t="n"/>
      <c r="U2692" s="70">
        <f>IF($A2692="","",IFERROR(INDEX('Techniciens'!$F$5:$F$44,MATCH(O2692,'Techniciens'!$B$5:$B$44,0)),'Paramètres'!$AA$10))</f>
        <v/>
      </c>
      <c r="V2692" s="70">
        <f>IF($A2692="","",IF(OR(AC2692="Demandé",AC2692="Planifié",AC2692="Annulé"),0,N(T2692)*N(U2692)))</f>
        <v/>
      </c>
      <c r="W2692" s="70">
        <f>IF($A2692="","",SUMIFS('Mouvements stock'!$H$5:$H$3004,'Mouvements stock'!$I$5:$I$3004,$A2692,'Mouvements stock'!$C$5:$C$3004,"Sortie")-SUMIFS('Mouvements stock'!$H$5:$H$3004,'Mouvements stock'!$I$5:$I$3004,$A2692,'Mouvements stock'!$C$5:$C$3004,"Retour"))</f>
        <v/>
      </c>
      <c r="X2692" s="66" t="n"/>
      <c r="Y2692" s="66" t="n"/>
      <c r="Z2692" s="7" t="n"/>
      <c r="AA2692" s="70">
        <f>IF($A2692="","",N(V2692)+N(W2692)+N(X2692)+N(Y2692))</f>
        <v/>
      </c>
      <c r="AB2692" s="70">
        <f>IF($A2692="","",N(S2692)*'Paramètres'!$AA$9*IFERROR(INDEX('Paramètres'!$O$5:$O$7,MATCH(G2692,'Paramètres'!$N$5:$N$7,0)),0))</f>
        <v/>
      </c>
      <c r="AC2692" s="7" t="n"/>
      <c r="AD2692" s="69">
        <f>IF(OR($A2692="",Q2692=""),"",(Q2692-B2692)*24)</f>
        <v/>
      </c>
      <c r="AE2692" s="69">
        <f>IF(OR(Q2692="",R2692=""),"",(R2692-Q2692)*24)</f>
        <v/>
      </c>
      <c r="AF2692" s="77">
        <f>IF(OR($A2692="",B2692=""),"",YEAR(B2692))</f>
        <v/>
      </c>
      <c r="AG2692" s="77">
        <f>IF(OR($A2692="",B2692=""),"",MONTH(B2692))</f>
        <v/>
      </c>
    </row>
    <row r="2693">
      <c r="A2693" s="7" t="n"/>
      <c r="B2693" s="75" t="n"/>
      <c r="C2693" s="7" t="n"/>
      <c r="D2693" s="7" t="n"/>
      <c r="E2693" s="9">
        <f>IF(D2693="","",IFERROR(INDEX('Équipements'!$B$5:$B$304,MATCH(D2693,'Équipements'!$A$5:$A$304,0)),"Code inconnu"))</f>
        <v/>
      </c>
      <c r="F2693" s="9">
        <f>IF(D2693="","",IFERROR(INDEX('Équipements'!$D$5:$D$304,MATCH(D2693,'Équipements'!$A$5:$A$304,0)),""))</f>
        <v/>
      </c>
      <c r="G2693" s="9">
        <f>IF(D2693="","",IFERROR(INDEX('Équipements'!$K$5:$K$304,MATCH(D2693,'Équipements'!$A$5:$A$304,0)),""))</f>
        <v/>
      </c>
      <c r="H2693" s="7" t="n"/>
      <c r="I2693" s="7" t="n"/>
      <c r="J2693" s="7" t="n"/>
      <c r="K2693" s="7" t="n"/>
      <c r="L2693" s="7" t="n"/>
      <c r="M2693" s="7" t="n"/>
      <c r="N2693" s="7" t="n"/>
      <c r="O2693" s="7" t="n"/>
      <c r="P2693" s="65" t="n"/>
      <c r="Q2693" s="75" t="n"/>
      <c r="R2693" s="75" t="n"/>
      <c r="S2693" s="76" t="n"/>
      <c r="T2693" s="76" t="n"/>
      <c r="U2693" s="70">
        <f>IF($A2693="","",IFERROR(INDEX('Techniciens'!$F$5:$F$44,MATCH(O2693,'Techniciens'!$B$5:$B$44,0)),'Paramètres'!$AA$10))</f>
        <v/>
      </c>
      <c r="V2693" s="70">
        <f>IF($A2693="","",IF(OR(AC2693="Demandé",AC2693="Planifié",AC2693="Annulé"),0,N(T2693)*N(U2693)))</f>
        <v/>
      </c>
      <c r="W2693" s="70">
        <f>IF($A2693="","",SUMIFS('Mouvements stock'!$H$5:$H$3004,'Mouvements stock'!$I$5:$I$3004,$A2693,'Mouvements stock'!$C$5:$C$3004,"Sortie")-SUMIFS('Mouvements stock'!$H$5:$H$3004,'Mouvements stock'!$I$5:$I$3004,$A2693,'Mouvements stock'!$C$5:$C$3004,"Retour"))</f>
        <v/>
      </c>
      <c r="X2693" s="66" t="n"/>
      <c r="Y2693" s="66" t="n"/>
      <c r="Z2693" s="7" t="n"/>
      <c r="AA2693" s="70">
        <f>IF($A2693="","",N(V2693)+N(W2693)+N(X2693)+N(Y2693))</f>
        <v/>
      </c>
      <c r="AB2693" s="70">
        <f>IF($A2693="","",N(S2693)*'Paramètres'!$AA$9*IFERROR(INDEX('Paramètres'!$O$5:$O$7,MATCH(G2693,'Paramètres'!$N$5:$N$7,0)),0))</f>
        <v/>
      </c>
      <c r="AC2693" s="7" t="n"/>
      <c r="AD2693" s="69">
        <f>IF(OR($A2693="",Q2693=""),"",(Q2693-B2693)*24)</f>
        <v/>
      </c>
      <c r="AE2693" s="69">
        <f>IF(OR(Q2693="",R2693=""),"",(R2693-Q2693)*24)</f>
        <v/>
      </c>
      <c r="AF2693" s="77">
        <f>IF(OR($A2693="",B2693=""),"",YEAR(B2693))</f>
        <v/>
      </c>
      <c r="AG2693" s="77">
        <f>IF(OR($A2693="",B2693=""),"",MONTH(B2693))</f>
        <v/>
      </c>
    </row>
    <row r="2694">
      <c r="A2694" s="7" t="n"/>
      <c r="B2694" s="75" t="n"/>
      <c r="C2694" s="7" t="n"/>
      <c r="D2694" s="7" t="n"/>
      <c r="E2694" s="9">
        <f>IF(D2694="","",IFERROR(INDEX('Équipements'!$B$5:$B$304,MATCH(D2694,'Équipements'!$A$5:$A$304,0)),"Code inconnu"))</f>
        <v/>
      </c>
      <c r="F2694" s="9">
        <f>IF(D2694="","",IFERROR(INDEX('Équipements'!$D$5:$D$304,MATCH(D2694,'Équipements'!$A$5:$A$304,0)),""))</f>
        <v/>
      </c>
      <c r="G2694" s="9">
        <f>IF(D2694="","",IFERROR(INDEX('Équipements'!$K$5:$K$304,MATCH(D2694,'Équipements'!$A$5:$A$304,0)),""))</f>
        <v/>
      </c>
      <c r="H2694" s="7" t="n"/>
      <c r="I2694" s="7" t="n"/>
      <c r="J2694" s="7" t="n"/>
      <c r="K2694" s="7" t="n"/>
      <c r="L2694" s="7" t="n"/>
      <c r="M2694" s="7" t="n"/>
      <c r="N2694" s="7" t="n"/>
      <c r="O2694" s="7" t="n"/>
      <c r="P2694" s="65" t="n"/>
      <c r="Q2694" s="75" t="n"/>
      <c r="R2694" s="75" t="n"/>
      <c r="S2694" s="76" t="n"/>
      <c r="T2694" s="76" t="n"/>
      <c r="U2694" s="70">
        <f>IF($A2694="","",IFERROR(INDEX('Techniciens'!$F$5:$F$44,MATCH(O2694,'Techniciens'!$B$5:$B$44,0)),'Paramètres'!$AA$10))</f>
        <v/>
      </c>
      <c r="V2694" s="70">
        <f>IF($A2694="","",IF(OR(AC2694="Demandé",AC2694="Planifié",AC2694="Annulé"),0,N(T2694)*N(U2694)))</f>
        <v/>
      </c>
      <c r="W2694" s="70">
        <f>IF($A2694="","",SUMIFS('Mouvements stock'!$H$5:$H$3004,'Mouvements stock'!$I$5:$I$3004,$A2694,'Mouvements stock'!$C$5:$C$3004,"Sortie")-SUMIFS('Mouvements stock'!$H$5:$H$3004,'Mouvements stock'!$I$5:$I$3004,$A2694,'Mouvements stock'!$C$5:$C$3004,"Retour"))</f>
        <v/>
      </c>
      <c r="X2694" s="66" t="n"/>
      <c r="Y2694" s="66" t="n"/>
      <c r="Z2694" s="7" t="n"/>
      <c r="AA2694" s="70">
        <f>IF($A2694="","",N(V2694)+N(W2694)+N(X2694)+N(Y2694))</f>
        <v/>
      </c>
      <c r="AB2694" s="70">
        <f>IF($A2694="","",N(S2694)*'Paramètres'!$AA$9*IFERROR(INDEX('Paramètres'!$O$5:$O$7,MATCH(G2694,'Paramètres'!$N$5:$N$7,0)),0))</f>
        <v/>
      </c>
      <c r="AC2694" s="7" t="n"/>
      <c r="AD2694" s="69">
        <f>IF(OR($A2694="",Q2694=""),"",(Q2694-B2694)*24)</f>
        <v/>
      </c>
      <c r="AE2694" s="69">
        <f>IF(OR(Q2694="",R2694=""),"",(R2694-Q2694)*24)</f>
        <v/>
      </c>
      <c r="AF2694" s="77">
        <f>IF(OR($A2694="",B2694=""),"",YEAR(B2694))</f>
        <v/>
      </c>
      <c r="AG2694" s="77">
        <f>IF(OR($A2694="",B2694=""),"",MONTH(B2694))</f>
        <v/>
      </c>
    </row>
    <row r="2695">
      <c r="A2695" s="7" t="n"/>
      <c r="B2695" s="75" t="n"/>
      <c r="C2695" s="7" t="n"/>
      <c r="D2695" s="7" t="n"/>
      <c r="E2695" s="9">
        <f>IF(D2695="","",IFERROR(INDEX('Équipements'!$B$5:$B$304,MATCH(D2695,'Équipements'!$A$5:$A$304,0)),"Code inconnu"))</f>
        <v/>
      </c>
      <c r="F2695" s="9">
        <f>IF(D2695="","",IFERROR(INDEX('Équipements'!$D$5:$D$304,MATCH(D2695,'Équipements'!$A$5:$A$304,0)),""))</f>
        <v/>
      </c>
      <c r="G2695" s="9">
        <f>IF(D2695="","",IFERROR(INDEX('Équipements'!$K$5:$K$304,MATCH(D2695,'Équipements'!$A$5:$A$304,0)),""))</f>
        <v/>
      </c>
      <c r="H2695" s="7" t="n"/>
      <c r="I2695" s="7" t="n"/>
      <c r="J2695" s="7" t="n"/>
      <c r="K2695" s="7" t="n"/>
      <c r="L2695" s="7" t="n"/>
      <c r="M2695" s="7" t="n"/>
      <c r="N2695" s="7" t="n"/>
      <c r="O2695" s="7" t="n"/>
      <c r="P2695" s="65" t="n"/>
      <c r="Q2695" s="75" t="n"/>
      <c r="R2695" s="75" t="n"/>
      <c r="S2695" s="76" t="n"/>
      <c r="T2695" s="76" t="n"/>
      <c r="U2695" s="70">
        <f>IF($A2695="","",IFERROR(INDEX('Techniciens'!$F$5:$F$44,MATCH(O2695,'Techniciens'!$B$5:$B$44,0)),'Paramètres'!$AA$10))</f>
        <v/>
      </c>
      <c r="V2695" s="70">
        <f>IF($A2695="","",IF(OR(AC2695="Demandé",AC2695="Planifié",AC2695="Annulé"),0,N(T2695)*N(U2695)))</f>
        <v/>
      </c>
      <c r="W2695" s="70">
        <f>IF($A2695="","",SUMIFS('Mouvements stock'!$H$5:$H$3004,'Mouvements stock'!$I$5:$I$3004,$A2695,'Mouvements stock'!$C$5:$C$3004,"Sortie")-SUMIFS('Mouvements stock'!$H$5:$H$3004,'Mouvements stock'!$I$5:$I$3004,$A2695,'Mouvements stock'!$C$5:$C$3004,"Retour"))</f>
        <v/>
      </c>
      <c r="X2695" s="66" t="n"/>
      <c r="Y2695" s="66" t="n"/>
      <c r="Z2695" s="7" t="n"/>
      <c r="AA2695" s="70">
        <f>IF($A2695="","",N(V2695)+N(W2695)+N(X2695)+N(Y2695))</f>
        <v/>
      </c>
      <c r="AB2695" s="70">
        <f>IF($A2695="","",N(S2695)*'Paramètres'!$AA$9*IFERROR(INDEX('Paramètres'!$O$5:$O$7,MATCH(G2695,'Paramètres'!$N$5:$N$7,0)),0))</f>
        <v/>
      </c>
      <c r="AC2695" s="7" t="n"/>
      <c r="AD2695" s="69">
        <f>IF(OR($A2695="",Q2695=""),"",(Q2695-B2695)*24)</f>
        <v/>
      </c>
      <c r="AE2695" s="69">
        <f>IF(OR(Q2695="",R2695=""),"",(R2695-Q2695)*24)</f>
        <v/>
      </c>
      <c r="AF2695" s="77">
        <f>IF(OR($A2695="",B2695=""),"",YEAR(B2695))</f>
        <v/>
      </c>
      <c r="AG2695" s="77">
        <f>IF(OR($A2695="",B2695=""),"",MONTH(B2695))</f>
        <v/>
      </c>
    </row>
    <row r="2696">
      <c r="A2696" s="7" t="n"/>
      <c r="B2696" s="75" t="n"/>
      <c r="C2696" s="7" t="n"/>
      <c r="D2696" s="7" t="n"/>
      <c r="E2696" s="9">
        <f>IF(D2696="","",IFERROR(INDEX('Équipements'!$B$5:$B$304,MATCH(D2696,'Équipements'!$A$5:$A$304,0)),"Code inconnu"))</f>
        <v/>
      </c>
      <c r="F2696" s="9">
        <f>IF(D2696="","",IFERROR(INDEX('Équipements'!$D$5:$D$304,MATCH(D2696,'Équipements'!$A$5:$A$304,0)),""))</f>
        <v/>
      </c>
      <c r="G2696" s="9">
        <f>IF(D2696="","",IFERROR(INDEX('Équipements'!$K$5:$K$304,MATCH(D2696,'Équipements'!$A$5:$A$304,0)),""))</f>
        <v/>
      </c>
      <c r="H2696" s="7" t="n"/>
      <c r="I2696" s="7" t="n"/>
      <c r="J2696" s="7" t="n"/>
      <c r="K2696" s="7" t="n"/>
      <c r="L2696" s="7" t="n"/>
      <c r="M2696" s="7" t="n"/>
      <c r="N2696" s="7" t="n"/>
      <c r="O2696" s="7" t="n"/>
      <c r="P2696" s="65" t="n"/>
      <c r="Q2696" s="75" t="n"/>
      <c r="R2696" s="75" t="n"/>
      <c r="S2696" s="76" t="n"/>
      <c r="T2696" s="76" t="n"/>
      <c r="U2696" s="70">
        <f>IF($A2696="","",IFERROR(INDEX('Techniciens'!$F$5:$F$44,MATCH(O2696,'Techniciens'!$B$5:$B$44,0)),'Paramètres'!$AA$10))</f>
        <v/>
      </c>
      <c r="V2696" s="70">
        <f>IF($A2696="","",IF(OR(AC2696="Demandé",AC2696="Planifié",AC2696="Annulé"),0,N(T2696)*N(U2696)))</f>
        <v/>
      </c>
      <c r="W2696" s="70">
        <f>IF($A2696="","",SUMIFS('Mouvements stock'!$H$5:$H$3004,'Mouvements stock'!$I$5:$I$3004,$A2696,'Mouvements stock'!$C$5:$C$3004,"Sortie")-SUMIFS('Mouvements stock'!$H$5:$H$3004,'Mouvements stock'!$I$5:$I$3004,$A2696,'Mouvements stock'!$C$5:$C$3004,"Retour"))</f>
        <v/>
      </c>
      <c r="X2696" s="66" t="n"/>
      <c r="Y2696" s="66" t="n"/>
      <c r="Z2696" s="7" t="n"/>
      <c r="AA2696" s="70">
        <f>IF($A2696="","",N(V2696)+N(W2696)+N(X2696)+N(Y2696))</f>
        <v/>
      </c>
      <c r="AB2696" s="70">
        <f>IF($A2696="","",N(S2696)*'Paramètres'!$AA$9*IFERROR(INDEX('Paramètres'!$O$5:$O$7,MATCH(G2696,'Paramètres'!$N$5:$N$7,0)),0))</f>
        <v/>
      </c>
      <c r="AC2696" s="7" t="n"/>
      <c r="AD2696" s="69">
        <f>IF(OR($A2696="",Q2696=""),"",(Q2696-B2696)*24)</f>
        <v/>
      </c>
      <c r="AE2696" s="69">
        <f>IF(OR(Q2696="",R2696=""),"",(R2696-Q2696)*24)</f>
        <v/>
      </c>
      <c r="AF2696" s="77">
        <f>IF(OR($A2696="",B2696=""),"",YEAR(B2696))</f>
        <v/>
      </c>
      <c r="AG2696" s="77">
        <f>IF(OR($A2696="",B2696=""),"",MONTH(B2696))</f>
        <v/>
      </c>
    </row>
    <row r="2697">
      <c r="A2697" s="7" t="n"/>
      <c r="B2697" s="75" t="n"/>
      <c r="C2697" s="7" t="n"/>
      <c r="D2697" s="7" t="n"/>
      <c r="E2697" s="9">
        <f>IF(D2697="","",IFERROR(INDEX('Équipements'!$B$5:$B$304,MATCH(D2697,'Équipements'!$A$5:$A$304,0)),"Code inconnu"))</f>
        <v/>
      </c>
      <c r="F2697" s="9">
        <f>IF(D2697="","",IFERROR(INDEX('Équipements'!$D$5:$D$304,MATCH(D2697,'Équipements'!$A$5:$A$304,0)),""))</f>
        <v/>
      </c>
      <c r="G2697" s="9">
        <f>IF(D2697="","",IFERROR(INDEX('Équipements'!$K$5:$K$304,MATCH(D2697,'Équipements'!$A$5:$A$304,0)),""))</f>
        <v/>
      </c>
      <c r="H2697" s="7" t="n"/>
      <c r="I2697" s="7" t="n"/>
      <c r="J2697" s="7" t="n"/>
      <c r="K2697" s="7" t="n"/>
      <c r="L2697" s="7" t="n"/>
      <c r="M2697" s="7" t="n"/>
      <c r="N2697" s="7" t="n"/>
      <c r="O2697" s="7" t="n"/>
      <c r="P2697" s="65" t="n"/>
      <c r="Q2697" s="75" t="n"/>
      <c r="R2697" s="75" t="n"/>
      <c r="S2697" s="76" t="n"/>
      <c r="T2697" s="76" t="n"/>
      <c r="U2697" s="70">
        <f>IF($A2697="","",IFERROR(INDEX('Techniciens'!$F$5:$F$44,MATCH(O2697,'Techniciens'!$B$5:$B$44,0)),'Paramètres'!$AA$10))</f>
        <v/>
      </c>
      <c r="V2697" s="70">
        <f>IF($A2697="","",IF(OR(AC2697="Demandé",AC2697="Planifié",AC2697="Annulé"),0,N(T2697)*N(U2697)))</f>
        <v/>
      </c>
      <c r="W2697" s="70">
        <f>IF($A2697="","",SUMIFS('Mouvements stock'!$H$5:$H$3004,'Mouvements stock'!$I$5:$I$3004,$A2697,'Mouvements stock'!$C$5:$C$3004,"Sortie")-SUMIFS('Mouvements stock'!$H$5:$H$3004,'Mouvements stock'!$I$5:$I$3004,$A2697,'Mouvements stock'!$C$5:$C$3004,"Retour"))</f>
        <v/>
      </c>
      <c r="X2697" s="66" t="n"/>
      <c r="Y2697" s="66" t="n"/>
      <c r="Z2697" s="7" t="n"/>
      <c r="AA2697" s="70">
        <f>IF($A2697="","",N(V2697)+N(W2697)+N(X2697)+N(Y2697))</f>
        <v/>
      </c>
      <c r="AB2697" s="70">
        <f>IF($A2697="","",N(S2697)*'Paramètres'!$AA$9*IFERROR(INDEX('Paramètres'!$O$5:$O$7,MATCH(G2697,'Paramètres'!$N$5:$N$7,0)),0))</f>
        <v/>
      </c>
      <c r="AC2697" s="7" t="n"/>
      <c r="AD2697" s="69">
        <f>IF(OR($A2697="",Q2697=""),"",(Q2697-B2697)*24)</f>
        <v/>
      </c>
      <c r="AE2697" s="69">
        <f>IF(OR(Q2697="",R2697=""),"",(R2697-Q2697)*24)</f>
        <v/>
      </c>
      <c r="AF2697" s="77">
        <f>IF(OR($A2697="",B2697=""),"",YEAR(B2697))</f>
        <v/>
      </c>
      <c r="AG2697" s="77">
        <f>IF(OR($A2697="",B2697=""),"",MONTH(B2697))</f>
        <v/>
      </c>
    </row>
    <row r="2698">
      <c r="A2698" s="7" t="n"/>
      <c r="B2698" s="75" t="n"/>
      <c r="C2698" s="7" t="n"/>
      <c r="D2698" s="7" t="n"/>
      <c r="E2698" s="9">
        <f>IF(D2698="","",IFERROR(INDEX('Équipements'!$B$5:$B$304,MATCH(D2698,'Équipements'!$A$5:$A$304,0)),"Code inconnu"))</f>
        <v/>
      </c>
      <c r="F2698" s="9">
        <f>IF(D2698="","",IFERROR(INDEX('Équipements'!$D$5:$D$304,MATCH(D2698,'Équipements'!$A$5:$A$304,0)),""))</f>
        <v/>
      </c>
      <c r="G2698" s="9">
        <f>IF(D2698="","",IFERROR(INDEX('Équipements'!$K$5:$K$304,MATCH(D2698,'Équipements'!$A$5:$A$304,0)),""))</f>
        <v/>
      </c>
      <c r="H2698" s="7" t="n"/>
      <c r="I2698" s="7" t="n"/>
      <c r="J2698" s="7" t="n"/>
      <c r="K2698" s="7" t="n"/>
      <c r="L2698" s="7" t="n"/>
      <c r="M2698" s="7" t="n"/>
      <c r="N2698" s="7" t="n"/>
      <c r="O2698" s="7" t="n"/>
      <c r="P2698" s="65" t="n"/>
      <c r="Q2698" s="75" t="n"/>
      <c r="R2698" s="75" t="n"/>
      <c r="S2698" s="76" t="n"/>
      <c r="T2698" s="76" t="n"/>
      <c r="U2698" s="70">
        <f>IF($A2698="","",IFERROR(INDEX('Techniciens'!$F$5:$F$44,MATCH(O2698,'Techniciens'!$B$5:$B$44,0)),'Paramètres'!$AA$10))</f>
        <v/>
      </c>
      <c r="V2698" s="70">
        <f>IF($A2698="","",IF(OR(AC2698="Demandé",AC2698="Planifié",AC2698="Annulé"),0,N(T2698)*N(U2698)))</f>
        <v/>
      </c>
      <c r="W2698" s="70">
        <f>IF($A2698="","",SUMIFS('Mouvements stock'!$H$5:$H$3004,'Mouvements stock'!$I$5:$I$3004,$A2698,'Mouvements stock'!$C$5:$C$3004,"Sortie")-SUMIFS('Mouvements stock'!$H$5:$H$3004,'Mouvements stock'!$I$5:$I$3004,$A2698,'Mouvements stock'!$C$5:$C$3004,"Retour"))</f>
        <v/>
      </c>
      <c r="X2698" s="66" t="n"/>
      <c r="Y2698" s="66" t="n"/>
      <c r="Z2698" s="7" t="n"/>
      <c r="AA2698" s="70">
        <f>IF($A2698="","",N(V2698)+N(W2698)+N(X2698)+N(Y2698))</f>
        <v/>
      </c>
      <c r="AB2698" s="70">
        <f>IF($A2698="","",N(S2698)*'Paramètres'!$AA$9*IFERROR(INDEX('Paramètres'!$O$5:$O$7,MATCH(G2698,'Paramètres'!$N$5:$N$7,0)),0))</f>
        <v/>
      </c>
      <c r="AC2698" s="7" t="n"/>
      <c r="AD2698" s="69">
        <f>IF(OR($A2698="",Q2698=""),"",(Q2698-B2698)*24)</f>
        <v/>
      </c>
      <c r="AE2698" s="69">
        <f>IF(OR(Q2698="",R2698=""),"",(R2698-Q2698)*24)</f>
        <v/>
      </c>
      <c r="AF2698" s="77">
        <f>IF(OR($A2698="",B2698=""),"",YEAR(B2698))</f>
        <v/>
      </c>
      <c r="AG2698" s="77">
        <f>IF(OR($A2698="",B2698=""),"",MONTH(B2698))</f>
        <v/>
      </c>
    </row>
    <row r="2699">
      <c r="A2699" s="7" t="n"/>
      <c r="B2699" s="75" t="n"/>
      <c r="C2699" s="7" t="n"/>
      <c r="D2699" s="7" t="n"/>
      <c r="E2699" s="9">
        <f>IF(D2699="","",IFERROR(INDEX('Équipements'!$B$5:$B$304,MATCH(D2699,'Équipements'!$A$5:$A$304,0)),"Code inconnu"))</f>
        <v/>
      </c>
      <c r="F2699" s="9">
        <f>IF(D2699="","",IFERROR(INDEX('Équipements'!$D$5:$D$304,MATCH(D2699,'Équipements'!$A$5:$A$304,0)),""))</f>
        <v/>
      </c>
      <c r="G2699" s="9">
        <f>IF(D2699="","",IFERROR(INDEX('Équipements'!$K$5:$K$304,MATCH(D2699,'Équipements'!$A$5:$A$304,0)),""))</f>
        <v/>
      </c>
      <c r="H2699" s="7" t="n"/>
      <c r="I2699" s="7" t="n"/>
      <c r="J2699" s="7" t="n"/>
      <c r="K2699" s="7" t="n"/>
      <c r="L2699" s="7" t="n"/>
      <c r="M2699" s="7" t="n"/>
      <c r="N2699" s="7" t="n"/>
      <c r="O2699" s="7" t="n"/>
      <c r="P2699" s="65" t="n"/>
      <c r="Q2699" s="75" t="n"/>
      <c r="R2699" s="75" t="n"/>
      <c r="S2699" s="76" t="n"/>
      <c r="T2699" s="76" t="n"/>
      <c r="U2699" s="70">
        <f>IF($A2699="","",IFERROR(INDEX('Techniciens'!$F$5:$F$44,MATCH(O2699,'Techniciens'!$B$5:$B$44,0)),'Paramètres'!$AA$10))</f>
        <v/>
      </c>
      <c r="V2699" s="70">
        <f>IF($A2699="","",IF(OR(AC2699="Demandé",AC2699="Planifié",AC2699="Annulé"),0,N(T2699)*N(U2699)))</f>
        <v/>
      </c>
      <c r="W2699" s="70">
        <f>IF($A2699="","",SUMIFS('Mouvements stock'!$H$5:$H$3004,'Mouvements stock'!$I$5:$I$3004,$A2699,'Mouvements stock'!$C$5:$C$3004,"Sortie")-SUMIFS('Mouvements stock'!$H$5:$H$3004,'Mouvements stock'!$I$5:$I$3004,$A2699,'Mouvements stock'!$C$5:$C$3004,"Retour"))</f>
        <v/>
      </c>
      <c r="X2699" s="66" t="n"/>
      <c r="Y2699" s="66" t="n"/>
      <c r="Z2699" s="7" t="n"/>
      <c r="AA2699" s="70">
        <f>IF($A2699="","",N(V2699)+N(W2699)+N(X2699)+N(Y2699))</f>
        <v/>
      </c>
      <c r="AB2699" s="70">
        <f>IF($A2699="","",N(S2699)*'Paramètres'!$AA$9*IFERROR(INDEX('Paramètres'!$O$5:$O$7,MATCH(G2699,'Paramètres'!$N$5:$N$7,0)),0))</f>
        <v/>
      </c>
      <c r="AC2699" s="7" t="n"/>
      <c r="AD2699" s="69">
        <f>IF(OR($A2699="",Q2699=""),"",(Q2699-B2699)*24)</f>
        <v/>
      </c>
      <c r="AE2699" s="69">
        <f>IF(OR(Q2699="",R2699=""),"",(R2699-Q2699)*24)</f>
        <v/>
      </c>
      <c r="AF2699" s="77">
        <f>IF(OR($A2699="",B2699=""),"",YEAR(B2699))</f>
        <v/>
      </c>
      <c r="AG2699" s="77">
        <f>IF(OR($A2699="",B2699=""),"",MONTH(B2699))</f>
        <v/>
      </c>
    </row>
    <row r="2700">
      <c r="A2700" s="7" t="n"/>
      <c r="B2700" s="75" t="n"/>
      <c r="C2700" s="7" t="n"/>
      <c r="D2700" s="7" t="n"/>
      <c r="E2700" s="9">
        <f>IF(D2700="","",IFERROR(INDEX('Équipements'!$B$5:$B$304,MATCH(D2700,'Équipements'!$A$5:$A$304,0)),"Code inconnu"))</f>
        <v/>
      </c>
      <c r="F2700" s="9">
        <f>IF(D2700="","",IFERROR(INDEX('Équipements'!$D$5:$D$304,MATCH(D2700,'Équipements'!$A$5:$A$304,0)),""))</f>
        <v/>
      </c>
      <c r="G2700" s="9">
        <f>IF(D2700="","",IFERROR(INDEX('Équipements'!$K$5:$K$304,MATCH(D2700,'Équipements'!$A$5:$A$304,0)),""))</f>
        <v/>
      </c>
      <c r="H2700" s="7" t="n"/>
      <c r="I2700" s="7" t="n"/>
      <c r="J2700" s="7" t="n"/>
      <c r="K2700" s="7" t="n"/>
      <c r="L2700" s="7" t="n"/>
      <c r="M2700" s="7" t="n"/>
      <c r="N2700" s="7" t="n"/>
      <c r="O2700" s="7" t="n"/>
      <c r="P2700" s="65" t="n"/>
      <c r="Q2700" s="75" t="n"/>
      <c r="R2700" s="75" t="n"/>
      <c r="S2700" s="76" t="n"/>
      <c r="T2700" s="76" t="n"/>
      <c r="U2700" s="70">
        <f>IF($A2700="","",IFERROR(INDEX('Techniciens'!$F$5:$F$44,MATCH(O2700,'Techniciens'!$B$5:$B$44,0)),'Paramètres'!$AA$10))</f>
        <v/>
      </c>
      <c r="V2700" s="70">
        <f>IF($A2700="","",IF(OR(AC2700="Demandé",AC2700="Planifié",AC2700="Annulé"),0,N(T2700)*N(U2700)))</f>
        <v/>
      </c>
      <c r="W2700" s="70">
        <f>IF($A2700="","",SUMIFS('Mouvements stock'!$H$5:$H$3004,'Mouvements stock'!$I$5:$I$3004,$A2700,'Mouvements stock'!$C$5:$C$3004,"Sortie")-SUMIFS('Mouvements stock'!$H$5:$H$3004,'Mouvements stock'!$I$5:$I$3004,$A2700,'Mouvements stock'!$C$5:$C$3004,"Retour"))</f>
        <v/>
      </c>
      <c r="X2700" s="66" t="n"/>
      <c r="Y2700" s="66" t="n"/>
      <c r="Z2700" s="7" t="n"/>
      <c r="AA2700" s="70">
        <f>IF($A2700="","",N(V2700)+N(W2700)+N(X2700)+N(Y2700))</f>
        <v/>
      </c>
      <c r="AB2700" s="70">
        <f>IF($A2700="","",N(S2700)*'Paramètres'!$AA$9*IFERROR(INDEX('Paramètres'!$O$5:$O$7,MATCH(G2700,'Paramètres'!$N$5:$N$7,0)),0))</f>
        <v/>
      </c>
      <c r="AC2700" s="7" t="n"/>
      <c r="AD2700" s="69">
        <f>IF(OR($A2700="",Q2700=""),"",(Q2700-B2700)*24)</f>
        <v/>
      </c>
      <c r="AE2700" s="69">
        <f>IF(OR(Q2700="",R2700=""),"",(R2700-Q2700)*24)</f>
        <v/>
      </c>
      <c r="AF2700" s="77">
        <f>IF(OR($A2700="",B2700=""),"",YEAR(B2700))</f>
        <v/>
      </c>
      <c r="AG2700" s="77">
        <f>IF(OR($A2700="",B2700=""),"",MONTH(B2700))</f>
        <v/>
      </c>
    </row>
    <row r="2701">
      <c r="A2701" s="7" t="n"/>
      <c r="B2701" s="75" t="n"/>
      <c r="C2701" s="7" t="n"/>
      <c r="D2701" s="7" t="n"/>
      <c r="E2701" s="9">
        <f>IF(D2701="","",IFERROR(INDEX('Équipements'!$B$5:$B$304,MATCH(D2701,'Équipements'!$A$5:$A$304,0)),"Code inconnu"))</f>
        <v/>
      </c>
      <c r="F2701" s="9">
        <f>IF(D2701="","",IFERROR(INDEX('Équipements'!$D$5:$D$304,MATCH(D2701,'Équipements'!$A$5:$A$304,0)),""))</f>
        <v/>
      </c>
      <c r="G2701" s="9">
        <f>IF(D2701="","",IFERROR(INDEX('Équipements'!$K$5:$K$304,MATCH(D2701,'Équipements'!$A$5:$A$304,0)),""))</f>
        <v/>
      </c>
      <c r="H2701" s="7" t="n"/>
      <c r="I2701" s="7" t="n"/>
      <c r="J2701" s="7" t="n"/>
      <c r="K2701" s="7" t="n"/>
      <c r="L2701" s="7" t="n"/>
      <c r="M2701" s="7" t="n"/>
      <c r="N2701" s="7" t="n"/>
      <c r="O2701" s="7" t="n"/>
      <c r="P2701" s="65" t="n"/>
      <c r="Q2701" s="75" t="n"/>
      <c r="R2701" s="75" t="n"/>
      <c r="S2701" s="76" t="n"/>
      <c r="T2701" s="76" t="n"/>
      <c r="U2701" s="70">
        <f>IF($A2701="","",IFERROR(INDEX('Techniciens'!$F$5:$F$44,MATCH(O2701,'Techniciens'!$B$5:$B$44,0)),'Paramètres'!$AA$10))</f>
        <v/>
      </c>
      <c r="V2701" s="70">
        <f>IF($A2701="","",IF(OR(AC2701="Demandé",AC2701="Planifié",AC2701="Annulé"),0,N(T2701)*N(U2701)))</f>
        <v/>
      </c>
      <c r="W2701" s="70">
        <f>IF($A2701="","",SUMIFS('Mouvements stock'!$H$5:$H$3004,'Mouvements stock'!$I$5:$I$3004,$A2701,'Mouvements stock'!$C$5:$C$3004,"Sortie")-SUMIFS('Mouvements stock'!$H$5:$H$3004,'Mouvements stock'!$I$5:$I$3004,$A2701,'Mouvements stock'!$C$5:$C$3004,"Retour"))</f>
        <v/>
      </c>
      <c r="X2701" s="66" t="n"/>
      <c r="Y2701" s="66" t="n"/>
      <c r="Z2701" s="7" t="n"/>
      <c r="AA2701" s="70">
        <f>IF($A2701="","",N(V2701)+N(W2701)+N(X2701)+N(Y2701))</f>
        <v/>
      </c>
      <c r="AB2701" s="70">
        <f>IF($A2701="","",N(S2701)*'Paramètres'!$AA$9*IFERROR(INDEX('Paramètres'!$O$5:$O$7,MATCH(G2701,'Paramètres'!$N$5:$N$7,0)),0))</f>
        <v/>
      </c>
      <c r="AC2701" s="7" t="n"/>
      <c r="AD2701" s="69">
        <f>IF(OR($A2701="",Q2701=""),"",(Q2701-B2701)*24)</f>
        <v/>
      </c>
      <c r="AE2701" s="69">
        <f>IF(OR(Q2701="",R2701=""),"",(R2701-Q2701)*24)</f>
        <v/>
      </c>
      <c r="AF2701" s="77">
        <f>IF(OR($A2701="",B2701=""),"",YEAR(B2701))</f>
        <v/>
      </c>
      <c r="AG2701" s="77">
        <f>IF(OR($A2701="",B2701=""),"",MONTH(B2701))</f>
        <v/>
      </c>
    </row>
    <row r="2702">
      <c r="A2702" s="7" t="n"/>
      <c r="B2702" s="75" t="n"/>
      <c r="C2702" s="7" t="n"/>
      <c r="D2702" s="7" t="n"/>
      <c r="E2702" s="9">
        <f>IF(D2702="","",IFERROR(INDEX('Équipements'!$B$5:$B$304,MATCH(D2702,'Équipements'!$A$5:$A$304,0)),"Code inconnu"))</f>
        <v/>
      </c>
      <c r="F2702" s="9">
        <f>IF(D2702="","",IFERROR(INDEX('Équipements'!$D$5:$D$304,MATCH(D2702,'Équipements'!$A$5:$A$304,0)),""))</f>
        <v/>
      </c>
      <c r="G2702" s="9">
        <f>IF(D2702="","",IFERROR(INDEX('Équipements'!$K$5:$K$304,MATCH(D2702,'Équipements'!$A$5:$A$304,0)),""))</f>
        <v/>
      </c>
      <c r="H2702" s="7" t="n"/>
      <c r="I2702" s="7" t="n"/>
      <c r="J2702" s="7" t="n"/>
      <c r="K2702" s="7" t="n"/>
      <c r="L2702" s="7" t="n"/>
      <c r="M2702" s="7" t="n"/>
      <c r="N2702" s="7" t="n"/>
      <c r="O2702" s="7" t="n"/>
      <c r="P2702" s="65" t="n"/>
      <c r="Q2702" s="75" t="n"/>
      <c r="R2702" s="75" t="n"/>
      <c r="S2702" s="76" t="n"/>
      <c r="T2702" s="76" t="n"/>
      <c r="U2702" s="70">
        <f>IF($A2702="","",IFERROR(INDEX('Techniciens'!$F$5:$F$44,MATCH(O2702,'Techniciens'!$B$5:$B$44,0)),'Paramètres'!$AA$10))</f>
        <v/>
      </c>
      <c r="V2702" s="70">
        <f>IF($A2702="","",IF(OR(AC2702="Demandé",AC2702="Planifié",AC2702="Annulé"),0,N(T2702)*N(U2702)))</f>
        <v/>
      </c>
      <c r="W2702" s="70">
        <f>IF($A2702="","",SUMIFS('Mouvements stock'!$H$5:$H$3004,'Mouvements stock'!$I$5:$I$3004,$A2702,'Mouvements stock'!$C$5:$C$3004,"Sortie")-SUMIFS('Mouvements stock'!$H$5:$H$3004,'Mouvements stock'!$I$5:$I$3004,$A2702,'Mouvements stock'!$C$5:$C$3004,"Retour"))</f>
        <v/>
      </c>
      <c r="X2702" s="66" t="n"/>
      <c r="Y2702" s="66" t="n"/>
      <c r="Z2702" s="7" t="n"/>
      <c r="AA2702" s="70">
        <f>IF($A2702="","",N(V2702)+N(W2702)+N(X2702)+N(Y2702))</f>
        <v/>
      </c>
      <c r="AB2702" s="70">
        <f>IF($A2702="","",N(S2702)*'Paramètres'!$AA$9*IFERROR(INDEX('Paramètres'!$O$5:$O$7,MATCH(G2702,'Paramètres'!$N$5:$N$7,0)),0))</f>
        <v/>
      </c>
      <c r="AC2702" s="7" t="n"/>
      <c r="AD2702" s="69">
        <f>IF(OR($A2702="",Q2702=""),"",(Q2702-B2702)*24)</f>
        <v/>
      </c>
      <c r="AE2702" s="69">
        <f>IF(OR(Q2702="",R2702=""),"",(R2702-Q2702)*24)</f>
        <v/>
      </c>
      <c r="AF2702" s="77">
        <f>IF(OR($A2702="",B2702=""),"",YEAR(B2702))</f>
        <v/>
      </c>
      <c r="AG2702" s="77">
        <f>IF(OR($A2702="",B2702=""),"",MONTH(B2702))</f>
        <v/>
      </c>
    </row>
    <row r="2703">
      <c r="A2703" s="7" t="n"/>
      <c r="B2703" s="75" t="n"/>
      <c r="C2703" s="7" t="n"/>
      <c r="D2703" s="7" t="n"/>
      <c r="E2703" s="9">
        <f>IF(D2703="","",IFERROR(INDEX('Équipements'!$B$5:$B$304,MATCH(D2703,'Équipements'!$A$5:$A$304,0)),"Code inconnu"))</f>
        <v/>
      </c>
      <c r="F2703" s="9">
        <f>IF(D2703="","",IFERROR(INDEX('Équipements'!$D$5:$D$304,MATCH(D2703,'Équipements'!$A$5:$A$304,0)),""))</f>
        <v/>
      </c>
      <c r="G2703" s="9">
        <f>IF(D2703="","",IFERROR(INDEX('Équipements'!$K$5:$K$304,MATCH(D2703,'Équipements'!$A$5:$A$304,0)),""))</f>
        <v/>
      </c>
      <c r="H2703" s="7" t="n"/>
      <c r="I2703" s="7" t="n"/>
      <c r="J2703" s="7" t="n"/>
      <c r="K2703" s="7" t="n"/>
      <c r="L2703" s="7" t="n"/>
      <c r="M2703" s="7" t="n"/>
      <c r="N2703" s="7" t="n"/>
      <c r="O2703" s="7" t="n"/>
      <c r="P2703" s="65" t="n"/>
      <c r="Q2703" s="75" t="n"/>
      <c r="R2703" s="75" t="n"/>
      <c r="S2703" s="76" t="n"/>
      <c r="T2703" s="76" t="n"/>
      <c r="U2703" s="70">
        <f>IF($A2703="","",IFERROR(INDEX('Techniciens'!$F$5:$F$44,MATCH(O2703,'Techniciens'!$B$5:$B$44,0)),'Paramètres'!$AA$10))</f>
        <v/>
      </c>
      <c r="V2703" s="70">
        <f>IF($A2703="","",IF(OR(AC2703="Demandé",AC2703="Planifié",AC2703="Annulé"),0,N(T2703)*N(U2703)))</f>
        <v/>
      </c>
      <c r="W2703" s="70">
        <f>IF($A2703="","",SUMIFS('Mouvements stock'!$H$5:$H$3004,'Mouvements stock'!$I$5:$I$3004,$A2703,'Mouvements stock'!$C$5:$C$3004,"Sortie")-SUMIFS('Mouvements stock'!$H$5:$H$3004,'Mouvements stock'!$I$5:$I$3004,$A2703,'Mouvements stock'!$C$5:$C$3004,"Retour"))</f>
        <v/>
      </c>
      <c r="X2703" s="66" t="n"/>
      <c r="Y2703" s="66" t="n"/>
      <c r="Z2703" s="7" t="n"/>
      <c r="AA2703" s="70">
        <f>IF($A2703="","",N(V2703)+N(W2703)+N(X2703)+N(Y2703))</f>
        <v/>
      </c>
      <c r="AB2703" s="70">
        <f>IF($A2703="","",N(S2703)*'Paramètres'!$AA$9*IFERROR(INDEX('Paramètres'!$O$5:$O$7,MATCH(G2703,'Paramètres'!$N$5:$N$7,0)),0))</f>
        <v/>
      </c>
      <c r="AC2703" s="7" t="n"/>
      <c r="AD2703" s="69">
        <f>IF(OR($A2703="",Q2703=""),"",(Q2703-B2703)*24)</f>
        <v/>
      </c>
      <c r="AE2703" s="69">
        <f>IF(OR(Q2703="",R2703=""),"",(R2703-Q2703)*24)</f>
        <v/>
      </c>
      <c r="AF2703" s="77">
        <f>IF(OR($A2703="",B2703=""),"",YEAR(B2703))</f>
        <v/>
      </c>
      <c r="AG2703" s="77">
        <f>IF(OR($A2703="",B2703=""),"",MONTH(B2703))</f>
        <v/>
      </c>
    </row>
    <row r="2704">
      <c r="A2704" s="7" t="n"/>
      <c r="B2704" s="75" t="n"/>
      <c r="C2704" s="7" t="n"/>
      <c r="D2704" s="7" t="n"/>
      <c r="E2704" s="9">
        <f>IF(D2704="","",IFERROR(INDEX('Équipements'!$B$5:$B$304,MATCH(D2704,'Équipements'!$A$5:$A$304,0)),"Code inconnu"))</f>
        <v/>
      </c>
      <c r="F2704" s="9">
        <f>IF(D2704="","",IFERROR(INDEX('Équipements'!$D$5:$D$304,MATCH(D2704,'Équipements'!$A$5:$A$304,0)),""))</f>
        <v/>
      </c>
      <c r="G2704" s="9">
        <f>IF(D2704="","",IFERROR(INDEX('Équipements'!$K$5:$K$304,MATCH(D2704,'Équipements'!$A$5:$A$304,0)),""))</f>
        <v/>
      </c>
      <c r="H2704" s="7" t="n"/>
      <c r="I2704" s="7" t="n"/>
      <c r="J2704" s="7" t="n"/>
      <c r="K2704" s="7" t="n"/>
      <c r="L2704" s="7" t="n"/>
      <c r="M2704" s="7" t="n"/>
      <c r="N2704" s="7" t="n"/>
      <c r="O2704" s="7" t="n"/>
      <c r="P2704" s="65" t="n"/>
      <c r="Q2704" s="75" t="n"/>
      <c r="R2704" s="75" t="n"/>
      <c r="S2704" s="76" t="n"/>
      <c r="T2704" s="76" t="n"/>
      <c r="U2704" s="70">
        <f>IF($A2704="","",IFERROR(INDEX('Techniciens'!$F$5:$F$44,MATCH(O2704,'Techniciens'!$B$5:$B$44,0)),'Paramètres'!$AA$10))</f>
        <v/>
      </c>
      <c r="V2704" s="70">
        <f>IF($A2704="","",IF(OR(AC2704="Demandé",AC2704="Planifié",AC2704="Annulé"),0,N(T2704)*N(U2704)))</f>
        <v/>
      </c>
      <c r="W2704" s="70">
        <f>IF($A2704="","",SUMIFS('Mouvements stock'!$H$5:$H$3004,'Mouvements stock'!$I$5:$I$3004,$A2704,'Mouvements stock'!$C$5:$C$3004,"Sortie")-SUMIFS('Mouvements stock'!$H$5:$H$3004,'Mouvements stock'!$I$5:$I$3004,$A2704,'Mouvements stock'!$C$5:$C$3004,"Retour"))</f>
        <v/>
      </c>
      <c r="X2704" s="66" t="n"/>
      <c r="Y2704" s="66" t="n"/>
      <c r="Z2704" s="7" t="n"/>
      <c r="AA2704" s="70">
        <f>IF($A2704="","",N(V2704)+N(W2704)+N(X2704)+N(Y2704))</f>
        <v/>
      </c>
      <c r="AB2704" s="70">
        <f>IF($A2704="","",N(S2704)*'Paramètres'!$AA$9*IFERROR(INDEX('Paramètres'!$O$5:$O$7,MATCH(G2704,'Paramètres'!$N$5:$N$7,0)),0))</f>
        <v/>
      </c>
      <c r="AC2704" s="7" t="n"/>
      <c r="AD2704" s="69">
        <f>IF(OR($A2704="",Q2704=""),"",(Q2704-B2704)*24)</f>
        <v/>
      </c>
      <c r="AE2704" s="69">
        <f>IF(OR(Q2704="",R2704=""),"",(R2704-Q2704)*24)</f>
        <v/>
      </c>
      <c r="AF2704" s="77">
        <f>IF(OR($A2704="",B2704=""),"",YEAR(B2704))</f>
        <v/>
      </c>
      <c r="AG2704" s="77">
        <f>IF(OR($A2704="",B2704=""),"",MONTH(B2704))</f>
        <v/>
      </c>
    </row>
    <row r="2705">
      <c r="A2705" s="7" t="n"/>
      <c r="B2705" s="75" t="n"/>
      <c r="C2705" s="7" t="n"/>
      <c r="D2705" s="7" t="n"/>
      <c r="E2705" s="9">
        <f>IF(D2705="","",IFERROR(INDEX('Équipements'!$B$5:$B$304,MATCH(D2705,'Équipements'!$A$5:$A$304,0)),"Code inconnu"))</f>
        <v/>
      </c>
      <c r="F2705" s="9">
        <f>IF(D2705="","",IFERROR(INDEX('Équipements'!$D$5:$D$304,MATCH(D2705,'Équipements'!$A$5:$A$304,0)),""))</f>
        <v/>
      </c>
      <c r="G2705" s="9">
        <f>IF(D2705="","",IFERROR(INDEX('Équipements'!$K$5:$K$304,MATCH(D2705,'Équipements'!$A$5:$A$304,0)),""))</f>
        <v/>
      </c>
      <c r="H2705" s="7" t="n"/>
      <c r="I2705" s="7" t="n"/>
      <c r="J2705" s="7" t="n"/>
      <c r="K2705" s="7" t="n"/>
      <c r="L2705" s="7" t="n"/>
      <c r="M2705" s="7" t="n"/>
      <c r="N2705" s="7" t="n"/>
      <c r="O2705" s="7" t="n"/>
      <c r="P2705" s="65" t="n"/>
      <c r="Q2705" s="75" t="n"/>
      <c r="R2705" s="75" t="n"/>
      <c r="S2705" s="76" t="n"/>
      <c r="T2705" s="76" t="n"/>
      <c r="U2705" s="70">
        <f>IF($A2705="","",IFERROR(INDEX('Techniciens'!$F$5:$F$44,MATCH(O2705,'Techniciens'!$B$5:$B$44,0)),'Paramètres'!$AA$10))</f>
        <v/>
      </c>
      <c r="V2705" s="70">
        <f>IF($A2705="","",IF(OR(AC2705="Demandé",AC2705="Planifié",AC2705="Annulé"),0,N(T2705)*N(U2705)))</f>
        <v/>
      </c>
      <c r="W2705" s="70">
        <f>IF($A2705="","",SUMIFS('Mouvements stock'!$H$5:$H$3004,'Mouvements stock'!$I$5:$I$3004,$A2705,'Mouvements stock'!$C$5:$C$3004,"Sortie")-SUMIFS('Mouvements stock'!$H$5:$H$3004,'Mouvements stock'!$I$5:$I$3004,$A2705,'Mouvements stock'!$C$5:$C$3004,"Retour"))</f>
        <v/>
      </c>
      <c r="X2705" s="66" t="n"/>
      <c r="Y2705" s="66" t="n"/>
      <c r="Z2705" s="7" t="n"/>
      <c r="AA2705" s="70">
        <f>IF($A2705="","",N(V2705)+N(W2705)+N(X2705)+N(Y2705))</f>
        <v/>
      </c>
      <c r="AB2705" s="70">
        <f>IF($A2705="","",N(S2705)*'Paramètres'!$AA$9*IFERROR(INDEX('Paramètres'!$O$5:$O$7,MATCH(G2705,'Paramètres'!$N$5:$N$7,0)),0))</f>
        <v/>
      </c>
      <c r="AC2705" s="7" t="n"/>
      <c r="AD2705" s="69">
        <f>IF(OR($A2705="",Q2705=""),"",(Q2705-B2705)*24)</f>
        <v/>
      </c>
      <c r="AE2705" s="69">
        <f>IF(OR(Q2705="",R2705=""),"",(R2705-Q2705)*24)</f>
        <v/>
      </c>
      <c r="AF2705" s="77">
        <f>IF(OR($A2705="",B2705=""),"",YEAR(B2705))</f>
        <v/>
      </c>
      <c r="AG2705" s="77">
        <f>IF(OR($A2705="",B2705=""),"",MONTH(B2705))</f>
        <v/>
      </c>
    </row>
    <row r="2706">
      <c r="A2706" s="7" t="n"/>
      <c r="B2706" s="75" t="n"/>
      <c r="C2706" s="7" t="n"/>
      <c r="D2706" s="7" t="n"/>
      <c r="E2706" s="9">
        <f>IF(D2706="","",IFERROR(INDEX('Équipements'!$B$5:$B$304,MATCH(D2706,'Équipements'!$A$5:$A$304,0)),"Code inconnu"))</f>
        <v/>
      </c>
      <c r="F2706" s="9">
        <f>IF(D2706="","",IFERROR(INDEX('Équipements'!$D$5:$D$304,MATCH(D2706,'Équipements'!$A$5:$A$304,0)),""))</f>
        <v/>
      </c>
      <c r="G2706" s="9">
        <f>IF(D2706="","",IFERROR(INDEX('Équipements'!$K$5:$K$304,MATCH(D2706,'Équipements'!$A$5:$A$304,0)),""))</f>
        <v/>
      </c>
      <c r="H2706" s="7" t="n"/>
      <c r="I2706" s="7" t="n"/>
      <c r="J2706" s="7" t="n"/>
      <c r="K2706" s="7" t="n"/>
      <c r="L2706" s="7" t="n"/>
      <c r="M2706" s="7" t="n"/>
      <c r="N2706" s="7" t="n"/>
      <c r="O2706" s="7" t="n"/>
      <c r="P2706" s="65" t="n"/>
      <c r="Q2706" s="75" t="n"/>
      <c r="R2706" s="75" t="n"/>
      <c r="S2706" s="76" t="n"/>
      <c r="T2706" s="76" t="n"/>
      <c r="U2706" s="70">
        <f>IF($A2706="","",IFERROR(INDEX('Techniciens'!$F$5:$F$44,MATCH(O2706,'Techniciens'!$B$5:$B$44,0)),'Paramètres'!$AA$10))</f>
        <v/>
      </c>
      <c r="V2706" s="70">
        <f>IF($A2706="","",IF(OR(AC2706="Demandé",AC2706="Planifié",AC2706="Annulé"),0,N(T2706)*N(U2706)))</f>
        <v/>
      </c>
      <c r="W2706" s="70">
        <f>IF($A2706="","",SUMIFS('Mouvements stock'!$H$5:$H$3004,'Mouvements stock'!$I$5:$I$3004,$A2706,'Mouvements stock'!$C$5:$C$3004,"Sortie")-SUMIFS('Mouvements stock'!$H$5:$H$3004,'Mouvements stock'!$I$5:$I$3004,$A2706,'Mouvements stock'!$C$5:$C$3004,"Retour"))</f>
        <v/>
      </c>
      <c r="X2706" s="66" t="n"/>
      <c r="Y2706" s="66" t="n"/>
      <c r="Z2706" s="7" t="n"/>
      <c r="AA2706" s="70">
        <f>IF($A2706="","",N(V2706)+N(W2706)+N(X2706)+N(Y2706))</f>
        <v/>
      </c>
      <c r="AB2706" s="70">
        <f>IF($A2706="","",N(S2706)*'Paramètres'!$AA$9*IFERROR(INDEX('Paramètres'!$O$5:$O$7,MATCH(G2706,'Paramètres'!$N$5:$N$7,0)),0))</f>
        <v/>
      </c>
      <c r="AC2706" s="7" t="n"/>
      <c r="AD2706" s="69">
        <f>IF(OR($A2706="",Q2706=""),"",(Q2706-B2706)*24)</f>
        <v/>
      </c>
      <c r="AE2706" s="69">
        <f>IF(OR(Q2706="",R2706=""),"",(R2706-Q2706)*24)</f>
        <v/>
      </c>
      <c r="AF2706" s="77">
        <f>IF(OR($A2706="",B2706=""),"",YEAR(B2706))</f>
        <v/>
      </c>
      <c r="AG2706" s="77">
        <f>IF(OR($A2706="",B2706=""),"",MONTH(B2706))</f>
        <v/>
      </c>
    </row>
    <row r="2707">
      <c r="A2707" s="7" t="n"/>
      <c r="B2707" s="75" t="n"/>
      <c r="C2707" s="7" t="n"/>
      <c r="D2707" s="7" t="n"/>
      <c r="E2707" s="9">
        <f>IF(D2707="","",IFERROR(INDEX('Équipements'!$B$5:$B$304,MATCH(D2707,'Équipements'!$A$5:$A$304,0)),"Code inconnu"))</f>
        <v/>
      </c>
      <c r="F2707" s="9">
        <f>IF(D2707="","",IFERROR(INDEX('Équipements'!$D$5:$D$304,MATCH(D2707,'Équipements'!$A$5:$A$304,0)),""))</f>
        <v/>
      </c>
      <c r="G2707" s="9">
        <f>IF(D2707="","",IFERROR(INDEX('Équipements'!$K$5:$K$304,MATCH(D2707,'Équipements'!$A$5:$A$304,0)),""))</f>
        <v/>
      </c>
      <c r="H2707" s="7" t="n"/>
      <c r="I2707" s="7" t="n"/>
      <c r="J2707" s="7" t="n"/>
      <c r="K2707" s="7" t="n"/>
      <c r="L2707" s="7" t="n"/>
      <c r="M2707" s="7" t="n"/>
      <c r="N2707" s="7" t="n"/>
      <c r="O2707" s="7" t="n"/>
      <c r="P2707" s="65" t="n"/>
      <c r="Q2707" s="75" t="n"/>
      <c r="R2707" s="75" t="n"/>
      <c r="S2707" s="76" t="n"/>
      <c r="T2707" s="76" t="n"/>
      <c r="U2707" s="70">
        <f>IF($A2707="","",IFERROR(INDEX('Techniciens'!$F$5:$F$44,MATCH(O2707,'Techniciens'!$B$5:$B$44,0)),'Paramètres'!$AA$10))</f>
        <v/>
      </c>
      <c r="V2707" s="70">
        <f>IF($A2707="","",IF(OR(AC2707="Demandé",AC2707="Planifié",AC2707="Annulé"),0,N(T2707)*N(U2707)))</f>
        <v/>
      </c>
      <c r="W2707" s="70">
        <f>IF($A2707="","",SUMIFS('Mouvements stock'!$H$5:$H$3004,'Mouvements stock'!$I$5:$I$3004,$A2707,'Mouvements stock'!$C$5:$C$3004,"Sortie")-SUMIFS('Mouvements stock'!$H$5:$H$3004,'Mouvements stock'!$I$5:$I$3004,$A2707,'Mouvements stock'!$C$5:$C$3004,"Retour"))</f>
        <v/>
      </c>
      <c r="X2707" s="66" t="n"/>
      <c r="Y2707" s="66" t="n"/>
      <c r="Z2707" s="7" t="n"/>
      <c r="AA2707" s="70">
        <f>IF($A2707="","",N(V2707)+N(W2707)+N(X2707)+N(Y2707))</f>
        <v/>
      </c>
      <c r="AB2707" s="70">
        <f>IF($A2707="","",N(S2707)*'Paramètres'!$AA$9*IFERROR(INDEX('Paramètres'!$O$5:$O$7,MATCH(G2707,'Paramètres'!$N$5:$N$7,0)),0))</f>
        <v/>
      </c>
      <c r="AC2707" s="7" t="n"/>
      <c r="AD2707" s="69">
        <f>IF(OR($A2707="",Q2707=""),"",(Q2707-B2707)*24)</f>
        <v/>
      </c>
      <c r="AE2707" s="69">
        <f>IF(OR(Q2707="",R2707=""),"",(R2707-Q2707)*24)</f>
        <v/>
      </c>
      <c r="AF2707" s="77">
        <f>IF(OR($A2707="",B2707=""),"",YEAR(B2707))</f>
        <v/>
      </c>
      <c r="AG2707" s="77">
        <f>IF(OR($A2707="",B2707=""),"",MONTH(B2707))</f>
        <v/>
      </c>
    </row>
    <row r="2708">
      <c r="A2708" s="7" t="n"/>
      <c r="B2708" s="75" t="n"/>
      <c r="C2708" s="7" t="n"/>
      <c r="D2708" s="7" t="n"/>
      <c r="E2708" s="9">
        <f>IF(D2708="","",IFERROR(INDEX('Équipements'!$B$5:$B$304,MATCH(D2708,'Équipements'!$A$5:$A$304,0)),"Code inconnu"))</f>
        <v/>
      </c>
      <c r="F2708" s="9">
        <f>IF(D2708="","",IFERROR(INDEX('Équipements'!$D$5:$D$304,MATCH(D2708,'Équipements'!$A$5:$A$304,0)),""))</f>
        <v/>
      </c>
      <c r="G2708" s="9">
        <f>IF(D2708="","",IFERROR(INDEX('Équipements'!$K$5:$K$304,MATCH(D2708,'Équipements'!$A$5:$A$304,0)),""))</f>
        <v/>
      </c>
      <c r="H2708" s="7" t="n"/>
      <c r="I2708" s="7" t="n"/>
      <c r="J2708" s="7" t="n"/>
      <c r="K2708" s="7" t="n"/>
      <c r="L2708" s="7" t="n"/>
      <c r="M2708" s="7" t="n"/>
      <c r="N2708" s="7" t="n"/>
      <c r="O2708" s="7" t="n"/>
      <c r="P2708" s="65" t="n"/>
      <c r="Q2708" s="75" t="n"/>
      <c r="R2708" s="75" t="n"/>
      <c r="S2708" s="76" t="n"/>
      <c r="T2708" s="76" t="n"/>
      <c r="U2708" s="70">
        <f>IF($A2708="","",IFERROR(INDEX('Techniciens'!$F$5:$F$44,MATCH(O2708,'Techniciens'!$B$5:$B$44,0)),'Paramètres'!$AA$10))</f>
        <v/>
      </c>
      <c r="V2708" s="70">
        <f>IF($A2708="","",IF(OR(AC2708="Demandé",AC2708="Planifié",AC2708="Annulé"),0,N(T2708)*N(U2708)))</f>
        <v/>
      </c>
      <c r="W2708" s="70">
        <f>IF($A2708="","",SUMIFS('Mouvements stock'!$H$5:$H$3004,'Mouvements stock'!$I$5:$I$3004,$A2708,'Mouvements stock'!$C$5:$C$3004,"Sortie")-SUMIFS('Mouvements stock'!$H$5:$H$3004,'Mouvements stock'!$I$5:$I$3004,$A2708,'Mouvements stock'!$C$5:$C$3004,"Retour"))</f>
        <v/>
      </c>
      <c r="X2708" s="66" t="n"/>
      <c r="Y2708" s="66" t="n"/>
      <c r="Z2708" s="7" t="n"/>
      <c r="AA2708" s="70">
        <f>IF($A2708="","",N(V2708)+N(W2708)+N(X2708)+N(Y2708))</f>
        <v/>
      </c>
      <c r="AB2708" s="70">
        <f>IF($A2708="","",N(S2708)*'Paramètres'!$AA$9*IFERROR(INDEX('Paramètres'!$O$5:$O$7,MATCH(G2708,'Paramètres'!$N$5:$N$7,0)),0))</f>
        <v/>
      </c>
      <c r="AC2708" s="7" t="n"/>
      <c r="AD2708" s="69">
        <f>IF(OR($A2708="",Q2708=""),"",(Q2708-B2708)*24)</f>
        <v/>
      </c>
      <c r="AE2708" s="69">
        <f>IF(OR(Q2708="",R2708=""),"",(R2708-Q2708)*24)</f>
        <v/>
      </c>
      <c r="AF2708" s="77">
        <f>IF(OR($A2708="",B2708=""),"",YEAR(B2708))</f>
        <v/>
      </c>
      <c r="AG2708" s="77">
        <f>IF(OR($A2708="",B2708=""),"",MONTH(B2708))</f>
        <v/>
      </c>
    </row>
    <row r="2709">
      <c r="A2709" s="7" t="n"/>
      <c r="B2709" s="75" t="n"/>
      <c r="C2709" s="7" t="n"/>
      <c r="D2709" s="7" t="n"/>
      <c r="E2709" s="9">
        <f>IF(D2709="","",IFERROR(INDEX('Équipements'!$B$5:$B$304,MATCH(D2709,'Équipements'!$A$5:$A$304,0)),"Code inconnu"))</f>
        <v/>
      </c>
      <c r="F2709" s="9">
        <f>IF(D2709="","",IFERROR(INDEX('Équipements'!$D$5:$D$304,MATCH(D2709,'Équipements'!$A$5:$A$304,0)),""))</f>
        <v/>
      </c>
      <c r="G2709" s="9">
        <f>IF(D2709="","",IFERROR(INDEX('Équipements'!$K$5:$K$304,MATCH(D2709,'Équipements'!$A$5:$A$304,0)),""))</f>
        <v/>
      </c>
      <c r="H2709" s="7" t="n"/>
      <c r="I2709" s="7" t="n"/>
      <c r="J2709" s="7" t="n"/>
      <c r="K2709" s="7" t="n"/>
      <c r="L2709" s="7" t="n"/>
      <c r="M2709" s="7" t="n"/>
      <c r="N2709" s="7" t="n"/>
      <c r="O2709" s="7" t="n"/>
      <c r="P2709" s="65" t="n"/>
      <c r="Q2709" s="75" t="n"/>
      <c r="R2709" s="75" t="n"/>
      <c r="S2709" s="76" t="n"/>
      <c r="T2709" s="76" t="n"/>
      <c r="U2709" s="70">
        <f>IF($A2709="","",IFERROR(INDEX('Techniciens'!$F$5:$F$44,MATCH(O2709,'Techniciens'!$B$5:$B$44,0)),'Paramètres'!$AA$10))</f>
        <v/>
      </c>
      <c r="V2709" s="70">
        <f>IF($A2709="","",IF(OR(AC2709="Demandé",AC2709="Planifié",AC2709="Annulé"),0,N(T2709)*N(U2709)))</f>
        <v/>
      </c>
      <c r="W2709" s="70">
        <f>IF($A2709="","",SUMIFS('Mouvements stock'!$H$5:$H$3004,'Mouvements stock'!$I$5:$I$3004,$A2709,'Mouvements stock'!$C$5:$C$3004,"Sortie")-SUMIFS('Mouvements stock'!$H$5:$H$3004,'Mouvements stock'!$I$5:$I$3004,$A2709,'Mouvements stock'!$C$5:$C$3004,"Retour"))</f>
        <v/>
      </c>
      <c r="X2709" s="66" t="n"/>
      <c r="Y2709" s="66" t="n"/>
      <c r="Z2709" s="7" t="n"/>
      <c r="AA2709" s="70">
        <f>IF($A2709="","",N(V2709)+N(W2709)+N(X2709)+N(Y2709))</f>
        <v/>
      </c>
      <c r="AB2709" s="70">
        <f>IF($A2709="","",N(S2709)*'Paramètres'!$AA$9*IFERROR(INDEX('Paramètres'!$O$5:$O$7,MATCH(G2709,'Paramètres'!$N$5:$N$7,0)),0))</f>
        <v/>
      </c>
      <c r="AC2709" s="7" t="n"/>
      <c r="AD2709" s="69">
        <f>IF(OR($A2709="",Q2709=""),"",(Q2709-B2709)*24)</f>
        <v/>
      </c>
      <c r="AE2709" s="69">
        <f>IF(OR(Q2709="",R2709=""),"",(R2709-Q2709)*24)</f>
        <v/>
      </c>
      <c r="AF2709" s="77">
        <f>IF(OR($A2709="",B2709=""),"",YEAR(B2709))</f>
        <v/>
      </c>
      <c r="AG2709" s="77">
        <f>IF(OR($A2709="",B2709=""),"",MONTH(B2709))</f>
        <v/>
      </c>
    </row>
    <row r="2710">
      <c r="A2710" s="7" t="n"/>
      <c r="B2710" s="75" t="n"/>
      <c r="C2710" s="7" t="n"/>
      <c r="D2710" s="7" t="n"/>
      <c r="E2710" s="9">
        <f>IF(D2710="","",IFERROR(INDEX('Équipements'!$B$5:$B$304,MATCH(D2710,'Équipements'!$A$5:$A$304,0)),"Code inconnu"))</f>
        <v/>
      </c>
      <c r="F2710" s="9">
        <f>IF(D2710="","",IFERROR(INDEX('Équipements'!$D$5:$D$304,MATCH(D2710,'Équipements'!$A$5:$A$304,0)),""))</f>
        <v/>
      </c>
      <c r="G2710" s="9">
        <f>IF(D2710="","",IFERROR(INDEX('Équipements'!$K$5:$K$304,MATCH(D2710,'Équipements'!$A$5:$A$304,0)),""))</f>
        <v/>
      </c>
      <c r="H2710" s="7" t="n"/>
      <c r="I2710" s="7" t="n"/>
      <c r="J2710" s="7" t="n"/>
      <c r="K2710" s="7" t="n"/>
      <c r="L2710" s="7" t="n"/>
      <c r="M2710" s="7" t="n"/>
      <c r="N2710" s="7" t="n"/>
      <c r="O2710" s="7" t="n"/>
      <c r="P2710" s="65" t="n"/>
      <c r="Q2710" s="75" t="n"/>
      <c r="R2710" s="75" t="n"/>
      <c r="S2710" s="76" t="n"/>
      <c r="T2710" s="76" t="n"/>
      <c r="U2710" s="70">
        <f>IF($A2710="","",IFERROR(INDEX('Techniciens'!$F$5:$F$44,MATCH(O2710,'Techniciens'!$B$5:$B$44,0)),'Paramètres'!$AA$10))</f>
        <v/>
      </c>
      <c r="V2710" s="70">
        <f>IF($A2710="","",IF(OR(AC2710="Demandé",AC2710="Planifié",AC2710="Annulé"),0,N(T2710)*N(U2710)))</f>
        <v/>
      </c>
      <c r="W2710" s="70">
        <f>IF($A2710="","",SUMIFS('Mouvements stock'!$H$5:$H$3004,'Mouvements stock'!$I$5:$I$3004,$A2710,'Mouvements stock'!$C$5:$C$3004,"Sortie")-SUMIFS('Mouvements stock'!$H$5:$H$3004,'Mouvements stock'!$I$5:$I$3004,$A2710,'Mouvements stock'!$C$5:$C$3004,"Retour"))</f>
        <v/>
      </c>
      <c r="X2710" s="66" t="n"/>
      <c r="Y2710" s="66" t="n"/>
      <c r="Z2710" s="7" t="n"/>
      <c r="AA2710" s="70">
        <f>IF($A2710="","",N(V2710)+N(W2710)+N(X2710)+N(Y2710))</f>
        <v/>
      </c>
      <c r="AB2710" s="70">
        <f>IF($A2710="","",N(S2710)*'Paramètres'!$AA$9*IFERROR(INDEX('Paramètres'!$O$5:$O$7,MATCH(G2710,'Paramètres'!$N$5:$N$7,0)),0))</f>
        <v/>
      </c>
      <c r="AC2710" s="7" t="n"/>
      <c r="AD2710" s="69">
        <f>IF(OR($A2710="",Q2710=""),"",(Q2710-B2710)*24)</f>
        <v/>
      </c>
      <c r="AE2710" s="69">
        <f>IF(OR(Q2710="",R2710=""),"",(R2710-Q2710)*24)</f>
        <v/>
      </c>
      <c r="AF2710" s="77">
        <f>IF(OR($A2710="",B2710=""),"",YEAR(B2710))</f>
        <v/>
      </c>
      <c r="AG2710" s="77">
        <f>IF(OR($A2710="",B2710=""),"",MONTH(B2710))</f>
        <v/>
      </c>
    </row>
    <row r="2711">
      <c r="A2711" s="7" t="n"/>
      <c r="B2711" s="75" t="n"/>
      <c r="C2711" s="7" t="n"/>
      <c r="D2711" s="7" t="n"/>
      <c r="E2711" s="9">
        <f>IF(D2711="","",IFERROR(INDEX('Équipements'!$B$5:$B$304,MATCH(D2711,'Équipements'!$A$5:$A$304,0)),"Code inconnu"))</f>
        <v/>
      </c>
      <c r="F2711" s="9">
        <f>IF(D2711="","",IFERROR(INDEX('Équipements'!$D$5:$D$304,MATCH(D2711,'Équipements'!$A$5:$A$304,0)),""))</f>
        <v/>
      </c>
      <c r="G2711" s="9">
        <f>IF(D2711="","",IFERROR(INDEX('Équipements'!$K$5:$K$304,MATCH(D2711,'Équipements'!$A$5:$A$304,0)),""))</f>
        <v/>
      </c>
      <c r="H2711" s="7" t="n"/>
      <c r="I2711" s="7" t="n"/>
      <c r="J2711" s="7" t="n"/>
      <c r="K2711" s="7" t="n"/>
      <c r="L2711" s="7" t="n"/>
      <c r="M2711" s="7" t="n"/>
      <c r="N2711" s="7" t="n"/>
      <c r="O2711" s="7" t="n"/>
      <c r="P2711" s="65" t="n"/>
      <c r="Q2711" s="75" t="n"/>
      <c r="R2711" s="75" t="n"/>
      <c r="S2711" s="76" t="n"/>
      <c r="T2711" s="76" t="n"/>
      <c r="U2711" s="70">
        <f>IF($A2711="","",IFERROR(INDEX('Techniciens'!$F$5:$F$44,MATCH(O2711,'Techniciens'!$B$5:$B$44,0)),'Paramètres'!$AA$10))</f>
        <v/>
      </c>
      <c r="V2711" s="70">
        <f>IF($A2711="","",IF(OR(AC2711="Demandé",AC2711="Planifié",AC2711="Annulé"),0,N(T2711)*N(U2711)))</f>
        <v/>
      </c>
      <c r="W2711" s="70">
        <f>IF($A2711="","",SUMIFS('Mouvements stock'!$H$5:$H$3004,'Mouvements stock'!$I$5:$I$3004,$A2711,'Mouvements stock'!$C$5:$C$3004,"Sortie")-SUMIFS('Mouvements stock'!$H$5:$H$3004,'Mouvements stock'!$I$5:$I$3004,$A2711,'Mouvements stock'!$C$5:$C$3004,"Retour"))</f>
        <v/>
      </c>
      <c r="X2711" s="66" t="n"/>
      <c r="Y2711" s="66" t="n"/>
      <c r="Z2711" s="7" t="n"/>
      <c r="AA2711" s="70">
        <f>IF($A2711="","",N(V2711)+N(W2711)+N(X2711)+N(Y2711))</f>
        <v/>
      </c>
      <c r="AB2711" s="70">
        <f>IF($A2711="","",N(S2711)*'Paramètres'!$AA$9*IFERROR(INDEX('Paramètres'!$O$5:$O$7,MATCH(G2711,'Paramètres'!$N$5:$N$7,0)),0))</f>
        <v/>
      </c>
      <c r="AC2711" s="7" t="n"/>
      <c r="AD2711" s="69">
        <f>IF(OR($A2711="",Q2711=""),"",(Q2711-B2711)*24)</f>
        <v/>
      </c>
      <c r="AE2711" s="69">
        <f>IF(OR(Q2711="",R2711=""),"",(R2711-Q2711)*24)</f>
        <v/>
      </c>
      <c r="AF2711" s="77">
        <f>IF(OR($A2711="",B2711=""),"",YEAR(B2711))</f>
        <v/>
      </c>
      <c r="AG2711" s="77">
        <f>IF(OR($A2711="",B2711=""),"",MONTH(B2711))</f>
        <v/>
      </c>
    </row>
    <row r="2712">
      <c r="A2712" s="7" t="n"/>
      <c r="B2712" s="75" t="n"/>
      <c r="C2712" s="7" t="n"/>
      <c r="D2712" s="7" t="n"/>
      <c r="E2712" s="9">
        <f>IF(D2712="","",IFERROR(INDEX('Équipements'!$B$5:$B$304,MATCH(D2712,'Équipements'!$A$5:$A$304,0)),"Code inconnu"))</f>
        <v/>
      </c>
      <c r="F2712" s="9">
        <f>IF(D2712="","",IFERROR(INDEX('Équipements'!$D$5:$D$304,MATCH(D2712,'Équipements'!$A$5:$A$304,0)),""))</f>
        <v/>
      </c>
      <c r="G2712" s="9">
        <f>IF(D2712="","",IFERROR(INDEX('Équipements'!$K$5:$K$304,MATCH(D2712,'Équipements'!$A$5:$A$304,0)),""))</f>
        <v/>
      </c>
      <c r="H2712" s="7" t="n"/>
      <c r="I2712" s="7" t="n"/>
      <c r="J2712" s="7" t="n"/>
      <c r="K2712" s="7" t="n"/>
      <c r="L2712" s="7" t="n"/>
      <c r="M2712" s="7" t="n"/>
      <c r="N2712" s="7" t="n"/>
      <c r="O2712" s="7" t="n"/>
      <c r="P2712" s="65" t="n"/>
      <c r="Q2712" s="75" t="n"/>
      <c r="R2712" s="75" t="n"/>
      <c r="S2712" s="76" t="n"/>
      <c r="T2712" s="76" t="n"/>
      <c r="U2712" s="70">
        <f>IF($A2712="","",IFERROR(INDEX('Techniciens'!$F$5:$F$44,MATCH(O2712,'Techniciens'!$B$5:$B$44,0)),'Paramètres'!$AA$10))</f>
        <v/>
      </c>
      <c r="V2712" s="70">
        <f>IF($A2712="","",IF(OR(AC2712="Demandé",AC2712="Planifié",AC2712="Annulé"),0,N(T2712)*N(U2712)))</f>
        <v/>
      </c>
      <c r="W2712" s="70">
        <f>IF($A2712="","",SUMIFS('Mouvements stock'!$H$5:$H$3004,'Mouvements stock'!$I$5:$I$3004,$A2712,'Mouvements stock'!$C$5:$C$3004,"Sortie")-SUMIFS('Mouvements stock'!$H$5:$H$3004,'Mouvements stock'!$I$5:$I$3004,$A2712,'Mouvements stock'!$C$5:$C$3004,"Retour"))</f>
        <v/>
      </c>
      <c r="X2712" s="66" t="n"/>
      <c r="Y2712" s="66" t="n"/>
      <c r="Z2712" s="7" t="n"/>
      <c r="AA2712" s="70">
        <f>IF($A2712="","",N(V2712)+N(W2712)+N(X2712)+N(Y2712))</f>
        <v/>
      </c>
      <c r="AB2712" s="70">
        <f>IF($A2712="","",N(S2712)*'Paramètres'!$AA$9*IFERROR(INDEX('Paramètres'!$O$5:$O$7,MATCH(G2712,'Paramètres'!$N$5:$N$7,0)),0))</f>
        <v/>
      </c>
      <c r="AC2712" s="7" t="n"/>
      <c r="AD2712" s="69">
        <f>IF(OR($A2712="",Q2712=""),"",(Q2712-B2712)*24)</f>
        <v/>
      </c>
      <c r="AE2712" s="69">
        <f>IF(OR(Q2712="",R2712=""),"",(R2712-Q2712)*24)</f>
        <v/>
      </c>
      <c r="AF2712" s="77">
        <f>IF(OR($A2712="",B2712=""),"",YEAR(B2712))</f>
        <v/>
      </c>
      <c r="AG2712" s="77">
        <f>IF(OR($A2712="",B2712=""),"",MONTH(B2712))</f>
        <v/>
      </c>
    </row>
    <row r="2713">
      <c r="A2713" s="7" t="n"/>
      <c r="B2713" s="75" t="n"/>
      <c r="C2713" s="7" t="n"/>
      <c r="D2713" s="7" t="n"/>
      <c r="E2713" s="9">
        <f>IF(D2713="","",IFERROR(INDEX('Équipements'!$B$5:$B$304,MATCH(D2713,'Équipements'!$A$5:$A$304,0)),"Code inconnu"))</f>
        <v/>
      </c>
      <c r="F2713" s="9">
        <f>IF(D2713="","",IFERROR(INDEX('Équipements'!$D$5:$D$304,MATCH(D2713,'Équipements'!$A$5:$A$304,0)),""))</f>
        <v/>
      </c>
      <c r="G2713" s="9">
        <f>IF(D2713="","",IFERROR(INDEX('Équipements'!$K$5:$K$304,MATCH(D2713,'Équipements'!$A$5:$A$304,0)),""))</f>
        <v/>
      </c>
      <c r="H2713" s="7" t="n"/>
      <c r="I2713" s="7" t="n"/>
      <c r="J2713" s="7" t="n"/>
      <c r="K2713" s="7" t="n"/>
      <c r="L2713" s="7" t="n"/>
      <c r="M2713" s="7" t="n"/>
      <c r="N2713" s="7" t="n"/>
      <c r="O2713" s="7" t="n"/>
      <c r="P2713" s="65" t="n"/>
      <c r="Q2713" s="75" t="n"/>
      <c r="R2713" s="75" t="n"/>
      <c r="S2713" s="76" t="n"/>
      <c r="T2713" s="76" t="n"/>
      <c r="U2713" s="70">
        <f>IF($A2713="","",IFERROR(INDEX('Techniciens'!$F$5:$F$44,MATCH(O2713,'Techniciens'!$B$5:$B$44,0)),'Paramètres'!$AA$10))</f>
        <v/>
      </c>
      <c r="V2713" s="70">
        <f>IF($A2713="","",IF(OR(AC2713="Demandé",AC2713="Planifié",AC2713="Annulé"),0,N(T2713)*N(U2713)))</f>
        <v/>
      </c>
      <c r="W2713" s="70">
        <f>IF($A2713="","",SUMIFS('Mouvements stock'!$H$5:$H$3004,'Mouvements stock'!$I$5:$I$3004,$A2713,'Mouvements stock'!$C$5:$C$3004,"Sortie")-SUMIFS('Mouvements stock'!$H$5:$H$3004,'Mouvements stock'!$I$5:$I$3004,$A2713,'Mouvements stock'!$C$5:$C$3004,"Retour"))</f>
        <v/>
      </c>
      <c r="X2713" s="66" t="n"/>
      <c r="Y2713" s="66" t="n"/>
      <c r="Z2713" s="7" t="n"/>
      <c r="AA2713" s="70">
        <f>IF($A2713="","",N(V2713)+N(W2713)+N(X2713)+N(Y2713))</f>
        <v/>
      </c>
      <c r="AB2713" s="70">
        <f>IF($A2713="","",N(S2713)*'Paramètres'!$AA$9*IFERROR(INDEX('Paramètres'!$O$5:$O$7,MATCH(G2713,'Paramètres'!$N$5:$N$7,0)),0))</f>
        <v/>
      </c>
      <c r="AC2713" s="7" t="n"/>
      <c r="AD2713" s="69">
        <f>IF(OR($A2713="",Q2713=""),"",(Q2713-B2713)*24)</f>
        <v/>
      </c>
      <c r="AE2713" s="69">
        <f>IF(OR(Q2713="",R2713=""),"",(R2713-Q2713)*24)</f>
        <v/>
      </c>
      <c r="AF2713" s="77">
        <f>IF(OR($A2713="",B2713=""),"",YEAR(B2713))</f>
        <v/>
      </c>
      <c r="AG2713" s="77">
        <f>IF(OR($A2713="",B2713=""),"",MONTH(B2713))</f>
        <v/>
      </c>
    </row>
    <row r="2714">
      <c r="A2714" s="7" t="n"/>
      <c r="B2714" s="75" t="n"/>
      <c r="C2714" s="7" t="n"/>
      <c r="D2714" s="7" t="n"/>
      <c r="E2714" s="9">
        <f>IF(D2714="","",IFERROR(INDEX('Équipements'!$B$5:$B$304,MATCH(D2714,'Équipements'!$A$5:$A$304,0)),"Code inconnu"))</f>
        <v/>
      </c>
      <c r="F2714" s="9">
        <f>IF(D2714="","",IFERROR(INDEX('Équipements'!$D$5:$D$304,MATCH(D2714,'Équipements'!$A$5:$A$304,0)),""))</f>
        <v/>
      </c>
      <c r="G2714" s="9">
        <f>IF(D2714="","",IFERROR(INDEX('Équipements'!$K$5:$K$304,MATCH(D2714,'Équipements'!$A$5:$A$304,0)),""))</f>
        <v/>
      </c>
      <c r="H2714" s="7" t="n"/>
      <c r="I2714" s="7" t="n"/>
      <c r="J2714" s="7" t="n"/>
      <c r="K2714" s="7" t="n"/>
      <c r="L2714" s="7" t="n"/>
      <c r="M2714" s="7" t="n"/>
      <c r="N2714" s="7" t="n"/>
      <c r="O2714" s="7" t="n"/>
      <c r="P2714" s="65" t="n"/>
      <c r="Q2714" s="75" t="n"/>
      <c r="R2714" s="75" t="n"/>
      <c r="S2714" s="76" t="n"/>
      <c r="T2714" s="76" t="n"/>
      <c r="U2714" s="70">
        <f>IF($A2714="","",IFERROR(INDEX('Techniciens'!$F$5:$F$44,MATCH(O2714,'Techniciens'!$B$5:$B$44,0)),'Paramètres'!$AA$10))</f>
        <v/>
      </c>
      <c r="V2714" s="70">
        <f>IF($A2714="","",IF(OR(AC2714="Demandé",AC2714="Planifié",AC2714="Annulé"),0,N(T2714)*N(U2714)))</f>
        <v/>
      </c>
      <c r="W2714" s="70">
        <f>IF($A2714="","",SUMIFS('Mouvements stock'!$H$5:$H$3004,'Mouvements stock'!$I$5:$I$3004,$A2714,'Mouvements stock'!$C$5:$C$3004,"Sortie")-SUMIFS('Mouvements stock'!$H$5:$H$3004,'Mouvements stock'!$I$5:$I$3004,$A2714,'Mouvements stock'!$C$5:$C$3004,"Retour"))</f>
        <v/>
      </c>
      <c r="X2714" s="66" t="n"/>
      <c r="Y2714" s="66" t="n"/>
      <c r="Z2714" s="7" t="n"/>
      <c r="AA2714" s="70">
        <f>IF($A2714="","",N(V2714)+N(W2714)+N(X2714)+N(Y2714))</f>
        <v/>
      </c>
      <c r="AB2714" s="70">
        <f>IF($A2714="","",N(S2714)*'Paramètres'!$AA$9*IFERROR(INDEX('Paramètres'!$O$5:$O$7,MATCH(G2714,'Paramètres'!$N$5:$N$7,0)),0))</f>
        <v/>
      </c>
      <c r="AC2714" s="7" t="n"/>
      <c r="AD2714" s="69">
        <f>IF(OR($A2714="",Q2714=""),"",(Q2714-B2714)*24)</f>
        <v/>
      </c>
      <c r="AE2714" s="69">
        <f>IF(OR(Q2714="",R2714=""),"",(R2714-Q2714)*24)</f>
        <v/>
      </c>
      <c r="AF2714" s="77">
        <f>IF(OR($A2714="",B2714=""),"",YEAR(B2714))</f>
        <v/>
      </c>
      <c r="AG2714" s="77">
        <f>IF(OR($A2714="",B2714=""),"",MONTH(B2714))</f>
        <v/>
      </c>
    </row>
    <row r="2715">
      <c r="A2715" s="7" t="n"/>
      <c r="B2715" s="75" t="n"/>
      <c r="C2715" s="7" t="n"/>
      <c r="D2715" s="7" t="n"/>
      <c r="E2715" s="9">
        <f>IF(D2715="","",IFERROR(INDEX('Équipements'!$B$5:$B$304,MATCH(D2715,'Équipements'!$A$5:$A$304,0)),"Code inconnu"))</f>
        <v/>
      </c>
      <c r="F2715" s="9">
        <f>IF(D2715="","",IFERROR(INDEX('Équipements'!$D$5:$D$304,MATCH(D2715,'Équipements'!$A$5:$A$304,0)),""))</f>
        <v/>
      </c>
      <c r="G2715" s="9">
        <f>IF(D2715="","",IFERROR(INDEX('Équipements'!$K$5:$K$304,MATCH(D2715,'Équipements'!$A$5:$A$304,0)),""))</f>
        <v/>
      </c>
      <c r="H2715" s="7" t="n"/>
      <c r="I2715" s="7" t="n"/>
      <c r="J2715" s="7" t="n"/>
      <c r="K2715" s="7" t="n"/>
      <c r="L2715" s="7" t="n"/>
      <c r="M2715" s="7" t="n"/>
      <c r="N2715" s="7" t="n"/>
      <c r="O2715" s="7" t="n"/>
      <c r="P2715" s="65" t="n"/>
      <c r="Q2715" s="75" t="n"/>
      <c r="R2715" s="75" t="n"/>
      <c r="S2715" s="76" t="n"/>
      <c r="T2715" s="76" t="n"/>
      <c r="U2715" s="70">
        <f>IF($A2715="","",IFERROR(INDEX('Techniciens'!$F$5:$F$44,MATCH(O2715,'Techniciens'!$B$5:$B$44,0)),'Paramètres'!$AA$10))</f>
        <v/>
      </c>
      <c r="V2715" s="70">
        <f>IF($A2715="","",IF(OR(AC2715="Demandé",AC2715="Planifié",AC2715="Annulé"),0,N(T2715)*N(U2715)))</f>
        <v/>
      </c>
      <c r="W2715" s="70">
        <f>IF($A2715="","",SUMIFS('Mouvements stock'!$H$5:$H$3004,'Mouvements stock'!$I$5:$I$3004,$A2715,'Mouvements stock'!$C$5:$C$3004,"Sortie")-SUMIFS('Mouvements stock'!$H$5:$H$3004,'Mouvements stock'!$I$5:$I$3004,$A2715,'Mouvements stock'!$C$5:$C$3004,"Retour"))</f>
        <v/>
      </c>
      <c r="X2715" s="66" t="n"/>
      <c r="Y2715" s="66" t="n"/>
      <c r="Z2715" s="7" t="n"/>
      <c r="AA2715" s="70">
        <f>IF($A2715="","",N(V2715)+N(W2715)+N(X2715)+N(Y2715))</f>
        <v/>
      </c>
      <c r="AB2715" s="70">
        <f>IF($A2715="","",N(S2715)*'Paramètres'!$AA$9*IFERROR(INDEX('Paramètres'!$O$5:$O$7,MATCH(G2715,'Paramètres'!$N$5:$N$7,0)),0))</f>
        <v/>
      </c>
      <c r="AC2715" s="7" t="n"/>
      <c r="AD2715" s="69">
        <f>IF(OR($A2715="",Q2715=""),"",(Q2715-B2715)*24)</f>
        <v/>
      </c>
      <c r="AE2715" s="69">
        <f>IF(OR(Q2715="",R2715=""),"",(R2715-Q2715)*24)</f>
        <v/>
      </c>
      <c r="AF2715" s="77">
        <f>IF(OR($A2715="",B2715=""),"",YEAR(B2715))</f>
        <v/>
      </c>
      <c r="AG2715" s="77">
        <f>IF(OR($A2715="",B2715=""),"",MONTH(B2715))</f>
        <v/>
      </c>
    </row>
    <row r="2716">
      <c r="A2716" s="7" t="n"/>
      <c r="B2716" s="75" t="n"/>
      <c r="C2716" s="7" t="n"/>
      <c r="D2716" s="7" t="n"/>
      <c r="E2716" s="9">
        <f>IF(D2716="","",IFERROR(INDEX('Équipements'!$B$5:$B$304,MATCH(D2716,'Équipements'!$A$5:$A$304,0)),"Code inconnu"))</f>
        <v/>
      </c>
      <c r="F2716" s="9">
        <f>IF(D2716="","",IFERROR(INDEX('Équipements'!$D$5:$D$304,MATCH(D2716,'Équipements'!$A$5:$A$304,0)),""))</f>
        <v/>
      </c>
      <c r="G2716" s="9">
        <f>IF(D2716="","",IFERROR(INDEX('Équipements'!$K$5:$K$304,MATCH(D2716,'Équipements'!$A$5:$A$304,0)),""))</f>
        <v/>
      </c>
      <c r="H2716" s="7" t="n"/>
      <c r="I2716" s="7" t="n"/>
      <c r="J2716" s="7" t="n"/>
      <c r="K2716" s="7" t="n"/>
      <c r="L2716" s="7" t="n"/>
      <c r="M2716" s="7" t="n"/>
      <c r="N2716" s="7" t="n"/>
      <c r="O2716" s="7" t="n"/>
      <c r="P2716" s="65" t="n"/>
      <c r="Q2716" s="75" t="n"/>
      <c r="R2716" s="75" t="n"/>
      <c r="S2716" s="76" t="n"/>
      <c r="T2716" s="76" t="n"/>
      <c r="U2716" s="70">
        <f>IF($A2716="","",IFERROR(INDEX('Techniciens'!$F$5:$F$44,MATCH(O2716,'Techniciens'!$B$5:$B$44,0)),'Paramètres'!$AA$10))</f>
        <v/>
      </c>
      <c r="V2716" s="70">
        <f>IF($A2716="","",IF(OR(AC2716="Demandé",AC2716="Planifié",AC2716="Annulé"),0,N(T2716)*N(U2716)))</f>
        <v/>
      </c>
      <c r="W2716" s="70">
        <f>IF($A2716="","",SUMIFS('Mouvements stock'!$H$5:$H$3004,'Mouvements stock'!$I$5:$I$3004,$A2716,'Mouvements stock'!$C$5:$C$3004,"Sortie")-SUMIFS('Mouvements stock'!$H$5:$H$3004,'Mouvements stock'!$I$5:$I$3004,$A2716,'Mouvements stock'!$C$5:$C$3004,"Retour"))</f>
        <v/>
      </c>
      <c r="X2716" s="66" t="n"/>
      <c r="Y2716" s="66" t="n"/>
      <c r="Z2716" s="7" t="n"/>
      <c r="AA2716" s="70">
        <f>IF($A2716="","",N(V2716)+N(W2716)+N(X2716)+N(Y2716))</f>
        <v/>
      </c>
      <c r="AB2716" s="70">
        <f>IF($A2716="","",N(S2716)*'Paramètres'!$AA$9*IFERROR(INDEX('Paramètres'!$O$5:$O$7,MATCH(G2716,'Paramètres'!$N$5:$N$7,0)),0))</f>
        <v/>
      </c>
      <c r="AC2716" s="7" t="n"/>
      <c r="AD2716" s="69">
        <f>IF(OR($A2716="",Q2716=""),"",(Q2716-B2716)*24)</f>
        <v/>
      </c>
      <c r="AE2716" s="69">
        <f>IF(OR(Q2716="",R2716=""),"",(R2716-Q2716)*24)</f>
        <v/>
      </c>
      <c r="AF2716" s="77">
        <f>IF(OR($A2716="",B2716=""),"",YEAR(B2716))</f>
        <v/>
      </c>
      <c r="AG2716" s="77">
        <f>IF(OR($A2716="",B2716=""),"",MONTH(B2716))</f>
        <v/>
      </c>
    </row>
    <row r="2717">
      <c r="A2717" s="7" t="n"/>
      <c r="B2717" s="75" t="n"/>
      <c r="C2717" s="7" t="n"/>
      <c r="D2717" s="7" t="n"/>
      <c r="E2717" s="9">
        <f>IF(D2717="","",IFERROR(INDEX('Équipements'!$B$5:$B$304,MATCH(D2717,'Équipements'!$A$5:$A$304,0)),"Code inconnu"))</f>
        <v/>
      </c>
      <c r="F2717" s="9">
        <f>IF(D2717="","",IFERROR(INDEX('Équipements'!$D$5:$D$304,MATCH(D2717,'Équipements'!$A$5:$A$304,0)),""))</f>
        <v/>
      </c>
      <c r="G2717" s="9">
        <f>IF(D2717="","",IFERROR(INDEX('Équipements'!$K$5:$K$304,MATCH(D2717,'Équipements'!$A$5:$A$304,0)),""))</f>
        <v/>
      </c>
      <c r="H2717" s="7" t="n"/>
      <c r="I2717" s="7" t="n"/>
      <c r="J2717" s="7" t="n"/>
      <c r="K2717" s="7" t="n"/>
      <c r="L2717" s="7" t="n"/>
      <c r="M2717" s="7" t="n"/>
      <c r="N2717" s="7" t="n"/>
      <c r="O2717" s="7" t="n"/>
      <c r="P2717" s="65" t="n"/>
      <c r="Q2717" s="75" t="n"/>
      <c r="R2717" s="75" t="n"/>
      <c r="S2717" s="76" t="n"/>
      <c r="T2717" s="76" t="n"/>
      <c r="U2717" s="70">
        <f>IF($A2717="","",IFERROR(INDEX('Techniciens'!$F$5:$F$44,MATCH(O2717,'Techniciens'!$B$5:$B$44,0)),'Paramètres'!$AA$10))</f>
        <v/>
      </c>
      <c r="V2717" s="70">
        <f>IF($A2717="","",IF(OR(AC2717="Demandé",AC2717="Planifié",AC2717="Annulé"),0,N(T2717)*N(U2717)))</f>
        <v/>
      </c>
      <c r="W2717" s="70">
        <f>IF($A2717="","",SUMIFS('Mouvements stock'!$H$5:$H$3004,'Mouvements stock'!$I$5:$I$3004,$A2717,'Mouvements stock'!$C$5:$C$3004,"Sortie")-SUMIFS('Mouvements stock'!$H$5:$H$3004,'Mouvements stock'!$I$5:$I$3004,$A2717,'Mouvements stock'!$C$5:$C$3004,"Retour"))</f>
        <v/>
      </c>
      <c r="X2717" s="66" t="n"/>
      <c r="Y2717" s="66" t="n"/>
      <c r="Z2717" s="7" t="n"/>
      <c r="AA2717" s="70">
        <f>IF($A2717="","",N(V2717)+N(W2717)+N(X2717)+N(Y2717))</f>
        <v/>
      </c>
      <c r="AB2717" s="70">
        <f>IF($A2717="","",N(S2717)*'Paramètres'!$AA$9*IFERROR(INDEX('Paramètres'!$O$5:$O$7,MATCH(G2717,'Paramètres'!$N$5:$N$7,0)),0))</f>
        <v/>
      </c>
      <c r="AC2717" s="7" t="n"/>
      <c r="AD2717" s="69">
        <f>IF(OR($A2717="",Q2717=""),"",(Q2717-B2717)*24)</f>
        <v/>
      </c>
      <c r="AE2717" s="69">
        <f>IF(OR(Q2717="",R2717=""),"",(R2717-Q2717)*24)</f>
        <v/>
      </c>
      <c r="AF2717" s="77">
        <f>IF(OR($A2717="",B2717=""),"",YEAR(B2717))</f>
        <v/>
      </c>
      <c r="AG2717" s="77">
        <f>IF(OR($A2717="",B2717=""),"",MONTH(B2717))</f>
        <v/>
      </c>
    </row>
    <row r="2718">
      <c r="A2718" s="7" t="n"/>
      <c r="B2718" s="75" t="n"/>
      <c r="C2718" s="7" t="n"/>
      <c r="D2718" s="7" t="n"/>
      <c r="E2718" s="9">
        <f>IF(D2718="","",IFERROR(INDEX('Équipements'!$B$5:$B$304,MATCH(D2718,'Équipements'!$A$5:$A$304,0)),"Code inconnu"))</f>
        <v/>
      </c>
      <c r="F2718" s="9">
        <f>IF(D2718="","",IFERROR(INDEX('Équipements'!$D$5:$D$304,MATCH(D2718,'Équipements'!$A$5:$A$304,0)),""))</f>
        <v/>
      </c>
      <c r="G2718" s="9">
        <f>IF(D2718="","",IFERROR(INDEX('Équipements'!$K$5:$K$304,MATCH(D2718,'Équipements'!$A$5:$A$304,0)),""))</f>
        <v/>
      </c>
      <c r="H2718" s="7" t="n"/>
      <c r="I2718" s="7" t="n"/>
      <c r="J2718" s="7" t="n"/>
      <c r="K2718" s="7" t="n"/>
      <c r="L2718" s="7" t="n"/>
      <c r="M2718" s="7" t="n"/>
      <c r="N2718" s="7" t="n"/>
      <c r="O2718" s="7" t="n"/>
      <c r="P2718" s="65" t="n"/>
      <c r="Q2718" s="75" t="n"/>
      <c r="R2718" s="75" t="n"/>
      <c r="S2718" s="76" t="n"/>
      <c r="T2718" s="76" t="n"/>
      <c r="U2718" s="70">
        <f>IF($A2718="","",IFERROR(INDEX('Techniciens'!$F$5:$F$44,MATCH(O2718,'Techniciens'!$B$5:$B$44,0)),'Paramètres'!$AA$10))</f>
        <v/>
      </c>
      <c r="V2718" s="70">
        <f>IF($A2718="","",IF(OR(AC2718="Demandé",AC2718="Planifié",AC2718="Annulé"),0,N(T2718)*N(U2718)))</f>
        <v/>
      </c>
      <c r="W2718" s="70">
        <f>IF($A2718="","",SUMIFS('Mouvements stock'!$H$5:$H$3004,'Mouvements stock'!$I$5:$I$3004,$A2718,'Mouvements stock'!$C$5:$C$3004,"Sortie")-SUMIFS('Mouvements stock'!$H$5:$H$3004,'Mouvements stock'!$I$5:$I$3004,$A2718,'Mouvements stock'!$C$5:$C$3004,"Retour"))</f>
        <v/>
      </c>
      <c r="X2718" s="66" t="n"/>
      <c r="Y2718" s="66" t="n"/>
      <c r="Z2718" s="7" t="n"/>
      <c r="AA2718" s="70">
        <f>IF($A2718="","",N(V2718)+N(W2718)+N(X2718)+N(Y2718))</f>
        <v/>
      </c>
      <c r="AB2718" s="70">
        <f>IF($A2718="","",N(S2718)*'Paramètres'!$AA$9*IFERROR(INDEX('Paramètres'!$O$5:$O$7,MATCH(G2718,'Paramètres'!$N$5:$N$7,0)),0))</f>
        <v/>
      </c>
      <c r="AC2718" s="7" t="n"/>
      <c r="AD2718" s="69">
        <f>IF(OR($A2718="",Q2718=""),"",(Q2718-B2718)*24)</f>
        <v/>
      </c>
      <c r="AE2718" s="69">
        <f>IF(OR(Q2718="",R2718=""),"",(R2718-Q2718)*24)</f>
        <v/>
      </c>
      <c r="AF2718" s="77">
        <f>IF(OR($A2718="",B2718=""),"",YEAR(B2718))</f>
        <v/>
      </c>
      <c r="AG2718" s="77">
        <f>IF(OR($A2718="",B2718=""),"",MONTH(B2718))</f>
        <v/>
      </c>
    </row>
    <row r="2719">
      <c r="A2719" s="7" t="n"/>
      <c r="B2719" s="75" t="n"/>
      <c r="C2719" s="7" t="n"/>
      <c r="D2719" s="7" t="n"/>
      <c r="E2719" s="9">
        <f>IF(D2719="","",IFERROR(INDEX('Équipements'!$B$5:$B$304,MATCH(D2719,'Équipements'!$A$5:$A$304,0)),"Code inconnu"))</f>
        <v/>
      </c>
      <c r="F2719" s="9">
        <f>IF(D2719="","",IFERROR(INDEX('Équipements'!$D$5:$D$304,MATCH(D2719,'Équipements'!$A$5:$A$304,0)),""))</f>
        <v/>
      </c>
      <c r="G2719" s="9">
        <f>IF(D2719="","",IFERROR(INDEX('Équipements'!$K$5:$K$304,MATCH(D2719,'Équipements'!$A$5:$A$304,0)),""))</f>
        <v/>
      </c>
      <c r="H2719" s="7" t="n"/>
      <c r="I2719" s="7" t="n"/>
      <c r="J2719" s="7" t="n"/>
      <c r="K2719" s="7" t="n"/>
      <c r="L2719" s="7" t="n"/>
      <c r="M2719" s="7" t="n"/>
      <c r="N2719" s="7" t="n"/>
      <c r="O2719" s="7" t="n"/>
      <c r="P2719" s="65" t="n"/>
      <c r="Q2719" s="75" t="n"/>
      <c r="R2719" s="75" t="n"/>
      <c r="S2719" s="76" t="n"/>
      <c r="T2719" s="76" t="n"/>
      <c r="U2719" s="70">
        <f>IF($A2719="","",IFERROR(INDEX('Techniciens'!$F$5:$F$44,MATCH(O2719,'Techniciens'!$B$5:$B$44,0)),'Paramètres'!$AA$10))</f>
        <v/>
      </c>
      <c r="V2719" s="70">
        <f>IF($A2719="","",IF(OR(AC2719="Demandé",AC2719="Planifié",AC2719="Annulé"),0,N(T2719)*N(U2719)))</f>
        <v/>
      </c>
      <c r="W2719" s="70">
        <f>IF($A2719="","",SUMIFS('Mouvements stock'!$H$5:$H$3004,'Mouvements stock'!$I$5:$I$3004,$A2719,'Mouvements stock'!$C$5:$C$3004,"Sortie")-SUMIFS('Mouvements stock'!$H$5:$H$3004,'Mouvements stock'!$I$5:$I$3004,$A2719,'Mouvements stock'!$C$5:$C$3004,"Retour"))</f>
        <v/>
      </c>
      <c r="X2719" s="66" t="n"/>
      <c r="Y2719" s="66" t="n"/>
      <c r="Z2719" s="7" t="n"/>
      <c r="AA2719" s="70">
        <f>IF($A2719="","",N(V2719)+N(W2719)+N(X2719)+N(Y2719))</f>
        <v/>
      </c>
      <c r="AB2719" s="70">
        <f>IF($A2719="","",N(S2719)*'Paramètres'!$AA$9*IFERROR(INDEX('Paramètres'!$O$5:$O$7,MATCH(G2719,'Paramètres'!$N$5:$N$7,0)),0))</f>
        <v/>
      </c>
      <c r="AC2719" s="7" t="n"/>
      <c r="AD2719" s="69">
        <f>IF(OR($A2719="",Q2719=""),"",(Q2719-B2719)*24)</f>
        <v/>
      </c>
      <c r="AE2719" s="69">
        <f>IF(OR(Q2719="",R2719=""),"",(R2719-Q2719)*24)</f>
        <v/>
      </c>
      <c r="AF2719" s="77">
        <f>IF(OR($A2719="",B2719=""),"",YEAR(B2719))</f>
        <v/>
      </c>
      <c r="AG2719" s="77">
        <f>IF(OR($A2719="",B2719=""),"",MONTH(B2719))</f>
        <v/>
      </c>
    </row>
    <row r="2720">
      <c r="A2720" s="7" t="n"/>
      <c r="B2720" s="75" t="n"/>
      <c r="C2720" s="7" t="n"/>
      <c r="D2720" s="7" t="n"/>
      <c r="E2720" s="9">
        <f>IF(D2720="","",IFERROR(INDEX('Équipements'!$B$5:$B$304,MATCH(D2720,'Équipements'!$A$5:$A$304,0)),"Code inconnu"))</f>
        <v/>
      </c>
      <c r="F2720" s="9">
        <f>IF(D2720="","",IFERROR(INDEX('Équipements'!$D$5:$D$304,MATCH(D2720,'Équipements'!$A$5:$A$304,0)),""))</f>
        <v/>
      </c>
      <c r="G2720" s="9">
        <f>IF(D2720="","",IFERROR(INDEX('Équipements'!$K$5:$K$304,MATCH(D2720,'Équipements'!$A$5:$A$304,0)),""))</f>
        <v/>
      </c>
      <c r="H2720" s="7" t="n"/>
      <c r="I2720" s="7" t="n"/>
      <c r="J2720" s="7" t="n"/>
      <c r="K2720" s="7" t="n"/>
      <c r="L2720" s="7" t="n"/>
      <c r="M2720" s="7" t="n"/>
      <c r="N2720" s="7" t="n"/>
      <c r="O2720" s="7" t="n"/>
      <c r="P2720" s="65" t="n"/>
      <c r="Q2720" s="75" t="n"/>
      <c r="R2720" s="75" t="n"/>
      <c r="S2720" s="76" t="n"/>
      <c r="T2720" s="76" t="n"/>
      <c r="U2720" s="70">
        <f>IF($A2720="","",IFERROR(INDEX('Techniciens'!$F$5:$F$44,MATCH(O2720,'Techniciens'!$B$5:$B$44,0)),'Paramètres'!$AA$10))</f>
        <v/>
      </c>
      <c r="V2720" s="70">
        <f>IF($A2720="","",IF(OR(AC2720="Demandé",AC2720="Planifié",AC2720="Annulé"),0,N(T2720)*N(U2720)))</f>
        <v/>
      </c>
      <c r="W2720" s="70">
        <f>IF($A2720="","",SUMIFS('Mouvements stock'!$H$5:$H$3004,'Mouvements stock'!$I$5:$I$3004,$A2720,'Mouvements stock'!$C$5:$C$3004,"Sortie")-SUMIFS('Mouvements stock'!$H$5:$H$3004,'Mouvements stock'!$I$5:$I$3004,$A2720,'Mouvements stock'!$C$5:$C$3004,"Retour"))</f>
        <v/>
      </c>
      <c r="X2720" s="66" t="n"/>
      <c r="Y2720" s="66" t="n"/>
      <c r="Z2720" s="7" t="n"/>
      <c r="AA2720" s="70">
        <f>IF($A2720="","",N(V2720)+N(W2720)+N(X2720)+N(Y2720))</f>
        <v/>
      </c>
      <c r="AB2720" s="70">
        <f>IF($A2720="","",N(S2720)*'Paramètres'!$AA$9*IFERROR(INDEX('Paramètres'!$O$5:$O$7,MATCH(G2720,'Paramètres'!$N$5:$N$7,0)),0))</f>
        <v/>
      </c>
      <c r="AC2720" s="7" t="n"/>
      <c r="AD2720" s="69">
        <f>IF(OR($A2720="",Q2720=""),"",(Q2720-B2720)*24)</f>
        <v/>
      </c>
      <c r="AE2720" s="69">
        <f>IF(OR(Q2720="",R2720=""),"",(R2720-Q2720)*24)</f>
        <v/>
      </c>
      <c r="AF2720" s="77">
        <f>IF(OR($A2720="",B2720=""),"",YEAR(B2720))</f>
        <v/>
      </c>
      <c r="AG2720" s="77">
        <f>IF(OR($A2720="",B2720=""),"",MONTH(B2720))</f>
        <v/>
      </c>
    </row>
    <row r="2721">
      <c r="A2721" s="7" t="n"/>
      <c r="B2721" s="75" t="n"/>
      <c r="C2721" s="7" t="n"/>
      <c r="D2721" s="7" t="n"/>
      <c r="E2721" s="9">
        <f>IF(D2721="","",IFERROR(INDEX('Équipements'!$B$5:$B$304,MATCH(D2721,'Équipements'!$A$5:$A$304,0)),"Code inconnu"))</f>
        <v/>
      </c>
      <c r="F2721" s="9">
        <f>IF(D2721="","",IFERROR(INDEX('Équipements'!$D$5:$D$304,MATCH(D2721,'Équipements'!$A$5:$A$304,0)),""))</f>
        <v/>
      </c>
      <c r="G2721" s="9">
        <f>IF(D2721="","",IFERROR(INDEX('Équipements'!$K$5:$K$304,MATCH(D2721,'Équipements'!$A$5:$A$304,0)),""))</f>
        <v/>
      </c>
      <c r="H2721" s="7" t="n"/>
      <c r="I2721" s="7" t="n"/>
      <c r="J2721" s="7" t="n"/>
      <c r="K2721" s="7" t="n"/>
      <c r="L2721" s="7" t="n"/>
      <c r="M2721" s="7" t="n"/>
      <c r="N2721" s="7" t="n"/>
      <c r="O2721" s="7" t="n"/>
      <c r="P2721" s="65" t="n"/>
      <c r="Q2721" s="75" t="n"/>
      <c r="R2721" s="75" t="n"/>
      <c r="S2721" s="76" t="n"/>
      <c r="T2721" s="76" t="n"/>
      <c r="U2721" s="70">
        <f>IF($A2721="","",IFERROR(INDEX('Techniciens'!$F$5:$F$44,MATCH(O2721,'Techniciens'!$B$5:$B$44,0)),'Paramètres'!$AA$10))</f>
        <v/>
      </c>
      <c r="V2721" s="70">
        <f>IF($A2721="","",IF(OR(AC2721="Demandé",AC2721="Planifié",AC2721="Annulé"),0,N(T2721)*N(U2721)))</f>
        <v/>
      </c>
      <c r="W2721" s="70">
        <f>IF($A2721="","",SUMIFS('Mouvements stock'!$H$5:$H$3004,'Mouvements stock'!$I$5:$I$3004,$A2721,'Mouvements stock'!$C$5:$C$3004,"Sortie")-SUMIFS('Mouvements stock'!$H$5:$H$3004,'Mouvements stock'!$I$5:$I$3004,$A2721,'Mouvements stock'!$C$5:$C$3004,"Retour"))</f>
        <v/>
      </c>
      <c r="X2721" s="66" t="n"/>
      <c r="Y2721" s="66" t="n"/>
      <c r="Z2721" s="7" t="n"/>
      <c r="AA2721" s="70">
        <f>IF($A2721="","",N(V2721)+N(W2721)+N(X2721)+N(Y2721))</f>
        <v/>
      </c>
      <c r="AB2721" s="70">
        <f>IF($A2721="","",N(S2721)*'Paramètres'!$AA$9*IFERROR(INDEX('Paramètres'!$O$5:$O$7,MATCH(G2721,'Paramètres'!$N$5:$N$7,0)),0))</f>
        <v/>
      </c>
      <c r="AC2721" s="7" t="n"/>
      <c r="AD2721" s="69">
        <f>IF(OR($A2721="",Q2721=""),"",(Q2721-B2721)*24)</f>
        <v/>
      </c>
      <c r="AE2721" s="69">
        <f>IF(OR(Q2721="",R2721=""),"",(R2721-Q2721)*24)</f>
        <v/>
      </c>
      <c r="AF2721" s="77">
        <f>IF(OR($A2721="",B2721=""),"",YEAR(B2721))</f>
        <v/>
      </c>
      <c r="AG2721" s="77">
        <f>IF(OR($A2721="",B2721=""),"",MONTH(B2721))</f>
        <v/>
      </c>
    </row>
    <row r="2722">
      <c r="A2722" s="7" t="n"/>
      <c r="B2722" s="75" t="n"/>
      <c r="C2722" s="7" t="n"/>
      <c r="D2722" s="7" t="n"/>
      <c r="E2722" s="9">
        <f>IF(D2722="","",IFERROR(INDEX('Équipements'!$B$5:$B$304,MATCH(D2722,'Équipements'!$A$5:$A$304,0)),"Code inconnu"))</f>
        <v/>
      </c>
      <c r="F2722" s="9">
        <f>IF(D2722="","",IFERROR(INDEX('Équipements'!$D$5:$D$304,MATCH(D2722,'Équipements'!$A$5:$A$304,0)),""))</f>
        <v/>
      </c>
      <c r="G2722" s="9">
        <f>IF(D2722="","",IFERROR(INDEX('Équipements'!$K$5:$K$304,MATCH(D2722,'Équipements'!$A$5:$A$304,0)),""))</f>
        <v/>
      </c>
      <c r="H2722" s="7" t="n"/>
      <c r="I2722" s="7" t="n"/>
      <c r="J2722" s="7" t="n"/>
      <c r="K2722" s="7" t="n"/>
      <c r="L2722" s="7" t="n"/>
      <c r="M2722" s="7" t="n"/>
      <c r="N2722" s="7" t="n"/>
      <c r="O2722" s="7" t="n"/>
      <c r="P2722" s="65" t="n"/>
      <c r="Q2722" s="75" t="n"/>
      <c r="R2722" s="75" t="n"/>
      <c r="S2722" s="76" t="n"/>
      <c r="T2722" s="76" t="n"/>
      <c r="U2722" s="70">
        <f>IF($A2722="","",IFERROR(INDEX('Techniciens'!$F$5:$F$44,MATCH(O2722,'Techniciens'!$B$5:$B$44,0)),'Paramètres'!$AA$10))</f>
        <v/>
      </c>
      <c r="V2722" s="70">
        <f>IF($A2722="","",IF(OR(AC2722="Demandé",AC2722="Planifié",AC2722="Annulé"),0,N(T2722)*N(U2722)))</f>
        <v/>
      </c>
      <c r="W2722" s="70">
        <f>IF($A2722="","",SUMIFS('Mouvements stock'!$H$5:$H$3004,'Mouvements stock'!$I$5:$I$3004,$A2722,'Mouvements stock'!$C$5:$C$3004,"Sortie")-SUMIFS('Mouvements stock'!$H$5:$H$3004,'Mouvements stock'!$I$5:$I$3004,$A2722,'Mouvements stock'!$C$5:$C$3004,"Retour"))</f>
        <v/>
      </c>
      <c r="X2722" s="66" t="n"/>
      <c r="Y2722" s="66" t="n"/>
      <c r="Z2722" s="7" t="n"/>
      <c r="AA2722" s="70">
        <f>IF($A2722="","",N(V2722)+N(W2722)+N(X2722)+N(Y2722))</f>
        <v/>
      </c>
      <c r="AB2722" s="70">
        <f>IF($A2722="","",N(S2722)*'Paramètres'!$AA$9*IFERROR(INDEX('Paramètres'!$O$5:$O$7,MATCH(G2722,'Paramètres'!$N$5:$N$7,0)),0))</f>
        <v/>
      </c>
      <c r="AC2722" s="7" t="n"/>
      <c r="AD2722" s="69">
        <f>IF(OR($A2722="",Q2722=""),"",(Q2722-B2722)*24)</f>
        <v/>
      </c>
      <c r="AE2722" s="69">
        <f>IF(OR(Q2722="",R2722=""),"",(R2722-Q2722)*24)</f>
        <v/>
      </c>
      <c r="AF2722" s="77">
        <f>IF(OR($A2722="",B2722=""),"",YEAR(B2722))</f>
        <v/>
      </c>
      <c r="AG2722" s="77">
        <f>IF(OR($A2722="",B2722=""),"",MONTH(B2722))</f>
        <v/>
      </c>
    </row>
    <row r="2723">
      <c r="A2723" s="7" t="n"/>
      <c r="B2723" s="75" t="n"/>
      <c r="C2723" s="7" t="n"/>
      <c r="D2723" s="7" t="n"/>
      <c r="E2723" s="9">
        <f>IF(D2723="","",IFERROR(INDEX('Équipements'!$B$5:$B$304,MATCH(D2723,'Équipements'!$A$5:$A$304,0)),"Code inconnu"))</f>
        <v/>
      </c>
      <c r="F2723" s="9">
        <f>IF(D2723="","",IFERROR(INDEX('Équipements'!$D$5:$D$304,MATCH(D2723,'Équipements'!$A$5:$A$304,0)),""))</f>
        <v/>
      </c>
      <c r="G2723" s="9">
        <f>IF(D2723="","",IFERROR(INDEX('Équipements'!$K$5:$K$304,MATCH(D2723,'Équipements'!$A$5:$A$304,0)),""))</f>
        <v/>
      </c>
      <c r="H2723" s="7" t="n"/>
      <c r="I2723" s="7" t="n"/>
      <c r="J2723" s="7" t="n"/>
      <c r="K2723" s="7" t="n"/>
      <c r="L2723" s="7" t="n"/>
      <c r="M2723" s="7" t="n"/>
      <c r="N2723" s="7" t="n"/>
      <c r="O2723" s="7" t="n"/>
      <c r="P2723" s="65" t="n"/>
      <c r="Q2723" s="75" t="n"/>
      <c r="R2723" s="75" t="n"/>
      <c r="S2723" s="76" t="n"/>
      <c r="T2723" s="76" t="n"/>
      <c r="U2723" s="70">
        <f>IF($A2723="","",IFERROR(INDEX('Techniciens'!$F$5:$F$44,MATCH(O2723,'Techniciens'!$B$5:$B$44,0)),'Paramètres'!$AA$10))</f>
        <v/>
      </c>
      <c r="V2723" s="70">
        <f>IF($A2723="","",IF(OR(AC2723="Demandé",AC2723="Planifié",AC2723="Annulé"),0,N(T2723)*N(U2723)))</f>
        <v/>
      </c>
      <c r="W2723" s="70">
        <f>IF($A2723="","",SUMIFS('Mouvements stock'!$H$5:$H$3004,'Mouvements stock'!$I$5:$I$3004,$A2723,'Mouvements stock'!$C$5:$C$3004,"Sortie")-SUMIFS('Mouvements stock'!$H$5:$H$3004,'Mouvements stock'!$I$5:$I$3004,$A2723,'Mouvements stock'!$C$5:$C$3004,"Retour"))</f>
        <v/>
      </c>
      <c r="X2723" s="66" t="n"/>
      <c r="Y2723" s="66" t="n"/>
      <c r="Z2723" s="7" t="n"/>
      <c r="AA2723" s="70">
        <f>IF($A2723="","",N(V2723)+N(W2723)+N(X2723)+N(Y2723))</f>
        <v/>
      </c>
      <c r="AB2723" s="70">
        <f>IF($A2723="","",N(S2723)*'Paramètres'!$AA$9*IFERROR(INDEX('Paramètres'!$O$5:$O$7,MATCH(G2723,'Paramètres'!$N$5:$N$7,0)),0))</f>
        <v/>
      </c>
      <c r="AC2723" s="7" t="n"/>
      <c r="AD2723" s="69">
        <f>IF(OR($A2723="",Q2723=""),"",(Q2723-B2723)*24)</f>
        <v/>
      </c>
      <c r="AE2723" s="69">
        <f>IF(OR(Q2723="",R2723=""),"",(R2723-Q2723)*24)</f>
        <v/>
      </c>
      <c r="AF2723" s="77">
        <f>IF(OR($A2723="",B2723=""),"",YEAR(B2723))</f>
        <v/>
      </c>
      <c r="AG2723" s="77">
        <f>IF(OR($A2723="",B2723=""),"",MONTH(B2723))</f>
        <v/>
      </c>
    </row>
    <row r="2724">
      <c r="A2724" s="7" t="n"/>
      <c r="B2724" s="75" t="n"/>
      <c r="C2724" s="7" t="n"/>
      <c r="D2724" s="7" t="n"/>
      <c r="E2724" s="9">
        <f>IF(D2724="","",IFERROR(INDEX('Équipements'!$B$5:$B$304,MATCH(D2724,'Équipements'!$A$5:$A$304,0)),"Code inconnu"))</f>
        <v/>
      </c>
      <c r="F2724" s="9">
        <f>IF(D2724="","",IFERROR(INDEX('Équipements'!$D$5:$D$304,MATCH(D2724,'Équipements'!$A$5:$A$304,0)),""))</f>
        <v/>
      </c>
      <c r="G2724" s="9">
        <f>IF(D2724="","",IFERROR(INDEX('Équipements'!$K$5:$K$304,MATCH(D2724,'Équipements'!$A$5:$A$304,0)),""))</f>
        <v/>
      </c>
      <c r="H2724" s="7" t="n"/>
      <c r="I2724" s="7" t="n"/>
      <c r="J2724" s="7" t="n"/>
      <c r="K2724" s="7" t="n"/>
      <c r="L2724" s="7" t="n"/>
      <c r="M2724" s="7" t="n"/>
      <c r="N2724" s="7" t="n"/>
      <c r="O2724" s="7" t="n"/>
      <c r="P2724" s="65" t="n"/>
      <c r="Q2724" s="75" t="n"/>
      <c r="R2724" s="75" t="n"/>
      <c r="S2724" s="76" t="n"/>
      <c r="T2724" s="76" t="n"/>
      <c r="U2724" s="70">
        <f>IF($A2724="","",IFERROR(INDEX('Techniciens'!$F$5:$F$44,MATCH(O2724,'Techniciens'!$B$5:$B$44,0)),'Paramètres'!$AA$10))</f>
        <v/>
      </c>
      <c r="V2724" s="70">
        <f>IF($A2724="","",IF(OR(AC2724="Demandé",AC2724="Planifié",AC2724="Annulé"),0,N(T2724)*N(U2724)))</f>
        <v/>
      </c>
      <c r="W2724" s="70">
        <f>IF($A2724="","",SUMIFS('Mouvements stock'!$H$5:$H$3004,'Mouvements stock'!$I$5:$I$3004,$A2724,'Mouvements stock'!$C$5:$C$3004,"Sortie")-SUMIFS('Mouvements stock'!$H$5:$H$3004,'Mouvements stock'!$I$5:$I$3004,$A2724,'Mouvements stock'!$C$5:$C$3004,"Retour"))</f>
        <v/>
      </c>
      <c r="X2724" s="66" t="n"/>
      <c r="Y2724" s="66" t="n"/>
      <c r="Z2724" s="7" t="n"/>
      <c r="AA2724" s="70">
        <f>IF($A2724="","",N(V2724)+N(W2724)+N(X2724)+N(Y2724))</f>
        <v/>
      </c>
      <c r="AB2724" s="70">
        <f>IF($A2724="","",N(S2724)*'Paramètres'!$AA$9*IFERROR(INDEX('Paramètres'!$O$5:$O$7,MATCH(G2724,'Paramètres'!$N$5:$N$7,0)),0))</f>
        <v/>
      </c>
      <c r="AC2724" s="7" t="n"/>
      <c r="AD2724" s="69">
        <f>IF(OR($A2724="",Q2724=""),"",(Q2724-B2724)*24)</f>
        <v/>
      </c>
      <c r="AE2724" s="69">
        <f>IF(OR(Q2724="",R2724=""),"",(R2724-Q2724)*24)</f>
        <v/>
      </c>
      <c r="AF2724" s="77">
        <f>IF(OR($A2724="",B2724=""),"",YEAR(B2724))</f>
        <v/>
      </c>
      <c r="AG2724" s="77">
        <f>IF(OR($A2724="",B2724=""),"",MONTH(B2724))</f>
        <v/>
      </c>
    </row>
    <row r="2725">
      <c r="A2725" s="7" t="n"/>
      <c r="B2725" s="75" t="n"/>
      <c r="C2725" s="7" t="n"/>
      <c r="D2725" s="7" t="n"/>
      <c r="E2725" s="9">
        <f>IF(D2725="","",IFERROR(INDEX('Équipements'!$B$5:$B$304,MATCH(D2725,'Équipements'!$A$5:$A$304,0)),"Code inconnu"))</f>
        <v/>
      </c>
      <c r="F2725" s="9">
        <f>IF(D2725="","",IFERROR(INDEX('Équipements'!$D$5:$D$304,MATCH(D2725,'Équipements'!$A$5:$A$304,0)),""))</f>
        <v/>
      </c>
      <c r="G2725" s="9">
        <f>IF(D2725="","",IFERROR(INDEX('Équipements'!$K$5:$K$304,MATCH(D2725,'Équipements'!$A$5:$A$304,0)),""))</f>
        <v/>
      </c>
      <c r="H2725" s="7" t="n"/>
      <c r="I2725" s="7" t="n"/>
      <c r="J2725" s="7" t="n"/>
      <c r="K2725" s="7" t="n"/>
      <c r="L2725" s="7" t="n"/>
      <c r="M2725" s="7" t="n"/>
      <c r="N2725" s="7" t="n"/>
      <c r="O2725" s="7" t="n"/>
      <c r="P2725" s="65" t="n"/>
      <c r="Q2725" s="75" t="n"/>
      <c r="R2725" s="75" t="n"/>
      <c r="S2725" s="76" t="n"/>
      <c r="T2725" s="76" t="n"/>
      <c r="U2725" s="70">
        <f>IF($A2725="","",IFERROR(INDEX('Techniciens'!$F$5:$F$44,MATCH(O2725,'Techniciens'!$B$5:$B$44,0)),'Paramètres'!$AA$10))</f>
        <v/>
      </c>
      <c r="V2725" s="70">
        <f>IF($A2725="","",IF(OR(AC2725="Demandé",AC2725="Planifié",AC2725="Annulé"),0,N(T2725)*N(U2725)))</f>
        <v/>
      </c>
      <c r="W2725" s="70">
        <f>IF($A2725="","",SUMIFS('Mouvements stock'!$H$5:$H$3004,'Mouvements stock'!$I$5:$I$3004,$A2725,'Mouvements stock'!$C$5:$C$3004,"Sortie")-SUMIFS('Mouvements stock'!$H$5:$H$3004,'Mouvements stock'!$I$5:$I$3004,$A2725,'Mouvements stock'!$C$5:$C$3004,"Retour"))</f>
        <v/>
      </c>
      <c r="X2725" s="66" t="n"/>
      <c r="Y2725" s="66" t="n"/>
      <c r="Z2725" s="7" t="n"/>
      <c r="AA2725" s="70">
        <f>IF($A2725="","",N(V2725)+N(W2725)+N(X2725)+N(Y2725))</f>
        <v/>
      </c>
      <c r="AB2725" s="70">
        <f>IF($A2725="","",N(S2725)*'Paramètres'!$AA$9*IFERROR(INDEX('Paramètres'!$O$5:$O$7,MATCH(G2725,'Paramètres'!$N$5:$N$7,0)),0))</f>
        <v/>
      </c>
      <c r="AC2725" s="7" t="n"/>
      <c r="AD2725" s="69">
        <f>IF(OR($A2725="",Q2725=""),"",(Q2725-B2725)*24)</f>
        <v/>
      </c>
      <c r="AE2725" s="69">
        <f>IF(OR(Q2725="",R2725=""),"",(R2725-Q2725)*24)</f>
        <v/>
      </c>
      <c r="AF2725" s="77">
        <f>IF(OR($A2725="",B2725=""),"",YEAR(B2725))</f>
        <v/>
      </c>
      <c r="AG2725" s="77">
        <f>IF(OR($A2725="",B2725=""),"",MONTH(B2725))</f>
        <v/>
      </c>
    </row>
    <row r="2726">
      <c r="A2726" s="7" t="n"/>
      <c r="B2726" s="75" t="n"/>
      <c r="C2726" s="7" t="n"/>
      <c r="D2726" s="7" t="n"/>
      <c r="E2726" s="9">
        <f>IF(D2726="","",IFERROR(INDEX('Équipements'!$B$5:$B$304,MATCH(D2726,'Équipements'!$A$5:$A$304,0)),"Code inconnu"))</f>
        <v/>
      </c>
      <c r="F2726" s="9">
        <f>IF(D2726="","",IFERROR(INDEX('Équipements'!$D$5:$D$304,MATCH(D2726,'Équipements'!$A$5:$A$304,0)),""))</f>
        <v/>
      </c>
      <c r="G2726" s="9">
        <f>IF(D2726="","",IFERROR(INDEX('Équipements'!$K$5:$K$304,MATCH(D2726,'Équipements'!$A$5:$A$304,0)),""))</f>
        <v/>
      </c>
      <c r="H2726" s="7" t="n"/>
      <c r="I2726" s="7" t="n"/>
      <c r="J2726" s="7" t="n"/>
      <c r="K2726" s="7" t="n"/>
      <c r="L2726" s="7" t="n"/>
      <c r="M2726" s="7" t="n"/>
      <c r="N2726" s="7" t="n"/>
      <c r="O2726" s="7" t="n"/>
      <c r="P2726" s="65" t="n"/>
      <c r="Q2726" s="75" t="n"/>
      <c r="R2726" s="75" t="n"/>
      <c r="S2726" s="76" t="n"/>
      <c r="T2726" s="76" t="n"/>
      <c r="U2726" s="70">
        <f>IF($A2726="","",IFERROR(INDEX('Techniciens'!$F$5:$F$44,MATCH(O2726,'Techniciens'!$B$5:$B$44,0)),'Paramètres'!$AA$10))</f>
        <v/>
      </c>
      <c r="V2726" s="70">
        <f>IF($A2726="","",IF(OR(AC2726="Demandé",AC2726="Planifié",AC2726="Annulé"),0,N(T2726)*N(U2726)))</f>
        <v/>
      </c>
      <c r="W2726" s="70">
        <f>IF($A2726="","",SUMIFS('Mouvements stock'!$H$5:$H$3004,'Mouvements stock'!$I$5:$I$3004,$A2726,'Mouvements stock'!$C$5:$C$3004,"Sortie")-SUMIFS('Mouvements stock'!$H$5:$H$3004,'Mouvements stock'!$I$5:$I$3004,$A2726,'Mouvements stock'!$C$5:$C$3004,"Retour"))</f>
        <v/>
      </c>
      <c r="X2726" s="66" t="n"/>
      <c r="Y2726" s="66" t="n"/>
      <c r="Z2726" s="7" t="n"/>
      <c r="AA2726" s="70">
        <f>IF($A2726="","",N(V2726)+N(W2726)+N(X2726)+N(Y2726))</f>
        <v/>
      </c>
      <c r="AB2726" s="70">
        <f>IF($A2726="","",N(S2726)*'Paramètres'!$AA$9*IFERROR(INDEX('Paramètres'!$O$5:$O$7,MATCH(G2726,'Paramètres'!$N$5:$N$7,0)),0))</f>
        <v/>
      </c>
      <c r="AC2726" s="7" t="n"/>
      <c r="AD2726" s="69">
        <f>IF(OR($A2726="",Q2726=""),"",(Q2726-B2726)*24)</f>
        <v/>
      </c>
      <c r="AE2726" s="69">
        <f>IF(OR(Q2726="",R2726=""),"",(R2726-Q2726)*24)</f>
        <v/>
      </c>
      <c r="AF2726" s="77">
        <f>IF(OR($A2726="",B2726=""),"",YEAR(B2726))</f>
        <v/>
      </c>
      <c r="AG2726" s="77">
        <f>IF(OR($A2726="",B2726=""),"",MONTH(B2726))</f>
        <v/>
      </c>
    </row>
    <row r="2727">
      <c r="A2727" s="7" t="n"/>
      <c r="B2727" s="75" t="n"/>
      <c r="C2727" s="7" t="n"/>
      <c r="D2727" s="7" t="n"/>
      <c r="E2727" s="9">
        <f>IF(D2727="","",IFERROR(INDEX('Équipements'!$B$5:$B$304,MATCH(D2727,'Équipements'!$A$5:$A$304,0)),"Code inconnu"))</f>
        <v/>
      </c>
      <c r="F2727" s="9">
        <f>IF(D2727="","",IFERROR(INDEX('Équipements'!$D$5:$D$304,MATCH(D2727,'Équipements'!$A$5:$A$304,0)),""))</f>
        <v/>
      </c>
      <c r="G2727" s="9">
        <f>IF(D2727="","",IFERROR(INDEX('Équipements'!$K$5:$K$304,MATCH(D2727,'Équipements'!$A$5:$A$304,0)),""))</f>
        <v/>
      </c>
      <c r="H2727" s="7" t="n"/>
      <c r="I2727" s="7" t="n"/>
      <c r="J2727" s="7" t="n"/>
      <c r="K2727" s="7" t="n"/>
      <c r="L2727" s="7" t="n"/>
      <c r="M2727" s="7" t="n"/>
      <c r="N2727" s="7" t="n"/>
      <c r="O2727" s="7" t="n"/>
      <c r="P2727" s="65" t="n"/>
      <c r="Q2727" s="75" t="n"/>
      <c r="R2727" s="75" t="n"/>
      <c r="S2727" s="76" t="n"/>
      <c r="T2727" s="76" t="n"/>
      <c r="U2727" s="70">
        <f>IF($A2727="","",IFERROR(INDEX('Techniciens'!$F$5:$F$44,MATCH(O2727,'Techniciens'!$B$5:$B$44,0)),'Paramètres'!$AA$10))</f>
        <v/>
      </c>
      <c r="V2727" s="70">
        <f>IF($A2727="","",IF(OR(AC2727="Demandé",AC2727="Planifié",AC2727="Annulé"),0,N(T2727)*N(U2727)))</f>
        <v/>
      </c>
      <c r="W2727" s="70">
        <f>IF($A2727="","",SUMIFS('Mouvements stock'!$H$5:$H$3004,'Mouvements stock'!$I$5:$I$3004,$A2727,'Mouvements stock'!$C$5:$C$3004,"Sortie")-SUMIFS('Mouvements stock'!$H$5:$H$3004,'Mouvements stock'!$I$5:$I$3004,$A2727,'Mouvements stock'!$C$5:$C$3004,"Retour"))</f>
        <v/>
      </c>
      <c r="X2727" s="66" t="n"/>
      <c r="Y2727" s="66" t="n"/>
      <c r="Z2727" s="7" t="n"/>
      <c r="AA2727" s="70">
        <f>IF($A2727="","",N(V2727)+N(W2727)+N(X2727)+N(Y2727))</f>
        <v/>
      </c>
      <c r="AB2727" s="70">
        <f>IF($A2727="","",N(S2727)*'Paramètres'!$AA$9*IFERROR(INDEX('Paramètres'!$O$5:$O$7,MATCH(G2727,'Paramètres'!$N$5:$N$7,0)),0))</f>
        <v/>
      </c>
      <c r="AC2727" s="7" t="n"/>
      <c r="AD2727" s="69">
        <f>IF(OR($A2727="",Q2727=""),"",(Q2727-B2727)*24)</f>
        <v/>
      </c>
      <c r="AE2727" s="69">
        <f>IF(OR(Q2727="",R2727=""),"",(R2727-Q2727)*24)</f>
        <v/>
      </c>
      <c r="AF2727" s="77">
        <f>IF(OR($A2727="",B2727=""),"",YEAR(B2727))</f>
        <v/>
      </c>
      <c r="AG2727" s="77">
        <f>IF(OR($A2727="",B2727=""),"",MONTH(B2727))</f>
        <v/>
      </c>
    </row>
    <row r="2728">
      <c r="A2728" s="7" t="n"/>
      <c r="B2728" s="75" t="n"/>
      <c r="C2728" s="7" t="n"/>
      <c r="D2728" s="7" t="n"/>
      <c r="E2728" s="9">
        <f>IF(D2728="","",IFERROR(INDEX('Équipements'!$B$5:$B$304,MATCH(D2728,'Équipements'!$A$5:$A$304,0)),"Code inconnu"))</f>
        <v/>
      </c>
      <c r="F2728" s="9">
        <f>IF(D2728="","",IFERROR(INDEX('Équipements'!$D$5:$D$304,MATCH(D2728,'Équipements'!$A$5:$A$304,0)),""))</f>
        <v/>
      </c>
      <c r="G2728" s="9">
        <f>IF(D2728="","",IFERROR(INDEX('Équipements'!$K$5:$K$304,MATCH(D2728,'Équipements'!$A$5:$A$304,0)),""))</f>
        <v/>
      </c>
      <c r="H2728" s="7" t="n"/>
      <c r="I2728" s="7" t="n"/>
      <c r="J2728" s="7" t="n"/>
      <c r="K2728" s="7" t="n"/>
      <c r="L2728" s="7" t="n"/>
      <c r="M2728" s="7" t="n"/>
      <c r="N2728" s="7" t="n"/>
      <c r="O2728" s="7" t="n"/>
      <c r="P2728" s="65" t="n"/>
      <c r="Q2728" s="75" t="n"/>
      <c r="R2728" s="75" t="n"/>
      <c r="S2728" s="76" t="n"/>
      <c r="T2728" s="76" t="n"/>
      <c r="U2728" s="70">
        <f>IF($A2728="","",IFERROR(INDEX('Techniciens'!$F$5:$F$44,MATCH(O2728,'Techniciens'!$B$5:$B$44,0)),'Paramètres'!$AA$10))</f>
        <v/>
      </c>
      <c r="V2728" s="70">
        <f>IF($A2728="","",IF(OR(AC2728="Demandé",AC2728="Planifié",AC2728="Annulé"),0,N(T2728)*N(U2728)))</f>
        <v/>
      </c>
      <c r="W2728" s="70">
        <f>IF($A2728="","",SUMIFS('Mouvements stock'!$H$5:$H$3004,'Mouvements stock'!$I$5:$I$3004,$A2728,'Mouvements stock'!$C$5:$C$3004,"Sortie")-SUMIFS('Mouvements stock'!$H$5:$H$3004,'Mouvements stock'!$I$5:$I$3004,$A2728,'Mouvements stock'!$C$5:$C$3004,"Retour"))</f>
        <v/>
      </c>
      <c r="X2728" s="66" t="n"/>
      <c r="Y2728" s="66" t="n"/>
      <c r="Z2728" s="7" t="n"/>
      <c r="AA2728" s="70">
        <f>IF($A2728="","",N(V2728)+N(W2728)+N(X2728)+N(Y2728))</f>
        <v/>
      </c>
      <c r="AB2728" s="70">
        <f>IF($A2728="","",N(S2728)*'Paramètres'!$AA$9*IFERROR(INDEX('Paramètres'!$O$5:$O$7,MATCH(G2728,'Paramètres'!$N$5:$N$7,0)),0))</f>
        <v/>
      </c>
      <c r="AC2728" s="7" t="n"/>
      <c r="AD2728" s="69">
        <f>IF(OR($A2728="",Q2728=""),"",(Q2728-B2728)*24)</f>
        <v/>
      </c>
      <c r="AE2728" s="69">
        <f>IF(OR(Q2728="",R2728=""),"",(R2728-Q2728)*24)</f>
        <v/>
      </c>
      <c r="AF2728" s="77">
        <f>IF(OR($A2728="",B2728=""),"",YEAR(B2728))</f>
        <v/>
      </c>
      <c r="AG2728" s="77">
        <f>IF(OR($A2728="",B2728=""),"",MONTH(B2728))</f>
        <v/>
      </c>
    </row>
    <row r="2729">
      <c r="A2729" s="7" t="n"/>
      <c r="B2729" s="75" t="n"/>
      <c r="C2729" s="7" t="n"/>
      <c r="D2729" s="7" t="n"/>
      <c r="E2729" s="9">
        <f>IF(D2729="","",IFERROR(INDEX('Équipements'!$B$5:$B$304,MATCH(D2729,'Équipements'!$A$5:$A$304,0)),"Code inconnu"))</f>
        <v/>
      </c>
      <c r="F2729" s="9">
        <f>IF(D2729="","",IFERROR(INDEX('Équipements'!$D$5:$D$304,MATCH(D2729,'Équipements'!$A$5:$A$304,0)),""))</f>
        <v/>
      </c>
      <c r="G2729" s="9">
        <f>IF(D2729="","",IFERROR(INDEX('Équipements'!$K$5:$K$304,MATCH(D2729,'Équipements'!$A$5:$A$304,0)),""))</f>
        <v/>
      </c>
      <c r="H2729" s="7" t="n"/>
      <c r="I2729" s="7" t="n"/>
      <c r="J2729" s="7" t="n"/>
      <c r="K2729" s="7" t="n"/>
      <c r="L2729" s="7" t="n"/>
      <c r="M2729" s="7" t="n"/>
      <c r="N2729" s="7" t="n"/>
      <c r="O2729" s="7" t="n"/>
      <c r="P2729" s="65" t="n"/>
      <c r="Q2729" s="75" t="n"/>
      <c r="R2729" s="75" t="n"/>
      <c r="S2729" s="76" t="n"/>
      <c r="T2729" s="76" t="n"/>
      <c r="U2729" s="70">
        <f>IF($A2729="","",IFERROR(INDEX('Techniciens'!$F$5:$F$44,MATCH(O2729,'Techniciens'!$B$5:$B$44,0)),'Paramètres'!$AA$10))</f>
        <v/>
      </c>
      <c r="V2729" s="70">
        <f>IF($A2729="","",IF(OR(AC2729="Demandé",AC2729="Planifié",AC2729="Annulé"),0,N(T2729)*N(U2729)))</f>
        <v/>
      </c>
      <c r="W2729" s="70">
        <f>IF($A2729="","",SUMIFS('Mouvements stock'!$H$5:$H$3004,'Mouvements stock'!$I$5:$I$3004,$A2729,'Mouvements stock'!$C$5:$C$3004,"Sortie")-SUMIFS('Mouvements stock'!$H$5:$H$3004,'Mouvements stock'!$I$5:$I$3004,$A2729,'Mouvements stock'!$C$5:$C$3004,"Retour"))</f>
        <v/>
      </c>
      <c r="X2729" s="66" t="n"/>
      <c r="Y2729" s="66" t="n"/>
      <c r="Z2729" s="7" t="n"/>
      <c r="AA2729" s="70">
        <f>IF($A2729="","",N(V2729)+N(W2729)+N(X2729)+N(Y2729))</f>
        <v/>
      </c>
      <c r="AB2729" s="70">
        <f>IF($A2729="","",N(S2729)*'Paramètres'!$AA$9*IFERROR(INDEX('Paramètres'!$O$5:$O$7,MATCH(G2729,'Paramètres'!$N$5:$N$7,0)),0))</f>
        <v/>
      </c>
      <c r="AC2729" s="7" t="n"/>
      <c r="AD2729" s="69">
        <f>IF(OR($A2729="",Q2729=""),"",(Q2729-B2729)*24)</f>
        <v/>
      </c>
      <c r="AE2729" s="69">
        <f>IF(OR(Q2729="",R2729=""),"",(R2729-Q2729)*24)</f>
        <v/>
      </c>
      <c r="AF2729" s="77">
        <f>IF(OR($A2729="",B2729=""),"",YEAR(B2729))</f>
        <v/>
      </c>
      <c r="AG2729" s="77">
        <f>IF(OR($A2729="",B2729=""),"",MONTH(B2729))</f>
        <v/>
      </c>
    </row>
    <row r="2730">
      <c r="A2730" s="7" t="n"/>
      <c r="B2730" s="75" t="n"/>
      <c r="C2730" s="7" t="n"/>
      <c r="D2730" s="7" t="n"/>
      <c r="E2730" s="9">
        <f>IF(D2730="","",IFERROR(INDEX('Équipements'!$B$5:$B$304,MATCH(D2730,'Équipements'!$A$5:$A$304,0)),"Code inconnu"))</f>
        <v/>
      </c>
      <c r="F2730" s="9">
        <f>IF(D2730="","",IFERROR(INDEX('Équipements'!$D$5:$D$304,MATCH(D2730,'Équipements'!$A$5:$A$304,0)),""))</f>
        <v/>
      </c>
      <c r="G2730" s="9">
        <f>IF(D2730="","",IFERROR(INDEX('Équipements'!$K$5:$K$304,MATCH(D2730,'Équipements'!$A$5:$A$304,0)),""))</f>
        <v/>
      </c>
      <c r="H2730" s="7" t="n"/>
      <c r="I2730" s="7" t="n"/>
      <c r="J2730" s="7" t="n"/>
      <c r="K2730" s="7" t="n"/>
      <c r="L2730" s="7" t="n"/>
      <c r="M2730" s="7" t="n"/>
      <c r="N2730" s="7" t="n"/>
      <c r="O2730" s="7" t="n"/>
      <c r="P2730" s="65" t="n"/>
      <c r="Q2730" s="75" t="n"/>
      <c r="R2730" s="75" t="n"/>
      <c r="S2730" s="76" t="n"/>
      <c r="T2730" s="76" t="n"/>
      <c r="U2730" s="70">
        <f>IF($A2730="","",IFERROR(INDEX('Techniciens'!$F$5:$F$44,MATCH(O2730,'Techniciens'!$B$5:$B$44,0)),'Paramètres'!$AA$10))</f>
        <v/>
      </c>
      <c r="V2730" s="70">
        <f>IF($A2730="","",IF(OR(AC2730="Demandé",AC2730="Planifié",AC2730="Annulé"),0,N(T2730)*N(U2730)))</f>
        <v/>
      </c>
      <c r="W2730" s="70">
        <f>IF($A2730="","",SUMIFS('Mouvements stock'!$H$5:$H$3004,'Mouvements stock'!$I$5:$I$3004,$A2730,'Mouvements stock'!$C$5:$C$3004,"Sortie")-SUMIFS('Mouvements stock'!$H$5:$H$3004,'Mouvements stock'!$I$5:$I$3004,$A2730,'Mouvements stock'!$C$5:$C$3004,"Retour"))</f>
        <v/>
      </c>
      <c r="X2730" s="66" t="n"/>
      <c r="Y2730" s="66" t="n"/>
      <c r="Z2730" s="7" t="n"/>
      <c r="AA2730" s="70">
        <f>IF($A2730="","",N(V2730)+N(W2730)+N(X2730)+N(Y2730))</f>
        <v/>
      </c>
      <c r="AB2730" s="70">
        <f>IF($A2730="","",N(S2730)*'Paramètres'!$AA$9*IFERROR(INDEX('Paramètres'!$O$5:$O$7,MATCH(G2730,'Paramètres'!$N$5:$N$7,0)),0))</f>
        <v/>
      </c>
      <c r="AC2730" s="7" t="n"/>
      <c r="AD2730" s="69">
        <f>IF(OR($A2730="",Q2730=""),"",(Q2730-B2730)*24)</f>
        <v/>
      </c>
      <c r="AE2730" s="69">
        <f>IF(OR(Q2730="",R2730=""),"",(R2730-Q2730)*24)</f>
        <v/>
      </c>
      <c r="AF2730" s="77">
        <f>IF(OR($A2730="",B2730=""),"",YEAR(B2730))</f>
        <v/>
      </c>
      <c r="AG2730" s="77">
        <f>IF(OR($A2730="",B2730=""),"",MONTH(B2730))</f>
        <v/>
      </c>
    </row>
    <row r="2731">
      <c r="A2731" s="7" t="n"/>
      <c r="B2731" s="75" t="n"/>
      <c r="C2731" s="7" t="n"/>
      <c r="D2731" s="7" t="n"/>
      <c r="E2731" s="9">
        <f>IF(D2731="","",IFERROR(INDEX('Équipements'!$B$5:$B$304,MATCH(D2731,'Équipements'!$A$5:$A$304,0)),"Code inconnu"))</f>
        <v/>
      </c>
      <c r="F2731" s="9">
        <f>IF(D2731="","",IFERROR(INDEX('Équipements'!$D$5:$D$304,MATCH(D2731,'Équipements'!$A$5:$A$304,0)),""))</f>
        <v/>
      </c>
      <c r="G2731" s="9">
        <f>IF(D2731="","",IFERROR(INDEX('Équipements'!$K$5:$K$304,MATCH(D2731,'Équipements'!$A$5:$A$304,0)),""))</f>
        <v/>
      </c>
      <c r="H2731" s="7" t="n"/>
      <c r="I2731" s="7" t="n"/>
      <c r="J2731" s="7" t="n"/>
      <c r="K2731" s="7" t="n"/>
      <c r="L2731" s="7" t="n"/>
      <c r="M2731" s="7" t="n"/>
      <c r="N2731" s="7" t="n"/>
      <c r="O2731" s="7" t="n"/>
      <c r="P2731" s="65" t="n"/>
      <c r="Q2731" s="75" t="n"/>
      <c r="R2731" s="75" t="n"/>
      <c r="S2731" s="76" t="n"/>
      <c r="T2731" s="76" t="n"/>
      <c r="U2731" s="70">
        <f>IF($A2731="","",IFERROR(INDEX('Techniciens'!$F$5:$F$44,MATCH(O2731,'Techniciens'!$B$5:$B$44,0)),'Paramètres'!$AA$10))</f>
        <v/>
      </c>
      <c r="V2731" s="70">
        <f>IF($A2731="","",IF(OR(AC2731="Demandé",AC2731="Planifié",AC2731="Annulé"),0,N(T2731)*N(U2731)))</f>
        <v/>
      </c>
      <c r="W2731" s="70">
        <f>IF($A2731="","",SUMIFS('Mouvements stock'!$H$5:$H$3004,'Mouvements stock'!$I$5:$I$3004,$A2731,'Mouvements stock'!$C$5:$C$3004,"Sortie")-SUMIFS('Mouvements stock'!$H$5:$H$3004,'Mouvements stock'!$I$5:$I$3004,$A2731,'Mouvements stock'!$C$5:$C$3004,"Retour"))</f>
        <v/>
      </c>
      <c r="X2731" s="66" t="n"/>
      <c r="Y2731" s="66" t="n"/>
      <c r="Z2731" s="7" t="n"/>
      <c r="AA2731" s="70">
        <f>IF($A2731="","",N(V2731)+N(W2731)+N(X2731)+N(Y2731))</f>
        <v/>
      </c>
      <c r="AB2731" s="70">
        <f>IF($A2731="","",N(S2731)*'Paramètres'!$AA$9*IFERROR(INDEX('Paramètres'!$O$5:$O$7,MATCH(G2731,'Paramètres'!$N$5:$N$7,0)),0))</f>
        <v/>
      </c>
      <c r="AC2731" s="7" t="n"/>
      <c r="AD2731" s="69">
        <f>IF(OR($A2731="",Q2731=""),"",(Q2731-B2731)*24)</f>
        <v/>
      </c>
      <c r="AE2731" s="69">
        <f>IF(OR(Q2731="",R2731=""),"",(R2731-Q2731)*24)</f>
        <v/>
      </c>
      <c r="AF2731" s="77">
        <f>IF(OR($A2731="",B2731=""),"",YEAR(B2731))</f>
        <v/>
      </c>
      <c r="AG2731" s="77">
        <f>IF(OR($A2731="",B2731=""),"",MONTH(B2731))</f>
        <v/>
      </c>
    </row>
    <row r="2732">
      <c r="A2732" s="7" t="n"/>
      <c r="B2732" s="75" t="n"/>
      <c r="C2732" s="7" t="n"/>
      <c r="D2732" s="7" t="n"/>
      <c r="E2732" s="9">
        <f>IF(D2732="","",IFERROR(INDEX('Équipements'!$B$5:$B$304,MATCH(D2732,'Équipements'!$A$5:$A$304,0)),"Code inconnu"))</f>
        <v/>
      </c>
      <c r="F2732" s="9">
        <f>IF(D2732="","",IFERROR(INDEX('Équipements'!$D$5:$D$304,MATCH(D2732,'Équipements'!$A$5:$A$304,0)),""))</f>
        <v/>
      </c>
      <c r="G2732" s="9">
        <f>IF(D2732="","",IFERROR(INDEX('Équipements'!$K$5:$K$304,MATCH(D2732,'Équipements'!$A$5:$A$304,0)),""))</f>
        <v/>
      </c>
      <c r="H2732" s="7" t="n"/>
      <c r="I2732" s="7" t="n"/>
      <c r="J2732" s="7" t="n"/>
      <c r="K2732" s="7" t="n"/>
      <c r="L2732" s="7" t="n"/>
      <c r="M2732" s="7" t="n"/>
      <c r="N2732" s="7" t="n"/>
      <c r="O2732" s="7" t="n"/>
      <c r="P2732" s="65" t="n"/>
      <c r="Q2732" s="75" t="n"/>
      <c r="R2732" s="75" t="n"/>
      <c r="S2732" s="76" t="n"/>
      <c r="T2732" s="76" t="n"/>
      <c r="U2732" s="70">
        <f>IF($A2732="","",IFERROR(INDEX('Techniciens'!$F$5:$F$44,MATCH(O2732,'Techniciens'!$B$5:$B$44,0)),'Paramètres'!$AA$10))</f>
        <v/>
      </c>
      <c r="V2732" s="70">
        <f>IF($A2732="","",IF(OR(AC2732="Demandé",AC2732="Planifié",AC2732="Annulé"),0,N(T2732)*N(U2732)))</f>
        <v/>
      </c>
      <c r="W2732" s="70">
        <f>IF($A2732="","",SUMIFS('Mouvements stock'!$H$5:$H$3004,'Mouvements stock'!$I$5:$I$3004,$A2732,'Mouvements stock'!$C$5:$C$3004,"Sortie")-SUMIFS('Mouvements stock'!$H$5:$H$3004,'Mouvements stock'!$I$5:$I$3004,$A2732,'Mouvements stock'!$C$5:$C$3004,"Retour"))</f>
        <v/>
      </c>
      <c r="X2732" s="66" t="n"/>
      <c r="Y2732" s="66" t="n"/>
      <c r="Z2732" s="7" t="n"/>
      <c r="AA2732" s="70">
        <f>IF($A2732="","",N(V2732)+N(W2732)+N(X2732)+N(Y2732))</f>
        <v/>
      </c>
      <c r="AB2732" s="70">
        <f>IF($A2732="","",N(S2732)*'Paramètres'!$AA$9*IFERROR(INDEX('Paramètres'!$O$5:$O$7,MATCH(G2732,'Paramètres'!$N$5:$N$7,0)),0))</f>
        <v/>
      </c>
      <c r="AC2732" s="7" t="n"/>
      <c r="AD2732" s="69">
        <f>IF(OR($A2732="",Q2732=""),"",(Q2732-B2732)*24)</f>
        <v/>
      </c>
      <c r="AE2732" s="69">
        <f>IF(OR(Q2732="",R2732=""),"",(R2732-Q2732)*24)</f>
        <v/>
      </c>
      <c r="AF2732" s="77">
        <f>IF(OR($A2732="",B2732=""),"",YEAR(B2732))</f>
        <v/>
      </c>
      <c r="AG2732" s="77">
        <f>IF(OR($A2732="",B2732=""),"",MONTH(B2732))</f>
        <v/>
      </c>
    </row>
    <row r="2733">
      <c r="A2733" s="7" t="n"/>
      <c r="B2733" s="75" t="n"/>
      <c r="C2733" s="7" t="n"/>
      <c r="D2733" s="7" t="n"/>
      <c r="E2733" s="9">
        <f>IF(D2733="","",IFERROR(INDEX('Équipements'!$B$5:$B$304,MATCH(D2733,'Équipements'!$A$5:$A$304,0)),"Code inconnu"))</f>
        <v/>
      </c>
      <c r="F2733" s="9">
        <f>IF(D2733="","",IFERROR(INDEX('Équipements'!$D$5:$D$304,MATCH(D2733,'Équipements'!$A$5:$A$304,0)),""))</f>
        <v/>
      </c>
      <c r="G2733" s="9">
        <f>IF(D2733="","",IFERROR(INDEX('Équipements'!$K$5:$K$304,MATCH(D2733,'Équipements'!$A$5:$A$304,0)),""))</f>
        <v/>
      </c>
      <c r="H2733" s="7" t="n"/>
      <c r="I2733" s="7" t="n"/>
      <c r="J2733" s="7" t="n"/>
      <c r="K2733" s="7" t="n"/>
      <c r="L2733" s="7" t="n"/>
      <c r="M2733" s="7" t="n"/>
      <c r="N2733" s="7" t="n"/>
      <c r="O2733" s="7" t="n"/>
      <c r="P2733" s="65" t="n"/>
      <c r="Q2733" s="75" t="n"/>
      <c r="R2733" s="75" t="n"/>
      <c r="S2733" s="76" t="n"/>
      <c r="T2733" s="76" t="n"/>
      <c r="U2733" s="70">
        <f>IF($A2733="","",IFERROR(INDEX('Techniciens'!$F$5:$F$44,MATCH(O2733,'Techniciens'!$B$5:$B$44,0)),'Paramètres'!$AA$10))</f>
        <v/>
      </c>
      <c r="V2733" s="70">
        <f>IF($A2733="","",IF(OR(AC2733="Demandé",AC2733="Planifié",AC2733="Annulé"),0,N(T2733)*N(U2733)))</f>
        <v/>
      </c>
      <c r="W2733" s="70">
        <f>IF($A2733="","",SUMIFS('Mouvements stock'!$H$5:$H$3004,'Mouvements stock'!$I$5:$I$3004,$A2733,'Mouvements stock'!$C$5:$C$3004,"Sortie")-SUMIFS('Mouvements stock'!$H$5:$H$3004,'Mouvements stock'!$I$5:$I$3004,$A2733,'Mouvements stock'!$C$5:$C$3004,"Retour"))</f>
        <v/>
      </c>
      <c r="X2733" s="66" t="n"/>
      <c r="Y2733" s="66" t="n"/>
      <c r="Z2733" s="7" t="n"/>
      <c r="AA2733" s="70">
        <f>IF($A2733="","",N(V2733)+N(W2733)+N(X2733)+N(Y2733))</f>
        <v/>
      </c>
      <c r="AB2733" s="70">
        <f>IF($A2733="","",N(S2733)*'Paramètres'!$AA$9*IFERROR(INDEX('Paramètres'!$O$5:$O$7,MATCH(G2733,'Paramètres'!$N$5:$N$7,0)),0))</f>
        <v/>
      </c>
      <c r="AC2733" s="7" t="n"/>
      <c r="AD2733" s="69">
        <f>IF(OR($A2733="",Q2733=""),"",(Q2733-B2733)*24)</f>
        <v/>
      </c>
      <c r="AE2733" s="69">
        <f>IF(OR(Q2733="",R2733=""),"",(R2733-Q2733)*24)</f>
        <v/>
      </c>
      <c r="AF2733" s="77">
        <f>IF(OR($A2733="",B2733=""),"",YEAR(B2733))</f>
        <v/>
      </c>
      <c r="AG2733" s="77">
        <f>IF(OR($A2733="",B2733=""),"",MONTH(B2733))</f>
        <v/>
      </c>
    </row>
    <row r="2734">
      <c r="A2734" s="7" t="n"/>
      <c r="B2734" s="75" t="n"/>
      <c r="C2734" s="7" t="n"/>
      <c r="D2734" s="7" t="n"/>
      <c r="E2734" s="9">
        <f>IF(D2734="","",IFERROR(INDEX('Équipements'!$B$5:$B$304,MATCH(D2734,'Équipements'!$A$5:$A$304,0)),"Code inconnu"))</f>
        <v/>
      </c>
      <c r="F2734" s="9">
        <f>IF(D2734="","",IFERROR(INDEX('Équipements'!$D$5:$D$304,MATCH(D2734,'Équipements'!$A$5:$A$304,0)),""))</f>
        <v/>
      </c>
      <c r="G2734" s="9">
        <f>IF(D2734="","",IFERROR(INDEX('Équipements'!$K$5:$K$304,MATCH(D2734,'Équipements'!$A$5:$A$304,0)),""))</f>
        <v/>
      </c>
      <c r="H2734" s="7" t="n"/>
      <c r="I2734" s="7" t="n"/>
      <c r="J2734" s="7" t="n"/>
      <c r="K2734" s="7" t="n"/>
      <c r="L2734" s="7" t="n"/>
      <c r="M2734" s="7" t="n"/>
      <c r="N2734" s="7" t="n"/>
      <c r="O2734" s="7" t="n"/>
      <c r="P2734" s="65" t="n"/>
      <c r="Q2734" s="75" t="n"/>
      <c r="R2734" s="75" t="n"/>
      <c r="S2734" s="76" t="n"/>
      <c r="T2734" s="76" t="n"/>
      <c r="U2734" s="70">
        <f>IF($A2734="","",IFERROR(INDEX('Techniciens'!$F$5:$F$44,MATCH(O2734,'Techniciens'!$B$5:$B$44,0)),'Paramètres'!$AA$10))</f>
        <v/>
      </c>
      <c r="V2734" s="70">
        <f>IF($A2734="","",IF(OR(AC2734="Demandé",AC2734="Planifié",AC2734="Annulé"),0,N(T2734)*N(U2734)))</f>
        <v/>
      </c>
      <c r="W2734" s="70">
        <f>IF($A2734="","",SUMIFS('Mouvements stock'!$H$5:$H$3004,'Mouvements stock'!$I$5:$I$3004,$A2734,'Mouvements stock'!$C$5:$C$3004,"Sortie")-SUMIFS('Mouvements stock'!$H$5:$H$3004,'Mouvements stock'!$I$5:$I$3004,$A2734,'Mouvements stock'!$C$5:$C$3004,"Retour"))</f>
        <v/>
      </c>
      <c r="X2734" s="66" t="n"/>
      <c r="Y2734" s="66" t="n"/>
      <c r="Z2734" s="7" t="n"/>
      <c r="AA2734" s="70">
        <f>IF($A2734="","",N(V2734)+N(W2734)+N(X2734)+N(Y2734))</f>
        <v/>
      </c>
      <c r="AB2734" s="70">
        <f>IF($A2734="","",N(S2734)*'Paramètres'!$AA$9*IFERROR(INDEX('Paramètres'!$O$5:$O$7,MATCH(G2734,'Paramètres'!$N$5:$N$7,0)),0))</f>
        <v/>
      </c>
      <c r="AC2734" s="7" t="n"/>
      <c r="AD2734" s="69">
        <f>IF(OR($A2734="",Q2734=""),"",(Q2734-B2734)*24)</f>
        <v/>
      </c>
      <c r="AE2734" s="69">
        <f>IF(OR(Q2734="",R2734=""),"",(R2734-Q2734)*24)</f>
        <v/>
      </c>
      <c r="AF2734" s="77">
        <f>IF(OR($A2734="",B2734=""),"",YEAR(B2734))</f>
        <v/>
      </c>
      <c r="AG2734" s="77">
        <f>IF(OR($A2734="",B2734=""),"",MONTH(B2734))</f>
        <v/>
      </c>
    </row>
    <row r="2735">
      <c r="A2735" s="7" t="n"/>
      <c r="B2735" s="75" t="n"/>
      <c r="C2735" s="7" t="n"/>
      <c r="D2735" s="7" t="n"/>
      <c r="E2735" s="9">
        <f>IF(D2735="","",IFERROR(INDEX('Équipements'!$B$5:$B$304,MATCH(D2735,'Équipements'!$A$5:$A$304,0)),"Code inconnu"))</f>
        <v/>
      </c>
      <c r="F2735" s="9">
        <f>IF(D2735="","",IFERROR(INDEX('Équipements'!$D$5:$D$304,MATCH(D2735,'Équipements'!$A$5:$A$304,0)),""))</f>
        <v/>
      </c>
      <c r="G2735" s="9">
        <f>IF(D2735="","",IFERROR(INDEX('Équipements'!$K$5:$K$304,MATCH(D2735,'Équipements'!$A$5:$A$304,0)),""))</f>
        <v/>
      </c>
      <c r="H2735" s="7" t="n"/>
      <c r="I2735" s="7" t="n"/>
      <c r="J2735" s="7" t="n"/>
      <c r="K2735" s="7" t="n"/>
      <c r="L2735" s="7" t="n"/>
      <c r="M2735" s="7" t="n"/>
      <c r="N2735" s="7" t="n"/>
      <c r="O2735" s="7" t="n"/>
      <c r="P2735" s="65" t="n"/>
      <c r="Q2735" s="75" t="n"/>
      <c r="R2735" s="75" t="n"/>
      <c r="S2735" s="76" t="n"/>
      <c r="T2735" s="76" t="n"/>
      <c r="U2735" s="70">
        <f>IF($A2735="","",IFERROR(INDEX('Techniciens'!$F$5:$F$44,MATCH(O2735,'Techniciens'!$B$5:$B$44,0)),'Paramètres'!$AA$10))</f>
        <v/>
      </c>
      <c r="V2735" s="70">
        <f>IF($A2735="","",IF(OR(AC2735="Demandé",AC2735="Planifié",AC2735="Annulé"),0,N(T2735)*N(U2735)))</f>
        <v/>
      </c>
      <c r="W2735" s="70">
        <f>IF($A2735="","",SUMIFS('Mouvements stock'!$H$5:$H$3004,'Mouvements stock'!$I$5:$I$3004,$A2735,'Mouvements stock'!$C$5:$C$3004,"Sortie")-SUMIFS('Mouvements stock'!$H$5:$H$3004,'Mouvements stock'!$I$5:$I$3004,$A2735,'Mouvements stock'!$C$5:$C$3004,"Retour"))</f>
        <v/>
      </c>
      <c r="X2735" s="66" t="n"/>
      <c r="Y2735" s="66" t="n"/>
      <c r="Z2735" s="7" t="n"/>
      <c r="AA2735" s="70">
        <f>IF($A2735="","",N(V2735)+N(W2735)+N(X2735)+N(Y2735))</f>
        <v/>
      </c>
      <c r="AB2735" s="70">
        <f>IF($A2735="","",N(S2735)*'Paramètres'!$AA$9*IFERROR(INDEX('Paramètres'!$O$5:$O$7,MATCH(G2735,'Paramètres'!$N$5:$N$7,0)),0))</f>
        <v/>
      </c>
      <c r="AC2735" s="7" t="n"/>
      <c r="AD2735" s="69">
        <f>IF(OR($A2735="",Q2735=""),"",(Q2735-B2735)*24)</f>
        <v/>
      </c>
      <c r="AE2735" s="69">
        <f>IF(OR(Q2735="",R2735=""),"",(R2735-Q2735)*24)</f>
        <v/>
      </c>
      <c r="AF2735" s="77">
        <f>IF(OR($A2735="",B2735=""),"",YEAR(B2735))</f>
        <v/>
      </c>
      <c r="AG2735" s="77">
        <f>IF(OR($A2735="",B2735=""),"",MONTH(B2735))</f>
        <v/>
      </c>
    </row>
    <row r="2736">
      <c r="A2736" s="7" t="n"/>
      <c r="B2736" s="75" t="n"/>
      <c r="C2736" s="7" t="n"/>
      <c r="D2736" s="7" t="n"/>
      <c r="E2736" s="9">
        <f>IF(D2736="","",IFERROR(INDEX('Équipements'!$B$5:$B$304,MATCH(D2736,'Équipements'!$A$5:$A$304,0)),"Code inconnu"))</f>
        <v/>
      </c>
      <c r="F2736" s="9">
        <f>IF(D2736="","",IFERROR(INDEX('Équipements'!$D$5:$D$304,MATCH(D2736,'Équipements'!$A$5:$A$304,0)),""))</f>
        <v/>
      </c>
      <c r="G2736" s="9">
        <f>IF(D2736="","",IFERROR(INDEX('Équipements'!$K$5:$K$304,MATCH(D2736,'Équipements'!$A$5:$A$304,0)),""))</f>
        <v/>
      </c>
      <c r="H2736" s="7" t="n"/>
      <c r="I2736" s="7" t="n"/>
      <c r="J2736" s="7" t="n"/>
      <c r="K2736" s="7" t="n"/>
      <c r="L2736" s="7" t="n"/>
      <c r="M2736" s="7" t="n"/>
      <c r="N2736" s="7" t="n"/>
      <c r="O2736" s="7" t="n"/>
      <c r="P2736" s="65" t="n"/>
      <c r="Q2736" s="75" t="n"/>
      <c r="R2736" s="75" t="n"/>
      <c r="S2736" s="76" t="n"/>
      <c r="T2736" s="76" t="n"/>
      <c r="U2736" s="70">
        <f>IF($A2736="","",IFERROR(INDEX('Techniciens'!$F$5:$F$44,MATCH(O2736,'Techniciens'!$B$5:$B$44,0)),'Paramètres'!$AA$10))</f>
        <v/>
      </c>
      <c r="V2736" s="70">
        <f>IF($A2736="","",IF(OR(AC2736="Demandé",AC2736="Planifié",AC2736="Annulé"),0,N(T2736)*N(U2736)))</f>
        <v/>
      </c>
      <c r="W2736" s="70">
        <f>IF($A2736="","",SUMIFS('Mouvements stock'!$H$5:$H$3004,'Mouvements stock'!$I$5:$I$3004,$A2736,'Mouvements stock'!$C$5:$C$3004,"Sortie")-SUMIFS('Mouvements stock'!$H$5:$H$3004,'Mouvements stock'!$I$5:$I$3004,$A2736,'Mouvements stock'!$C$5:$C$3004,"Retour"))</f>
        <v/>
      </c>
      <c r="X2736" s="66" t="n"/>
      <c r="Y2736" s="66" t="n"/>
      <c r="Z2736" s="7" t="n"/>
      <c r="AA2736" s="70">
        <f>IF($A2736="","",N(V2736)+N(W2736)+N(X2736)+N(Y2736))</f>
        <v/>
      </c>
      <c r="AB2736" s="70">
        <f>IF($A2736="","",N(S2736)*'Paramètres'!$AA$9*IFERROR(INDEX('Paramètres'!$O$5:$O$7,MATCH(G2736,'Paramètres'!$N$5:$N$7,0)),0))</f>
        <v/>
      </c>
      <c r="AC2736" s="7" t="n"/>
      <c r="AD2736" s="69">
        <f>IF(OR($A2736="",Q2736=""),"",(Q2736-B2736)*24)</f>
        <v/>
      </c>
      <c r="AE2736" s="69">
        <f>IF(OR(Q2736="",R2736=""),"",(R2736-Q2736)*24)</f>
        <v/>
      </c>
      <c r="AF2736" s="77">
        <f>IF(OR($A2736="",B2736=""),"",YEAR(B2736))</f>
        <v/>
      </c>
      <c r="AG2736" s="77">
        <f>IF(OR($A2736="",B2736=""),"",MONTH(B2736))</f>
        <v/>
      </c>
    </row>
    <row r="2737">
      <c r="A2737" s="7" t="n"/>
      <c r="B2737" s="75" t="n"/>
      <c r="C2737" s="7" t="n"/>
      <c r="D2737" s="7" t="n"/>
      <c r="E2737" s="9">
        <f>IF(D2737="","",IFERROR(INDEX('Équipements'!$B$5:$B$304,MATCH(D2737,'Équipements'!$A$5:$A$304,0)),"Code inconnu"))</f>
        <v/>
      </c>
      <c r="F2737" s="9">
        <f>IF(D2737="","",IFERROR(INDEX('Équipements'!$D$5:$D$304,MATCH(D2737,'Équipements'!$A$5:$A$304,0)),""))</f>
        <v/>
      </c>
      <c r="G2737" s="9">
        <f>IF(D2737="","",IFERROR(INDEX('Équipements'!$K$5:$K$304,MATCH(D2737,'Équipements'!$A$5:$A$304,0)),""))</f>
        <v/>
      </c>
      <c r="H2737" s="7" t="n"/>
      <c r="I2737" s="7" t="n"/>
      <c r="J2737" s="7" t="n"/>
      <c r="K2737" s="7" t="n"/>
      <c r="L2737" s="7" t="n"/>
      <c r="M2737" s="7" t="n"/>
      <c r="N2737" s="7" t="n"/>
      <c r="O2737" s="7" t="n"/>
      <c r="P2737" s="65" t="n"/>
      <c r="Q2737" s="75" t="n"/>
      <c r="R2737" s="75" t="n"/>
      <c r="S2737" s="76" t="n"/>
      <c r="T2737" s="76" t="n"/>
      <c r="U2737" s="70">
        <f>IF($A2737="","",IFERROR(INDEX('Techniciens'!$F$5:$F$44,MATCH(O2737,'Techniciens'!$B$5:$B$44,0)),'Paramètres'!$AA$10))</f>
        <v/>
      </c>
      <c r="V2737" s="70">
        <f>IF($A2737="","",IF(OR(AC2737="Demandé",AC2737="Planifié",AC2737="Annulé"),0,N(T2737)*N(U2737)))</f>
        <v/>
      </c>
      <c r="W2737" s="70">
        <f>IF($A2737="","",SUMIFS('Mouvements stock'!$H$5:$H$3004,'Mouvements stock'!$I$5:$I$3004,$A2737,'Mouvements stock'!$C$5:$C$3004,"Sortie")-SUMIFS('Mouvements stock'!$H$5:$H$3004,'Mouvements stock'!$I$5:$I$3004,$A2737,'Mouvements stock'!$C$5:$C$3004,"Retour"))</f>
        <v/>
      </c>
      <c r="X2737" s="66" t="n"/>
      <c r="Y2737" s="66" t="n"/>
      <c r="Z2737" s="7" t="n"/>
      <c r="AA2737" s="70">
        <f>IF($A2737="","",N(V2737)+N(W2737)+N(X2737)+N(Y2737))</f>
        <v/>
      </c>
      <c r="AB2737" s="70">
        <f>IF($A2737="","",N(S2737)*'Paramètres'!$AA$9*IFERROR(INDEX('Paramètres'!$O$5:$O$7,MATCH(G2737,'Paramètres'!$N$5:$N$7,0)),0))</f>
        <v/>
      </c>
      <c r="AC2737" s="7" t="n"/>
      <c r="AD2737" s="69">
        <f>IF(OR($A2737="",Q2737=""),"",(Q2737-B2737)*24)</f>
        <v/>
      </c>
      <c r="AE2737" s="69">
        <f>IF(OR(Q2737="",R2737=""),"",(R2737-Q2737)*24)</f>
        <v/>
      </c>
      <c r="AF2737" s="77">
        <f>IF(OR($A2737="",B2737=""),"",YEAR(B2737))</f>
        <v/>
      </c>
      <c r="AG2737" s="77">
        <f>IF(OR($A2737="",B2737=""),"",MONTH(B2737))</f>
        <v/>
      </c>
    </row>
    <row r="2738">
      <c r="A2738" s="7" t="n"/>
      <c r="B2738" s="75" t="n"/>
      <c r="C2738" s="7" t="n"/>
      <c r="D2738" s="7" t="n"/>
      <c r="E2738" s="9">
        <f>IF(D2738="","",IFERROR(INDEX('Équipements'!$B$5:$B$304,MATCH(D2738,'Équipements'!$A$5:$A$304,0)),"Code inconnu"))</f>
        <v/>
      </c>
      <c r="F2738" s="9">
        <f>IF(D2738="","",IFERROR(INDEX('Équipements'!$D$5:$D$304,MATCH(D2738,'Équipements'!$A$5:$A$304,0)),""))</f>
        <v/>
      </c>
      <c r="G2738" s="9">
        <f>IF(D2738="","",IFERROR(INDEX('Équipements'!$K$5:$K$304,MATCH(D2738,'Équipements'!$A$5:$A$304,0)),""))</f>
        <v/>
      </c>
      <c r="H2738" s="7" t="n"/>
      <c r="I2738" s="7" t="n"/>
      <c r="J2738" s="7" t="n"/>
      <c r="K2738" s="7" t="n"/>
      <c r="L2738" s="7" t="n"/>
      <c r="M2738" s="7" t="n"/>
      <c r="N2738" s="7" t="n"/>
      <c r="O2738" s="7" t="n"/>
      <c r="P2738" s="65" t="n"/>
      <c r="Q2738" s="75" t="n"/>
      <c r="R2738" s="75" t="n"/>
      <c r="S2738" s="76" t="n"/>
      <c r="T2738" s="76" t="n"/>
      <c r="U2738" s="70">
        <f>IF($A2738="","",IFERROR(INDEX('Techniciens'!$F$5:$F$44,MATCH(O2738,'Techniciens'!$B$5:$B$44,0)),'Paramètres'!$AA$10))</f>
        <v/>
      </c>
      <c r="V2738" s="70">
        <f>IF($A2738="","",IF(OR(AC2738="Demandé",AC2738="Planifié",AC2738="Annulé"),0,N(T2738)*N(U2738)))</f>
        <v/>
      </c>
      <c r="W2738" s="70">
        <f>IF($A2738="","",SUMIFS('Mouvements stock'!$H$5:$H$3004,'Mouvements stock'!$I$5:$I$3004,$A2738,'Mouvements stock'!$C$5:$C$3004,"Sortie")-SUMIFS('Mouvements stock'!$H$5:$H$3004,'Mouvements stock'!$I$5:$I$3004,$A2738,'Mouvements stock'!$C$5:$C$3004,"Retour"))</f>
        <v/>
      </c>
      <c r="X2738" s="66" t="n"/>
      <c r="Y2738" s="66" t="n"/>
      <c r="Z2738" s="7" t="n"/>
      <c r="AA2738" s="70">
        <f>IF($A2738="","",N(V2738)+N(W2738)+N(X2738)+N(Y2738))</f>
        <v/>
      </c>
      <c r="AB2738" s="70">
        <f>IF($A2738="","",N(S2738)*'Paramètres'!$AA$9*IFERROR(INDEX('Paramètres'!$O$5:$O$7,MATCH(G2738,'Paramètres'!$N$5:$N$7,0)),0))</f>
        <v/>
      </c>
      <c r="AC2738" s="7" t="n"/>
      <c r="AD2738" s="69">
        <f>IF(OR($A2738="",Q2738=""),"",(Q2738-B2738)*24)</f>
        <v/>
      </c>
      <c r="AE2738" s="69">
        <f>IF(OR(Q2738="",R2738=""),"",(R2738-Q2738)*24)</f>
        <v/>
      </c>
      <c r="AF2738" s="77">
        <f>IF(OR($A2738="",B2738=""),"",YEAR(B2738))</f>
        <v/>
      </c>
      <c r="AG2738" s="77">
        <f>IF(OR($A2738="",B2738=""),"",MONTH(B2738))</f>
        <v/>
      </c>
    </row>
    <row r="2739">
      <c r="A2739" s="7" t="n"/>
      <c r="B2739" s="75" t="n"/>
      <c r="C2739" s="7" t="n"/>
      <c r="D2739" s="7" t="n"/>
      <c r="E2739" s="9">
        <f>IF(D2739="","",IFERROR(INDEX('Équipements'!$B$5:$B$304,MATCH(D2739,'Équipements'!$A$5:$A$304,0)),"Code inconnu"))</f>
        <v/>
      </c>
      <c r="F2739" s="9">
        <f>IF(D2739="","",IFERROR(INDEX('Équipements'!$D$5:$D$304,MATCH(D2739,'Équipements'!$A$5:$A$304,0)),""))</f>
        <v/>
      </c>
      <c r="G2739" s="9">
        <f>IF(D2739="","",IFERROR(INDEX('Équipements'!$K$5:$K$304,MATCH(D2739,'Équipements'!$A$5:$A$304,0)),""))</f>
        <v/>
      </c>
      <c r="H2739" s="7" t="n"/>
      <c r="I2739" s="7" t="n"/>
      <c r="J2739" s="7" t="n"/>
      <c r="K2739" s="7" t="n"/>
      <c r="L2739" s="7" t="n"/>
      <c r="M2739" s="7" t="n"/>
      <c r="N2739" s="7" t="n"/>
      <c r="O2739" s="7" t="n"/>
      <c r="P2739" s="65" t="n"/>
      <c r="Q2739" s="75" t="n"/>
      <c r="R2739" s="75" t="n"/>
      <c r="S2739" s="76" t="n"/>
      <c r="T2739" s="76" t="n"/>
      <c r="U2739" s="70">
        <f>IF($A2739="","",IFERROR(INDEX('Techniciens'!$F$5:$F$44,MATCH(O2739,'Techniciens'!$B$5:$B$44,0)),'Paramètres'!$AA$10))</f>
        <v/>
      </c>
      <c r="V2739" s="70">
        <f>IF($A2739="","",IF(OR(AC2739="Demandé",AC2739="Planifié",AC2739="Annulé"),0,N(T2739)*N(U2739)))</f>
        <v/>
      </c>
      <c r="W2739" s="70">
        <f>IF($A2739="","",SUMIFS('Mouvements stock'!$H$5:$H$3004,'Mouvements stock'!$I$5:$I$3004,$A2739,'Mouvements stock'!$C$5:$C$3004,"Sortie")-SUMIFS('Mouvements stock'!$H$5:$H$3004,'Mouvements stock'!$I$5:$I$3004,$A2739,'Mouvements stock'!$C$5:$C$3004,"Retour"))</f>
        <v/>
      </c>
      <c r="X2739" s="66" t="n"/>
      <c r="Y2739" s="66" t="n"/>
      <c r="Z2739" s="7" t="n"/>
      <c r="AA2739" s="70">
        <f>IF($A2739="","",N(V2739)+N(W2739)+N(X2739)+N(Y2739))</f>
        <v/>
      </c>
      <c r="AB2739" s="70">
        <f>IF($A2739="","",N(S2739)*'Paramètres'!$AA$9*IFERROR(INDEX('Paramètres'!$O$5:$O$7,MATCH(G2739,'Paramètres'!$N$5:$N$7,0)),0))</f>
        <v/>
      </c>
      <c r="AC2739" s="7" t="n"/>
      <c r="AD2739" s="69">
        <f>IF(OR($A2739="",Q2739=""),"",(Q2739-B2739)*24)</f>
        <v/>
      </c>
      <c r="AE2739" s="69">
        <f>IF(OR(Q2739="",R2739=""),"",(R2739-Q2739)*24)</f>
        <v/>
      </c>
      <c r="AF2739" s="77">
        <f>IF(OR($A2739="",B2739=""),"",YEAR(B2739))</f>
        <v/>
      </c>
      <c r="AG2739" s="77">
        <f>IF(OR($A2739="",B2739=""),"",MONTH(B2739))</f>
        <v/>
      </c>
    </row>
    <row r="2740">
      <c r="A2740" s="7" t="n"/>
      <c r="B2740" s="75" t="n"/>
      <c r="C2740" s="7" t="n"/>
      <c r="D2740" s="7" t="n"/>
      <c r="E2740" s="9">
        <f>IF(D2740="","",IFERROR(INDEX('Équipements'!$B$5:$B$304,MATCH(D2740,'Équipements'!$A$5:$A$304,0)),"Code inconnu"))</f>
        <v/>
      </c>
      <c r="F2740" s="9">
        <f>IF(D2740="","",IFERROR(INDEX('Équipements'!$D$5:$D$304,MATCH(D2740,'Équipements'!$A$5:$A$304,0)),""))</f>
        <v/>
      </c>
      <c r="G2740" s="9">
        <f>IF(D2740="","",IFERROR(INDEX('Équipements'!$K$5:$K$304,MATCH(D2740,'Équipements'!$A$5:$A$304,0)),""))</f>
        <v/>
      </c>
      <c r="H2740" s="7" t="n"/>
      <c r="I2740" s="7" t="n"/>
      <c r="J2740" s="7" t="n"/>
      <c r="K2740" s="7" t="n"/>
      <c r="L2740" s="7" t="n"/>
      <c r="M2740" s="7" t="n"/>
      <c r="N2740" s="7" t="n"/>
      <c r="O2740" s="7" t="n"/>
      <c r="P2740" s="65" t="n"/>
      <c r="Q2740" s="75" t="n"/>
      <c r="R2740" s="75" t="n"/>
      <c r="S2740" s="76" t="n"/>
      <c r="T2740" s="76" t="n"/>
      <c r="U2740" s="70">
        <f>IF($A2740="","",IFERROR(INDEX('Techniciens'!$F$5:$F$44,MATCH(O2740,'Techniciens'!$B$5:$B$44,0)),'Paramètres'!$AA$10))</f>
        <v/>
      </c>
      <c r="V2740" s="70">
        <f>IF($A2740="","",IF(OR(AC2740="Demandé",AC2740="Planifié",AC2740="Annulé"),0,N(T2740)*N(U2740)))</f>
        <v/>
      </c>
      <c r="W2740" s="70">
        <f>IF($A2740="","",SUMIFS('Mouvements stock'!$H$5:$H$3004,'Mouvements stock'!$I$5:$I$3004,$A2740,'Mouvements stock'!$C$5:$C$3004,"Sortie")-SUMIFS('Mouvements stock'!$H$5:$H$3004,'Mouvements stock'!$I$5:$I$3004,$A2740,'Mouvements stock'!$C$5:$C$3004,"Retour"))</f>
        <v/>
      </c>
      <c r="X2740" s="66" t="n"/>
      <c r="Y2740" s="66" t="n"/>
      <c r="Z2740" s="7" t="n"/>
      <c r="AA2740" s="70">
        <f>IF($A2740="","",N(V2740)+N(W2740)+N(X2740)+N(Y2740))</f>
        <v/>
      </c>
      <c r="AB2740" s="70">
        <f>IF($A2740="","",N(S2740)*'Paramètres'!$AA$9*IFERROR(INDEX('Paramètres'!$O$5:$O$7,MATCH(G2740,'Paramètres'!$N$5:$N$7,0)),0))</f>
        <v/>
      </c>
      <c r="AC2740" s="7" t="n"/>
      <c r="AD2740" s="69">
        <f>IF(OR($A2740="",Q2740=""),"",(Q2740-B2740)*24)</f>
        <v/>
      </c>
      <c r="AE2740" s="69">
        <f>IF(OR(Q2740="",R2740=""),"",(R2740-Q2740)*24)</f>
        <v/>
      </c>
      <c r="AF2740" s="77">
        <f>IF(OR($A2740="",B2740=""),"",YEAR(B2740))</f>
        <v/>
      </c>
      <c r="AG2740" s="77">
        <f>IF(OR($A2740="",B2740=""),"",MONTH(B2740))</f>
        <v/>
      </c>
    </row>
    <row r="2741">
      <c r="A2741" s="7" t="n"/>
      <c r="B2741" s="75" t="n"/>
      <c r="C2741" s="7" t="n"/>
      <c r="D2741" s="7" t="n"/>
      <c r="E2741" s="9">
        <f>IF(D2741="","",IFERROR(INDEX('Équipements'!$B$5:$B$304,MATCH(D2741,'Équipements'!$A$5:$A$304,0)),"Code inconnu"))</f>
        <v/>
      </c>
      <c r="F2741" s="9">
        <f>IF(D2741="","",IFERROR(INDEX('Équipements'!$D$5:$D$304,MATCH(D2741,'Équipements'!$A$5:$A$304,0)),""))</f>
        <v/>
      </c>
      <c r="G2741" s="9">
        <f>IF(D2741="","",IFERROR(INDEX('Équipements'!$K$5:$K$304,MATCH(D2741,'Équipements'!$A$5:$A$304,0)),""))</f>
        <v/>
      </c>
      <c r="H2741" s="7" t="n"/>
      <c r="I2741" s="7" t="n"/>
      <c r="J2741" s="7" t="n"/>
      <c r="K2741" s="7" t="n"/>
      <c r="L2741" s="7" t="n"/>
      <c r="M2741" s="7" t="n"/>
      <c r="N2741" s="7" t="n"/>
      <c r="O2741" s="7" t="n"/>
      <c r="P2741" s="65" t="n"/>
      <c r="Q2741" s="75" t="n"/>
      <c r="R2741" s="75" t="n"/>
      <c r="S2741" s="76" t="n"/>
      <c r="T2741" s="76" t="n"/>
      <c r="U2741" s="70">
        <f>IF($A2741="","",IFERROR(INDEX('Techniciens'!$F$5:$F$44,MATCH(O2741,'Techniciens'!$B$5:$B$44,0)),'Paramètres'!$AA$10))</f>
        <v/>
      </c>
      <c r="V2741" s="70">
        <f>IF($A2741="","",IF(OR(AC2741="Demandé",AC2741="Planifié",AC2741="Annulé"),0,N(T2741)*N(U2741)))</f>
        <v/>
      </c>
      <c r="W2741" s="70">
        <f>IF($A2741="","",SUMIFS('Mouvements stock'!$H$5:$H$3004,'Mouvements stock'!$I$5:$I$3004,$A2741,'Mouvements stock'!$C$5:$C$3004,"Sortie")-SUMIFS('Mouvements stock'!$H$5:$H$3004,'Mouvements stock'!$I$5:$I$3004,$A2741,'Mouvements stock'!$C$5:$C$3004,"Retour"))</f>
        <v/>
      </c>
      <c r="X2741" s="66" t="n"/>
      <c r="Y2741" s="66" t="n"/>
      <c r="Z2741" s="7" t="n"/>
      <c r="AA2741" s="70">
        <f>IF($A2741="","",N(V2741)+N(W2741)+N(X2741)+N(Y2741))</f>
        <v/>
      </c>
      <c r="AB2741" s="70">
        <f>IF($A2741="","",N(S2741)*'Paramètres'!$AA$9*IFERROR(INDEX('Paramètres'!$O$5:$O$7,MATCH(G2741,'Paramètres'!$N$5:$N$7,0)),0))</f>
        <v/>
      </c>
      <c r="AC2741" s="7" t="n"/>
      <c r="AD2741" s="69">
        <f>IF(OR($A2741="",Q2741=""),"",(Q2741-B2741)*24)</f>
        <v/>
      </c>
      <c r="AE2741" s="69">
        <f>IF(OR(Q2741="",R2741=""),"",(R2741-Q2741)*24)</f>
        <v/>
      </c>
      <c r="AF2741" s="77">
        <f>IF(OR($A2741="",B2741=""),"",YEAR(B2741))</f>
        <v/>
      </c>
      <c r="AG2741" s="77">
        <f>IF(OR($A2741="",B2741=""),"",MONTH(B2741))</f>
        <v/>
      </c>
    </row>
    <row r="2742">
      <c r="A2742" s="7" t="n"/>
      <c r="B2742" s="75" t="n"/>
      <c r="C2742" s="7" t="n"/>
      <c r="D2742" s="7" t="n"/>
      <c r="E2742" s="9">
        <f>IF(D2742="","",IFERROR(INDEX('Équipements'!$B$5:$B$304,MATCH(D2742,'Équipements'!$A$5:$A$304,0)),"Code inconnu"))</f>
        <v/>
      </c>
      <c r="F2742" s="9">
        <f>IF(D2742="","",IFERROR(INDEX('Équipements'!$D$5:$D$304,MATCH(D2742,'Équipements'!$A$5:$A$304,0)),""))</f>
        <v/>
      </c>
      <c r="G2742" s="9">
        <f>IF(D2742="","",IFERROR(INDEX('Équipements'!$K$5:$K$304,MATCH(D2742,'Équipements'!$A$5:$A$304,0)),""))</f>
        <v/>
      </c>
      <c r="H2742" s="7" t="n"/>
      <c r="I2742" s="7" t="n"/>
      <c r="J2742" s="7" t="n"/>
      <c r="K2742" s="7" t="n"/>
      <c r="L2742" s="7" t="n"/>
      <c r="M2742" s="7" t="n"/>
      <c r="N2742" s="7" t="n"/>
      <c r="O2742" s="7" t="n"/>
      <c r="P2742" s="65" t="n"/>
      <c r="Q2742" s="75" t="n"/>
      <c r="R2742" s="75" t="n"/>
      <c r="S2742" s="76" t="n"/>
      <c r="T2742" s="76" t="n"/>
      <c r="U2742" s="70">
        <f>IF($A2742="","",IFERROR(INDEX('Techniciens'!$F$5:$F$44,MATCH(O2742,'Techniciens'!$B$5:$B$44,0)),'Paramètres'!$AA$10))</f>
        <v/>
      </c>
      <c r="V2742" s="70">
        <f>IF($A2742="","",IF(OR(AC2742="Demandé",AC2742="Planifié",AC2742="Annulé"),0,N(T2742)*N(U2742)))</f>
        <v/>
      </c>
      <c r="W2742" s="70">
        <f>IF($A2742="","",SUMIFS('Mouvements stock'!$H$5:$H$3004,'Mouvements stock'!$I$5:$I$3004,$A2742,'Mouvements stock'!$C$5:$C$3004,"Sortie")-SUMIFS('Mouvements stock'!$H$5:$H$3004,'Mouvements stock'!$I$5:$I$3004,$A2742,'Mouvements stock'!$C$5:$C$3004,"Retour"))</f>
        <v/>
      </c>
      <c r="X2742" s="66" t="n"/>
      <c r="Y2742" s="66" t="n"/>
      <c r="Z2742" s="7" t="n"/>
      <c r="AA2742" s="70">
        <f>IF($A2742="","",N(V2742)+N(W2742)+N(X2742)+N(Y2742))</f>
        <v/>
      </c>
      <c r="AB2742" s="70">
        <f>IF($A2742="","",N(S2742)*'Paramètres'!$AA$9*IFERROR(INDEX('Paramètres'!$O$5:$O$7,MATCH(G2742,'Paramètres'!$N$5:$N$7,0)),0))</f>
        <v/>
      </c>
      <c r="AC2742" s="7" t="n"/>
      <c r="AD2742" s="69">
        <f>IF(OR($A2742="",Q2742=""),"",(Q2742-B2742)*24)</f>
        <v/>
      </c>
      <c r="AE2742" s="69">
        <f>IF(OR(Q2742="",R2742=""),"",(R2742-Q2742)*24)</f>
        <v/>
      </c>
      <c r="AF2742" s="77">
        <f>IF(OR($A2742="",B2742=""),"",YEAR(B2742))</f>
        <v/>
      </c>
      <c r="AG2742" s="77">
        <f>IF(OR($A2742="",B2742=""),"",MONTH(B2742))</f>
        <v/>
      </c>
    </row>
    <row r="2743">
      <c r="A2743" s="7" t="n"/>
      <c r="B2743" s="75" t="n"/>
      <c r="C2743" s="7" t="n"/>
      <c r="D2743" s="7" t="n"/>
      <c r="E2743" s="9">
        <f>IF(D2743="","",IFERROR(INDEX('Équipements'!$B$5:$B$304,MATCH(D2743,'Équipements'!$A$5:$A$304,0)),"Code inconnu"))</f>
        <v/>
      </c>
      <c r="F2743" s="9">
        <f>IF(D2743="","",IFERROR(INDEX('Équipements'!$D$5:$D$304,MATCH(D2743,'Équipements'!$A$5:$A$304,0)),""))</f>
        <v/>
      </c>
      <c r="G2743" s="9">
        <f>IF(D2743="","",IFERROR(INDEX('Équipements'!$K$5:$K$304,MATCH(D2743,'Équipements'!$A$5:$A$304,0)),""))</f>
        <v/>
      </c>
      <c r="H2743" s="7" t="n"/>
      <c r="I2743" s="7" t="n"/>
      <c r="J2743" s="7" t="n"/>
      <c r="K2743" s="7" t="n"/>
      <c r="L2743" s="7" t="n"/>
      <c r="M2743" s="7" t="n"/>
      <c r="N2743" s="7" t="n"/>
      <c r="O2743" s="7" t="n"/>
      <c r="P2743" s="65" t="n"/>
      <c r="Q2743" s="75" t="n"/>
      <c r="R2743" s="75" t="n"/>
      <c r="S2743" s="76" t="n"/>
      <c r="T2743" s="76" t="n"/>
      <c r="U2743" s="70">
        <f>IF($A2743="","",IFERROR(INDEX('Techniciens'!$F$5:$F$44,MATCH(O2743,'Techniciens'!$B$5:$B$44,0)),'Paramètres'!$AA$10))</f>
        <v/>
      </c>
      <c r="V2743" s="70">
        <f>IF($A2743="","",IF(OR(AC2743="Demandé",AC2743="Planifié",AC2743="Annulé"),0,N(T2743)*N(U2743)))</f>
        <v/>
      </c>
      <c r="W2743" s="70">
        <f>IF($A2743="","",SUMIFS('Mouvements stock'!$H$5:$H$3004,'Mouvements stock'!$I$5:$I$3004,$A2743,'Mouvements stock'!$C$5:$C$3004,"Sortie")-SUMIFS('Mouvements stock'!$H$5:$H$3004,'Mouvements stock'!$I$5:$I$3004,$A2743,'Mouvements stock'!$C$5:$C$3004,"Retour"))</f>
        <v/>
      </c>
      <c r="X2743" s="66" t="n"/>
      <c r="Y2743" s="66" t="n"/>
      <c r="Z2743" s="7" t="n"/>
      <c r="AA2743" s="70">
        <f>IF($A2743="","",N(V2743)+N(W2743)+N(X2743)+N(Y2743))</f>
        <v/>
      </c>
      <c r="AB2743" s="70">
        <f>IF($A2743="","",N(S2743)*'Paramètres'!$AA$9*IFERROR(INDEX('Paramètres'!$O$5:$O$7,MATCH(G2743,'Paramètres'!$N$5:$N$7,0)),0))</f>
        <v/>
      </c>
      <c r="AC2743" s="7" t="n"/>
      <c r="AD2743" s="69">
        <f>IF(OR($A2743="",Q2743=""),"",(Q2743-B2743)*24)</f>
        <v/>
      </c>
      <c r="AE2743" s="69">
        <f>IF(OR(Q2743="",R2743=""),"",(R2743-Q2743)*24)</f>
        <v/>
      </c>
      <c r="AF2743" s="77">
        <f>IF(OR($A2743="",B2743=""),"",YEAR(B2743))</f>
        <v/>
      </c>
      <c r="AG2743" s="77">
        <f>IF(OR($A2743="",B2743=""),"",MONTH(B2743))</f>
        <v/>
      </c>
    </row>
    <row r="2744">
      <c r="A2744" s="7" t="n"/>
      <c r="B2744" s="75" t="n"/>
      <c r="C2744" s="7" t="n"/>
      <c r="D2744" s="7" t="n"/>
      <c r="E2744" s="9">
        <f>IF(D2744="","",IFERROR(INDEX('Équipements'!$B$5:$B$304,MATCH(D2744,'Équipements'!$A$5:$A$304,0)),"Code inconnu"))</f>
        <v/>
      </c>
      <c r="F2744" s="9">
        <f>IF(D2744="","",IFERROR(INDEX('Équipements'!$D$5:$D$304,MATCH(D2744,'Équipements'!$A$5:$A$304,0)),""))</f>
        <v/>
      </c>
      <c r="G2744" s="9">
        <f>IF(D2744="","",IFERROR(INDEX('Équipements'!$K$5:$K$304,MATCH(D2744,'Équipements'!$A$5:$A$304,0)),""))</f>
        <v/>
      </c>
      <c r="H2744" s="7" t="n"/>
      <c r="I2744" s="7" t="n"/>
      <c r="J2744" s="7" t="n"/>
      <c r="K2744" s="7" t="n"/>
      <c r="L2744" s="7" t="n"/>
      <c r="M2744" s="7" t="n"/>
      <c r="N2744" s="7" t="n"/>
      <c r="O2744" s="7" t="n"/>
      <c r="P2744" s="65" t="n"/>
      <c r="Q2744" s="75" t="n"/>
      <c r="R2744" s="75" t="n"/>
      <c r="S2744" s="76" t="n"/>
      <c r="T2744" s="76" t="n"/>
      <c r="U2744" s="70">
        <f>IF($A2744="","",IFERROR(INDEX('Techniciens'!$F$5:$F$44,MATCH(O2744,'Techniciens'!$B$5:$B$44,0)),'Paramètres'!$AA$10))</f>
        <v/>
      </c>
      <c r="V2744" s="70">
        <f>IF($A2744="","",IF(OR(AC2744="Demandé",AC2744="Planifié",AC2744="Annulé"),0,N(T2744)*N(U2744)))</f>
        <v/>
      </c>
      <c r="W2744" s="70">
        <f>IF($A2744="","",SUMIFS('Mouvements stock'!$H$5:$H$3004,'Mouvements stock'!$I$5:$I$3004,$A2744,'Mouvements stock'!$C$5:$C$3004,"Sortie")-SUMIFS('Mouvements stock'!$H$5:$H$3004,'Mouvements stock'!$I$5:$I$3004,$A2744,'Mouvements stock'!$C$5:$C$3004,"Retour"))</f>
        <v/>
      </c>
      <c r="X2744" s="66" t="n"/>
      <c r="Y2744" s="66" t="n"/>
      <c r="Z2744" s="7" t="n"/>
      <c r="AA2744" s="70">
        <f>IF($A2744="","",N(V2744)+N(W2744)+N(X2744)+N(Y2744))</f>
        <v/>
      </c>
      <c r="AB2744" s="70">
        <f>IF($A2744="","",N(S2744)*'Paramètres'!$AA$9*IFERROR(INDEX('Paramètres'!$O$5:$O$7,MATCH(G2744,'Paramètres'!$N$5:$N$7,0)),0))</f>
        <v/>
      </c>
      <c r="AC2744" s="7" t="n"/>
      <c r="AD2744" s="69">
        <f>IF(OR($A2744="",Q2744=""),"",(Q2744-B2744)*24)</f>
        <v/>
      </c>
      <c r="AE2744" s="69">
        <f>IF(OR(Q2744="",R2744=""),"",(R2744-Q2744)*24)</f>
        <v/>
      </c>
      <c r="AF2744" s="77">
        <f>IF(OR($A2744="",B2744=""),"",YEAR(B2744))</f>
        <v/>
      </c>
      <c r="AG2744" s="77">
        <f>IF(OR($A2744="",B2744=""),"",MONTH(B2744))</f>
        <v/>
      </c>
    </row>
    <row r="2745">
      <c r="A2745" s="7" t="n"/>
      <c r="B2745" s="75" t="n"/>
      <c r="C2745" s="7" t="n"/>
      <c r="D2745" s="7" t="n"/>
      <c r="E2745" s="9">
        <f>IF(D2745="","",IFERROR(INDEX('Équipements'!$B$5:$B$304,MATCH(D2745,'Équipements'!$A$5:$A$304,0)),"Code inconnu"))</f>
        <v/>
      </c>
      <c r="F2745" s="9">
        <f>IF(D2745="","",IFERROR(INDEX('Équipements'!$D$5:$D$304,MATCH(D2745,'Équipements'!$A$5:$A$304,0)),""))</f>
        <v/>
      </c>
      <c r="G2745" s="9">
        <f>IF(D2745="","",IFERROR(INDEX('Équipements'!$K$5:$K$304,MATCH(D2745,'Équipements'!$A$5:$A$304,0)),""))</f>
        <v/>
      </c>
      <c r="H2745" s="7" t="n"/>
      <c r="I2745" s="7" t="n"/>
      <c r="J2745" s="7" t="n"/>
      <c r="K2745" s="7" t="n"/>
      <c r="L2745" s="7" t="n"/>
      <c r="M2745" s="7" t="n"/>
      <c r="N2745" s="7" t="n"/>
      <c r="O2745" s="7" t="n"/>
      <c r="P2745" s="65" t="n"/>
      <c r="Q2745" s="75" t="n"/>
      <c r="R2745" s="75" t="n"/>
      <c r="S2745" s="76" t="n"/>
      <c r="T2745" s="76" t="n"/>
      <c r="U2745" s="70">
        <f>IF($A2745="","",IFERROR(INDEX('Techniciens'!$F$5:$F$44,MATCH(O2745,'Techniciens'!$B$5:$B$44,0)),'Paramètres'!$AA$10))</f>
        <v/>
      </c>
      <c r="V2745" s="70">
        <f>IF($A2745="","",IF(OR(AC2745="Demandé",AC2745="Planifié",AC2745="Annulé"),0,N(T2745)*N(U2745)))</f>
        <v/>
      </c>
      <c r="W2745" s="70">
        <f>IF($A2745="","",SUMIFS('Mouvements stock'!$H$5:$H$3004,'Mouvements stock'!$I$5:$I$3004,$A2745,'Mouvements stock'!$C$5:$C$3004,"Sortie")-SUMIFS('Mouvements stock'!$H$5:$H$3004,'Mouvements stock'!$I$5:$I$3004,$A2745,'Mouvements stock'!$C$5:$C$3004,"Retour"))</f>
        <v/>
      </c>
      <c r="X2745" s="66" t="n"/>
      <c r="Y2745" s="66" t="n"/>
      <c r="Z2745" s="7" t="n"/>
      <c r="AA2745" s="70">
        <f>IF($A2745="","",N(V2745)+N(W2745)+N(X2745)+N(Y2745))</f>
        <v/>
      </c>
      <c r="AB2745" s="70">
        <f>IF($A2745="","",N(S2745)*'Paramètres'!$AA$9*IFERROR(INDEX('Paramètres'!$O$5:$O$7,MATCH(G2745,'Paramètres'!$N$5:$N$7,0)),0))</f>
        <v/>
      </c>
      <c r="AC2745" s="7" t="n"/>
      <c r="AD2745" s="69">
        <f>IF(OR($A2745="",Q2745=""),"",(Q2745-B2745)*24)</f>
        <v/>
      </c>
      <c r="AE2745" s="69">
        <f>IF(OR(Q2745="",R2745=""),"",(R2745-Q2745)*24)</f>
        <v/>
      </c>
      <c r="AF2745" s="77">
        <f>IF(OR($A2745="",B2745=""),"",YEAR(B2745))</f>
        <v/>
      </c>
      <c r="AG2745" s="77">
        <f>IF(OR($A2745="",B2745=""),"",MONTH(B2745))</f>
        <v/>
      </c>
    </row>
    <row r="2746">
      <c r="A2746" s="7" t="n"/>
      <c r="B2746" s="75" t="n"/>
      <c r="C2746" s="7" t="n"/>
      <c r="D2746" s="7" t="n"/>
      <c r="E2746" s="9">
        <f>IF(D2746="","",IFERROR(INDEX('Équipements'!$B$5:$B$304,MATCH(D2746,'Équipements'!$A$5:$A$304,0)),"Code inconnu"))</f>
        <v/>
      </c>
      <c r="F2746" s="9">
        <f>IF(D2746="","",IFERROR(INDEX('Équipements'!$D$5:$D$304,MATCH(D2746,'Équipements'!$A$5:$A$304,0)),""))</f>
        <v/>
      </c>
      <c r="G2746" s="9">
        <f>IF(D2746="","",IFERROR(INDEX('Équipements'!$K$5:$K$304,MATCH(D2746,'Équipements'!$A$5:$A$304,0)),""))</f>
        <v/>
      </c>
      <c r="H2746" s="7" t="n"/>
      <c r="I2746" s="7" t="n"/>
      <c r="J2746" s="7" t="n"/>
      <c r="K2746" s="7" t="n"/>
      <c r="L2746" s="7" t="n"/>
      <c r="M2746" s="7" t="n"/>
      <c r="N2746" s="7" t="n"/>
      <c r="O2746" s="7" t="n"/>
      <c r="P2746" s="65" t="n"/>
      <c r="Q2746" s="75" t="n"/>
      <c r="R2746" s="75" t="n"/>
      <c r="S2746" s="76" t="n"/>
      <c r="T2746" s="76" t="n"/>
      <c r="U2746" s="70">
        <f>IF($A2746="","",IFERROR(INDEX('Techniciens'!$F$5:$F$44,MATCH(O2746,'Techniciens'!$B$5:$B$44,0)),'Paramètres'!$AA$10))</f>
        <v/>
      </c>
      <c r="V2746" s="70">
        <f>IF($A2746="","",IF(OR(AC2746="Demandé",AC2746="Planifié",AC2746="Annulé"),0,N(T2746)*N(U2746)))</f>
        <v/>
      </c>
      <c r="W2746" s="70">
        <f>IF($A2746="","",SUMIFS('Mouvements stock'!$H$5:$H$3004,'Mouvements stock'!$I$5:$I$3004,$A2746,'Mouvements stock'!$C$5:$C$3004,"Sortie")-SUMIFS('Mouvements stock'!$H$5:$H$3004,'Mouvements stock'!$I$5:$I$3004,$A2746,'Mouvements stock'!$C$5:$C$3004,"Retour"))</f>
        <v/>
      </c>
      <c r="X2746" s="66" t="n"/>
      <c r="Y2746" s="66" t="n"/>
      <c r="Z2746" s="7" t="n"/>
      <c r="AA2746" s="70">
        <f>IF($A2746="","",N(V2746)+N(W2746)+N(X2746)+N(Y2746))</f>
        <v/>
      </c>
      <c r="AB2746" s="70">
        <f>IF($A2746="","",N(S2746)*'Paramètres'!$AA$9*IFERROR(INDEX('Paramètres'!$O$5:$O$7,MATCH(G2746,'Paramètres'!$N$5:$N$7,0)),0))</f>
        <v/>
      </c>
      <c r="AC2746" s="7" t="n"/>
      <c r="AD2746" s="69">
        <f>IF(OR($A2746="",Q2746=""),"",(Q2746-B2746)*24)</f>
        <v/>
      </c>
      <c r="AE2746" s="69">
        <f>IF(OR(Q2746="",R2746=""),"",(R2746-Q2746)*24)</f>
        <v/>
      </c>
      <c r="AF2746" s="77">
        <f>IF(OR($A2746="",B2746=""),"",YEAR(B2746))</f>
        <v/>
      </c>
      <c r="AG2746" s="77">
        <f>IF(OR($A2746="",B2746=""),"",MONTH(B2746))</f>
        <v/>
      </c>
    </row>
    <row r="2747">
      <c r="A2747" s="7" t="n"/>
      <c r="B2747" s="75" t="n"/>
      <c r="C2747" s="7" t="n"/>
      <c r="D2747" s="7" t="n"/>
      <c r="E2747" s="9">
        <f>IF(D2747="","",IFERROR(INDEX('Équipements'!$B$5:$B$304,MATCH(D2747,'Équipements'!$A$5:$A$304,0)),"Code inconnu"))</f>
        <v/>
      </c>
      <c r="F2747" s="9">
        <f>IF(D2747="","",IFERROR(INDEX('Équipements'!$D$5:$D$304,MATCH(D2747,'Équipements'!$A$5:$A$304,0)),""))</f>
        <v/>
      </c>
      <c r="G2747" s="9">
        <f>IF(D2747="","",IFERROR(INDEX('Équipements'!$K$5:$K$304,MATCH(D2747,'Équipements'!$A$5:$A$304,0)),""))</f>
        <v/>
      </c>
      <c r="H2747" s="7" t="n"/>
      <c r="I2747" s="7" t="n"/>
      <c r="J2747" s="7" t="n"/>
      <c r="K2747" s="7" t="n"/>
      <c r="L2747" s="7" t="n"/>
      <c r="M2747" s="7" t="n"/>
      <c r="N2747" s="7" t="n"/>
      <c r="O2747" s="7" t="n"/>
      <c r="P2747" s="65" t="n"/>
      <c r="Q2747" s="75" t="n"/>
      <c r="R2747" s="75" t="n"/>
      <c r="S2747" s="76" t="n"/>
      <c r="T2747" s="76" t="n"/>
      <c r="U2747" s="70">
        <f>IF($A2747="","",IFERROR(INDEX('Techniciens'!$F$5:$F$44,MATCH(O2747,'Techniciens'!$B$5:$B$44,0)),'Paramètres'!$AA$10))</f>
        <v/>
      </c>
      <c r="V2747" s="70">
        <f>IF($A2747="","",IF(OR(AC2747="Demandé",AC2747="Planifié",AC2747="Annulé"),0,N(T2747)*N(U2747)))</f>
        <v/>
      </c>
      <c r="W2747" s="70">
        <f>IF($A2747="","",SUMIFS('Mouvements stock'!$H$5:$H$3004,'Mouvements stock'!$I$5:$I$3004,$A2747,'Mouvements stock'!$C$5:$C$3004,"Sortie")-SUMIFS('Mouvements stock'!$H$5:$H$3004,'Mouvements stock'!$I$5:$I$3004,$A2747,'Mouvements stock'!$C$5:$C$3004,"Retour"))</f>
        <v/>
      </c>
      <c r="X2747" s="66" t="n"/>
      <c r="Y2747" s="66" t="n"/>
      <c r="Z2747" s="7" t="n"/>
      <c r="AA2747" s="70">
        <f>IF($A2747="","",N(V2747)+N(W2747)+N(X2747)+N(Y2747))</f>
        <v/>
      </c>
      <c r="AB2747" s="70">
        <f>IF($A2747="","",N(S2747)*'Paramètres'!$AA$9*IFERROR(INDEX('Paramètres'!$O$5:$O$7,MATCH(G2747,'Paramètres'!$N$5:$N$7,0)),0))</f>
        <v/>
      </c>
      <c r="AC2747" s="7" t="n"/>
      <c r="AD2747" s="69">
        <f>IF(OR($A2747="",Q2747=""),"",(Q2747-B2747)*24)</f>
        <v/>
      </c>
      <c r="AE2747" s="69">
        <f>IF(OR(Q2747="",R2747=""),"",(R2747-Q2747)*24)</f>
        <v/>
      </c>
      <c r="AF2747" s="77">
        <f>IF(OR($A2747="",B2747=""),"",YEAR(B2747))</f>
        <v/>
      </c>
      <c r="AG2747" s="77">
        <f>IF(OR($A2747="",B2747=""),"",MONTH(B2747))</f>
        <v/>
      </c>
    </row>
    <row r="2748">
      <c r="A2748" s="7" t="n"/>
      <c r="B2748" s="75" t="n"/>
      <c r="C2748" s="7" t="n"/>
      <c r="D2748" s="7" t="n"/>
      <c r="E2748" s="9">
        <f>IF(D2748="","",IFERROR(INDEX('Équipements'!$B$5:$B$304,MATCH(D2748,'Équipements'!$A$5:$A$304,0)),"Code inconnu"))</f>
        <v/>
      </c>
      <c r="F2748" s="9">
        <f>IF(D2748="","",IFERROR(INDEX('Équipements'!$D$5:$D$304,MATCH(D2748,'Équipements'!$A$5:$A$304,0)),""))</f>
        <v/>
      </c>
      <c r="G2748" s="9">
        <f>IF(D2748="","",IFERROR(INDEX('Équipements'!$K$5:$K$304,MATCH(D2748,'Équipements'!$A$5:$A$304,0)),""))</f>
        <v/>
      </c>
      <c r="H2748" s="7" t="n"/>
      <c r="I2748" s="7" t="n"/>
      <c r="J2748" s="7" t="n"/>
      <c r="K2748" s="7" t="n"/>
      <c r="L2748" s="7" t="n"/>
      <c r="M2748" s="7" t="n"/>
      <c r="N2748" s="7" t="n"/>
      <c r="O2748" s="7" t="n"/>
      <c r="P2748" s="65" t="n"/>
      <c r="Q2748" s="75" t="n"/>
      <c r="R2748" s="75" t="n"/>
      <c r="S2748" s="76" t="n"/>
      <c r="T2748" s="76" t="n"/>
      <c r="U2748" s="70">
        <f>IF($A2748="","",IFERROR(INDEX('Techniciens'!$F$5:$F$44,MATCH(O2748,'Techniciens'!$B$5:$B$44,0)),'Paramètres'!$AA$10))</f>
        <v/>
      </c>
      <c r="V2748" s="70">
        <f>IF($A2748="","",IF(OR(AC2748="Demandé",AC2748="Planifié",AC2748="Annulé"),0,N(T2748)*N(U2748)))</f>
        <v/>
      </c>
      <c r="W2748" s="70">
        <f>IF($A2748="","",SUMIFS('Mouvements stock'!$H$5:$H$3004,'Mouvements stock'!$I$5:$I$3004,$A2748,'Mouvements stock'!$C$5:$C$3004,"Sortie")-SUMIFS('Mouvements stock'!$H$5:$H$3004,'Mouvements stock'!$I$5:$I$3004,$A2748,'Mouvements stock'!$C$5:$C$3004,"Retour"))</f>
        <v/>
      </c>
      <c r="X2748" s="66" t="n"/>
      <c r="Y2748" s="66" t="n"/>
      <c r="Z2748" s="7" t="n"/>
      <c r="AA2748" s="70">
        <f>IF($A2748="","",N(V2748)+N(W2748)+N(X2748)+N(Y2748))</f>
        <v/>
      </c>
      <c r="AB2748" s="70">
        <f>IF($A2748="","",N(S2748)*'Paramètres'!$AA$9*IFERROR(INDEX('Paramètres'!$O$5:$O$7,MATCH(G2748,'Paramètres'!$N$5:$N$7,0)),0))</f>
        <v/>
      </c>
      <c r="AC2748" s="7" t="n"/>
      <c r="AD2748" s="69">
        <f>IF(OR($A2748="",Q2748=""),"",(Q2748-B2748)*24)</f>
        <v/>
      </c>
      <c r="AE2748" s="69">
        <f>IF(OR(Q2748="",R2748=""),"",(R2748-Q2748)*24)</f>
        <v/>
      </c>
      <c r="AF2748" s="77">
        <f>IF(OR($A2748="",B2748=""),"",YEAR(B2748))</f>
        <v/>
      </c>
      <c r="AG2748" s="77">
        <f>IF(OR($A2748="",B2748=""),"",MONTH(B2748))</f>
        <v/>
      </c>
    </row>
    <row r="2749">
      <c r="A2749" s="7" t="n"/>
      <c r="B2749" s="75" t="n"/>
      <c r="C2749" s="7" t="n"/>
      <c r="D2749" s="7" t="n"/>
      <c r="E2749" s="9">
        <f>IF(D2749="","",IFERROR(INDEX('Équipements'!$B$5:$B$304,MATCH(D2749,'Équipements'!$A$5:$A$304,0)),"Code inconnu"))</f>
        <v/>
      </c>
      <c r="F2749" s="9">
        <f>IF(D2749="","",IFERROR(INDEX('Équipements'!$D$5:$D$304,MATCH(D2749,'Équipements'!$A$5:$A$304,0)),""))</f>
        <v/>
      </c>
      <c r="G2749" s="9">
        <f>IF(D2749="","",IFERROR(INDEX('Équipements'!$K$5:$K$304,MATCH(D2749,'Équipements'!$A$5:$A$304,0)),""))</f>
        <v/>
      </c>
      <c r="H2749" s="7" t="n"/>
      <c r="I2749" s="7" t="n"/>
      <c r="J2749" s="7" t="n"/>
      <c r="K2749" s="7" t="n"/>
      <c r="L2749" s="7" t="n"/>
      <c r="M2749" s="7" t="n"/>
      <c r="N2749" s="7" t="n"/>
      <c r="O2749" s="7" t="n"/>
      <c r="P2749" s="65" t="n"/>
      <c r="Q2749" s="75" t="n"/>
      <c r="R2749" s="75" t="n"/>
      <c r="S2749" s="76" t="n"/>
      <c r="T2749" s="76" t="n"/>
      <c r="U2749" s="70">
        <f>IF($A2749="","",IFERROR(INDEX('Techniciens'!$F$5:$F$44,MATCH(O2749,'Techniciens'!$B$5:$B$44,0)),'Paramètres'!$AA$10))</f>
        <v/>
      </c>
      <c r="V2749" s="70">
        <f>IF($A2749="","",IF(OR(AC2749="Demandé",AC2749="Planifié",AC2749="Annulé"),0,N(T2749)*N(U2749)))</f>
        <v/>
      </c>
      <c r="W2749" s="70">
        <f>IF($A2749="","",SUMIFS('Mouvements stock'!$H$5:$H$3004,'Mouvements stock'!$I$5:$I$3004,$A2749,'Mouvements stock'!$C$5:$C$3004,"Sortie")-SUMIFS('Mouvements stock'!$H$5:$H$3004,'Mouvements stock'!$I$5:$I$3004,$A2749,'Mouvements stock'!$C$5:$C$3004,"Retour"))</f>
        <v/>
      </c>
      <c r="X2749" s="66" t="n"/>
      <c r="Y2749" s="66" t="n"/>
      <c r="Z2749" s="7" t="n"/>
      <c r="AA2749" s="70">
        <f>IF($A2749="","",N(V2749)+N(W2749)+N(X2749)+N(Y2749))</f>
        <v/>
      </c>
      <c r="AB2749" s="70">
        <f>IF($A2749="","",N(S2749)*'Paramètres'!$AA$9*IFERROR(INDEX('Paramètres'!$O$5:$O$7,MATCH(G2749,'Paramètres'!$N$5:$N$7,0)),0))</f>
        <v/>
      </c>
      <c r="AC2749" s="7" t="n"/>
      <c r="AD2749" s="69">
        <f>IF(OR($A2749="",Q2749=""),"",(Q2749-B2749)*24)</f>
        <v/>
      </c>
      <c r="AE2749" s="69">
        <f>IF(OR(Q2749="",R2749=""),"",(R2749-Q2749)*24)</f>
        <v/>
      </c>
      <c r="AF2749" s="77">
        <f>IF(OR($A2749="",B2749=""),"",YEAR(B2749))</f>
        <v/>
      </c>
      <c r="AG2749" s="77">
        <f>IF(OR($A2749="",B2749=""),"",MONTH(B2749))</f>
        <v/>
      </c>
    </row>
    <row r="2750">
      <c r="A2750" s="7" t="n"/>
      <c r="B2750" s="75" t="n"/>
      <c r="C2750" s="7" t="n"/>
      <c r="D2750" s="7" t="n"/>
      <c r="E2750" s="9">
        <f>IF(D2750="","",IFERROR(INDEX('Équipements'!$B$5:$B$304,MATCH(D2750,'Équipements'!$A$5:$A$304,0)),"Code inconnu"))</f>
        <v/>
      </c>
      <c r="F2750" s="9">
        <f>IF(D2750="","",IFERROR(INDEX('Équipements'!$D$5:$D$304,MATCH(D2750,'Équipements'!$A$5:$A$304,0)),""))</f>
        <v/>
      </c>
      <c r="G2750" s="9">
        <f>IF(D2750="","",IFERROR(INDEX('Équipements'!$K$5:$K$304,MATCH(D2750,'Équipements'!$A$5:$A$304,0)),""))</f>
        <v/>
      </c>
      <c r="H2750" s="7" t="n"/>
      <c r="I2750" s="7" t="n"/>
      <c r="J2750" s="7" t="n"/>
      <c r="K2750" s="7" t="n"/>
      <c r="L2750" s="7" t="n"/>
      <c r="M2750" s="7" t="n"/>
      <c r="N2750" s="7" t="n"/>
      <c r="O2750" s="7" t="n"/>
      <c r="P2750" s="65" t="n"/>
      <c r="Q2750" s="75" t="n"/>
      <c r="R2750" s="75" t="n"/>
      <c r="S2750" s="76" t="n"/>
      <c r="T2750" s="76" t="n"/>
      <c r="U2750" s="70">
        <f>IF($A2750="","",IFERROR(INDEX('Techniciens'!$F$5:$F$44,MATCH(O2750,'Techniciens'!$B$5:$B$44,0)),'Paramètres'!$AA$10))</f>
        <v/>
      </c>
      <c r="V2750" s="70">
        <f>IF($A2750="","",IF(OR(AC2750="Demandé",AC2750="Planifié",AC2750="Annulé"),0,N(T2750)*N(U2750)))</f>
        <v/>
      </c>
      <c r="W2750" s="70">
        <f>IF($A2750="","",SUMIFS('Mouvements stock'!$H$5:$H$3004,'Mouvements stock'!$I$5:$I$3004,$A2750,'Mouvements stock'!$C$5:$C$3004,"Sortie")-SUMIFS('Mouvements stock'!$H$5:$H$3004,'Mouvements stock'!$I$5:$I$3004,$A2750,'Mouvements stock'!$C$5:$C$3004,"Retour"))</f>
        <v/>
      </c>
      <c r="X2750" s="66" t="n"/>
      <c r="Y2750" s="66" t="n"/>
      <c r="Z2750" s="7" t="n"/>
      <c r="AA2750" s="70">
        <f>IF($A2750="","",N(V2750)+N(W2750)+N(X2750)+N(Y2750))</f>
        <v/>
      </c>
      <c r="AB2750" s="70">
        <f>IF($A2750="","",N(S2750)*'Paramètres'!$AA$9*IFERROR(INDEX('Paramètres'!$O$5:$O$7,MATCH(G2750,'Paramètres'!$N$5:$N$7,0)),0))</f>
        <v/>
      </c>
      <c r="AC2750" s="7" t="n"/>
      <c r="AD2750" s="69">
        <f>IF(OR($A2750="",Q2750=""),"",(Q2750-B2750)*24)</f>
        <v/>
      </c>
      <c r="AE2750" s="69">
        <f>IF(OR(Q2750="",R2750=""),"",(R2750-Q2750)*24)</f>
        <v/>
      </c>
      <c r="AF2750" s="77">
        <f>IF(OR($A2750="",B2750=""),"",YEAR(B2750))</f>
        <v/>
      </c>
      <c r="AG2750" s="77">
        <f>IF(OR($A2750="",B2750=""),"",MONTH(B2750))</f>
        <v/>
      </c>
    </row>
    <row r="2751">
      <c r="A2751" s="7" t="n"/>
      <c r="B2751" s="75" t="n"/>
      <c r="C2751" s="7" t="n"/>
      <c r="D2751" s="7" t="n"/>
      <c r="E2751" s="9">
        <f>IF(D2751="","",IFERROR(INDEX('Équipements'!$B$5:$B$304,MATCH(D2751,'Équipements'!$A$5:$A$304,0)),"Code inconnu"))</f>
        <v/>
      </c>
      <c r="F2751" s="9">
        <f>IF(D2751="","",IFERROR(INDEX('Équipements'!$D$5:$D$304,MATCH(D2751,'Équipements'!$A$5:$A$304,0)),""))</f>
        <v/>
      </c>
      <c r="G2751" s="9">
        <f>IF(D2751="","",IFERROR(INDEX('Équipements'!$K$5:$K$304,MATCH(D2751,'Équipements'!$A$5:$A$304,0)),""))</f>
        <v/>
      </c>
      <c r="H2751" s="7" t="n"/>
      <c r="I2751" s="7" t="n"/>
      <c r="J2751" s="7" t="n"/>
      <c r="K2751" s="7" t="n"/>
      <c r="L2751" s="7" t="n"/>
      <c r="M2751" s="7" t="n"/>
      <c r="N2751" s="7" t="n"/>
      <c r="O2751" s="7" t="n"/>
      <c r="P2751" s="65" t="n"/>
      <c r="Q2751" s="75" t="n"/>
      <c r="R2751" s="75" t="n"/>
      <c r="S2751" s="76" t="n"/>
      <c r="T2751" s="76" t="n"/>
      <c r="U2751" s="70">
        <f>IF($A2751="","",IFERROR(INDEX('Techniciens'!$F$5:$F$44,MATCH(O2751,'Techniciens'!$B$5:$B$44,0)),'Paramètres'!$AA$10))</f>
        <v/>
      </c>
      <c r="V2751" s="70">
        <f>IF($A2751="","",IF(OR(AC2751="Demandé",AC2751="Planifié",AC2751="Annulé"),0,N(T2751)*N(U2751)))</f>
        <v/>
      </c>
      <c r="W2751" s="70">
        <f>IF($A2751="","",SUMIFS('Mouvements stock'!$H$5:$H$3004,'Mouvements stock'!$I$5:$I$3004,$A2751,'Mouvements stock'!$C$5:$C$3004,"Sortie")-SUMIFS('Mouvements stock'!$H$5:$H$3004,'Mouvements stock'!$I$5:$I$3004,$A2751,'Mouvements stock'!$C$5:$C$3004,"Retour"))</f>
        <v/>
      </c>
      <c r="X2751" s="66" t="n"/>
      <c r="Y2751" s="66" t="n"/>
      <c r="Z2751" s="7" t="n"/>
      <c r="AA2751" s="70">
        <f>IF($A2751="","",N(V2751)+N(W2751)+N(X2751)+N(Y2751))</f>
        <v/>
      </c>
      <c r="AB2751" s="70">
        <f>IF($A2751="","",N(S2751)*'Paramètres'!$AA$9*IFERROR(INDEX('Paramètres'!$O$5:$O$7,MATCH(G2751,'Paramètres'!$N$5:$N$7,0)),0))</f>
        <v/>
      </c>
      <c r="AC2751" s="7" t="n"/>
      <c r="AD2751" s="69">
        <f>IF(OR($A2751="",Q2751=""),"",(Q2751-B2751)*24)</f>
        <v/>
      </c>
      <c r="AE2751" s="69">
        <f>IF(OR(Q2751="",R2751=""),"",(R2751-Q2751)*24)</f>
        <v/>
      </c>
      <c r="AF2751" s="77">
        <f>IF(OR($A2751="",B2751=""),"",YEAR(B2751))</f>
        <v/>
      </c>
      <c r="AG2751" s="77">
        <f>IF(OR($A2751="",B2751=""),"",MONTH(B2751))</f>
        <v/>
      </c>
    </row>
    <row r="2752">
      <c r="A2752" s="7" t="n"/>
      <c r="B2752" s="75" t="n"/>
      <c r="C2752" s="7" t="n"/>
      <c r="D2752" s="7" t="n"/>
      <c r="E2752" s="9">
        <f>IF(D2752="","",IFERROR(INDEX('Équipements'!$B$5:$B$304,MATCH(D2752,'Équipements'!$A$5:$A$304,0)),"Code inconnu"))</f>
        <v/>
      </c>
      <c r="F2752" s="9">
        <f>IF(D2752="","",IFERROR(INDEX('Équipements'!$D$5:$D$304,MATCH(D2752,'Équipements'!$A$5:$A$304,0)),""))</f>
        <v/>
      </c>
      <c r="G2752" s="9">
        <f>IF(D2752="","",IFERROR(INDEX('Équipements'!$K$5:$K$304,MATCH(D2752,'Équipements'!$A$5:$A$304,0)),""))</f>
        <v/>
      </c>
      <c r="H2752" s="7" t="n"/>
      <c r="I2752" s="7" t="n"/>
      <c r="J2752" s="7" t="n"/>
      <c r="K2752" s="7" t="n"/>
      <c r="L2752" s="7" t="n"/>
      <c r="M2752" s="7" t="n"/>
      <c r="N2752" s="7" t="n"/>
      <c r="O2752" s="7" t="n"/>
      <c r="P2752" s="65" t="n"/>
      <c r="Q2752" s="75" t="n"/>
      <c r="R2752" s="75" t="n"/>
      <c r="S2752" s="76" t="n"/>
      <c r="T2752" s="76" t="n"/>
      <c r="U2752" s="70">
        <f>IF($A2752="","",IFERROR(INDEX('Techniciens'!$F$5:$F$44,MATCH(O2752,'Techniciens'!$B$5:$B$44,0)),'Paramètres'!$AA$10))</f>
        <v/>
      </c>
      <c r="V2752" s="70">
        <f>IF($A2752="","",IF(OR(AC2752="Demandé",AC2752="Planifié",AC2752="Annulé"),0,N(T2752)*N(U2752)))</f>
        <v/>
      </c>
      <c r="W2752" s="70">
        <f>IF($A2752="","",SUMIFS('Mouvements stock'!$H$5:$H$3004,'Mouvements stock'!$I$5:$I$3004,$A2752,'Mouvements stock'!$C$5:$C$3004,"Sortie")-SUMIFS('Mouvements stock'!$H$5:$H$3004,'Mouvements stock'!$I$5:$I$3004,$A2752,'Mouvements stock'!$C$5:$C$3004,"Retour"))</f>
        <v/>
      </c>
      <c r="X2752" s="66" t="n"/>
      <c r="Y2752" s="66" t="n"/>
      <c r="Z2752" s="7" t="n"/>
      <c r="AA2752" s="70">
        <f>IF($A2752="","",N(V2752)+N(W2752)+N(X2752)+N(Y2752))</f>
        <v/>
      </c>
      <c r="AB2752" s="70">
        <f>IF($A2752="","",N(S2752)*'Paramètres'!$AA$9*IFERROR(INDEX('Paramètres'!$O$5:$O$7,MATCH(G2752,'Paramètres'!$N$5:$N$7,0)),0))</f>
        <v/>
      </c>
      <c r="AC2752" s="7" t="n"/>
      <c r="AD2752" s="69">
        <f>IF(OR($A2752="",Q2752=""),"",(Q2752-B2752)*24)</f>
        <v/>
      </c>
      <c r="AE2752" s="69">
        <f>IF(OR(Q2752="",R2752=""),"",(R2752-Q2752)*24)</f>
        <v/>
      </c>
      <c r="AF2752" s="77">
        <f>IF(OR($A2752="",B2752=""),"",YEAR(B2752))</f>
        <v/>
      </c>
      <c r="AG2752" s="77">
        <f>IF(OR($A2752="",B2752=""),"",MONTH(B2752))</f>
        <v/>
      </c>
    </row>
    <row r="2753">
      <c r="A2753" s="7" t="n"/>
      <c r="B2753" s="75" t="n"/>
      <c r="C2753" s="7" t="n"/>
      <c r="D2753" s="7" t="n"/>
      <c r="E2753" s="9">
        <f>IF(D2753="","",IFERROR(INDEX('Équipements'!$B$5:$B$304,MATCH(D2753,'Équipements'!$A$5:$A$304,0)),"Code inconnu"))</f>
        <v/>
      </c>
      <c r="F2753" s="9">
        <f>IF(D2753="","",IFERROR(INDEX('Équipements'!$D$5:$D$304,MATCH(D2753,'Équipements'!$A$5:$A$304,0)),""))</f>
        <v/>
      </c>
      <c r="G2753" s="9">
        <f>IF(D2753="","",IFERROR(INDEX('Équipements'!$K$5:$K$304,MATCH(D2753,'Équipements'!$A$5:$A$304,0)),""))</f>
        <v/>
      </c>
      <c r="H2753" s="7" t="n"/>
      <c r="I2753" s="7" t="n"/>
      <c r="J2753" s="7" t="n"/>
      <c r="K2753" s="7" t="n"/>
      <c r="L2753" s="7" t="n"/>
      <c r="M2753" s="7" t="n"/>
      <c r="N2753" s="7" t="n"/>
      <c r="O2753" s="7" t="n"/>
      <c r="P2753" s="65" t="n"/>
      <c r="Q2753" s="75" t="n"/>
      <c r="R2753" s="75" t="n"/>
      <c r="S2753" s="76" t="n"/>
      <c r="T2753" s="76" t="n"/>
      <c r="U2753" s="70">
        <f>IF($A2753="","",IFERROR(INDEX('Techniciens'!$F$5:$F$44,MATCH(O2753,'Techniciens'!$B$5:$B$44,0)),'Paramètres'!$AA$10))</f>
        <v/>
      </c>
      <c r="V2753" s="70">
        <f>IF($A2753="","",IF(OR(AC2753="Demandé",AC2753="Planifié",AC2753="Annulé"),0,N(T2753)*N(U2753)))</f>
        <v/>
      </c>
      <c r="W2753" s="70">
        <f>IF($A2753="","",SUMIFS('Mouvements stock'!$H$5:$H$3004,'Mouvements stock'!$I$5:$I$3004,$A2753,'Mouvements stock'!$C$5:$C$3004,"Sortie")-SUMIFS('Mouvements stock'!$H$5:$H$3004,'Mouvements stock'!$I$5:$I$3004,$A2753,'Mouvements stock'!$C$5:$C$3004,"Retour"))</f>
        <v/>
      </c>
      <c r="X2753" s="66" t="n"/>
      <c r="Y2753" s="66" t="n"/>
      <c r="Z2753" s="7" t="n"/>
      <c r="AA2753" s="70">
        <f>IF($A2753="","",N(V2753)+N(W2753)+N(X2753)+N(Y2753))</f>
        <v/>
      </c>
      <c r="AB2753" s="70">
        <f>IF($A2753="","",N(S2753)*'Paramètres'!$AA$9*IFERROR(INDEX('Paramètres'!$O$5:$O$7,MATCH(G2753,'Paramètres'!$N$5:$N$7,0)),0))</f>
        <v/>
      </c>
      <c r="AC2753" s="7" t="n"/>
      <c r="AD2753" s="69">
        <f>IF(OR($A2753="",Q2753=""),"",(Q2753-B2753)*24)</f>
        <v/>
      </c>
      <c r="AE2753" s="69">
        <f>IF(OR(Q2753="",R2753=""),"",(R2753-Q2753)*24)</f>
        <v/>
      </c>
      <c r="AF2753" s="77">
        <f>IF(OR($A2753="",B2753=""),"",YEAR(B2753))</f>
        <v/>
      </c>
      <c r="AG2753" s="77">
        <f>IF(OR($A2753="",B2753=""),"",MONTH(B2753))</f>
        <v/>
      </c>
    </row>
    <row r="2754">
      <c r="A2754" s="7" t="n"/>
      <c r="B2754" s="75" t="n"/>
      <c r="C2754" s="7" t="n"/>
      <c r="D2754" s="7" t="n"/>
      <c r="E2754" s="9">
        <f>IF(D2754="","",IFERROR(INDEX('Équipements'!$B$5:$B$304,MATCH(D2754,'Équipements'!$A$5:$A$304,0)),"Code inconnu"))</f>
        <v/>
      </c>
      <c r="F2754" s="9">
        <f>IF(D2754="","",IFERROR(INDEX('Équipements'!$D$5:$D$304,MATCH(D2754,'Équipements'!$A$5:$A$304,0)),""))</f>
        <v/>
      </c>
      <c r="G2754" s="9">
        <f>IF(D2754="","",IFERROR(INDEX('Équipements'!$K$5:$K$304,MATCH(D2754,'Équipements'!$A$5:$A$304,0)),""))</f>
        <v/>
      </c>
      <c r="H2754" s="7" t="n"/>
      <c r="I2754" s="7" t="n"/>
      <c r="J2754" s="7" t="n"/>
      <c r="K2754" s="7" t="n"/>
      <c r="L2754" s="7" t="n"/>
      <c r="M2754" s="7" t="n"/>
      <c r="N2754" s="7" t="n"/>
      <c r="O2754" s="7" t="n"/>
      <c r="P2754" s="65" t="n"/>
      <c r="Q2754" s="75" t="n"/>
      <c r="R2754" s="75" t="n"/>
      <c r="S2754" s="76" t="n"/>
      <c r="T2754" s="76" t="n"/>
      <c r="U2754" s="70">
        <f>IF($A2754="","",IFERROR(INDEX('Techniciens'!$F$5:$F$44,MATCH(O2754,'Techniciens'!$B$5:$B$44,0)),'Paramètres'!$AA$10))</f>
        <v/>
      </c>
      <c r="V2754" s="70">
        <f>IF($A2754="","",IF(OR(AC2754="Demandé",AC2754="Planifié",AC2754="Annulé"),0,N(T2754)*N(U2754)))</f>
        <v/>
      </c>
      <c r="W2754" s="70">
        <f>IF($A2754="","",SUMIFS('Mouvements stock'!$H$5:$H$3004,'Mouvements stock'!$I$5:$I$3004,$A2754,'Mouvements stock'!$C$5:$C$3004,"Sortie")-SUMIFS('Mouvements stock'!$H$5:$H$3004,'Mouvements stock'!$I$5:$I$3004,$A2754,'Mouvements stock'!$C$5:$C$3004,"Retour"))</f>
        <v/>
      </c>
      <c r="X2754" s="66" t="n"/>
      <c r="Y2754" s="66" t="n"/>
      <c r="Z2754" s="7" t="n"/>
      <c r="AA2754" s="70">
        <f>IF($A2754="","",N(V2754)+N(W2754)+N(X2754)+N(Y2754))</f>
        <v/>
      </c>
      <c r="AB2754" s="70">
        <f>IF($A2754="","",N(S2754)*'Paramètres'!$AA$9*IFERROR(INDEX('Paramètres'!$O$5:$O$7,MATCH(G2754,'Paramètres'!$N$5:$N$7,0)),0))</f>
        <v/>
      </c>
      <c r="AC2754" s="7" t="n"/>
      <c r="AD2754" s="69">
        <f>IF(OR($A2754="",Q2754=""),"",(Q2754-B2754)*24)</f>
        <v/>
      </c>
      <c r="AE2754" s="69">
        <f>IF(OR(Q2754="",R2754=""),"",(R2754-Q2754)*24)</f>
        <v/>
      </c>
      <c r="AF2754" s="77">
        <f>IF(OR($A2754="",B2754=""),"",YEAR(B2754))</f>
        <v/>
      </c>
      <c r="AG2754" s="77">
        <f>IF(OR($A2754="",B2754=""),"",MONTH(B2754))</f>
        <v/>
      </c>
    </row>
    <row r="2755">
      <c r="A2755" s="7" t="n"/>
      <c r="B2755" s="75" t="n"/>
      <c r="C2755" s="7" t="n"/>
      <c r="D2755" s="7" t="n"/>
      <c r="E2755" s="9">
        <f>IF(D2755="","",IFERROR(INDEX('Équipements'!$B$5:$B$304,MATCH(D2755,'Équipements'!$A$5:$A$304,0)),"Code inconnu"))</f>
        <v/>
      </c>
      <c r="F2755" s="9">
        <f>IF(D2755="","",IFERROR(INDEX('Équipements'!$D$5:$D$304,MATCH(D2755,'Équipements'!$A$5:$A$304,0)),""))</f>
        <v/>
      </c>
      <c r="G2755" s="9">
        <f>IF(D2755="","",IFERROR(INDEX('Équipements'!$K$5:$K$304,MATCH(D2755,'Équipements'!$A$5:$A$304,0)),""))</f>
        <v/>
      </c>
      <c r="H2755" s="7" t="n"/>
      <c r="I2755" s="7" t="n"/>
      <c r="J2755" s="7" t="n"/>
      <c r="K2755" s="7" t="n"/>
      <c r="L2755" s="7" t="n"/>
      <c r="M2755" s="7" t="n"/>
      <c r="N2755" s="7" t="n"/>
      <c r="O2755" s="7" t="n"/>
      <c r="P2755" s="65" t="n"/>
      <c r="Q2755" s="75" t="n"/>
      <c r="R2755" s="75" t="n"/>
      <c r="S2755" s="76" t="n"/>
      <c r="T2755" s="76" t="n"/>
      <c r="U2755" s="70">
        <f>IF($A2755="","",IFERROR(INDEX('Techniciens'!$F$5:$F$44,MATCH(O2755,'Techniciens'!$B$5:$B$44,0)),'Paramètres'!$AA$10))</f>
        <v/>
      </c>
      <c r="V2755" s="70">
        <f>IF($A2755="","",IF(OR(AC2755="Demandé",AC2755="Planifié",AC2755="Annulé"),0,N(T2755)*N(U2755)))</f>
        <v/>
      </c>
      <c r="W2755" s="70">
        <f>IF($A2755="","",SUMIFS('Mouvements stock'!$H$5:$H$3004,'Mouvements stock'!$I$5:$I$3004,$A2755,'Mouvements stock'!$C$5:$C$3004,"Sortie")-SUMIFS('Mouvements stock'!$H$5:$H$3004,'Mouvements stock'!$I$5:$I$3004,$A2755,'Mouvements stock'!$C$5:$C$3004,"Retour"))</f>
        <v/>
      </c>
      <c r="X2755" s="66" t="n"/>
      <c r="Y2755" s="66" t="n"/>
      <c r="Z2755" s="7" t="n"/>
      <c r="AA2755" s="70">
        <f>IF($A2755="","",N(V2755)+N(W2755)+N(X2755)+N(Y2755))</f>
        <v/>
      </c>
      <c r="AB2755" s="70">
        <f>IF($A2755="","",N(S2755)*'Paramètres'!$AA$9*IFERROR(INDEX('Paramètres'!$O$5:$O$7,MATCH(G2755,'Paramètres'!$N$5:$N$7,0)),0))</f>
        <v/>
      </c>
      <c r="AC2755" s="7" t="n"/>
      <c r="AD2755" s="69">
        <f>IF(OR($A2755="",Q2755=""),"",(Q2755-B2755)*24)</f>
        <v/>
      </c>
      <c r="AE2755" s="69">
        <f>IF(OR(Q2755="",R2755=""),"",(R2755-Q2755)*24)</f>
        <v/>
      </c>
      <c r="AF2755" s="77">
        <f>IF(OR($A2755="",B2755=""),"",YEAR(B2755))</f>
        <v/>
      </c>
      <c r="AG2755" s="77">
        <f>IF(OR($A2755="",B2755=""),"",MONTH(B2755))</f>
        <v/>
      </c>
    </row>
    <row r="2756">
      <c r="A2756" s="7" t="n"/>
      <c r="B2756" s="75" t="n"/>
      <c r="C2756" s="7" t="n"/>
      <c r="D2756" s="7" t="n"/>
      <c r="E2756" s="9">
        <f>IF(D2756="","",IFERROR(INDEX('Équipements'!$B$5:$B$304,MATCH(D2756,'Équipements'!$A$5:$A$304,0)),"Code inconnu"))</f>
        <v/>
      </c>
      <c r="F2756" s="9">
        <f>IF(D2756="","",IFERROR(INDEX('Équipements'!$D$5:$D$304,MATCH(D2756,'Équipements'!$A$5:$A$304,0)),""))</f>
        <v/>
      </c>
      <c r="G2756" s="9">
        <f>IF(D2756="","",IFERROR(INDEX('Équipements'!$K$5:$K$304,MATCH(D2756,'Équipements'!$A$5:$A$304,0)),""))</f>
        <v/>
      </c>
      <c r="H2756" s="7" t="n"/>
      <c r="I2756" s="7" t="n"/>
      <c r="J2756" s="7" t="n"/>
      <c r="K2756" s="7" t="n"/>
      <c r="L2756" s="7" t="n"/>
      <c r="M2756" s="7" t="n"/>
      <c r="N2756" s="7" t="n"/>
      <c r="O2756" s="7" t="n"/>
      <c r="P2756" s="65" t="n"/>
      <c r="Q2756" s="75" t="n"/>
      <c r="R2756" s="75" t="n"/>
      <c r="S2756" s="76" t="n"/>
      <c r="T2756" s="76" t="n"/>
      <c r="U2756" s="70">
        <f>IF($A2756="","",IFERROR(INDEX('Techniciens'!$F$5:$F$44,MATCH(O2756,'Techniciens'!$B$5:$B$44,0)),'Paramètres'!$AA$10))</f>
        <v/>
      </c>
      <c r="V2756" s="70">
        <f>IF($A2756="","",IF(OR(AC2756="Demandé",AC2756="Planifié",AC2756="Annulé"),0,N(T2756)*N(U2756)))</f>
        <v/>
      </c>
      <c r="W2756" s="70">
        <f>IF($A2756="","",SUMIFS('Mouvements stock'!$H$5:$H$3004,'Mouvements stock'!$I$5:$I$3004,$A2756,'Mouvements stock'!$C$5:$C$3004,"Sortie")-SUMIFS('Mouvements stock'!$H$5:$H$3004,'Mouvements stock'!$I$5:$I$3004,$A2756,'Mouvements stock'!$C$5:$C$3004,"Retour"))</f>
        <v/>
      </c>
      <c r="X2756" s="66" t="n"/>
      <c r="Y2756" s="66" t="n"/>
      <c r="Z2756" s="7" t="n"/>
      <c r="AA2756" s="70">
        <f>IF($A2756="","",N(V2756)+N(W2756)+N(X2756)+N(Y2756))</f>
        <v/>
      </c>
      <c r="AB2756" s="70">
        <f>IF($A2756="","",N(S2756)*'Paramètres'!$AA$9*IFERROR(INDEX('Paramètres'!$O$5:$O$7,MATCH(G2756,'Paramètres'!$N$5:$N$7,0)),0))</f>
        <v/>
      </c>
      <c r="AC2756" s="7" t="n"/>
      <c r="AD2756" s="69">
        <f>IF(OR($A2756="",Q2756=""),"",(Q2756-B2756)*24)</f>
        <v/>
      </c>
      <c r="AE2756" s="69">
        <f>IF(OR(Q2756="",R2756=""),"",(R2756-Q2756)*24)</f>
        <v/>
      </c>
      <c r="AF2756" s="77">
        <f>IF(OR($A2756="",B2756=""),"",YEAR(B2756))</f>
        <v/>
      </c>
      <c r="AG2756" s="77">
        <f>IF(OR($A2756="",B2756=""),"",MONTH(B2756))</f>
        <v/>
      </c>
    </row>
    <row r="2757">
      <c r="A2757" s="7" t="n"/>
      <c r="B2757" s="75" t="n"/>
      <c r="C2757" s="7" t="n"/>
      <c r="D2757" s="7" t="n"/>
      <c r="E2757" s="9">
        <f>IF(D2757="","",IFERROR(INDEX('Équipements'!$B$5:$B$304,MATCH(D2757,'Équipements'!$A$5:$A$304,0)),"Code inconnu"))</f>
        <v/>
      </c>
      <c r="F2757" s="9">
        <f>IF(D2757="","",IFERROR(INDEX('Équipements'!$D$5:$D$304,MATCH(D2757,'Équipements'!$A$5:$A$304,0)),""))</f>
        <v/>
      </c>
      <c r="G2757" s="9">
        <f>IF(D2757="","",IFERROR(INDEX('Équipements'!$K$5:$K$304,MATCH(D2757,'Équipements'!$A$5:$A$304,0)),""))</f>
        <v/>
      </c>
      <c r="H2757" s="7" t="n"/>
      <c r="I2757" s="7" t="n"/>
      <c r="J2757" s="7" t="n"/>
      <c r="K2757" s="7" t="n"/>
      <c r="L2757" s="7" t="n"/>
      <c r="M2757" s="7" t="n"/>
      <c r="N2757" s="7" t="n"/>
      <c r="O2757" s="7" t="n"/>
      <c r="P2757" s="65" t="n"/>
      <c r="Q2757" s="75" t="n"/>
      <c r="R2757" s="75" t="n"/>
      <c r="S2757" s="76" t="n"/>
      <c r="T2757" s="76" t="n"/>
      <c r="U2757" s="70">
        <f>IF($A2757="","",IFERROR(INDEX('Techniciens'!$F$5:$F$44,MATCH(O2757,'Techniciens'!$B$5:$B$44,0)),'Paramètres'!$AA$10))</f>
        <v/>
      </c>
      <c r="V2757" s="70">
        <f>IF($A2757="","",IF(OR(AC2757="Demandé",AC2757="Planifié",AC2757="Annulé"),0,N(T2757)*N(U2757)))</f>
        <v/>
      </c>
      <c r="W2757" s="70">
        <f>IF($A2757="","",SUMIFS('Mouvements stock'!$H$5:$H$3004,'Mouvements stock'!$I$5:$I$3004,$A2757,'Mouvements stock'!$C$5:$C$3004,"Sortie")-SUMIFS('Mouvements stock'!$H$5:$H$3004,'Mouvements stock'!$I$5:$I$3004,$A2757,'Mouvements stock'!$C$5:$C$3004,"Retour"))</f>
        <v/>
      </c>
      <c r="X2757" s="66" t="n"/>
      <c r="Y2757" s="66" t="n"/>
      <c r="Z2757" s="7" t="n"/>
      <c r="AA2757" s="70">
        <f>IF($A2757="","",N(V2757)+N(W2757)+N(X2757)+N(Y2757))</f>
        <v/>
      </c>
      <c r="AB2757" s="70">
        <f>IF($A2757="","",N(S2757)*'Paramètres'!$AA$9*IFERROR(INDEX('Paramètres'!$O$5:$O$7,MATCH(G2757,'Paramètres'!$N$5:$N$7,0)),0))</f>
        <v/>
      </c>
      <c r="AC2757" s="7" t="n"/>
      <c r="AD2757" s="69">
        <f>IF(OR($A2757="",Q2757=""),"",(Q2757-B2757)*24)</f>
        <v/>
      </c>
      <c r="AE2757" s="69">
        <f>IF(OR(Q2757="",R2757=""),"",(R2757-Q2757)*24)</f>
        <v/>
      </c>
      <c r="AF2757" s="77">
        <f>IF(OR($A2757="",B2757=""),"",YEAR(B2757))</f>
        <v/>
      </c>
      <c r="AG2757" s="77">
        <f>IF(OR($A2757="",B2757=""),"",MONTH(B2757))</f>
        <v/>
      </c>
    </row>
    <row r="2758">
      <c r="A2758" s="7" t="n"/>
      <c r="B2758" s="75" t="n"/>
      <c r="C2758" s="7" t="n"/>
      <c r="D2758" s="7" t="n"/>
      <c r="E2758" s="9">
        <f>IF(D2758="","",IFERROR(INDEX('Équipements'!$B$5:$B$304,MATCH(D2758,'Équipements'!$A$5:$A$304,0)),"Code inconnu"))</f>
        <v/>
      </c>
      <c r="F2758" s="9">
        <f>IF(D2758="","",IFERROR(INDEX('Équipements'!$D$5:$D$304,MATCH(D2758,'Équipements'!$A$5:$A$304,0)),""))</f>
        <v/>
      </c>
      <c r="G2758" s="9">
        <f>IF(D2758="","",IFERROR(INDEX('Équipements'!$K$5:$K$304,MATCH(D2758,'Équipements'!$A$5:$A$304,0)),""))</f>
        <v/>
      </c>
      <c r="H2758" s="7" t="n"/>
      <c r="I2758" s="7" t="n"/>
      <c r="J2758" s="7" t="n"/>
      <c r="K2758" s="7" t="n"/>
      <c r="L2758" s="7" t="n"/>
      <c r="M2758" s="7" t="n"/>
      <c r="N2758" s="7" t="n"/>
      <c r="O2758" s="7" t="n"/>
      <c r="P2758" s="65" t="n"/>
      <c r="Q2758" s="75" t="n"/>
      <c r="R2758" s="75" t="n"/>
      <c r="S2758" s="76" t="n"/>
      <c r="T2758" s="76" t="n"/>
      <c r="U2758" s="70">
        <f>IF($A2758="","",IFERROR(INDEX('Techniciens'!$F$5:$F$44,MATCH(O2758,'Techniciens'!$B$5:$B$44,0)),'Paramètres'!$AA$10))</f>
        <v/>
      </c>
      <c r="V2758" s="70">
        <f>IF($A2758="","",IF(OR(AC2758="Demandé",AC2758="Planifié",AC2758="Annulé"),0,N(T2758)*N(U2758)))</f>
        <v/>
      </c>
      <c r="W2758" s="70">
        <f>IF($A2758="","",SUMIFS('Mouvements stock'!$H$5:$H$3004,'Mouvements stock'!$I$5:$I$3004,$A2758,'Mouvements stock'!$C$5:$C$3004,"Sortie")-SUMIFS('Mouvements stock'!$H$5:$H$3004,'Mouvements stock'!$I$5:$I$3004,$A2758,'Mouvements stock'!$C$5:$C$3004,"Retour"))</f>
        <v/>
      </c>
      <c r="X2758" s="66" t="n"/>
      <c r="Y2758" s="66" t="n"/>
      <c r="Z2758" s="7" t="n"/>
      <c r="AA2758" s="70">
        <f>IF($A2758="","",N(V2758)+N(W2758)+N(X2758)+N(Y2758))</f>
        <v/>
      </c>
      <c r="AB2758" s="70">
        <f>IF($A2758="","",N(S2758)*'Paramètres'!$AA$9*IFERROR(INDEX('Paramètres'!$O$5:$O$7,MATCH(G2758,'Paramètres'!$N$5:$N$7,0)),0))</f>
        <v/>
      </c>
      <c r="AC2758" s="7" t="n"/>
      <c r="AD2758" s="69">
        <f>IF(OR($A2758="",Q2758=""),"",(Q2758-B2758)*24)</f>
        <v/>
      </c>
      <c r="AE2758" s="69">
        <f>IF(OR(Q2758="",R2758=""),"",(R2758-Q2758)*24)</f>
        <v/>
      </c>
      <c r="AF2758" s="77">
        <f>IF(OR($A2758="",B2758=""),"",YEAR(B2758))</f>
        <v/>
      </c>
      <c r="AG2758" s="77">
        <f>IF(OR($A2758="",B2758=""),"",MONTH(B2758))</f>
        <v/>
      </c>
    </row>
    <row r="2759">
      <c r="A2759" s="7" t="n"/>
      <c r="B2759" s="75" t="n"/>
      <c r="C2759" s="7" t="n"/>
      <c r="D2759" s="7" t="n"/>
      <c r="E2759" s="9">
        <f>IF(D2759="","",IFERROR(INDEX('Équipements'!$B$5:$B$304,MATCH(D2759,'Équipements'!$A$5:$A$304,0)),"Code inconnu"))</f>
        <v/>
      </c>
      <c r="F2759" s="9">
        <f>IF(D2759="","",IFERROR(INDEX('Équipements'!$D$5:$D$304,MATCH(D2759,'Équipements'!$A$5:$A$304,0)),""))</f>
        <v/>
      </c>
      <c r="G2759" s="9">
        <f>IF(D2759="","",IFERROR(INDEX('Équipements'!$K$5:$K$304,MATCH(D2759,'Équipements'!$A$5:$A$304,0)),""))</f>
        <v/>
      </c>
      <c r="H2759" s="7" t="n"/>
      <c r="I2759" s="7" t="n"/>
      <c r="J2759" s="7" t="n"/>
      <c r="K2759" s="7" t="n"/>
      <c r="L2759" s="7" t="n"/>
      <c r="M2759" s="7" t="n"/>
      <c r="N2759" s="7" t="n"/>
      <c r="O2759" s="7" t="n"/>
      <c r="P2759" s="65" t="n"/>
      <c r="Q2759" s="75" t="n"/>
      <c r="R2759" s="75" t="n"/>
      <c r="S2759" s="76" t="n"/>
      <c r="T2759" s="76" t="n"/>
      <c r="U2759" s="70">
        <f>IF($A2759="","",IFERROR(INDEX('Techniciens'!$F$5:$F$44,MATCH(O2759,'Techniciens'!$B$5:$B$44,0)),'Paramètres'!$AA$10))</f>
        <v/>
      </c>
      <c r="V2759" s="70">
        <f>IF($A2759="","",IF(OR(AC2759="Demandé",AC2759="Planifié",AC2759="Annulé"),0,N(T2759)*N(U2759)))</f>
        <v/>
      </c>
      <c r="W2759" s="70">
        <f>IF($A2759="","",SUMIFS('Mouvements stock'!$H$5:$H$3004,'Mouvements stock'!$I$5:$I$3004,$A2759,'Mouvements stock'!$C$5:$C$3004,"Sortie")-SUMIFS('Mouvements stock'!$H$5:$H$3004,'Mouvements stock'!$I$5:$I$3004,$A2759,'Mouvements stock'!$C$5:$C$3004,"Retour"))</f>
        <v/>
      </c>
      <c r="X2759" s="66" t="n"/>
      <c r="Y2759" s="66" t="n"/>
      <c r="Z2759" s="7" t="n"/>
      <c r="AA2759" s="70">
        <f>IF($A2759="","",N(V2759)+N(W2759)+N(X2759)+N(Y2759))</f>
        <v/>
      </c>
      <c r="AB2759" s="70">
        <f>IF($A2759="","",N(S2759)*'Paramètres'!$AA$9*IFERROR(INDEX('Paramètres'!$O$5:$O$7,MATCH(G2759,'Paramètres'!$N$5:$N$7,0)),0))</f>
        <v/>
      </c>
      <c r="AC2759" s="7" t="n"/>
      <c r="AD2759" s="69">
        <f>IF(OR($A2759="",Q2759=""),"",(Q2759-B2759)*24)</f>
        <v/>
      </c>
      <c r="AE2759" s="69">
        <f>IF(OR(Q2759="",R2759=""),"",(R2759-Q2759)*24)</f>
        <v/>
      </c>
      <c r="AF2759" s="77">
        <f>IF(OR($A2759="",B2759=""),"",YEAR(B2759))</f>
        <v/>
      </c>
      <c r="AG2759" s="77">
        <f>IF(OR($A2759="",B2759=""),"",MONTH(B2759))</f>
        <v/>
      </c>
    </row>
    <row r="2760">
      <c r="A2760" s="7" t="n"/>
      <c r="B2760" s="75" t="n"/>
      <c r="C2760" s="7" t="n"/>
      <c r="D2760" s="7" t="n"/>
      <c r="E2760" s="9">
        <f>IF(D2760="","",IFERROR(INDEX('Équipements'!$B$5:$B$304,MATCH(D2760,'Équipements'!$A$5:$A$304,0)),"Code inconnu"))</f>
        <v/>
      </c>
      <c r="F2760" s="9">
        <f>IF(D2760="","",IFERROR(INDEX('Équipements'!$D$5:$D$304,MATCH(D2760,'Équipements'!$A$5:$A$304,0)),""))</f>
        <v/>
      </c>
      <c r="G2760" s="9">
        <f>IF(D2760="","",IFERROR(INDEX('Équipements'!$K$5:$K$304,MATCH(D2760,'Équipements'!$A$5:$A$304,0)),""))</f>
        <v/>
      </c>
      <c r="H2760" s="7" t="n"/>
      <c r="I2760" s="7" t="n"/>
      <c r="J2760" s="7" t="n"/>
      <c r="K2760" s="7" t="n"/>
      <c r="L2760" s="7" t="n"/>
      <c r="M2760" s="7" t="n"/>
      <c r="N2760" s="7" t="n"/>
      <c r="O2760" s="7" t="n"/>
      <c r="P2760" s="65" t="n"/>
      <c r="Q2760" s="75" t="n"/>
      <c r="R2760" s="75" t="n"/>
      <c r="S2760" s="76" t="n"/>
      <c r="T2760" s="76" t="n"/>
      <c r="U2760" s="70">
        <f>IF($A2760="","",IFERROR(INDEX('Techniciens'!$F$5:$F$44,MATCH(O2760,'Techniciens'!$B$5:$B$44,0)),'Paramètres'!$AA$10))</f>
        <v/>
      </c>
      <c r="V2760" s="70">
        <f>IF($A2760="","",IF(OR(AC2760="Demandé",AC2760="Planifié",AC2760="Annulé"),0,N(T2760)*N(U2760)))</f>
        <v/>
      </c>
      <c r="W2760" s="70">
        <f>IF($A2760="","",SUMIFS('Mouvements stock'!$H$5:$H$3004,'Mouvements stock'!$I$5:$I$3004,$A2760,'Mouvements stock'!$C$5:$C$3004,"Sortie")-SUMIFS('Mouvements stock'!$H$5:$H$3004,'Mouvements stock'!$I$5:$I$3004,$A2760,'Mouvements stock'!$C$5:$C$3004,"Retour"))</f>
        <v/>
      </c>
      <c r="X2760" s="66" t="n"/>
      <c r="Y2760" s="66" t="n"/>
      <c r="Z2760" s="7" t="n"/>
      <c r="AA2760" s="70">
        <f>IF($A2760="","",N(V2760)+N(W2760)+N(X2760)+N(Y2760))</f>
        <v/>
      </c>
      <c r="AB2760" s="70">
        <f>IF($A2760="","",N(S2760)*'Paramètres'!$AA$9*IFERROR(INDEX('Paramètres'!$O$5:$O$7,MATCH(G2760,'Paramètres'!$N$5:$N$7,0)),0))</f>
        <v/>
      </c>
      <c r="AC2760" s="7" t="n"/>
      <c r="AD2760" s="69">
        <f>IF(OR($A2760="",Q2760=""),"",(Q2760-B2760)*24)</f>
        <v/>
      </c>
      <c r="AE2760" s="69">
        <f>IF(OR(Q2760="",R2760=""),"",(R2760-Q2760)*24)</f>
        <v/>
      </c>
      <c r="AF2760" s="77">
        <f>IF(OR($A2760="",B2760=""),"",YEAR(B2760))</f>
        <v/>
      </c>
      <c r="AG2760" s="77">
        <f>IF(OR($A2760="",B2760=""),"",MONTH(B2760))</f>
        <v/>
      </c>
    </row>
    <row r="2761">
      <c r="A2761" s="7" t="n"/>
      <c r="B2761" s="75" t="n"/>
      <c r="C2761" s="7" t="n"/>
      <c r="D2761" s="7" t="n"/>
      <c r="E2761" s="9">
        <f>IF(D2761="","",IFERROR(INDEX('Équipements'!$B$5:$B$304,MATCH(D2761,'Équipements'!$A$5:$A$304,0)),"Code inconnu"))</f>
        <v/>
      </c>
      <c r="F2761" s="9">
        <f>IF(D2761="","",IFERROR(INDEX('Équipements'!$D$5:$D$304,MATCH(D2761,'Équipements'!$A$5:$A$304,0)),""))</f>
        <v/>
      </c>
      <c r="G2761" s="9">
        <f>IF(D2761="","",IFERROR(INDEX('Équipements'!$K$5:$K$304,MATCH(D2761,'Équipements'!$A$5:$A$304,0)),""))</f>
        <v/>
      </c>
      <c r="H2761" s="7" t="n"/>
      <c r="I2761" s="7" t="n"/>
      <c r="J2761" s="7" t="n"/>
      <c r="K2761" s="7" t="n"/>
      <c r="L2761" s="7" t="n"/>
      <c r="M2761" s="7" t="n"/>
      <c r="N2761" s="7" t="n"/>
      <c r="O2761" s="7" t="n"/>
      <c r="P2761" s="65" t="n"/>
      <c r="Q2761" s="75" t="n"/>
      <c r="R2761" s="75" t="n"/>
      <c r="S2761" s="76" t="n"/>
      <c r="T2761" s="76" t="n"/>
      <c r="U2761" s="70">
        <f>IF($A2761="","",IFERROR(INDEX('Techniciens'!$F$5:$F$44,MATCH(O2761,'Techniciens'!$B$5:$B$44,0)),'Paramètres'!$AA$10))</f>
        <v/>
      </c>
      <c r="V2761" s="70">
        <f>IF($A2761="","",IF(OR(AC2761="Demandé",AC2761="Planifié",AC2761="Annulé"),0,N(T2761)*N(U2761)))</f>
        <v/>
      </c>
      <c r="W2761" s="70">
        <f>IF($A2761="","",SUMIFS('Mouvements stock'!$H$5:$H$3004,'Mouvements stock'!$I$5:$I$3004,$A2761,'Mouvements stock'!$C$5:$C$3004,"Sortie")-SUMIFS('Mouvements stock'!$H$5:$H$3004,'Mouvements stock'!$I$5:$I$3004,$A2761,'Mouvements stock'!$C$5:$C$3004,"Retour"))</f>
        <v/>
      </c>
      <c r="X2761" s="66" t="n"/>
      <c r="Y2761" s="66" t="n"/>
      <c r="Z2761" s="7" t="n"/>
      <c r="AA2761" s="70">
        <f>IF($A2761="","",N(V2761)+N(W2761)+N(X2761)+N(Y2761))</f>
        <v/>
      </c>
      <c r="AB2761" s="70">
        <f>IF($A2761="","",N(S2761)*'Paramètres'!$AA$9*IFERROR(INDEX('Paramètres'!$O$5:$O$7,MATCH(G2761,'Paramètres'!$N$5:$N$7,0)),0))</f>
        <v/>
      </c>
      <c r="AC2761" s="7" t="n"/>
      <c r="AD2761" s="69">
        <f>IF(OR($A2761="",Q2761=""),"",(Q2761-B2761)*24)</f>
        <v/>
      </c>
      <c r="AE2761" s="69">
        <f>IF(OR(Q2761="",R2761=""),"",(R2761-Q2761)*24)</f>
        <v/>
      </c>
      <c r="AF2761" s="77">
        <f>IF(OR($A2761="",B2761=""),"",YEAR(B2761))</f>
        <v/>
      </c>
      <c r="AG2761" s="77">
        <f>IF(OR($A2761="",B2761=""),"",MONTH(B2761))</f>
        <v/>
      </c>
    </row>
    <row r="2762">
      <c r="A2762" s="7" t="n"/>
      <c r="B2762" s="75" t="n"/>
      <c r="C2762" s="7" t="n"/>
      <c r="D2762" s="7" t="n"/>
      <c r="E2762" s="9">
        <f>IF(D2762="","",IFERROR(INDEX('Équipements'!$B$5:$B$304,MATCH(D2762,'Équipements'!$A$5:$A$304,0)),"Code inconnu"))</f>
        <v/>
      </c>
      <c r="F2762" s="9">
        <f>IF(D2762="","",IFERROR(INDEX('Équipements'!$D$5:$D$304,MATCH(D2762,'Équipements'!$A$5:$A$304,0)),""))</f>
        <v/>
      </c>
      <c r="G2762" s="9">
        <f>IF(D2762="","",IFERROR(INDEX('Équipements'!$K$5:$K$304,MATCH(D2762,'Équipements'!$A$5:$A$304,0)),""))</f>
        <v/>
      </c>
      <c r="H2762" s="7" t="n"/>
      <c r="I2762" s="7" t="n"/>
      <c r="J2762" s="7" t="n"/>
      <c r="K2762" s="7" t="n"/>
      <c r="L2762" s="7" t="n"/>
      <c r="M2762" s="7" t="n"/>
      <c r="N2762" s="7" t="n"/>
      <c r="O2762" s="7" t="n"/>
      <c r="P2762" s="65" t="n"/>
      <c r="Q2762" s="75" t="n"/>
      <c r="R2762" s="75" t="n"/>
      <c r="S2762" s="76" t="n"/>
      <c r="T2762" s="76" t="n"/>
      <c r="U2762" s="70">
        <f>IF($A2762="","",IFERROR(INDEX('Techniciens'!$F$5:$F$44,MATCH(O2762,'Techniciens'!$B$5:$B$44,0)),'Paramètres'!$AA$10))</f>
        <v/>
      </c>
      <c r="V2762" s="70">
        <f>IF($A2762="","",IF(OR(AC2762="Demandé",AC2762="Planifié",AC2762="Annulé"),0,N(T2762)*N(U2762)))</f>
        <v/>
      </c>
      <c r="W2762" s="70">
        <f>IF($A2762="","",SUMIFS('Mouvements stock'!$H$5:$H$3004,'Mouvements stock'!$I$5:$I$3004,$A2762,'Mouvements stock'!$C$5:$C$3004,"Sortie")-SUMIFS('Mouvements stock'!$H$5:$H$3004,'Mouvements stock'!$I$5:$I$3004,$A2762,'Mouvements stock'!$C$5:$C$3004,"Retour"))</f>
        <v/>
      </c>
      <c r="X2762" s="66" t="n"/>
      <c r="Y2762" s="66" t="n"/>
      <c r="Z2762" s="7" t="n"/>
      <c r="AA2762" s="70">
        <f>IF($A2762="","",N(V2762)+N(W2762)+N(X2762)+N(Y2762))</f>
        <v/>
      </c>
      <c r="AB2762" s="70">
        <f>IF($A2762="","",N(S2762)*'Paramètres'!$AA$9*IFERROR(INDEX('Paramètres'!$O$5:$O$7,MATCH(G2762,'Paramètres'!$N$5:$N$7,0)),0))</f>
        <v/>
      </c>
      <c r="AC2762" s="7" t="n"/>
      <c r="AD2762" s="69">
        <f>IF(OR($A2762="",Q2762=""),"",(Q2762-B2762)*24)</f>
        <v/>
      </c>
      <c r="AE2762" s="69">
        <f>IF(OR(Q2762="",R2762=""),"",(R2762-Q2762)*24)</f>
        <v/>
      </c>
      <c r="AF2762" s="77">
        <f>IF(OR($A2762="",B2762=""),"",YEAR(B2762))</f>
        <v/>
      </c>
      <c r="AG2762" s="77">
        <f>IF(OR($A2762="",B2762=""),"",MONTH(B2762))</f>
        <v/>
      </c>
    </row>
    <row r="2763">
      <c r="A2763" s="7" t="n"/>
      <c r="B2763" s="75" t="n"/>
      <c r="C2763" s="7" t="n"/>
      <c r="D2763" s="7" t="n"/>
      <c r="E2763" s="9">
        <f>IF(D2763="","",IFERROR(INDEX('Équipements'!$B$5:$B$304,MATCH(D2763,'Équipements'!$A$5:$A$304,0)),"Code inconnu"))</f>
        <v/>
      </c>
      <c r="F2763" s="9">
        <f>IF(D2763="","",IFERROR(INDEX('Équipements'!$D$5:$D$304,MATCH(D2763,'Équipements'!$A$5:$A$304,0)),""))</f>
        <v/>
      </c>
      <c r="G2763" s="9">
        <f>IF(D2763="","",IFERROR(INDEX('Équipements'!$K$5:$K$304,MATCH(D2763,'Équipements'!$A$5:$A$304,0)),""))</f>
        <v/>
      </c>
      <c r="H2763" s="7" t="n"/>
      <c r="I2763" s="7" t="n"/>
      <c r="J2763" s="7" t="n"/>
      <c r="K2763" s="7" t="n"/>
      <c r="L2763" s="7" t="n"/>
      <c r="M2763" s="7" t="n"/>
      <c r="N2763" s="7" t="n"/>
      <c r="O2763" s="7" t="n"/>
      <c r="P2763" s="65" t="n"/>
      <c r="Q2763" s="75" t="n"/>
      <c r="R2763" s="75" t="n"/>
      <c r="S2763" s="76" t="n"/>
      <c r="T2763" s="76" t="n"/>
      <c r="U2763" s="70">
        <f>IF($A2763="","",IFERROR(INDEX('Techniciens'!$F$5:$F$44,MATCH(O2763,'Techniciens'!$B$5:$B$44,0)),'Paramètres'!$AA$10))</f>
        <v/>
      </c>
      <c r="V2763" s="70">
        <f>IF($A2763="","",IF(OR(AC2763="Demandé",AC2763="Planifié",AC2763="Annulé"),0,N(T2763)*N(U2763)))</f>
        <v/>
      </c>
      <c r="W2763" s="70">
        <f>IF($A2763="","",SUMIFS('Mouvements stock'!$H$5:$H$3004,'Mouvements stock'!$I$5:$I$3004,$A2763,'Mouvements stock'!$C$5:$C$3004,"Sortie")-SUMIFS('Mouvements stock'!$H$5:$H$3004,'Mouvements stock'!$I$5:$I$3004,$A2763,'Mouvements stock'!$C$5:$C$3004,"Retour"))</f>
        <v/>
      </c>
      <c r="X2763" s="66" t="n"/>
      <c r="Y2763" s="66" t="n"/>
      <c r="Z2763" s="7" t="n"/>
      <c r="AA2763" s="70">
        <f>IF($A2763="","",N(V2763)+N(W2763)+N(X2763)+N(Y2763))</f>
        <v/>
      </c>
      <c r="AB2763" s="70">
        <f>IF($A2763="","",N(S2763)*'Paramètres'!$AA$9*IFERROR(INDEX('Paramètres'!$O$5:$O$7,MATCH(G2763,'Paramètres'!$N$5:$N$7,0)),0))</f>
        <v/>
      </c>
      <c r="AC2763" s="7" t="n"/>
      <c r="AD2763" s="69">
        <f>IF(OR($A2763="",Q2763=""),"",(Q2763-B2763)*24)</f>
        <v/>
      </c>
      <c r="AE2763" s="69">
        <f>IF(OR(Q2763="",R2763=""),"",(R2763-Q2763)*24)</f>
        <v/>
      </c>
      <c r="AF2763" s="77">
        <f>IF(OR($A2763="",B2763=""),"",YEAR(B2763))</f>
        <v/>
      </c>
      <c r="AG2763" s="77">
        <f>IF(OR($A2763="",B2763=""),"",MONTH(B2763))</f>
        <v/>
      </c>
    </row>
    <row r="2764">
      <c r="A2764" s="7" t="n"/>
      <c r="B2764" s="75" t="n"/>
      <c r="C2764" s="7" t="n"/>
      <c r="D2764" s="7" t="n"/>
      <c r="E2764" s="9">
        <f>IF(D2764="","",IFERROR(INDEX('Équipements'!$B$5:$B$304,MATCH(D2764,'Équipements'!$A$5:$A$304,0)),"Code inconnu"))</f>
        <v/>
      </c>
      <c r="F2764" s="9">
        <f>IF(D2764="","",IFERROR(INDEX('Équipements'!$D$5:$D$304,MATCH(D2764,'Équipements'!$A$5:$A$304,0)),""))</f>
        <v/>
      </c>
      <c r="G2764" s="9">
        <f>IF(D2764="","",IFERROR(INDEX('Équipements'!$K$5:$K$304,MATCH(D2764,'Équipements'!$A$5:$A$304,0)),""))</f>
        <v/>
      </c>
      <c r="H2764" s="7" t="n"/>
      <c r="I2764" s="7" t="n"/>
      <c r="J2764" s="7" t="n"/>
      <c r="K2764" s="7" t="n"/>
      <c r="L2764" s="7" t="n"/>
      <c r="M2764" s="7" t="n"/>
      <c r="N2764" s="7" t="n"/>
      <c r="O2764" s="7" t="n"/>
      <c r="P2764" s="65" t="n"/>
      <c r="Q2764" s="75" t="n"/>
      <c r="R2764" s="75" t="n"/>
      <c r="S2764" s="76" t="n"/>
      <c r="T2764" s="76" t="n"/>
      <c r="U2764" s="70">
        <f>IF($A2764="","",IFERROR(INDEX('Techniciens'!$F$5:$F$44,MATCH(O2764,'Techniciens'!$B$5:$B$44,0)),'Paramètres'!$AA$10))</f>
        <v/>
      </c>
      <c r="V2764" s="70">
        <f>IF($A2764="","",IF(OR(AC2764="Demandé",AC2764="Planifié",AC2764="Annulé"),0,N(T2764)*N(U2764)))</f>
        <v/>
      </c>
      <c r="W2764" s="70">
        <f>IF($A2764="","",SUMIFS('Mouvements stock'!$H$5:$H$3004,'Mouvements stock'!$I$5:$I$3004,$A2764,'Mouvements stock'!$C$5:$C$3004,"Sortie")-SUMIFS('Mouvements stock'!$H$5:$H$3004,'Mouvements stock'!$I$5:$I$3004,$A2764,'Mouvements stock'!$C$5:$C$3004,"Retour"))</f>
        <v/>
      </c>
      <c r="X2764" s="66" t="n"/>
      <c r="Y2764" s="66" t="n"/>
      <c r="Z2764" s="7" t="n"/>
      <c r="AA2764" s="70">
        <f>IF($A2764="","",N(V2764)+N(W2764)+N(X2764)+N(Y2764))</f>
        <v/>
      </c>
      <c r="AB2764" s="70">
        <f>IF($A2764="","",N(S2764)*'Paramètres'!$AA$9*IFERROR(INDEX('Paramètres'!$O$5:$O$7,MATCH(G2764,'Paramètres'!$N$5:$N$7,0)),0))</f>
        <v/>
      </c>
      <c r="AC2764" s="7" t="n"/>
      <c r="AD2764" s="69">
        <f>IF(OR($A2764="",Q2764=""),"",(Q2764-B2764)*24)</f>
        <v/>
      </c>
      <c r="AE2764" s="69">
        <f>IF(OR(Q2764="",R2764=""),"",(R2764-Q2764)*24)</f>
        <v/>
      </c>
      <c r="AF2764" s="77">
        <f>IF(OR($A2764="",B2764=""),"",YEAR(B2764))</f>
        <v/>
      </c>
      <c r="AG2764" s="77">
        <f>IF(OR($A2764="",B2764=""),"",MONTH(B2764))</f>
        <v/>
      </c>
    </row>
    <row r="2765">
      <c r="A2765" s="7" t="n"/>
      <c r="B2765" s="75" t="n"/>
      <c r="C2765" s="7" t="n"/>
      <c r="D2765" s="7" t="n"/>
      <c r="E2765" s="9">
        <f>IF(D2765="","",IFERROR(INDEX('Équipements'!$B$5:$B$304,MATCH(D2765,'Équipements'!$A$5:$A$304,0)),"Code inconnu"))</f>
        <v/>
      </c>
      <c r="F2765" s="9">
        <f>IF(D2765="","",IFERROR(INDEX('Équipements'!$D$5:$D$304,MATCH(D2765,'Équipements'!$A$5:$A$304,0)),""))</f>
        <v/>
      </c>
      <c r="G2765" s="9">
        <f>IF(D2765="","",IFERROR(INDEX('Équipements'!$K$5:$K$304,MATCH(D2765,'Équipements'!$A$5:$A$304,0)),""))</f>
        <v/>
      </c>
      <c r="H2765" s="7" t="n"/>
      <c r="I2765" s="7" t="n"/>
      <c r="J2765" s="7" t="n"/>
      <c r="K2765" s="7" t="n"/>
      <c r="L2765" s="7" t="n"/>
      <c r="M2765" s="7" t="n"/>
      <c r="N2765" s="7" t="n"/>
      <c r="O2765" s="7" t="n"/>
      <c r="P2765" s="65" t="n"/>
      <c r="Q2765" s="75" t="n"/>
      <c r="R2765" s="75" t="n"/>
      <c r="S2765" s="76" t="n"/>
      <c r="T2765" s="76" t="n"/>
      <c r="U2765" s="70">
        <f>IF($A2765="","",IFERROR(INDEX('Techniciens'!$F$5:$F$44,MATCH(O2765,'Techniciens'!$B$5:$B$44,0)),'Paramètres'!$AA$10))</f>
        <v/>
      </c>
      <c r="V2765" s="70">
        <f>IF($A2765="","",IF(OR(AC2765="Demandé",AC2765="Planifié",AC2765="Annulé"),0,N(T2765)*N(U2765)))</f>
        <v/>
      </c>
      <c r="W2765" s="70">
        <f>IF($A2765="","",SUMIFS('Mouvements stock'!$H$5:$H$3004,'Mouvements stock'!$I$5:$I$3004,$A2765,'Mouvements stock'!$C$5:$C$3004,"Sortie")-SUMIFS('Mouvements stock'!$H$5:$H$3004,'Mouvements stock'!$I$5:$I$3004,$A2765,'Mouvements stock'!$C$5:$C$3004,"Retour"))</f>
        <v/>
      </c>
      <c r="X2765" s="66" t="n"/>
      <c r="Y2765" s="66" t="n"/>
      <c r="Z2765" s="7" t="n"/>
      <c r="AA2765" s="70">
        <f>IF($A2765="","",N(V2765)+N(W2765)+N(X2765)+N(Y2765))</f>
        <v/>
      </c>
      <c r="AB2765" s="70">
        <f>IF($A2765="","",N(S2765)*'Paramètres'!$AA$9*IFERROR(INDEX('Paramètres'!$O$5:$O$7,MATCH(G2765,'Paramètres'!$N$5:$N$7,0)),0))</f>
        <v/>
      </c>
      <c r="AC2765" s="7" t="n"/>
      <c r="AD2765" s="69">
        <f>IF(OR($A2765="",Q2765=""),"",(Q2765-B2765)*24)</f>
        <v/>
      </c>
      <c r="AE2765" s="69">
        <f>IF(OR(Q2765="",R2765=""),"",(R2765-Q2765)*24)</f>
        <v/>
      </c>
      <c r="AF2765" s="77">
        <f>IF(OR($A2765="",B2765=""),"",YEAR(B2765))</f>
        <v/>
      </c>
      <c r="AG2765" s="77">
        <f>IF(OR($A2765="",B2765=""),"",MONTH(B2765))</f>
        <v/>
      </c>
    </row>
    <row r="2766">
      <c r="A2766" s="7" t="n"/>
      <c r="B2766" s="75" t="n"/>
      <c r="C2766" s="7" t="n"/>
      <c r="D2766" s="7" t="n"/>
      <c r="E2766" s="9">
        <f>IF(D2766="","",IFERROR(INDEX('Équipements'!$B$5:$B$304,MATCH(D2766,'Équipements'!$A$5:$A$304,0)),"Code inconnu"))</f>
        <v/>
      </c>
      <c r="F2766" s="9">
        <f>IF(D2766="","",IFERROR(INDEX('Équipements'!$D$5:$D$304,MATCH(D2766,'Équipements'!$A$5:$A$304,0)),""))</f>
        <v/>
      </c>
      <c r="G2766" s="9">
        <f>IF(D2766="","",IFERROR(INDEX('Équipements'!$K$5:$K$304,MATCH(D2766,'Équipements'!$A$5:$A$304,0)),""))</f>
        <v/>
      </c>
      <c r="H2766" s="7" t="n"/>
      <c r="I2766" s="7" t="n"/>
      <c r="J2766" s="7" t="n"/>
      <c r="K2766" s="7" t="n"/>
      <c r="L2766" s="7" t="n"/>
      <c r="M2766" s="7" t="n"/>
      <c r="N2766" s="7" t="n"/>
      <c r="O2766" s="7" t="n"/>
      <c r="P2766" s="65" t="n"/>
      <c r="Q2766" s="75" t="n"/>
      <c r="R2766" s="75" t="n"/>
      <c r="S2766" s="76" t="n"/>
      <c r="T2766" s="76" t="n"/>
      <c r="U2766" s="70">
        <f>IF($A2766="","",IFERROR(INDEX('Techniciens'!$F$5:$F$44,MATCH(O2766,'Techniciens'!$B$5:$B$44,0)),'Paramètres'!$AA$10))</f>
        <v/>
      </c>
      <c r="V2766" s="70">
        <f>IF($A2766="","",IF(OR(AC2766="Demandé",AC2766="Planifié",AC2766="Annulé"),0,N(T2766)*N(U2766)))</f>
        <v/>
      </c>
      <c r="W2766" s="70">
        <f>IF($A2766="","",SUMIFS('Mouvements stock'!$H$5:$H$3004,'Mouvements stock'!$I$5:$I$3004,$A2766,'Mouvements stock'!$C$5:$C$3004,"Sortie")-SUMIFS('Mouvements stock'!$H$5:$H$3004,'Mouvements stock'!$I$5:$I$3004,$A2766,'Mouvements stock'!$C$5:$C$3004,"Retour"))</f>
        <v/>
      </c>
      <c r="X2766" s="66" t="n"/>
      <c r="Y2766" s="66" t="n"/>
      <c r="Z2766" s="7" t="n"/>
      <c r="AA2766" s="70">
        <f>IF($A2766="","",N(V2766)+N(W2766)+N(X2766)+N(Y2766))</f>
        <v/>
      </c>
      <c r="AB2766" s="70">
        <f>IF($A2766="","",N(S2766)*'Paramètres'!$AA$9*IFERROR(INDEX('Paramètres'!$O$5:$O$7,MATCH(G2766,'Paramètres'!$N$5:$N$7,0)),0))</f>
        <v/>
      </c>
      <c r="AC2766" s="7" t="n"/>
      <c r="AD2766" s="69">
        <f>IF(OR($A2766="",Q2766=""),"",(Q2766-B2766)*24)</f>
        <v/>
      </c>
      <c r="AE2766" s="69">
        <f>IF(OR(Q2766="",R2766=""),"",(R2766-Q2766)*24)</f>
        <v/>
      </c>
      <c r="AF2766" s="77">
        <f>IF(OR($A2766="",B2766=""),"",YEAR(B2766))</f>
        <v/>
      </c>
      <c r="AG2766" s="77">
        <f>IF(OR($A2766="",B2766=""),"",MONTH(B2766))</f>
        <v/>
      </c>
    </row>
    <row r="2767">
      <c r="A2767" s="7" t="n"/>
      <c r="B2767" s="75" t="n"/>
      <c r="C2767" s="7" t="n"/>
      <c r="D2767" s="7" t="n"/>
      <c r="E2767" s="9">
        <f>IF(D2767="","",IFERROR(INDEX('Équipements'!$B$5:$B$304,MATCH(D2767,'Équipements'!$A$5:$A$304,0)),"Code inconnu"))</f>
        <v/>
      </c>
      <c r="F2767" s="9">
        <f>IF(D2767="","",IFERROR(INDEX('Équipements'!$D$5:$D$304,MATCH(D2767,'Équipements'!$A$5:$A$304,0)),""))</f>
        <v/>
      </c>
      <c r="G2767" s="9">
        <f>IF(D2767="","",IFERROR(INDEX('Équipements'!$K$5:$K$304,MATCH(D2767,'Équipements'!$A$5:$A$304,0)),""))</f>
        <v/>
      </c>
      <c r="H2767" s="7" t="n"/>
      <c r="I2767" s="7" t="n"/>
      <c r="J2767" s="7" t="n"/>
      <c r="K2767" s="7" t="n"/>
      <c r="L2767" s="7" t="n"/>
      <c r="M2767" s="7" t="n"/>
      <c r="N2767" s="7" t="n"/>
      <c r="O2767" s="7" t="n"/>
      <c r="P2767" s="65" t="n"/>
      <c r="Q2767" s="75" t="n"/>
      <c r="R2767" s="75" t="n"/>
      <c r="S2767" s="76" t="n"/>
      <c r="T2767" s="76" t="n"/>
      <c r="U2767" s="70">
        <f>IF($A2767="","",IFERROR(INDEX('Techniciens'!$F$5:$F$44,MATCH(O2767,'Techniciens'!$B$5:$B$44,0)),'Paramètres'!$AA$10))</f>
        <v/>
      </c>
      <c r="V2767" s="70">
        <f>IF($A2767="","",IF(OR(AC2767="Demandé",AC2767="Planifié",AC2767="Annulé"),0,N(T2767)*N(U2767)))</f>
        <v/>
      </c>
      <c r="W2767" s="70">
        <f>IF($A2767="","",SUMIFS('Mouvements stock'!$H$5:$H$3004,'Mouvements stock'!$I$5:$I$3004,$A2767,'Mouvements stock'!$C$5:$C$3004,"Sortie")-SUMIFS('Mouvements stock'!$H$5:$H$3004,'Mouvements stock'!$I$5:$I$3004,$A2767,'Mouvements stock'!$C$5:$C$3004,"Retour"))</f>
        <v/>
      </c>
      <c r="X2767" s="66" t="n"/>
      <c r="Y2767" s="66" t="n"/>
      <c r="Z2767" s="7" t="n"/>
      <c r="AA2767" s="70">
        <f>IF($A2767="","",N(V2767)+N(W2767)+N(X2767)+N(Y2767))</f>
        <v/>
      </c>
      <c r="AB2767" s="70">
        <f>IF($A2767="","",N(S2767)*'Paramètres'!$AA$9*IFERROR(INDEX('Paramètres'!$O$5:$O$7,MATCH(G2767,'Paramètres'!$N$5:$N$7,0)),0))</f>
        <v/>
      </c>
      <c r="AC2767" s="7" t="n"/>
      <c r="AD2767" s="69">
        <f>IF(OR($A2767="",Q2767=""),"",(Q2767-B2767)*24)</f>
        <v/>
      </c>
      <c r="AE2767" s="69">
        <f>IF(OR(Q2767="",R2767=""),"",(R2767-Q2767)*24)</f>
        <v/>
      </c>
      <c r="AF2767" s="77">
        <f>IF(OR($A2767="",B2767=""),"",YEAR(B2767))</f>
        <v/>
      </c>
      <c r="AG2767" s="77">
        <f>IF(OR($A2767="",B2767=""),"",MONTH(B2767))</f>
        <v/>
      </c>
    </row>
    <row r="2768">
      <c r="A2768" s="7" t="n"/>
      <c r="B2768" s="75" t="n"/>
      <c r="C2768" s="7" t="n"/>
      <c r="D2768" s="7" t="n"/>
      <c r="E2768" s="9">
        <f>IF(D2768="","",IFERROR(INDEX('Équipements'!$B$5:$B$304,MATCH(D2768,'Équipements'!$A$5:$A$304,0)),"Code inconnu"))</f>
        <v/>
      </c>
      <c r="F2768" s="9">
        <f>IF(D2768="","",IFERROR(INDEX('Équipements'!$D$5:$D$304,MATCH(D2768,'Équipements'!$A$5:$A$304,0)),""))</f>
        <v/>
      </c>
      <c r="G2768" s="9">
        <f>IF(D2768="","",IFERROR(INDEX('Équipements'!$K$5:$K$304,MATCH(D2768,'Équipements'!$A$5:$A$304,0)),""))</f>
        <v/>
      </c>
      <c r="H2768" s="7" t="n"/>
      <c r="I2768" s="7" t="n"/>
      <c r="J2768" s="7" t="n"/>
      <c r="K2768" s="7" t="n"/>
      <c r="L2768" s="7" t="n"/>
      <c r="M2768" s="7" t="n"/>
      <c r="N2768" s="7" t="n"/>
      <c r="O2768" s="7" t="n"/>
      <c r="P2768" s="65" t="n"/>
      <c r="Q2768" s="75" t="n"/>
      <c r="R2768" s="75" t="n"/>
      <c r="S2768" s="76" t="n"/>
      <c r="T2768" s="76" t="n"/>
      <c r="U2768" s="70">
        <f>IF($A2768="","",IFERROR(INDEX('Techniciens'!$F$5:$F$44,MATCH(O2768,'Techniciens'!$B$5:$B$44,0)),'Paramètres'!$AA$10))</f>
        <v/>
      </c>
      <c r="V2768" s="70">
        <f>IF($A2768="","",IF(OR(AC2768="Demandé",AC2768="Planifié",AC2768="Annulé"),0,N(T2768)*N(U2768)))</f>
        <v/>
      </c>
      <c r="W2768" s="70">
        <f>IF($A2768="","",SUMIFS('Mouvements stock'!$H$5:$H$3004,'Mouvements stock'!$I$5:$I$3004,$A2768,'Mouvements stock'!$C$5:$C$3004,"Sortie")-SUMIFS('Mouvements stock'!$H$5:$H$3004,'Mouvements stock'!$I$5:$I$3004,$A2768,'Mouvements stock'!$C$5:$C$3004,"Retour"))</f>
        <v/>
      </c>
      <c r="X2768" s="66" t="n"/>
      <c r="Y2768" s="66" t="n"/>
      <c r="Z2768" s="7" t="n"/>
      <c r="AA2768" s="70">
        <f>IF($A2768="","",N(V2768)+N(W2768)+N(X2768)+N(Y2768))</f>
        <v/>
      </c>
      <c r="AB2768" s="70">
        <f>IF($A2768="","",N(S2768)*'Paramètres'!$AA$9*IFERROR(INDEX('Paramètres'!$O$5:$O$7,MATCH(G2768,'Paramètres'!$N$5:$N$7,0)),0))</f>
        <v/>
      </c>
      <c r="AC2768" s="7" t="n"/>
      <c r="AD2768" s="69">
        <f>IF(OR($A2768="",Q2768=""),"",(Q2768-B2768)*24)</f>
        <v/>
      </c>
      <c r="AE2768" s="69">
        <f>IF(OR(Q2768="",R2768=""),"",(R2768-Q2768)*24)</f>
        <v/>
      </c>
      <c r="AF2768" s="77">
        <f>IF(OR($A2768="",B2768=""),"",YEAR(B2768))</f>
        <v/>
      </c>
      <c r="AG2768" s="77">
        <f>IF(OR($A2768="",B2768=""),"",MONTH(B2768))</f>
        <v/>
      </c>
    </row>
    <row r="2769">
      <c r="A2769" s="7" t="n"/>
      <c r="B2769" s="75" t="n"/>
      <c r="C2769" s="7" t="n"/>
      <c r="D2769" s="7" t="n"/>
      <c r="E2769" s="9">
        <f>IF(D2769="","",IFERROR(INDEX('Équipements'!$B$5:$B$304,MATCH(D2769,'Équipements'!$A$5:$A$304,0)),"Code inconnu"))</f>
        <v/>
      </c>
      <c r="F2769" s="9">
        <f>IF(D2769="","",IFERROR(INDEX('Équipements'!$D$5:$D$304,MATCH(D2769,'Équipements'!$A$5:$A$304,0)),""))</f>
        <v/>
      </c>
      <c r="G2769" s="9">
        <f>IF(D2769="","",IFERROR(INDEX('Équipements'!$K$5:$K$304,MATCH(D2769,'Équipements'!$A$5:$A$304,0)),""))</f>
        <v/>
      </c>
      <c r="H2769" s="7" t="n"/>
      <c r="I2769" s="7" t="n"/>
      <c r="J2769" s="7" t="n"/>
      <c r="K2769" s="7" t="n"/>
      <c r="L2769" s="7" t="n"/>
      <c r="M2769" s="7" t="n"/>
      <c r="N2769" s="7" t="n"/>
      <c r="O2769" s="7" t="n"/>
      <c r="P2769" s="65" t="n"/>
      <c r="Q2769" s="75" t="n"/>
      <c r="R2769" s="75" t="n"/>
      <c r="S2769" s="76" t="n"/>
      <c r="T2769" s="76" t="n"/>
      <c r="U2769" s="70">
        <f>IF($A2769="","",IFERROR(INDEX('Techniciens'!$F$5:$F$44,MATCH(O2769,'Techniciens'!$B$5:$B$44,0)),'Paramètres'!$AA$10))</f>
        <v/>
      </c>
      <c r="V2769" s="70">
        <f>IF($A2769="","",IF(OR(AC2769="Demandé",AC2769="Planifié",AC2769="Annulé"),0,N(T2769)*N(U2769)))</f>
        <v/>
      </c>
      <c r="W2769" s="70">
        <f>IF($A2769="","",SUMIFS('Mouvements stock'!$H$5:$H$3004,'Mouvements stock'!$I$5:$I$3004,$A2769,'Mouvements stock'!$C$5:$C$3004,"Sortie")-SUMIFS('Mouvements stock'!$H$5:$H$3004,'Mouvements stock'!$I$5:$I$3004,$A2769,'Mouvements stock'!$C$5:$C$3004,"Retour"))</f>
        <v/>
      </c>
      <c r="X2769" s="66" t="n"/>
      <c r="Y2769" s="66" t="n"/>
      <c r="Z2769" s="7" t="n"/>
      <c r="AA2769" s="70">
        <f>IF($A2769="","",N(V2769)+N(W2769)+N(X2769)+N(Y2769))</f>
        <v/>
      </c>
      <c r="AB2769" s="70">
        <f>IF($A2769="","",N(S2769)*'Paramètres'!$AA$9*IFERROR(INDEX('Paramètres'!$O$5:$O$7,MATCH(G2769,'Paramètres'!$N$5:$N$7,0)),0))</f>
        <v/>
      </c>
      <c r="AC2769" s="7" t="n"/>
      <c r="AD2769" s="69">
        <f>IF(OR($A2769="",Q2769=""),"",(Q2769-B2769)*24)</f>
        <v/>
      </c>
      <c r="AE2769" s="69">
        <f>IF(OR(Q2769="",R2769=""),"",(R2769-Q2769)*24)</f>
        <v/>
      </c>
      <c r="AF2769" s="77">
        <f>IF(OR($A2769="",B2769=""),"",YEAR(B2769))</f>
        <v/>
      </c>
      <c r="AG2769" s="77">
        <f>IF(OR($A2769="",B2769=""),"",MONTH(B2769))</f>
        <v/>
      </c>
    </row>
    <row r="2770">
      <c r="A2770" s="7" t="n"/>
      <c r="B2770" s="75" t="n"/>
      <c r="C2770" s="7" t="n"/>
      <c r="D2770" s="7" t="n"/>
      <c r="E2770" s="9">
        <f>IF(D2770="","",IFERROR(INDEX('Équipements'!$B$5:$B$304,MATCH(D2770,'Équipements'!$A$5:$A$304,0)),"Code inconnu"))</f>
        <v/>
      </c>
      <c r="F2770" s="9">
        <f>IF(D2770="","",IFERROR(INDEX('Équipements'!$D$5:$D$304,MATCH(D2770,'Équipements'!$A$5:$A$304,0)),""))</f>
        <v/>
      </c>
      <c r="G2770" s="9">
        <f>IF(D2770="","",IFERROR(INDEX('Équipements'!$K$5:$K$304,MATCH(D2770,'Équipements'!$A$5:$A$304,0)),""))</f>
        <v/>
      </c>
      <c r="H2770" s="7" t="n"/>
      <c r="I2770" s="7" t="n"/>
      <c r="J2770" s="7" t="n"/>
      <c r="K2770" s="7" t="n"/>
      <c r="L2770" s="7" t="n"/>
      <c r="M2770" s="7" t="n"/>
      <c r="N2770" s="7" t="n"/>
      <c r="O2770" s="7" t="n"/>
      <c r="P2770" s="65" t="n"/>
      <c r="Q2770" s="75" t="n"/>
      <c r="R2770" s="75" t="n"/>
      <c r="S2770" s="76" t="n"/>
      <c r="T2770" s="76" t="n"/>
      <c r="U2770" s="70">
        <f>IF($A2770="","",IFERROR(INDEX('Techniciens'!$F$5:$F$44,MATCH(O2770,'Techniciens'!$B$5:$B$44,0)),'Paramètres'!$AA$10))</f>
        <v/>
      </c>
      <c r="V2770" s="70">
        <f>IF($A2770="","",IF(OR(AC2770="Demandé",AC2770="Planifié",AC2770="Annulé"),0,N(T2770)*N(U2770)))</f>
        <v/>
      </c>
      <c r="W2770" s="70">
        <f>IF($A2770="","",SUMIFS('Mouvements stock'!$H$5:$H$3004,'Mouvements stock'!$I$5:$I$3004,$A2770,'Mouvements stock'!$C$5:$C$3004,"Sortie")-SUMIFS('Mouvements stock'!$H$5:$H$3004,'Mouvements stock'!$I$5:$I$3004,$A2770,'Mouvements stock'!$C$5:$C$3004,"Retour"))</f>
        <v/>
      </c>
      <c r="X2770" s="66" t="n"/>
      <c r="Y2770" s="66" t="n"/>
      <c r="Z2770" s="7" t="n"/>
      <c r="AA2770" s="70">
        <f>IF($A2770="","",N(V2770)+N(W2770)+N(X2770)+N(Y2770))</f>
        <v/>
      </c>
      <c r="AB2770" s="70">
        <f>IF($A2770="","",N(S2770)*'Paramètres'!$AA$9*IFERROR(INDEX('Paramètres'!$O$5:$O$7,MATCH(G2770,'Paramètres'!$N$5:$N$7,0)),0))</f>
        <v/>
      </c>
      <c r="AC2770" s="7" t="n"/>
      <c r="AD2770" s="69">
        <f>IF(OR($A2770="",Q2770=""),"",(Q2770-B2770)*24)</f>
        <v/>
      </c>
      <c r="AE2770" s="69">
        <f>IF(OR(Q2770="",R2770=""),"",(R2770-Q2770)*24)</f>
        <v/>
      </c>
      <c r="AF2770" s="77">
        <f>IF(OR($A2770="",B2770=""),"",YEAR(B2770))</f>
        <v/>
      </c>
      <c r="AG2770" s="77">
        <f>IF(OR($A2770="",B2770=""),"",MONTH(B2770))</f>
        <v/>
      </c>
    </row>
    <row r="2771">
      <c r="A2771" s="7" t="n"/>
      <c r="B2771" s="75" t="n"/>
      <c r="C2771" s="7" t="n"/>
      <c r="D2771" s="7" t="n"/>
      <c r="E2771" s="9">
        <f>IF(D2771="","",IFERROR(INDEX('Équipements'!$B$5:$B$304,MATCH(D2771,'Équipements'!$A$5:$A$304,0)),"Code inconnu"))</f>
        <v/>
      </c>
      <c r="F2771" s="9">
        <f>IF(D2771="","",IFERROR(INDEX('Équipements'!$D$5:$D$304,MATCH(D2771,'Équipements'!$A$5:$A$304,0)),""))</f>
        <v/>
      </c>
      <c r="G2771" s="9">
        <f>IF(D2771="","",IFERROR(INDEX('Équipements'!$K$5:$K$304,MATCH(D2771,'Équipements'!$A$5:$A$304,0)),""))</f>
        <v/>
      </c>
      <c r="H2771" s="7" t="n"/>
      <c r="I2771" s="7" t="n"/>
      <c r="J2771" s="7" t="n"/>
      <c r="K2771" s="7" t="n"/>
      <c r="L2771" s="7" t="n"/>
      <c r="M2771" s="7" t="n"/>
      <c r="N2771" s="7" t="n"/>
      <c r="O2771" s="7" t="n"/>
      <c r="P2771" s="65" t="n"/>
      <c r="Q2771" s="75" t="n"/>
      <c r="R2771" s="75" t="n"/>
      <c r="S2771" s="76" t="n"/>
      <c r="T2771" s="76" t="n"/>
      <c r="U2771" s="70">
        <f>IF($A2771="","",IFERROR(INDEX('Techniciens'!$F$5:$F$44,MATCH(O2771,'Techniciens'!$B$5:$B$44,0)),'Paramètres'!$AA$10))</f>
        <v/>
      </c>
      <c r="V2771" s="70">
        <f>IF($A2771="","",IF(OR(AC2771="Demandé",AC2771="Planifié",AC2771="Annulé"),0,N(T2771)*N(U2771)))</f>
        <v/>
      </c>
      <c r="W2771" s="70">
        <f>IF($A2771="","",SUMIFS('Mouvements stock'!$H$5:$H$3004,'Mouvements stock'!$I$5:$I$3004,$A2771,'Mouvements stock'!$C$5:$C$3004,"Sortie")-SUMIFS('Mouvements stock'!$H$5:$H$3004,'Mouvements stock'!$I$5:$I$3004,$A2771,'Mouvements stock'!$C$5:$C$3004,"Retour"))</f>
        <v/>
      </c>
      <c r="X2771" s="66" t="n"/>
      <c r="Y2771" s="66" t="n"/>
      <c r="Z2771" s="7" t="n"/>
      <c r="AA2771" s="70">
        <f>IF($A2771="","",N(V2771)+N(W2771)+N(X2771)+N(Y2771))</f>
        <v/>
      </c>
      <c r="AB2771" s="70">
        <f>IF($A2771="","",N(S2771)*'Paramètres'!$AA$9*IFERROR(INDEX('Paramètres'!$O$5:$O$7,MATCH(G2771,'Paramètres'!$N$5:$N$7,0)),0))</f>
        <v/>
      </c>
      <c r="AC2771" s="7" t="n"/>
      <c r="AD2771" s="69">
        <f>IF(OR($A2771="",Q2771=""),"",(Q2771-B2771)*24)</f>
        <v/>
      </c>
      <c r="AE2771" s="69">
        <f>IF(OR(Q2771="",R2771=""),"",(R2771-Q2771)*24)</f>
        <v/>
      </c>
      <c r="AF2771" s="77">
        <f>IF(OR($A2771="",B2771=""),"",YEAR(B2771))</f>
        <v/>
      </c>
      <c r="AG2771" s="77">
        <f>IF(OR($A2771="",B2771=""),"",MONTH(B2771))</f>
        <v/>
      </c>
    </row>
    <row r="2772">
      <c r="A2772" s="7" t="n"/>
      <c r="B2772" s="75" t="n"/>
      <c r="C2772" s="7" t="n"/>
      <c r="D2772" s="7" t="n"/>
      <c r="E2772" s="9">
        <f>IF(D2772="","",IFERROR(INDEX('Équipements'!$B$5:$B$304,MATCH(D2772,'Équipements'!$A$5:$A$304,0)),"Code inconnu"))</f>
        <v/>
      </c>
      <c r="F2772" s="9">
        <f>IF(D2772="","",IFERROR(INDEX('Équipements'!$D$5:$D$304,MATCH(D2772,'Équipements'!$A$5:$A$304,0)),""))</f>
        <v/>
      </c>
      <c r="G2772" s="9">
        <f>IF(D2772="","",IFERROR(INDEX('Équipements'!$K$5:$K$304,MATCH(D2772,'Équipements'!$A$5:$A$304,0)),""))</f>
        <v/>
      </c>
      <c r="H2772" s="7" t="n"/>
      <c r="I2772" s="7" t="n"/>
      <c r="J2772" s="7" t="n"/>
      <c r="K2772" s="7" t="n"/>
      <c r="L2772" s="7" t="n"/>
      <c r="M2772" s="7" t="n"/>
      <c r="N2772" s="7" t="n"/>
      <c r="O2772" s="7" t="n"/>
      <c r="P2772" s="65" t="n"/>
      <c r="Q2772" s="75" t="n"/>
      <c r="R2772" s="75" t="n"/>
      <c r="S2772" s="76" t="n"/>
      <c r="T2772" s="76" t="n"/>
      <c r="U2772" s="70">
        <f>IF($A2772="","",IFERROR(INDEX('Techniciens'!$F$5:$F$44,MATCH(O2772,'Techniciens'!$B$5:$B$44,0)),'Paramètres'!$AA$10))</f>
        <v/>
      </c>
      <c r="V2772" s="70">
        <f>IF($A2772="","",IF(OR(AC2772="Demandé",AC2772="Planifié",AC2772="Annulé"),0,N(T2772)*N(U2772)))</f>
        <v/>
      </c>
      <c r="W2772" s="70">
        <f>IF($A2772="","",SUMIFS('Mouvements stock'!$H$5:$H$3004,'Mouvements stock'!$I$5:$I$3004,$A2772,'Mouvements stock'!$C$5:$C$3004,"Sortie")-SUMIFS('Mouvements stock'!$H$5:$H$3004,'Mouvements stock'!$I$5:$I$3004,$A2772,'Mouvements stock'!$C$5:$C$3004,"Retour"))</f>
        <v/>
      </c>
      <c r="X2772" s="66" t="n"/>
      <c r="Y2772" s="66" t="n"/>
      <c r="Z2772" s="7" t="n"/>
      <c r="AA2772" s="70">
        <f>IF($A2772="","",N(V2772)+N(W2772)+N(X2772)+N(Y2772))</f>
        <v/>
      </c>
      <c r="AB2772" s="70">
        <f>IF($A2772="","",N(S2772)*'Paramètres'!$AA$9*IFERROR(INDEX('Paramètres'!$O$5:$O$7,MATCH(G2772,'Paramètres'!$N$5:$N$7,0)),0))</f>
        <v/>
      </c>
      <c r="AC2772" s="7" t="n"/>
      <c r="AD2772" s="69">
        <f>IF(OR($A2772="",Q2772=""),"",(Q2772-B2772)*24)</f>
        <v/>
      </c>
      <c r="AE2772" s="69">
        <f>IF(OR(Q2772="",R2772=""),"",(R2772-Q2772)*24)</f>
        <v/>
      </c>
      <c r="AF2772" s="77">
        <f>IF(OR($A2772="",B2772=""),"",YEAR(B2772))</f>
        <v/>
      </c>
      <c r="AG2772" s="77">
        <f>IF(OR($A2772="",B2772=""),"",MONTH(B2772))</f>
        <v/>
      </c>
    </row>
    <row r="2773">
      <c r="A2773" s="7" t="n"/>
      <c r="B2773" s="75" t="n"/>
      <c r="C2773" s="7" t="n"/>
      <c r="D2773" s="7" t="n"/>
      <c r="E2773" s="9">
        <f>IF(D2773="","",IFERROR(INDEX('Équipements'!$B$5:$B$304,MATCH(D2773,'Équipements'!$A$5:$A$304,0)),"Code inconnu"))</f>
        <v/>
      </c>
      <c r="F2773" s="9">
        <f>IF(D2773="","",IFERROR(INDEX('Équipements'!$D$5:$D$304,MATCH(D2773,'Équipements'!$A$5:$A$304,0)),""))</f>
        <v/>
      </c>
      <c r="G2773" s="9">
        <f>IF(D2773="","",IFERROR(INDEX('Équipements'!$K$5:$K$304,MATCH(D2773,'Équipements'!$A$5:$A$304,0)),""))</f>
        <v/>
      </c>
      <c r="H2773" s="7" t="n"/>
      <c r="I2773" s="7" t="n"/>
      <c r="J2773" s="7" t="n"/>
      <c r="K2773" s="7" t="n"/>
      <c r="L2773" s="7" t="n"/>
      <c r="M2773" s="7" t="n"/>
      <c r="N2773" s="7" t="n"/>
      <c r="O2773" s="7" t="n"/>
      <c r="P2773" s="65" t="n"/>
      <c r="Q2773" s="75" t="n"/>
      <c r="R2773" s="75" t="n"/>
      <c r="S2773" s="76" t="n"/>
      <c r="T2773" s="76" t="n"/>
      <c r="U2773" s="70">
        <f>IF($A2773="","",IFERROR(INDEX('Techniciens'!$F$5:$F$44,MATCH(O2773,'Techniciens'!$B$5:$B$44,0)),'Paramètres'!$AA$10))</f>
        <v/>
      </c>
      <c r="V2773" s="70">
        <f>IF($A2773="","",IF(OR(AC2773="Demandé",AC2773="Planifié",AC2773="Annulé"),0,N(T2773)*N(U2773)))</f>
        <v/>
      </c>
      <c r="W2773" s="70">
        <f>IF($A2773="","",SUMIFS('Mouvements stock'!$H$5:$H$3004,'Mouvements stock'!$I$5:$I$3004,$A2773,'Mouvements stock'!$C$5:$C$3004,"Sortie")-SUMIFS('Mouvements stock'!$H$5:$H$3004,'Mouvements stock'!$I$5:$I$3004,$A2773,'Mouvements stock'!$C$5:$C$3004,"Retour"))</f>
        <v/>
      </c>
      <c r="X2773" s="66" t="n"/>
      <c r="Y2773" s="66" t="n"/>
      <c r="Z2773" s="7" t="n"/>
      <c r="AA2773" s="70">
        <f>IF($A2773="","",N(V2773)+N(W2773)+N(X2773)+N(Y2773))</f>
        <v/>
      </c>
      <c r="AB2773" s="70">
        <f>IF($A2773="","",N(S2773)*'Paramètres'!$AA$9*IFERROR(INDEX('Paramètres'!$O$5:$O$7,MATCH(G2773,'Paramètres'!$N$5:$N$7,0)),0))</f>
        <v/>
      </c>
      <c r="AC2773" s="7" t="n"/>
      <c r="AD2773" s="69">
        <f>IF(OR($A2773="",Q2773=""),"",(Q2773-B2773)*24)</f>
        <v/>
      </c>
      <c r="AE2773" s="69">
        <f>IF(OR(Q2773="",R2773=""),"",(R2773-Q2773)*24)</f>
        <v/>
      </c>
      <c r="AF2773" s="77">
        <f>IF(OR($A2773="",B2773=""),"",YEAR(B2773))</f>
        <v/>
      </c>
      <c r="AG2773" s="77">
        <f>IF(OR($A2773="",B2773=""),"",MONTH(B2773))</f>
        <v/>
      </c>
    </row>
    <row r="2774">
      <c r="A2774" s="7" t="n"/>
      <c r="B2774" s="75" t="n"/>
      <c r="C2774" s="7" t="n"/>
      <c r="D2774" s="7" t="n"/>
      <c r="E2774" s="9">
        <f>IF(D2774="","",IFERROR(INDEX('Équipements'!$B$5:$B$304,MATCH(D2774,'Équipements'!$A$5:$A$304,0)),"Code inconnu"))</f>
        <v/>
      </c>
      <c r="F2774" s="9">
        <f>IF(D2774="","",IFERROR(INDEX('Équipements'!$D$5:$D$304,MATCH(D2774,'Équipements'!$A$5:$A$304,0)),""))</f>
        <v/>
      </c>
      <c r="G2774" s="9">
        <f>IF(D2774="","",IFERROR(INDEX('Équipements'!$K$5:$K$304,MATCH(D2774,'Équipements'!$A$5:$A$304,0)),""))</f>
        <v/>
      </c>
      <c r="H2774" s="7" t="n"/>
      <c r="I2774" s="7" t="n"/>
      <c r="J2774" s="7" t="n"/>
      <c r="K2774" s="7" t="n"/>
      <c r="L2774" s="7" t="n"/>
      <c r="M2774" s="7" t="n"/>
      <c r="N2774" s="7" t="n"/>
      <c r="O2774" s="7" t="n"/>
      <c r="P2774" s="65" t="n"/>
      <c r="Q2774" s="75" t="n"/>
      <c r="R2774" s="75" t="n"/>
      <c r="S2774" s="76" t="n"/>
      <c r="T2774" s="76" t="n"/>
      <c r="U2774" s="70">
        <f>IF($A2774="","",IFERROR(INDEX('Techniciens'!$F$5:$F$44,MATCH(O2774,'Techniciens'!$B$5:$B$44,0)),'Paramètres'!$AA$10))</f>
        <v/>
      </c>
      <c r="V2774" s="70">
        <f>IF($A2774="","",IF(OR(AC2774="Demandé",AC2774="Planifié",AC2774="Annulé"),0,N(T2774)*N(U2774)))</f>
        <v/>
      </c>
      <c r="W2774" s="70">
        <f>IF($A2774="","",SUMIFS('Mouvements stock'!$H$5:$H$3004,'Mouvements stock'!$I$5:$I$3004,$A2774,'Mouvements stock'!$C$5:$C$3004,"Sortie")-SUMIFS('Mouvements stock'!$H$5:$H$3004,'Mouvements stock'!$I$5:$I$3004,$A2774,'Mouvements stock'!$C$5:$C$3004,"Retour"))</f>
        <v/>
      </c>
      <c r="X2774" s="66" t="n"/>
      <c r="Y2774" s="66" t="n"/>
      <c r="Z2774" s="7" t="n"/>
      <c r="AA2774" s="70">
        <f>IF($A2774="","",N(V2774)+N(W2774)+N(X2774)+N(Y2774))</f>
        <v/>
      </c>
      <c r="AB2774" s="70">
        <f>IF($A2774="","",N(S2774)*'Paramètres'!$AA$9*IFERROR(INDEX('Paramètres'!$O$5:$O$7,MATCH(G2774,'Paramètres'!$N$5:$N$7,0)),0))</f>
        <v/>
      </c>
      <c r="AC2774" s="7" t="n"/>
      <c r="AD2774" s="69">
        <f>IF(OR($A2774="",Q2774=""),"",(Q2774-B2774)*24)</f>
        <v/>
      </c>
      <c r="AE2774" s="69">
        <f>IF(OR(Q2774="",R2774=""),"",(R2774-Q2774)*24)</f>
        <v/>
      </c>
      <c r="AF2774" s="77">
        <f>IF(OR($A2774="",B2774=""),"",YEAR(B2774))</f>
        <v/>
      </c>
      <c r="AG2774" s="77">
        <f>IF(OR($A2774="",B2774=""),"",MONTH(B2774))</f>
        <v/>
      </c>
    </row>
    <row r="2775">
      <c r="A2775" s="7" t="n"/>
      <c r="B2775" s="75" t="n"/>
      <c r="C2775" s="7" t="n"/>
      <c r="D2775" s="7" t="n"/>
      <c r="E2775" s="9">
        <f>IF(D2775="","",IFERROR(INDEX('Équipements'!$B$5:$B$304,MATCH(D2775,'Équipements'!$A$5:$A$304,0)),"Code inconnu"))</f>
        <v/>
      </c>
      <c r="F2775" s="9">
        <f>IF(D2775="","",IFERROR(INDEX('Équipements'!$D$5:$D$304,MATCH(D2775,'Équipements'!$A$5:$A$304,0)),""))</f>
        <v/>
      </c>
      <c r="G2775" s="9">
        <f>IF(D2775="","",IFERROR(INDEX('Équipements'!$K$5:$K$304,MATCH(D2775,'Équipements'!$A$5:$A$304,0)),""))</f>
        <v/>
      </c>
      <c r="H2775" s="7" t="n"/>
      <c r="I2775" s="7" t="n"/>
      <c r="J2775" s="7" t="n"/>
      <c r="K2775" s="7" t="n"/>
      <c r="L2775" s="7" t="n"/>
      <c r="M2775" s="7" t="n"/>
      <c r="N2775" s="7" t="n"/>
      <c r="O2775" s="7" t="n"/>
      <c r="P2775" s="65" t="n"/>
      <c r="Q2775" s="75" t="n"/>
      <c r="R2775" s="75" t="n"/>
      <c r="S2775" s="76" t="n"/>
      <c r="T2775" s="76" t="n"/>
      <c r="U2775" s="70">
        <f>IF($A2775="","",IFERROR(INDEX('Techniciens'!$F$5:$F$44,MATCH(O2775,'Techniciens'!$B$5:$B$44,0)),'Paramètres'!$AA$10))</f>
        <v/>
      </c>
      <c r="V2775" s="70">
        <f>IF($A2775="","",IF(OR(AC2775="Demandé",AC2775="Planifié",AC2775="Annulé"),0,N(T2775)*N(U2775)))</f>
        <v/>
      </c>
      <c r="W2775" s="70">
        <f>IF($A2775="","",SUMIFS('Mouvements stock'!$H$5:$H$3004,'Mouvements stock'!$I$5:$I$3004,$A2775,'Mouvements stock'!$C$5:$C$3004,"Sortie")-SUMIFS('Mouvements stock'!$H$5:$H$3004,'Mouvements stock'!$I$5:$I$3004,$A2775,'Mouvements stock'!$C$5:$C$3004,"Retour"))</f>
        <v/>
      </c>
      <c r="X2775" s="66" t="n"/>
      <c r="Y2775" s="66" t="n"/>
      <c r="Z2775" s="7" t="n"/>
      <c r="AA2775" s="70">
        <f>IF($A2775="","",N(V2775)+N(W2775)+N(X2775)+N(Y2775))</f>
        <v/>
      </c>
      <c r="AB2775" s="70">
        <f>IF($A2775="","",N(S2775)*'Paramètres'!$AA$9*IFERROR(INDEX('Paramètres'!$O$5:$O$7,MATCH(G2775,'Paramètres'!$N$5:$N$7,0)),0))</f>
        <v/>
      </c>
      <c r="AC2775" s="7" t="n"/>
      <c r="AD2775" s="69">
        <f>IF(OR($A2775="",Q2775=""),"",(Q2775-B2775)*24)</f>
        <v/>
      </c>
      <c r="AE2775" s="69">
        <f>IF(OR(Q2775="",R2775=""),"",(R2775-Q2775)*24)</f>
        <v/>
      </c>
      <c r="AF2775" s="77">
        <f>IF(OR($A2775="",B2775=""),"",YEAR(B2775))</f>
        <v/>
      </c>
      <c r="AG2775" s="77">
        <f>IF(OR($A2775="",B2775=""),"",MONTH(B2775))</f>
        <v/>
      </c>
    </row>
    <row r="2776">
      <c r="A2776" s="7" t="n"/>
      <c r="B2776" s="75" t="n"/>
      <c r="C2776" s="7" t="n"/>
      <c r="D2776" s="7" t="n"/>
      <c r="E2776" s="9">
        <f>IF(D2776="","",IFERROR(INDEX('Équipements'!$B$5:$B$304,MATCH(D2776,'Équipements'!$A$5:$A$304,0)),"Code inconnu"))</f>
        <v/>
      </c>
      <c r="F2776" s="9">
        <f>IF(D2776="","",IFERROR(INDEX('Équipements'!$D$5:$D$304,MATCH(D2776,'Équipements'!$A$5:$A$304,0)),""))</f>
        <v/>
      </c>
      <c r="G2776" s="9">
        <f>IF(D2776="","",IFERROR(INDEX('Équipements'!$K$5:$K$304,MATCH(D2776,'Équipements'!$A$5:$A$304,0)),""))</f>
        <v/>
      </c>
      <c r="H2776" s="7" t="n"/>
      <c r="I2776" s="7" t="n"/>
      <c r="J2776" s="7" t="n"/>
      <c r="K2776" s="7" t="n"/>
      <c r="L2776" s="7" t="n"/>
      <c r="M2776" s="7" t="n"/>
      <c r="N2776" s="7" t="n"/>
      <c r="O2776" s="7" t="n"/>
      <c r="P2776" s="65" t="n"/>
      <c r="Q2776" s="75" t="n"/>
      <c r="R2776" s="75" t="n"/>
      <c r="S2776" s="76" t="n"/>
      <c r="T2776" s="76" t="n"/>
      <c r="U2776" s="70">
        <f>IF($A2776="","",IFERROR(INDEX('Techniciens'!$F$5:$F$44,MATCH(O2776,'Techniciens'!$B$5:$B$44,0)),'Paramètres'!$AA$10))</f>
        <v/>
      </c>
      <c r="V2776" s="70">
        <f>IF($A2776="","",IF(OR(AC2776="Demandé",AC2776="Planifié",AC2776="Annulé"),0,N(T2776)*N(U2776)))</f>
        <v/>
      </c>
      <c r="W2776" s="70">
        <f>IF($A2776="","",SUMIFS('Mouvements stock'!$H$5:$H$3004,'Mouvements stock'!$I$5:$I$3004,$A2776,'Mouvements stock'!$C$5:$C$3004,"Sortie")-SUMIFS('Mouvements stock'!$H$5:$H$3004,'Mouvements stock'!$I$5:$I$3004,$A2776,'Mouvements stock'!$C$5:$C$3004,"Retour"))</f>
        <v/>
      </c>
      <c r="X2776" s="66" t="n"/>
      <c r="Y2776" s="66" t="n"/>
      <c r="Z2776" s="7" t="n"/>
      <c r="AA2776" s="70">
        <f>IF($A2776="","",N(V2776)+N(W2776)+N(X2776)+N(Y2776))</f>
        <v/>
      </c>
      <c r="AB2776" s="70">
        <f>IF($A2776="","",N(S2776)*'Paramètres'!$AA$9*IFERROR(INDEX('Paramètres'!$O$5:$O$7,MATCH(G2776,'Paramètres'!$N$5:$N$7,0)),0))</f>
        <v/>
      </c>
      <c r="AC2776" s="7" t="n"/>
      <c r="AD2776" s="69">
        <f>IF(OR($A2776="",Q2776=""),"",(Q2776-B2776)*24)</f>
        <v/>
      </c>
      <c r="AE2776" s="69">
        <f>IF(OR(Q2776="",R2776=""),"",(R2776-Q2776)*24)</f>
        <v/>
      </c>
      <c r="AF2776" s="77">
        <f>IF(OR($A2776="",B2776=""),"",YEAR(B2776))</f>
        <v/>
      </c>
      <c r="AG2776" s="77">
        <f>IF(OR($A2776="",B2776=""),"",MONTH(B2776))</f>
        <v/>
      </c>
    </row>
    <row r="2777">
      <c r="A2777" s="7" t="n"/>
      <c r="B2777" s="75" t="n"/>
      <c r="C2777" s="7" t="n"/>
      <c r="D2777" s="7" t="n"/>
      <c r="E2777" s="9">
        <f>IF(D2777="","",IFERROR(INDEX('Équipements'!$B$5:$B$304,MATCH(D2777,'Équipements'!$A$5:$A$304,0)),"Code inconnu"))</f>
        <v/>
      </c>
      <c r="F2777" s="9">
        <f>IF(D2777="","",IFERROR(INDEX('Équipements'!$D$5:$D$304,MATCH(D2777,'Équipements'!$A$5:$A$304,0)),""))</f>
        <v/>
      </c>
      <c r="G2777" s="9">
        <f>IF(D2777="","",IFERROR(INDEX('Équipements'!$K$5:$K$304,MATCH(D2777,'Équipements'!$A$5:$A$304,0)),""))</f>
        <v/>
      </c>
      <c r="H2777" s="7" t="n"/>
      <c r="I2777" s="7" t="n"/>
      <c r="J2777" s="7" t="n"/>
      <c r="K2777" s="7" t="n"/>
      <c r="L2777" s="7" t="n"/>
      <c r="M2777" s="7" t="n"/>
      <c r="N2777" s="7" t="n"/>
      <c r="O2777" s="7" t="n"/>
      <c r="P2777" s="65" t="n"/>
      <c r="Q2777" s="75" t="n"/>
      <c r="R2777" s="75" t="n"/>
      <c r="S2777" s="76" t="n"/>
      <c r="T2777" s="76" t="n"/>
      <c r="U2777" s="70">
        <f>IF($A2777="","",IFERROR(INDEX('Techniciens'!$F$5:$F$44,MATCH(O2777,'Techniciens'!$B$5:$B$44,0)),'Paramètres'!$AA$10))</f>
        <v/>
      </c>
      <c r="V2777" s="70">
        <f>IF($A2777="","",IF(OR(AC2777="Demandé",AC2777="Planifié",AC2777="Annulé"),0,N(T2777)*N(U2777)))</f>
        <v/>
      </c>
      <c r="W2777" s="70">
        <f>IF($A2777="","",SUMIFS('Mouvements stock'!$H$5:$H$3004,'Mouvements stock'!$I$5:$I$3004,$A2777,'Mouvements stock'!$C$5:$C$3004,"Sortie")-SUMIFS('Mouvements stock'!$H$5:$H$3004,'Mouvements stock'!$I$5:$I$3004,$A2777,'Mouvements stock'!$C$5:$C$3004,"Retour"))</f>
        <v/>
      </c>
      <c r="X2777" s="66" t="n"/>
      <c r="Y2777" s="66" t="n"/>
      <c r="Z2777" s="7" t="n"/>
      <c r="AA2777" s="70">
        <f>IF($A2777="","",N(V2777)+N(W2777)+N(X2777)+N(Y2777))</f>
        <v/>
      </c>
      <c r="AB2777" s="70">
        <f>IF($A2777="","",N(S2777)*'Paramètres'!$AA$9*IFERROR(INDEX('Paramètres'!$O$5:$O$7,MATCH(G2777,'Paramètres'!$N$5:$N$7,0)),0))</f>
        <v/>
      </c>
      <c r="AC2777" s="7" t="n"/>
      <c r="AD2777" s="69">
        <f>IF(OR($A2777="",Q2777=""),"",(Q2777-B2777)*24)</f>
        <v/>
      </c>
      <c r="AE2777" s="69">
        <f>IF(OR(Q2777="",R2777=""),"",(R2777-Q2777)*24)</f>
        <v/>
      </c>
      <c r="AF2777" s="77">
        <f>IF(OR($A2777="",B2777=""),"",YEAR(B2777))</f>
        <v/>
      </c>
      <c r="AG2777" s="77">
        <f>IF(OR($A2777="",B2777=""),"",MONTH(B2777))</f>
        <v/>
      </c>
    </row>
    <row r="2778">
      <c r="A2778" s="7" t="n"/>
      <c r="B2778" s="75" t="n"/>
      <c r="C2778" s="7" t="n"/>
      <c r="D2778" s="7" t="n"/>
      <c r="E2778" s="9">
        <f>IF(D2778="","",IFERROR(INDEX('Équipements'!$B$5:$B$304,MATCH(D2778,'Équipements'!$A$5:$A$304,0)),"Code inconnu"))</f>
        <v/>
      </c>
      <c r="F2778" s="9">
        <f>IF(D2778="","",IFERROR(INDEX('Équipements'!$D$5:$D$304,MATCH(D2778,'Équipements'!$A$5:$A$304,0)),""))</f>
        <v/>
      </c>
      <c r="G2778" s="9">
        <f>IF(D2778="","",IFERROR(INDEX('Équipements'!$K$5:$K$304,MATCH(D2778,'Équipements'!$A$5:$A$304,0)),""))</f>
        <v/>
      </c>
      <c r="H2778" s="7" t="n"/>
      <c r="I2778" s="7" t="n"/>
      <c r="J2778" s="7" t="n"/>
      <c r="K2778" s="7" t="n"/>
      <c r="L2778" s="7" t="n"/>
      <c r="M2778" s="7" t="n"/>
      <c r="N2778" s="7" t="n"/>
      <c r="O2778" s="7" t="n"/>
      <c r="P2778" s="65" t="n"/>
      <c r="Q2778" s="75" t="n"/>
      <c r="R2778" s="75" t="n"/>
      <c r="S2778" s="76" t="n"/>
      <c r="T2778" s="76" t="n"/>
      <c r="U2778" s="70">
        <f>IF($A2778="","",IFERROR(INDEX('Techniciens'!$F$5:$F$44,MATCH(O2778,'Techniciens'!$B$5:$B$44,0)),'Paramètres'!$AA$10))</f>
        <v/>
      </c>
      <c r="V2778" s="70">
        <f>IF($A2778="","",IF(OR(AC2778="Demandé",AC2778="Planifié",AC2778="Annulé"),0,N(T2778)*N(U2778)))</f>
        <v/>
      </c>
      <c r="W2778" s="70">
        <f>IF($A2778="","",SUMIFS('Mouvements stock'!$H$5:$H$3004,'Mouvements stock'!$I$5:$I$3004,$A2778,'Mouvements stock'!$C$5:$C$3004,"Sortie")-SUMIFS('Mouvements stock'!$H$5:$H$3004,'Mouvements stock'!$I$5:$I$3004,$A2778,'Mouvements stock'!$C$5:$C$3004,"Retour"))</f>
        <v/>
      </c>
      <c r="X2778" s="66" t="n"/>
      <c r="Y2778" s="66" t="n"/>
      <c r="Z2778" s="7" t="n"/>
      <c r="AA2778" s="70">
        <f>IF($A2778="","",N(V2778)+N(W2778)+N(X2778)+N(Y2778))</f>
        <v/>
      </c>
      <c r="AB2778" s="70">
        <f>IF($A2778="","",N(S2778)*'Paramètres'!$AA$9*IFERROR(INDEX('Paramètres'!$O$5:$O$7,MATCH(G2778,'Paramètres'!$N$5:$N$7,0)),0))</f>
        <v/>
      </c>
      <c r="AC2778" s="7" t="n"/>
      <c r="AD2778" s="69">
        <f>IF(OR($A2778="",Q2778=""),"",(Q2778-B2778)*24)</f>
        <v/>
      </c>
      <c r="AE2778" s="69">
        <f>IF(OR(Q2778="",R2778=""),"",(R2778-Q2778)*24)</f>
        <v/>
      </c>
      <c r="AF2778" s="77">
        <f>IF(OR($A2778="",B2778=""),"",YEAR(B2778))</f>
        <v/>
      </c>
      <c r="AG2778" s="77">
        <f>IF(OR($A2778="",B2778=""),"",MONTH(B2778))</f>
        <v/>
      </c>
    </row>
    <row r="2779">
      <c r="A2779" s="7" t="n"/>
      <c r="B2779" s="75" t="n"/>
      <c r="C2779" s="7" t="n"/>
      <c r="D2779" s="7" t="n"/>
      <c r="E2779" s="9">
        <f>IF(D2779="","",IFERROR(INDEX('Équipements'!$B$5:$B$304,MATCH(D2779,'Équipements'!$A$5:$A$304,0)),"Code inconnu"))</f>
        <v/>
      </c>
      <c r="F2779" s="9">
        <f>IF(D2779="","",IFERROR(INDEX('Équipements'!$D$5:$D$304,MATCH(D2779,'Équipements'!$A$5:$A$304,0)),""))</f>
        <v/>
      </c>
      <c r="G2779" s="9">
        <f>IF(D2779="","",IFERROR(INDEX('Équipements'!$K$5:$K$304,MATCH(D2779,'Équipements'!$A$5:$A$304,0)),""))</f>
        <v/>
      </c>
      <c r="H2779" s="7" t="n"/>
      <c r="I2779" s="7" t="n"/>
      <c r="J2779" s="7" t="n"/>
      <c r="K2779" s="7" t="n"/>
      <c r="L2779" s="7" t="n"/>
      <c r="M2779" s="7" t="n"/>
      <c r="N2779" s="7" t="n"/>
      <c r="O2779" s="7" t="n"/>
      <c r="P2779" s="65" t="n"/>
      <c r="Q2779" s="75" t="n"/>
      <c r="R2779" s="75" t="n"/>
      <c r="S2779" s="76" t="n"/>
      <c r="T2779" s="76" t="n"/>
      <c r="U2779" s="70">
        <f>IF($A2779="","",IFERROR(INDEX('Techniciens'!$F$5:$F$44,MATCH(O2779,'Techniciens'!$B$5:$B$44,0)),'Paramètres'!$AA$10))</f>
        <v/>
      </c>
      <c r="V2779" s="70">
        <f>IF($A2779="","",IF(OR(AC2779="Demandé",AC2779="Planifié",AC2779="Annulé"),0,N(T2779)*N(U2779)))</f>
        <v/>
      </c>
      <c r="W2779" s="70">
        <f>IF($A2779="","",SUMIFS('Mouvements stock'!$H$5:$H$3004,'Mouvements stock'!$I$5:$I$3004,$A2779,'Mouvements stock'!$C$5:$C$3004,"Sortie")-SUMIFS('Mouvements stock'!$H$5:$H$3004,'Mouvements stock'!$I$5:$I$3004,$A2779,'Mouvements stock'!$C$5:$C$3004,"Retour"))</f>
        <v/>
      </c>
      <c r="X2779" s="66" t="n"/>
      <c r="Y2779" s="66" t="n"/>
      <c r="Z2779" s="7" t="n"/>
      <c r="AA2779" s="70">
        <f>IF($A2779="","",N(V2779)+N(W2779)+N(X2779)+N(Y2779))</f>
        <v/>
      </c>
      <c r="AB2779" s="70">
        <f>IF($A2779="","",N(S2779)*'Paramètres'!$AA$9*IFERROR(INDEX('Paramètres'!$O$5:$O$7,MATCH(G2779,'Paramètres'!$N$5:$N$7,0)),0))</f>
        <v/>
      </c>
      <c r="AC2779" s="7" t="n"/>
      <c r="AD2779" s="69">
        <f>IF(OR($A2779="",Q2779=""),"",(Q2779-B2779)*24)</f>
        <v/>
      </c>
      <c r="AE2779" s="69">
        <f>IF(OR(Q2779="",R2779=""),"",(R2779-Q2779)*24)</f>
        <v/>
      </c>
      <c r="AF2779" s="77">
        <f>IF(OR($A2779="",B2779=""),"",YEAR(B2779))</f>
        <v/>
      </c>
      <c r="AG2779" s="77">
        <f>IF(OR($A2779="",B2779=""),"",MONTH(B2779))</f>
        <v/>
      </c>
    </row>
    <row r="2780">
      <c r="A2780" s="7" t="n"/>
      <c r="B2780" s="75" t="n"/>
      <c r="C2780" s="7" t="n"/>
      <c r="D2780" s="7" t="n"/>
      <c r="E2780" s="9">
        <f>IF(D2780="","",IFERROR(INDEX('Équipements'!$B$5:$B$304,MATCH(D2780,'Équipements'!$A$5:$A$304,0)),"Code inconnu"))</f>
        <v/>
      </c>
      <c r="F2780" s="9">
        <f>IF(D2780="","",IFERROR(INDEX('Équipements'!$D$5:$D$304,MATCH(D2780,'Équipements'!$A$5:$A$304,0)),""))</f>
        <v/>
      </c>
      <c r="G2780" s="9">
        <f>IF(D2780="","",IFERROR(INDEX('Équipements'!$K$5:$K$304,MATCH(D2780,'Équipements'!$A$5:$A$304,0)),""))</f>
        <v/>
      </c>
      <c r="H2780" s="7" t="n"/>
      <c r="I2780" s="7" t="n"/>
      <c r="J2780" s="7" t="n"/>
      <c r="K2780" s="7" t="n"/>
      <c r="L2780" s="7" t="n"/>
      <c r="M2780" s="7" t="n"/>
      <c r="N2780" s="7" t="n"/>
      <c r="O2780" s="7" t="n"/>
      <c r="P2780" s="65" t="n"/>
      <c r="Q2780" s="75" t="n"/>
      <c r="R2780" s="75" t="n"/>
      <c r="S2780" s="76" t="n"/>
      <c r="T2780" s="76" t="n"/>
      <c r="U2780" s="70">
        <f>IF($A2780="","",IFERROR(INDEX('Techniciens'!$F$5:$F$44,MATCH(O2780,'Techniciens'!$B$5:$B$44,0)),'Paramètres'!$AA$10))</f>
        <v/>
      </c>
      <c r="V2780" s="70">
        <f>IF($A2780="","",IF(OR(AC2780="Demandé",AC2780="Planifié",AC2780="Annulé"),0,N(T2780)*N(U2780)))</f>
        <v/>
      </c>
      <c r="W2780" s="70">
        <f>IF($A2780="","",SUMIFS('Mouvements stock'!$H$5:$H$3004,'Mouvements stock'!$I$5:$I$3004,$A2780,'Mouvements stock'!$C$5:$C$3004,"Sortie")-SUMIFS('Mouvements stock'!$H$5:$H$3004,'Mouvements stock'!$I$5:$I$3004,$A2780,'Mouvements stock'!$C$5:$C$3004,"Retour"))</f>
        <v/>
      </c>
      <c r="X2780" s="66" t="n"/>
      <c r="Y2780" s="66" t="n"/>
      <c r="Z2780" s="7" t="n"/>
      <c r="AA2780" s="70">
        <f>IF($A2780="","",N(V2780)+N(W2780)+N(X2780)+N(Y2780))</f>
        <v/>
      </c>
      <c r="AB2780" s="70">
        <f>IF($A2780="","",N(S2780)*'Paramètres'!$AA$9*IFERROR(INDEX('Paramètres'!$O$5:$O$7,MATCH(G2780,'Paramètres'!$N$5:$N$7,0)),0))</f>
        <v/>
      </c>
      <c r="AC2780" s="7" t="n"/>
      <c r="AD2780" s="69">
        <f>IF(OR($A2780="",Q2780=""),"",(Q2780-B2780)*24)</f>
        <v/>
      </c>
      <c r="AE2780" s="69">
        <f>IF(OR(Q2780="",R2780=""),"",(R2780-Q2780)*24)</f>
        <v/>
      </c>
      <c r="AF2780" s="77">
        <f>IF(OR($A2780="",B2780=""),"",YEAR(B2780))</f>
        <v/>
      </c>
      <c r="AG2780" s="77">
        <f>IF(OR($A2780="",B2780=""),"",MONTH(B2780))</f>
        <v/>
      </c>
    </row>
    <row r="2781">
      <c r="A2781" s="7" t="n"/>
      <c r="B2781" s="75" t="n"/>
      <c r="C2781" s="7" t="n"/>
      <c r="D2781" s="7" t="n"/>
      <c r="E2781" s="9">
        <f>IF(D2781="","",IFERROR(INDEX('Équipements'!$B$5:$B$304,MATCH(D2781,'Équipements'!$A$5:$A$304,0)),"Code inconnu"))</f>
        <v/>
      </c>
      <c r="F2781" s="9">
        <f>IF(D2781="","",IFERROR(INDEX('Équipements'!$D$5:$D$304,MATCH(D2781,'Équipements'!$A$5:$A$304,0)),""))</f>
        <v/>
      </c>
      <c r="G2781" s="9">
        <f>IF(D2781="","",IFERROR(INDEX('Équipements'!$K$5:$K$304,MATCH(D2781,'Équipements'!$A$5:$A$304,0)),""))</f>
        <v/>
      </c>
      <c r="H2781" s="7" t="n"/>
      <c r="I2781" s="7" t="n"/>
      <c r="J2781" s="7" t="n"/>
      <c r="K2781" s="7" t="n"/>
      <c r="L2781" s="7" t="n"/>
      <c r="M2781" s="7" t="n"/>
      <c r="N2781" s="7" t="n"/>
      <c r="O2781" s="7" t="n"/>
      <c r="P2781" s="65" t="n"/>
      <c r="Q2781" s="75" t="n"/>
      <c r="R2781" s="75" t="n"/>
      <c r="S2781" s="76" t="n"/>
      <c r="T2781" s="76" t="n"/>
      <c r="U2781" s="70">
        <f>IF($A2781="","",IFERROR(INDEX('Techniciens'!$F$5:$F$44,MATCH(O2781,'Techniciens'!$B$5:$B$44,0)),'Paramètres'!$AA$10))</f>
        <v/>
      </c>
      <c r="V2781" s="70">
        <f>IF($A2781="","",IF(OR(AC2781="Demandé",AC2781="Planifié",AC2781="Annulé"),0,N(T2781)*N(U2781)))</f>
        <v/>
      </c>
      <c r="W2781" s="70">
        <f>IF($A2781="","",SUMIFS('Mouvements stock'!$H$5:$H$3004,'Mouvements stock'!$I$5:$I$3004,$A2781,'Mouvements stock'!$C$5:$C$3004,"Sortie")-SUMIFS('Mouvements stock'!$H$5:$H$3004,'Mouvements stock'!$I$5:$I$3004,$A2781,'Mouvements stock'!$C$5:$C$3004,"Retour"))</f>
        <v/>
      </c>
      <c r="X2781" s="66" t="n"/>
      <c r="Y2781" s="66" t="n"/>
      <c r="Z2781" s="7" t="n"/>
      <c r="AA2781" s="70">
        <f>IF($A2781="","",N(V2781)+N(W2781)+N(X2781)+N(Y2781))</f>
        <v/>
      </c>
      <c r="AB2781" s="70">
        <f>IF($A2781="","",N(S2781)*'Paramètres'!$AA$9*IFERROR(INDEX('Paramètres'!$O$5:$O$7,MATCH(G2781,'Paramètres'!$N$5:$N$7,0)),0))</f>
        <v/>
      </c>
      <c r="AC2781" s="7" t="n"/>
      <c r="AD2781" s="69">
        <f>IF(OR($A2781="",Q2781=""),"",(Q2781-B2781)*24)</f>
        <v/>
      </c>
      <c r="AE2781" s="69">
        <f>IF(OR(Q2781="",R2781=""),"",(R2781-Q2781)*24)</f>
        <v/>
      </c>
      <c r="AF2781" s="77">
        <f>IF(OR($A2781="",B2781=""),"",YEAR(B2781))</f>
        <v/>
      </c>
      <c r="AG2781" s="77">
        <f>IF(OR($A2781="",B2781=""),"",MONTH(B2781))</f>
        <v/>
      </c>
    </row>
    <row r="2782">
      <c r="A2782" s="7" t="n"/>
      <c r="B2782" s="75" t="n"/>
      <c r="C2782" s="7" t="n"/>
      <c r="D2782" s="7" t="n"/>
      <c r="E2782" s="9">
        <f>IF(D2782="","",IFERROR(INDEX('Équipements'!$B$5:$B$304,MATCH(D2782,'Équipements'!$A$5:$A$304,0)),"Code inconnu"))</f>
        <v/>
      </c>
      <c r="F2782" s="9">
        <f>IF(D2782="","",IFERROR(INDEX('Équipements'!$D$5:$D$304,MATCH(D2782,'Équipements'!$A$5:$A$304,0)),""))</f>
        <v/>
      </c>
      <c r="G2782" s="9">
        <f>IF(D2782="","",IFERROR(INDEX('Équipements'!$K$5:$K$304,MATCH(D2782,'Équipements'!$A$5:$A$304,0)),""))</f>
        <v/>
      </c>
      <c r="H2782" s="7" t="n"/>
      <c r="I2782" s="7" t="n"/>
      <c r="J2782" s="7" t="n"/>
      <c r="K2782" s="7" t="n"/>
      <c r="L2782" s="7" t="n"/>
      <c r="M2782" s="7" t="n"/>
      <c r="N2782" s="7" t="n"/>
      <c r="O2782" s="7" t="n"/>
      <c r="P2782" s="65" t="n"/>
      <c r="Q2782" s="75" t="n"/>
      <c r="R2782" s="75" t="n"/>
      <c r="S2782" s="76" t="n"/>
      <c r="T2782" s="76" t="n"/>
      <c r="U2782" s="70">
        <f>IF($A2782="","",IFERROR(INDEX('Techniciens'!$F$5:$F$44,MATCH(O2782,'Techniciens'!$B$5:$B$44,0)),'Paramètres'!$AA$10))</f>
        <v/>
      </c>
      <c r="V2782" s="70">
        <f>IF($A2782="","",IF(OR(AC2782="Demandé",AC2782="Planifié",AC2782="Annulé"),0,N(T2782)*N(U2782)))</f>
        <v/>
      </c>
      <c r="W2782" s="70">
        <f>IF($A2782="","",SUMIFS('Mouvements stock'!$H$5:$H$3004,'Mouvements stock'!$I$5:$I$3004,$A2782,'Mouvements stock'!$C$5:$C$3004,"Sortie")-SUMIFS('Mouvements stock'!$H$5:$H$3004,'Mouvements stock'!$I$5:$I$3004,$A2782,'Mouvements stock'!$C$5:$C$3004,"Retour"))</f>
        <v/>
      </c>
      <c r="X2782" s="66" t="n"/>
      <c r="Y2782" s="66" t="n"/>
      <c r="Z2782" s="7" t="n"/>
      <c r="AA2782" s="70">
        <f>IF($A2782="","",N(V2782)+N(W2782)+N(X2782)+N(Y2782))</f>
        <v/>
      </c>
      <c r="AB2782" s="70">
        <f>IF($A2782="","",N(S2782)*'Paramètres'!$AA$9*IFERROR(INDEX('Paramètres'!$O$5:$O$7,MATCH(G2782,'Paramètres'!$N$5:$N$7,0)),0))</f>
        <v/>
      </c>
      <c r="AC2782" s="7" t="n"/>
      <c r="AD2782" s="69">
        <f>IF(OR($A2782="",Q2782=""),"",(Q2782-B2782)*24)</f>
        <v/>
      </c>
      <c r="AE2782" s="69">
        <f>IF(OR(Q2782="",R2782=""),"",(R2782-Q2782)*24)</f>
        <v/>
      </c>
      <c r="AF2782" s="77">
        <f>IF(OR($A2782="",B2782=""),"",YEAR(B2782))</f>
        <v/>
      </c>
      <c r="AG2782" s="77">
        <f>IF(OR($A2782="",B2782=""),"",MONTH(B2782))</f>
        <v/>
      </c>
    </row>
    <row r="2783">
      <c r="A2783" s="7" t="n"/>
      <c r="B2783" s="75" t="n"/>
      <c r="C2783" s="7" t="n"/>
      <c r="D2783" s="7" t="n"/>
      <c r="E2783" s="9">
        <f>IF(D2783="","",IFERROR(INDEX('Équipements'!$B$5:$B$304,MATCH(D2783,'Équipements'!$A$5:$A$304,0)),"Code inconnu"))</f>
        <v/>
      </c>
      <c r="F2783" s="9">
        <f>IF(D2783="","",IFERROR(INDEX('Équipements'!$D$5:$D$304,MATCH(D2783,'Équipements'!$A$5:$A$304,0)),""))</f>
        <v/>
      </c>
      <c r="G2783" s="9">
        <f>IF(D2783="","",IFERROR(INDEX('Équipements'!$K$5:$K$304,MATCH(D2783,'Équipements'!$A$5:$A$304,0)),""))</f>
        <v/>
      </c>
      <c r="H2783" s="7" t="n"/>
      <c r="I2783" s="7" t="n"/>
      <c r="J2783" s="7" t="n"/>
      <c r="K2783" s="7" t="n"/>
      <c r="L2783" s="7" t="n"/>
      <c r="M2783" s="7" t="n"/>
      <c r="N2783" s="7" t="n"/>
      <c r="O2783" s="7" t="n"/>
      <c r="P2783" s="65" t="n"/>
      <c r="Q2783" s="75" t="n"/>
      <c r="R2783" s="75" t="n"/>
      <c r="S2783" s="76" t="n"/>
      <c r="T2783" s="76" t="n"/>
      <c r="U2783" s="70">
        <f>IF($A2783="","",IFERROR(INDEX('Techniciens'!$F$5:$F$44,MATCH(O2783,'Techniciens'!$B$5:$B$44,0)),'Paramètres'!$AA$10))</f>
        <v/>
      </c>
      <c r="V2783" s="70">
        <f>IF($A2783="","",IF(OR(AC2783="Demandé",AC2783="Planifié",AC2783="Annulé"),0,N(T2783)*N(U2783)))</f>
        <v/>
      </c>
      <c r="W2783" s="70">
        <f>IF($A2783="","",SUMIFS('Mouvements stock'!$H$5:$H$3004,'Mouvements stock'!$I$5:$I$3004,$A2783,'Mouvements stock'!$C$5:$C$3004,"Sortie")-SUMIFS('Mouvements stock'!$H$5:$H$3004,'Mouvements stock'!$I$5:$I$3004,$A2783,'Mouvements stock'!$C$5:$C$3004,"Retour"))</f>
        <v/>
      </c>
      <c r="X2783" s="66" t="n"/>
      <c r="Y2783" s="66" t="n"/>
      <c r="Z2783" s="7" t="n"/>
      <c r="AA2783" s="70">
        <f>IF($A2783="","",N(V2783)+N(W2783)+N(X2783)+N(Y2783))</f>
        <v/>
      </c>
      <c r="AB2783" s="70">
        <f>IF($A2783="","",N(S2783)*'Paramètres'!$AA$9*IFERROR(INDEX('Paramètres'!$O$5:$O$7,MATCH(G2783,'Paramètres'!$N$5:$N$7,0)),0))</f>
        <v/>
      </c>
      <c r="AC2783" s="7" t="n"/>
      <c r="AD2783" s="69">
        <f>IF(OR($A2783="",Q2783=""),"",(Q2783-B2783)*24)</f>
        <v/>
      </c>
      <c r="AE2783" s="69">
        <f>IF(OR(Q2783="",R2783=""),"",(R2783-Q2783)*24)</f>
        <v/>
      </c>
      <c r="AF2783" s="77">
        <f>IF(OR($A2783="",B2783=""),"",YEAR(B2783))</f>
        <v/>
      </c>
      <c r="AG2783" s="77">
        <f>IF(OR($A2783="",B2783=""),"",MONTH(B2783))</f>
        <v/>
      </c>
    </row>
    <row r="2784">
      <c r="A2784" s="7" t="n"/>
      <c r="B2784" s="75" t="n"/>
      <c r="C2784" s="7" t="n"/>
      <c r="D2784" s="7" t="n"/>
      <c r="E2784" s="9">
        <f>IF(D2784="","",IFERROR(INDEX('Équipements'!$B$5:$B$304,MATCH(D2784,'Équipements'!$A$5:$A$304,0)),"Code inconnu"))</f>
        <v/>
      </c>
      <c r="F2784" s="9">
        <f>IF(D2784="","",IFERROR(INDEX('Équipements'!$D$5:$D$304,MATCH(D2784,'Équipements'!$A$5:$A$304,0)),""))</f>
        <v/>
      </c>
      <c r="G2784" s="9">
        <f>IF(D2784="","",IFERROR(INDEX('Équipements'!$K$5:$K$304,MATCH(D2784,'Équipements'!$A$5:$A$304,0)),""))</f>
        <v/>
      </c>
      <c r="H2784" s="7" t="n"/>
      <c r="I2784" s="7" t="n"/>
      <c r="J2784" s="7" t="n"/>
      <c r="K2784" s="7" t="n"/>
      <c r="L2784" s="7" t="n"/>
      <c r="M2784" s="7" t="n"/>
      <c r="N2784" s="7" t="n"/>
      <c r="O2784" s="7" t="n"/>
      <c r="P2784" s="65" t="n"/>
      <c r="Q2784" s="75" t="n"/>
      <c r="R2784" s="75" t="n"/>
      <c r="S2784" s="76" t="n"/>
      <c r="T2784" s="76" t="n"/>
      <c r="U2784" s="70">
        <f>IF($A2784="","",IFERROR(INDEX('Techniciens'!$F$5:$F$44,MATCH(O2784,'Techniciens'!$B$5:$B$44,0)),'Paramètres'!$AA$10))</f>
        <v/>
      </c>
      <c r="V2784" s="70">
        <f>IF($A2784="","",IF(OR(AC2784="Demandé",AC2784="Planifié",AC2784="Annulé"),0,N(T2784)*N(U2784)))</f>
        <v/>
      </c>
      <c r="W2784" s="70">
        <f>IF($A2784="","",SUMIFS('Mouvements stock'!$H$5:$H$3004,'Mouvements stock'!$I$5:$I$3004,$A2784,'Mouvements stock'!$C$5:$C$3004,"Sortie")-SUMIFS('Mouvements stock'!$H$5:$H$3004,'Mouvements stock'!$I$5:$I$3004,$A2784,'Mouvements stock'!$C$5:$C$3004,"Retour"))</f>
        <v/>
      </c>
      <c r="X2784" s="66" t="n"/>
      <c r="Y2784" s="66" t="n"/>
      <c r="Z2784" s="7" t="n"/>
      <c r="AA2784" s="70">
        <f>IF($A2784="","",N(V2784)+N(W2784)+N(X2784)+N(Y2784))</f>
        <v/>
      </c>
      <c r="AB2784" s="70">
        <f>IF($A2784="","",N(S2784)*'Paramètres'!$AA$9*IFERROR(INDEX('Paramètres'!$O$5:$O$7,MATCH(G2784,'Paramètres'!$N$5:$N$7,0)),0))</f>
        <v/>
      </c>
      <c r="AC2784" s="7" t="n"/>
      <c r="AD2784" s="69">
        <f>IF(OR($A2784="",Q2784=""),"",(Q2784-B2784)*24)</f>
        <v/>
      </c>
      <c r="AE2784" s="69">
        <f>IF(OR(Q2784="",R2784=""),"",(R2784-Q2784)*24)</f>
        <v/>
      </c>
      <c r="AF2784" s="77">
        <f>IF(OR($A2784="",B2784=""),"",YEAR(B2784))</f>
        <v/>
      </c>
      <c r="AG2784" s="77">
        <f>IF(OR($A2784="",B2784=""),"",MONTH(B2784))</f>
        <v/>
      </c>
    </row>
    <row r="2785">
      <c r="A2785" s="7" t="n"/>
      <c r="B2785" s="75" t="n"/>
      <c r="C2785" s="7" t="n"/>
      <c r="D2785" s="7" t="n"/>
      <c r="E2785" s="9">
        <f>IF(D2785="","",IFERROR(INDEX('Équipements'!$B$5:$B$304,MATCH(D2785,'Équipements'!$A$5:$A$304,0)),"Code inconnu"))</f>
        <v/>
      </c>
      <c r="F2785" s="9">
        <f>IF(D2785="","",IFERROR(INDEX('Équipements'!$D$5:$D$304,MATCH(D2785,'Équipements'!$A$5:$A$304,0)),""))</f>
        <v/>
      </c>
      <c r="G2785" s="9">
        <f>IF(D2785="","",IFERROR(INDEX('Équipements'!$K$5:$K$304,MATCH(D2785,'Équipements'!$A$5:$A$304,0)),""))</f>
        <v/>
      </c>
      <c r="H2785" s="7" t="n"/>
      <c r="I2785" s="7" t="n"/>
      <c r="J2785" s="7" t="n"/>
      <c r="K2785" s="7" t="n"/>
      <c r="L2785" s="7" t="n"/>
      <c r="M2785" s="7" t="n"/>
      <c r="N2785" s="7" t="n"/>
      <c r="O2785" s="7" t="n"/>
      <c r="P2785" s="65" t="n"/>
      <c r="Q2785" s="75" t="n"/>
      <c r="R2785" s="75" t="n"/>
      <c r="S2785" s="76" t="n"/>
      <c r="T2785" s="76" t="n"/>
      <c r="U2785" s="70">
        <f>IF($A2785="","",IFERROR(INDEX('Techniciens'!$F$5:$F$44,MATCH(O2785,'Techniciens'!$B$5:$B$44,0)),'Paramètres'!$AA$10))</f>
        <v/>
      </c>
      <c r="V2785" s="70">
        <f>IF($A2785="","",IF(OR(AC2785="Demandé",AC2785="Planifié",AC2785="Annulé"),0,N(T2785)*N(U2785)))</f>
        <v/>
      </c>
      <c r="W2785" s="70">
        <f>IF($A2785="","",SUMIFS('Mouvements stock'!$H$5:$H$3004,'Mouvements stock'!$I$5:$I$3004,$A2785,'Mouvements stock'!$C$5:$C$3004,"Sortie")-SUMIFS('Mouvements stock'!$H$5:$H$3004,'Mouvements stock'!$I$5:$I$3004,$A2785,'Mouvements stock'!$C$5:$C$3004,"Retour"))</f>
        <v/>
      </c>
      <c r="X2785" s="66" t="n"/>
      <c r="Y2785" s="66" t="n"/>
      <c r="Z2785" s="7" t="n"/>
      <c r="AA2785" s="70">
        <f>IF($A2785="","",N(V2785)+N(W2785)+N(X2785)+N(Y2785))</f>
        <v/>
      </c>
      <c r="AB2785" s="70">
        <f>IF($A2785="","",N(S2785)*'Paramètres'!$AA$9*IFERROR(INDEX('Paramètres'!$O$5:$O$7,MATCH(G2785,'Paramètres'!$N$5:$N$7,0)),0))</f>
        <v/>
      </c>
      <c r="AC2785" s="7" t="n"/>
      <c r="AD2785" s="69">
        <f>IF(OR($A2785="",Q2785=""),"",(Q2785-B2785)*24)</f>
        <v/>
      </c>
      <c r="AE2785" s="69">
        <f>IF(OR(Q2785="",R2785=""),"",(R2785-Q2785)*24)</f>
        <v/>
      </c>
      <c r="AF2785" s="77">
        <f>IF(OR($A2785="",B2785=""),"",YEAR(B2785))</f>
        <v/>
      </c>
      <c r="AG2785" s="77">
        <f>IF(OR($A2785="",B2785=""),"",MONTH(B2785))</f>
        <v/>
      </c>
    </row>
    <row r="2786">
      <c r="A2786" s="7" t="n"/>
      <c r="B2786" s="75" t="n"/>
      <c r="C2786" s="7" t="n"/>
      <c r="D2786" s="7" t="n"/>
      <c r="E2786" s="9">
        <f>IF(D2786="","",IFERROR(INDEX('Équipements'!$B$5:$B$304,MATCH(D2786,'Équipements'!$A$5:$A$304,0)),"Code inconnu"))</f>
        <v/>
      </c>
      <c r="F2786" s="9">
        <f>IF(D2786="","",IFERROR(INDEX('Équipements'!$D$5:$D$304,MATCH(D2786,'Équipements'!$A$5:$A$304,0)),""))</f>
        <v/>
      </c>
      <c r="G2786" s="9">
        <f>IF(D2786="","",IFERROR(INDEX('Équipements'!$K$5:$K$304,MATCH(D2786,'Équipements'!$A$5:$A$304,0)),""))</f>
        <v/>
      </c>
      <c r="H2786" s="7" t="n"/>
      <c r="I2786" s="7" t="n"/>
      <c r="J2786" s="7" t="n"/>
      <c r="K2786" s="7" t="n"/>
      <c r="L2786" s="7" t="n"/>
      <c r="M2786" s="7" t="n"/>
      <c r="N2786" s="7" t="n"/>
      <c r="O2786" s="7" t="n"/>
      <c r="P2786" s="65" t="n"/>
      <c r="Q2786" s="75" t="n"/>
      <c r="R2786" s="75" t="n"/>
      <c r="S2786" s="76" t="n"/>
      <c r="T2786" s="76" t="n"/>
      <c r="U2786" s="70">
        <f>IF($A2786="","",IFERROR(INDEX('Techniciens'!$F$5:$F$44,MATCH(O2786,'Techniciens'!$B$5:$B$44,0)),'Paramètres'!$AA$10))</f>
        <v/>
      </c>
      <c r="V2786" s="70">
        <f>IF($A2786="","",IF(OR(AC2786="Demandé",AC2786="Planifié",AC2786="Annulé"),0,N(T2786)*N(U2786)))</f>
        <v/>
      </c>
      <c r="W2786" s="70">
        <f>IF($A2786="","",SUMIFS('Mouvements stock'!$H$5:$H$3004,'Mouvements stock'!$I$5:$I$3004,$A2786,'Mouvements stock'!$C$5:$C$3004,"Sortie")-SUMIFS('Mouvements stock'!$H$5:$H$3004,'Mouvements stock'!$I$5:$I$3004,$A2786,'Mouvements stock'!$C$5:$C$3004,"Retour"))</f>
        <v/>
      </c>
      <c r="X2786" s="66" t="n"/>
      <c r="Y2786" s="66" t="n"/>
      <c r="Z2786" s="7" t="n"/>
      <c r="AA2786" s="70">
        <f>IF($A2786="","",N(V2786)+N(W2786)+N(X2786)+N(Y2786))</f>
        <v/>
      </c>
      <c r="AB2786" s="70">
        <f>IF($A2786="","",N(S2786)*'Paramètres'!$AA$9*IFERROR(INDEX('Paramètres'!$O$5:$O$7,MATCH(G2786,'Paramètres'!$N$5:$N$7,0)),0))</f>
        <v/>
      </c>
      <c r="AC2786" s="7" t="n"/>
      <c r="AD2786" s="69">
        <f>IF(OR($A2786="",Q2786=""),"",(Q2786-B2786)*24)</f>
        <v/>
      </c>
      <c r="AE2786" s="69">
        <f>IF(OR(Q2786="",R2786=""),"",(R2786-Q2786)*24)</f>
        <v/>
      </c>
      <c r="AF2786" s="77">
        <f>IF(OR($A2786="",B2786=""),"",YEAR(B2786))</f>
        <v/>
      </c>
      <c r="AG2786" s="77">
        <f>IF(OR($A2786="",B2786=""),"",MONTH(B2786))</f>
        <v/>
      </c>
    </row>
    <row r="2787">
      <c r="A2787" s="7" t="n"/>
      <c r="B2787" s="75" t="n"/>
      <c r="C2787" s="7" t="n"/>
      <c r="D2787" s="7" t="n"/>
      <c r="E2787" s="9">
        <f>IF(D2787="","",IFERROR(INDEX('Équipements'!$B$5:$B$304,MATCH(D2787,'Équipements'!$A$5:$A$304,0)),"Code inconnu"))</f>
        <v/>
      </c>
      <c r="F2787" s="9">
        <f>IF(D2787="","",IFERROR(INDEX('Équipements'!$D$5:$D$304,MATCH(D2787,'Équipements'!$A$5:$A$304,0)),""))</f>
        <v/>
      </c>
      <c r="G2787" s="9">
        <f>IF(D2787="","",IFERROR(INDEX('Équipements'!$K$5:$K$304,MATCH(D2787,'Équipements'!$A$5:$A$304,0)),""))</f>
        <v/>
      </c>
      <c r="H2787" s="7" t="n"/>
      <c r="I2787" s="7" t="n"/>
      <c r="J2787" s="7" t="n"/>
      <c r="K2787" s="7" t="n"/>
      <c r="L2787" s="7" t="n"/>
      <c r="M2787" s="7" t="n"/>
      <c r="N2787" s="7" t="n"/>
      <c r="O2787" s="7" t="n"/>
      <c r="P2787" s="65" t="n"/>
      <c r="Q2787" s="75" t="n"/>
      <c r="R2787" s="75" t="n"/>
      <c r="S2787" s="76" t="n"/>
      <c r="T2787" s="76" t="n"/>
      <c r="U2787" s="70">
        <f>IF($A2787="","",IFERROR(INDEX('Techniciens'!$F$5:$F$44,MATCH(O2787,'Techniciens'!$B$5:$B$44,0)),'Paramètres'!$AA$10))</f>
        <v/>
      </c>
      <c r="V2787" s="70">
        <f>IF($A2787="","",IF(OR(AC2787="Demandé",AC2787="Planifié",AC2787="Annulé"),0,N(T2787)*N(U2787)))</f>
        <v/>
      </c>
      <c r="W2787" s="70">
        <f>IF($A2787="","",SUMIFS('Mouvements stock'!$H$5:$H$3004,'Mouvements stock'!$I$5:$I$3004,$A2787,'Mouvements stock'!$C$5:$C$3004,"Sortie")-SUMIFS('Mouvements stock'!$H$5:$H$3004,'Mouvements stock'!$I$5:$I$3004,$A2787,'Mouvements stock'!$C$5:$C$3004,"Retour"))</f>
        <v/>
      </c>
      <c r="X2787" s="66" t="n"/>
      <c r="Y2787" s="66" t="n"/>
      <c r="Z2787" s="7" t="n"/>
      <c r="AA2787" s="70">
        <f>IF($A2787="","",N(V2787)+N(W2787)+N(X2787)+N(Y2787))</f>
        <v/>
      </c>
      <c r="AB2787" s="70">
        <f>IF($A2787="","",N(S2787)*'Paramètres'!$AA$9*IFERROR(INDEX('Paramètres'!$O$5:$O$7,MATCH(G2787,'Paramètres'!$N$5:$N$7,0)),0))</f>
        <v/>
      </c>
      <c r="AC2787" s="7" t="n"/>
      <c r="AD2787" s="69">
        <f>IF(OR($A2787="",Q2787=""),"",(Q2787-B2787)*24)</f>
        <v/>
      </c>
      <c r="AE2787" s="69">
        <f>IF(OR(Q2787="",R2787=""),"",(R2787-Q2787)*24)</f>
        <v/>
      </c>
      <c r="AF2787" s="77">
        <f>IF(OR($A2787="",B2787=""),"",YEAR(B2787))</f>
        <v/>
      </c>
      <c r="AG2787" s="77">
        <f>IF(OR($A2787="",B2787=""),"",MONTH(B2787))</f>
        <v/>
      </c>
    </row>
    <row r="2788">
      <c r="A2788" s="7" t="n"/>
      <c r="B2788" s="75" t="n"/>
      <c r="C2788" s="7" t="n"/>
      <c r="D2788" s="7" t="n"/>
      <c r="E2788" s="9">
        <f>IF(D2788="","",IFERROR(INDEX('Équipements'!$B$5:$B$304,MATCH(D2788,'Équipements'!$A$5:$A$304,0)),"Code inconnu"))</f>
        <v/>
      </c>
      <c r="F2788" s="9">
        <f>IF(D2788="","",IFERROR(INDEX('Équipements'!$D$5:$D$304,MATCH(D2788,'Équipements'!$A$5:$A$304,0)),""))</f>
        <v/>
      </c>
      <c r="G2788" s="9">
        <f>IF(D2788="","",IFERROR(INDEX('Équipements'!$K$5:$K$304,MATCH(D2788,'Équipements'!$A$5:$A$304,0)),""))</f>
        <v/>
      </c>
      <c r="H2788" s="7" t="n"/>
      <c r="I2788" s="7" t="n"/>
      <c r="J2788" s="7" t="n"/>
      <c r="K2788" s="7" t="n"/>
      <c r="L2788" s="7" t="n"/>
      <c r="M2788" s="7" t="n"/>
      <c r="N2788" s="7" t="n"/>
      <c r="O2788" s="7" t="n"/>
      <c r="P2788" s="65" t="n"/>
      <c r="Q2788" s="75" t="n"/>
      <c r="R2788" s="75" t="n"/>
      <c r="S2788" s="76" t="n"/>
      <c r="T2788" s="76" t="n"/>
      <c r="U2788" s="70">
        <f>IF($A2788="","",IFERROR(INDEX('Techniciens'!$F$5:$F$44,MATCH(O2788,'Techniciens'!$B$5:$B$44,0)),'Paramètres'!$AA$10))</f>
        <v/>
      </c>
      <c r="V2788" s="70">
        <f>IF($A2788="","",IF(OR(AC2788="Demandé",AC2788="Planifié",AC2788="Annulé"),0,N(T2788)*N(U2788)))</f>
        <v/>
      </c>
      <c r="W2788" s="70">
        <f>IF($A2788="","",SUMIFS('Mouvements stock'!$H$5:$H$3004,'Mouvements stock'!$I$5:$I$3004,$A2788,'Mouvements stock'!$C$5:$C$3004,"Sortie")-SUMIFS('Mouvements stock'!$H$5:$H$3004,'Mouvements stock'!$I$5:$I$3004,$A2788,'Mouvements stock'!$C$5:$C$3004,"Retour"))</f>
        <v/>
      </c>
      <c r="X2788" s="66" t="n"/>
      <c r="Y2788" s="66" t="n"/>
      <c r="Z2788" s="7" t="n"/>
      <c r="AA2788" s="70">
        <f>IF($A2788="","",N(V2788)+N(W2788)+N(X2788)+N(Y2788))</f>
        <v/>
      </c>
      <c r="AB2788" s="70">
        <f>IF($A2788="","",N(S2788)*'Paramètres'!$AA$9*IFERROR(INDEX('Paramètres'!$O$5:$O$7,MATCH(G2788,'Paramètres'!$N$5:$N$7,0)),0))</f>
        <v/>
      </c>
      <c r="AC2788" s="7" t="n"/>
      <c r="AD2788" s="69">
        <f>IF(OR($A2788="",Q2788=""),"",(Q2788-B2788)*24)</f>
        <v/>
      </c>
      <c r="AE2788" s="69">
        <f>IF(OR(Q2788="",R2788=""),"",(R2788-Q2788)*24)</f>
        <v/>
      </c>
      <c r="AF2788" s="77">
        <f>IF(OR($A2788="",B2788=""),"",YEAR(B2788))</f>
        <v/>
      </c>
      <c r="AG2788" s="77">
        <f>IF(OR($A2788="",B2788=""),"",MONTH(B2788))</f>
        <v/>
      </c>
    </row>
    <row r="2789">
      <c r="A2789" s="7" t="n"/>
      <c r="B2789" s="75" t="n"/>
      <c r="C2789" s="7" t="n"/>
      <c r="D2789" s="7" t="n"/>
      <c r="E2789" s="9">
        <f>IF(D2789="","",IFERROR(INDEX('Équipements'!$B$5:$B$304,MATCH(D2789,'Équipements'!$A$5:$A$304,0)),"Code inconnu"))</f>
        <v/>
      </c>
      <c r="F2789" s="9">
        <f>IF(D2789="","",IFERROR(INDEX('Équipements'!$D$5:$D$304,MATCH(D2789,'Équipements'!$A$5:$A$304,0)),""))</f>
        <v/>
      </c>
      <c r="G2789" s="9">
        <f>IF(D2789="","",IFERROR(INDEX('Équipements'!$K$5:$K$304,MATCH(D2789,'Équipements'!$A$5:$A$304,0)),""))</f>
        <v/>
      </c>
      <c r="H2789" s="7" t="n"/>
      <c r="I2789" s="7" t="n"/>
      <c r="J2789" s="7" t="n"/>
      <c r="K2789" s="7" t="n"/>
      <c r="L2789" s="7" t="n"/>
      <c r="M2789" s="7" t="n"/>
      <c r="N2789" s="7" t="n"/>
      <c r="O2789" s="7" t="n"/>
      <c r="P2789" s="65" t="n"/>
      <c r="Q2789" s="75" t="n"/>
      <c r="R2789" s="75" t="n"/>
      <c r="S2789" s="76" t="n"/>
      <c r="T2789" s="76" t="n"/>
      <c r="U2789" s="70">
        <f>IF($A2789="","",IFERROR(INDEX('Techniciens'!$F$5:$F$44,MATCH(O2789,'Techniciens'!$B$5:$B$44,0)),'Paramètres'!$AA$10))</f>
        <v/>
      </c>
      <c r="V2789" s="70">
        <f>IF($A2789="","",IF(OR(AC2789="Demandé",AC2789="Planifié",AC2789="Annulé"),0,N(T2789)*N(U2789)))</f>
        <v/>
      </c>
      <c r="W2789" s="70">
        <f>IF($A2789="","",SUMIFS('Mouvements stock'!$H$5:$H$3004,'Mouvements stock'!$I$5:$I$3004,$A2789,'Mouvements stock'!$C$5:$C$3004,"Sortie")-SUMIFS('Mouvements stock'!$H$5:$H$3004,'Mouvements stock'!$I$5:$I$3004,$A2789,'Mouvements stock'!$C$5:$C$3004,"Retour"))</f>
        <v/>
      </c>
      <c r="X2789" s="66" t="n"/>
      <c r="Y2789" s="66" t="n"/>
      <c r="Z2789" s="7" t="n"/>
      <c r="AA2789" s="70">
        <f>IF($A2789="","",N(V2789)+N(W2789)+N(X2789)+N(Y2789))</f>
        <v/>
      </c>
      <c r="AB2789" s="70">
        <f>IF($A2789="","",N(S2789)*'Paramètres'!$AA$9*IFERROR(INDEX('Paramètres'!$O$5:$O$7,MATCH(G2789,'Paramètres'!$N$5:$N$7,0)),0))</f>
        <v/>
      </c>
      <c r="AC2789" s="7" t="n"/>
      <c r="AD2789" s="69">
        <f>IF(OR($A2789="",Q2789=""),"",(Q2789-B2789)*24)</f>
        <v/>
      </c>
      <c r="AE2789" s="69">
        <f>IF(OR(Q2789="",R2789=""),"",(R2789-Q2789)*24)</f>
        <v/>
      </c>
      <c r="AF2789" s="77">
        <f>IF(OR($A2789="",B2789=""),"",YEAR(B2789))</f>
        <v/>
      </c>
      <c r="AG2789" s="77">
        <f>IF(OR($A2789="",B2789=""),"",MONTH(B2789))</f>
        <v/>
      </c>
    </row>
    <row r="2790">
      <c r="A2790" s="7" t="n"/>
      <c r="B2790" s="75" t="n"/>
      <c r="C2790" s="7" t="n"/>
      <c r="D2790" s="7" t="n"/>
      <c r="E2790" s="9">
        <f>IF(D2790="","",IFERROR(INDEX('Équipements'!$B$5:$B$304,MATCH(D2790,'Équipements'!$A$5:$A$304,0)),"Code inconnu"))</f>
        <v/>
      </c>
      <c r="F2790" s="9">
        <f>IF(D2790="","",IFERROR(INDEX('Équipements'!$D$5:$D$304,MATCH(D2790,'Équipements'!$A$5:$A$304,0)),""))</f>
        <v/>
      </c>
      <c r="G2790" s="9">
        <f>IF(D2790="","",IFERROR(INDEX('Équipements'!$K$5:$K$304,MATCH(D2790,'Équipements'!$A$5:$A$304,0)),""))</f>
        <v/>
      </c>
      <c r="H2790" s="7" t="n"/>
      <c r="I2790" s="7" t="n"/>
      <c r="J2790" s="7" t="n"/>
      <c r="K2790" s="7" t="n"/>
      <c r="L2790" s="7" t="n"/>
      <c r="M2790" s="7" t="n"/>
      <c r="N2790" s="7" t="n"/>
      <c r="O2790" s="7" t="n"/>
      <c r="P2790" s="65" t="n"/>
      <c r="Q2790" s="75" t="n"/>
      <c r="R2790" s="75" t="n"/>
      <c r="S2790" s="76" t="n"/>
      <c r="T2790" s="76" t="n"/>
      <c r="U2790" s="70">
        <f>IF($A2790="","",IFERROR(INDEX('Techniciens'!$F$5:$F$44,MATCH(O2790,'Techniciens'!$B$5:$B$44,0)),'Paramètres'!$AA$10))</f>
        <v/>
      </c>
      <c r="V2790" s="70">
        <f>IF($A2790="","",IF(OR(AC2790="Demandé",AC2790="Planifié",AC2790="Annulé"),0,N(T2790)*N(U2790)))</f>
        <v/>
      </c>
      <c r="W2790" s="70">
        <f>IF($A2790="","",SUMIFS('Mouvements stock'!$H$5:$H$3004,'Mouvements stock'!$I$5:$I$3004,$A2790,'Mouvements stock'!$C$5:$C$3004,"Sortie")-SUMIFS('Mouvements stock'!$H$5:$H$3004,'Mouvements stock'!$I$5:$I$3004,$A2790,'Mouvements stock'!$C$5:$C$3004,"Retour"))</f>
        <v/>
      </c>
      <c r="X2790" s="66" t="n"/>
      <c r="Y2790" s="66" t="n"/>
      <c r="Z2790" s="7" t="n"/>
      <c r="AA2790" s="70">
        <f>IF($A2790="","",N(V2790)+N(W2790)+N(X2790)+N(Y2790))</f>
        <v/>
      </c>
      <c r="AB2790" s="70">
        <f>IF($A2790="","",N(S2790)*'Paramètres'!$AA$9*IFERROR(INDEX('Paramètres'!$O$5:$O$7,MATCH(G2790,'Paramètres'!$N$5:$N$7,0)),0))</f>
        <v/>
      </c>
      <c r="AC2790" s="7" t="n"/>
      <c r="AD2790" s="69">
        <f>IF(OR($A2790="",Q2790=""),"",(Q2790-B2790)*24)</f>
        <v/>
      </c>
      <c r="AE2790" s="69">
        <f>IF(OR(Q2790="",R2790=""),"",(R2790-Q2790)*24)</f>
        <v/>
      </c>
      <c r="AF2790" s="77">
        <f>IF(OR($A2790="",B2790=""),"",YEAR(B2790))</f>
        <v/>
      </c>
      <c r="AG2790" s="77">
        <f>IF(OR($A2790="",B2790=""),"",MONTH(B2790))</f>
        <v/>
      </c>
    </row>
    <row r="2791">
      <c r="A2791" s="7" t="n"/>
      <c r="B2791" s="75" t="n"/>
      <c r="C2791" s="7" t="n"/>
      <c r="D2791" s="7" t="n"/>
      <c r="E2791" s="9">
        <f>IF(D2791="","",IFERROR(INDEX('Équipements'!$B$5:$B$304,MATCH(D2791,'Équipements'!$A$5:$A$304,0)),"Code inconnu"))</f>
        <v/>
      </c>
      <c r="F2791" s="9">
        <f>IF(D2791="","",IFERROR(INDEX('Équipements'!$D$5:$D$304,MATCH(D2791,'Équipements'!$A$5:$A$304,0)),""))</f>
        <v/>
      </c>
      <c r="G2791" s="9">
        <f>IF(D2791="","",IFERROR(INDEX('Équipements'!$K$5:$K$304,MATCH(D2791,'Équipements'!$A$5:$A$304,0)),""))</f>
        <v/>
      </c>
      <c r="H2791" s="7" t="n"/>
      <c r="I2791" s="7" t="n"/>
      <c r="J2791" s="7" t="n"/>
      <c r="K2791" s="7" t="n"/>
      <c r="L2791" s="7" t="n"/>
      <c r="M2791" s="7" t="n"/>
      <c r="N2791" s="7" t="n"/>
      <c r="O2791" s="7" t="n"/>
      <c r="P2791" s="65" t="n"/>
      <c r="Q2791" s="75" t="n"/>
      <c r="R2791" s="75" t="n"/>
      <c r="S2791" s="76" t="n"/>
      <c r="T2791" s="76" t="n"/>
      <c r="U2791" s="70">
        <f>IF($A2791="","",IFERROR(INDEX('Techniciens'!$F$5:$F$44,MATCH(O2791,'Techniciens'!$B$5:$B$44,0)),'Paramètres'!$AA$10))</f>
        <v/>
      </c>
      <c r="V2791" s="70">
        <f>IF($A2791="","",IF(OR(AC2791="Demandé",AC2791="Planifié",AC2791="Annulé"),0,N(T2791)*N(U2791)))</f>
        <v/>
      </c>
      <c r="W2791" s="70">
        <f>IF($A2791="","",SUMIFS('Mouvements stock'!$H$5:$H$3004,'Mouvements stock'!$I$5:$I$3004,$A2791,'Mouvements stock'!$C$5:$C$3004,"Sortie")-SUMIFS('Mouvements stock'!$H$5:$H$3004,'Mouvements stock'!$I$5:$I$3004,$A2791,'Mouvements stock'!$C$5:$C$3004,"Retour"))</f>
        <v/>
      </c>
      <c r="X2791" s="66" t="n"/>
      <c r="Y2791" s="66" t="n"/>
      <c r="Z2791" s="7" t="n"/>
      <c r="AA2791" s="70">
        <f>IF($A2791="","",N(V2791)+N(W2791)+N(X2791)+N(Y2791))</f>
        <v/>
      </c>
      <c r="AB2791" s="70">
        <f>IF($A2791="","",N(S2791)*'Paramètres'!$AA$9*IFERROR(INDEX('Paramètres'!$O$5:$O$7,MATCH(G2791,'Paramètres'!$N$5:$N$7,0)),0))</f>
        <v/>
      </c>
      <c r="AC2791" s="7" t="n"/>
      <c r="AD2791" s="69">
        <f>IF(OR($A2791="",Q2791=""),"",(Q2791-B2791)*24)</f>
        <v/>
      </c>
      <c r="AE2791" s="69">
        <f>IF(OR(Q2791="",R2791=""),"",(R2791-Q2791)*24)</f>
        <v/>
      </c>
      <c r="AF2791" s="77">
        <f>IF(OR($A2791="",B2791=""),"",YEAR(B2791))</f>
        <v/>
      </c>
      <c r="AG2791" s="77">
        <f>IF(OR($A2791="",B2791=""),"",MONTH(B2791))</f>
        <v/>
      </c>
    </row>
    <row r="2792">
      <c r="A2792" s="7" t="n"/>
      <c r="B2792" s="75" t="n"/>
      <c r="C2792" s="7" t="n"/>
      <c r="D2792" s="7" t="n"/>
      <c r="E2792" s="9">
        <f>IF(D2792="","",IFERROR(INDEX('Équipements'!$B$5:$B$304,MATCH(D2792,'Équipements'!$A$5:$A$304,0)),"Code inconnu"))</f>
        <v/>
      </c>
      <c r="F2792" s="9">
        <f>IF(D2792="","",IFERROR(INDEX('Équipements'!$D$5:$D$304,MATCH(D2792,'Équipements'!$A$5:$A$304,0)),""))</f>
        <v/>
      </c>
      <c r="G2792" s="9">
        <f>IF(D2792="","",IFERROR(INDEX('Équipements'!$K$5:$K$304,MATCH(D2792,'Équipements'!$A$5:$A$304,0)),""))</f>
        <v/>
      </c>
      <c r="H2792" s="7" t="n"/>
      <c r="I2792" s="7" t="n"/>
      <c r="J2792" s="7" t="n"/>
      <c r="K2792" s="7" t="n"/>
      <c r="L2792" s="7" t="n"/>
      <c r="M2792" s="7" t="n"/>
      <c r="N2792" s="7" t="n"/>
      <c r="O2792" s="7" t="n"/>
      <c r="P2792" s="65" t="n"/>
      <c r="Q2792" s="75" t="n"/>
      <c r="R2792" s="75" t="n"/>
      <c r="S2792" s="76" t="n"/>
      <c r="T2792" s="76" t="n"/>
      <c r="U2792" s="70">
        <f>IF($A2792="","",IFERROR(INDEX('Techniciens'!$F$5:$F$44,MATCH(O2792,'Techniciens'!$B$5:$B$44,0)),'Paramètres'!$AA$10))</f>
        <v/>
      </c>
      <c r="V2792" s="70">
        <f>IF($A2792="","",IF(OR(AC2792="Demandé",AC2792="Planifié",AC2792="Annulé"),0,N(T2792)*N(U2792)))</f>
        <v/>
      </c>
      <c r="W2792" s="70">
        <f>IF($A2792="","",SUMIFS('Mouvements stock'!$H$5:$H$3004,'Mouvements stock'!$I$5:$I$3004,$A2792,'Mouvements stock'!$C$5:$C$3004,"Sortie")-SUMIFS('Mouvements stock'!$H$5:$H$3004,'Mouvements stock'!$I$5:$I$3004,$A2792,'Mouvements stock'!$C$5:$C$3004,"Retour"))</f>
        <v/>
      </c>
      <c r="X2792" s="66" t="n"/>
      <c r="Y2792" s="66" t="n"/>
      <c r="Z2792" s="7" t="n"/>
      <c r="AA2792" s="70">
        <f>IF($A2792="","",N(V2792)+N(W2792)+N(X2792)+N(Y2792))</f>
        <v/>
      </c>
      <c r="AB2792" s="70">
        <f>IF($A2792="","",N(S2792)*'Paramètres'!$AA$9*IFERROR(INDEX('Paramètres'!$O$5:$O$7,MATCH(G2792,'Paramètres'!$N$5:$N$7,0)),0))</f>
        <v/>
      </c>
      <c r="AC2792" s="7" t="n"/>
      <c r="AD2792" s="69">
        <f>IF(OR($A2792="",Q2792=""),"",(Q2792-B2792)*24)</f>
        <v/>
      </c>
      <c r="AE2792" s="69">
        <f>IF(OR(Q2792="",R2792=""),"",(R2792-Q2792)*24)</f>
        <v/>
      </c>
      <c r="AF2792" s="77">
        <f>IF(OR($A2792="",B2792=""),"",YEAR(B2792))</f>
        <v/>
      </c>
      <c r="AG2792" s="77">
        <f>IF(OR($A2792="",B2792=""),"",MONTH(B2792))</f>
        <v/>
      </c>
    </row>
    <row r="2793">
      <c r="A2793" s="7" t="n"/>
      <c r="B2793" s="75" t="n"/>
      <c r="C2793" s="7" t="n"/>
      <c r="D2793" s="7" t="n"/>
      <c r="E2793" s="9">
        <f>IF(D2793="","",IFERROR(INDEX('Équipements'!$B$5:$B$304,MATCH(D2793,'Équipements'!$A$5:$A$304,0)),"Code inconnu"))</f>
        <v/>
      </c>
      <c r="F2793" s="9">
        <f>IF(D2793="","",IFERROR(INDEX('Équipements'!$D$5:$D$304,MATCH(D2793,'Équipements'!$A$5:$A$304,0)),""))</f>
        <v/>
      </c>
      <c r="G2793" s="9">
        <f>IF(D2793="","",IFERROR(INDEX('Équipements'!$K$5:$K$304,MATCH(D2793,'Équipements'!$A$5:$A$304,0)),""))</f>
        <v/>
      </c>
      <c r="H2793" s="7" t="n"/>
      <c r="I2793" s="7" t="n"/>
      <c r="J2793" s="7" t="n"/>
      <c r="K2793" s="7" t="n"/>
      <c r="L2793" s="7" t="n"/>
      <c r="M2793" s="7" t="n"/>
      <c r="N2793" s="7" t="n"/>
      <c r="O2793" s="7" t="n"/>
      <c r="P2793" s="65" t="n"/>
      <c r="Q2793" s="75" t="n"/>
      <c r="R2793" s="75" t="n"/>
      <c r="S2793" s="76" t="n"/>
      <c r="T2793" s="76" t="n"/>
      <c r="U2793" s="70">
        <f>IF($A2793="","",IFERROR(INDEX('Techniciens'!$F$5:$F$44,MATCH(O2793,'Techniciens'!$B$5:$B$44,0)),'Paramètres'!$AA$10))</f>
        <v/>
      </c>
      <c r="V2793" s="70">
        <f>IF($A2793="","",IF(OR(AC2793="Demandé",AC2793="Planifié",AC2793="Annulé"),0,N(T2793)*N(U2793)))</f>
        <v/>
      </c>
      <c r="W2793" s="70">
        <f>IF($A2793="","",SUMIFS('Mouvements stock'!$H$5:$H$3004,'Mouvements stock'!$I$5:$I$3004,$A2793,'Mouvements stock'!$C$5:$C$3004,"Sortie")-SUMIFS('Mouvements stock'!$H$5:$H$3004,'Mouvements stock'!$I$5:$I$3004,$A2793,'Mouvements stock'!$C$5:$C$3004,"Retour"))</f>
        <v/>
      </c>
      <c r="X2793" s="66" t="n"/>
      <c r="Y2793" s="66" t="n"/>
      <c r="Z2793" s="7" t="n"/>
      <c r="AA2793" s="70">
        <f>IF($A2793="","",N(V2793)+N(W2793)+N(X2793)+N(Y2793))</f>
        <v/>
      </c>
      <c r="AB2793" s="70">
        <f>IF($A2793="","",N(S2793)*'Paramètres'!$AA$9*IFERROR(INDEX('Paramètres'!$O$5:$O$7,MATCH(G2793,'Paramètres'!$N$5:$N$7,0)),0))</f>
        <v/>
      </c>
      <c r="AC2793" s="7" t="n"/>
      <c r="AD2793" s="69">
        <f>IF(OR($A2793="",Q2793=""),"",(Q2793-B2793)*24)</f>
        <v/>
      </c>
      <c r="AE2793" s="69">
        <f>IF(OR(Q2793="",R2793=""),"",(R2793-Q2793)*24)</f>
        <v/>
      </c>
      <c r="AF2793" s="77">
        <f>IF(OR($A2793="",B2793=""),"",YEAR(B2793))</f>
        <v/>
      </c>
      <c r="AG2793" s="77">
        <f>IF(OR($A2793="",B2793=""),"",MONTH(B2793))</f>
        <v/>
      </c>
    </row>
    <row r="2794">
      <c r="A2794" s="7" t="n"/>
      <c r="B2794" s="75" t="n"/>
      <c r="C2794" s="7" t="n"/>
      <c r="D2794" s="7" t="n"/>
      <c r="E2794" s="9">
        <f>IF(D2794="","",IFERROR(INDEX('Équipements'!$B$5:$B$304,MATCH(D2794,'Équipements'!$A$5:$A$304,0)),"Code inconnu"))</f>
        <v/>
      </c>
      <c r="F2794" s="9">
        <f>IF(D2794="","",IFERROR(INDEX('Équipements'!$D$5:$D$304,MATCH(D2794,'Équipements'!$A$5:$A$304,0)),""))</f>
        <v/>
      </c>
      <c r="G2794" s="9">
        <f>IF(D2794="","",IFERROR(INDEX('Équipements'!$K$5:$K$304,MATCH(D2794,'Équipements'!$A$5:$A$304,0)),""))</f>
        <v/>
      </c>
      <c r="H2794" s="7" t="n"/>
      <c r="I2794" s="7" t="n"/>
      <c r="J2794" s="7" t="n"/>
      <c r="K2794" s="7" t="n"/>
      <c r="L2794" s="7" t="n"/>
      <c r="M2794" s="7" t="n"/>
      <c r="N2794" s="7" t="n"/>
      <c r="O2794" s="7" t="n"/>
      <c r="P2794" s="65" t="n"/>
      <c r="Q2794" s="75" t="n"/>
      <c r="R2794" s="75" t="n"/>
      <c r="S2794" s="76" t="n"/>
      <c r="T2794" s="76" t="n"/>
      <c r="U2794" s="70">
        <f>IF($A2794="","",IFERROR(INDEX('Techniciens'!$F$5:$F$44,MATCH(O2794,'Techniciens'!$B$5:$B$44,0)),'Paramètres'!$AA$10))</f>
        <v/>
      </c>
      <c r="V2794" s="70">
        <f>IF($A2794="","",IF(OR(AC2794="Demandé",AC2794="Planifié",AC2794="Annulé"),0,N(T2794)*N(U2794)))</f>
        <v/>
      </c>
      <c r="W2794" s="70">
        <f>IF($A2794="","",SUMIFS('Mouvements stock'!$H$5:$H$3004,'Mouvements stock'!$I$5:$I$3004,$A2794,'Mouvements stock'!$C$5:$C$3004,"Sortie")-SUMIFS('Mouvements stock'!$H$5:$H$3004,'Mouvements stock'!$I$5:$I$3004,$A2794,'Mouvements stock'!$C$5:$C$3004,"Retour"))</f>
        <v/>
      </c>
      <c r="X2794" s="66" t="n"/>
      <c r="Y2794" s="66" t="n"/>
      <c r="Z2794" s="7" t="n"/>
      <c r="AA2794" s="70">
        <f>IF($A2794="","",N(V2794)+N(W2794)+N(X2794)+N(Y2794))</f>
        <v/>
      </c>
      <c r="AB2794" s="70">
        <f>IF($A2794="","",N(S2794)*'Paramètres'!$AA$9*IFERROR(INDEX('Paramètres'!$O$5:$O$7,MATCH(G2794,'Paramètres'!$N$5:$N$7,0)),0))</f>
        <v/>
      </c>
      <c r="AC2794" s="7" t="n"/>
      <c r="AD2794" s="69">
        <f>IF(OR($A2794="",Q2794=""),"",(Q2794-B2794)*24)</f>
        <v/>
      </c>
      <c r="AE2794" s="69">
        <f>IF(OR(Q2794="",R2794=""),"",(R2794-Q2794)*24)</f>
        <v/>
      </c>
      <c r="AF2794" s="77">
        <f>IF(OR($A2794="",B2794=""),"",YEAR(B2794))</f>
        <v/>
      </c>
      <c r="AG2794" s="77">
        <f>IF(OR($A2794="",B2794=""),"",MONTH(B2794))</f>
        <v/>
      </c>
    </row>
    <row r="2795">
      <c r="A2795" s="7" t="n"/>
      <c r="B2795" s="75" t="n"/>
      <c r="C2795" s="7" t="n"/>
      <c r="D2795" s="7" t="n"/>
      <c r="E2795" s="9">
        <f>IF(D2795="","",IFERROR(INDEX('Équipements'!$B$5:$B$304,MATCH(D2795,'Équipements'!$A$5:$A$304,0)),"Code inconnu"))</f>
        <v/>
      </c>
      <c r="F2795" s="9">
        <f>IF(D2795="","",IFERROR(INDEX('Équipements'!$D$5:$D$304,MATCH(D2795,'Équipements'!$A$5:$A$304,0)),""))</f>
        <v/>
      </c>
      <c r="G2795" s="9">
        <f>IF(D2795="","",IFERROR(INDEX('Équipements'!$K$5:$K$304,MATCH(D2795,'Équipements'!$A$5:$A$304,0)),""))</f>
        <v/>
      </c>
      <c r="H2795" s="7" t="n"/>
      <c r="I2795" s="7" t="n"/>
      <c r="J2795" s="7" t="n"/>
      <c r="K2795" s="7" t="n"/>
      <c r="L2795" s="7" t="n"/>
      <c r="M2795" s="7" t="n"/>
      <c r="N2795" s="7" t="n"/>
      <c r="O2795" s="7" t="n"/>
      <c r="P2795" s="65" t="n"/>
      <c r="Q2795" s="75" t="n"/>
      <c r="R2795" s="75" t="n"/>
      <c r="S2795" s="76" t="n"/>
      <c r="T2795" s="76" t="n"/>
      <c r="U2795" s="70">
        <f>IF($A2795="","",IFERROR(INDEX('Techniciens'!$F$5:$F$44,MATCH(O2795,'Techniciens'!$B$5:$B$44,0)),'Paramètres'!$AA$10))</f>
        <v/>
      </c>
      <c r="V2795" s="70">
        <f>IF($A2795="","",IF(OR(AC2795="Demandé",AC2795="Planifié",AC2795="Annulé"),0,N(T2795)*N(U2795)))</f>
        <v/>
      </c>
      <c r="W2795" s="70">
        <f>IF($A2795="","",SUMIFS('Mouvements stock'!$H$5:$H$3004,'Mouvements stock'!$I$5:$I$3004,$A2795,'Mouvements stock'!$C$5:$C$3004,"Sortie")-SUMIFS('Mouvements stock'!$H$5:$H$3004,'Mouvements stock'!$I$5:$I$3004,$A2795,'Mouvements stock'!$C$5:$C$3004,"Retour"))</f>
        <v/>
      </c>
      <c r="X2795" s="66" t="n"/>
      <c r="Y2795" s="66" t="n"/>
      <c r="Z2795" s="7" t="n"/>
      <c r="AA2795" s="70">
        <f>IF($A2795="","",N(V2795)+N(W2795)+N(X2795)+N(Y2795))</f>
        <v/>
      </c>
      <c r="AB2795" s="70">
        <f>IF($A2795="","",N(S2795)*'Paramètres'!$AA$9*IFERROR(INDEX('Paramètres'!$O$5:$O$7,MATCH(G2795,'Paramètres'!$N$5:$N$7,0)),0))</f>
        <v/>
      </c>
      <c r="AC2795" s="7" t="n"/>
      <c r="AD2795" s="69">
        <f>IF(OR($A2795="",Q2795=""),"",(Q2795-B2795)*24)</f>
        <v/>
      </c>
      <c r="AE2795" s="69">
        <f>IF(OR(Q2795="",R2795=""),"",(R2795-Q2795)*24)</f>
        <v/>
      </c>
      <c r="AF2795" s="77">
        <f>IF(OR($A2795="",B2795=""),"",YEAR(B2795))</f>
        <v/>
      </c>
      <c r="AG2795" s="77">
        <f>IF(OR($A2795="",B2795=""),"",MONTH(B2795))</f>
        <v/>
      </c>
    </row>
    <row r="2796">
      <c r="A2796" s="7" t="n"/>
      <c r="B2796" s="75" t="n"/>
      <c r="C2796" s="7" t="n"/>
      <c r="D2796" s="7" t="n"/>
      <c r="E2796" s="9">
        <f>IF(D2796="","",IFERROR(INDEX('Équipements'!$B$5:$B$304,MATCH(D2796,'Équipements'!$A$5:$A$304,0)),"Code inconnu"))</f>
        <v/>
      </c>
      <c r="F2796" s="9">
        <f>IF(D2796="","",IFERROR(INDEX('Équipements'!$D$5:$D$304,MATCH(D2796,'Équipements'!$A$5:$A$304,0)),""))</f>
        <v/>
      </c>
      <c r="G2796" s="9">
        <f>IF(D2796="","",IFERROR(INDEX('Équipements'!$K$5:$K$304,MATCH(D2796,'Équipements'!$A$5:$A$304,0)),""))</f>
        <v/>
      </c>
      <c r="H2796" s="7" t="n"/>
      <c r="I2796" s="7" t="n"/>
      <c r="J2796" s="7" t="n"/>
      <c r="K2796" s="7" t="n"/>
      <c r="L2796" s="7" t="n"/>
      <c r="M2796" s="7" t="n"/>
      <c r="N2796" s="7" t="n"/>
      <c r="O2796" s="7" t="n"/>
      <c r="P2796" s="65" t="n"/>
      <c r="Q2796" s="75" t="n"/>
      <c r="R2796" s="75" t="n"/>
      <c r="S2796" s="76" t="n"/>
      <c r="T2796" s="76" t="n"/>
      <c r="U2796" s="70">
        <f>IF($A2796="","",IFERROR(INDEX('Techniciens'!$F$5:$F$44,MATCH(O2796,'Techniciens'!$B$5:$B$44,0)),'Paramètres'!$AA$10))</f>
        <v/>
      </c>
      <c r="V2796" s="70">
        <f>IF($A2796="","",IF(OR(AC2796="Demandé",AC2796="Planifié",AC2796="Annulé"),0,N(T2796)*N(U2796)))</f>
        <v/>
      </c>
      <c r="W2796" s="70">
        <f>IF($A2796="","",SUMIFS('Mouvements stock'!$H$5:$H$3004,'Mouvements stock'!$I$5:$I$3004,$A2796,'Mouvements stock'!$C$5:$C$3004,"Sortie")-SUMIFS('Mouvements stock'!$H$5:$H$3004,'Mouvements stock'!$I$5:$I$3004,$A2796,'Mouvements stock'!$C$5:$C$3004,"Retour"))</f>
        <v/>
      </c>
      <c r="X2796" s="66" t="n"/>
      <c r="Y2796" s="66" t="n"/>
      <c r="Z2796" s="7" t="n"/>
      <c r="AA2796" s="70">
        <f>IF($A2796="","",N(V2796)+N(W2796)+N(X2796)+N(Y2796))</f>
        <v/>
      </c>
      <c r="AB2796" s="70">
        <f>IF($A2796="","",N(S2796)*'Paramètres'!$AA$9*IFERROR(INDEX('Paramètres'!$O$5:$O$7,MATCH(G2796,'Paramètres'!$N$5:$N$7,0)),0))</f>
        <v/>
      </c>
      <c r="AC2796" s="7" t="n"/>
      <c r="AD2796" s="69">
        <f>IF(OR($A2796="",Q2796=""),"",(Q2796-B2796)*24)</f>
        <v/>
      </c>
      <c r="AE2796" s="69">
        <f>IF(OR(Q2796="",R2796=""),"",(R2796-Q2796)*24)</f>
        <v/>
      </c>
      <c r="AF2796" s="77">
        <f>IF(OR($A2796="",B2796=""),"",YEAR(B2796))</f>
        <v/>
      </c>
      <c r="AG2796" s="77">
        <f>IF(OR($A2796="",B2796=""),"",MONTH(B2796))</f>
        <v/>
      </c>
    </row>
    <row r="2797">
      <c r="A2797" s="7" t="n"/>
      <c r="B2797" s="75" t="n"/>
      <c r="C2797" s="7" t="n"/>
      <c r="D2797" s="7" t="n"/>
      <c r="E2797" s="9">
        <f>IF(D2797="","",IFERROR(INDEX('Équipements'!$B$5:$B$304,MATCH(D2797,'Équipements'!$A$5:$A$304,0)),"Code inconnu"))</f>
        <v/>
      </c>
      <c r="F2797" s="9">
        <f>IF(D2797="","",IFERROR(INDEX('Équipements'!$D$5:$D$304,MATCH(D2797,'Équipements'!$A$5:$A$304,0)),""))</f>
        <v/>
      </c>
      <c r="G2797" s="9">
        <f>IF(D2797="","",IFERROR(INDEX('Équipements'!$K$5:$K$304,MATCH(D2797,'Équipements'!$A$5:$A$304,0)),""))</f>
        <v/>
      </c>
      <c r="H2797" s="7" t="n"/>
      <c r="I2797" s="7" t="n"/>
      <c r="J2797" s="7" t="n"/>
      <c r="K2797" s="7" t="n"/>
      <c r="L2797" s="7" t="n"/>
      <c r="M2797" s="7" t="n"/>
      <c r="N2797" s="7" t="n"/>
      <c r="O2797" s="7" t="n"/>
      <c r="P2797" s="65" t="n"/>
      <c r="Q2797" s="75" t="n"/>
      <c r="R2797" s="75" t="n"/>
      <c r="S2797" s="76" t="n"/>
      <c r="T2797" s="76" t="n"/>
      <c r="U2797" s="70">
        <f>IF($A2797="","",IFERROR(INDEX('Techniciens'!$F$5:$F$44,MATCH(O2797,'Techniciens'!$B$5:$B$44,0)),'Paramètres'!$AA$10))</f>
        <v/>
      </c>
      <c r="V2797" s="70">
        <f>IF($A2797="","",IF(OR(AC2797="Demandé",AC2797="Planifié",AC2797="Annulé"),0,N(T2797)*N(U2797)))</f>
        <v/>
      </c>
      <c r="W2797" s="70">
        <f>IF($A2797="","",SUMIFS('Mouvements stock'!$H$5:$H$3004,'Mouvements stock'!$I$5:$I$3004,$A2797,'Mouvements stock'!$C$5:$C$3004,"Sortie")-SUMIFS('Mouvements stock'!$H$5:$H$3004,'Mouvements stock'!$I$5:$I$3004,$A2797,'Mouvements stock'!$C$5:$C$3004,"Retour"))</f>
        <v/>
      </c>
      <c r="X2797" s="66" t="n"/>
      <c r="Y2797" s="66" t="n"/>
      <c r="Z2797" s="7" t="n"/>
      <c r="AA2797" s="70">
        <f>IF($A2797="","",N(V2797)+N(W2797)+N(X2797)+N(Y2797))</f>
        <v/>
      </c>
      <c r="AB2797" s="70">
        <f>IF($A2797="","",N(S2797)*'Paramètres'!$AA$9*IFERROR(INDEX('Paramètres'!$O$5:$O$7,MATCH(G2797,'Paramètres'!$N$5:$N$7,0)),0))</f>
        <v/>
      </c>
      <c r="AC2797" s="7" t="n"/>
      <c r="AD2797" s="69">
        <f>IF(OR($A2797="",Q2797=""),"",(Q2797-B2797)*24)</f>
        <v/>
      </c>
      <c r="AE2797" s="69">
        <f>IF(OR(Q2797="",R2797=""),"",(R2797-Q2797)*24)</f>
        <v/>
      </c>
      <c r="AF2797" s="77">
        <f>IF(OR($A2797="",B2797=""),"",YEAR(B2797))</f>
        <v/>
      </c>
      <c r="AG2797" s="77">
        <f>IF(OR($A2797="",B2797=""),"",MONTH(B2797))</f>
        <v/>
      </c>
    </row>
    <row r="2798">
      <c r="A2798" s="7" t="n"/>
      <c r="B2798" s="75" t="n"/>
      <c r="C2798" s="7" t="n"/>
      <c r="D2798" s="7" t="n"/>
      <c r="E2798" s="9">
        <f>IF(D2798="","",IFERROR(INDEX('Équipements'!$B$5:$B$304,MATCH(D2798,'Équipements'!$A$5:$A$304,0)),"Code inconnu"))</f>
        <v/>
      </c>
      <c r="F2798" s="9">
        <f>IF(D2798="","",IFERROR(INDEX('Équipements'!$D$5:$D$304,MATCH(D2798,'Équipements'!$A$5:$A$304,0)),""))</f>
        <v/>
      </c>
      <c r="G2798" s="9">
        <f>IF(D2798="","",IFERROR(INDEX('Équipements'!$K$5:$K$304,MATCH(D2798,'Équipements'!$A$5:$A$304,0)),""))</f>
        <v/>
      </c>
      <c r="H2798" s="7" t="n"/>
      <c r="I2798" s="7" t="n"/>
      <c r="J2798" s="7" t="n"/>
      <c r="K2798" s="7" t="n"/>
      <c r="L2798" s="7" t="n"/>
      <c r="M2798" s="7" t="n"/>
      <c r="N2798" s="7" t="n"/>
      <c r="O2798" s="7" t="n"/>
      <c r="P2798" s="65" t="n"/>
      <c r="Q2798" s="75" t="n"/>
      <c r="R2798" s="75" t="n"/>
      <c r="S2798" s="76" t="n"/>
      <c r="T2798" s="76" t="n"/>
      <c r="U2798" s="70">
        <f>IF($A2798="","",IFERROR(INDEX('Techniciens'!$F$5:$F$44,MATCH(O2798,'Techniciens'!$B$5:$B$44,0)),'Paramètres'!$AA$10))</f>
        <v/>
      </c>
      <c r="V2798" s="70">
        <f>IF($A2798="","",IF(OR(AC2798="Demandé",AC2798="Planifié",AC2798="Annulé"),0,N(T2798)*N(U2798)))</f>
        <v/>
      </c>
      <c r="W2798" s="70">
        <f>IF($A2798="","",SUMIFS('Mouvements stock'!$H$5:$H$3004,'Mouvements stock'!$I$5:$I$3004,$A2798,'Mouvements stock'!$C$5:$C$3004,"Sortie")-SUMIFS('Mouvements stock'!$H$5:$H$3004,'Mouvements stock'!$I$5:$I$3004,$A2798,'Mouvements stock'!$C$5:$C$3004,"Retour"))</f>
        <v/>
      </c>
      <c r="X2798" s="66" t="n"/>
      <c r="Y2798" s="66" t="n"/>
      <c r="Z2798" s="7" t="n"/>
      <c r="AA2798" s="70">
        <f>IF($A2798="","",N(V2798)+N(W2798)+N(X2798)+N(Y2798))</f>
        <v/>
      </c>
      <c r="AB2798" s="70">
        <f>IF($A2798="","",N(S2798)*'Paramètres'!$AA$9*IFERROR(INDEX('Paramètres'!$O$5:$O$7,MATCH(G2798,'Paramètres'!$N$5:$N$7,0)),0))</f>
        <v/>
      </c>
      <c r="AC2798" s="7" t="n"/>
      <c r="AD2798" s="69">
        <f>IF(OR($A2798="",Q2798=""),"",(Q2798-B2798)*24)</f>
        <v/>
      </c>
      <c r="AE2798" s="69">
        <f>IF(OR(Q2798="",R2798=""),"",(R2798-Q2798)*24)</f>
        <v/>
      </c>
      <c r="AF2798" s="77">
        <f>IF(OR($A2798="",B2798=""),"",YEAR(B2798))</f>
        <v/>
      </c>
      <c r="AG2798" s="77">
        <f>IF(OR($A2798="",B2798=""),"",MONTH(B2798))</f>
        <v/>
      </c>
    </row>
    <row r="2799">
      <c r="A2799" s="7" t="n"/>
      <c r="B2799" s="75" t="n"/>
      <c r="C2799" s="7" t="n"/>
      <c r="D2799" s="7" t="n"/>
      <c r="E2799" s="9">
        <f>IF(D2799="","",IFERROR(INDEX('Équipements'!$B$5:$B$304,MATCH(D2799,'Équipements'!$A$5:$A$304,0)),"Code inconnu"))</f>
        <v/>
      </c>
      <c r="F2799" s="9">
        <f>IF(D2799="","",IFERROR(INDEX('Équipements'!$D$5:$D$304,MATCH(D2799,'Équipements'!$A$5:$A$304,0)),""))</f>
        <v/>
      </c>
      <c r="G2799" s="9">
        <f>IF(D2799="","",IFERROR(INDEX('Équipements'!$K$5:$K$304,MATCH(D2799,'Équipements'!$A$5:$A$304,0)),""))</f>
        <v/>
      </c>
      <c r="H2799" s="7" t="n"/>
      <c r="I2799" s="7" t="n"/>
      <c r="J2799" s="7" t="n"/>
      <c r="K2799" s="7" t="n"/>
      <c r="L2799" s="7" t="n"/>
      <c r="M2799" s="7" t="n"/>
      <c r="N2799" s="7" t="n"/>
      <c r="O2799" s="7" t="n"/>
      <c r="P2799" s="65" t="n"/>
      <c r="Q2799" s="75" t="n"/>
      <c r="R2799" s="75" t="n"/>
      <c r="S2799" s="76" t="n"/>
      <c r="T2799" s="76" t="n"/>
      <c r="U2799" s="70">
        <f>IF($A2799="","",IFERROR(INDEX('Techniciens'!$F$5:$F$44,MATCH(O2799,'Techniciens'!$B$5:$B$44,0)),'Paramètres'!$AA$10))</f>
        <v/>
      </c>
      <c r="V2799" s="70">
        <f>IF($A2799="","",IF(OR(AC2799="Demandé",AC2799="Planifié",AC2799="Annulé"),0,N(T2799)*N(U2799)))</f>
        <v/>
      </c>
      <c r="W2799" s="70">
        <f>IF($A2799="","",SUMIFS('Mouvements stock'!$H$5:$H$3004,'Mouvements stock'!$I$5:$I$3004,$A2799,'Mouvements stock'!$C$5:$C$3004,"Sortie")-SUMIFS('Mouvements stock'!$H$5:$H$3004,'Mouvements stock'!$I$5:$I$3004,$A2799,'Mouvements stock'!$C$5:$C$3004,"Retour"))</f>
        <v/>
      </c>
      <c r="X2799" s="66" t="n"/>
      <c r="Y2799" s="66" t="n"/>
      <c r="Z2799" s="7" t="n"/>
      <c r="AA2799" s="70">
        <f>IF($A2799="","",N(V2799)+N(W2799)+N(X2799)+N(Y2799))</f>
        <v/>
      </c>
      <c r="AB2799" s="70">
        <f>IF($A2799="","",N(S2799)*'Paramètres'!$AA$9*IFERROR(INDEX('Paramètres'!$O$5:$O$7,MATCH(G2799,'Paramètres'!$N$5:$N$7,0)),0))</f>
        <v/>
      </c>
      <c r="AC2799" s="7" t="n"/>
      <c r="AD2799" s="69">
        <f>IF(OR($A2799="",Q2799=""),"",(Q2799-B2799)*24)</f>
        <v/>
      </c>
      <c r="AE2799" s="69">
        <f>IF(OR(Q2799="",R2799=""),"",(R2799-Q2799)*24)</f>
        <v/>
      </c>
      <c r="AF2799" s="77">
        <f>IF(OR($A2799="",B2799=""),"",YEAR(B2799))</f>
        <v/>
      </c>
      <c r="AG2799" s="77">
        <f>IF(OR($A2799="",B2799=""),"",MONTH(B2799))</f>
        <v/>
      </c>
    </row>
    <row r="2800">
      <c r="A2800" s="7" t="n"/>
      <c r="B2800" s="75" t="n"/>
      <c r="C2800" s="7" t="n"/>
      <c r="D2800" s="7" t="n"/>
      <c r="E2800" s="9">
        <f>IF(D2800="","",IFERROR(INDEX('Équipements'!$B$5:$B$304,MATCH(D2800,'Équipements'!$A$5:$A$304,0)),"Code inconnu"))</f>
        <v/>
      </c>
      <c r="F2800" s="9">
        <f>IF(D2800="","",IFERROR(INDEX('Équipements'!$D$5:$D$304,MATCH(D2800,'Équipements'!$A$5:$A$304,0)),""))</f>
        <v/>
      </c>
      <c r="G2800" s="9">
        <f>IF(D2800="","",IFERROR(INDEX('Équipements'!$K$5:$K$304,MATCH(D2800,'Équipements'!$A$5:$A$304,0)),""))</f>
        <v/>
      </c>
      <c r="H2800" s="7" t="n"/>
      <c r="I2800" s="7" t="n"/>
      <c r="J2800" s="7" t="n"/>
      <c r="K2800" s="7" t="n"/>
      <c r="L2800" s="7" t="n"/>
      <c r="M2800" s="7" t="n"/>
      <c r="N2800" s="7" t="n"/>
      <c r="O2800" s="7" t="n"/>
      <c r="P2800" s="65" t="n"/>
      <c r="Q2800" s="75" t="n"/>
      <c r="R2800" s="75" t="n"/>
      <c r="S2800" s="76" t="n"/>
      <c r="T2800" s="76" t="n"/>
      <c r="U2800" s="70">
        <f>IF($A2800="","",IFERROR(INDEX('Techniciens'!$F$5:$F$44,MATCH(O2800,'Techniciens'!$B$5:$B$44,0)),'Paramètres'!$AA$10))</f>
        <v/>
      </c>
      <c r="V2800" s="70">
        <f>IF($A2800="","",IF(OR(AC2800="Demandé",AC2800="Planifié",AC2800="Annulé"),0,N(T2800)*N(U2800)))</f>
        <v/>
      </c>
      <c r="W2800" s="70">
        <f>IF($A2800="","",SUMIFS('Mouvements stock'!$H$5:$H$3004,'Mouvements stock'!$I$5:$I$3004,$A2800,'Mouvements stock'!$C$5:$C$3004,"Sortie")-SUMIFS('Mouvements stock'!$H$5:$H$3004,'Mouvements stock'!$I$5:$I$3004,$A2800,'Mouvements stock'!$C$5:$C$3004,"Retour"))</f>
        <v/>
      </c>
      <c r="X2800" s="66" t="n"/>
      <c r="Y2800" s="66" t="n"/>
      <c r="Z2800" s="7" t="n"/>
      <c r="AA2800" s="70">
        <f>IF($A2800="","",N(V2800)+N(W2800)+N(X2800)+N(Y2800))</f>
        <v/>
      </c>
      <c r="AB2800" s="70">
        <f>IF($A2800="","",N(S2800)*'Paramètres'!$AA$9*IFERROR(INDEX('Paramètres'!$O$5:$O$7,MATCH(G2800,'Paramètres'!$N$5:$N$7,0)),0))</f>
        <v/>
      </c>
      <c r="AC2800" s="7" t="n"/>
      <c r="AD2800" s="69">
        <f>IF(OR($A2800="",Q2800=""),"",(Q2800-B2800)*24)</f>
        <v/>
      </c>
      <c r="AE2800" s="69">
        <f>IF(OR(Q2800="",R2800=""),"",(R2800-Q2800)*24)</f>
        <v/>
      </c>
      <c r="AF2800" s="77">
        <f>IF(OR($A2800="",B2800=""),"",YEAR(B2800))</f>
        <v/>
      </c>
      <c r="AG2800" s="77">
        <f>IF(OR($A2800="",B2800=""),"",MONTH(B2800))</f>
        <v/>
      </c>
    </row>
    <row r="2801">
      <c r="A2801" s="7" t="n"/>
      <c r="B2801" s="75" t="n"/>
      <c r="C2801" s="7" t="n"/>
      <c r="D2801" s="7" t="n"/>
      <c r="E2801" s="9">
        <f>IF(D2801="","",IFERROR(INDEX('Équipements'!$B$5:$B$304,MATCH(D2801,'Équipements'!$A$5:$A$304,0)),"Code inconnu"))</f>
        <v/>
      </c>
      <c r="F2801" s="9">
        <f>IF(D2801="","",IFERROR(INDEX('Équipements'!$D$5:$D$304,MATCH(D2801,'Équipements'!$A$5:$A$304,0)),""))</f>
        <v/>
      </c>
      <c r="G2801" s="9">
        <f>IF(D2801="","",IFERROR(INDEX('Équipements'!$K$5:$K$304,MATCH(D2801,'Équipements'!$A$5:$A$304,0)),""))</f>
        <v/>
      </c>
      <c r="H2801" s="7" t="n"/>
      <c r="I2801" s="7" t="n"/>
      <c r="J2801" s="7" t="n"/>
      <c r="K2801" s="7" t="n"/>
      <c r="L2801" s="7" t="n"/>
      <c r="M2801" s="7" t="n"/>
      <c r="N2801" s="7" t="n"/>
      <c r="O2801" s="7" t="n"/>
      <c r="P2801" s="65" t="n"/>
      <c r="Q2801" s="75" t="n"/>
      <c r="R2801" s="75" t="n"/>
      <c r="S2801" s="76" t="n"/>
      <c r="T2801" s="76" t="n"/>
      <c r="U2801" s="70">
        <f>IF($A2801="","",IFERROR(INDEX('Techniciens'!$F$5:$F$44,MATCH(O2801,'Techniciens'!$B$5:$B$44,0)),'Paramètres'!$AA$10))</f>
        <v/>
      </c>
      <c r="V2801" s="70">
        <f>IF($A2801="","",IF(OR(AC2801="Demandé",AC2801="Planifié",AC2801="Annulé"),0,N(T2801)*N(U2801)))</f>
        <v/>
      </c>
      <c r="W2801" s="70">
        <f>IF($A2801="","",SUMIFS('Mouvements stock'!$H$5:$H$3004,'Mouvements stock'!$I$5:$I$3004,$A2801,'Mouvements stock'!$C$5:$C$3004,"Sortie")-SUMIFS('Mouvements stock'!$H$5:$H$3004,'Mouvements stock'!$I$5:$I$3004,$A2801,'Mouvements stock'!$C$5:$C$3004,"Retour"))</f>
        <v/>
      </c>
      <c r="X2801" s="66" t="n"/>
      <c r="Y2801" s="66" t="n"/>
      <c r="Z2801" s="7" t="n"/>
      <c r="AA2801" s="70">
        <f>IF($A2801="","",N(V2801)+N(W2801)+N(X2801)+N(Y2801))</f>
        <v/>
      </c>
      <c r="AB2801" s="70">
        <f>IF($A2801="","",N(S2801)*'Paramètres'!$AA$9*IFERROR(INDEX('Paramètres'!$O$5:$O$7,MATCH(G2801,'Paramètres'!$N$5:$N$7,0)),0))</f>
        <v/>
      </c>
      <c r="AC2801" s="7" t="n"/>
      <c r="AD2801" s="69">
        <f>IF(OR($A2801="",Q2801=""),"",(Q2801-B2801)*24)</f>
        <v/>
      </c>
      <c r="AE2801" s="69">
        <f>IF(OR(Q2801="",R2801=""),"",(R2801-Q2801)*24)</f>
        <v/>
      </c>
      <c r="AF2801" s="77">
        <f>IF(OR($A2801="",B2801=""),"",YEAR(B2801))</f>
        <v/>
      </c>
      <c r="AG2801" s="77">
        <f>IF(OR($A2801="",B2801=""),"",MONTH(B2801))</f>
        <v/>
      </c>
    </row>
    <row r="2802">
      <c r="A2802" s="7" t="n"/>
      <c r="B2802" s="75" t="n"/>
      <c r="C2802" s="7" t="n"/>
      <c r="D2802" s="7" t="n"/>
      <c r="E2802" s="9">
        <f>IF(D2802="","",IFERROR(INDEX('Équipements'!$B$5:$B$304,MATCH(D2802,'Équipements'!$A$5:$A$304,0)),"Code inconnu"))</f>
        <v/>
      </c>
      <c r="F2802" s="9">
        <f>IF(D2802="","",IFERROR(INDEX('Équipements'!$D$5:$D$304,MATCH(D2802,'Équipements'!$A$5:$A$304,0)),""))</f>
        <v/>
      </c>
      <c r="G2802" s="9">
        <f>IF(D2802="","",IFERROR(INDEX('Équipements'!$K$5:$K$304,MATCH(D2802,'Équipements'!$A$5:$A$304,0)),""))</f>
        <v/>
      </c>
      <c r="H2802" s="7" t="n"/>
      <c r="I2802" s="7" t="n"/>
      <c r="J2802" s="7" t="n"/>
      <c r="K2802" s="7" t="n"/>
      <c r="L2802" s="7" t="n"/>
      <c r="M2802" s="7" t="n"/>
      <c r="N2802" s="7" t="n"/>
      <c r="O2802" s="7" t="n"/>
      <c r="P2802" s="65" t="n"/>
      <c r="Q2802" s="75" t="n"/>
      <c r="R2802" s="75" t="n"/>
      <c r="S2802" s="76" t="n"/>
      <c r="T2802" s="76" t="n"/>
      <c r="U2802" s="70">
        <f>IF($A2802="","",IFERROR(INDEX('Techniciens'!$F$5:$F$44,MATCH(O2802,'Techniciens'!$B$5:$B$44,0)),'Paramètres'!$AA$10))</f>
        <v/>
      </c>
      <c r="V2802" s="70">
        <f>IF($A2802="","",IF(OR(AC2802="Demandé",AC2802="Planifié",AC2802="Annulé"),0,N(T2802)*N(U2802)))</f>
        <v/>
      </c>
      <c r="W2802" s="70">
        <f>IF($A2802="","",SUMIFS('Mouvements stock'!$H$5:$H$3004,'Mouvements stock'!$I$5:$I$3004,$A2802,'Mouvements stock'!$C$5:$C$3004,"Sortie")-SUMIFS('Mouvements stock'!$H$5:$H$3004,'Mouvements stock'!$I$5:$I$3004,$A2802,'Mouvements stock'!$C$5:$C$3004,"Retour"))</f>
        <v/>
      </c>
      <c r="X2802" s="66" t="n"/>
      <c r="Y2802" s="66" t="n"/>
      <c r="Z2802" s="7" t="n"/>
      <c r="AA2802" s="70">
        <f>IF($A2802="","",N(V2802)+N(W2802)+N(X2802)+N(Y2802))</f>
        <v/>
      </c>
      <c r="AB2802" s="70">
        <f>IF($A2802="","",N(S2802)*'Paramètres'!$AA$9*IFERROR(INDEX('Paramètres'!$O$5:$O$7,MATCH(G2802,'Paramètres'!$N$5:$N$7,0)),0))</f>
        <v/>
      </c>
      <c r="AC2802" s="7" t="n"/>
      <c r="AD2802" s="69">
        <f>IF(OR($A2802="",Q2802=""),"",(Q2802-B2802)*24)</f>
        <v/>
      </c>
      <c r="AE2802" s="69">
        <f>IF(OR(Q2802="",R2802=""),"",(R2802-Q2802)*24)</f>
        <v/>
      </c>
      <c r="AF2802" s="77">
        <f>IF(OR($A2802="",B2802=""),"",YEAR(B2802))</f>
        <v/>
      </c>
      <c r="AG2802" s="77">
        <f>IF(OR($A2802="",B2802=""),"",MONTH(B2802))</f>
        <v/>
      </c>
    </row>
    <row r="2803">
      <c r="A2803" s="7" t="n"/>
      <c r="B2803" s="75" t="n"/>
      <c r="C2803" s="7" t="n"/>
      <c r="D2803" s="7" t="n"/>
      <c r="E2803" s="9">
        <f>IF(D2803="","",IFERROR(INDEX('Équipements'!$B$5:$B$304,MATCH(D2803,'Équipements'!$A$5:$A$304,0)),"Code inconnu"))</f>
        <v/>
      </c>
      <c r="F2803" s="9">
        <f>IF(D2803="","",IFERROR(INDEX('Équipements'!$D$5:$D$304,MATCH(D2803,'Équipements'!$A$5:$A$304,0)),""))</f>
        <v/>
      </c>
      <c r="G2803" s="9">
        <f>IF(D2803="","",IFERROR(INDEX('Équipements'!$K$5:$K$304,MATCH(D2803,'Équipements'!$A$5:$A$304,0)),""))</f>
        <v/>
      </c>
      <c r="H2803" s="7" t="n"/>
      <c r="I2803" s="7" t="n"/>
      <c r="J2803" s="7" t="n"/>
      <c r="K2803" s="7" t="n"/>
      <c r="L2803" s="7" t="n"/>
      <c r="M2803" s="7" t="n"/>
      <c r="N2803" s="7" t="n"/>
      <c r="O2803" s="7" t="n"/>
      <c r="P2803" s="65" t="n"/>
      <c r="Q2803" s="75" t="n"/>
      <c r="R2803" s="75" t="n"/>
      <c r="S2803" s="76" t="n"/>
      <c r="T2803" s="76" t="n"/>
      <c r="U2803" s="70">
        <f>IF($A2803="","",IFERROR(INDEX('Techniciens'!$F$5:$F$44,MATCH(O2803,'Techniciens'!$B$5:$B$44,0)),'Paramètres'!$AA$10))</f>
        <v/>
      </c>
      <c r="V2803" s="70">
        <f>IF($A2803="","",IF(OR(AC2803="Demandé",AC2803="Planifié",AC2803="Annulé"),0,N(T2803)*N(U2803)))</f>
        <v/>
      </c>
      <c r="W2803" s="70">
        <f>IF($A2803="","",SUMIFS('Mouvements stock'!$H$5:$H$3004,'Mouvements stock'!$I$5:$I$3004,$A2803,'Mouvements stock'!$C$5:$C$3004,"Sortie")-SUMIFS('Mouvements stock'!$H$5:$H$3004,'Mouvements stock'!$I$5:$I$3004,$A2803,'Mouvements stock'!$C$5:$C$3004,"Retour"))</f>
        <v/>
      </c>
      <c r="X2803" s="66" t="n"/>
      <c r="Y2803" s="66" t="n"/>
      <c r="Z2803" s="7" t="n"/>
      <c r="AA2803" s="70">
        <f>IF($A2803="","",N(V2803)+N(W2803)+N(X2803)+N(Y2803))</f>
        <v/>
      </c>
      <c r="AB2803" s="70">
        <f>IF($A2803="","",N(S2803)*'Paramètres'!$AA$9*IFERROR(INDEX('Paramètres'!$O$5:$O$7,MATCH(G2803,'Paramètres'!$N$5:$N$7,0)),0))</f>
        <v/>
      </c>
      <c r="AC2803" s="7" t="n"/>
      <c r="AD2803" s="69">
        <f>IF(OR($A2803="",Q2803=""),"",(Q2803-B2803)*24)</f>
        <v/>
      </c>
      <c r="AE2803" s="69">
        <f>IF(OR(Q2803="",R2803=""),"",(R2803-Q2803)*24)</f>
        <v/>
      </c>
      <c r="AF2803" s="77">
        <f>IF(OR($A2803="",B2803=""),"",YEAR(B2803))</f>
        <v/>
      </c>
      <c r="AG2803" s="77">
        <f>IF(OR($A2803="",B2803=""),"",MONTH(B2803))</f>
        <v/>
      </c>
    </row>
    <row r="2804">
      <c r="A2804" s="7" t="n"/>
      <c r="B2804" s="75" t="n"/>
      <c r="C2804" s="7" t="n"/>
      <c r="D2804" s="7" t="n"/>
      <c r="E2804" s="9">
        <f>IF(D2804="","",IFERROR(INDEX('Équipements'!$B$5:$B$304,MATCH(D2804,'Équipements'!$A$5:$A$304,0)),"Code inconnu"))</f>
        <v/>
      </c>
      <c r="F2804" s="9">
        <f>IF(D2804="","",IFERROR(INDEX('Équipements'!$D$5:$D$304,MATCH(D2804,'Équipements'!$A$5:$A$304,0)),""))</f>
        <v/>
      </c>
      <c r="G2804" s="9">
        <f>IF(D2804="","",IFERROR(INDEX('Équipements'!$K$5:$K$304,MATCH(D2804,'Équipements'!$A$5:$A$304,0)),""))</f>
        <v/>
      </c>
      <c r="H2804" s="7" t="n"/>
      <c r="I2804" s="7" t="n"/>
      <c r="J2804" s="7" t="n"/>
      <c r="K2804" s="7" t="n"/>
      <c r="L2804" s="7" t="n"/>
      <c r="M2804" s="7" t="n"/>
      <c r="N2804" s="7" t="n"/>
      <c r="O2804" s="7" t="n"/>
      <c r="P2804" s="65" t="n"/>
      <c r="Q2804" s="75" t="n"/>
      <c r="R2804" s="75" t="n"/>
      <c r="S2804" s="76" t="n"/>
      <c r="T2804" s="76" t="n"/>
      <c r="U2804" s="70">
        <f>IF($A2804="","",IFERROR(INDEX('Techniciens'!$F$5:$F$44,MATCH(O2804,'Techniciens'!$B$5:$B$44,0)),'Paramètres'!$AA$10))</f>
        <v/>
      </c>
      <c r="V2804" s="70">
        <f>IF($A2804="","",IF(OR(AC2804="Demandé",AC2804="Planifié",AC2804="Annulé"),0,N(T2804)*N(U2804)))</f>
        <v/>
      </c>
      <c r="W2804" s="70">
        <f>IF($A2804="","",SUMIFS('Mouvements stock'!$H$5:$H$3004,'Mouvements stock'!$I$5:$I$3004,$A2804,'Mouvements stock'!$C$5:$C$3004,"Sortie")-SUMIFS('Mouvements stock'!$H$5:$H$3004,'Mouvements stock'!$I$5:$I$3004,$A2804,'Mouvements stock'!$C$5:$C$3004,"Retour"))</f>
        <v/>
      </c>
      <c r="X2804" s="66" t="n"/>
      <c r="Y2804" s="66" t="n"/>
      <c r="Z2804" s="7" t="n"/>
      <c r="AA2804" s="70">
        <f>IF($A2804="","",N(V2804)+N(W2804)+N(X2804)+N(Y2804))</f>
        <v/>
      </c>
      <c r="AB2804" s="70">
        <f>IF($A2804="","",N(S2804)*'Paramètres'!$AA$9*IFERROR(INDEX('Paramètres'!$O$5:$O$7,MATCH(G2804,'Paramètres'!$N$5:$N$7,0)),0))</f>
        <v/>
      </c>
      <c r="AC2804" s="7" t="n"/>
      <c r="AD2804" s="69">
        <f>IF(OR($A2804="",Q2804=""),"",(Q2804-B2804)*24)</f>
        <v/>
      </c>
      <c r="AE2804" s="69">
        <f>IF(OR(Q2804="",R2804=""),"",(R2804-Q2804)*24)</f>
        <v/>
      </c>
      <c r="AF2804" s="77">
        <f>IF(OR($A2804="",B2804=""),"",YEAR(B2804))</f>
        <v/>
      </c>
      <c r="AG2804" s="77">
        <f>IF(OR($A2804="",B2804=""),"",MONTH(B2804))</f>
        <v/>
      </c>
    </row>
    <row r="2805">
      <c r="A2805" s="7" t="n"/>
      <c r="B2805" s="75" t="n"/>
      <c r="C2805" s="7" t="n"/>
      <c r="D2805" s="7" t="n"/>
      <c r="E2805" s="9">
        <f>IF(D2805="","",IFERROR(INDEX('Équipements'!$B$5:$B$304,MATCH(D2805,'Équipements'!$A$5:$A$304,0)),"Code inconnu"))</f>
        <v/>
      </c>
      <c r="F2805" s="9">
        <f>IF(D2805="","",IFERROR(INDEX('Équipements'!$D$5:$D$304,MATCH(D2805,'Équipements'!$A$5:$A$304,0)),""))</f>
        <v/>
      </c>
      <c r="G2805" s="9">
        <f>IF(D2805="","",IFERROR(INDEX('Équipements'!$K$5:$K$304,MATCH(D2805,'Équipements'!$A$5:$A$304,0)),""))</f>
        <v/>
      </c>
      <c r="H2805" s="7" t="n"/>
      <c r="I2805" s="7" t="n"/>
      <c r="J2805" s="7" t="n"/>
      <c r="K2805" s="7" t="n"/>
      <c r="L2805" s="7" t="n"/>
      <c r="M2805" s="7" t="n"/>
      <c r="N2805" s="7" t="n"/>
      <c r="O2805" s="7" t="n"/>
      <c r="P2805" s="65" t="n"/>
      <c r="Q2805" s="75" t="n"/>
      <c r="R2805" s="75" t="n"/>
      <c r="S2805" s="76" t="n"/>
      <c r="T2805" s="76" t="n"/>
      <c r="U2805" s="70">
        <f>IF($A2805="","",IFERROR(INDEX('Techniciens'!$F$5:$F$44,MATCH(O2805,'Techniciens'!$B$5:$B$44,0)),'Paramètres'!$AA$10))</f>
        <v/>
      </c>
      <c r="V2805" s="70">
        <f>IF($A2805="","",IF(OR(AC2805="Demandé",AC2805="Planifié",AC2805="Annulé"),0,N(T2805)*N(U2805)))</f>
        <v/>
      </c>
      <c r="W2805" s="70">
        <f>IF($A2805="","",SUMIFS('Mouvements stock'!$H$5:$H$3004,'Mouvements stock'!$I$5:$I$3004,$A2805,'Mouvements stock'!$C$5:$C$3004,"Sortie")-SUMIFS('Mouvements stock'!$H$5:$H$3004,'Mouvements stock'!$I$5:$I$3004,$A2805,'Mouvements stock'!$C$5:$C$3004,"Retour"))</f>
        <v/>
      </c>
      <c r="X2805" s="66" t="n"/>
      <c r="Y2805" s="66" t="n"/>
      <c r="Z2805" s="7" t="n"/>
      <c r="AA2805" s="70">
        <f>IF($A2805="","",N(V2805)+N(W2805)+N(X2805)+N(Y2805))</f>
        <v/>
      </c>
      <c r="AB2805" s="70">
        <f>IF($A2805="","",N(S2805)*'Paramètres'!$AA$9*IFERROR(INDEX('Paramètres'!$O$5:$O$7,MATCH(G2805,'Paramètres'!$N$5:$N$7,0)),0))</f>
        <v/>
      </c>
      <c r="AC2805" s="7" t="n"/>
      <c r="AD2805" s="69">
        <f>IF(OR($A2805="",Q2805=""),"",(Q2805-B2805)*24)</f>
        <v/>
      </c>
      <c r="AE2805" s="69">
        <f>IF(OR(Q2805="",R2805=""),"",(R2805-Q2805)*24)</f>
        <v/>
      </c>
      <c r="AF2805" s="77">
        <f>IF(OR($A2805="",B2805=""),"",YEAR(B2805))</f>
        <v/>
      </c>
      <c r="AG2805" s="77">
        <f>IF(OR($A2805="",B2805=""),"",MONTH(B2805))</f>
        <v/>
      </c>
    </row>
    <row r="2806">
      <c r="A2806" s="7" t="n"/>
      <c r="B2806" s="75" t="n"/>
      <c r="C2806" s="7" t="n"/>
      <c r="D2806" s="7" t="n"/>
      <c r="E2806" s="9">
        <f>IF(D2806="","",IFERROR(INDEX('Équipements'!$B$5:$B$304,MATCH(D2806,'Équipements'!$A$5:$A$304,0)),"Code inconnu"))</f>
        <v/>
      </c>
      <c r="F2806" s="9">
        <f>IF(D2806="","",IFERROR(INDEX('Équipements'!$D$5:$D$304,MATCH(D2806,'Équipements'!$A$5:$A$304,0)),""))</f>
        <v/>
      </c>
      <c r="G2806" s="9">
        <f>IF(D2806="","",IFERROR(INDEX('Équipements'!$K$5:$K$304,MATCH(D2806,'Équipements'!$A$5:$A$304,0)),""))</f>
        <v/>
      </c>
      <c r="H2806" s="7" t="n"/>
      <c r="I2806" s="7" t="n"/>
      <c r="J2806" s="7" t="n"/>
      <c r="K2806" s="7" t="n"/>
      <c r="L2806" s="7" t="n"/>
      <c r="M2806" s="7" t="n"/>
      <c r="N2806" s="7" t="n"/>
      <c r="O2806" s="7" t="n"/>
      <c r="P2806" s="65" t="n"/>
      <c r="Q2806" s="75" t="n"/>
      <c r="R2806" s="75" t="n"/>
      <c r="S2806" s="76" t="n"/>
      <c r="T2806" s="76" t="n"/>
      <c r="U2806" s="70">
        <f>IF($A2806="","",IFERROR(INDEX('Techniciens'!$F$5:$F$44,MATCH(O2806,'Techniciens'!$B$5:$B$44,0)),'Paramètres'!$AA$10))</f>
        <v/>
      </c>
      <c r="V2806" s="70">
        <f>IF($A2806="","",IF(OR(AC2806="Demandé",AC2806="Planifié",AC2806="Annulé"),0,N(T2806)*N(U2806)))</f>
        <v/>
      </c>
      <c r="W2806" s="70">
        <f>IF($A2806="","",SUMIFS('Mouvements stock'!$H$5:$H$3004,'Mouvements stock'!$I$5:$I$3004,$A2806,'Mouvements stock'!$C$5:$C$3004,"Sortie")-SUMIFS('Mouvements stock'!$H$5:$H$3004,'Mouvements stock'!$I$5:$I$3004,$A2806,'Mouvements stock'!$C$5:$C$3004,"Retour"))</f>
        <v/>
      </c>
      <c r="X2806" s="66" t="n"/>
      <c r="Y2806" s="66" t="n"/>
      <c r="Z2806" s="7" t="n"/>
      <c r="AA2806" s="70">
        <f>IF($A2806="","",N(V2806)+N(W2806)+N(X2806)+N(Y2806))</f>
        <v/>
      </c>
      <c r="AB2806" s="70">
        <f>IF($A2806="","",N(S2806)*'Paramètres'!$AA$9*IFERROR(INDEX('Paramètres'!$O$5:$O$7,MATCH(G2806,'Paramètres'!$N$5:$N$7,0)),0))</f>
        <v/>
      </c>
      <c r="AC2806" s="7" t="n"/>
      <c r="AD2806" s="69">
        <f>IF(OR($A2806="",Q2806=""),"",(Q2806-B2806)*24)</f>
        <v/>
      </c>
      <c r="AE2806" s="69">
        <f>IF(OR(Q2806="",R2806=""),"",(R2806-Q2806)*24)</f>
        <v/>
      </c>
      <c r="AF2806" s="77">
        <f>IF(OR($A2806="",B2806=""),"",YEAR(B2806))</f>
        <v/>
      </c>
      <c r="AG2806" s="77">
        <f>IF(OR($A2806="",B2806=""),"",MONTH(B2806))</f>
        <v/>
      </c>
    </row>
    <row r="2807">
      <c r="A2807" s="7" t="n"/>
      <c r="B2807" s="75" t="n"/>
      <c r="C2807" s="7" t="n"/>
      <c r="D2807" s="7" t="n"/>
      <c r="E2807" s="9">
        <f>IF(D2807="","",IFERROR(INDEX('Équipements'!$B$5:$B$304,MATCH(D2807,'Équipements'!$A$5:$A$304,0)),"Code inconnu"))</f>
        <v/>
      </c>
      <c r="F2807" s="9">
        <f>IF(D2807="","",IFERROR(INDEX('Équipements'!$D$5:$D$304,MATCH(D2807,'Équipements'!$A$5:$A$304,0)),""))</f>
        <v/>
      </c>
      <c r="G2807" s="9">
        <f>IF(D2807="","",IFERROR(INDEX('Équipements'!$K$5:$K$304,MATCH(D2807,'Équipements'!$A$5:$A$304,0)),""))</f>
        <v/>
      </c>
      <c r="H2807" s="7" t="n"/>
      <c r="I2807" s="7" t="n"/>
      <c r="J2807" s="7" t="n"/>
      <c r="K2807" s="7" t="n"/>
      <c r="L2807" s="7" t="n"/>
      <c r="M2807" s="7" t="n"/>
      <c r="N2807" s="7" t="n"/>
      <c r="O2807" s="7" t="n"/>
      <c r="P2807" s="65" t="n"/>
      <c r="Q2807" s="75" t="n"/>
      <c r="R2807" s="75" t="n"/>
      <c r="S2807" s="76" t="n"/>
      <c r="T2807" s="76" t="n"/>
      <c r="U2807" s="70">
        <f>IF($A2807="","",IFERROR(INDEX('Techniciens'!$F$5:$F$44,MATCH(O2807,'Techniciens'!$B$5:$B$44,0)),'Paramètres'!$AA$10))</f>
        <v/>
      </c>
      <c r="V2807" s="70">
        <f>IF($A2807="","",IF(OR(AC2807="Demandé",AC2807="Planifié",AC2807="Annulé"),0,N(T2807)*N(U2807)))</f>
        <v/>
      </c>
      <c r="W2807" s="70">
        <f>IF($A2807="","",SUMIFS('Mouvements stock'!$H$5:$H$3004,'Mouvements stock'!$I$5:$I$3004,$A2807,'Mouvements stock'!$C$5:$C$3004,"Sortie")-SUMIFS('Mouvements stock'!$H$5:$H$3004,'Mouvements stock'!$I$5:$I$3004,$A2807,'Mouvements stock'!$C$5:$C$3004,"Retour"))</f>
        <v/>
      </c>
      <c r="X2807" s="66" t="n"/>
      <c r="Y2807" s="66" t="n"/>
      <c r="Z2807" s="7" t="n"/>
      <c r="AA2807" s="70">
        <f>IF($A2807="","",N(V2807)+N(W2807)+N(X2807)+N(Y2807))</f>
        <v/>
      </c>
      <c r="AB2807" s="70">
        <f>IF($A2807="","",N(S2807)*'Paramètres'!$AA$9*IFERROR(INDEX('Paramètres'!$O$5:$O$7,MATCH(G2807,'Paramètres'!$N$5:$N$7,0)),0))</f>
        <v/>
      </c>
      <c r="AC2807" s="7" t="n"/>
      <c r="AD2807" s="69">
        <f>IF(OR($A2807="",Q2807=""),"",(Q2807-B2807)*24)</f>
        <v/>
      </c>
      <c r="AE2807" s="69">
        <f>IF(OR(Q2807="",R2807=""),"",(R2807-Q2807)*24)</f>
        <v/>
      </c>
      <c r="AF2807" s="77">
        <f>IF(OR($A2807="",B2807=""),"",YEAR(B2807))</f>
        <v/>
      </c>
      <c r="AG2807" s="77">
        <f>IF(OR($A2807="",B2807=""),"",MONTH(B2807))</f>
        <v/>
      </c>
    </row>
    <row r="2808">
      <c r="A2808" s="7" t="n"/>
      <c r="B2808" s="75" t="n"/>
      <c r="C2808" s="7" t="n"/>
      <c r="D2808" s="7" t="n"/>
      <c r="E2808" s="9">
        <f>IF(D2808="","",IFERROR(INDEX('Équipements'!$B$5:$B$304,MATCH(D2808,'Équipements'!$A$5:$A$304,0)),"Code inconnu"))</f>
        <v/>
      </c>
      <c r="F2808" s="9">
        <f>IF(D2808="","",IFERROR(INDEX('Équipements'!$D$5:$D$304,MATCH(D2808,'Équipements'!$A$5:$A$304,0)),""))</f>
        <v/>
      </c>
      <c r="G2808" s="9">
        <f>IF(D2808="","",IFERROR(INDEX('Équipements'!$K$5:$K$304,MATCH(D2808,'Équipements'!$A$5:$A$304,0)),""))</f>
        <v/>
      </c>
      <c r="H2808" s="7" t="n"/>
      <c r="I2808" s="7" t="n"/>
      <c r="J2808" s="7" t="n"/>
      <c r="K2808" s="7" t="n"/>
      <c r="L2808" s="7" t="n"/>
      <c r="M2808" s="7" t="n"/>
      <c r="N2808" s="7" t="n"/>
      <c r="O2808" s="7" t="n"/>
      <c r="P2808" s="65" t="n"/>
      <c r="Q2808" s="75" t="n"/>
      <c r="R2808" s="75" t="n"/>
      <c r="S2808" s="76" t="n"/>
      <c r="T2808" s="76" t="n"/>
      <c r="U2808" s="70">
        <f>IF($A2808="","",IFERROR(INDEX('Techniciens'!$F$5:$F$44,MATCH(O2808,'Techniciens'!$B$5:$B$44,0)),'Paramètres'!$AA$10))</f>
        <v/>
      </c>
      <c r="V2808" s="70">
        <f>IF($A2808="","",IF(OR(AC2808="Demandé",AC2808="Planifié",AC2808="Annulé"),0,N(T2808)*N(U2808)))</f>
        <v/>
      </c>
      <c r="W2808" s="70">
        <f>IF($A2808="","",SUMIFS('Mouvements stock'!$H$5:$H$3004,'Mouvements stock'!$I$5:$I$3004,$A2808,'Mouvements stock'!$C$5:$C$3004,"Sortie")-SUMIFS('Mouvements stock'!$H$5:$H$3004,'Mouvements stock'!$I$5:$I$3004,$A2808,'Mouvements stock'!$C$5:$C$3004,"Retour"))</f>
        <v/>
      </c>
      <c r="X2808" s="66" t="n"/>
      <c r="Y2808" s="66" t="n"/>
      <c r="Z2808" s="7" t="n"/>
      <c r="AA2808" s="70">
        <f>IF($A2808="","",N(V2808)+N(W2808)+N(X2808)+N(Y2808))</f>
        <v/>
      </c>
      <c r="AB2808" s="70">
        <f>IF($A2808="","",N(S2808)*'Paramètres'!$AA$9*IFERROR(INDEX('Paramètres'!$O$5:$O$7,MATCH(G2808,'Paramètres'!$N$5:$N$7,0)),0))</f>
        <v/>
      </c>
      <c r="AC2808" s="7" t="n"/>
      <c r="AD2808" s="69">
        <f>IF(OR($A2808="",Q2808=""),"",(Q2808-B2808)*24)</f>
        <v/>
      </c>
      <c r="AE2808" s="69">
        <f>IF(OR(Q2808="",R2808=""),"",(R2808-Q2808)*24)</f>
        <v/>
      </c>
      <c r="AF2808" s="77">
        <f>IF(OR($A2808="",B2808=""),"",YEAR(B2808))</f>
        <v/>
      </c>
      <c r="AG2808" s="77">
        <f>IF(OR($A2808="",B2808=""),"",MONTH(B2808))</f>
        <v/>
      </c>
    </row>
    <row r="2809">
      <c r="A2809" s="7" t="n"/>
      <c r="B2809" s="75" t="n"/>
      <c r="C2809" s="7" t="n"/>
      <c r="D2809" s="7" t="n"/>
      <c r="E2809" s="9">
        <f>IF(D2809="","",IFERROR(INDEX('Équipements'!$B$5:$B$304,MATCH(D2809,'Équipements'!$A$5:$A$304,0)),"Code inconnu"))</f>
        <v/>
      </c>
      <c r="F2809" s="9">
        <f>IF(D2809="","",IFERROR(INDEX('Équipements'!$D$5:$D$304,MATCH(D2809,'Équipements'!$A$5:$A$304,0)),""))</f>
        <v/>
      </c>
      <c r="G2809" s="9">
        <f>IF(D2809="","",IFERROR(INDEX('Équipements'!$K$5:$K$304,MATCH(D2809,'Équipements'!$A$5:$A$304,0)),""))</f>
        <v/>
      </c>
      <c r="H2809" s="7" t="n"/>
      <c r="I2809" s="7" t="n"/>
      <c r="J2809" s="7" t="n"/>
      <c r="K2809" s="7" t="n"/>
      <c r="L2809" s="7" t="n"/>
      <c r="M2809" s="7" t="n"/>
      <c r="N2809" s="7" t="n"/>
      <c r="O2809" s="7" t="n"/>
      <c r="P2809" s="65" t="n"/>
      <c r="Q2809" s="75" t="n"/>
      <c r="R2809" s="75" t="n"/>
      <c r="S2809" s="76" t="n"/>
      <c r="T2809" s="76" t="n"/>
      <c r="U2809" s="70">
        <f>IF($A2809="","",IFERROR(INDEX('Techniciens'!$F$5:$F$44,MATCH(O2809,'Techniciens'!$B$5:$B$44,0)),'Paramètres'!$AA$10))</f>
        <v/>
      </c>
      <c r="V2809" s="70">
        <f>IF($A2809="","",IF(OR(AC2809="Demandé",AC2809="Planifié",AC2809="Annulé"),0,N(T2809)*N(U2809)))</f>
        <v/>
      </c>
      <c r="W2809" s="70">
        <f>IF($A2809="","",SUMIFS('Mouvements stock'!$H$5:$H$3004,'Mouvements stock'!$I$5:$I$3004,$A2809,'Mouvements stock'!$C$5:$C$3004,"Sortie")-SUMIFS('Mouvements stock'!$H$5:$H$3004,'Mouvements stock'!$I$5:$I$3004,$A2809,'Mouvements stock'!$C$5:$C$3004,"Retour"))</f>
        <v/>
      </c>
      <c r="X2809" s="66" t="n"/>
      <c r="Y2809" s="66" t="n"/>
      <c r="Z2809" s="7" t="n"/>
      <c r="AA2809" s="70">
        <f>IF($A2809="","",N(V2809)+N(W2809)+N(X2809)+N(Y2809))</f>
        <v/>
      </c>
      <c r="AB2809" s="70">
        <f>IF($A2809="","",N(S2809)*'Paramètres'!$AA$9*IFERROR(INDEX('Paramètres'!$O$5:$O$7,MATCH(G2809,'Paramètres'!$N$5:$N$7,0)),0))</f>
        <v/>
      </c>
      <c r="AC2809" s="7" t="n"/>
      <c r="AD2809" s="69">
        <f>IF(OR($A2809="",Q2809=""),"",(Q2809-B2809)*24)</f>
        <v/>
      </c>
      <c r="AE2809" s="69">
        <f>IF(OR(Q2809="",R2809=""),"",(R2809-Q2809)*24)</f>
        <v/>
      </c>
      <c r="AF2809" s="77">
        <f>IF(OR($A2809="",B2809=""),"",YEAR(B2809))</f>
        <v/>
      </c>
      <c r="AG2809" s="77">
        <f>IF(OR($A2809="",B2809=""),"",MONTH(B2809))</f>
        <v/>
      </c>
    </row>
    <row r="2810">
      <c r="A2810" s="7" t="n"/>
      <c r="B2810" s="75" t="n"/>
      <c r="C2810" s="7" t="n"/>
      <c r="D2810" s="7" t="n"/>
      <c r="E2810" s="9">
        <f>IF(D2810="","",IFERROR(INDEX('Équipements'!$B$5:$B$304,MATCH(D2810,'Équipements'!$A$5:$A$304,0)),"Code inconnu"))</f>
        <v/>
      </c>
      <c r="F2810" s="9">
        <f>IF(D2810="","",IFERROR(INDEX('Équipements'!$D$5:$D$304,MATCH(D2810,'Équipements'!$A$5:$A$304,0)),""))</f>
        <v/>
      </c>
      <c r="G2810" s="9">
        <f>IF(D2810="","",IFERROR(INDEX('Équipements'!$K$5:$K$304,MATCH(D2810,'Équipements'!$A$5:$A$304,0)),""))</f>
        <v/>
      </c>
      <c r="H2810" s="7" t="n"/>
      <c r="I2810" s="7" t="n"/>
      <c r="J2810" s="7" t="n"/>
      <c r="K2810" s="7" t="n"/>
      <c r="L2810" s="7" t="n"/>
      <c r="M2810" s="7" t="n"/>
      <c r="N2810" s="7" t="n"/>
      <c r="O2810" s="7" t="n"/>
      <c r="P2810" s="65" t="n"/>
      <c r="Q2810" s="75" t="n"/>
      <c r="R2810" s="75" t="n"/>
      <c r="S2810" s="76" t="n"/>
      <c r="T2810" s="76" t="n"/>
      <c r="U2810" s="70">
        <f>IF($A2810="","",IFERROR(INDEX('Techniciens'!$F$5:$F$44,MATCH(O2810,'Techniciens'!$B$5:$B$44,0)),'Paramètres'!$AA$10))</f>
        <v/>
      </c>
      <c r="V2810" s="70">
        <f>IF($A2810="","",IF(OR(AC2810="Demandé",AC2810="Planifié",AC2810="Annulé"),0,N(T2810)*N(U2810)))</f>
        <v/>
      </c>
      <c r="W2810" s="70">
        <f>IF($A2810="","",SUMIFS('Mouvements stock'!$H$5:$H$3004,'Mouvements stock'!$I$5:$I$3004,$A2810,'Mouvements stock'!$C$5:$C$3004,"Sortie")-SUMIFS('Mouvements stock'!$H$5:$H$3004,'Mouvements stock'!$I$5:$I$3004,$A2810,'Mouvements stock'!$C$5:$C$3004,"Retour"))</f>
        <v/>
      </c>
      <c r="X2810" s="66" t="n"/>
      <c r="Y2810" s="66" t="n"/>
      <c r="Z2810" s="7" t="n"/>
      <c r="AA2810" s="70">
        <f>IF($A2810="","",N(V2810)+N(W2810)+N(X2810)+N(Y2810))</f>
        <v/>
      </c>
      <c r="AB2810" s="70">
        <f>IF($A2810="","",N(S2810)*'Paramètres'!$AA$9*IFERROR(INDEX('Paramètres'!$O$5:$O$7,MATCH(G2810,'Paramètres'!$N$5:$N$7,0)),0))</f>
        <v/>
      </c>
      <c r="AC2810" s="7" t="n"/>
      <c r="AD2810" s="69">
        <f>IF(OR($A2810="",Q2810=""),"",(Q2810-B2810)*24)</f>
        <v/>
      </c>
      <c r="AE2810" s="69">
        <f>IF(OR(Q2810="",R2810=""),"",(R2810-Q2810)*24)</f>
        <v/>
      </c>
      <c r="AF2810" s="77">
        <f>IF(OR($A2810="",B2810=""),"",YEAR(B2810))</f>
        <v/>
      </c>
      <c r="AG2810" s="77">
        <f>IF(OR($A2810="",B2810=""),"",MONTH(B2810))</f>
        <v/>
      </c>
    </row>
    <row r="2811">
      <c r="A2811" s="7" t="n"/>
      <c r="B2811" s="75" t="n"/>
      <c r="C2811" s="7" t="n"/>
      <c r="D2811" s="7" t="n"/>
      <c r="E2811" s="9">
        <f>IF(D2811="","",IFERROR(INDEX('Équipements'!$B$5:$B$304,MATCH(D2811,'Équipements'!$A$5:$A$304,0)),"Code inconnu"))</f>
        <v/>
      </c>
      <c r="F2811" s="9">
        <f>IF(D2811="","",IFERROR(INDEX('Équipements'!$D$5:$D$304,MATCH(D2811,'Équipements'!$A$5:$A$304,0)),""))</f>
        <v/>
      </c>
      <c r="G2811" s="9">
        <f>IF(D2811="","",IFERROR(INDEX('Équipements'!$K$5:$K$304,MATCH(D2811,'Équipements'!$A$5:$A$304,0)),""))</f>
        <v/>
      </c>
      <c r="H2811" s="7" t="n"/>
      <c r="I2811" s="7" t="n"/>
      <c r="J2811" s="7" t="n"/>
      <c r="K2811" s="7" t="n"/>
      <c r="L2811" s="7" t="n"/>
      <c r="M2811" s="7" t="n"/>
      <c r="N2811" s="7" t="n"/>
      <c r="O2811" s="7" t="n"/>
      <c r="P2811" s="65" t="n"/>
      <c r="Q2811" s="75" t="n"/>
      <c r="R2811" s="75" t="n"/>
      <c r="S2811" s="76" t="n"/>
      <c r="T2811" s="76" t="n"/>
      <c r="U2811" s="70">
        <f>IF($A2811="","",IFERROR(INDEX('Techniciens'!$F$5:$F$44,MATCH(O2811,'Techniciens'!$B$5:$B$44,0)),'Paramètres'!$AA$10))</f>
        <v/>
      </c>
      <c r="V2811" s="70">
        <f>IF($A2811="","",IF(OR(AC2811="Demandé",AC2811="Planifié",AC2811="Annulé"),0,N(T2811)*N(U2811)))</f>
        <v/>
      </c>
      <c r="W2811" s="70">
        <f>IF($A2811="","",SUMIFS('Mouvements stock'!$H$5:$H$3004,'Mouvements stock'!$I$5:$I$3004,$A2811,'Mouvements stock'!$C$5:$C$3004,"Sortie")-SUMIFS('Mouvements stock'!$H$5:$H$3004,'Mouvements stock'!$I$5:$I$3004,$A2811,'Mouvements stock'!$C$5:$C$3004,"Retour"))</f>
        <v/>
      </c>
      <c r="X2811" s="66" t="n"/>
      <c r="Y2811" s="66" t="n"/>
      <c r="Z2811" s="7" t="n"/>
      <c r="AA2811" s="70">
        <f>IF($A2811="","",N(V2811)+N(W2811)+N(X2811)+N(Y2811))</f>
        <v/>
      </c>
      <c r="AB2811" s="70">
        <f>IF($A2811="","",N(S2811)*'Paramètres'!$AA$9*IFERROR(INDEX('Paramètres'!$O$5:$O$7,MATCH(G2811,'Paramètres'!$N$5:$N$7,0)),0))</f>
        <v/>
      </c>
      <c r="AC2811" s="7" t="n"/>
      <c r="AD2811" s="69">
        <f>IF(OR($A2811="",Q2811=""),"",(Q2811-B2811)*24)</f>
        <v/>
      </c>
      <c r="AE2811" s="69">
        <f>IF(OR(Q2811="",R2811=""),"",(R2811-Q2811)*24)</f>
        <v/>
      </c>
      <c r="AF2811" s="77">
        <f>IF(OR($A2811="",B2811=""),"",YEAR(B2811))</f>
        <v/>
      </c>
      <c r="AG2811" s="77">
        <f>IF(OR($A2811="",B2811=""),"",MONTH(B2811))</f>
        <v/>
      </c>
    </row>
    <row r="2812">
      <c r="A2812" s="7" t="n"/>
      <c r="B2812" s="75" t="n"/>
      <c r="C2812" s="7" t="n"/>
      <c r="D2812" s="7" t="n"/>
      <c r="E2812" s="9">
        <f>IF(D2812="","",IFERROR(INDEX('Équipements'!$B$5:$B$304,MATCH(D2812,'Équipements'!$A$5:$A$304,0)),"Code inconnu"))</f>
        <v/>
      </c>
      <c r="F2812" s="9">
        <f>IF(D2812="","",IFERROR(INDEX('Équipements'!$D$5:$D$304,MATCH(D2812,'Équipements'!$A$5:$A$304,0)),""))</f>
        <v/>
      </c>
      <c r="G2812" s="9">
        <f>IF(D2812="","",IFERROR(INDEX('Équipements'!$K$5:$K$304,MATCH(D2812,'Équipements'!$A$5:$A$304,0)),""))</f>
        <v/>
      </c>
      <c r="H2812" s="7" t="n"/>
      <c r="I2812" s="7" t="n"/>
      <c r="J2812" s="7" t="n"/>
      <c r="K2812" s="7" t="n"/>
      <c r="L2812" s="7" t="n"/>
      <c r="M2812" s="7" t="n"/>
      <c r="N2812" s="7" t="n"/>
      <c r="O2812" s="7" t="n"/>
      <c r="P2812" s="65" t="n"/>
      <c r="Q2812" s="75" t="n"/>
      <c r="R2812" s="75" t="n"/>
      <c r="S2812" s="76" t="n"/>
      <c r="T2812" s="76" t="n"/>
      <c r="U2812" s="70">
        <f>IF($A2812="","",IFERROR(INDEX('Techniciens'!$F$5:$F$44,MATCH(O2812,'Techniciens'!$B$5:$B$44,0)),'Paramètres'!$AA$10))</f>
        <v/>
      </c>
      <c r="V2812" s="70">
        <f>IF($A2812="","",IF(OR(AC2812="Demandé",AC2812="Planifié",AC2812="Annulé"),0,N(T2812)*N(U2812)))</f>
        <v/>
      </c>
      <c r="W2812" s="70">
        <f>IF($A2812="","",SUMIFS('Mouvements stock'!$H$5:$H$3004,'Mouvements stock'!$I$5:$I$3004,$A2812,'Mouvements stock'!$C$5:$C$3004,"Sortie")-SUMIFS('Mouvements stock'!$H$5:$H$3004,'Mouvements stock'!$I$5:$I$3004,$A2812,'Mouvements stock'!$C$5:$C$3004,"Retour"))</f>
        <v/>
      </c>
      <c r="X2812" s="66" t="n"/>
      <c r="Y2812" s="66" t="n"/>
      <c r="Z2812" s="7" t="n"/>
      <c r="AA2812" s="70">
        <f>IF($A2812="","",N(V2812)+N(W2812)+N(X2812)+N(Y2812))</f>
        <v/>
      </c>
      <c r="AB2812" s="70">
        <f>IF($A2812="","",N(S2812)*'Paramètres'!$AA$9*IFERROR(INDEX('Paramètres'!$O$5:$O$7,MATCH(G2812,'Paramètres'!$N$5:$N$7,0)),0))</f>
        <v/>
      </c>
      <c r="AC2812" s="7" t="n"/>
      <c r="AD2812" s="69">
        <f>IF(OR($A2812="",Q2812=""),"",(Q2812-B2812)*24)</f>
        <v/>
      </c>
      <c r="AE2812" s="69">
        <f>IF(OR(Q2812="",R2812=""),"",(R2812-Q2812)*24)</f>
        <v/>
      </c>
      <c r="AF2812" s="77">
        <f>IF(OR($A2812="",B2812=""),"",YEAR(B2812))</f>
        <v/>
      </c>
      <c r="AG2812" s="77">
        <f>IF(OR($A2812="",B2812=""),"",MONTH(B2812))</f>
        <v/>
      </c>
    </row>
    <row r="2813">
      <c r="A2813" s="7" t="n"/>
      <c r="B2813" s="75" t="n"/>
      <c r="C2813" s="7" t="n"/>
      <c r="D2813" s="7" t="n"/>
      <c r="E2813" s="9">
        <f>IF(D2813="","",IFERROR(INDEX('Équipements'!$B$5:$B$304,MATCH(D2813,'Équipements'!$A$5:$A$304,0)),"Code inconnu"))</f>
        <v/>
      </c>
      <c r="F2813" s="9">
        <f>IF(D2813="","",IFERROR(INDEX('Équipements'!$D$5:$D$304,MATCH(D2813,'Équipements'!$A$5:$A$304,0)),""))</f>
        <v/>
      </c>
      <c r="G2813" s="9">
        <f>IF(D2813="","",IFERROR(INDEX('Équipements'!$K$5:$K$304,MATCH(D2813,'Équipements'!$A$5:$A$304,0)),""))</f>
        <v/>
      </c>
      <c r="H2813" s="7" t="n"/>
      <c r="I2813" s="7" t="n"/>
      <c r="J2813" s="7" t="n"/>
      <c r="K2813" s="7" t="n"/>
      <c r="L2813" s="7" t="n"/>
      <c r="M2813" s="7" t="n"/>
      <c r="N2813" s="7" t="n"/>
      <c r="O2813" s="7" t="n"/>
      <c r="P2813" s="65" t="n"/>
      <c r="Q2813" s="75" t="n"/>
      <c r="R2813" s="75" t="n"/>
      <c r="S2813" s="76" t="n"/>
      <c r="T2813" s="76" t="n"/>
      <c r="U2813" s="70">
        <f>IF($A2813="","",IFERROR(INDEX('Techniciens'!$F$5:$F$44,MATCH(O2813,'Techniciens'!$B$5:$B$44,0)),'Paramètres'!$AA$10))</f>
        <v/>
      </c>
      <c r="V2813" s="70">
        <f>IF($A2813="","",IF(OR(AC2813="Demandé",AC2813="Planifié",AC2813="Annulé"),0,N(T2813)*N(U2813)))</f>
        <v/>
      </c>
      <c r="W2813" s="70">
        <f>IF($A2813="","",SUMIFS('Mouvements stock'!$H$5:$H$3004,'Mouvements stock'!$I$5:$I$3004,$A2813,'Mouvements stock'!$C$5:$C$3004,"Sortie")-SUMIFS('Mouvements stock'!$H$5:$H$3004,'Mouvements stock'!$I$5:$I$3004,$A2813,'Mouvements stock'!$C$5:$C$3004,"Retour"))</f>
        <v/>
      </c>
      <c r="X2813" s="66" t="n"/>
      <c r="Y2813" s="66" t="n"/>
      <c r="Z2813" s="7" t="n"/>
      <c r="AA2813" s="70">
        <f>IF($A2813="","",N(V2813)+N(W2813)+N(X2813)+N(Y2813))</f>
        <v/>
      </c>
      <c r="AB2813" s="70">
        <f>IF($A2813="","",N(S2813)*'Paramètres'!$AA$9*IFERROR(INDEX('Paramètres'!$O$5:$O$7,MATCH(G2813,'Paramètres'!$N$5:$N$7,0)),0))</f>
        <v/>
      </c>
      <c r="AC2813" s="7" t="n"/>
      <c r="AD2813" s="69">
        <f>IF(OR($A2813="",Q2813=""),"",(Q2813-B2813)*24)</f>
        <v/>
      </c>
      <c r="AE2813" s="69">
        <f>IF(OR(Q2813="",R2813=""),"",(R2813-Q2813)*24)</f>
        <v/>
      </c>
      <c r="AF2813" s="77">
        <f>IF(OR($A2813="",B2813=""),"",YEAR(B2813))</f>
        <v/>
      </c>
      <c r="AG2813" s="77">
        <f>IF(OR($A2813="",B2813=""),"",MONTH(B2813))</f>
        <v/>
      </c>
    </row>
    <row r="2814">
      <c r="A2814" s="7" t="n"/>
      <c r="B2814" s="75" t="n"/>
      <c r="C2814" s="7" t="n"/>
      <c r="D2814" s="7" t="n"/>
      <c r="E2814" s="9">
        <f>IF(D2814="","",IFERROR(INDEX('Équipements'!$B$5:$B$304,MATCH(D2814,'Équipements'!$A$5:$A$304,0)),"Code inconnu"))</f>
        <v/>
      </c>
      <c r="F2814" s="9">
        <f>IF(D2814="","",IFERROR(INDEX('Équipements'!$D$5:$D$304,MATCH(D2814,'Équipements'!$A$5:$A$304,0)),""))</f>
        <v/>
      </c>
      <c r="G2814" s="9">
        <f>IF(D2814="","",IFERROR(INDEX('Équipements'!$K$5:$K$304,MATCH(D2814,'Équipements'!$A$5:$A$304,0)),""))</f>
        <v/>
      </c>
      <c r="H2814" s="7" t="n"/>
      <c r="I2814" s="7" t="n"/>
      <c r="J2814" s="7" t="n"/>
      <c r="K2814" s="7" t="n"/>
      <c r="L2814" s="7" t="n"/>
      <c r="M2814" s="7" t="n"/>
      <c r="N2814" s="7" t="n"/>
      <c r="O2814" s="7" t="n"/>
      <c r="P2814" s="65" t="n"/>
      <c r="Q2814" s="75" t="n"/>
      <c r="R2814" s="75" t="n"/>
      <c r="S2814" s="76" t="n"/>
      <c r="T2814" s="76" t="n"/>
      <c r="U2814" s="70">
        <f>IF($A2814="","",IFERROR(INDEX('Techniciens'!$F$5:$F$44,MATCH(O2814,'Techniciens'!$B$5:$B$44,0)),'Paramètres'!$AA$10))</f>
        <v/>
      </c>
      <c r="V2814" s="70">
        <f>IF($A2814="","",IF(OR(AC2814="Demandé",AC2814="Planifié",AC2814="Annulé"),0,N(T2814)*N(U2814)))</f>
        <v/>
      </c>
      <c r="W2814" s="70">
        <f>IF($A2814="","",SUMIFS('Mouvements stock'!$H$5:$H$3004,'Mouvements stock'!$I$5:$I$3004,$A2814,'Mouvements stock'!$C$5:$C$3004,"Sortie")-SUMIFS('Mouvements stock'!$H$5:$H$3004,'Mouvements stock'!$I$5:$I$3004,$A2814,'Mouvements stock'!$C$5:$C$3004,"Retour"))</f>
        <v/>
      </c>
      <c r="X2814" s="66" t="n"/>
      <c r="Y2814" s="66" t="n"/>
      <c r="Z2814" s="7" t="n"/>
      <c r="AA2814" s="70">
        <f>IF($A2814="","",N(V2814)+N(W2814)+N(X2814)+N(Y2814))</f>
        <v/>
      </c>
      <c r="AB2814" s="70">
        <f>IF($A2814="","",N(S2814)*'Paramètres'!$AA$9*IFERROR(INDEX('Paramètres'!$O$5:$O$7,MATCH(G2814,'Paramètres'!$N$5:$N$7,0)),0))</f>
        <v/>
      </c>
      <c r="AC2814" s="7" t="n"/>
      <c r="AD2814" s="69">
        <f>IF(OR($A2814="",Q2814=""),"",(Q2814-B2814)*24)</f>
        <v/>
      </c>
      <c r="AE2814" s="69">
        <f>IF(OR(Q2814="",R2814=""),"",(R2814-Q2814)*24)</f>
        <v/>
      </c>
      <c r="AF2814" s="77">
        <f>IF(OR($A2814="",B2814=""),"",YEAR(B2814))</f>
        <v/>
      </c>
      <c r="AG2814" s="77">
        <f>IF(OR($A2814="",B2814=""),"",MONTH(B2814))</f>
        <v/>
      </c>
    </row>
    <row r="2815">
      <c r="A2815" s="7" t="n"/>
      <c r="B2815" s="75" t="n"/>
      <c r="C2815" s="7" t="n"/>
      <c r="D2815" s="7" t="n"/>
      <c r="E2815" s="9">
        <f>IF(D2815="","",IFERROR(INDEX('Équipements'!$B$5:$B$304,MATCH(D2815,'Équipements'!$A$5:$A$304,0)),"Code inconnu"))</f>
        <v/>
      </c>
      <c r="F2815" s="9">
        <f>IF(D2815="","",IFERROR(INDEX('Équipements'!$D$5:$D$304,MATCH(D2815,'Équipements'!$A$5:$A$304,0)),""))</f>
        <v/>
      </c>
      <c r="G2815" s="9">
        <f>IF(D2815="","",IFERROR(INDEX('Équipements'!$K$5:$K$304,MATCH(D2815,'Équipements'!$A$5:$A$304,0)),""))</f>
        <v/>
      </c>
      <c r="H2815" s="7" t="n"/>
      <c r="I2815" s="7" t="n"/>
      <c r="J2815" s="7" t="n"/>
      <c r="K2815" s="7" t="n"/>
      <c r="L2815" s="7" t="n"/>
      <c r="M2815" s="7" t="n"/>
      <c r="N2815" s="7" t="n"/>
      <c r="O2815" s="7" t="n"/>
      <c r="P2815" s="65" t="n"/>
      <c r="Q2815" s="75" t="n"/>
      <c r="R2815" s="75" t="n"/>
      <c r="S2815" s="76" t="n"/>
      <c r="T2815" s="76" t="n"/>
      <c r="U2815" s="70">
        <f>IF($A2815="","",IFERROR(INDEX('Techniciens'!$F$5:$F$44,MATCH(O2815,'Techniciens'!$B$5:$B$44,0)),'Paramètres'!$AA$10))</f>
        <v/>
      </c>
      <c r="V2815" s="70">
        <f>IF($A2815="","",IF(OR(AC2815="Demandé",AC2815="Planifié",AC2815="Annulé"),0,N(T2815)*N(U2815)))</f>
        <v/>
      </c>
      <c r="W2815" s="70">
        <f>IF($A2815="","",SUMIFS('Mouvements stock'!$H$5:$H$3004,'Mouvements stock'!$I$5:$I$3004,$A2815,'Mouvements stock'!$C$5:$C$3004,"Sortie")-SUMIFS('Mouvements stock'!$H$5:$H$3004,'Mouvements stock'!$I$5:$I$3004,$A2815,'Mouvements stock'!$C$5:$C$3004,"Retour"))</f>
        <v/>
      </c>
      <c r="X2815" s="66" t="n"/>
      <c r="Y2815" s="66" t="n"/>
      <c r="Z2815" s="7" t="n"/>
      <c r="AA2815" s="70">
        <f>IF($A2815="","",N(V2815)+N(W2815)+N(X2815)+N(Y2815))</f>
        <v/>
      </c>
      <c r="AB2815" s="70">
        <f>IF($A2815="","",N(S2815)*'Paramètres'!$AA$9*IFERROR(INDEX('Paramètres'!$O$5:$O$7,MATCH(G2815,'Paramètres'!$N$5:$N$7,0)),0))</f>
        <v/>
      </c>
      <c r="AC2815" s="7" t="n"/>
      <c r="AD2815" s="69">
        <f>IF(OR($A2815="",Q2815=""),"",(Q2815-B2815)*24)</f>
        <v/>
      </c>
      <c r="AE2815" s="69">
        <f>IF(OR(Q2815="",R2815=""),"",(R2815-Q2815)*24)</f>
        <v/>
      </c>
      <c r="AF2815" s="77">
        <f>IF(OR($A2815="",B2815=""),"",YEAR(B2815))</f>
        <v/>
      </c>
      <c r="AG2815" s="77">
        <f>IF(OR($A2815="",B2815=""),"",MONTH(B2815))</f>
        <v/>
      </c>
    </row>
    <row r="2816">
      <c r="A2816" s="7" t="n"/>
      <c r="B2816" s="75" t="n"/>
      <c r="C2816" s="7" t="n"/>
      <c r="D2816" s="7" t="n"/>
      <c r="E2816" s="9">
        <f>IF(D2816="","",IFERROR(INDEX('Équipements'!$B$5:$B$304,MATCH(D2816,'Équipements'!$A$5:$A$304,0)),"Code inconnu"))</f>
        <v/>
      </c>
      <c r="F2816" s="9">
        <f>IF(D2816="","",IFERROR(INDEX('Équipements'!$D$5:$D$304,MATCH(D2816,'Équipements'!$A$5:$A$304,0)),""))</f>
        <v/>
      </c>
      <c r="G2816" s="9">
        <f>IF(D2816="","",IFERROR(INDEX('Équipements'!$K$5:$K$304,MATCH(D2816,'Équipements'!$A$5:$A$304,0)),""))</f>
        <v/>
      </c>
      <c r="H2816" s="7" t="n"/>
      <c r="I2816" s="7" t="n"/>
      <c r="J2816" s="7" t="n"/>
      <c r="K2816" s="7" t="n"/>
      <c r="L2816" s="7" t="n"/>
      <c r="M2816" s="7" t="n"/>
      <c r="N2816" s="7" t="n"/>
      <c r="O2816" s="7" t="n"/>
      <c r="P2816" s="65" t="n"/>
      <c r="Q2816" s="75" t="n"/>
      <c r="R2816" s="75" t="n"/>
      <c r="S2816" s="76" t="n"/>
      <c r="T2816" s="76" t="n"/>
      <c r="U2816" s="70">
        <f>IF($A2816="","",IFERROR(INDEX('Techniciens'!$F$5:$F$44,MATCH(O2816,'Techniciens'!$B$5:$B$44,0)),'Paramètres'!$AA$10))</f>
        <v/>
      </c>
      <c r="V2816" s="70">
        <f>IF($A2816="","",IF(OR(AC2816="Demandé",AC2816="Planifié",AC2816="Annulé"),0,N(T2816)*N(U2816)))</f>
        <v/>
      </c>
      <c r="W2816" s="70">
        <f>IF($A2816="","",SUMIFS('Mouvements stock'!$H$5:$H$3004,'Mouvements stock'!$I$5:$I$3004,$A2816,'Mouvements stock'!$C$5:$C$3004,"Sortie")-SUMIFS('Mouvements stock'!$H$5:$H$3004,'Mouvements stock'!$I$5:$I$3004,$A2816,'Mouvements stock'!$C$5:$C$3004,"Retour"))</f>
        <v/>
      </c>
      <c r="X2816" s="66" t="n"/>
      <c r="Y2816" s="66" t="n"/>
      <c r="Z2816" s="7" t="n"/>
      <c r="AA2816" s="70">
        <f>IF($A2816="","",N(V2816)+N(W2816)+N(X2816)+N(Y2816))</f>
        <v/>
      </c>
      <c r="AB2816" s="70">
        <f>IF($A2816="","",N(S2816)*'Paramètres'!$AA$9*IFERROR(INDEX('Paramètres'!$O$5:$O$7,MATCH(G2816,'Paramètres'!$N$5:$N$7,0)),0))</f>
        <v/>
      </c>
      <c r="AC2816" s="7" t="n"/>
      <c r="AD2816" s="69">
        <f>IF(OR($A2816="",Q2816=""),"",(Q2816-B2816)*24)</f>
        <v/>
      </c>
      <c r="AE2816" s="69">
        <f>IF(OR(Q2816="",R2816=""),"",(R2816-Q2816)*24)</f>
        <v/>
      </c>
      <c r="AF2816" s="77">
        <f>IF(OR($A2816="",B2816=""),"",YEAR(B2816))</f>
        <v/>
      </c>
      <c r="AG2816" s="77">
        <f>IF(OR($A2816="",B2816=""),"",MONTH(B2816))</f>
        <v/>
      </c>
    </row>
    <row r="2817">
      <c r="A2817" s="7" t="n"/>
      <c r="B2817" s="75" t="n"/>
      <c r="C2817" s="7" t="n"/>
      <c r="D2817" s="7" t="n"/>
      <c r="E2817" s="9">
        <f>IF(D2817="","",IFERROR(INDEX('Équipements'!$B$5:$B$304,MATCH(D2817,'Équipements'!$A$5:$A$304,0)),"Code inconnu"))</f>
        <v/>
      </c>
      <c r="F2817" s="9">
        <f>IF(D2817="","",IFERROR(INDEX('Équipements'!$D$5:$D$304,MATCH(D2817,'Équipements'!$A$5:$A$304,0)),""))</f>
        <v/>
      </c>
      <c r="G2817" s="9">
        <f>IF(D2817="","",IFERROR(INDEX('Équipements'!$K$5:$K$304,MATCH(D2817,'Équipements'!$A$5:$A$304,0)),""))</f>
        <v/>
      </c>
      <c r="H2817" s="7" t="n"/>
      <c r="I2817" s="7" t="n"/>
      <c r="J2817" s="7" t="n"/>
      <c r="K2817" s="7" t="n"/>
      <c r="L2817" s="7" t="n"/>
      <c r="M2817" s="7" t="n"/>
      <c r="N2817" s="7" t="n"/>
      <c r="O2817" s="7" t="n"/>
      <c r="P2817" s="65" t="n"/>
      <c r="Q2817" s="75" t="n"/>
      <c r="R2817" s="75" t="n"/>
      <c r="S2817" s="76" t="n"/>
      <c r="T2817" s="76" t="n"/>
      <c r="U2817" s="70">
        <f>IF($A2817="","",IFERROR(INDEX('Techniciens'!$F$5:$F$44,MATCH(O2817,'Techniciens'!$B$5:$B$44,0)),'Paramètres'!$AA$10))</f>
        <v/>
      </c>
      <c r="V2817" s="70">
        <f>IF($A2817="","",IF(OR(AC2817="Demandé",AC2817="Planifié",AC2817="Annulé"),0,N(T2817)*N(U2817)))</f>
        <v/>
      </c>
      <c r="W2817" s="70">
        <f>IF($A2817="","",SUMIFS('Mouvements stock'!$H$5:$H$3004,'Mouvements stock'!$I$5:$I$3004,$A2817,'Mouvements stock'!$C$5:$C$3004,"Sortie")-SUMIFS('Mouvements stock'!$H$5:$H$3004,'Mouvements stock'!$I$5:$I$3004,$A2817,'Mouvements stock'!$C$5:$C$3004,"Retour"))</f>
        <v/>
      </c>
      <c r="X2817" s="66" t="n"/>
      <c r="Y2817" s="66" t="n"/>
      <c r="Z2817" s="7" t="n"/>
      <c r="AA2817" s="70">
        <f>IF($A2817="","",N(V2817)+N(W2817)+N(X2817)+N(Y2817))</f>
        <v/>
      </c>
      <c r="AB2817" s="70">
        <f>IF($A2817="","",N(S2817)*'Paramètres'!$AA$9*IFERROR(INDEX('Paramètres'!$O$5:$O$7,MATCH(G2817,'Paramètres'!$N$5:$N$7,0)),0))</f>
        <v/>
      </c>
      <c r="AC2817" s="7" t="n"/>
      <c r="AD2817" s="69">
        <f>IF(OR($A2817="",Q2817=""),"",(Q2817-B2817)*24)</f>
        <v/>
      </c>
      <c r="AE2817" s="69">
        <f>IF(OR(Q2817="",R2817=""),"",(R2817-Q2817)*24)</f>
        <v/>
      </c>
      <c r="AF2817" s="77">
        <f>IF(OR($A2817="",B2817=""),"",YEAR(B2817))</f>
        <v/>
      </c>
      <c r="AG2817" s="77">
        <f>IF(OR($A2817="",B2817=""),"",MONTH(B2817))</f>
        <v/>
      </c>
    </row>
    <row r="2818">
      <c r="A2818" s="7" t="n"/>
      <c r="B2818" s="75" t="n"/>
      <c r="C2818" s="7" t="n"/>
      <c r="D2818" s="7" t="n"/>
      <c r="E2818" s="9">
        <f>IF(D2818="","",IFERROR(INDEX('Équipements'!$B$5:$B$304,MATCH(D2818,'Équipements'!$A$5:$A$304,0)),"Code inconnu"))</f>
        <v/>
      </c>
      <c r="F2818" s="9">
        <f>IF(D2818="","",IFERROR(INDEX('Équipements'!$D$5:$D$304,MATCH(D2818,'Équipements'!$A$5:$A$304,0)),""))</f>
        <v/>
      </c>
      <c r="G2818" s="9">
        <f>IF(D2818="","",IFERROR(INDEX('Équipements'!$K$5:$K$304,MATCH(D2818,'Équipements'!$A$5:$A$304,0)),""))</f>
        <v/>
      </c>
      <c r="H2818" s="7" t="n"/>
      <c r="I2818" s="7" t="n"/>
      <c r="J2818" s="7" t="n"/>
      <c r="K2818" s="7" t="n"/>
      <c r="L2818" s="7" t="n"/>
      <c r="M2818" s="7" t="n"/>
      <c r="N2818" s="7" t="n"/>
      <c r="O2818" s="7" t="n"/>
      <c r="P2818" s="65" t="n"/>
      <c r="Q2818" s="75" t="n"/>
      <c r="R2818" s="75" t="n"/>
      <c r="S2818" s="76" t="n"/>
      <c r="T2818" s="76" t="n"/>
      <c r="U2818" s="70">
        <f>IF($A2818="","",IFERROR(INDEX('Techniciens'!$F$5:$F$44,MATCH(O2818,'Techniciens'!$B$5:$B$44,0)),'Paramètres'!$AA$10))</f>
        <v/>
      </c>
      <c r="V2818" s="70">
        <f>IF($A2818="","",IF(OR(AC2818="Demandé",AC2818="Planifié",AC2818="Annulé"),0,N(T2818)*N(U2818)))</f>
        <v/>
      </c>
      <c r="W2818" s="70">
        <f>IF($A2818="","",SUMIFS('Mouvements stock'!$H$5:$H$3004,'Mouvements stock'!$I$5:$I$3004,$A2818,'Mouvements stock'!$C$5:$C$3004,"Sortie")-SUMIFS('Mouvements stock'!$H$5:$H$3004,'Mouvements stock'!$I$5:$I$3004,$A2818,'Mouvements stock'!$C$5:$C$3004,"Retour"))</f>
        <v/>
      </c>
      <c r="X2818" s="66" t="n"/>
      <c r="Y2818" s="66" t="n"/>
      <c r="Z2818" s="7" t="n"/>
      <c r="AA2818" s="70">
        <f>IF($A2818="","",N(V2818)+N(W2818)+N(X2818)+N(Y2818))</f>
        <v/>
      </c>
      <c r="AB2818" s="70">
        <f>IF($A2818="","",N(S2818)*'Paramètres'!$AA$9*IFERROR(INDEX('Paramètres'!$O$5:$O$7,MATCH(G2818,'Paramètres'!$N$5:$N$7,0)),0))</f>
        <v/>
      </c>
      <c r="AC2818" s="7" t="n"/>
      <c r="AD2818" s="69">
        <f>IF(OR($A2818="",Q2818=""),"",(Q2818-B2818)*24)</f>
        <v/>
      </c>
      <c r="AE2818" s="69">
        <f>IF(OR(Q2818="",R2818=""),"",(R2818-Q2818)*24)</f>
        <v/>
      </c>
      <c r="AF2818" s="77">
        <f>IF(OR($A2818="",B2818=""),"",YEAR(B2818))</f>
        <v/>
      </c>
      <c r="AG2818" s="77">
        <f>IF(OR($A2818="",B2818=""),"",MONTH(B2818))</f>
        <v/>
      </c>
    </row>
    <row r="2819">
      <c r="A2819" s="7" t="n"/>
      <c r="B2819" s="75" t="n"/>
      <c r="C2819" s="7" t="n"/>
      <c r="D2819" s="7" t="n"/>
      <c r="E2819" s="9">
        <f>IF(D2819="","",IFERROR(INDEX('Équipements'!$B$5:$B$304,MATCH(D2819,'Équipements'!$A$5:$A$304,0)),"Code inconnu"))</f>
        <v/>
      </c>
      <c r="F2819" s="9">
        <f>IF(D2819="","",IFERROR(INDEX('Équipements'!$D$5:$D$304,MATCH(D2819,'Équipements'!$A$5:$A$304,0)),""))</f>
        <v/>
      </c>
      <c r="G2819" s="9">
        <f>IF(D2819="","",IFERROR(INDEX('Équipements'!$K$5:$K$304,MATCH(D2819,'Équipements'!$A$5:$A$304,0)),""))</f>
        <v/>
      </c>
      <c r="H2819" s="7" t="n"/>
      <c r="I2819" s="7" t="n"/>
      <c r="J2819" s="7" t="n"/>
      <c r="K2819" s="7" t="n"/>
      <c r="L2819" s="7" t="n"/>
      <c r="M2819" s="7" t="n"/>
      <c r="N2819" s="7" t="n"/>
      <c r="O2819" s="7" t="n"/>
      <c r="P2819" s="65" t="n"/>
      <c r="Q2819" s="75" t="n"/>
      <c r="R2819" s="75" t="n"/>
      <c r="S2819" s="76" t="n"/>
      <c r="T2819" s="76" t="n"/>
      <c r="U2819" s="70">
        <f>IF($A2819="","",IFERROR(INDEX('Techniciens'!$F$5:$F$44,MATCH(O2819,'Techniciens'!$B$5:$B$44,0)),'Paramètres'!$AA$10))</f>
        <v/>
      </c>
      <c r="V2819" s="70">
        <f>IF($A2819="","",IF(OR(AC2819="Demandé",AC2819="Planifié",AC2819="Annulé"),0,N(T2819)*N(U2819)))</f>
        <v/>
      </c>
      <c r="W2819" s="70">
        <f>IF($A2819="","",SUMIFS('Mouvements stock'!$H$5:$H$3004,'Mouvements stock'!$I$5:$I$3004,$A2819,'Mouvements stock'!$C$5:$C$3004,"Sortie")-SUMIFS('Mouvements stock'!$H$5:$H$3004,'Mouvements stock'!$I$5:$I$3004,$A2819,'Mouvements stock'!$C$5:$C$3004,"Retour"))</f>
        <v/>
      </c>
      <c r="X2819" s="66" t="n"/>
      <c r="Y2819" s="66" t="n"/>
      <c r="Z2819" s="7" t="n"/>
      <c r="AA2819" s="70">
        <f>IF($A2819="","",N(V2819)+N(W2819)+N(X2819)+N(Y2819))</f>
        <v/>
      </c>
      <c r="AB2819" s="70">
        <f>IF($A2819="","",N(S2819)*'Paramètres'!$AA$9*IFERROR(INDEX('Paramètres'!$O$5:$O$7,MATCH(G2819,'Paramètres'!$N$5:$N$7,0)),0))</f>
        <v/>
      </c>
      <c r="AC2819" s="7" t="n"/>
      <c r="AD2819" s="69">
        <f>IF(OR($A2819="",Q2819=""),"",(Q2819-B2819)*24)</f>
        <v/>
      </c>
      <c r="AE2819" s="69">
        <f>IF(OR(Q2819="",R2819=""),"",(R2819-Q2819)*24)</f>
        <v/>
      </c>
      <c r="AF2819" s="77">
        <f>IF(OR($A2819="",B2819=""),"",YEAR(B2819))</f>
        <v/>
      </c>
      <c r="AG2819" s="77">
        <f>IF(OR($A2819="",B2819=""),"",MONTH(B2819))</f>
        <v/>
      </c>
    </row>
    <row r="2820">
      <c r="A2820" s="7" t="n"/>
      <c r="B2820" s="75" t="n"/>
      <c r="C2820" s="7" t="n"/>
      <c r="D2820" s="7" t="n"/>
      <c r="E2820" s="9">
        <f>IF(D2820="","",IFERROR(INDEX('Équipements'!$B$5:$B$304,MATCH(D2820,'Équipements'!$A$5:$A$304,0)),"Code inconnu"))</f>
        <v/>
      </c>
      <c r="F2820" s="9">
        <f>IF(D2820="","",IFERROR(INDEX('Équipements'!$D$5:$D$304,MATCH(D2820,'Équipements'!$A$5:$A$304,0)),""))</f>
        <v/>
      </c>
      <c r="G2820" s="9">
        <f>IF(D2820="","",IFERROR(INDEX('Équipements'!$K$5:$K$304,MATCH(D2820,'Équipements'!$A$5:$A$304,0)),""))</f>
        <v/>
      </c>
      <c r="H2820" s="7" t="n"/>
      <c r="I2820" s="7" t="n"/>
      <c r="J2820" s="7" t="n"/>
      <c r="K2820" s="7" t="n"/>
      <c r="L2820" s="7" t="n"/>
      <c r="M2820" s="7" t="n"/>
      <c r="N2820" s="7" t="n"/>
      <c r="O2820" s="7" t="n"/>
      <c r="P2820" s="65" t="n"/>
      <c r="Q2820" s="75" t="n"/>
      <c r="R2820" s="75" t="n"/>
      <c r="S2820" s="76" t="n"/>
      <c r="T2820" s="76" t="n"/>
      <c r="U2820" s="70">
        <f>IF($A2820="","",IFERROR(INDEX('Techniciens'!$F$5:$F$44,MATCH(O2820,'Techniciens'!$B$5:$B$44,0)),'Paramètres'!$AA$10))</f>
        <v/>
      </c>
      <c r="V2820" s="70">
        <f>IF($A2820="","",IF(OR(AC2820="Demandé",AC2820="Planifié",AC2820="Annulé"),0,N(T2820)*N(U2820)))</f>
        <v/>
      </c>
      <c r="W2820" s="70">
        <f>IF($A2820="","",SUMIFS('Mouvements stock'!$H$5:$H$3004,'Mouvements stock'!$I$5:$I$3004,$A2820,'Mouvements stock'!$C$5:$C$3004,"Sortie")-SUMIFS('Mouvements stock'!$H$5:$H$3004,'Mouvements stock'!$I$5:$I$3004,$A2820,'Mouvements stock'!$C$5:$C$3004,"Retour"))</f>
        <v/>
      </c>
      <c r="X2820" s="66" t="n"/>
      <c r="Y2820" s="66" t="n"/>
      <c r="Z2820" s="7" t="n"/>
      <c r="AA2820" s="70">
        <f>IF($A2820="","",N(V2820)+N(W2820)+N(X2820)+N(Y2820))</f>
        <v/>
      </c>
      <c r="AB2820" s="70">
        <f>IF($A2820="","",N(S2820)*'Paramètres'!$AA$9*IFERROR(INDEX('Paramètres'!$O$5:$O$7,MATCH(G2820,'Paramètres'!$N$5:$N$7,0)),0))</f>
        <v/>
      </c>
      <c r="AC2820" s="7" t="n"/>
      <c r="AD2820" s="69">
        <f>IF(OR($A2820="",Q2820=""),"",(Q2820-B2820)*24)</f>
        <v/>
      </c>
      <c r="AE2820" s="69">
        <f>IF(OR(Q2820="",R2820=""),"",(R2820-Q2820)*24)</f>
        <v/>
      </c>
      <c r="AF2820" s="77">
        <f>IF(OR($A2820="",B2820=""),"",YEAR(B2820))</f>
        <v/>
      </c>
      <c r="AG2820" s="77">
        <f>IF(OR($A2820="",B2820=""),"",MONTH(B2820))</f>
        <v/>
      </c>
    </row>
    <row r="2821">
      <c r="A2821" s="7" t="n"/>
      <c r="B2821" s="75" t="n"/>
      <c r="C2821" s="7" t="n"/>
      <c r="D2821" s="7" t="n"/>
      <c r="E2821" s="9">
        <f>IF(D2821="","",IFERROR(INDEX('Équipements'!$B$5:$B$304,MATCH(D2821,'Équipements'!$A$5:$A$304,0)),"Code inconnu"))</f>
        <v/>
      </c>
      <c r="F2821" s="9">
        <f>IF(D2821="","",IFERROR(INDEX('Équipements'!$D$5:$D$304,MATCH(D2821,'Équipements'!$A$5:$A$304,0)),""))</f>
        <v/>
      </c>
      <c r="G2821" s="9">
        <f>IF(D2821="","",IFERROR(INDEX('Équipements'!$K$5:$K$304,MATCH(D2821,'Équipements'!$A$5:$A$304,0)),""))</f>
        <v/>
      </c>
      <c r="H2821" s="7" t="n"/>
      <c r="I2821" s="7" t="n"/>
      <c r="J2821" s="7" t="n"/>
      <c r="K2821" s="7" t="n"/>
      <c r="L2821" s="7" t="n"/>
      <c r="M2821" s="7" t="n"/>
      <c r="N2821" s="7" t="n"/>
      <c r="O2821" s="7" t="n"/>
      <c r="P2821" s="65" t="n"/>
      <c r="Q2821" s="75" t="n"/>
      <c r="R2821" s="75" t="n"/>
      <c r="S2821" s="76" t="n"/>
      <c r="T2821" s="76" t="n"/>
      <c r="U2821" s="70">
        <f>IF($A2821="","",IFERROR(INDEX('Techniciens'!$F$5:$F$44,MATCH(O2821,'Techniciens'!$B$5:$B$44,0)),'Paramètres'!$AA$10))</f>
        <v/>
      </c>
      <c r="V2821" s="70">
        <f>IF($A2821="","",IF(OR(AC2821="Demandé",AC2821="Planifié",AC2821="Annulé"),0,N(T2821)*N(U2821)))</f>
        <v/>
      </c>
      <c r="W2821" s="70">
        <f>IF($A2821="","",SUMIFS('Mouvements stock'!$H$5:$H$3004,'Mouvements stock'!$I$5:$I$3004,$A2821,'Mouvements stock'!$C$5:$C$3004,"Sortie")-SUMIFS('Mouvements stock'!$H$5:$H$3004,'Mouvements stock'!$I$5:$I$3004,$A2821,'Mouvements stock'!$C$5:$C$3004,"Retour"))</f>
        <v/>
      </c>
      <c r="X2821" s="66" t="n"/>
      <c r="Y2821" s="66" t="n"/>
      <c r="Z2821" s="7" t="n"/>
      <c r="AA2821" s="70">
        <f>IF($A2821="","",N(V2821)+N(W2821)+N(X2821)+N(Y2821))</f>
        <v/>
      </c>
      <c r="AB2821" s="70">
        <f>IF($A2821="","",N(S2821)*'Paramètres'!$AA$9*IFERROR(INDEX('Paramètres'!$O$5:$O$7,MATCH(G2821,'Paramètres'!$N$5:$N$7,0)),0))</f>
        <v/>
      </c>
      <c r="AC2821" s="7" t="n"/>
      <c r="AD2821" s="69">
        <f>IF(OR($A2821="",Q2821=""),"",(Q2821-B2821)*24)</f>
        <v/>
      </c>
      <c r="AE2821" s="69">
        <f>IF(OR(Q2821="",R2821=""),"",(R2821-Q2821)*24)</f>
        <v/>
      </c>
      <c r="AF2821" s="77">
        <f>IF(OR($A2821="",B2821=""),"",YEAR(B2821))</f>
        <v/>
      </c>
      <c r="AG2821" s="77">
        <f>IF(OR($A2821="",B2821=""),"",MONTH(B2821))</f>
        <v/>
      </c>
    </row>
    <row r="2822">
      <c r="A2822" s="7" t="n"/>
      <c r="B2822" s="75" t="n"/>
      <c r="C2822" s="7" t="n"/>
      <c r="D2822" s="7" t="n"/>
      <c r="E2822" s="9">
        <f>IF(D2822="","",IFERROR(INDEX('Équipements'!$B$5:$B$304,MATCH(D2822,'Équipements'!$A$5:$A$304,0)),"Code inconnu"))</f>
        <v/>
      </c>
      <c r="F2822" s="9">
        <f>IF(D2822="","",IFERROR(INDEX('Équipements'!$D$5:$D$304,MATCH(D2822,'Équipements'!$A$5:$A$304,0)),""))</f>
        <v/>
      </c>
      <c r="G2822" s="9">
        <f>IF(D2822="","",IFERROR(INDEX('Équipements'!$K$5:$K$304,MATCH(D2822,'Équipements'!$A$5:$A$304,0)),""))</f>
        <v/>
      </c>
      <c r="H2822" s="7" t="n"/>
      <c r="I2822" s="7" t="n"/>
      <c r="J2822" s="7" t="n"/>
      <c r="K2822" s="7" t="n"/>
      <c r="L2822" s="7" t="n"/>
      <c r="M2822" s="7" t="n"/>
      <c r="N2822" s="7" t="n"/>
      <c r="O2822" s="7" t="n"/>
      <c r="P2822" s="65" t="n"/>
      <c r="Q2822" s="75" t="n"/>
      <c r="R2822" s="75" t="n"/>
      <c r="S2822" s="76" t="n"/>
      <c r="T2822" s="76" t="n"/>
      <c r="U2822" s="70">
        <f>IF($A2822="","",IFERROR(INDEX('Techniciens'!$F$5:$F$44,MATCH(O2822,'Techniciens'!$B$5:$B$44,0)),'Paramètres'!$AA$10))</f>
        <v/>
      </c>
      <c r="V2822" s="70">
        <f>IF($A2822="","",IF(OR(AC2822="Demandé",AC2822="Planifié",AC2822="Annulé"),0,N(T2822)*N(U2822)))</f>
        <v/>
      </c>
      <c r="W2822" s="70">
        <f>IF($A2822="","",SUMIFS('Mouvements stock'!$H$5:$H$3004,'Mouvements stock'!$I$5:$I$3004,$A2822,'Mouvements stock'!$C$5:$C$3004,"Sortie")-SUMIFS('Mouvements stock'!$H$5:$H$3004,'Mouvements stock'!$I$5:$I$3004,$A2822,'Mouvements stock'!$C$5:$C$3004,"Retour"))</f>
        <v/>
      </c>
      <c r="X2822" s="66" t="n"/>
      <c r="Y2822" s="66" t="n"/>
      <c r="Z2822" s="7" t="n"/>
      <c r="AA2822" s="70">
        <f>IF($A2822="","",N(V2822)+N(W2822)+N(X2822)+N(Y2822))</f>
        <v/>
      </c>
      <c r="AB2822" s="70">
        <f>IF($A2822="","",N(S2822)*'Paramètres'!$AA$9*IFERROR(INDEX('Paramètres'!$O$5:$O$7,MATCH(G2822,'Paramètres'!$N$5:$N$7,0)),0))</f>
        <v/>
      </c>
      <c r="AC2822" s="7" t="n"/>
      <c r="AD2822" s="69">
        <f>IF(OR($A2822="",Q2822=""),"",(Q2822-B2822)*24)</f>
        <v/>
      </c>
      <c r="AE2822" s="69">
        <f>IF(OR(Q2822="",R2822=""),"",(R2822-Q2822)*24)</f>
        <v/>
      </c>
      <c r="AF2822" s="77">
        <f>IF(OR($A2822="",B2822=""),"",YEAR(B2822))</f>
        <v/>
      </c>
      <c r="AG2822" s="77">
        <f>IF(OR($A2822="",B2822=""),"",MONTH(B2822))</f>
        <v/>
      </c>
    </row>
    <row r="2823">
      <c r="A2823" s="7" t="n"/>
      <c r="B2823" s="75" t="n"/>
      <c r="C2823" s="7" t="n"/>
      <c r="D2823" s="7" t="n"/>
      <c r="E2823" s="9">
        <f>IF(D2823="","",IFERROR(INDEX('Équipements'!$B$5:$B$304,MATCH(D2823,'Équipements'!$A$5:$A$304,0)),"Code inconnu"))</f>
        <v/>
      </c>
      <c r="F2823" s="9">
        <f>IF(D2823="","",IFERROR(INDEX('Équipements'!$D$5:$D$304,MATCH(D2823,'Équipements'!$A$5:$A$304,0)),""))</f>
        <v/>
      </c>
      <c r="G2823" s="9">
        <f>IF(D2823="","",IFERROR(INDEX('Équipements'!$K$5:$K$304,MATCH(D2823,'Équipements'!$A$5:$A$304,0)),""))</f>
        <v/>
      </c>
      <c r="H2823" s="7" t="n"/>
      <c r="I2823" s="7" t="n"/>
      <c r="J2823" s="7" t="n"/>
      <c r="K2823" s="7" t="n"/>
      <c r="L2823" s="7" t="n"/>
      <c r="M2823" s="7" t="n"/>
      <c r="N2823" s="7" t="n"/>
      <c r="O2823" s="7" t="n"/>
      <c r="P2823" s="65" t="n"/>
      <c r="Q2823" s="75" t="n"/>
      <c r="R2823" s="75" t="n"/>
      <c r="S2823" s="76" t="n"/>
      <c r="T2823" s="76" t="n"/>
      <c r="U2823" s="70">
        <f>IF($A2823="","",IFERROR(INDEX('Techniciens'!$F$5:$F$44,MATCH(O2823,'Techniciens'!$B$5:$B$44,0)),'Paramètres'!$AA$10))</f>
        <v/>
      </c>
      <c r="V2823" s="70">
        <f>IF($A2823="","",IF(OR(AC2823="Demandé",AC2823="Planifié",AC2823="Annulé"),0,N(T2823)*N(U2823)))</f>
        <v/>
      </c>
      <c r="W2823" s="70">
        <f>IF($A2823="","",SUMIFS('Mouvements stock'!$H$5:$H$3004,'Mouvements stock'!$I$5:$I$3004,$A2823,'Mouvements stock'!$C$5:$C$3004,"Sortie")-SUMIFS('Mouvements stock'!$H$5:$H$3004,'Mouvements stock'!$I$5:$I$3004,$A2823,'Mouvements stock'!$C$5:$C$3004,"Retour"))</f>
        <v/>
      </c>
      <c r="X2823" s="66" t="n"/>
      <c r="Y2823" s="66" t="n"/>
      <c r="Z2823" s="7" t="n"/>
      <c r="AA2823" s="70">
        <f>IF($A2823="","",N(V2823)+N(W2823)+N(X2823)+N(Y2823))</f>
        <v/>
      </c>
      <c r="AB2823" s="70">
        <f>IF($A2823="","",N(S2823)*'Paramètres'!$AA$9*IFERROR(INDEX('Paramètres'!$O$5:$O$7,MATCH(G2823,'Paramètres'!$N$5:$N$7,0)),0))</f>
        <v/>
      </c>
      <c r="AC2823" s="7" t="n"/>
      <c r="AD2823" s="69">
        <f>IF(OR($A2823="",Q2823=""),"",(Q2823-B2823)*24)</f>
        <v/>
      </c>
      <c r="AE2823" s="69">
        <f>IF(OR(Q2823="",R2823=""),"",(R2823-Q2823)*24)</f>
        <v/>
      </c>
      <c r="AF2823" s="77">
        <f>IF(OR($A2823="",B2823=""),"",YEAR(B2823))</f>
        <v/>
      </c>
      <c r="AG2823" s="77">
        <f>IF(OR($A2823="",B2823=""),"",MONTH(B2823))</f>
        <v/>
      </c>
    </row>
    <row r="2824">
      <c r="A2824" s="7" t="n"/>
      <c r="B2824" s="75" t="n"/>
      <c r="C2824" s="7" t="n"/>
      <c r="D2824" s="7" t="n"/>
      <c r="E2824" s="9">
        <f>IF(D2824="","",IFERROR(INDEX('Équipements'!$B$5:$B$304,MATCH(D2824,'Équipements'!$A$5:$A$304,0)),"Code inconnu"))</f>
        <v/>
      </c>
      <c r="F2824" s="9">
        <f>IF(D2824="","",IFERROR(INDEX('Équipements'!$D$5:$D$304,MATCH(D2824,'Équipements'!$A$5:$A$304,0)),""))</f>
        <v/>
      </c>
      <c r="G2824" s="9">
        <f>IF(D2824="","",IFERROR(INDEX('Équipements'!$K$5:$K$304,MATCH(D2824,'Équipements'!$A$5:$A$304,0)),""))</f>
        <v/>
      </c>
      <c r="H2824" s="7" t="n"/>
      <c r="I2824" s="7" t="n"/>
      <c r="J2824" s="7" t="n"/>
      <c r="K2824" s="7" t="n"/>
      <c r="L2824" s="7" t="n"/>
      <c r="M2824" s="7" t="n"/>
      <c r="N2824" s="7" t="n"/>
      <c r="O2824" s="7" t="n"/>
      <c r="P2824" s="65" t="n"/>
      <c r="Q2824" s="75" t="n"/>
      <c r="R2824" s="75" t="n"/>
      <c r="S2824" s="76" t="n"/>
      <c r="T2824" s="76" t="n"/>
      <c r="U2824" s="70">
        <f>IF($A2824="","",IFERROR(INDEX('Techniciens'!$F$5:$F$44,MATCH(O2824,'Techniciens'!$B$5:$B$44,0)),'Paramètres'!$AA$10))</f>
        <v/>
      </c>
      <c r="V2824" s="70">
        <f>IF($A2824="","",IF(OR(AC2824="Demandé",AC2824="Planifié",AC2824="Annulé"),0,N(T2824)*N(U2824)))</f>
        <v/>
      </c>
      <c r="W2824" s="70">
        <f>IF($A2824="","",SUMIFS('Mouvements stock'!$H$5:$H$3004,'Mouvements stock'!$I$5:$I$3004,$A2824,'Mouvements stock'!$C$5:$C$3004,"Sortie")-SUMIFS('Mouvements stock'!$H$5:$H$3004,'Mouvements stock'!$I$5:$I$3004,$A2824,'Mouvements stock'!$C$5:$C$3004,"Retour"))</f>
        <v/>
      </c>
      <c r="X2824" s="66" t="n"/>
      <c r="Y2824" s="66" t="n"/>
      <c r="Z2824" s="7" t="n"/>
      <c r="AA2824" s="70">
        <f>IF($A2824="","",N(V2824)+N(W2824)+N(X2824)+N(Y2824))</f>
        <v/>
      </c>
      <c r="AB2824" s="70">
        <f>IF($A2824="","",N(S2824)*'Paramètres'!$AA$9*IFERROR(INDEX('Paramètres'!$O$5:$O$7,MATCH(G2824,'Paramètres'!$N$5:$N$7,0)),0))</f>
        <v/>
      </c>
      <c r="AC2824" s="7" t="n"/>
      <c r="AD2824" s="69">
        <f>IF(OR($A2824="",Q2824=""),"",(Q2824-B2824)*24)</f>
        <v/>
      </c>
      <c r="AE2824" s="69">
        <f>IF(OR(Q2824="",R2824=""),"",(R2824-Q2824)*24)</f>
        <v/>
      </c>
      <c r="AF2824" s="77">
        <f>IF(OR($A2824="",B2824=""),"",YEAR(B2824))</f>
        <v/>
      </c>
      <c r="AG2824" s="77">
        <f>IF(OR($A2824="",B2824=""),"",MONTH(B2824))</f>
        <v/>
      </c>
    </row>
    <row r="2825">
      <c r="A2825" s="7" t="n"/>
      <c r="B2825" s="75" t="n"/>
      <c r="C2825" s="7" t="n"/>
      <c r="D2825" s="7" t="n"/>
      <c r="E2825" s="9">
        <f>IF(D2825="","",IFERROR(INDEX('Équipements'!$B$5:$B$304,MATCH(D2825,'Équipements'!$A$5:$A$304,0)),"Code inconnu"))</f>
        <v/>
      </c>
      <c r="F2825" s="9">
        <f>IF(D2825="","",IFERROR(INDEX('Équipements'!$D$5:$D$304,MATCH(D2825,'Équipements'!$A$5:$A$304,0)),""))</f>
        <v/>
      </c>
      <c r="G2825" s="9">
        <f>IF(D2825="","",IFERROR(INDEX('Équipements'!$K$5:$K$304,MATCH(D2825,'Équipements'!$A$5:$A$304,0)),""))</f>
        <v/>
      </c>
      <c r="H2825" s="7" t="n"/>
      <c r="I2825" s="7" t="n"/>
      <c r="J2825" s="7" t="n"/>
      <c r="K2825" s="7" t="n"/>
      <c r="L2825" s="7" t="n"/>
      <c r="M2825" s="7" t="n"/>
      <c r="N2825" s="7" t="n"/>
      <c r="O2825" s="7" t="n"/>
      <c r="P2825" s="65" t="n"/>
      <c r="Q2825" s="75" t="n"/>
      <c r="R2825" s="75" t="n"/>
      <c r="S2825" s="76" t="n"/>
      <c r="T2825" s="76" t="n"/>
      <c r="U2825" s="70">
        <f>IF($A2825="","",IFERROR(INDEX('Techniciens'!$F$5:$F$44,MATCH(O2825,'Techniciens'!$B$5:$B$44,0)),'Paramètres'!$AA$10))</f>
        <v/>
      </c>
      <c r="V2825" s="70">
        <f>IF($A2825="","",IF(OR(AC2825="Demandé",AC2825="Planifié",AC2825="Annulé"),0,N(T2825)*N(U2825)))</f>
        <v/>
      </c>
      <c r="W2825" s="70">
        <f>IF($A2825="","",SUMIFS('Mouvements stock'!$H$5:$H$3004,'Mouvements stock'!$I$5:$I$3004,$A2825,'Mouvements stock'!$C$5:$C$3004,"Sortie")-SUMIFS('Mouvements stock'!$H$5:$H$3004,'Mouvements stock'!$I$5:$I$3004,$A2825,'Mouvements stock'!$C$5:$C$3004,"Retour"))</f>
        <v/>
      </c>
      <c r="X2825" s="66" t="n"/>
      <c r="Y2825" s="66" t="n"/>
      <c r="Z2825" s="7" t="n"/>
      <c r="AA2825" s="70">
        <f>IF($A2825="","",N(V2825)+N(W2825)+N(X2825)+N(Y2825))</f>
        <v/>
      </c>
      <c r="AB2825" s="70">
        <f>IF($A2825="","",N(S2825)*'Paramètres'!$AA$9*IFERROR(INDEX('Paramètres'!$O$5:$O$7,MATCH(G2825,'Paramètres'!$N$5:$N$7,0)),0))</f>
        <v/>
      </c>
      <c r="AC2825" s="7" t="n"/>
      <c r="AD2825" s="69">
        <f>IF(OR($A2825="",Q2825=""),"",(Q2825-B2825)*24)</f>
        <v/>
      </c>
      <c r="AE2825" s="69">
        <f>IF(OR(Q2825="",R2825=""),"",(R2825-Q2825)*24)</f>
        <v/>
      </c>
      <c r="AF2825" s="77">
        <f>IF(OR($A2825="",B2825=""),"",YEAR(B2825))</f>
        <v/>
      </c>
      <c r="AG2825" s="77">
        <f>IF(OR($A2825="",B2825=""),"",MONTH(B2825))</f>
        <v/>
      </c>
    </row>
    <row r="2826">
      <c r="A2826" s="7" t="n"/>
      <c r="B2826" s="75" t="n"/>
      <c r="C2826" s="7" t="n"/>
      <c r="D2826" s="7" t="n"/>
      <c r="E2826" s="9">
        <f>IF(D2826="","",IFERROR(INDEX('Équipements'!$B$5:$B$304,MATCH(D2826,'Équipements'!$A$5:$A$304,0)),"Code inconnu"))</f>
        <v/>
      </c>
      <c r="F2826" s="9">
        <f>IF(D2826="","",IFERROR(INDEX('Équipements'!$D$5:$D$304,MATCH(D2826,'Équipements'!$A$5:$A$304,0)),""))</f>
        <v/>
      </c>
      <c r="G2826" s="9">
        <f>IF(D2826="","",IFERROR(INDEX('Équipements'!$K$5:$K$304,MATCH(D2826,'Équipements'!$A$5:$A$304,0)),""))</f>
        <v/>
      </c>
      <c r="H2826" s="7" t="n"/>
      <c r="I2826" s="7" t="n"/>
      <c r="J2826" s="7" t="n"/>
      <c r="K2826" s="7" t="n"/>
      <c r="L2826" s="7" t="n"/>
      <c r="M2826" s="7" t="n"/>
      <c r="N2826" s="7" t="n"/>
      <c r="O2826" s="7" t="n"/>
      <c r="P2826" s="65" t="n"/>
      <c r="Q2826" s="75" t="n"/>
      <c r="R2826" s="75" t="n"/>
      <c r="S2826" s="76" t="n"/>
      <c r="T2826" s="76" t="n"/>
      <c r="U2826" s="70">
        <f>IF($A2826="","",IFERROR(INDEX('Techniciens'!$F$5:$F$44,MATCH(O2826,'Techniciens'!$B$5:$B$44,0)),'Paramètres'!$AA$10))</f>
        <v/>
      </c>
      <c r="V2826" s="70">
        <f>IF($A2826="","",IF(OR(AC2826="Demandé",AC2826="Planifié",AC2826="Annulé"),0,N(T2826)*N(U2826)))</f>
        <v/>
      </c>
      <c r="W2826" s="70">
        <f>IF($A2826="","",SUMIFS('Mouvements stock'!$H$5:$H$3004,'Mouvements stock'!$I$5:$I$3004,$A2826,'Mouvements stock'!$C$5:$C$3004,"Sortie")-SUMIFS('Mouvements stock'!$H$5:$H$3004,'Mouvements stock'!$I$5:$I$3004,$A2826,'Mouvements stock'!$C$5:$C$3004,"Retour"))</f>
        <v/>
      </c>
      <c r="X2826" s="66" t="n"/>
      <c r="Y2826" s="66" t="n"/>
      <c r="Z2826" s="7" t="n"/>
      <c r="AA2826" s="70">
        <f>IF($A2826="","",N(V2826)+N(W2826)+N(X2826)+N(Y2826))</f>
        <v/>
      </c>
      <c r="AB2826" s="70">
        <f>IF($A2826="","",N(S2826)*'Paramètres'!$AA$9*IFERROR(INDEX('Paramètres'!$O$5:$O$7,MATCH(G2826,'Paramètres'!$N$5:$N$7,0)),0))</f>
        <v/>
      </c>
      <c r="AC2826" s="7" t="n"/>
      <c r="AD2826" s="69">
        <f>IF(OR($A2826="",Q2826=""),"",(Q2826-B2826)*24)</f>
        <v/>
      </c>
      <c r="AE2826" s="69">
        <f>IF(OR(Q2826="",R2826=""),"",(R2826-Q2826)*24)</f>
        <v/>
      </c>
      <c r="AF2826" s="77">
        <f>IF(OR($A2826="",B2826=""),"",YEAR(B2826))</f>
        <v/>
      </c>
      <c r="AG2826" s="77">
        <f>IF(OR($A2826="",B2826=""),"",MONTH(B2826))</f>
        <v/>
      </c>
    </row>
    <row r="2827">
      <c r="A2827" s="7" t="n"/>
      <c r="B2827" s="75" t="n"/>
      <c r="C2827" s="7" t="n"/>
      <c r="D2827" s="7" t="n"/>
      <c r="E2827" s="9">
        <f>IF(D2827="","",IFERROR(INDEX('Équipements'!$B$5:$B$304,MATCH(D2827,'Équipements'!$A$5:$A$304,0)),"Code inconnu"))</f>
        <v/>
      </c>
      <c r="F2827" s="9">
        <f>IF(D2827="","",IFERROR(INDEX('Équipements'!$D$5:$D$304,MATCH(D2827,'Équipements'!$A$5:$A$304,0)),""))</f>
        <v/>
      </c>
      <c r="G2827" s="9">
        <f>IF(D2827="","",IFERROR(INDEX('Équipements'!$K$5:$K$304,MATCH(D2827,'Équipements'!$A$5:$A$304,0)),""))</f>
        <v/>
      </c>
      <c r="H2827" s="7" t="n"/>
      <c r="I2827" s="7" t="n"/>
      <c r="J2827" s="7" t="n"/>
      <c r="K2827" s="7" t="n"/>
      <c r="L2827" s="7" t="n"/>
      <c r="M2827" s="7" t="n"/>
      <c r="N2827" s="7" t="n"/>
      <c r="O2827" s="7" t="n"/>
      <c r="P2827" s="65" t="n"/>
      <c r="Q2827" s="75" t="n"/>
      <c r="R2827" s="75" t="n"/>
      <c r="S2827" s="76" t="n"/>
      <c r="T2827" s="76" t="n"/>
      <c r="U2827" s="70">
        <f>IF($A2827="","",IFERROR(INDEX('Techniciens'!$F$5:$F$44,MATCH(O2827,'Techniciens'!$B$5:$B$44,0)),'Paramètres'!$AA$10))</f>
        <v/>
      </c>
      <c r="V2827" s="70">
        <f>IF($A2827="","",IF(OR(AC2827="Demandé",AC2827="Planifié",AC2827="Annulé"),0,N(T2827)*N(U2827)))</f>
        <v/>
      </c>
      <c r="W2827" s="70">
        <f>IF($A2827="","",SUMIFS('Mouvements stock'!$H$5:$H$3004,'Mouvements stock'!$I$5:$I$3004,$A2827,'Mouvements stock'!$C$5:$C$3004,"Sortie")-SUMIFS('Mouvements stock'!$H$5:$H$3004,'Mouvements stock'!$I$5:$I$3004,$A2827,'Mouvements stock'!$C$5:$C$3004,"Retour"))</f>
        <v/>
      </c>
      <c r="X2827" s="66" t="n"/>
      <c r="Y2827" s="66" t="n"/>
      <c r="Z2827" s="7" t="n"/>
      <c r="AA2827" s="70">
        <f>IF($A2827="","",N(V2827)+N(W2827)+N(X2827)+N(Y2827))</f>
        <v/>
      </c>
      <c r="AB2827" s="70">
        <f>IF($A2827="","",N(S2827)*'Paramètres'!$AA$9*IFERROR(INDEX('Paramètres'!$O$5:$O$7,MATCH(G2827,'Paramètres'!$N$5:$N$7,0)),0))</f>
        <v/>
      </c>
      <c r="AC2827" s="7" t="n"/>
      <c r="AD2827" s="69">
        <f>IF(OR($A2827="",Q2827=""),"",(Q2827-B2827)*24)</f>
        <v/>
      </c>
      <c r="AE2827" s="69">
        <f>IF(OR(Q2827="",R2827=""),"",(R2827-Q2827)*24)</f>
        <v/>
      </c>
      <c r="AF2827" s="77">
        <f>IF(OR($A2827="",B2827=""),"",YEAR(B2827))</f>
        <v/>
      </c>
      <c r="AG2827" s="77">
        <f>IF(OR($A2827="",B2827=""),"",MONTH(B2827))</f>
        <v/>
      </c>
    </row>
    <row r="2828">
      <c r="A2828" s="7" t="n"/>
      <c r="B2828" s="75" t="n"/>
      <c r="C2828" s="7" t="n"/>
      <c r="D2828" s="7" t="n"/>
      <c r="E2828" s="9">
        <f>IF(D2828="","",IFERROR(INDEX('Équipements'!$B$5:$B$304,MATCH(D2828,'Équipements'!$A$5:$A$304,0)),"Code inconnu"))</f>
        <v/>
      </c>
      <c r="F2828" s="9">
        <f>IF(D2828="","",IFERROR(INDEX('Équipements'!$D$5:$D$304,MATCH(D2828,'Équipements'!$A$5:$A$304,0)),""))</f>
        <v/>
      </c>
      <c r="G2828" s="9">
        <f>IF(D2828="","",IFERROR(INDEX('Équipements'!$K$5:$K$304,MATCH(D2828,'Équipements'!$A$5:$A$304,0)),""))</f>
        <v/>
      </c>
      <c r="H2828" s="7" t="n"/>
      <c r="I2828" s="7" t="n"/>
      <c r="J2828" s="7" t="n"/>
      <c r="K2828" s="7" t="n"/>
      <c r="L2828" s="7" t="n"/>
      <c r="M2828" s="7" t="n"/>
      <c r="N2828" s="7" t="n"/>
      <c r="O2828" s="7" t="n"/>
      <c r="P2828" s="65" t="n"/>
      <c r="Q2828" s="75" t="n"/>
      <c r="R2828" s="75" t="n"/>
      <c r="S2828" s="76" t="n"/>
      <c r="T2828" s="76" t="n"/>
      <c r="U2828" s="70">
        <f>IF($A2828="","",IFERROR(INDEX('Techniciens'!$F$5:$F$44,MATCH(O2828,'Techniciens'!$B$5:$B$44,0)),'Paramètres'!$AA$10))</f>
        <v/>
      </c>
      <c r="V2828" s="70">
        <f>IF($A2828="","",IF(OR(AC2828="Demandé",AC2828="Planifié",AC2828="Annulé"),0,N(T2828)*N(U2828)))</f>
        <v/>
      </c>
      <c r="W2828" s="70">
        <f>IF($A2828="","",SUMIFS('Mouvements stock'!$H$5:$H$3004,'Mouvements stock'!$I$5:$I$3004,$A2828,'Mouvements stock'!$C$5:$C$3004,"Sortie")-SUMIFS('Mouvements stock'!$H$5:$H$3004,'Mouvements stock'!$I$5:$I$3004,$A2828,'Mouvements stock'!$C$5:$C$3004,"Retour"))</f>
        <v/>
      </c>
      <c r="X2828" s="66" t="n"/>
      <c r="Y2828" s="66" t="n"/>
      <c r="Z2828" s="7" t="n"/>
      <c r="AA2828" s="70">
        <f>IF($A2828="","",N(V2828)+N(W2828)+N(X2828)+N(Y2828))</f>
        <v/>
      </c>
      <c r="AB2828" s="70">
        <f>IF($A2828="","",N(S2828)*'Paramètres'!$AA$9*IFERROR(INDEX('Paramètres'!$O$5:$O$7,MATCH(G2828,'Paramètres'!$N$5:$N$7,0)),0))</f>
        <v/>
      </c>
      <c r="AC2828" s="7" t="n"/>
      <c r="AD2828" s="69">
        <f>IF(OR($A2828="",Q2828=""),"",(Q2828-B2828)*24)</f>
        <v/>
      </c>
      <c r="AE2828" s="69">
        <f>IF(OR(Q2828="",R2828=""),"",(R2828-Q2828)*24)</f>
        <v/>
      </c>
      <c r="AF2828" s="77">
        <f>IF(OR($A2828="",B2828=""),"",YEAR(B2828))</f>
        <v/>
      </c>
      <c r="AG2828" s="77">
        <f>IF(OR($A2828="",B2828=""),"",MONTH(B2828))</f>
        <v/>
      </c>
    </row>
    <row r="2829">
      <c r="A2829" s="7" t="n"/>
      <c r="B2829" s="75" t="n"/>
      <c r="C2829" s="7" t="n"/>
      <c r="D2829" s="7" t="n"/>
      <c r="E2829" s="9">
        <f>IF(D2829="","",IFERROR(INDEX('Équipements'!$B$5:$B$304,MATCH(D2829,'Équipements'!$A$5:$A$304,0)),"Code inconnu"))</f>
        <v/>
      </c>
      <c r="F2829" s="9">
        <f>IF(D2829="","",IFERROR(INDEX('Équipements'!$D$5:$D$304,MATCH(D2829,'Équipements'!$A$5:$A$304,0)),""))</f>
        <v/>
      </c>
      <c r="G2829" s="9">
        <f>IF(D2829="","",IFERROR(INDEX('Équipements'!$K$5:$K$304,MATCH(D2829,'Équipements'!$A$5:$A$304,0)),""))</f>
        <v/>
      </c>
      <c r="H2829" s="7" t="n"/>
      <c r="I2829" s="7" t="n"/>
      <c r="J2829" s="7" t="n"/>
      <c r="K2829" s="7" t="n"/>
      <c r="L2829" s="7" t="n"/>
      <c r="M2829" s="7" t="n"/>
      <c r="N2829" s="7" t="n"/>
      <c r="O2829" s="7" t="n"/>
      <c r="P2829" s="65" t="n"/>
      <c r="Q2829" s="75" t="n"/>
      <c r="R2829" s="75" t="n"/>
      <c r="S2829" s="76" t="n"/>
      <c r="T2829" s="76" t="n"/>
      <c r="U2829" s="70">
        <f>IF($A2829="","",IFERROR(INDEX('Techniciens'!$F$5:$F$44,MATCH(O2829,'Techniciens'!$B$5:$B$44,0)),'Paramètres'!$AA$10))</f>
        <v/>
      </c>
      <c r="V2829" s="70">
        <f>IF($A2829="","",IF(OR(AC2829="Demandé",AC2829="Planifié",AC2829="Annulé"),0,N(T2829)*N(U2829)))</f>
        <v/>
      </c>
      <c r="W2829" s="70">
        <f>IF($A2829="","",SUMIFS('Mouvements stock'!$H$5:$H$3004,'Mouvements stock'!$I$5:$I$3004,$A2829,'Mouvements stock'!$C$5:$C$3004,"Sortie")-SUMIFS('Mouvements stock'!$H$5:$H$3004,'Mouvements stock'!$I$5:$I$3004,$A2829,'Mouvements stock'!$C$5:$C$3004,"Retour"))</f>
        <v/>
      </c>
      <c r="X2829" s="66" t="n"/>
      <c r="Y2829" s="66" t="n"/>
      <c r="Z2829" s="7" t="n"/>
      <c r="AA2829" s="70">
        <f>IF($A2829="","",N(V2829)+N(W2829)+N(X2829)+N(Y2829))</f>
        <v/>
      </c>
      <c r="AB2829" s="70">
        <f>IF($A2829="","",N(S2829)*'Paramètres'!$AA$9*IFERROR(INDEX('Paramètres'!$O$5:$O$7,MATCH(G2829,'Paramètres'!$N$5:$N$7,0)),0))</f>
        <v/>
      </c>
      <c r="AC2829" s="7" t="n"/>
      <c r="AD2829" s="69">
        <f>IF(OR($A2829="",Q2829=""),"",(Q2829-B2829)*24)</f>
        <v/>
      </c>
      <c r="AE2829" s="69">
        <f>IF(OR(Q2829="",R2829=""),"",(R2829-Q2829)*24)</f>
        <v/>
      </c>
      <c r="AF2829" s="77">
        <f>IF(OR($A2829="",B2829=""),"",YEAR(B2829))</f>
        <v/>
      </c>
      <c r="AG2829" s="77">
        <f>IF(OR($A2829="",B2829=""),"",MONTH(B2829))</f>
        <v/>
      </c>
    </row>
    <row r="2830">
      <c r="A2830" s="7" t="n"/>
      <c r="B2830" s="75" t="n"/>
      <c r="C2830" s="7" t="n"/>
      <c r="D2830" s="7" t="n"/>
      <c r="E2830" s="9">
        <f>IF(D2830="","",IFERROR(INDEX('Équipements'!$B$5:$B$304,MATCH(D2830,'Équipements'!$A$5:$A$304,0)),"Code inconnu"))</f>
        <v/>
      </c>
      <c r="F2830" s="9">
        <f>IF(D2830="","",IFERROR(INDEX('Équipements'!$D$5:$D$304,MATCH(D2830,'Équipements'!$A$5:$A$304,0)),""))</f>
        <v/>
      </c>
      <c r="G2830" s="9">
        <f>IF(D2830="","",IFERROR(INDEX('Équipements'!$K$5:$K$304,MATCH(D2830,'Équipements'!$A$5:$A$304,0)),""))</f>
        <v/>
      </c>
      <c r="H2830" s="7" t="n"/>
      <c r="I2830" s="7" t="n"/>
      <c r="J2830" s="7" t="n"/>
      <c r="K2830" s="7" t="n"/>
      <c r="L2830" s="7" t="n"/>
      <c r="M2830" s="7" t="n"/>
      <c r="N2830" s="7" t="n"/>
      <c r="O2830" s="7" t="n"/>
      <c r="P2830" s="65" t="n"/>
      <c r="Q2830" s="75" t="n"/>
      <c r="R2830" s="75" t="n"/>
      <c r="S2830" s="76" t="n"/>
      <c r="T2830" s="76" t="n"/>
      <c r="U2830" s="70">
        <f>IF($A2830="","",IFERROR(INDEX('Techniciens'!$F$5:$F$44,MATCH(O2830,'Techniciens'!$B$5:$B$44,0)),'Paramètres'!$AA$10))</f>
        <v/>
      </c>
      <c r="V2830" s="70">
        <f>IF($A2830="","",IF(OR(AC2830="Demandé",AC2830="Planifié",AC2830="Annulé"),0,N(T2830)*N(U2830)))</f>
        <v/>
      </c>
      <c r="W2830" s="70">
        <f>IF($A2830="","",SUMIFS('Mouvements stock'!$H$5:$H$3004,'Mouvements stock'!$I$5:$I$3004,$A2830,'Mouvements stock'!$C$5:$C$3004,"Sortie")-SUMIFS('Mouvements stock'!$H$5:$H$3004,'Mouvements stock'!$I$5:$I$3004,$A2830,'Mouvements stock'!$C$5:$C$3004,"Retour"))</f>
        <v/>
      </c>
      <c r="X2830" s="66" t="n"/>
      <c r="Y2830" s="66" t="n"/>
      <c r="Z2830" s="7" t="n"/>
      <c r="AA2830" s="70">
        <f>IF($A2830="","",N(V2830)+N(W2830)+N(X2830)+N(Y2830))</f>
        <v/>
      </c>
      <c r="AB2830" s="70">
        <f>IF($A2830="","",N(S2830)*'Paramètres'!$AA$9*IFERROR(INDEX('Paramètres'!$O$5:$O$7,MATCH(G2830,'Paramètres'!$N$5:$N$7,0)),0))</f>
        <v/>
      </c>
      <c r="AC2830" s="7" t="n"/>
      <c r="AD2830" s="69">
        <f>IF(OR($A2830="",Q2830=""),"",(Q2830-B2830)*24)</f>
        <v/>
      </c>
      <c r="AE2830" s="69">
        <f>IF(OR(Q2830="",R2830=""),"",(R2830-Q2830)*24)</f>
        <v/>
      </c>
      <c r="AF2830" s="77">
        <f>IF(OR($A2830="",B2830=""),"",YEAR(B2830))</f>
        <v/>
      </c>
      <c r="AG2830" s="77">
        <f>IF(OR($A2830="",B2830=""),"",MONTH(B2830))</f>
        <v/>
      </c>
    </row>
    <row r="2831">
      <c r="A2831" s="7" t="n"/>
      <c r="B2831" s="75" t="n"/>
      <c r="C2831" s="7" t="n"/>
      <c r="D2831" s="7" t="n"/>
      <c r="E2831" s="9">
        <f>IF(D2831="","",IFERROR(INDEX('Équipements'!$B$5:$B$304,MATCH(D2831,'Équipements'!$A$5:$A$304,0)),"Code inconnu"))</f>
        <v/>
      </c>
      <c r="F2831" s="9">
        <f>IF(D2831="","",IFERROR(INDEX('Équipements'!$D$5:$D$304,MATCH(D2831,'Équipements'!$A$5:$A$304,0)),""))</f>
        <v/>
      </c>
      <c r="G2831" s="9">
        <f>IF(D2831="","",IFERROR(INDEX('Équipements'!$K$5:$K$304,MATCH(D2831,'Équipements'!$A$5:$A$304,0)),""))</f>
        <v/>
      </c>
      <c r="H2831" s="7" t="n"/>
      <c r="I2831" s="7" t="n"/>
      <c r="J2831" s="7" t="n"/>
      <c r="K2831" s="7" t="n"/>
      <c r="L2831" s="7" t="n"/>
      <c r="M2831" s="7" t="n"/>
      <c r="N2831" s="7" t="n"/>
      <c r="O2831" s="7" t="n"/>
      <c r="P2831" s="65" t="n"/>
      <c r="Q2831" s="75" t="n"/>
      <c r="R2831" s="75" t="n"/>
      <c r="S2831" s="76" t="n"/>
      <c r="T2831" s="76" t="n"/>
      <c r="U2831" s="70">
        <f>IF($A2831="","",IFERROR(INDEX('Techniciens'!$F$5:$F$44,MATCH(O2831,'Techniciens'!$B$5:$B$44,0)),'Paramètres'!$AA$10))</f>
        <v/>
      </c>
      <c r="V2831" s="70">
        <f>IF($A2831="","",IF(OR(AC2831="Demandé",AC2831="Planifié",AC2831="Annulé"),0,N(T2831)*N(U2831)))</f>
        <v/>
      </c>
      <c r="W2831" s="70">
        <f>IF($A2831="","",SUMIFS('Mouvements stock'!$H$5:$H$3004,'Mouvements stock'!$I$5:$I$3004,$A2831,'Mouvements stock'!$C$5:$C$3004,"Sortie")-SUMIFS('Mouvements stock'!$H$5:$H$3004,'Mouvements stock'!$I$5:$I$3004,$A2831,'Mouvements stock'!$C$5:$C$3004,"Retour"))</f>
        <v/>
      </c>
      <c r="X2831" s="66" t="n"/>
      <c r="Y2831" s="66" t="n"/>
      <c r="Z2831" s="7" t="n"/>
      <c r="AA2831" s="70">
        <f>IF($A2831="","",N(V2831)+N(W2831)+N(X2831)+N(Y2831))</f>
        <v/>
      </c>
      <c r="AB2831" s="70">
        <f>IF($A2831="","",N(S2831)*'Paramètres'!$AA$9*IFERROR(INDEX('Paramètres'!$O$5:$O$7,MATCH(G2831,'Paramètres'!$N$5:$N$7,0)),0))</f>
        <v/>
      </c>
      <c r="AC2831" s="7" t="n"/>
      <c r="AD2831" s="69">
        <f>IF(OR($A2831="",Q2831=""),"",(Q2831-B2831)*24)</f>
        <v/>
      </c>
      <c r="AE2831" s="69">
        <f>IF(OR(Q2831="",R2831=""),"",(R2831-Q2831)*24)</f>
        <v/>
      </c>
      <c r="AF2831" s="77">
        <f>IF(OR($A2831="",B2831=""),"",YEAR(B2831))</f>
        <v/>
      </c>
      <c r="AG2831" s="77">
        <f>IF(OR($A2831="",B2831=""),"",MONTH(B2831))</f>
        <v/>
      </c>
    </row>
    <row r="2832">
      <c r="A2832" s="7" t="n"/>
      <c r="B2832" s="75" t="n"/>
      <c r="C2832" s="7" t="n"/>
      <c r="D2832" s="7" t="n"/>
      <c r="E2832" s="9">
        <f>IF(D2832="","",IFERROR(INDEX('Équipements'!$B$5:$B$304,MATCH(D2832,'Équipements'!$A$5:$A$304,0)),"Code inconnu"))</f>
        <v/>
      </c>
      <c r="F2832" s="9">
        <f>IF(D2832="","",IFERROR(INDEX('Équipements'!$D$5:$D$304,MATCH(D2832,'Équipements'!$A$5:$A$304,0)),""))</f>
        <v/>
      </c>
      <c r="G2832" s="9">
        <f>IF(D2832="","",IFERROR(INDEX('Équipements'!$K$5:$K$304,MATCH(D2832,'Équipements'!$A$5:$A$304,0)),""))</f>
        <v/>
      </c>
      <c r="H2832" s="7" t="n"/>
      <c r="I2832" s="7" t="n"/>
      <c r="J2832" s="7" t="n"/>
      <c r="K2832" s="7" t="n"/>
      <c r="L2832" s="7" t="n"/>
      <c r="M2832" s="7" t="n"/>
      <c r="N2832" s="7" t="n"/>
      <c r="O2832" s="7" t="n"/>
      <c r="P2832" s="65" t="n"/>
      <c r="Q2832" s="75" t="n"/>
      <c r="R2832" s="75" t="n"/>
      <c r="S2832" s="76" t="n"/>
      <c r="T2832" s="76" t="n"/>
      <c r="U2832" s="70">
        <f>IF($A2832="","",IFERROR(INDEX('Techniciens'!$F$5:$F$44,MATCH(O2832,'Techniciens'!$B$5:$B$44,0)),'Paramètres'!$AA$10))</f>
        <v/>
      </c>
      <c r="V2832" s="70">
        <f>IF($A2832="","",IF(OR(AC2832="Demandé",AC2832="Planifié",AC2832="Annulé"),0,N(T2832)*N(U2832)))</f>
        <v/>
      </c>
      <c r="W2832" s="70">
        <f>IF($A2832="","",SUMIFS('Mouvements stock'!$H$5:$H$3004,'Mouvements stock'!$I$5:$I$3004,$A2832,'Mouvements stock'!$C$5:$C$3004,"Sortie")-SUMIFS('Mouvements stock'!$H$5:$H$3004,'Mouvements stock'!$I$5:$I$3004,$A2832,'Mouvements stock'!$C$5:$C$3004,"Retour"))</f>
        <v/>
      </c>
      <c r="X2832" s="66" t="n"/>
      <c r="Y2832" s="66" t="n"/>
      <c r="Z2832" s="7" t="n"/>
      <c r="AA2832" s="70">
        <f>IF($A2832="","",N(V2832)+N(W2832)+N(X2832)+N(Y2832))</f>
        <v/>
      </c>
      <c r="AB2832" s="70">
        <f>IF($A2832="","",N(S2832)*'Paramètres'!$AA$9*IFERROR(INDEX('Paramètres'!$O$5:$O$7,MATCH(G2832,'Paramètres'!$N$5:$N$7,0)),0))</f>
        <v/>
      </c>
      <c r="AC2832" s="7" t="n"/>
      <c r="AD2832" s="69">
        <f>IF(OR($A2832="",Q2832=""),"",(Q2832-B2832)*24)</f>
        <v/>
      </c>
      <c r="AE2832" s="69">
        <f>IF(OR(Q2832="",R2832=""),"",(R2832-Q2832)*24)</f>
        <v/>
      </c>
      <c r="AF2832" s="77">
        <f>IF(OR($A2832="",B2832=""),"",YEAR(B2832))</f>
        <v/>
      </c>
      <c r="AG2832" s="77">
        <f>IF(OR($A2832="",B2832=""),"",MONTH(B2832))</f>
        <v/>
      </c>
    </row>
    <row r="2833">
      <c r="A2833" s="7" t="n"/>
      <c r="B2833" s="75" t="n"/>
      <c r="C2833" s="7" t="n"/>
      <c r="D2833" s="7" t="n"/>
      <c r="E2833" s="9">
        <f>IF(D2833="","",IFERROR(INDEX('Équipements'!$B$5:$B$304,MATCH(D2833,'Équipements'!$A$5:$A$304,0)),"Code inconnu"))</f>
        <v/>
      </c>
      <c r="F2833" s="9">
        <f>IF(D2833="","",IFERROR(INDEX('Équipements'!$D$5:$D$304,MATCH(D2833,'Équipements'!$A$5:$A$304,0)),""))</f>
        <v/>
      </c>
      <c r="G2833" s="9">
        <f>IF(D2833="","",IFERROR(INDEX('Équipements'!$K$5:$K$304,MATCH(D2833,'Équipements'!$A$5:$A$304,0)),""))</f>
        <v/>
      </c>
      <c r="H2833" s="7" t="n"/>
      <c r="I2833" s="7" t="n"/>
      <c r="J2833" s="7" t="n"/>
      <c r="K2833" s="7" t="n"/>
      <c r="L2833" s="7" t="n"/>
      <c r="M2833" s="7" t="n"/>
      <c r="N2833" s="7" t="n"/>
      <c r="O2833" s="7" t="n"/>
      <c r="P2833" s="65" t="n"/>
      <c r="Q2833" s="75" t="n"/>
      <c r="R2833" s="75" t="n"/>
      <c r="S2833" s="76" t="n"/>
      <c r="T2833" s="76" t="n"/>
      <c r="U2833" s="70">
        <f>IF($A2833="","",IFERROR(INDEX('Techniciens'!$F$5:$F$44,MATCH(O2833,'Techniciens'!$B$5:$B$44,0)),'Paramètres'!$AA$10))</f>
        <v/>
      </c>
      <c r="V2833" s="70">
        <f>IF($A2833="","",IF(OR(AC2833="Demandé",AC2833="Planifié",AC2833="Annulé"),0,N(T2833)*N(U2833)))</f>
        <v/>
      </c>
      <c r="W2833" s="70">
        <f>IF($A2833="","",SUMIFS('Mouvements stock'!$H$5:$H$3004,'Mouvements stock'!$I$5:$I$3004,$A2833,'Mouvements stock'!$C$5:$C$3004,"Sortie")-SUMIFS('Mouvements stock'!$H$5:$H$3004,'Mouvements stock'!$I$5:$I$3004,$A2833,'Mouvements stock'!$C$5:$C$3004,"Retour"))</f>
        <v/>
      </c>
      <c r="X2833" s="66" t="n"/>
      <c r="Y2833" s="66" t="n"/>
      <c r="Z2833" s="7" t="n"/>
      <c r="AA2833" s="70">
        <f>IF($A2833="","",N(V2833)+N(W2833)+N(X2833)+N(Y2833))</f>
        <v/>
      </c>
      <c r="AB2833" s="70">
        <f>IF($A2833="","",N(S2833)*'Paramètres'!$AA$9*IFERROR(INDEX('Paramètres'!$O$5:$O$7,MATCH(G2833,'Paramètres'!$N$5:$N$7,0)),0))</f>
        <v/>
      </c>
      <c r="AC2833" s="7" t="n"/>
      <c r="AD2833" s="69">
        <f>IF(OR($A2833="",Q2833=""),"",(Q2833-B2833)*24)</f>
        <v/>
      </c>
      <c r="AE2833" s="69">
        <f>IF(OR(Q2833="",R2833=""),"",(R2833-Q2833)*24)</f>
        <v/>
      </c>
      <c r="AF2833" s="77">
        <f>IF(OR($A2833="",B2833=""),"",YEAR(B2833))</f>
        <v/>
      </c>
      <c r="AG2833" s="77">
        <f>IF(OR($A2833="",B2833=""),"",MONTH(B2833))</f>
        <v/>
      </c>
    </row>
    <row r="2834">
      <c r="A2834" s="7" t="n"/>
      <c r="B2834" s="75" t="n"/>
      <c r="C2834" s="7" t="n"/>
      <c r="D2834" s="7" t="n"/>
      <c r="E2834" s="9">
        <f>IF(D2834="","",IFERROR(INDEX('Équipements'!$B$5:$B$304,MATCH(D2834,'Équipements'!$A$5:$A$304,0)),"Code inconnu"))</f>
        <v/>
      </c>
      <c r="F2834" s="9">
        <f>IF(D2834="","",IFERROR(INDEX('Équipements'!$D$5:$D$304,MATCH(D2834,'Équipements'!$A$5:$A$304,0)),""))</f>
        <v/>
      </c>
      <c r="G2834" s="9">
        <f>IF(D2834="","",IFERROR(INDEX('Équipements'!$K$5:$K$304,MATCH(D2834,'Équipements'!$A$5:$A$304,0)),""))</f>
        <v/>
      </c>
      <c r="H2834" s="7" t="n"/>
      <c r="I2834" s="7" t="n"/>
      <c r="J2834" s="7" t="n"/>
      <c r="K2834" s="7" t="n"/>
      <c r="L2834" s="7" t="n"/>
      <c r="M2834" s="7" t="n"/>
      <c r="N2834" s="7" t="n"/>
      <c r="O2834" s="7" t="n"/>
      <c r="P2834" s="65" t="n"/>
      <c r="Q2834" s="75" t="n"/>
      <c r="R2834" s="75" t="n"/>
      <c r="S2834" s="76" t="n"/>
      <c r="T2834" s="76" t="n"/>
      <c r="U2834" s="70">
        <f>IF($A2834="","",IFERROR(INDEX('Techniciens'!$F$5:$F$44,MATCH(O2834,'Techniciens'!$B$5:$B$44,0)),'Paramètres'!$AA$10))</f>
        <v/>
      </c>
      <c r="V2834" s="70">
        <f>IF($A2834="","",IF(OR(AC2834="Demandé",AC2834="Planifié",AC2834="Annulé"),0,N(T2834)*N(U2834)))</f>
        <v/>
      </c>
      <c r="W2834" s="70">
        <f>IF($A2834="","",SUMIFS('Mouvements stock'!$H$5:$H$3004,'Mouvements stock'!$I$5:$I$3004,$A2834,'Mouvements stock'!$C$5:$C$3004,"Sortie")-SUMIFS('Mouvements stock'!$H$5:$H$3004,'Mouvements stock'!$I$5:$I$3004,$A2834,'Mouvements stock'!$C$5:$C$3004,"Retour"))</f>
        <v/>
      </c>
      <c r="X2834" s="66" t="n"/>
      <c r="Y2834" s="66" t="n"/>
      <c r="Z2834" s="7" t="n"/>
      <c r="AA2834" s="70">
        <f>IF($A2834="","",N(V2834)+N(W2834)+N(X2834)+N(Y2834))</f>
        <v/>
      </c>
      <c r="AB2834" s="70">
        <f>IF($A2834="","",N(S2834)*'Paramètres'!$AA$9*IFERROR(INDEX('Paramètres'!$O$5:$O$7,MATCH(G2834,'Paramètres'!$N$5:$N$7,0)),0))</f>
        <v/>
      </c>
      <c r="AC2834" s="7" t="n"/>
      <c r="AD2834" s="69">
        <f>IF(OR($A2834="",Q2834=""),"",(Q2834-B2834)*24)</f>
        <v/>
      </c>
      <c r="AE2834" s="69">
        <f>IF(OR(Q2834="",R2834=""),"",(R2834-Q2834)*24)</f>
        <v/>
      </c>
      <c r="AF2834" s="77">
        <f>IF(OR($A2834="",B2834=""),"",YEAR(B2834))</f>
        <v/>
      </c>
      <c r="AG2834" s="77">
        <f>IF(OR($A2834="",B2834=""),"",MONTH(B2834))</f>
        <v/>
      </c>
    </row>
    <row r="2835">
      <c r="A2835" s="7" t="n"/>
      <c r="B2835" s="75" t="n"/>
      <c r="C2835" s="7" t="n"/>
      <c r="D2835" s="7" t="n"/>
      <c r="E2835" s="9">
        <f>IF(D2835="","",IFERROR(INDEX('Équipements'!$B$5:$B$304,MATCH(D2835,'Équipements'!$A$5:$A$304,0)),"Code inconnu"))</f>
        <v/>
      </c>
      <c r="F2835" s="9">
        <f>IF(D2835="","",IFERROR(INDEX('Équipements'!$D$5:$D$304,MATCH(D2835,'Équipements'!$A$5:$A$304,0)),""))</f>
        <v/>
      </c>
      <c r="G2835" s="9">
        <f>IF(D2835="","",IFERROR(INDEX('Équipements'!$K$5:$K$304,MATCH(D2835,'Équipements'!$A$5:$A$304,0)),""))</f>
        <v/>
      </c>
      <c r="H2835" s="7" t="n"/>
      <c r="I2835" s="7" t="n"/>
      <c r="J2835" s="7" t="n"/>
      <c r="K2835" s="7" t="n"/>
      <c r="L2835" s="7" t="n"/>
      <c r="M2835" s="7" t="n"/>
      <c r="N2835" s="7" t="n"/>
      <c r="O2835" s="7" t="n"/>
      <c r="P2835" s="65" t="n"/>
      <c r="Q2835" s="75" t="n"/>
      <c r="R2835" s="75" t="n"/>
      <c r="S2835" s="76" t="n"/>
      <c r="T2835" s="76" t="n"/>
      <c r="U2835" s="70">
        <f>IF($A2835="","",IFERROR(INDEX('Techniciens'!$F$5:$F$44,MATCH(O2835,'Techniciens'!$B$5:$B$44,0)),'Paramètres'!$AA$10))</f>
        <v/>
      </c>
      <c r="V2835" s="70">
        <f>IF($A2835="","",IF(OR(AC2835="Demandé",AC2835="Planifié",AC2835="Annulé"),0,N(T2835)*N(U2835)))</f>
        <v/>
      </c>
      <c r="W2835" s="70">
        <f>IF($A2835="","",SUMIFS('Mouvements stock'!$H$5:$H$3004,'Mouvements stock'!$I$5:$I$3004,$A2835,'Mouvements stock'!$C$5:$C$3004,"Sortie")-SUMIFS('Mouvements stock'!$H$5:$H$3004,'Mouvements stock'!$I$5:$I$3004,$A2835,'Mouvements stock'!$C$5:$C$3004,"Retour"))</f>
        <v/>
      </c>
      <c r="X2835" s="66" t="n"/>
      <c r="Y2835" s="66" t="n"/>
      <c r="Z2835" s="7" t="n"/>
      <c r="AA2835" s="70">
        <f>IF($A2835="","",N(V2835)+N(W2835)+N(X2835)+N(Y2835))</f>
        <v/>
      </c>
      <c r="AB2835" s="70">
        <f>IF($A2835="","",N(S2835)*'Paramètres'!$AA$9*IFERROR(INDEX('Paramètres'!$O$5:$O$7,MATCH(G2835,'Paramètres'!$N$5:$N$7,0)),0))</f>
        <v/>
      </c>
      <c r="AC2835" s="7" t="n"/>
      <c r="AD2835" s="69">
        <f>IF(OR($A2835="",Q2835=""),"",(Q2835-B2835)*24)</f>
        <v/>
      </c>
      <c r="AE2835" s="69">
        <f>IF(OR(Q2835="",R2835=""),"",(R2835-Q2835)*24)</f>
        <v/>
      </c>
      <c r="AF2835" s="77">
        <f>IF(OR($A2835="",B2835=""),"",YEAR(B2835))</f>
        <v/>
      </c>
      <c r="AG2835" s="77">
        <f>IF(OR($A2835="",B2835=""),"",MONTH(B2835))</f>
        <v/>
      </c>
    </row>
    <row r="2836">
      <c r="A2836" s="7" t="n"/>
      <c r="B2836" s="75" t="n"/>
      <c r="C2836" s="7" t="n"/>
      <c r="D2836" s="7" t="n"/>
      <c r="E2836" s="9">
        <f>IF(D2836="","",IFERROR(INDEX('Équipements'!$B$5:$B$304,MATCH(D2836,'Équipements'!$A$5:$A$304,0)),"Code inconnu"))</f>
        <v/>
      </c>
      <c r="F2836" s="9">
        <f>IF(D2836="","",IFERROR(INDEX('Équipements'!$D$5:$D$304,MATCH(D2836,'Équipements'!$A$5:$A$304,0)),""))</f>
        <v/>
      </c>
      <c r="G2836" s="9">
        <f>IF(D2836="","",IFERROR(INDEX('Équipements'!$K$5:$K$304,MATCH(D2836,'Équipements'!$A$5:$A$304,0)),""))</f>
        <v/>
      </c>
      <c r="H2836" s="7" t="n"/>
      <c r="I2836" s="7" t="n"/>
      <c r="J2836" s="7" t="n"/>
      <c r="K2836" s="7" t="n"/>
      <c r="L2836" s="7" t="n"/>
      <c r="M2836" s="7" t="n"/>
      <c r="N2836" s="7" t="n"/>
      <c r="O2836" s="7" t="n"/>
      <c r="P2836" s="65" t="n"/>
      <c r="Q2836" s="75" t="n"/>
      <c r="R2836" s="75" t="n"/>
      <c r="S2836" s="76" t="n"/>
      <c r="T2836" s="76" t="n"/>
      <c r="U2836" s="70">
        <f>IF($A2836="","",IFERROR(INDEX('Techniciens'!$F$5:$F$44,MATCH(O2836,'Techniciens'!$B$5:$B$44,0)),'Paramètres'!$AA$10))</f>
        <v/>
      </c>
      <c r="V2836" s="70">
        <f>IF($A2836="","",IF(OR(AC2836="Demandé",AC2836="Planifié",AC2836="Annulé"),0,N(T2836)*N(U2836)))</f>
        <v/>
      </c>
      <c r="W2836" s="70">
        <f>IF($A2836="","",SUMIFS('Mouvements stock'!$H$5:$H$3004,'Mouvements stock'!$I$5:$I$3004,$A2836,'Mouvements stock'!$C$5:$C$3004,"Sortie")-SUMIFS('Mouvements stock'!$H$5:$H$3004,'Mouvements stock'!$I$5:$I$3004,$A2836,'Mouvements stock'!$C$5:$C$3004,"Retour"))</f>
        <v/>
      </c>
      <c r="X2836" s="66" t="n"/>
      <c r="Y2836" s="66" t="n"/>
      <c r="Z2836" s="7" t="n"/>
      <c r="AA2836" s="70">
        <f>IF($A2836="","",N(V2836)+N(W2836)+N(X2836)+N(Y2836))</f>
        <v/>
      </c>
      <c r="AB2836" s="70">
        <f>IF($A2836="","",N(S2836)*'Paramètres'!$AA$9*IFERROR(INDEX('Paramètres'!$O$5:$O$7,MATCH(G2836,'Paramètres'!$N$5:$N$7,0)),0))</f>
        <v/>
      </c>
      <c r="AC2836" s="7" t="n"/>
      <c r="AD2836" s="69">
        <f>IF(OR($A2836="",Q2836=""),"",(Q2836-B2836)*24)</f>
        <v/>
      </c>
      <c r="AE2836" s="69">
        <f>IF(OR(Q2836="",R2836=""),"",(R2836-Q2836)*24)</f>
        <v/>
      </c>
      <c r="AF2836" s="77">
        <f>IF(OR($A2836="",B2836=""),"",YEAR(B2836))</f>
        <v/>
      </c>
      <c r="AG2836" s="77">
        <f>IF(OR($A2836="",B2836=""),"",MONTH(B2836))</f>
        <v/>
      </c>
    </row>
    <row r="2837">
      <c r="A2837" s="7" t="n"/>
      <c r="B2837" s="75" t="n"/>
      <c r="C2837" s="7" t="n"/>
      <c r="D2837" s="7" t="n"/>
      <c r="E2837" s="9">
        <f>IF(D2837="","",IFERROR(INDEX('Équipements'!$B$5:$B$304,MATCH(D2837,'Équipements'!$A$5:$A$304,0)),"Code inconnu"))</f>
        <v/>
      </c>
      <c r="F2837" s="9">
        <f>IF(D2837="","",IFERROR(INDEX('Équipements'!$D$5:$D$304,MATCH(D2837,'Équipements'!$A$5:$A$304,0)),""))</f>
        <v/>
      </c>
      <c r="G2837" s="9">
        <f>IF(D2837="","",IFERROR(INDEX('Équipements'!$K$5:$K$304,MATCH(D2837,'Équipements'!$A$5:$A$304,0)),""))</f>
        <v/>
      </c>
      <c r="H2837" s="7" t="n"/>
      <c r="I2837" s="7" t="n"/>
      <c r="J2837" s="7" t="n"/>
      <c r="K2837" s="7" t="n"/>
      <c r="L2837" s="7" t="n"/>
      <c r="M2837" s="7" t="n"/>
      <c r="N2837" s="7" t="n"/>
      <c r="O2837" s="7" t="n"/>
      <c r="P2837" s="65" t="n"/>
      <c r="Q2837" s="75" t="n"/>
      <c r="R2837" s="75" t="n"/>
      <c r="S2837" s="76" t="n"/>
      <c r="T2837" s="76" t="n"/>
      <c r="U2837" s="70">
        <f>IF($A2837="","",IFERROR(INDEX('Techniciens'!$F$5:$F$44,MATCH(O2837,'Techniciens'!$B$5:$B$44,0)),'Paramètres'!$AA$10))</f>
        <v/>
      </c>
      <c r="V2837" s="70">
        <f>IF($A2837="","",IF(OR(AC2837="Demandé",AC2837="Planifié",AC2837="Annulé"),0,N(T2837)*N(U2837)))</f>
        <v/>
      </c>
      <c r="W2837" s="70">
        <f>IF($A2837="","",SUMIFS('Mouvements stock'!$H$5:$H$3004,'Mouvements stock'!$I$5:$I$3004,$A2837,'Mouvements stock'!$C$5:$C$3004,"Sortie")-SUMIFS('Mouvements stock'!$H$5:$H$3004,'Mouvements stock'!$I$5:$I$3004,$A2837,'Mouvements stock'!$C$5:$C$3004,"Retour"))</f>
        <v/>
      </c>
      <c r="X2837" s="66" t="n"/>
      <c r="Y2837" s="66" t="n"/>
      <c r="Z2837" s="7" t="n"/>
      <c r="AA2837" s="70">
        <f>IF($A2837="","",N(V2837)+N(W2837)+N(X2837)+N(Y2837))</f>
        <v/>
      </c>
      <c r="AB2837" s="70">
        <f>IF($A2837="","",N(S2837)*'Paramètres'!$AA$9*IFERROR(INDEX('Paramètres'!$O$5:$O$7,MATCH(G2837,'Paramètres'!$N$5:$N$7,0)),0))</f>
        <v/>
      </c>
      <c r="AC2837" s="7" t="n"/>
      <c r="AD2837" s="69">
        <f>IF(OR($A2837="",Q2837=""),"",(Q2837-B2837)*24)</f>
        <v/>
      </c>
      <c r="AE2837" s="69">
        <f>IF(OR(Q2837="",R2837=""),"",(R2837-Q2837)*24)</f>
        <v/>
      </c>
      <c r="AF2837" s="77">
        <f>IF(OR($A2837="",B2837=""),"",YEAR(B2837))</f>
        <v/>
      </c>
      <c r="AG2837" s="77">
        <f>IF(OR($A2837="",B2837=""),"",MONTH(B2837))</f>
        <v/>
      </c>
    </row>
    <row r="2838">
      <c r="A2838" s="7" t="n"/>
      <c r="B2838" s="75" t="n"/>
      <c r="C2838" s="7" t="n"/>
      <c r="D2838" s="7" t="n"/>
      <c r="E2838" s="9">
        <f>IF(D2838="","",IFERROR(INDEX('Équipements'!$B$5:$B$304,MATCH(D2838,'Équipements'!$A$5:$A$304,0)),"Code inconnu"))</f>
        <v/>
      </c>
      <c r="F2838" s="9">
        <f>IF(D2838="","",IFERROR(INDEX('Équipements'!$D$5:$D$304,MATCH(D2838,'Équipements'!$A$5:$A$304,0)),""))</f>
        <v/>
      </c>
      <c r="G2838" s="9">
        <f>IF(D2838="","",IFERROR(INDEX('Équipements'!$K$5:$K$304,MATCH(D2838,'Équipements'!$A$5:$A$304,0)),""))</f>
        <v/>
      </c>
      <c r="H2838" s="7" t="n"/>
      <c r="I2838" s="7" t="n"/>
      <c r="J2838" s="7" t="n"/>
      <c r="K2838" s="7" t="n"/>
      <c r="L2838" s="7" t="n"/>
      <c r="M2838" s="7" t="n"/>
      <c r="N2838" s="7" t="n"/>
      <c r="O2838" s="7" t="n"/>
      <c r="P2838" s="65" t="n"/>
      <c r="Q2838" s="75" t="n"/>
      <c r="R2838" s="75" t="n"/>
      <c r="S2838" s="76" t="n"/>
      <c r="T2838" s="76" t="n"/>
      <c r="U2838" s="70">
        <f>IF($A2838="","",IFERROR(INDEX('Techniciens'!$F$5:$F$44,MATCH(O2838,'Techniciens'!$B$5:$B$44,0)),'Paramètres'!$AA$10))</f>
        <v/>
      </c>
      <c r="V2838" s="70">
        <f>IF($A2838="","",IF(OR(AC2838="Demandé",AC2838="Planifié",AC2838="Annulé"),0,N(T2838)*N(U2838)))</f>
        <v/>
      </c>
      <c r="W2838" s="70">
        <f>IF($A2838="","",SUMIFS('Mouvements stock'!$H$5:$H$3004,'Mouvements stock'!$I$5:$I$3004,$A2838,'Mouvements stock'!$C$5:$C$3004,"Sortie")-SUMIFS('Mouvements stock'!$H$5:$H$3004,'Mouvements stock'!$I$5:$I$3004,$A2838,'Mouvements stock'!$C$5:$C$3004,"Retour"))</f>
        <v/>
      </c>
      <c r="X2838" s="66" t="n"/>
      <c r="Y2838" s="66" t="n"/>
      <c r="Z2838" s="7" t="n"/>
      <c r="AA2838" s="70">
        <f>IF($A2838="","",N(V2838)+N(W2838)+N(X2838)+N(Y2838))</f>
        <v/>
      </c>
      <c r="AB2838" s="70">
        <f>IF($A2838="","",N(S2838)*'Paramètres'!$AA$9*IFERROR(INDEX('Paramètres'!$O$5:$O$7,MATCH(G2838,'Paramètres'!$N$5:$N$7,0)),0))</f>
        <v/>
      </c>
      <c r="AC2838" s="7" t="n"/>
      <c r="AD2838" s="69">
        <f>IF(OR($A2838="",Q2838=""),"",(Q2838-B2838)*24)</f>
        <v/>
      </c>
      <c r="AE2838" s="69">
        <f>IF(OR(Q2838="",R2838=""),"",(R2838-Q2838)*24)</f>
        <v/>
      </c>
      <c r="AF2838" s="77">
        <f>IF(OR($A2838="",B2838=""),"",YEAR(B2838))</f>
        <v/>
      </c>
      <c r="AG2838" s="77">
        <f>IF(OR($A2838="",B2838=""),"",MONTH(B2838))</f>
        <v/>
      </c>
    </row>
    <row r="2839">
      <c r="A2839" s="7" t="n"/>
      <c r="B2839" s="75" t="n"/>
      <c r="C2839" s="7" t="n"/>
      <c r="D2839" s="7" t="n"/>
      <c r="E2839" s="9">
        <f>IF(D2839="","",IFERROR(INDEX('Équipements'!$B$5:$B$304,MATCH(D2839,'Équipements'!$A$5:$A$304,0)),"Code inconnu"))</f>
        <v/>
      </c>
      <c r="F2839" s="9">
        <f>IF(D2839="","",IFERROR(INDEX('Équipements'!$D$5:$D$304,MATCH(D2839,'Équipements'!$A$5:$A$304,0)),""))</f>
        <v/>
      </c>
      <c r="G2839" s="9">
        <f>IF(D2839="","",IFERROR(INDEX('Équipements'!$K$5:$K$304,MATCH(D2839,'Équipements'!$A$5:$A$304,0)),""))</f>
        <v/>
      </c>
      <c r="H2839" s="7" t="n"/>
      <c r="I2839" s="7" t="n"/>
      <c r="J2839" s="7" t="n"/>
      <c r="K2839" s="7" t="n"/>
      <c r="L2839" s="7" t="n"/>
      <c r="M2839" s="7" t="n"/>
      <c r="N2839" s="7" t="n"/>
      <c r="O2839" s="7" t="n"/>
      <c r="P2839" s="65" t="n"/>
      <c r="Q2839" s="75" t="n"/>
      <c r="R2839" s="75" t="n"/>
      <c r="S2839" s="76" t="n"/>
      <c r="T2839" s="76" t="n"/>
      <c r="U2839" s="70">
        <f>IF($A2839="","",IFERROR(INDEX('Techniciens'!$F$5:$F$44,MATCH(O2839,'Techniciens'!$B$5:$B$44,0)),'Paramètres'!$AA$10))</f>
        <v/>
      </c>
      <c r="V2839" s="70">
        <f>IF($A2839="","",IF(OR(AC2839="Demandé",AC2839="Planifié",AC2839="Annulé"),0,N(T2839)*N(U2839)))</f>
        <v/>
      </c>
      <c r="W2839" s="70">
        <f>IF($A2839="","",SUMIFS('Mouvements stock'!$H$5:$H$3004,'Mouvements stock'!$I$5:$I$3004,$A2839,'Mouvements stock'!$C$5:$C$3004,"Sortie")-SUMIFS('Mouvements stock'!$H$5:$H$3004,'Mouvements stock'!$I$5:$I$3004,$A2839,'Mouvements stock'!$C$5:$C$3004,"Retour"))</f>
        <v/>
      </c>
      <c r="X2839" s="66" t="n"/>
      <c r="Y2839" s="66" t="n"/>
      <c r="Z2839" s="7" t="n"/>
      <c r="AA2839" s="70">
        <f>IF($A2839="","",N(V2839)+N(W2839)+N(X2839)+N(Y2839))</f>
        <v/>
      </c>
      <c r="AB2839" s="70">
        <f>IF($A2839="","",N(S2839)*'Paramètres'!$AA$9*IFERROR(INDEX('Paramètres'!$O$5:$O$7,MATCH(G2839,'Paramètres'!$N$5:$N$7,0)),0))</f>
        <v/>
      </c>
      <c r="AC2839" s="7" t="n"/>
      <c r="AD2839" s="69">
        <f>IF(OR($A2839="",Q2839=""),"",(Q2839-B2839)*24)</f>
        <v/>
      </c>
      <c r="AE2839" s="69">
        <f>IF(OR(Q2839="",R2839=""),"",(R2839-Q2839)*24)</f>
        <v/>
      </c>
      <c r="AF2839" s="77">
        <f>IF(OR($A2839="",B2839=""),"",YEAR(B2839))</f>
        <v/>
      </c>
      <c r="AG2839" s="77">
        <f>IF(OR($A2839="",B2839=""),"",MONTH(B2839))</f>
        <v/>
      </c>
    </row>
    <row r="2840">
      <c r="A2840" s="7" t="n"/>
      <c r="B2840" s="75" t="n"/>
      <c r="C2840" s="7" t="n"/>
      <c r="D2840" s="7" t="n"/>
      <c r="E2840" s="9">
        <f>IF(D2840="","",IFERROR(INDEX('Équipements'!$B$5:$B$304,MATCH(D2840,'Équipements'!$A$5:$A$304,0)),"Code inconnu"))</f>
        <v/>
      </c>
      <c r="F2840" s="9">
        <f>IF(D2840="","",IFERROR(INDEX('Équipements'!$D$5:$D$304,MATCH(D2840,'Équipements'!$A$5:$A$304,0)),""))</f>
        <v/>
      </c>
      <c r="G2840" s="9">
        <f>IF(D2840="","",IFERROR(INDEX('Équipements'!$K$5:$K$304,MATCH(D2840,'Équipements'!$A$5:$A$304,0)),""))</f>
        <v/>
      </c>
      <c r="H2840" s="7" t="n"/>
      <c r="I2840" s="7" t="n"/>
      <c r="J2840" s="7" t="n"/>
      <c r="K2840" s="7" t="n"/>
      <c r="L2840" s="7" t="n"/>
      <c r="M2840" s="7" t="n"/>
      <c r="N2840" s="7" t="n"/>
      <c r="O2840" s="7" t="n"/>
      <c r="P2840" s="65" t="n"/>
      <c r="Q2840" s="75" t="n"/>
      <c r="R2840" s="75" t="n"/>
      <c r="S2840" s="76" t="n"/>
      <c r="T2840" s="76" t="n"/>
      <c r="U2840" s="70">
        <f>IF($A2840="","",IFERROR(INDEX('Techniciens'!$F$5:$F$44,MATCH(O2840,'Techniciens'!$B$5:$B$44,0)),'Paramètres'!$AA$10))</f>
        <v/>
      </c>
      <c r="V2840" s="70">
        <f>IF($A2840="","",IF(OR(AC2840="Demandé",AC2840="Planifié",AC2840="Annulé"),0,N(T2840)*N(U2840)))</f>
        <v/>
      </c>
      <c r="W2840" s="70">
        <f>IF($A2840="","",SUMIFS('Mouvements stock'!$H$5:$H$3004,'Mouvements stock'!$I$5:$I$3004,$A2840,'Mouvements stock'!$C$5:$C$3004,"Sortie")-SUMIFS('Mouvements stock'!$H$5:$H$3004,'Mouvements stock'!$I$5:$I$3004,$A2840,'Mouvements stock'!$C$5:$C$3004,"Retour"))</f>
        <v/>
      </c>
      <c r="X2840" s="66" t="n"/>
      <c r="Y2840" s="66" t="n"/>
      <c r="Z2840" s="7" t="n"/>
      <c r="AA2840" s="70">
        <f>IF($A2840="","",N(V2840)+N(W2840)+N(X2840)+N(Y2840))</f>
        <v/>
      </c>
      <c r="AB2840" s="70">
        <f>IF($A2840="","",N(S2840)*'Paramètres'!$AA$9*IFERROR(INDEX('Paramètres'!$O$5:$O$7,MATCH(G2840,'Paramètres'!$N$5:$N$7,0)),0))</f>
        <v/>
      </c>
      <c r="AC2840" s="7" t="n"/>
      <c r="AD2840" s="69">
        <f>IF(OR($A2840="",Q2840=""),"",(Q2840-B2840)*24)</f>
        <v/>
      </c>
      <c r="AE2840" s="69">
        <f>IF(OR(Q2840="",R2840=""),"",(R2840-Q2840)*24)</f>
        <v/>
      </c>
      <c r="AF2840" s="77">
        <f>IF(OR($A2840="",B2840=""),"",YEAR(B2840))</f>
        <v/>
      </c>
      <c r="AG2840" s="77">
        <f>IF(OR($A2840="",B2840=""),"",MONTH(B2840))</f>
        <v/>
      </c>
    </row>
    <row r="2841">
      <c r="A2841" s="7" t="n"/>
      <c r="B2841" s="75" t="n"/>
      <c r="C2841" s="7" t="n"/>
      <c r="D2841" s="7" t="n"/>
      <c r="E2841" s="9">
        <f>IF(D2841="","",IFERROR(INDEX('Équipements'!$B$5:$B$304,MATCH(D2841,'Équipements'!$A$5:$A$304,0)),"Code inconnu"))</f>
        <v/>
      </c>
      <c r="F2841" s="9">
        <f>IF(D2841="","",IFERROR(INDEX('Équipements'!$D$5:$D$304,MATCH(D2841,'Équipements'!$A$5:$A$304,0)),""))</f>
        <v/>
      </c>
      <c r="G2841" s="9">
        <f>IF(D2841="","",IFERROR(INDEX('Équipements'!$K$5:$K$304,MATCH(D2841,'Équipements'!$A$5:$A$304,0)),""))</f>
        <v/>
      </c>
      <c r="H2841" s="7" t="n"/>
      <c r="I2841" s="7" t="n"/>
      <c r="J2841" s="7" t="n"/>
      <c r="K2841" s="7" t="n"/>
      <c r="L2841" s="7" t="n"/>
      <c r="M2841" s="7" t="n"/>
      <c r="N2841" s="7" t="n"/>
      <c r="O2841" s="7" t="n"/>
      <c r="P2841" s="65" t="n"/>
      <c r="Q2841" s="75" t="n"/>
      <c r="R2841" s="75" t="n"/>
      <c r="S2841" s="76" t="n"/>
      <c r="T2841" s="76" t="n"/>
      <c r="U2841" s="70">
        <f>IF($A2841="","",IFERROR(INDEX('Techniciens'!$F$5:$F$44,MATCH(O2841,'Techniciens'!$B$5:$B$44,0)),'Paramètres'!$AA$10))</f>
        <v/>
      </c>
      <c r="V2841" s="70">
        <f>IF($A2841="","",IF(OR(AC2841="Demandé",AC2841="Planifié",AC2841="Annulé"),0,N(T2841)*N(U2841)))</f>
        <v/>
      </c>
      <c r="W2841" s="70">
        <f>IF($A2841="","",SUMIFS('Mouvements stock'!$H$5:$H$3004,'Mouvements stock'!$I$5:$I$3004,$A2841,'Mouvements stock'!$C$5:$C$3004,"Sortie")-SUMIFS('Mouvements stock'!$H$5:$H$3004,'Mouvements stock'!$I$5:$I$3004,$A2841,'Mouvements stock'!$C$5:$C$3004,"Retour"))</f>
        <v/>
      </c>
      <c r="X2841" s="66" t="n"/>
      <c r="Y2841" s="66" t="n"/>
      <c r="Z2841" s="7" t="n"/>
      <c r="AA2841" s="70">
        <f>IF($A2841="","",N(V2841)+N(W2841)+N(X2841)+N(Y2841))</f>
        <v/>
      </c>
      <c r="AB2841" s="70">
        <f>IF($A2841="","",N(S2841)*'Paramètres'!$AA$9*IFERROR(INDEX('Paramètres'!$O$5:$O$7,MATCH(G2841,'Paramètres'!$N$5:$N$7,0)),0))</f>
        <v/>
      </c>
      <c r="AC2841" s="7" t="n"/>
      <c r="AD2841" s="69">
        <f>IF(OR($A2841="",Q2841=""),"",(Q2841-B2841)*24)</f>
        <v/>
      </c>
      <c r="AE2841" s="69">
        <f>IF(OR(Q2841="",R2841=""),"",(R2841-Q2841)*24)</f>
        <v/>
      </c>
      <c r="AF2841" s="77">
        <f>IF(OR($A2841="",B2841=""),"",YEAR(B2841))</f>
        <v/>
      </c>
      <c r="AG2841" s="77">
        <f>IF(OR($A2841="",B2841=""),"",MONTH(B2841))</f>
        <v/>
      </c>
    </row>
    <row r="2842">
      <c r="A2842" s="7" t="n"/>
      <c r="B2842" s="75" t="n"/>
      <c r="C2842" s="7" t="n"/>
      <c r="D2842" s="7" t="n"/>
      <c r="E2842" s="9">
        <f>IF(D2842="","",IFERROR(INDEX('Équipements'!$B$5:$B$304,MATCH(D2842,'Équipements'!$A$5:$A$304,0)),"Code inconnu"))</f>
        <v/>
      </c>
      <c r="F2842" s="9">
        <f>IF(D2842="","",IFERROR(INDEX('Équipements'!$D$5:$D$304,MATCH(D2842,'Équipements'!$A$5:$A$304,0)),""))</f>
        <v/>
      </c>
      <c r="G2842" s="9">
        <f>IF(D2842="","",IFERROR(INDEX('Équipements'!$K$5:$K$304,MATCH(D2842,'Équipements'!$A$5:$A$304,0)),""))</f>
        <v/>
      </c>
      <c r="H2842" s="7" t="n"/>
      <c r="I2842" s="7" t="n"/>
      <c r="J2842" s="7" t="n"/>
      <c r="K2842" s="7" t="n"/>
      <c r="L2842" s="7" t="n"/>
      <c r="M2842" s="7" t="n"/>
      <c r="N2842" s="7" t="n"/>
      <c r="O2842" s="7" t="n"/>
      <c r="P2842" s="65" t="n"/>
      <c r="Q2842" s="75" t="n"/>
      <c r="R2842" s="75" t="n"/>
      <c r="S2842" s="76" t="n"/>
      <c r="T2842" s="76" t="n"/>
      <c r="U2842" s="70">
        <f>IF($A2842="","",IFERROR(INDEX('Techniciens'!$F$5:$F$44,MATCH(O2842,'Techniciens'!$B$5:$B$44,0)),'Paramètres'!$AA$10))</f>
        <v/>
      </c>
      <c r="V2842" s="70">
        <f>IF($A2842="","",IF(OR(AC2842="Demandé",AC2842="Planifié",AC2842="Annulé"),0,N(T2842)*N(U2842)))</f>
        <v/>
      </c>
      <c r="W2842" s="70">
        <f>IF($A2842="","",SUMIFS('Mouvements stock'!$H$5:$H$3004,'Mouvements stock'!$I$5:$I$3004,$A2842,'Mouvements stock'!$C$5:$C$3004,"Sortie")-SUMIFS('Mouvements stock'!$H$5:$H$3004,'Mouvements stock'!$I$5:$I$3004,$A2842,'Mouvements stock'!$C$5:$C$3004,"Retour"))</f>
        <v/>
      </c>
      <c r="X2842" s="66" t="n"/>
      <c r="Y2842" s="66" t="n"/>
      <c r="Z2842" s="7" t="n"/>
      <c r="AA2842" s="70">
        <f>IF($A2842="","",N(V2842)+N(W2842)+N(X2842)+N(Y2842))</f>
        <v/>
      </c>
      <c r="AB2842" s="70">
        <f>IF($A2842="","",N(S2842)*'Paramètres'!$AA$9*IFERROR(INDEX('Paramètres'!$O$5:$O$7,MATCH(G2842,'Paramètres'!$N$5:$N$7,0)),0))</f>
        <v/>
      </c>
      <c r="AC2842" s="7" t="n"/>
      <c r="AD2842" s="69">
        <f>IF(OR($A2842="",Q2842=""),"",(Q2842-B2842)*24)</f>
        <v/>
      </c>
      <c r="AE2842" s="69">
        <f>IF(OR(Q2842="",R2842=""),"",(R2842-Q2842)*24)</f>
        <v/>
      </c>
      <c r="AF2842" s="77">
        <f>IF(OR($A2842="",B2842=""),"",YEAR(B2842))</f>
        <v/>
      </c>
      <c r="AG2842" s="77">
        <f>IF(OR($A2842="",B2842=""),"",MONTH(B2842))</f>
        <v/>
      </c>
    </row>
    <row r="2843">
      <c r="A2843" s="7" t="n"/>
      <c r="B2843" s="75" t="n"/>
      <c r="C2843" s="7" t="n"/>
      <c r="D2843" s="7" t="n"/>
      <c r="E2843" s="9">
        <f>IF(D2843="","",IFERROR(INDEX('Équipements'!$B$5:$B$304,MATCH(D2843,'Équipements'!$A$5:$A$304,0)),"Code inconnu"))</f>
        <v/>
      </c>
      <c r="F2843" s="9">
        <f>IF(D2843="","",IFERROR(INDEX('Équipements'!$D$5:$D$304,MATCH(D2843,'Équipements'!$A$5:$A$304,0)),""))</f>
        <v/>
      </c>
      <c r="G2843" s="9">
        <f>IF(D2843="","",IFERROR(INDEX('Équipements'!$K$5:$K$304,MATCH(D2843,'Équipements'!$A$5:$A$304,0)),""))</f>
        <v/>
      </c>
      <c r="H2843" s="7" t="n"/>
      <c r="I2843" s="7" t="n"/>
      <c r="J2843" s="7" t="n"/>
      <c r="K2843" s="7" t="n"/>
      <c r="L2843" s="7" t="n"/>
      <c r="M2843" s="7" t="n"/>
      <c r="N2843" s="7" t="n"/>
      <c r="O2843" s="7" t="n"/>
      <c r="P2843" s="65" t="n"/>
      <c r="Q2843" s="75" t="n"/>
      <c r="R2843" s="75" t="n"/>
      <c r="S2843" s="76" t="n"/>
      <c r="T2843" s="76" t="n"/>
      <c r="U2843" s="70">
        <f>IF($A2843="","",IFERROR(INDEX('Techniciens'!$F$5:$F$44,MATCH(O2843,'Techniciens'!$B$5:$B$44,0)),'Paramètres'!$AA$10))</f>
        <v/>
      </c>
      <c r="V2843" s="70">
        <f>IF($A2843="","",IF(OR(AC2843="Demandé",AC2843="Planifié",AC2843="Annulé"),0,N(T2843)*N(U2843)))</f>
        <v/>
      </c>
      <c r="W2843" s="70">
        <f>IF($A2843="","",SUMIFS('Mouvements stock'!$H$5:$H$3004,'Mouvements stock'!$I$5:$I$3004,$A2843,'Mouvements stock'!$C$5:$C$3004,"Sortie")-SUMIFS('Mouvements stock'!$H$5:$H$3004,'Mouvements stock'!$I$5:$I$3004,$A2843,'Mouvements stock'!$C$5:$C$3004,"Retour"))</f>
        <v/>
      </c>
      <c r="X2843" s="66" t="n"/>
      <c r="Y2843" s="66" t="n"/>
      <c r="Z2843" s="7" t="n"/>
      <c r="AA2843" s="70">
        <f>IF($A2843="","",N(V2843)+N(W2843)+N(X2843)+N(Y2843))</f>
        <v/>
      </c>
      <c r="AB2843" s="70">
        <f>IF($A2843="","",N(S2843)*'Paramètres'!$AA$9*IFERROR(INDEX('Paramètres'!$O$5:$O$7,MATCH(G2843,'Paramètres'!$N$5:$N$7,0)),0))</f>
        <v/>
      </c>
      <c r="AC2843" s="7" t="n"/>
      <c r="AD2843" s="69">
        <f>IF(OR($A2843="",Q2843=""),"",(Q2843-B2843)*24)</f>
        <v/>
      </c>
      <c r="AE2843" s="69">
        <f>IF(OR(Q2843="",R2843=""),"",(R2843-Q2843)*24)</f>
        <v/>
      </c>
      <c r="AF2843" s="77">
        <f>IF(OR($A2843="",B2843=""),"",YEAR(B2843))</f>
        <v/>
      </c>
      <c r="AG2843" s="77">
        <f>IF(OR($A2843="",B2843=""),"",MONTH(B2843))</f>
        <v/>
      </c>
    </row>
    <row r="2844">
      <c r="A2844" s="7" t="n"/>
      <c r="B2844" s="75" t="n"/>
      <c r="C2844" s="7" t="n"/>
      <c r="D2844" s="7" t="n"/>
      <c r="E2844" s="9">
        <f>IF(D2844="","",IFERROR(INDEX('Équipements'!$B$5:$B$304,MATCH(D2844,'Équipements'!$A$5:$A$304,0)),"Code inconnu"))</f>
        <v/>
      </c>
      <c r="F2844" s="9">
        <f>IF(D2844="","",IFERROR(INDEX('Équipements'!$D$5:$D$304,MATCH(D2844,'Équipements'!$A$5:$A$304,0)),""))</f>
        <v/>
      </c>
      <c r="G2844" s="9">
        <f>IF(D2844="","",IFERROR(INDEX('Équipements'!$K$5:$K$304,MATCH(D2844,'Équipements'!$A$5:$A$304,0)),""))</f>
        <v/>
      </c>
      <c r="H2844" s="7" t="n"/>
      <c r="I2844" s="7" t="n"/>
      <c r="J2844" s="7" t="n"/>
      <c r="K2844" s="7" t="n"/>
      <c r="L2844" s="7" t="n"/>
      <c r="M2844" s="7" t="n"/>
      <c r="N2844" s="7" t="n"/>
      <c r="O2844" s="7" t="n"/>
      <c r="P2844" s="65" t="n"/>
      <c r="Q2844" s="75" t="n"/>
      <c r="R2844" s="75" t="n"/>
      <c r="S2844" s="76" t="n"/>
      <c r="T2844" s="76" t="n"/>
      <c r="U2844" s="70">
        <f>IF($A2844="","",IFERROR(INDEX('Techniciens'!$F$5:$F$44,MATCH(O2844,'Techniciens'!$B$5:$B$44,0)),'Paramètres'!$AA$10))</f>
        <v/>
      </c>
      <c r="V2844" s="70">
        <f>IF($A2844="","",IF(OR(AC2844="Demandé",AC2844="Planifié",AC2844="Annulé"),0,N(T2844)*N(U2844)))</f>
        <v/>
      </c>
      <c r="W2844" s="70">
        <f>IF($A2844="","",SUMIFS('Mouvements stock'!$H$5:$H$3004,'Mouvements stock'!$I$5:$I$3004,$A2844,'Mouvements stock'!$C$5:$C$3004,"Sortie")-SUMIFS('Mouvements stock'!$H$5:$H$3004,'Mouvements stock'!$I$5:$I$3004,$A2844,'Mouvements stock'!$C$5:$C$3004,"Retour"))</f>
        <v/>
      </c>
      <c r="X2844" s="66" t="n"/>
      <c r="Y2844" s="66" t="n"/>
      <c r="Z2844" s="7" t="n"/>
      <c r="AA2844" s="70">
        <f>IF($A2844="","",N(V2844)+N(W2844)+N(X2844)+N(Y2844))</f>
        <v/>
      </c>
      <c r="AB2844" s="70">
        <f>IF($A2844="","",N(S2844)*'Paramètres'!$AA$9*IFERROR(INDEX('Paramètres'!$O$5:$O$7,MATCH(G2844,'Paramètres'!$N$5:$N$7,0)),0))</f>
        <v/>
      </c>
      <c r="AC2844" s="7" t="n"/>
      <c r="AD2844" s="69">
        <f>IF(OR($A2844="",Q2844=""),"",(Q2844-B2844)*24)</f>
        <v/>
      </c>
      <c r="AE2844" s="69">
        <f>IF(OR(Q2844="",R2844=""),"",(R2844-Q2844)*24)</f>
        <v/>
      </c>
      <c r="AF2844" s="77">
        <f>IF(OR($A2844="",B2844=""),"",YEAR(B2844))</f>
        <v/>
      </c>
      <c r="AG2844" s="77">
        <f>IF(OR($A2844="",B2844=""),"",MONTH(B2844))</f>
        <v/>
      </c>
    </row>
    <row r="2845">
      <c r="A2845" s="7" t="n"/>
      <c r="B2845" s="75" t="n"/>
      <c r="C2845" s="7" t="n"/>
      <c r="D2845" s="7" t="n"/>
      <c r="E2845" s="9">
        <f>IF(D2845="","",IFERROR(INDEX('Équipements'!$B$5:$B$304,MATCH(D2845,'Équipements'!$A$5:$A$304,0)),"Code inconnu"))</f>
        <v/>
      </c>
      <c r="F2845" s="9">
        <f>IF(D2845="","",IFERROR(INDEX('Équipements'!$D$5:$D$304,MATCH(D2845,'Équipements'!$A$5:$A$304,0)),""))</f>
        <v/>
      </c>
      <c r="G2845" s="9">
        <f>IF(D2845="","",IFERROR(INDEX('Équipements'!$K$5:$K$304,MATCH(D2845,'Équipements'!$A$5:$A$304,0)),""))</f>
        <v/>
      </c>
      <c r="H2845" s="7" t="n"/>
      <c r="I2845" s="7" t="n"/>
      <c r="J2845" s="7" t="n"/>
      <c r="K2845" s="7" t="n"/>
      <c r="L2845" s="7" t="n"/>
      <c r="M2845" s="7" t="n"/>
      <c r="N2845" s="7" t="n"/>
      <c r="O2845" s="7" t="n"/>
      <c r="P2845" s="65" t="n"/>
      <c r="Q2845" s="75" t="n"/>
      <c r="R2845" s="75" t="n"/>
      <c r="S2845" s="76" t="n"/>
      <c r="T2845" s="76" t="n"/>
      <c r="U2845" s="70">
        <f>IF($A2845="","",IFERROR(INDEX('Techniciens'!$F$5:$F$44,MATCH(O2845,'Techniciens'!$B$5:$B$44,0)),'Paramètres'!$AA$10))</f>
        <v/>
      </c>
      <c r="V2845" s="70">
        <f>IF($A2845="","",IF(OR(AC2845="Demandé",AC2845="Planifié",AC2845="Annulé"),0,N(T2845)*N(U2845)))</f>
        <v/>
      </c>
      <c r="W2845" s="70">
        <f>IF($A2845="","",SUMIFS('Mouvements stock'!$H$5:$H$3004,'Mouvements stock'!$I$5:$I$3004,$A2845,'Mouvements stock'!$C$5:$C$3004,"Sortie")-SUMIFS('Mouvements stock'!$H$5:$H$3004,'Mouvements stock'!$I$5:$I$3004,$A2845,'Mouvements stock'!$C$5:$C$3004,"Retour"))</f>
        <v/>
      </c>
      <c r="X2845" s="66" t="n"/>
      <c r="Y2845" s="66" t="n"/>
      <c r="Z2845" s="7" t="n"/>
      <c r="AA2845" s="70">
        <f>IF($A2845="","",N(V2845)+N(W2845)+N(X2845)+N(Y2845))</f>
        <v/>
      </c>
      <c r="AB2845" s="70">
        <f>IF($A2845="","",N(S2845)*'Paramètres'!$AA$9*IFERROR(INDEX('Paramètres'!$O$5:$O$7,MATCH(G2845,'Paramètres'!$N$5:$N$7,0)),0))</f>
        <v/>
      </c>
      <c r="AC2845" s="7" t="n"/>
      <c r="AD2845" s="69">
        <f>IF(OR($A2845="",Q2845=""),"",(Q2845-B2845)*24)</f>
        <v/>
      </c>
      <c r="AE2845" s="69">
        <f>IF(OR(Q2845="",R2845=""),"",(R2845-Q2845)*24)</f>
        <v/>
      </c>
      <c r="AF2845" s="77">
        <f>IF(OR($A2845="",B2845=""),"",YEAR(B2845))</f>
        <v/>
      </c>
      <c r="AG2845" s="77">
        <f>IF(OR($A2845="",B2845=""),"",MONTH(B2845))</f>
        <v/>
      </c>
    </row>
    <row r="2846">
      <c r="A2846" s="7" t="n"/>
      <c r="B2846" s="75" t="n"/>
      <c r="C2846" s="7" t="n"/>
      <c r="D2846" s="7" t="n"/>
      <c r="E2846" s="9">
        <f>IF(D2846="","",IFERROR(INDEX('Équipements'!$B$5:$B$304,MATCH(D2846,'Équipements'!$A$5:$A$304,0)),"Code inconnu"))</f>
        <v/>
      </c>
      <c r="F2846" s="9">
        <f>IF(D2846="","",IFERROR(INDEX('Équipements'!$D$5:$D$304,MATCH(D2846,'Équipements'!$A$5:$A$304,0)),""))</f>
        <v/>
      </c>
      <c r="G2846" s="9">
        <f>IF(D2846="","",IFERROR(INDEX('Équipements'!$K$5:$K$304,MATCH(D2846,'Équipements'!$A$5:$A$304,0)),""))</f>
        <v/>
      </c>
      <c r="H2846" s="7" t="n"/>
      <c r="I2846" s="7" t="n"/>
      <c r="J2846" s="7" t="n"/>
      <c r="K2846" s="7" t="n"/>
      <c r="L2846" s="7" t="n"/>
      <c r="M2846" s="7" t="n"/>
      <c r="N2846" s="7" t="n"/>
      <c r="O2846" s="7" t="n"/>
      <c r="P2846" s="65" t="n"/>
      <c r="Q2846" s="75" t="n"/>
      <c r="R2846" s="75" t="n"/>
      <c r="S2846" s="76" t="n"/>
      <c r="T2846" s="76" t="n"/>
      <c r="U2846" s="70">
        <f>IF($A2846="","",IFERROR(INDEX('Techniciens'!$F$5:$F$44,MATCH(O2846,'Techniciens'!$B$5:$B$44,0)),'Paramètres'!$AA$10))</f>
        <v/>
      </c>
      <c r="V2846" s="70">
        <f>IF($A2846="","",IF(OR(AC2846="Demandé",AC2846="Planifié",AC2846="Annulé"),0,N(T2846)*N(U2846)))</f>
        <v/>
      </c>
      <c r="W2846" s="70">
        <f>IF($A2846="","",SUMIFS('Mouvements stock'!$H$5:$H$3004,'Mouvements stock'!$I$5:$I$3004,$A2846,'Mouvements stock'!$C$5:$C$3004,"Sortie")-SUMIFS('Mouvements stock'!$H$5:$H$3004,'Mouvements stock'!$I$5:$I$3004,$A2846,'Mouvements stock'!$C$5:$C$3004,"Retour"))</f>
        <v/>
      </c>
      <c r="X2846" s="66" t="n"/>
      <c r="Y2846" s="66" t="n"/>
      <c r="Z2846" s="7" t="n"/>
      <c r="AA2846" s="70">
        <f>IF($A2846="","",N(V2846)+N(W2846)+N(X2846)+N(Y2846))</f>
        <v/>
      </c>
      <c r="AB2846" s="70">
        <f>IF($A2846="","",N(S2846)*'Paramètres'!$AA$9*IFERROR(INDEX('Paramètres'!$O$5:$O$7,MATCH(G2846,'Paramètres'!$N$5:$N$7,0)),0))</f>
        <v/>
      </c>
      <c r="AC2846" s="7" t="n"/>
      <c r="AD2846" s="69">
        <f>IF(OR($A2846="",Q2846=""),"",(Q2846-B2846)*24)</f>
        <v/>
      </c>
      <c r="AE2846" s="69">
        <f>IF(OR(Q2846="",R2846=""),"",(R2846-Q2846)*24)</f>
        <v/>
      </c>
      <c r="AF2846" s="77">
        <f>IF(OR($A2846="",B2846=""),"",YEAR(B2846))</f>
        <v/>
      </c>
      <c r="AG2846" s="77">
        <f>IF(OR($A2846="",B2846=""),"",MONTH(B2846))</f>
        <v/>
      </c>
    </row>
    <row r="2847">
      <c r="A2847" s="7" t="n"/>
      <c r="B2847" s="75" t="n"/>
      <c r="C2847" s="7" t="n"/>
      <c r="D2847" s="7" t="n"/>
      <c r="E2847" s="9">
        <f>IF(D2847="","",IFERROR(INDEX('Équipements'!$B$5:$B$304,MATCH(D2847,'Équipements'!$A$5:$A$304,0)),"Code inconnu"))</f>
        <v/>
      </c>
      <c r="F2847" s="9">
        <f>IF(D2847="","",IFERROR(INDEX('Équipements'!$D$5:$D$304,MATCH(D2847,'Équipements'!$A$5:$A$304,0)),""))</f>
        <v/>
      </c>
      <c r="G2847" s="9">
        <f>IF(D2847="","",IFERROR(INDEX('Équipements'!$K$5:$K$304,MATCH(D2847,'Équipements'!$A$5:$A$304,0)),""))</f>
        <v/>
      </c>
      <c r="H2847" s="7" t="n"/>
      <c r="I2847" s="7" t="n"/>
      <c r="J2847" s="7" t="n"/>
      <c r="K2847" s="7" t="n"/>
      <c r="L2847" s="7" t="n"/>
      <c r="M2847" s="7" t="n"/>
      <c r="N2847" s="7" t="n"/>
      <c r="O2847" s="7" t="n"/>
      <c r="P2847" s="65" t="n"/>
      <c r="Q2847" s="75" t="n"/>
      <c r="R2847" s="75" t="n"/>
      <c r="S2847" s="76" t="n"/>
      <c r="T2847" s="76" t="n"/>
      <c r="U2847" s="70">
        <f>IF($A2847="","",IFERROR(INDEX('Techniciens'!$F$5:$F$44,MATCH(O2847,'Techniciens'!$B$5:$B$44,0)),'Paramètres'!$AA$10))</f>
        <v/>
      </c>
      <c r="V2847" s="70">
        <f>IF($A2847="","",IF(OR(AC2847="Demandé",AC2847="Planifié",AC2847="Annulé"),0,N(T2847)*N(U2847)))</f>
        <v/>
      </c>
      <c r="W2847" s="70">
        <f>IF($A2847="","",SUMIFS('Mouvements stock'!$H$5:$H$3004,'Mouvements stock'!$I$5:$I$3004,$A2847,'Mouvements stock'!$C$5:$C$3004,"Sortie")-SUMIFS('Mouvements stock'!$H$5:$H$3004,'Mouvements stock'!$I$5:$I$3004,$A2847,'Mouvements stock'!$C$5:$C$3004,"Retour"))</f>
        <v/>
      </c>
      <c r="X2847" s="66" t="n"/>
      <c r="Y2847" s="66" t="n"/>
      <c r="Z2847" s="7" t="n"/>
      <c r="AA2847" s="70">
        <f>IF($A2847="","",N(V2847)+N(W2847)+N(X2847)+N(Y2847))</f>
        <v/>
      </c>
      <c r="AB2847" s="70">
        <f>IF($A2847="","",N(S2847)*'Paramètres'!$AA$9*IFERROR(INDEX('Paramètres'!$O$5:$O$7,MATCH(G2847,'Paramètres'!$N$5:$N$7,0)),0))</f>
        <v/>
      </c>
      <c r="AC2847" s="7" t="n"/>
      <c r="AD2847" s="69">
        <f>IF(OR($A2847="",Q2847=""),"",(Q2847-B2847)*24)</f>
        <v/>
      </c>
      <c r="AE2847" s="69">
        <f>IF(OR(Q2847="",R2847=""),"",(R2847-Q2847)*24)</f>
        <v/>
      </c>
      <c r="AF2847" s="77">
        <f>IF(OR($A2847="",B2847=""),"",YEAR(B2847))</f>
        <v/>
      </c>
      <c r="AG2847" s="77">
        <f>IF(OR($A2847="",B2847=""),"",MONTH(B2847))</f>
        <v/>
      </c>
    </row>
    <row r="2848">
      <c r="A2848" s="7" t="n"/>
      <c r="B2848" s="75" t="n"/>
      <c r="C2848" s="7" t="n"/>
      <c r="D2848" s="7" t="n"/>
      <c r="E2848" s="9">
        <f>IF(D2848="","",IFERROR(INDEX('Équipements'!$B$5:$B$304,MATCH(D2848,'Équipements'!$A$5:$A$304,0)),"Code inconnu"))</f>
        <v/>
      </c>
      <c r="F2848" s="9">
        <f>IF(D2848="","",IFERROR(INDEX('Équipements'!$D$5:$D$304,MATCH(D2848,'Équipements'!$A$5:$A$304,0)),""))</f>
        <v/>
      </c>
      <c r="G2848" s="9">
        <f>IF(D2848="","",IFERROR(INDEX('Équipements'!$K$5:$K$304,MATCH(D2848,'Équipements'!$A$5:$A$304,0)),""))</f>
        <v/>
      </c>
      <c r="H2848" s="7" t="n"/>
      <c r="I2848" s="7" t="n"/>
      <c r="J2848" s="7" t="n"/>
      <c r="K2848" s="7" t="n"/>
      <c r="L2848" s="7" t="n"/>
      <c r="M2848" s="7" t="n"/>
      <c r="N2848" s="7" t="n"/>
      <c r="O2848" s="7" t="n"/>
      <c r="P2848" s="65" t="n"/>
      <c r="Q2848" s="75" t="n"/>
      <c r="R2848" s="75" t="n"/>
      <c r="S2848" s="76" t="n"/>
      <c r="T2848" s="76" t="n"/>
      <c r="U2848" s="70">
        <f>IF($A2848="","",IFERROR(INDEX('Techniciens'!$F$5:$F$44,MATCH(O2848,'Techniciens'!$B$5:$B$44,0)),'Paramètres'!$AA$10))</f>
        <v/>
      </c>
      <c r="V2848" s="70">
        <f>IF($A2848="","",IF(OR(AC2848="Demandé",AC2848="Planifié",AC2848="Annulé"),0,N(T2848)*N(U2848)))</f>
        <v/>
      </c>
      <c r="W2848" s="70">
        <f>IF($A2848="","",SUMIFS('Mouvements stock'!$H$5:$H$3004,'Mouvements stock'!$I$5:$I$3004,$A2848,'Mouvements stock'!$C$5:$C$3004,"Sortie")-SUMIFS('Mouvements stock'!$H$5:$H$3004,'Mouvements stock'!$I$5:$I$3004,$A2848,'Mouvements stock'!$C$5:$C$3004,"Retour"))</f>
        <v/>
      </c>
      <c r="X2848" s="66" t="n"/>
      <c r="Y2848" s="66" t="n"/>
      <c r="Z2848" s="7" t="n"/>
      <c r="AA2848" s="70">
        <f>IF($A2848="","",N(V2848)+N(W2848)+N(X2848)+N(Y2848))</f>
        <v/>
      </c>
      <c r="AB2848" s="70">
        <f>IF($A2848="","",N(S2848)*'Paramètres'!$AA$9*IFERROR(INDEX('Paramètres'!$O$5:$O$7,MATCH(G2848,'Paramètres'!$N$5:$N$7,0)),0))</f>
        <v/>
      </c>
      <c r="AC2848" s="7" t="n"/>
      <c r="AD2848" s="69">
        <f>IF(OR($A2848="",Q2848=""),"",(Q2848-B2848)*24)</f>
        <v/>
      </c>
      <c r="AE2848" s="69">
        <f>IF(OR(Q2848="",R2848=""),"",(R2848-Q2848)*24)</f>
        <v/>
      </c>
      <c r="AF2848" s="77">
        <f>IF(OR($A2848="",B2848=""),"",YEAR(B2848))</f>
        <v/>
      </c>
      <c r="AG2848" s="77">
        <f>IF(OR($A2848="",B2848=""),"",MONTH(B2848))</f>
        <v/>
      </c>
    </row>
    <row r="2849">
      <c r="A2849" s="7" t="n"/>
      <c r="B2849" s="75" t="n"/>
      <c r="C2849" s="7" t="n"/>
      <c r="D2849" s="7" t="n"/>
      <c r="E2849" s="9">
        <f>IF(D2849="","",IFERROR(INDEX('Équipements'!$B$5:$B$304,MATCH(D2849,'Équipements'!$A$5:$A$304,0)),"Code inconnu"))</f>
        <v/>
      </c>
      <c r="F2849" s="9">
        <f>IF(D2849="","",IFERROR(INDEX('Équipements'!$D$5:$D$304,MATCH(D2849,'Équipements'!$A$5:$A$304,0)),""))</f>
        <v/>
      </c>
      <c r="G2849" s="9">
        <f>IF(D2849="","",IFERROR(INDEX('Équipements'!$K$5:$K$304,MATCH(D2849,'Équipements'!$A$5:$A$304,0)),""))</f>
        <v/>
      </c>
      <c r="H2849" s="7" t="n"/>
      <c r="I2849" s="7" t="n"/>
      <c r="J2849" s="7" t="n"/>
      <c r="K2849" s="7" t="n"/>
      <c r="L2849" s="7" t="n"/>
      <c r="M2849" s="7" t="n"/>
      <c r="N2849" s="7" t="n"/>
      <c r="O2849" s="7" t="n"/>
      <c r="P2849" s="65" t="n"/>
      <c r="Q2849" s="75" t="n"/>
      <c r="R2849" s="75" t="n"/>
      <c r="S2849" s="76" t="n"/>
      <c r="T2849" s="76" t="n"/>
      <c r="U2849" s="70">
        <f>IF($A2849="","",IFERROR(INDEX('Techniciens'!$F$5:$F$44,MATCH(O2849,'Techniciens'!$B$5:$B$44,0)),'Paramètres'!$AA$10))</f>
        <v/>
      </c>
      <c r="V2849" s="70">
        <f>IF($A2849="","",IF(OR(AC2849="Demandé",AC2849="Planifié",AC2849="Annulé"),0,N(T2849)*N(U2849)))</f>
        <v/>
      </c>
      <c r="W2849" s="70">
        <f>IF($A2849="","",SUMIFS('Mouvements stock'!$H$5:$H$3004,'Mouvements stock'!$I$5:$I$3004,$A2849,'Mouvements stock'!$C$5:$C$3004,"Sortie")-SUMIFS('Mouvements stock'!$H$5:$H$3004,'Mouvements stock'!$I$5:$I$3004,$A2849,'Mouvements stock'!$C$5:$C$3004,"Retour"))</f>
        <v/>
      </c>
      <c r="X2849" s="66" t="n"/>
      <c r="Y2849" s="66" t="n"/>
      <c r="Z2849" s="7" t="n"/>
      <c r="AA2849" s="70">
        <f>IF($A2849="","",N(V2849)+N(W2849)+N(X2849)+N(Y2849))</f>
        <v/>
      </c>
      <c r="AB2849" s="70">
        <f>IF($A2849="","",N(S2849)*'Paramètres'!$AA$9*IFERROR(INDEX('Paramètres'!$O$5:$O$7,MATCH(G2849,'Paramètres'!$N$5:$N$7,0)),0))</f>
        <v/>
      </c>
      <c r="AC2849" s="7" t="n"/>
      <c r="AD2849" s="69">
        <f>IF(OR($A2849="",Q2849=""),"",(Q2849-B2849)*24)</f>
        <v/>
      </c>
      <c r="AE2849" s="69">
        <f>IF(OR(Q2849="",R2849=""),"",(R2849-Q2849)*24)</f>
        <v/>
      </c>
      <c r="AF2849" s="77">
        <f>IF(OR($A2849="",B2849=""),"",YEAR(B2849))</f>
        <v/>
      </c>
      <c r="AG2849" s="77">
        <f>IF(OR($A2849="",B2849=""),"",MONTH(B2849))</f>
        <v/>
      </c>
    </row>
    <row r="2850">
      <c r="A2850" s="7" t="n"/>
      <c r="B2850" s="75" t="n"/>
      <c r="C2850" s="7" t="n"/>
      <c r="D2850" s="7" t="n"/>
      <c r="E2850" s="9">
        <f>IF(D2850="","",IFERROR(INDEX('Équipements'!$B$5:$B$304,MATCH(D2850,'Équipements'!$A$5:$A$304,0)),"Code inconnu"))</f>
        <v/>
      </c>
      <c r="F2850" s="9">
        <f>IF(D2850="","",IFERROR(INDEX('Équipements'!$D$5:$D$304,MATCH(D2850,'Équipements'!$A$5:$A$304,0)),""))</f>
        <v/>
      </c>
      <c r="G2850" s="9">
        <f>IF(D2850="","",IFERROR(INDEX('Équipements'!$K$5:$K$304,MATCH(D2850,'Équipements'!$A$5:$A$304,0)),""))</f>
        <v/>
      </c>
      <c r="H2850" s="7" t="n"/>
      <c r="I2850" s="7" t="n"/>
      <c r="J2850" s="7" t="n"/>
      <c r="K2850" s="7" t="n"/>
      <c r="L2850" s="7" t="n"/>
      <c r="M2850" s="7" t="n"/>
      <c r="N2850" s="7" t="n"/>
      <c r="O2850" s="7" t="n"/>
      <c r="P2850" s="65" t="n"/>
      <c r="Q2850" s="75" t="n"/>
      <c r="R2850" s="75" t="n"/>
      <c r="S2850" s="76" t="n"/>
      <c r="T2850" s="76" t="n"/>
      <c r="U2850" s="70">
        <f>IF($A2850="","",IFERROR(INDEX('Techniciens'!$F$5:$F$44,MATCH(O2850,'Techniciens'!$B$5:$B$44,0)),'Paramètres'!$AA$10))</f>
        <v/>
      </c>
      <c r="V2850" s="70">
        <f>IF($A2850="","",IF(OR(AC2850="Demandé",AC2850="Planifié",AC2850="Annulé"),0,N(T2850)*N(U2850)))</f>
        <v/>
      </c>
      <c r="W2850" s="70">
        <f>IF($A2850="","",SUMIFS('Mouvements stock'!$H$5:$H$3004,'Mouvements stock'!$I$5:$I$3004,$A2850,'Mouvements stock'!$C$5:$C$3004,"Sortie")-SUMIFS('Mouvements stock'!$H$5:$H$3004,'Mouvements stock'!$I$5:$I$3004,$A2850,'Mouvements stock'!$C$5:$C$3004,"Retour"))</f>
        <v/>
      </c>
      <c r="X2850" s="66" t="n"/>
      <c r="Y2850" s="66" t="n"/>
      <c r="Z2850" s="7" t="n"/>
      <c r="AA2850" s="70">
        <f>IF($A2850="","",N(V2850)+N(W2850)+N(X2850)+N(Y2850))</f>
        <v/>
      </c>
      <c r="AB2850" s="70">
        <f>IF($A2850="","",N(S2850)*'Paramètres'!$AA$9*IFERROR(INDEX('Paramètres'!$O$5:$O$7,MATCH(G2850,'Paramètres'!$N$5:$N$7,0)),0))</f>
        <v/>
      </c>
      <c r="AC2850" s="7" t="n"/>
      <c r="AD2850" s="69">
        <f>IF(OR($A2850="",Q2850=""),"",(Q2850-B2850)*24)</f>
        <v/>
      </c>
      <c r="AE2850" s="69">
        <f>IF(OR(Q2850="",R2850=""),"",(R2850-Q2850)*24)</f>
        <v/>
      </c>
      <c r="AF2850" s="77">
        <f>IF(OR($A2850="",B2850=""),"",YEAR(B2850))</f>
        <v/>
      </c>
      <c r="AG2850" s="77">
        <f>IF(OR($A2850="",B2850=""),"",MONTH(B2850))</f>
        <v/>
      </c>
    </row>
    <row r="2851">
      <c r="A2851" s="7" t="n"/>
      <c r="B2851" s="75" t="n"/>
      <c r="C2851" s="7" t="n"/>
      <c r="D2851" s="7" t="n"/>
      <c r="E2851" s="9">
        <f>IF(D2851="","",IFERROR(INDEX('Équipements'!$B$5:$B$304,MATCH(D2851,'Équipements'!$A$5:$A$304,0)),"Code inconnu"))</f>
        <v/>
      </c>
      <c r="F2851" s="9">
        <f>IF(D2851="","",IFERROR(INDEX('Équipements'!$D$5:$D$304,MATCH(D2851,'Équipements'!$A$5:$A$304,0)),""))</f>
        <v/>
      </c>
      <c r="G2851" s="9">
        <f>IF(D2851="","",IFERROR(INDEX('Équipements'!$K$5:$K$304,MATCH(D2851,'Équipements'!$A$5:$A$304,0)),""))</f>
        <v/>
      </c>
      <c r="H2851" s="7" t="n"/>
      <c r="I2851" s="7" t="n"/>
      <c r="J2851" s="7" t="n"/>
      <c r="K2851" s="7" t="n"/>
      <c r="L2851" s="7" t="n"/>
      <c r="M2851" s="7" t="n"/>
      <c r="N2851" s="7" t="n"/>
      <c r="O2851" s="7" t="n"/>
      <c r="P2851" s="65" t="n"/>
      <c r="Q2851" s="75" t="n"/>
      <c r="R2851" s="75" t="n"/>
      <c r="S2851" s="76" t="n"/>
      <c r="T2851" s="76" t="n"/>
      <c r="U2851" s="70">
        <f>IF($A2851="","",IFERROR(INDEX('Techniciens'!$F$5:$F$44,MATCH(O2851,'Techniciens'!$B$5:$B$44,0)),'Paramètres'!$AA$10))</f>
        <v/>
      </c>
      <c r="V2851" s="70">
        <f>IF($A2851="","",IF(OR(AC2851="Demandé",AC2851="Planifié",AC2851="Annulé"),0,N(T2851)*N(U2851)))</f>
        <v/>
      </c>
      <c r="W2851" s="70">
        <f>IF($A2851="","",SUMIFS('Mouvements stock'!$H$5:$H$3004,'Mouvements stock'!$I$5:$I$3004,$A2851,'Mouvements stock'!$C$5:$C$3004,"Sortie")-SUMIFS('Mouvements stock'!$H$5:$H$3004,'Mouvements stock'!$I$5:$I$3004,$A2851,'Mouvements stock'!$C$5:$C$3004,"Retour"))</f>
        <v/>
      </c>
      <c r="X2851" s="66" t="n"/>
      <c r="Y2851" s="66" t="n"/>
      <c r="Z2851" s="7" t="n"/>
      <c r="AA2851" s="70">
        <f>IF($A2851="","",N(V2851)+N(W2851)+N(X2851)+N(Y2851))</f>
        <v/>
      </c>
      <c r="AB2851" s="70">
        <f>IF($A2851="","",N(S2851)*'Paramètres'!$AA$9*IFERROR(INDEX('Paramètres'!$O$5:$O$7,MATCH(G2851,'Paramètres'!$N$5:$N$7,0)),0))</f>
        <v/>
      </c>
      <c r="AC2851" s="7" t="n"/>
      <c r="AD2851" s="69">
        <f>IF(OR($A2851="",Q2851=""),"",(Q2851-B2851)*24)</f>
        <v/>
      </c>
      <c r="AE2851" s="69">
        <f>IF(OR(Q2851="",R2851=""),"",(R2851-Q2851)*24)</f>
        <v/>
      </c>
      <c r="AF2851" s="77">
        <f>IF(OR($A2851="",B2851=""),"",YEAR(B2851))</f>
        <v/>
      </c>
      <c r="AG2851" s="77">
        <f>IF(OR($A2851="",B2851=""),"",MONTH(B2851))</f>
        <v/>
      </c>
    </row>
    <row r="2852">
      <c r="A2852" s="7" t="n"/>
      <c r="B2852" s="75" t="n"/>
      <c r="C2852" s="7" t="n"/>
      <c r="D2852" s="7" t="n"/>
      <c r="E2852" s="9">
        <f>IF(D2852="","",IFERROR(INDEX('Équipements'!$B$5:$B$304,MATCH(D2852,'Équipements'!$A$5:$A$304,0)),"Code inconnu"))</f>
        <v/>
      </c>
      <c r="F2852" s="9">
        <f>IF(D2852="","",IFERROR(INDEX('Équipements'!$D$5:$D$304,MATCH(D2852,'Équipements'!$A$5:$A$304,0)),""))</f>
        <v/>
      </c>
      <c r="G2852" s="9">
        <f>IF(D2852="","",IFERROR(INDEX('Équipements'!$K$5:$K$304,MATCH(D2852,'Équipements'!$A$5:$A$304,0)),""))</f>
        <v/>
      </c>
      <c r="H2852" s="7" t="n"/>
      <c r="I2852" s="7" t="n"/>
      <c r="J2852" s="7" t="n"/>
      <c r="K2852" s="7" t="n"/>
      <c r="L2852" s="7" t="n"/>
      <c r="M2852" s="7" t="n"/>
      <c r="N2852" s="7" t="n"/>
      <c r="O2852" s="7" t="n"/>
      <c r="P2852" s="65" t="n"/>
      <c r="Q2852" s="75" t="n"/>
      <c r="R2852" s="75" t="n"/>
      <c r="S2852" s="76" t="n"/>
      <c r="T2852" s="76" t="n"/>
      <c r="U2852" s="70">
        <f>IF($A2852="","",IFERROR(INDEX('Techniciens'!$F$5:$F$44,MATCH(O2852,'Techniciens'!$B$5:$B$44,0)),'Paramètres'!$AA$10))</f>
        <v/>
      </c>
      <c r="V2852" s="70">
        <f>IF($A2852="","",IF(OR(AC2852="Demandé",AC2852="Planifié",AC2852="Annulé"),0,N(T2852)*N(U2852)))</f>
        <v/>
      </c>
      <c r="W2852" s="70">
        <f>IF($A2852="","",SUMIFS('Mouvements stock'!$H$5:$H$3004,'Mouvements stock'!$I$5:$I$3004,$A2852,'Mouvements stock'!$C$5:$C$3004,"Sortie")-SUMIFS('Mouvements stock'!$H$5:$H$3004,'Mouvements stock'!$I$5:$I$3004,$A2852,'Mouvements stock'!$C$5:$C$3004,"Retour"))</f>
        <v/>
      </c>
      <c r="X2852" s="66" t="n"/>
      <c r="Y2852" s="66" t="n"/>
      <c r="Z2852" s="7" t="n"/>
      <c r="AA2852" s="70">
        <f>IF($A2852="","",N(V2852)+N(W2852)+N(X2852)+N(Y2852))</f>
        <v/>
      </c>
      <c r="AB2852" s="70">
        <f>IF($A2852="","",N(S2852)*'Paramètres'!$AA$9*IFERROR(INDEX('Paramètres'!$O$5:$O$7,MATCH(G2852,'Paramètres'!$N$5:$N$7,0)),0))</f>
        <v/>
      </c>
      <c r="AC2852" s="7" t="n"/>
      <c r="AD2852" s="69">
        <f>IF(OR($A2852="",Q2852=""),"",(Q2852-B2852)*24)</f>
        <v/>
      </c>
      <c r="AE2852" s="69">
        <f>IF(OR(Q2852="",R2852=""),"",(R2852-Q2852)*24)</f>
        <v/>
      </c>
      <c r="AF2852" s="77">
        <f>IF(OR($A2852="",B2852=""),"",YEAR(B2852))</f>
        <v/>
      </c>
      <c r="AG2852" s="77">
        <f>IF(OR($A2852="",B2852=""),"",MONTH(B2852))</f>
        <v/>
      </c>
    </row>
    <row r="2853">
      <c r="A2853" s="7" t="n"/>
      <c r="B2853" s="75" t="n"/>
      <c r="C2853" s="7" t="n"/>
      <c r="D2853" s="7" t="n"/>
      <c r="E2853" s="9">
        <f>IF(D2853="","",IFERROR(INDEX('Équipements'!$B$5:$B$304,MATCH(D2853,'Équipements'!$A$5:$A$304,0)),"Code inconnu"))</f>
        <v/>
      </c>
      <c r="F2853" s="9">
        <f>IF(D2853="","",IFERROR(INDEX('Équipements'!$D$5:$D$304,MATCH(D2853,'Équipements'!$A$5:$A$304,0)),""))</f>
        <v/>
      </c>
      <c r="G2853" s="9">
        <f>IF(D2853="","",IFERROR(INDEX('Équipements'!$K$5:$K$304,MATCH(D2853,'Équipements'!$A$5:$A$304,0)),""))</f>
        <v/>
      </c>
      <c r="H2853" s="7" t="n"/>
      <c r="I2853" s="7" t="n"/>
      <c r="J2853" s="7" t="n"/>
      <c r="K2853" s="7" t="n"/>
      <c r="L2853" s="7" t="n"/>
      <c r="M2853" s="7" t="n"/>
      <c r="N2853" s="7" t="n"/>
      <c r="O2853" s="7" t="n"/>
      <c r="P2853" s="65" t="n"/>
      <c r="Q2853" s="75" t="n"/>
      <c r="R2853" s="75" t="n"/>
      <c r="S2853" s="76" t="n"/>
      <c r="T2853" s="76" t="n"/>
      <c r="U2853" s="70">
        <f>IF($A2853="","",IFERROR(INDEX('Techniciens'!$F$5:$F$44,MATCH(O2853,'Techniciens'!$B$5:$B$44,0)),'Paramètres'!$AA$10))</f>
        <v/>
      </c>
      <c r="V2853" s="70">
        <f>IF($A2853="","",IF(OR(AC2853="Demandé",AC2853="Planifié",AC2853="Annulé"),0,N(T2853)*N(U2853)))</f>
        <v/>
      </c>
      <c r="W2853" s="70">
        <f>IF($A2853="","",SUMIFS('Mouvements stock'!$H$5:$H$3004,'Mouvements stock'!$I$5:$I$3004,$A2853,'Mouvements stock'!$C$5:$C$3004,"Sortie")-SUMIFS('Mouvements stock'!$H$5:$H$3004,'Mouvements stock'!$I$5:$I$3004,$A2853,'Mouvements stock'!$C$5:$C$3004,"Retour"))</f>
        <v/>
      </c>
      <c r="X2853" s="66" t="n"/>
      <c r="Y2853" s="66" t="n"/>
      <c r="Z2853" s="7" t="n"/>
      <c r="AA2853" s="70">
        <f>IF($A2853="","",N(V2853)+N(W2853)+N(X2853)+N(Y2853))</f>
        <v/>
      </c>
      <c r="AB2853" s="70">
        <f>IF($A2853="","",N(S2853)*'Paramètres'!$AA$9*IFERROR(INDEX('Paramètres'!$O$5:$O$7,MATCH(G2853,'Paramètres'!$N$5:$N$7,0)),0))</f>
        <v/>
      </c>
      <c r="AC2853" s="7" t="n"/>
      <c r="AD2853" s="69">
        <f>IF(OR($A2853="",Q2853=""),"",(Q2853-B2853)*24)</f>
        <v/>
      </c>
      <c r="AE2853" s="69">
        <f>IF(OR(Q2853="",R2853=""),"",(R2853-Q2853)*24)</f>
        <v/>
      </c>
      <c r="AF2853" s="77">
        <f>IF(OR($A2853="",B2853=""),"",YEAR(B2853))</f>
        <v/>
      </c>
      <c r="AG2853" s="77">
        <f>IF(OR($A2853="",B2853=""),"",MONTH(B2853))</f>
        <v/>
      </c>
    </row>
    <row r="2854">
      <c r="A2854" s="7" t="n"/>
      <c r="B2854" s="75" t="n"/>
      <c r="C2854" s="7" t="n"/>
      <c r="D2854" s="7" t="n"/>
      <c r="E2854" s="9">
        <f>IF(D2854="","",IFERROR(INDEX('Équipements'!$B$5:$B$304,MATCH(D2854,'Équipements'!$A$5:$A$304,0)),"Code inconnu"))</f>
        <v/>
      </c>
      <c r="F2854" s="9">
        <f>IF(D2854="","",IFERROR(INDEX('Équipements'!$D$5:$D$304,MATCH(D2854,'Équipements'!$A$5:$A$304,0)),""))</f>
        <v/>
      </c>
      <c r="G2854" s="9">
        <f>IF(D2854="","",IFERROR(INDEX('Équipements'!$K$5:$K$304,MATCH(D2854,'Équipements'!$A$5:$A$304,0)),""))</f>
        <v/>
      </c>
      <c r="H2854" s="7" t="n"/>
      <c r="I2854" s="7" t="n"/>
      <c r="J2854" s="7" t="n"/>
      <c r="K2854" s="7" t="n"/>
      <c r="L2854" s="7" t="n"/>
      <c r="M2854" s="7" t="n"/>
      <c r="N2854" s="7" t="n"/>
      <c r="O2854" s="7" t="n"/>
      <c r="P2854" s="65" t="n"/>
      <c r="Q2854" s="75" t="n"/>
      <c r="R2854" s="75" t="n"/>
      <c r="S2854" s="76" t="n"/>
      <c r="T2854" s="76" t="n"/>
      <c r="U2854" s="70">
        <f>IF($A2854="","",IFERROR(INDEX('Techniciens'!$F$5:$F$44,MATCH(O2854,'Techniciens'!$B$5:$B$44,0)),'Paramètres'!$AA$10))</f>
        <v/>
      </c>
      <c r="V2854" s="70">
        <f>IF($A2854="","",IF(OR(AC2854="Demandé",AC2854="Planifié",AC2854="Annulé"),0,N(T2854)*N(U2854)))</f>
        <v/>
      </c>
      <c r="W2854" s="70">
        <f>IF($A2854="","",SUMIFS('Mouvements stock'!$H$5:$H$3004,'Mouvements stock'!$I$5:$I$3004,$A2854,'Mouvements stock'!$C$5:$C$3004,"Sortie")-SUMIFS('Mouvements stock'!$H$5:$H$3004,'Mouvements stock'!$I$5:$I$3004,$A2854,'Mouvements stock'!$C$5:$C$3004,"Retour"))</f>
        <v/>
      </c>
      <c r="X2854" s="66" t="n"/>
      <c r="Y2854" s="66" t="n"/>
      <c r="Z2854" s="7" t="n"/>
      <c r="AA2854" s="70">
        <f>IF($A2854="","",N(V2854)+N(W2854)+N(X2854)+N(Y2854))</f>
        <v/>
      </c>
      <c r="AB2854" s="70">
        <f>IF($A2854="","",N(S2854)*'Paramètres'!$AA$9*IFERROR(INDEX('Paramètres'!$O$5:$O$7,MATCH(G2854,'Paramètres'!$N$5:$N$7,0)),0))</f>
        <v/>
      </c>
      <c r="AC2854" s="7" t="n"/>
      <c r="AD2854" s="69">
        <f>IF(OR($A2854="",Q2854=""),"",(Q2854-B2854)*24)</f>
        <v/>
      </c>
      <c r="AE2854" s="69">
        <f>IF(OR(Q2854="",R2854=""),"",(R2854-Q2854)*24)</f>
        <v/>
      </c>
      <c r="AF2854" s="77">
        <f>IF(OR($A2854="",B2854=""),"",YEAR(B2854))</f>
        <v/>
      </c>
      <c r="AG2854" s="77">
        <f>IF(OR($A2854="",B2854=""),"",MONTH(B2854))</f>
        <v/>
      </c>
    </row>
    <row r="2855">
      <c r="A2855" s="7" t="n"/>
      <c r="B2855" s="75" t="n"/>
      <c r="C2855" s="7" t="n"/>
      <c r="D2855" s="7" t="n"/>
      <c r="E2855" s="9">
        <f>IF(D2855="","",IFERROR(INDEX('Équipements'!$B$5:$B$304,MATCH(D2855,'Équipements'!$A$5:$A$304,0)),"Code inconnu"))</f>
        <v/>
      </c>
      <c r="F2855" s="9">
        <f>IF(D2855="","",IFERROR(INDEX('Équipements'!$D$5:$D$304,MATCH(D2855,'Équipements'!$A$5:$A$304,0)),""))</f>
        <v/>
      </c>
      <c r="G2855" s="9">
        <f>IF(D2855="","",IFERROR(INDEX('Équipements'!$K$5:$K$304,MATCH(D2855,'Équipements'!$A$5:$A$304,0)),""))</f>
        <v/>
      </c>
      <c r="H2855" s="7" t="n"/>
      <c r="I2855" s="7" t="n"/>
      <c r="J2855" s="7" t="n"/>
      <c r="K2855" s="7" t="n"/>
      <c r="L2855" s="7" t="n"/>
      <c r="M2855" s="7" t="n"/>
      <c r="N2855" s="7" t="n"/>
      <c r="O2855" s="7" t="n"/>
      <c r="P2855" s="65" t="n"/>
      <c r="Q2855" s="75" t="n"/>
      <c r="R2855" s="75" t="n"/>
      <c r="S2855" s="76" t="n"/>
      <c r="T2855" s="76" t="n"/>
      <c r="U2855" s="70">
        <f>IF($A2855="","",IFERROR(INDEX('Techniciens'!$F$5:$F$44,MATCH(O2855,'Techniciens'!$B$5:$B$44,0)),'Paramètres'!$AA$10))</f>
        <v/>
      </c>
      <c r="V2855" s="70">
        <f>IF($A2855="","",IF(OR(AC2855="Demandé",AC2855="Planifié",AC2855="Annulé"),0,N(T2855)*N(U2855)))</f>
        <v/>
      </c>
      <c r="W2855" s="70">
        <f>IF($A2855="","",SUMIFS('Mouvements stock'!$H$5:$H$3004,'Mouvements stock'!$I$5:$I$3004,$A2855,'Mouvements stock'!$C$5:$C$3004,"Sortie")-SUMIFS('Mouvements stock'!$H$5:$H$3004,'Mouvements stock'!$I$5:$I$3004,$A2855,'Mouvements stock'!$C$5:$C$3004,"Retour"))</f>
        <v/>
      </c>
      <c r="X2855" s="66" t="n"/>
      <c r="Y2855" s="66" t="n"/>
      <c r="Z2855" s="7" t="n"/>
      <c r="AA2855" s="70">
        <f>IF($A2855="","",N(V2855)+N(W2855)+N(X2855)+N(Y2855))</f>
        <v/>
      </c>
      <c r="AB2855" s="70">
        <f>IF($A2855="","",N(S2855)*'Paramètres'!$AA$9*IFERROR(INDEX('Paramètres'!$O$5:$O$7,MATCH(G2855,'Paramètres'!$N$5:$N$7,0)),0))</f>
        <v/>
      </c>
      <c r="AC2855" s="7" t="n"/>
      <c r="AD2855" s="69">
        <f>IF(OR($A2855="",Q2855=""),"",(Q2855-B2855)*24)</f>
        <v/>
      </c>
      <c r="AE2855" s="69">
        <f>IF(OR(Q2855="",R2855=""),"",(R2855-Q2855)*24)</f>
        <v/>
      </c>
      <c r="AF2855" s="77">
        <f>IF(OR($A2855="",B2855=""),"",YEAR(B2855))</f>
        <v/>
      </c>
      <c r="AG2855" s="77">
        <f>IF(OR($A2855="",B2855=""),"",MONTH(B2855))</f>
        <v/>
      </c>
    </row>
    <row r="2856">
      <c r="A2856" s="7" t="n"/>
      <c r="B2856" s="75" t="n"/>
      <c r="C2856" s="7" t="n"/>
      <c r="D2856" s="7" t="n"/>
      <c r="E2856" s="9">
        <f>IF(D2856="","",IFERROR(INDEX('Équipements'!$B$5:$B$304,MATCH(D2856,'Équipements'!$A$5:$A$304,0)),"Code inconnu"))</f>
        <v/>
      </c>
      <c r="F2856" s="9">
        <f>IF(D2856="","",IFERROR(INDEX('Équipements'!$D$5:$D$304,MATCH(D2856,'Équipements'!$A$5:$A$304,0)),""))</f>
        <v/>
      </c>
      <c r="G2856" s="9">
        <f>IF(D2856="","",IFERROR(INDEX('Équipements'!$K$5:$K$304,MATCH(D2856,'Équipements'!$A$5:$A$304,0)),""))</f>
        <v/>
      </c>
      <c r="H2856" s="7" t="n"/>
      <c r="I2856" s="7" t="n"/>
      <c r="J2856" s="7" t="n"/>
      <c r="K2856" s="7" t="n"/>
      <c r="L2856" s="7" t="n"/>
      <c r="M2856" s="7" t="n"/>
      <c r="N2856" s="7" t="n"/>
      <c r="O2856" s="7" t="n"/>
      <c r="P2856" s="65" t="n"/>
      <c r="Q2856" s="75" t="n"/>
      <c r="R2856" s="75" t="n"/>
      <c r="S2856" s="76" t="n"/>
      <c r="T2856" s="76" t="n"/>
      <c r="U2856" s="70">
        <f>IF($A2856="","",IFERROR(INDEX('Techniciens'!$F$5:$F$44,MATCH(O2856,'Techniciens'!$B$5:$B$44,0)),'Paramètres'!$AA$10))</f>
        <v/>
      </c>
      <c r="V2856" s="70">
        <f>IF($A2856="","",IF(OR(AC2856="Demandé",AC2856="Planifié",AC2856="Annulé"),0,N(T2856)*N(U2856)))</f>
        <v/>
      </c>
      <c r="W2856" s="70">
        <f>IF($A2856="","",SUMIFS('Mouvements stock'!$H$5:$H$3004,'Mouvements stock'!$I$5:$I$3004,$A2856,'Mouvements stock'!$C$5:$C$3004,"Sortie")-SUMIFS('Mouvements stock'!$H$5:$H$3004,'Mouvements stock'!$I$5:$I$3004,$A2856,'Mouvements stock'!$C$5:$C$3004,"Retour"))</f>
        <v/>
      </c>
      <c r="X2856" s="66" t="n"/>
      <c r="Y2856" s="66" t="n"/>
      <c r="Z2856" s="7" t="n"/>
      <c r="AA2856" s="70">
        <f>IF($A2856="","",N(V2856)+N(W2856)+N(X2856)+N(Y2856))</f>
        <v/>
      </c>
      <c r="AB2856" s="70">
        <f>IF($A2856="","",N(S2856)*'Paramètres'!$AA$9*IFERROR(INDEX('Paramètres'!$O$5:$O$7,MATCH(G2856,'Paramètres'!$N$5:$N$7,0)),0))</f>
        <v/>
      </c>
      <c r="AC2856" s="7" t="n"/>
      <c r="AD2856" s="69">
        <f>IF(OR($A2856="",Q2856=""),"",(Q2856-B2856)*24)</f>
        <v/>
      </c>
      <c r="AE2856" s="69">
        <f>IF(OR(Q2856="",R2856=""),"",(R2856-Q2856)*24)</f>
        <v/>
      </c>
      <c r="AF2856" s="77">
        <f>IF(OR($A2856="",B2856=""),"",YEAR(B2856))</f>
        <v/>
      </c>
      <c r="AG2856" s="77">
        <f>IF(OR($A2856="",B2856=""),"",MONTH(B2856))</f>
        <v/>
      </c>
    </row>
    <row r="2857">
      <c r="A2857" s="7" t="n"/>
      <c r="B2857" s="75" t="n"/>
      <c r="C2857" s="7" t="n"/>
      <c r="D2857" s="7" t="n"/>
      <c r="E2857" s="9">
        <f>IF(D2857="","",IFERROR(INDEX('Équipements'!$B$5:$B$304,MATCH(D2857,'Équipements'!$A$5:$A$304,0)),"Code inconnu"))</f>
        <v/>
      </c>
      <c r="F2857" s="9">
        <f>IF(D2857="","",IFERROR(INDEX('Équipements'!$D$5:$D$304,MATCH(D2857,'Équipements'!$A$5:$A$304,0)),""))</f>
        <v/>
      </c>
      <c r="G2857" s="9">
        <f>IF(D2857="","",IFERROR(INDEX('Équipements'!$K$5:$K$304,MATCH(D2857,'Équipements'!$A$5:$A$304,0)),""))</f>
        <v/>
      </c>
      <c r="H2857" s="7" t="n"/>
      <c r="I2857" s="7" t="n"/>
      <c r="J2857" s="7" t="n"/>
      <c r="K2857" s="7" t="n"/>
      <c r="L2857" s="7" t="n"/>
      <c r="M2857" s="7" t="n"/>
      <c r="N2857" s="7" t="n"/>
      <c r="O2857" s="7" t="n"/>
      <c r="P2857" s="65" t="n"/>
      <c r="Q2857" s="75" t="n"/>
      <c r="R2857" s="75" t="n"/>
      <c r="S2857" s="76" t="n"/>
      <c r="T2857" s="76" t="n"/>
      <c r="U2857" s="70">
        <f>IF($A2857="","",IFERROR(INDEX('Techniciens'!$F$5:$F$44,MATCH(O2857,'Techniciens'!$B$5:$B$44,0)),'Paramètres'!$AA$10))</f>
        <v/>
      </c>
      <c r="V2857" s="70">
        <f>IF($A2857="","",IF(OR(AC2857="Demandé",AC2857="Planifié",AC2857="Annulé"),0,N(T2857)*N(U2857)))</f>
        <v/>
      </c>
      <c r="W2857" s="70">
        <f>IF($A2857="","",SUMIFS('Mouvements stock'!$H$5:$H$3004,'Mouvements stock'!$I$5:$I$3004,$A2857,'Mouvements stock'!$C$5:$C$3004,"Sortie")-SUMIFS('Mouvements stock'!$H$5:$H$3004,'Mouvements stock'!$I$5:$I$3004,$A2857,'Mouvements stock'!$C$5:$C$3004,"Retour"))</f>
        <v/>
      </c>
      <c r="X2857" s="66" t="n"/>
      <c r="Y2857" s="66" t="n"/>
      <c r="Z2857" s="7" t="n"/>
      <c r="AA2857" s="70">
        <f>IF($A2857="","",N(V2857)+N(W2857)+N(X2857)+N(Y2857))</f>
        <v/>
      </c>
      <c r="AB2857" s="70">
        <f>IF($A2857="","",N(S2857)*'Paramètres'!$AA$9*IFERROR(INDEX('Paramètres'!$O$5:$O$7,MATCH(G2857,'Paramètres'!$N$5:$N$7,0)),0))</f>
        <v/>
      </c>
      <c r="AC2857" s="7" t="n"/>
      <c r="AD2857" s="69">
        <f>IF(OR($A2857="",Q2857=""),"",(Q2857-B2857)*24)</f>
        <v/>
      </c>
      <c r="AE2857" s="69">
        <f>IF(OR(Q2857="",R2857=""),"",(R2857-Q2857)*24)</f>
        <v/>
      </c>
      <c r="AF2857" s="77">
        <f>IF(OR($A2857="",B2857=""),"",YEAR(B2857))</f>
        <v/>
      </c>
      <c r="AG2857" s="77">
        <f>IF(OR($A2857="",B2857=""),"",MONTH(B2857))</f>
        <v/>
      </c>
    </row>
    <row r="2858">
      <c r="A2858" s="7" t="n"/>
      <c r="B2858" s="75" t="n"/>
      <c r="C2858" s="7" t="n"/>
      <c r="D2858" s="7" t="n"/>
      <c r="E2858" s="9">
        <f>IF(D2858="","",IFERROR(INDEX('Équipements'!$B$5:$B$304,MATCH(D2858,'Équipements'!$A$5:$A$304,0)),"Code inconnu"))</f>
        <v/>
      </c>
      <c r="F2858" s="9">
        <f>IF(D2858="","",IFERROR(INDEX('Équipements'!$D$5:$D$304,MATCH(D2858,'Équipements'!$A$5:$A$304,0)),""))</f>
        <v/>
      </c>
      <c r="G2858" s="9">
        <f>IF(D2858="","",IFERROR(INDEX('Équipements'!$K$5:$K$304,MATCH(D2858,'Équipements'!$A$5:$A$304,0)),""))</f>
        <v/>
      </c>
      <c r="H2858" s="7" t="n"/>
      <c r="I2858" s="7" t="n"/>
      <c r="J2858" s="7" t="n"/>
      <c r="K2858" s="7" t="n"/>
      <c r="L2858" s="7" t="n"/>
      <c r="M2858" s="7" t="n"/>
      <c r="N2858" s="7" t="n"/>
      <c r="O2858" s="7" t="n"/>
      <c r="P2858" s="65" t="n"/>
      <c r="Q2858" s="75" t="n"/>
      <c r="R2858" s="75" t="n"/>
      <c r="S2858" s="76" t="n"/>
      <c r="T2858" s="76" t="n"/>
      <c r="U2858" s="70">
        <f>IF($A2858="","",IFERROR(INDEX('Techniciens'!$F$5:$F$44,MATCH(O2858,'Techniciens'!$B$5:$B$44,0)),'Paramètres'!$AA$10))</f>
        <v/>
      </c>
      <c r="V2858" s="70">
        <f>IF($A2858="","",IF(OR(AC2858="Demandé",AC2858="Planifié",AC2858="Annulé"),0,N(T2858)*N(U2858)))</f>
        <v/>
      </c>
      <c r="W2858" s="70">
        <f>IF($A2858="","",SUMIFS('Mouvements stock'!$H$5:$H$3004,'Mouvements stock'!$I$5:$I$3004,$A2858,'Mouvements stock'!$C$5:$C$3004,"Sortie")-SUMIFS('Mouvements stock'!$H$5:$H$3004,'Mouvements stock'!$I$5:$I$3004,$A2858,'Mouvements stock'!$C$5:$C$3004,"Retour"))</f>
        <v/>
      </c>
      <c r="X2858" s="66" t="n"/>
      <c r="Y2858" s="66" t="n"/>
      <c r="Z2858" s="7" t="n"/>
      <c r="AA2858" s="70">
        <f>IF($A2858="","",N(V2858)+N(W2858)+N(X2858)+N(Y2858))</f>
        <v/>
      </c>
      <c r="AB2858" s="70">
        <f>IF($A2858="","",N(S2858)*'Paramètres'!$AA$9*IFERROR(INDEX('Paramètres'!$O$5:$O$7,MATCH(G2858,'Paramètres'!$N$5:$N$7,0)),0))</f>
        <v/>
      </c>
      <c r="AC2858" s="7" t="n"/>
      <c r="AD2858" s="69">
        <f>IF(OR($A2858="",Q2858=""),"",(Q2858-B2858)*24)</f>
        <v/>
      </c>
      <c r="AE2858" s="69">
        <f>IF(OR(Q2858="",R2858=""),"",(R2858-Q2858)*24)</f>
        <v/>
      </c>
      <c r="AF2858" s="77">
        <f>IF(OR($A2858="",B2858=""),"",YEAR(B2858))</f>
        <v/>
      </c>
      <c r="AG2858" s="77">
        <f>IF(OR($A2858="",B2858=""),"",MONTH(B2858))</f>
        <v/>
      </c>
    </row>
    <row r="2859">
      <c r="A2859" s="7" t="n"/>
      <c r="B2859" s="75" t="n"/>
      <c r="C2859" s="7" t="n"/>
      <c r="D2859" s="7" t="n"/>
      <c r="E2859" s="9">
        <f>IF(D2859="","",IFERROR(INDEX('Équipements'!$B$5:$B$304,MATCH(D2859,'Équipements'!$A$5:$A$304,0)),"Code inconnu"))</f>
        <v/>
      </c>
      <c r="F2859" s="9">
        <f>IF(D2859="","",IFERROR(INDEX('Équipements'!$D$5:$D$304,MATCH(D2859,'Équipements'!$A$5:$A$304,0)),""))</f>
        <v/>
      </c>
      <c r="G2859" s="9">
        <f>IF(D2859="","",IFERROR(INDEX('Équipements'!$K$5:$K$304,MATCH(D2859,'Équipements'!$A$5:$A$304,0)),""))</f>
        <v/>
      </c>
      <c r="H2859" s="7" t="n"/>
      <c r="I2859" s="7" t="n"/>
      <c r="J2859" s="7" t="n"/>
      <c r="K2859" s="7" t="n"/>
      <c r="L2859" s="7" t="n"/>
      <c r="M2859" s="7" t="n"/>
      <c r="N2859" s="7" t="n"/>
      <c r="O2859" s="7" t="n"/>
      <c r="P2859" s="65" t="n"/>
      <c r="Q2859" s="75" t="n"/>
      <c r="R2859" s="75" t="n"/>
      <c r="S2859" s="76" t="n"/>
      <c r="T2859" s="76" t="n"/>
      <c r="U2859" s="70">
        <f>IF($A2859="","",IFERROR(INDEX('Techniciens'!$F$5:$F$44,MATCH(O2859,'Techniciens'!$B$5:$B$44,0)),'Paramètres'!$AA$10))</f>
        <v/>
      </c>
      <c r="V2859" s="70">
        <f>IF($A2859="","",IF(OR(AC2859="Demandé",AC2859="Planifié",AC2859="Annulé"),0,N(T2859)*N(U2859)))</f>
        <v/>
      </c>
      <c r="W2859" s="70">
        <f>IF($A2859="","",SUMIFS('Mouvements stock'!$H$5:$H$3004,'Mouvements stock'!$I$5:$I$3004,$A2859,'Mouvements stock'!$C$5:$C$3004,"Sortie")-SUMIFS('Mouvements stock'!$H$5:$H$3004,'Mouvements stock'!$I$5:$I$3004,$A2859,'Mouvements stock'!$C$5:$C$3004,"Retour"))</f>
        <v/>
      </c>
      <c r="X2859" s="66" t="n"/>
      <c r="Y2859" s="66" t="n"/>
      <c r="Z2859" s="7" t="n"/>
      <c r="AA2859" s="70">
        <f>IF($A2859="","",N(V2859)+N(W2859)+N(X2859)+N(Y2859))</f>
        <v/>
      </c>
      <c r="AB2859" s="70">
        <f>IF($A2859="","",N(S2859)*'Paramètres'!$AA$9*IFERROR(INDEX('Paramètres'!$O$5:$O$7,MATCH(G2859,'Paramètres'!$N$5:$N$7,0)),0))</f>
        <v/>
      </c>
      <c r="AC2859" s="7" t="n"/>
      <c r="AD2859" s="69">
        <f>IF(OR($A2859="",Q2859=""),"",(Q2859-B2859)*24)</f>
        <v/>
      </c>
      <c r="AE2859" s="69">
        <f>IF(OR(Q2859="",R2859=""),"",(R2859-Q2859)*24)</f>
        <v/>
      </c>
      <c r="AF2859" s="77">
        <f>IF(OR($A2859="",B2859=""),"",YEAR(B2859))</f>
        <v/>
      </c>
      <c r="AG2859" s="77">
        <f>IF(OR($A2859="",B2859=""),"",MONTH(B2859))</f>
        <v/>
      </c>
    </row>
    <row r="2860">
      <c r="A2860" s="7" t="n"/>
      <c r="B2860" s="75" t="n"/>
      <c r="C2860" s="7" t="n"/>
      <c r="D2860" s="7" t="n"/>
      <c r="E2860" s="9">
        <f>IF(D2860="","",IFERROR(INDEX('Équipements'!$B$5:$B$304,MATCH(D2860,'Équipements'!$A$5:$A$304,0)),"Code inconnu"))</f>
        <v/>
      </c>
      <c r="F2860" s="9">
        <f>IF(D2860="","",IFERROR(INDEX('Équipements'!$D$5:$D$304,MATCH(D2860,'Équipements'!$A$5:$A$304,0)),""))</f>
        <v/>
      </c>
      <c r="G2860" s="9">
        <f>IF(D2860="","",IFERROR(INDEX('Équipements'!$K$5:$K$304,MATCH(D2860,'Équipements'!$A$5:$A$304,0)),""))</f>
        <v/>
      </c>
      <c r="H2860" s="7" t="n"/>
      <c r="I2860" s="7" t="n"/>
      <c r="J2860" s="7" t="n"/>
      <c r="K2860" s="7" t="n"/>
      <c r="L2860" s="7" t="n"/>
      <c r="M2860" s="7" t="n"/>
      <c r="N2860" s="7" t="n"/>
      <c r="O2860" s="7" t="n"/>
      <c r="P2860" s="65" t="n"/>
      <c r="Q2860" s="75" t="n"/>
      <c r="R2860" s="75" t="n"/>
      <c r="S2860" s="76" t="n"/>
      <c r="T2860" s="76" t="n"/>
      <c r="U2860" s="70">
        <f>IF($A2860="","",IFERROR(INDEX('Techniciens'!$F$5:$F$44,MATCH(O2860,'Techniciens'!$B$5:$B$44,0)),'Paramètres'!$AA$10))</f>
        <v/>
      </c>
      <c r="V2860" s="70">
        <f>IF($A2860="","",IF(OR(AC2860="Demandé",AC2860="Planifié",AC2860="Annulé"),0,N(T2860)*N(U2860)))</f>
        <v/>
      </c>
      <c r="W2860" s="70">
        <f>IF($A2860="","",SUMIFS('Mouvements stock'!$H$5:$H$3004,'Mouvements stock'!$I$5:$I$3004,$A2860,'Mouvements stock'!$C$5:$C$3004,"Sortie")-SUMIFS('Mouvements stock'!$H$5:$H$3004,'Mouvements stock'!$I$5:$I$3004,$A2860,'Mouvements stock'!$C$5:$C$3004,"Retour"))</f>
        <v/>
      </c>
      <c r="X2860" s="66" t="n"/>
      <c r="Y2860" s="66" t="n"/>
      <c r="Z2860" s="7" t="n"/>
      <c r="AA2860" s="70">
        <f>IF($A2860="","",N(V2860)+N(W2860)+N(X2860)+N(Y2860))</f>
        <v/>
      </c>
      <c r="AB2860" s="70">
        <f>IF($A2860="","",N(S2860)*'Paramètres'!$AA$9*IFERROR(INDEX('Paramètres'!$O$5:$O$7,MATCH(G2860,'Paramètres'!$N$5:$N$7,0)),0))</f>
        <v/>
      </c>
      <c r="AC2860" s="7" t="n"/>
      <c r="AD2860" s="69">
        <f>IF(OR($A2860="",Q2860=""),"",(Q2860-B2860)*24)</f>
        <v/>
      </c>
      <c r="AE2860" s="69">
        <f>IF(OR(Q2860="",R2860=""),"",(R2860-Q2860)*24)</f>
        <v/>
      </c>
      <c r="AF2860" s="77">
        <f>IF(OR($A2860="",B2860=""),"",YEAR(B2860))</f>
        <v/>
      </c>
      <c r="AG2860" s="77">
        <f>IF(OR($A2860="",B2860=""),"",MONTH(B2860))</f>
        <v/>
      </c>
    </row>
    <row r="2861">
      <c r="A2861" s="7" t="n"/>
      <c r="B2861" s="75" t="n"/>
      <c r="C2861" s="7" t="n"/>
      <c r="D2861" s="7" t="n"/>
      <c r="E2861" s="9">
        <f>IF(D2861="","",IFERROR(INDEX('Équipements'!$B$5:$B$304,MATCH(D2861,'Équipements'!$A$5:$A$304,0)),"Code inconnu"))</f>
        <v/>
      </c>
      <c r="F2861" s="9">
        <f>IF(D2861="","",IFERROR(INDEX('Équipements'!$D$5:$D$304,MATCH(D2861,'Équipements'!$A$5:$A$304,0)),""))</f>
        <v/>
      </c>
      <c r="G2861" s="9">
        <f>IF(D2861="","",IFERROR(INDEX('Équipements'!$K$5:$K$304,MATCH(D2861,'Équipements'!$A$5:$A$304,0)),""))</f>
        <v/>
      </c>
      <c r="H2861" s="7" t="n"/>
      <c r="I2861" s="7" t="n"/>
      <c r="J2861" s="7" t="n"/>
      <c r="K2861" s="7" t="n"/>
      <c r="L2861" s="7" t="n"/>
      <c r="M2861" s="7" t="n"/>
      <c r="N2861" s="7" t="n"/>
      <c r="O2861" s="7" t="n"/>
      <c r="P2861" s="65" t="n"/>
      <c r="Q2861" s="75" t="n"/>
      <c r="R2861" s="75" t="n"/>
      <c r="S2861" s="76" t="n"/>
      <c r="T2861" s="76" t="n"/>
      <c r="U2861" s="70">
        <f>IF($A2861="","",IFERROR(INDEX('Techniciens'!$F$5:$F$44,MATCH(O2861,'Techniciens'!$B$5:$B$44,0)),'Paramètres'!$AA$10))</f>
        <v/>
      </c>
      <c r="V2861" s="70">
        <f>IF($A2861="","",IF(OR(AC2861="Demandé",AC2861="Planifié",AC2861="Annulé"),0,N(T2861)*N(U2861)))</f>
        <v/>
      </c>
      <c r="W2861" s="70">
        <f>IF($A2861="","",SUMIFS('Mouvements stock'!$H$5:$H$3004,'Mouvements stock'!$I$5:$I$3004,$A2861,'Mouvements stock'!$C$5:$C$3004,"Sortie")-SUMIFS('Mouvements stock'!$H$5:$H$3004,'Mouvements stock'!$I$5:$I$3004,$A2861,'Mouvements stock'!$C$5:$C$3004,"Retour"))</f>
        <v/>
      </c>
      <c r="X2861" s="66" t="n"/>
      <c r="Y2861" s="66" t="n"/>
      <c r="Z2861" s="7" t="n"/>
      <c r="AA2861" s="70">
        <f>IF($A2861="","",N(V2861)+N(W2861)+N(X2861)+N(Y2861))</f>
        <v/>
      </c>
      <c r="AB2861" s="70">
        <f>IF($A2861="","",N(S2861)*'Paramètres'!$AA$9*IFERROR(INDEX('Paramètres'!$O$5:$O$7,MATCH(G2861,'Paramètres'!$N$5:$N$7,0)),0))</f>
        <v/>
      </c>
      <c r="AC2861" s="7" t="n"/>
      <c r="AD2861" s="69">
        <f>IF(OR($A2861="",Q2861=""),"",(Q2861-B2861)*24)</f>
        <v/>
      </c>
      <c r="AE2861" s="69">
        <f>IF(OR(Q2861="",R2861=""),"",(R2861-Q2861)*24)</f>
        <v/>
      </c>
      <c r="AF2861" s="77">
        <f>IF(OR($A2861="",B2861=""),"",YEAR(B2861))</f>
        <v/>
      </c>
      <c r="AG2861" s="77">
        <f>IF(OR($A2861="",B2861=""),"",MONTH(B2861))</f>
        <v/>
      </c>
    </row>
    <row r="2862">
      <c r="A2862" s="7" t="n"/>
      <c r="B2862" s="75" t="n"/>
      <c r="C2862" s="7" t="n"/>
      <c r="D2862" s="7" t="n"/>
      <c r="E2862" s="9">
        <f>IF(D2862="","",IFERROR(INDEX('Équipements'!$B$5:$B$304,MATCH(D2862,'Équipements'!$A$5:$A$304,0)),"Code inconnu"))</f>
        <v/>
      </c>
      <c r="F2862" s="9">
        <f>IF(D2862="","",IFERROR(INDEX('Équipements'!$D$5:$D$304,MATCH(D2862,'Équipements'!$A$5:$A$304,0)),""))</f>
        <v/>
      </c>
      <c r="G2862" s="9">
        <f>IF(D2862="","",IFERROR(INDEX('Équipements'!$K$5:$K$304,MATCH(D2862,'Équipements'!$A$5:$A$304,0)),""))</f>
        <v/>
      </c>
      <c r="H2862" s="7" t="n"/>
      <c r="I2862" s="7" t="n"/>
      <c r="J2862" s="7" t="n"/>
      <c r="K2862" s="7" t="n"/>
      <c r="L2862" s="7" t="n"/>
      <c r="M2862" s="7" t="n"/>
      <c r="N2862" s="7" t="n"/>
      <c r="O2862" s="7" t="n"/>
      <c r="P2862" s="65" t="n"/>
      <c r="Q2862" s="75" t="n"/>
      <c r="R2862" s="75" t="n"/>
      <c r="S2862" s="76" t="n"/>
      <c r="T2862" s="76" t="n"/>
      <c r="U2862" s="70">
        <f>IF($A2862="","",IFERROR(INDEX('Techniciens'!$F$5:$F$44,MATCH(O2862,'Techniciens'!$B$5:$B$44,0)),'Paramètres'!$AA$10))</f>
        <v/>
      </c>
      <c r="V2862" s="70">
        <f>IF($A2862="","",IF(OR(AC2862="Demandé",AC2862="Planifié",AC2862="Annulé"),0,N(T2862)*N(U2862)))</f>
        <v/>
      </c>
      <c r="W2862" s="70">
        <f>IF($A2862="","",SUMIFS('Mouvements stock'!$H$5:$H$3004,'Mouvements stock'!$I$5:$I$3004,$A2862,'Mouvements stock'!$C$5:$C$3004,"Sortie")-SUMIFS('Mouvements stock'!$H$5:$H$3004,'Mouvements stock'!$I$5:$I$3004,$A2862,'Mouvements stock'!$C$5:$C$3004,"Retour"))</f>
        <v/>
      </c>
      <c r="X2862" s="66" t="n"/>
      <c r="Y2862" s="66" t="n"/>
      <c r="Z2862" s="7" t="n"/>
      <c r="AA2862" s="70">
        <f>IF($A2862="","",N(V2862)+N(W2862)+N(X2862)+N(Y2862))</f>
        <v/>
      </c>
      <c r="AB2862" s="70">
        <f>IF($A2862="","",N(S2862)*'Paramètres'!$AA$9*IFERROR(INDEX('Paramètres'!$O$5:$O$7,MATCH(G2862,'Paramètres'!$N$5:$N$7,0)),0))</f>
        <v/>
      </c>
      <c r="AC2862" s="7" t="n"/>
      <c r="AD2862" s="69">
        <f>IF(OR($A2862="",Q2862=""),"",(Q2862-B2862)*24)</f>
        <v/>
      </c>
      <c r="AE2862" s="69">
        <f>IF(OR(Q2862="",R2862=""),"",(R2862-Q2862)*24)</f>
        <v/>
      </c>
      <c r="AF2862" s="77">
        <f>IF(OR($A2862="",B2862=""),"",YEAR(B2862))</f>
        <v/>
      </c>
      <c r="AG2862" s="77">
        <f>IF(OR($A2862="",B2862=""),"",MONTH(B2862))</f>
        <v/>
      </c>
    </row>
    <row r="2863">
      <c r="A2863" s="7" t="n"/>
      <c r="B2863" s="75" t="n"/>
      <c r="C2863" s="7" t="n"/>
      <c r="D2863" s="7" t="n"/>
      <c r="E2863" s="9">
        <f>IF(D2863="","",IFERROR(INDEX('Équipements'!$B$5:$B$304,MATCH(D2863,'Équipements'!$A$5:$A$304,0)),"Code inconnu"))</f>
        <v/>
      </c>
      <c r="F2863" s="9">
        <f>IF(D2863="","",IFERROR(INDEX('Équipements'!$D$5:$D$304,MATCH(D2863,'Équipements'!$A$5:$A$304,0)),""))</f>
        <v/>
      </c>
      <c r="G2863" s="9">
        <f>IF(D2863="","",IFERROR(INDEX('Équipements'!$K$5:$K$304,MATCH(D2863,'Équipements'!$A$5:$A$304,0)),""))</f>
        <v/>
      </c>
      <c r="H2863" s="7" t="n"/>
      <c r="I2863" s="7" t="n"/>
      <c r="J2863" s="7" t="n"/>
      <c r="K2863" s="7" t="n"/>
      <c r="L2863" s="7" t="n"/>
      <c r="M2863" s="7" t="n"/>
      <c r="N2863" s="7" t="n"/>
      <c r="O2863" s="7" t="n"/>
      <c r="P2863" s="65" t="n"/>
      <c r="Q2863" s="75" t="n"/>
      <c r="R2863" s="75" t="n"/>
      <c r="S2863" s="76" t="n"/>
      <c r="T2863" s="76" t="n"/>
      <c r="U2863" s="70">
        <f>IF($A2863="","",IFERROR(INDEX('Techniciens'!$F$5:$F$44,MATCH(O2863,'Techniciens'!$B$5:$B$44,0)),'Paramètres'!$AA$10))</f>
        <v/>
      </c>
      <c r="V2863" s="70">
        <f>IF($A2863="","",IF(OR(AC2863="Demandé",AC2863="Planifié",AC2863="Annulé"),0,N(T2863)*N(U2863)))</f>
        <v/>
      </c>
      <c r="W2863" s="70">
        <f>IF($A2863="","",SUMIFS('Mouvements stock'!$H$5:$H$3004,'Mouvements stock'!$I$5:$I$3004,$A2863,'Mouvements stock'!$C$5:$C$3004,"Sortie")-SUMIFS('Mouvements stock'!$H$5:$H$3004,'Mouvements stock'!$I$5:$I$3004,$A2863,'Mouvements stock'!$C$5:$C$3004,"Retour"))</f>
        <v/>
      </c>
      <c r="X2863" s="66" t="n"/>
      <c r="Y2863" s="66" t="n"/>
      <c r="Z2863" s="7" t="n"/>
      <c r="AA2863" s="70">
        <f>IF($A2863="","",N(V2863)+N(W2863)+N(X2863)+N(Y2863))</f>
        <v/>
      </c>
      <c r="AB2863" s="70">
        <f>IF($A2863="","",N(S2863)*'Paramètres'!$AA$9*IFERROR(INDEX('Paramètres'!$O$5:$O$7,MATCH(G2863,'Paramètres'!$N$5:$N$7,0)),0))</f>
        <v/>
      </c>
      <c r="AC2863" s="7" t="n"/>
      <c r="AD2863" s="69">
        <f>IF(OR($A2863="",Q2863=""),"",(Q2863-B2863)*24)</f>
        <v/>
      </c>
      <c r="AE2863" s="69">
        <f>IF(OR(Q2863="",R2863=""),"",(R2863-Q2863)*24)</f>
        <v/>
      </c>
      <c r="AF2863" s="77">
        <f>IF(OR($A2863="",B2863=""),"",YEAR(B2863))</f>
        <v/>
      </c>
      <c r="AG2863" s="77">
        <f>IF(OR($A2863="",B2863=""),"",MONTH(B2863))</f>
        <v/>
      </c>
    </row>
    <row r="2864">
      <c r="A2864" s="7" t="n"/>
      <c r="B2864" s="75" t="n"/>
      <c r="C2864" s="7" t="n"/>
      <c r="D2864" s="7" t="n"/>
      <c r="E2864" s="9">
        <f>IF(D2864="","",IFERROR(INDEX('Équipements'!$B$5:$B$304,MATCH(D2864,'Équipements'!$A$5:$A$304,0)),"Code inconnu"))</f>
        <v/>
      </c>
      <c r="F2864" s="9">
        <f>IF(D2864="","",IFERROR(INDEX('Équipements'!$D$5:$D$304,MATCH(D2864,'Équipements'!$A$5:$A$304,0)),""))</f>
        <v/>
      </c>
      <c r="G2864" s="9">
        <f>IF(D2864="","",IFERROR(INDEX('Équipements'!$K$5:$K$304,MATCH(D2864,'Équipements'!$A$5:$A$304,0)),""))</f>
        <v/>
      </c>
      <c r="H2864" s="7" t="n"/>
      <c r="I2864" s="7" t="n"/>
      <c r="J2864" s="7" t="n"/>
      <c r="K2864" s="7" t="n"/>
      <c r="L2864" s="7" t="n"/>
      <c r="M2864" s="7" t="n"/>
      <c r="N2864" s="7" t="n"/>
      <c r="O2864" s="7" t="n"/>
      <c r="P2864" s="65" t="n"/>
      <c r="Q2864" s="75" t="n"/>
      <c r="R2864" s="75" t="n"/>
      <c r="S2864" s="76" t="n"/>
      <c r="T2864" s="76" t="n"/>
      <c r="U2864" s="70">
        <f>IF($A2864="","",IFERROR(INDEX('Techniciens'!$F$5:$F$44,MATCH(O2864,'Techniciens'!$B$5:$B$44,0)),'Paramètres'!$AA$10))</f>
        <v/>
      </c>
      <c r="V2864" s="70">
        <f>IF($A2864="","",IF(OR(AC2864="Demandé",AC2864="Planifié",AC2864="Annulé"),0,N(T2864)*N(U2864)))</f>
        <v/>
      </c>
      <c r="W2864" s="70">
        <f>IF($A2864="","",SUMIFS('Mouvements stock'!$H$5:$H$3004,'Mouvements stock'!$I$5:$I$3004,$A2864,'Mouvements stock'!$C$5:$C$3004,"Sortie")-SUMIFS('Mouvements stock'!$H$5:$H$3004,'Mouvements stock'!$I$5:$I$3004,$A2864,'Mouvements stock'!$C$5:$C$3004,"Retour"))</f>
        <v/>
      </c>
      <c r="X2864" s="66" t="n"/>
      <c r="Y2864" s="66" t="n"/>
      <c r="Z2864" s="7" t="n"/>
      <c r="AA2864" s="70">
        <f>IF($A2864="","",N(V2864)+N(W2864)+N(X2864)+N(Y2864))</f>
        <v/>
      </c>
      <c r="AB2864" s="70">
        <f>IF($A2864="","",N(S2864)*'Paramètres'!$AA$9*IFERROR(INDEX('Paramètres'!$O$5:$O$7,MATCH(G2864,'Paramètres'!$N$5:$N$7,0)),0))</f>
        <v/>
      </c>
      <c r="AC2864" s="7" t="n"/>
      <c r="AD2864" s="69">
        <f>IF(OR($A2864="",Q2864=""),"",(Q2864-B2864)*24)</f>
        <v/>
      </c>
      <c r="AE2864" s="69">
        <f>IF(OR(Q2864="",R2864=""),"",(R2864-Q2864)*24)</f>
        <v/>
      </c>
      <c r="AF2864" s="77">
        <f>IF(OR($A2864="",B2864=""),"",YEAR(B2864))</f>
        <v/>
      </c>
      <c r="AG2864" s="77">
        <f>IF(OR($A2864="",B2864=""),"",MONTH(B2864))</f>
        <v/>
      </c>
    </row>
    <row r="2865">
      <c r="A2865" s="7" t="n"/>
      <c r="B2865" s="75" t="n"/>
      <c r="C2865" s="7" t="n"/>
      <c r="D2865" s="7" t="n"/>
      <c r="E2865" s="9">
        <f>IF(D2865="","",IFERROR(INDEX('Équipements'!$B$5:$B$304,MATCH(D2865,'Équipements'!$A$5:$A$304,0)),"Code inconnu"))</f>
        <v/>
      </c>
      <c r="F2865" s="9">
        <f>IF(D2865="","",IFERROR(INDEX('Équipements'!$D$5:$D$304,MATCH(D2865,'Équipements'!$A$5:$A$304,0)),""))</f>
        <v/>
      </c>
      <c r="G2865" s="9">
        <f>IF(D2865="","",IFERROR(INDEX('Équipements'!$K$5:$K$304,MATCH(D2865,'Équipements'!$A$5:$A$304,0)),""))</f>
        <v/>
      </c>
      <c r="H2865" s="7" t="n"/>
      <c r="I2865" s="7" t="n"/>
      <c r="J2865" s="7" t="n"/>
      <c r="K2865" s="7" t="n"/>
      <c r="L2865" s="7" t="n"/>
      <c r="M2865" s="7" t="n"/>
      <c r="N2865" s="7" t="n"/>
      <c r="O2865" s="7" t="n"/>
      <c r="P2865" s="65" t="n"/>
      <c r="Q2865" s="75" t="n"/>
      <c r="R2865" s="75" t="n"/>
      <c r="S2865" s="76" t="n"/>
      <c r="T2865" s="76" t="n"/>
      <c r="U2865" s="70">
        <f>IF($A2865="","",IFERROR(INDEX('Techniciens'!$F$5:$F$44,MATCH(O2865,'Techniciens'!$B$5:$B$44,0)),'Paramètres'!$AA$10))</f>
        <v/>
      </c>
      <c r="V2865" s="70">
        <f>IF($A2865="","",IF(OR(AC2865="Demandé",AC2865="Planifié",AC2865="Annulé"),0,N(T2865)*N(U2865)))</f>
        <v/>
      </c>
      <c r="W2865" s="70">
        <f>IF($A2865="","",SUMIFS('Mouvements stock'!$H$5:$H$3004,'Mouvements stock'!$I$5:$I$3004,$A2865,'Mouvements stock'!$C$5:$C$3004,"Sortie")-SUMIFS('Mouvements stock'!$H$5:$H$3004,'Mouvements stock'!$I$5:$I$3004,$A2865,'Mouvements stock'!$C$5:$C$3004,"Retour"))</f>
        <v/>
      </c>
      <c r="X2865" s="66" t="n"/>
      <c r="Y2865" s="66" t="n"/>
      <c r="Z2865" s="7" t="n"/>
      <c r="AA2865" s="70">
        <f>IF($A2865="","",N(V2865)+N(W2865)+N(X2865)+N(Y2865))</f>
        <v/>
      </c>
      <c r="AB2865" s="70">
        <f>IF($A2865="","",N(S2865)*'Paramètres'!$AA$9*IFERROR(INDEX('Paramètres'!$O$5:$O$7,MATCH(G2865,'Paramètres'!$N$5:$N$7,0)),0))</f>
        <v/>
      </c>
      <c r="AC2865" s="7" t="n"/>
      <c r="AD2865" s="69">
        <f>IF(OR($A2865="",Q2865=""),"",(Q2865-B2865)*24)</f>
        <v/>
      </c>
      <c r="AE2865" s="69">
        <f>IF(OR(Q2865="",R2865=""),"",(R2865-Q2865)*24)</f>
        <v/>
      </c>
      <c r="AF2865" s="77">
        <f>IF(OR($A2865="",B2865=""),"",YEAR(B2865))</f>
        <v/>
      </c>
      <c r="AG2865" s="77">
        <f>IF(OR($A2865="",B2865=""),"",MONTH(B2865))</f>
        <v/>
      </c>
    </row>
    <row r="2866">
      <c r="A2866" s="7" t="n"/>
      <c r="B2866" s="75" t="n"/>
      <c r="C2866" s="7" t="n"/>
      <c r="D2866" s="7" t="n"/>
      <c r="E2866" s="9">
        <f>IF(D2866="","",IFERROR(INDEX('Équipements'!$B$5:$B$304,MATCH(D2866,'Équipements'!$A$5:$A$304,0)),"Code inconnu"))</f>
        <v/>
      </c>
      <c r="F2866" s="9">
        <f>IF(D2866="","",IFERROR(INDEX('Équipements'!$D$5:$D$304,MATCH(D2866,'Équipements'!$A$5:$A$304,0)),""))</f>
        <v/>
      </c>
      <c r="G2866" s="9">
        <f>IF(D2866="","",IFERROR(INDEX('Équipements'!$K$5:$K$304,MATCH(D2866,'Équipements'!$A$5:$A$304,0)),""))</f>
        <v/>
      </c>
      <c r="H2866" s="7" t="n"/>
      <c r="I2866" s="7" t="n"/>
      <c r="J2866" s="7" t="n"/>
      <c r="K2866" s="7" t="n"/>
      <c r="L2866" s="7" t="n"/>
      <c r="M2866" s="7" t="n"/>
      <c r="N2866" s="7" t="n"/>
      <c r="O2866" s="7" t="n"/>
      <c r="P2866" s="65" t="n"/>
      <c r="Q2866" s="75" t="n"/>
      <c r="R2866" s="75" t="n"/>
      <c r="S2866" s="76" t="n"/>
      <c r="T2866" s="76" t="n"/>
      <c r="U2866" s="70">
        <f>IF($A2866="","",IFERROR(INDEX('Techniciens'!$F$5:$F$44,MATCH(O2866,'Techniciens'!$B$5:$B$44,0)),'Paramètres'!$AA$10))</f>
        <v/>
      </c>
      <c r="V2866" s="70">
        <f>IF($A2866="","",IF(OR(AC2866="Demandé",AC2866="Planifié",AC2866="Annulé"),0,N(T2866)*N(U2866)))</f>
        <v/>
      </c>
      <c r="W2866" s="70">
        <f>IF($A2866="","",SUMIFS('Mouvements stock'!$H$5:$H$3004,'Mouvements stock'!$I$5:$I$3004,$A2866,'Mouvements stock'!$C$5:$C$3004,"Sortie")-SUMIFS('Mouvements stock'!$H$5:$H$3004,'Mouvements stock'!$I$5:$I$3004,$A2866,'Mouvements stock'!$C$5:$C$3004,"Retour"))</f>
        <v/>
      </c>
      <c r="X2866" s="66" t="n"/>
      <c r="Y2866" s="66" t="n"/>
      <c r="Z2866" s="7" t="n"/>
      <c r="AA2866" s="70">
        <f>IF($A2866="","",N(V2866)+N(W2866)+N(X2866)+N(Y2866))</f>
        <v/>
      </c>
      <c r="AB2866" s="70">
        <f>IF($A2866="","",N(S2866)*'Paramètres'!$AA$9*IFERROR(INDEX('Paramètres'!$O$5:$O$7,MATCH(G2866,'Paramètres'!$N$5:$N$7,0)),0))</f>
        <v/>
      </c>
      <c r="AC2866" s="7" t="n"/>
      <c r="AD2866" s="69">
        <f>IF(OR($A2866="",Q2866=""),"",(Q2866-B2866)*24)</f>
        <v/>
      </c>
      <c r="AE2866" s="69">
        <f>IF(OR(Q2866="",R2866=""),"",(R2866-Q2866)*24)</f>
        <v/>
      </c>
      <c r="AF2866" s="77">
        <f>IF(OR($A2866="",B2866=""),"",YEAR(B2866))</f>
        <v/>
      </c>
      <c r="AG2866" s="77">
        <f>IF(OR($A2866="",B2866=""),"",MONTH(B2866))</f>
        <v/>
      </c>
    </row>
    <row r="2867">
      <c r="A2867" s="7" t="n"/>
      <c r="B2867" s="75" t="n"/>
      <c r="C2867" s="7" t="n"/>
      <c r="D2867" s="7" t="n"/>
      <c r="E2867" s="9">
        <f>IF(D2867="","",IFERROR(INDEX('Équipements'!$B$5:$B$304,MATCH(D2867,'Équipements'!$A$5:$A$304,0)),"Code inconnu"))</f>
        <v/>
      </c>
      <c r="F2867" s="9">
        <f>IF(D2867="","",IFERROR(INDEX('Équipements'!$D$5:$D$304,MATCH(D2867,'Équipements'!$A$5:$A$304,0)),""))</f>
        <v/>
      </c>
      <c r="G2867" s="9">
        <f>IF(D2867="","",IFERROR(INDEX('Équipements'!$K$5:$K$304,MATCH(D2867,'Équipements'!$A$5:$A$304,0)),""))</f>
        <v/>
      </c>
      <c r="H2867" s="7" t="n"/>
      <c r="I2867" s="7" t="n"/>
      <c r="J2867" s="7" t="n"/>
      <c r="K2867" s="7" t="n"/>
      <c r="L2867" s="7" t="n"/>
      <c r="M2867" s="7" t="n"/>
      <c r="N2867" s="7" t="n"/>
      <c r="O2867" s="7" t="n"/>
      <c r="P2867" s="65" t="n"/>
      <c r="Q2867" s="75" t="n"/>
      <c r="R2867" s="75" t="n"/>
      <c r="S2867" s="76" t="n"/>
      <c r="T2867" s="76" t="n"/>
      <c r="U2867" s="70">
        <f>IF($A2867="","",IFERROR(INDEX('Techniciens'!$F$5:$F$44,MATCH(O2867,'Techniciens'!$B$5:$B$44,0)),'Paramètres'!$AA$10))</f>
        <v/>
      </c>
      <c r="V2867" s="70">
        <f>IF($A2867="","",IF(OR(AC2867="Demandé",AC2867="Planifié",AC2867="Annulé"),0,N(T2867)*N(U2867)))</f>
        <v/>
      </c>
      <c r="W2867" s="70">
        <f>IF($A2867="","",SUMIFS('Mouvements stock'!$H$5:$H$3004,'Mouvements stock'!$I$5:$I$3004,$A2867,'Mouvements stock'!$C$5:$C$3004,"Sortie")-SUMIFS('Mouvements stock'!$H$5:$H$3004,'Mouvements stock'!$I$5:$I$3004,$A2867,'Mouvements stock'!$C$5:$C$3004,"Retour"))</f>
        <v/>
      </c>
      <c r="X2867" s="66" t="n"/>
      <c r="Y2867" s="66" t="n"/>
      <c r="Z2867" s="7" t="n"/>
      <c r="AA2867" s="70">
        <f>IF($A2867="","",N(V2867)+N(W2867)+N(X2867)+N(Y2867))</f>
        <v/>
      </c>
      <c r="AB2867" s="70">
        <f>IF($A2867="","",N(S2867)*'Paramètres'!$AA$9*IFERROR(INDEX('Paramètres'!$O$5:$O$7,MATCH(G2867,'Paramètres'!$N$5:$N$7,0)),0))</f>
        <v/>
      </c>
      <c r="AC2867" s="7" t="n"/>
      <c r="AD2867" s="69">
        <f>IF(OR($A2867="",Q2867=""),"",(Q2867-B2867)*24)</f>
        <v/>
      </c>
      <c r="AE2867" s="69">
        <f>IF(OR(Q2867="",R2867=""),"",(R2867-Q2867)*24)</f>
        <v/>
      </c>
      <c r="AF2867" s="77">
        <f>IF(OR($A2867="",B2867=""),"",YEAR(B2867))</f>
        <v/>
      </c>
      <c r="AG2867" s="77">
        <f>IF(OR($A2867="",B2867=""),"",MONTH(B2867))</f>
        <v/>
      </c>
    </row>
    <row r="2868">
      <c r="A2868" s="7" t="n"/>
      <c r="B2868" s="75" t="n"/>
      <c r="C2868" s="7" t="n"/>
      <c r="D2868" s="7" t="n"/>
      <c r="E2868" s="9">
        <f>IF(D2868="","",IFERROR(INDEX('Équipements'!$B$5:$B$304,MATCH(D2868,'Équipements'!$A$5:$A$304,0)),"Code inconnu"))</f>
        <v/>
      </c>
      <c r="F2868" s="9">
        <f>IF(D2868="","",IFERROR(INDEX('Équipements'!$D$5:$D$304,MATCH(D2868,'Équipements'!$A$5:$A$304,0)),""))</f>
        <v/>
      </c>
      <c r="G2868" s="9">
        <f>IF(D2868="","",IFERROR(INDEX('Équipements'!$K$5:$K$304,MATCH(D2868,'Équipements'!$A$5:$A$304,0)),""))</f>
        <v/>
      </c>
      <c r="H2868" s="7" t="n"/>
      <c r="I2868" s="7" t="n"/>
      <c r="J2868" s="7" t="n"/>
      <c r="K2868" s="7" t="n"/>
      <c r="L2868" s="7" t="n"/>
      <c r="M2868" s="7" t="n"/>
      <c r="N2868" s="7" t="n"/>
      <c r="O2868" s="7" t="n"/>
      <c r="P2868" s="65" t="n"/>
      <c r="Q2868" s="75" t="n"/>
      <c r="R2868" s="75" t="n"/>
      <c r="S2868" s="76" t="n"/>
      <c r="T2868" s="76" t="n"/>
      <c r="U2868" s="70">
        <f>IF($A2868="","",IFERROR(INDEX('Techniciens'!$F$5:$F$44,MATCH(O2868,'Techniciens'!$B$5:$B$44,0)),'Paramètres'!$AA$10))</f>
        <v/>
      </c>
      <c r="V2868" s="70">
        <f>IF($A2868="","",IF(OR(AC2868="Demandé",AC2868="Planifié",AC2868="Annulé"),0,N(T2868)*N(U2868)))</f>
        <v/>
      </c>
      <c r="W2868" s="70">
        <f>IF($A2868="","",SUMIFS('Mouvements stock'!$H$5:$H$3004,'Mouvements stock'!$I$5:$I$3004,$A2868,'Mouvements stock'!$C$5:$C$3004,"Sortie")-SUMIFS('Mouvements stock'!$H$5:$H$3004,'Mouvements stock'!$I$5:$I$3004,$A2868,'Mouvements stock'!$C$5:$C$3004,"Retour"))</f>
        <v/>
      </c>
      <c r="X2868" s="66" t="n"/>
      <c r="Y2868" s="66" t="n"/>
      <c r="Z2868" s="7" t="n"/>
      <c r="AA2868" s="70">
        <f>IF($A2868="","",N(V2868)+N(W2868)+N(X2868)+N(Y2868))</f>
        <v/>
      </c>
      <c r="AB2868" s="70">
        <f>IF($A2868="","",N(S2868)*'Paramètres'!$AA$9*IFERROR(INDEX('Paramètres'!$O$5:$O$7,MATCH(G2868,'Paramètres'!$N$5:$N$7,0)),0))</f>
        <v/>
      </c>
      <c r="AC2868" s="7" t="n"/>
      <c r="AD2868" s="69">
        <f>IF(OR($A2868="",Q2868=""),"",(Q2868-B2868)*24)</f>
        <v/>
      </c>
      <c r="AE2868" s="69">
        <f>IF(OR(Q2868="",R2868=""),"",(R2868-Q2868)*24)</f>
        <v/>
      </c>
      <c r="AF2868" s="77">
        <f>IF(OR($A2868="",B2868=""),"",YEAR(B2868))</f>
        <v/>
      </c>
      <c r="AG2868" s="77">
        <f>IF(OR($A2868="",B2868=""),"",MONTH(B2868))</f>
        <v/>
      </c>
    </row>
    <row r="2869">
      <c r="A2869" s="7" t="n"/>
      <c r="B2869" s="75" t="n"/>
      <c r="C2869" s="7" t="n"/>
      <c r="D2869" s="7" t="n"/>
      <c r="E2869" s="9">
        <f>IF(D2869="","",IFERROR(INDEX('Équipements'!$B$5:$B$304,MATCH(D2869,'Équipements'!$A$5:$A$304,0)),"Code inconnu"))</f>
        <v/>
      </c>
      <c r="F2869" s="9">
        <f>IF(D2869="","",IFERROR(INDEX('Équipements'!$D$5:$D$304,MATCH(D2869,'Équipements'!$A$5:$A$304,0)),""))</f>
        <v/>
      </c>
      <c r="G2869" s="9">
        <f>IF(D2869="","",IFERROR(INDEX('Équipements'!$K$5:$K$304,MATCH(D2869,'Équipements'!$A$5:$A$304,0)),""))</f>
        <v/>
      </c>
      <c r="H2869" s="7" t="n"/>
      <c r="I2869" s="7" t="n"/>
      <c r="J2869" s="7" t="n"/>
      <c r="K2869" s="7" t="n"/>
      <c r="L2869" s="7" t="n"/>
      <c r="M2869" s="7" t="n"/>
      <c r="N2869" s="7" t="n"/>
      <c r="O2869" s="7" t="n"/>
      <c r="P2869" s="65" t="n"/>
      <c r="Q2869" s="75" t="n"/>
      <c r="R2869" s="75" t="n"/>
      <c r="S2869" s="76" t="n"/>
      <c r="T2869" s="76" t="n"/>
      <c r="U2869" s="70">
        <f>IF($A2869="","",IFERROR(INDEX('Techniciens'!$F$5:$F$44,MATCH(O2869,'Techniciens'!$B$5:$B$44,0)),'Paramètres'!$AA$10))</f>
        <v/>
      </c>
      <c r="V2869" s="70">
        <f>IF($A2869="","",IF(OR(AC2869="Demandé",AC2869="Planifié",AC2869="Annulé"),0,N(T2869)*N(U2869)))</f>
        <v/>
      </c>
      <c r="W2869" s="70">
        <f>IF($A2869="","",SUMIFS('Mouvements stock'!$H$5:$H$3004,'Mouvements stock'!$I$5:$I$3004,$A2869,'Mouvements stock'!$C$5:$C$3004,"Sortie")-SUMIFS('Mouvements stock'!$H$5:$H$3004,'Mouvements stock'!$I$5:$I$3004,$A2869,'Mouvements stock'!$C$5:$C$3004,"Retour"))</f>
        <v/>
      </c>
      <c r="X2869" s="66" t="n"/>
      <c r="Y2869" s="66" t="n"/>
      <c r="Z2869" s="7" t="n"/>
      <c r="AA2869" s="70">
        <f>IF($A2869="","",N(V2869)+N(W2869)+N(X2869)+N(Y2869))</f>
        <v/>
      </c>
      <c r="AB2869" s="70">
        <f>IF($A2869="","",N(S2869)*'Paramètres'!$AA$9*IFERROR(INDEX('Paramètres'!$O$5:$O$7,MATCH(G2869,'Paramètres'!$N$5:$N$7,0)),0))</f>
        <v/>
      </c>
      <c r="AC2869" s="7" t="n"/>
      <c r="AD2869" s="69">
        <f>IF(OR($A2869="",Q2869=""),"",(Q2869-B2869)*24)</f>
        <v/>
      </c>
      <c r="AE2869" s="69">
        <f>IF(OR(Q2869="",R2869=""),"",(R2869-Q2869)*24)</f>
        <v/>
      </c>
      <c r="AF2869" s="77">
        <f>IF(OR($A2869="",B2869=""),"",YEAR(B2869))</f>
        <v/>
      </c>
      <c r="AG2869" s="77">
        <f>IF(OR($A2869="",B2869=""),"",MONTH(B2869))</f>
        <v/>
      </c>
    </row>
    <row r="2870">
      <c r="A2870" s="7" t="n"/>
      <c r="B2870" s="75" t="n"/>
      <c r="C2870" s="7" t="n"/>
      <c r="D2870" s="7" t="n"/>
      <c r="E2870" s="9">
        <f>IF(D2870="","",IFERROR(INDEX('Équipements'!$B$5:$B$304,MATCH(D2870,'Équipements'!$A$5:$A$304,0)),"Code inconnu"))</f>
        <v/>
      </c>
      <c r="F2870" s="9">
        <f>IF(D2870="","",IFERROR(INDEX('Équipements'!$D$5:$D$304,MATCH(D2870,'Équipements'!$A$5:$A$304,0)),""))</f>
        <v/>
      </c>
      <c r="G2870" s="9">
        <f>IF(D2870="","",IFERROR(INDEX('Équipements'!$K$5:$K$304,MATCH(D2870,'Équipements'!$A$5:$A$304,0)),""))</f>
        <v/>
      </c>
      <c r="H2870" s="7" t="n"/>
      <c r="I2870" s="7" t="n"/>
      <c r="J2870" s="7" t="n"/>
      <c r="K2870" s="7" t="n"/>
      <c r="L2870" s="7" t="n"/>
      <c r="M2870" s="7" t="n"/>
      <c r="N2870" s="7" t="n"/>
      <c r="O2870" s="7" t="n"/>
      <c r="P2870" s="65" t="n"/>
      <c r="Q2870" s="75" t="n"/>
      <c r="R2870" s="75" t="n"/>
      <c r="S2870" s="76" t="n"/>
      <c r="T2870" s="76" t="n"/>
      <c r="U2870" s="70">
        <f>IF($A2870="","",IFERROR(INDEX('Techniciens'!$F$5:$F$44,MATCH(O2870,'Techniciens'!$B$5:$B$44,0)),'Paramètres'!$AA$10))</f>
        <v/>
      </c>
      <c r="V2870" s="70">
        <f>IF($A2870="","",IF(OR(AC2870="Demandé",AC2870="Planifié",AC2870="Annulé"),0,N(T2870)*N(U2870)))</f>
        <v/>
      </c>
      <c r="W2870" s="70">
        <f>IF($A2870="","",SUMIFS('Mouvements stock'!$H$5:$H$3004,'Mouvements stock'!$I$5:$I$3004,$A2870,'Mouvements stock'!$C$5:$C$3004,"Sortie")-SUMIFS('Mouvements stock'!$H$5:$H$3004,'Mouvements stock'!$I$5:$I$3004,$A2870,'Mouvements stock'!$C$5:$C$3004,"Retour"))</f>
        <v/>
      </c>
      <c r="X2870" s="66" t="n"/>
      <c r="Y2870" s="66" t="n"/>
      <c r="Z2870" s="7" t="n"/>
      <c r="AA2870" s="70">
        <f>IF($A2870="","",N(V2870)+N(W2870)+N(X2870)+N(Y2870))</f>
        <v/>
      </c>
      <c r="AB2870" s="70">
        <f>IF($A2870="","",N(S2870)*'Paramètres'!$AA$9*IFERROR(INDEX('Paramètres'!$O$5:$O$7,MATCH(G2870,'Paramètres'!$N$5:$N$7,0)),0))</f>
        <v/>
      </c>
      <c r="AC2870" s="7" t="n"/>
      <c r="AD2870" s="69">
        <f>IF(OR($A2870="",Q2870=""),"",(Q2870-B2870)*24)</f>
        <v/>
      </c>
      <c r="AE2870" s="69">
        <f>IF(OR(Q2870="",R2870=""),"",(R2870-Q2870)*24)</f>
        <v/>
      </c>
      <c r="AF2870" s="77">
        <f>IF(OR($A2870="",B2870=""),"",YEAR(B2870))</f>
        <v/>
      </c>
      <c r="AG2870" s="77">
        <f>IF(OR($A2870="",B2870=""),"",MONTH(B2870))</f>
        <v/>
      </c>
    </row>
    <row r="2871">
      <c r="A2871" s="7" t="n"/>
      <c r="B2871" s="75" t="n"/>
      <c r="C2871" s="7" t="n"/>
      <c r="D2871" s="7" t="n"/>
      <c r="E2871" s="9">
        <f>IF(D2871="","",IFERROR(INDEX('Équipements'!$B$5:$B$304,MATCH(D2871,'Équipements'!$A$5:$A$304,0)),"Code inconnu"))</f>
        <v/>
      </c>
      <c r="F2871" s="9">
        <f>IF(D2871="","",IFERROR(INDEX('Équipements'!$D$5:$D$304,MATCH(D2871,'Équipements'!$A$5:$A$304,0)),""))</f>
        <v/>
      </c>
      <c r="G2871" s="9">
        <f>IF(D2871="","",IFERROR(INDEX('Équipements'!$K$5:$K$304,MATCH(D2871,'Équipements'!$A$5:$A$304,0)),""))</f>
        <v/>
      </c>
      <c r="H2871" s="7" t="n"/>
      <c r="I2871" s="7" t="n"/>
      <c r="J2871" s="7" t="n"/>
      <c r="K2871" s="7" t="n"/>
      <c r="L2871" s="7" t="n"/>
      <c r="M2871" s="7" t="n"/>
      <c r="N2871" s="7" t="n"/>
      <c r="O2871" s="7" t="n"/>
      <c r="P2871" s="65" t="n"/>
      <c r="Q2871" s="75" t="n"/>
      <c r="R2871" s="75" t="n"/>
      <c r="S2871" s="76" t="n"/>
      <c r="T2871" s="76" t="n"/>
      <c r="U2871" s="70">
        <f>IF($A2871="","",IFERROR(INDEX('Techniciens'!$F$5:$F$44,MATCH(O2871,'Techniciens'!$B$5:$B$44,0)),'Paramètres'!$AA$10))</f>
        <v/>
      </c>
      <c r="V2871" s="70">
        <f>IF($A2871="","",IF(OR(AC2871="Demandé",AC2871="Planifié",AC2871="Annulé"),0,N(T2871)*N(U2871)))</f>
        <v/>
      </c>
      <c r="W2871" s="70">
        <f>IF($A2871="","",SUMIFS('Mouvements stock'!$H$5:$H$3004,'Mouvements stock'!$I$5:$I$3004,$A2871,'Mouvements stock'!$C$5:$C$3004,"Sortie")-SUMIFS('Mouvements stock'!$H$5:$H$3004,'Mouvements stock'!$I$5:$I$3004,$A2871,'Mouvements stock'!$C$5:$C$3004,"Retour"))</f>
        <v/>
      </c>
      <c r="X2871" s="66" t="n"/>
      <c r="Y2871" s="66" t="n"/>
      <c r="Z2871" s="7" t="n"/>
      <c r="AA2871" s="70">
        <f>IF($A2871="","",N(V2871)+N(W2871)+N(X2871)+N(Y2871))</f>
        <v/>
      </c>
      <c r="AB2871" s="70">
        <f>IF($A2871="","",N(S2871)*'Paramètres'!$AA$9*IFERROR(INDEX('Paramètres'!$O$5:$O$7,MATCH(G2871,'Paramètres'!$N$5:$N$7,0)),0))</f>
        <v/>
      </c>
      <c r="AC2871" s="7" t="n"/>
      <c r="AD2871" s="69">
        <f>IF(OR($A2871="",Q2871=""),"",(Q2871-B2871)*24)</f>
        <v/>
      </c>
      <c r="AE2871" s="69">
        <f>IF(OR(Q2871="",R2871=""),"",(R2871-Q2871)*24)</f>
        <v/>
      </c>
      <c r="AF2871" s="77">
        <f>IF(OR($A2871="",B2871=""),"",YEAR(B2871))</f>
        <v/>
      </c>
      <c r="AG2871" s="77">
        <f>IF(OR($A2871="",B2871=""),"",MONTH(B2871))</f>
        <v/>
      </c>
    </row>
    <row r="2872">
      <c r="A2872" s="7" t="n"/>
      <c r="B2872" s="75" t="n"/>
      <c r="C2872" s="7" t="n"/>
      <c r="D2872" s="7" t="n"/>
      <c r="E2872" s="9">
        <f>IF(D2872="","",IFERROR(INDEX('Équipements'!$B$5:$B$304,MATCH(D2872,'Équipements'!$A$5:$A$304,0)),"Code inconnu"))</f>
        <v/>
      </c>
      <c r="F2872" s="9">
        <f>IF(D2872="","",IFERROR(INDEX('Équipements'!$D$5:$D$304,MATCH(D2872,'Équipements'!$A$5:$A$304,0)),""))</f>
        <v/>
      </c>
      <c r="G2872" s="9">
        <f>IF(D2872="","",IFERROR(INDEX('Équipements'!$K$5:$K$304,MATCH(D2872,'Équipements'!$A$5:$A$304,0)),""))</f>
        <v/>
      </c>
      <c r="H2872" s="7" t="n"/>
      <c r="I2872" s="7" t="n"/>
      <c r="J2872" s="7" t="n"/>
      <c r="K2872" s="7" t="n"/>
      <c r="L2872" s="7" t="n"/>
      <c r="M2872" s="7" t="n"/>
      <c r="N2872" s="7" t="n"/>
      <c r="O2872" s="7" t="n"/>
      <c r="P2872" s="65" t="n"/>
      <c r="Q2872" s="75" t="n"/>
      <c r="R2872" s="75" t="n"/>
      <c r="S2872" s="76" t="n"/>
      <c r="T2872" s="76" t="n"/>
      <c r="U2872" s="70">
        <f>IF($A2872="","",IFERROR(INDEX('Techniciens'!$F$5:$F$44,MATCH(O2872,'Techniciens'!$B$5:$B$44,0)),'Paramètres'!$AA$10))</f>
        <v/>
      </c>
      <c r="V2872" s="70">
        <f>IF($A2872="","",IF(OR(AC2872="Demandé",AC2872="Planifié",AC2872="Annulé"),0,N(T2872)*N(U2872)))</f>
        <v/>
      </c>
      <c r="W2872" s="70">
        <f>IF($A2872="","",SUMIFS('Mouvements stock'!$H$5:$H$3004,'Mouvements stock'!$I$5:$I$3004,$A2872,'Mouvements stock'!$C$5:$C$3004,"Sortie")-SUMIFS('Mouvements stock'!$H$5:$H$3004,'Mouvements stock'!$I$5:$I$3004,$A2872,'Mouvements stock'!$C$5:$C$3004,"Retour"))</f>
        <v/>
      </c>
      <c r="X2872" s="66" t="n"/>
      <c r="Y2872" s="66" t="n"/>
      <c r="Z2872" s="7" t="n"/>
      <c r="AA2872" s="70">
        <f>IF($A2872="","",N(V2872)+N(W2872)+N(X2872)+N(Y2872))</f>
        <v/>
      </c>
      <c r="AB2872" s="70">
        <f>IF($A2872="","",N(S2872)*'Paramètres'!$AA$9*IFERROR(INDEX('Paramètres'!$O$5:$O$7,MATCH(G2872,'Paramètres'!$N$5:$N$7,0)),0))</f>
        <v/>
      </c>
      <c r="AC2872" s="7" t="n"/>
      <c r="AD2872" s="69">
        <f>IF(OR($A2872="",Q2872=""),"",(Q2872-B2872)*24)</f>
        <v/>
      </c>
      <c r="AE2872" s="69">
        <f>IF(OR(Q2872="",R2872=""),"",(R2872-Q2872)*24)</f>
        <v/>
      </c>
      <c r="AF2872" s="77">
        <f>IF(OR($A2872="",B2872=""),"",YEAR(B2872))</f>
        <v/>
      </c>
      <c r="AG2872" s="77">
        <f>IF(OR($A2872="",B2872=""),"",MONTH(B2872))</f>
        <v/>
      </c>
    </row>
    <row r="2873">
      <c r="A2873" s="7" t="n"/>
      <c r="B2873" s="75" t="n"/>
      <c r="C2873" s="7" t="n"/>
      <c r="D2873" s="7" t="n"/>
      <c r="E2873" s="9">
        <f>IF(D2873="","",IFERROR(INDEX('Équipements'!$B$5:$B$304,MATCH(D2873,'Équipements'!$A$5:$A$304,0)),"Code inconnu"))</f>
        <v/>
      </c>
      <c r="F2873" s="9">
        <f>IF(D2873="","",IFERROR(INDEX('Équipements'!$D$5:$D$304,MATCH(D2873,'Équipements'!$A$5:$A$304,0)),""))</f>
        <v/>
      </c>
      <c r="G2873" s="9">
        <f>IF(D2873="","",IFERROR(INDEX('Équipements'!$K$5:$K$304,MATCH(D2873,'Équipements'!$A$5:$A$304,0)),""))</f>
        <v/>
      </c>
      <c r="H2873" s="7" t="n"/>
      <c r="I2873" s="7" t="n"/>
      <c r="J2873" s="7" t="n"/>
      <c r="K2873" s="7" t="n"/>
      <c r="L2873" s="7" t="n"/>
      <c r="M2873" s="7" t="n"/>
      <c r="N2873" s="7" t="n"/>
      <c r="O2873" s="7" t="n"/>
      <c r="P2873" s="65" t="n"/>
      <c r="Q2873" s="75" t="n"/>
      <c r="R2873" s="75" t="n"/>
      <c r="S2873" s="76" t="n"/>
      <c r="T2873" s="76" t="n"/>
      <c r="U2873" s="70">
        <f>IF($A2873="","",IFERROR(INDEX('Techniciens'!$F$5:$F$44,MATCH(O2873,'Techniciens'!$B$5:$B$44,0)),'Paramètres'!$AA$10))</f>
        <v/>
      </c>
      <c r="V2873" s="70">
        <f>IF($A2873="","",IF(OR(AC2873="Demandé",AC2873="Planifié",AC2873="Annulé"),0,N(T2873)*N(U2873)))</f>
        <v/>
      </c>
      <c r="W2873" s="70">
        <f>IF($A2873="","",SUMIFS('Mouvements stock'!$H$5:$H$3004,'Mouvements stock'!$I$5:$I$3004,$A2873,'Mouvements stock'!$C$5:$C$3004,"Sortie")-SUMIFS('Mouvements stock'!$H$5:$H$3004,'Mouvements stock'!$I$5:$I$3004,$A2873,'Mouvements stock'!$C$5:$C$3004,"Retour"))</f>
        <v/>
      </c>
      <c r="X2873" s="66" t="n"/>
      <c r="Y2873" s="66" t="n"/>
      <c r="Z2873" s="7" t="n"/>
      <c r="AA2873" s="70">
        <f>IF($A2873="","",N(V2873)+N(W2873)+N(X2873)+N(Y2873))</f>
        <v/>
      </c>
      <c r="AB2873" s="70">
        <f>IF($A2873="","",N(S2873)*'Paramètres'!$AA$9*IFERROR(INDEX('Paramètres'!$O$5:$O$7,MATCH(G2873,'Paramètres'!$N$5:$N$7,0)),0))</f>
        <v/>
      </c>
      <c r="AC2873" s="7" t="n"/>
      <c r="AD2873" s="69">
        <f>IF(OR($A2873="",Q2873=""),"",(Q2873-B2873)*24)</f>
        <v/>
      </c>
      <c r="AE2873" s="69">
        <f>IF(OR(Q2873="",R2873=""),"",(R2873-Q2873)*24)</f>
        <v/>
      </c>
      <c r="AF2873" s="77">
        <f>IF(OR($A2873="",B2873=""),"",YEAR(B2873))</f>
        <v/>
      </c>
      <c r="AG2873" s="77">
        <f>IF(OR($A2873="",B2873=""),"",MONTH(B2873))</f>
        <v/>
      </c>
    </row>
    <row r="2874">
      <c r="A2874" s="7" t="n"/>
      <c r="B2874" s="75" t="n"/>
      <c r="C2874" s="7" t="n"/>
      <c r="D2874" s="7" t="n"/>
      <c r="E2874" s="9">
        <f>IF(D2874="","",IFERROR(INDEX('Équipements'!$B$5:$B$304,MATCH(D2874,'Équipements'!$A$5:$A$304,0)),"Code inconnu"))</f>
        <v/>
      </c>
      <c r="F2874" s="9">
        <f>IF(D2874="","",IFERROR(INDEX('Équipements'!$D$5:$D$304,MATCH(D2874,'Équipements'!$A$5:$A$304,0)),""))</f>
        <v/>
      </c>
      <c r="G2874" s="9">
        <f>IF(D2874="","",IFERROR(INDEX('Équipements'!$K$5:$K$304,MATCH(D2874,'Équipements'!$A$5:$A$304,0)),""))</f>
        <v/>
      </c>
      <c r="H2874" s="7" t="n"/>
      <c r="I2874" s="7" t="n"/>
      <c r="J2874" s="7" t="n"/>
      <c r="K2874" s="7" t="n"/>
      <c r="L2874" s="7" t="n"/>
      <c r="M2874" s="7" t="n"/>
      <c r="N2874" s="7" t="n"/>
      <c r="O2874" s="7" t="n"/>
      <c r="P2874" s="65" t="n"/>
      <c r="Q2874" s="75" t="n"/>
      <c r="R2874" s="75" t="n"/>
      <c r="S2874" s="76" t="n"/>
      <c r="T2874" s="76" t="n"/>
      <c r="U2874" s="70">
        <f>IF($A2874="","",IFERROR(INDEX('Techniciens'!$F$5:$F$44,MATCH(O2874,'Techniciens'!$B$5:$B$44,0)),'Paramètres'!$AA$10))</f>
        <v/>
      </c>
      <c r="V2874" s="70">
        <f>IF($A2874="","",IF(OR(AC2874="Demandé",AC2874="Planifié",AC2874="Annulé"),0,N(T2874)*N(U2874)))</f>
        <v/>
      </c>
      <c r="W2874" s="70">
        <f>IF($A2874="","",SUMIFS('Mouvements stock'!$H$5:$H$3004,'Mouvements stock'!$I$5:$I$3004,$A2874,'Mouvements stock'!$C$5:$C$3004,"Sortie")-SUMIFS('Mouvements stock'!$H$5:$H$3004,'Mouvements stock'!$I$5:$I$3004,$A2874,'Mouvements stock'!$C$5:$C$3004,"Retour"))</f>
        <v/>
      </c>
      <c r="X2874" s="66" t="n"/>
      <c r="Y2874" s="66" t="n"/>
      <c r="Z2874" s="7" t="n"/>
      <c r="AA2874" s="70">
        <f>IF($A2874="","",N(V2874)+N(W2874)+N(X2874)+N(Y2874))</f>
        <v/>
      </c>
      <c r="AB2874" s="70">
        <f>IF($A2874="","",N(S2874)*'Paramètres'!$AA$9*IFERROR(INDEX('Paramètres'!$O$5:$O$7,MATCH(G2874,'Paramètres'!$N$5:$N$7,0)),0))</f>
        <v/>
      </c>
      <c r="AC2874" s="7" t="n"/>
      <c r="AD2874" s="69">
        <f>IF(OR($A2874="",Q2874=""),"",(Q2874-B2874)*24)</f>
        <v/>
      </c>
      <c r="AE2874" s="69">
        <f>IF(OR(Q2874="",R2874=""),"",(R2874-Q2874)*24)</f>
        <v/>
      </c>
      <c r="AF2874" s="77">
        <f>IF(OR($A2874="",B2874=""),"",YEAR(B2874))</f>
        <v/>
      </c>
      <c r="AG2874" s="77">
        <f>IF(OR($A2874="",B2874=""),"",MONTH(B2874))</f>
        <v/>
      </c>
    </row>
    <row r="2875">
      <c r="A2875" s="7" t="n"/>
      <c r="B2875" s="75" t="n"/>
      <c r="C2875" s="7" t="n"/>
      <c r="D2875" s="7" t="n"/>
      <c r="E2875" s="9">
        <f>IF(D2875="","",IFERROR(INDEX('Équipements'!$B$5:$B$304,MATCH(D2875,'Équipements'!$A$5:$A$304,0)),"Code inconnu"))</f>
        <v/>
      </c>
      <c r="F2875" s="9">
        <f>IF(D2875="","",IFERROR(INDEX('Équipements'!$D$5:$D$304,MATCH(D2875,'Équipements'!$A$5:$A$304,0)),""))</f>
        <v/>
      </c>
      <c r="G2875" s="9">
        <f>IF(D2875="","",IFERROR(INDEX('Équipements'!$K$5:$K$304,MATCH(D2875,'Équipements'!$A$5:$A$304,0)),""))</f>
        <v/>
      </c>
      <c r="H2875" s="7" t="n"/>
      <c r="I2875" s="7" t="n"/>
      <c r="J2875" s="7" t="n"/>
      <c r="K2875" s="7" t="n"/>
      <c r="L2875" s="7" t="n"/>
      <c r="M2875" s="7" t="n"/>
      <c r="N2875" s="7" t="n"/>
      <c r="O2875" s="7" t="n"/>
      <c r="P2875" s="65" t="n"/>
      <c r="Q2875" s="75" t="n"/>
      <c r="R2875" s="75" t="n"/>
      <c r="S2875" s="76" t="n"/>
      <c r="T2875" s="76" t="n"/>
      <c r="U2875" s="70">
        <f>IF($A2875="","",IFERROR(INDEX('Techniciens'!$F$5:$F$44,MATCH(O2875,'Techniciens'!$B$5:$B$44,0)),'Paramètres'!$AA$10))</f>
        <v/>
      </c>
      <c r="V2875" s="70">
        <f>IF($A2875="","",IF(OR(AC2875="Demandé",AC2875="Planifié",AC2875="Annulé"),0,N(T2875)*N(U2875)))</f>
        <v/>
      </c>
      <c r="W2875" s="70">
        <f>IF($A2875="","",SUMIFS('Mouvements stock'!$H$5:$H$3004,'Mouvements stock'!$I$5:$I$3004,$A2875,'Mouvements stock'!$C$5:$C$3004,"Sortie")-SUMIFS('Mouvements stock'!$H$5:$H$3004,'Mouvements stock'!$I$5:$I$3004,$A2875,'Mouvements stock'!$C$5:$C$3004,"Retour"))</f>
        <v/>
      </c>
      <c r="X2875" s="66" t="n"/>
      <c r="Y2875" s="66" t="n"/>
      <c r="Z2875" s="7" t="n"/>
      <c r="AA2875" s="70">
        <f>IF($A2875="","",N(V2875)+N(W2875)+N(X2875)+N(Y2875))</f>
        <v/>
      </c>
      <c r="AB2875" s="70">
        <f>IF($A2875="","",N(S2875)*'Paramètres'!$AA$9*IFERROR(INDEX('Paramètres'!$O$5:$O$7,MATCH(G2875,'Paramètres'!$N$5:$N$7,0)),0))</f>
        <v/>
      </c>
      <c r="AC2875" s="7" t="n"/>
      <c r="AD2875" s="69">
        <f>IF(OR($A2875="",Q2875=""),"",(Q2875-B2875)*24)</f>
        <v/>
      </c>
      <c r="AE2875" s="69">
        <f>IF(OR(Q2875="",R2875=""),"",(R2875-Q2875)*24)</f>
        <v/>
      </c>
      <c r="AF2875" s="77">
        <f>IF(OR($A2875="",B2875=""),"",YEAR(B2875))</f>
        <v/>
      </c>
      <c r="AG2875" s="77">
        <f>IF(OR($A2875="",B2875=""),"",MONTH(B2875))</f>
        <v/>
      </c>
    </row>
    <row r="2876">
      <c r="A2876" s="7" t="n"/>
      <c r="B2876" s="75" t="n"/>
      <c r="C2876" s="7" t="n"/>
      <c r="D2876" s="7" t="n"/>
      <c r="E2876" s="9">
        <f>IF(D2876="","",IFERROR(INDEX('Équipements'!$B$5:$B$304,MATCH(D2876,'Équipements'!$A$5:$A$304,0)),"Code inconnu"))</f>
        <v/>
      </c>
      <c r="F2876" s="9">
        <f>IF(D2876="","",IFERROR(INDEX('Équipements'!$D$5:$D$304,MATCH(D2876,'Équipements'!$A$5:$A$304,0)),""))</f>
        <v/>
      </c>
      <c r="G2876" s="9">
        <f>IF(D2876="","",IFERROR(INDEX('Équipements'!$K$5:$K$304,MATCH(D2876,'Équipements'!$A$5:$A$304,0)),""))</f>
        <v/>
      </c>
      <c r="H2876" s="7" t="n"/>
      <c r="I2876" s="7" t="n"/>
      <c r="J2876" s="7" t="n"/>
      <c r="K2876" s="7" t="n"/>
      <c r="L2876" s="7" t="n"/>
      <c r="M2876" s="7" t="n"/>
      <c r="N2876" s="7" t="n"/>
      <c r="O2876" s="7" t="n"/>
      <c r="P2876" s="65" t="n"/>
      <c r="Q2876" s="75" t="n"/>
      <c r="R2876" s="75" t="n"/>
      <c r="S2876" s="76" t="n"/>
      <c r="T2876" s="76" t="n"/>
      <c r="U2876" s="70">
        <f>IF($A2876="","",IFERROR(INDEX('Techniciens'!$F$5:$F$44,MATCH(O2876,'Techniciens'!$B$5:$B$44,0)),'Paramètres'!$AA$10))</f>
        <v/>
      </c>
      <c r="V2876" s="70">
        <f>IF($A2876="","",IF(OR(AC2876="Demandé",AC2876="Planifié",AC2876="Annulé"),0,N(T2876)*N(U2876)))</f>
        <v/>
      </c>
      <c r="W2876" s="70">
        <f>IF($A2876="","",SUMIFS('Mouvements stock'!$H$5:$H$3004,'Mouvements stock'!$I$5:$I$3004,$A2876,'Mouvements stock'!$C$5:$C$3004,"Sortie")-SUMIFS('Mouvements stock'!$H$5:$H$3004,'Mouvements stock'!$I$5:$I$3004,$A2876,'Mouvements stock'!$C$5:$C$3004,"Retour"))</f>
        <v/>
      </c>
      <c r="X2876" s="66" t="n"/>
      <c r="Y2876" s="66" t="n"/>
      <c r="Z2876" s="7" t="n"/>
      <c r="AA2876" s="70">
        <f>IF($A2876="","",N(V2876)+N(W2876)+N(X2876)+N(Y2876))</f>
        <v/>
      </c>
      <c r="AB2876" s="70">
        <f>IF($A2876="","",N(S2876)*'Paramètres'!$AA$9*IFERROR(INDEX('Paramètres'!$O$5:$O$7,MATCH(G2876,'Paramètres'!$N$5:$N$7,0)),0))</f>
        <v/>
      </c>
      <c r="AC2876" s="7" t="n"/>
      <c r="AD2876" s="69">
        <f>IF(OR($A2876="",Q2876=""),"",(Q2876-B2876)*24)</f>
        <v/>
      </c>
      <c r="AE2876" s="69">
        <f>IF(OR(Q2876="",R2876=""),"",(R2876-Q2876)*24)</f>
        <v/>
      </c>
      <c r="AF2876" s="77">
        <f>IF(OR($A2876="",B2876=""),"",YEAR(B2876))</f>
        <v/>
      </c>
      <c r="AG2876" s="77">
        <f>IF(OR($A2876="",B2876=""),"",MONTH(B2876))</f>
        <v/>
      </c>
    </row>
    <row r="2877">
      <c r="A2877" s="7" t="n"/>
      <c r="B2877" s="75" t="n"/>
      <c r="C2877" s="7" t="n"/>
      <c r="D2877" s="7" t="n"/>
      <c r="E2877" s="9">
        <f>IF(D2877="","",IFERROR(INDEX('Équipements'!$B$5:$B$304,MATCH(D2877,'Équipements'!$A$5:$A$304,0)),"Code inconnu"))</f>
        <v/>
      </c>
      <c r="F2877" s="9">
        <f>IF(D2877="","",IFERROR(INDEX('Équipements'!$D$5:$D$304,MATCH(D2877,'Équipements'!$A$5:$A$304,0)),""))</f>
        <v/>
      </c>
      <c r="G2877" s="9">
        <f>IF(D2877="","",IFERROR(INDEX('Équipements'!$K$5:$K$304,MATCH(D2877,'Équipements'!$A$5:$A$304,0)),""))</f>
        <v/>
      </c>
      <c r="H2877" s="7" t="n"/>
      <c r="I2877" s="7" t="n"/>
      <c r="J2877" s="7" t="n"/>
      <c r="K2877" s="7" t="n"/>
      <c r="L2877" s="7" t="n"/>
      <c r="M2877" s="7" t="n"/>
      <c r="N2877" s="7" t="n"/>
      <c r="O2877" s="7" t="n"/>
      <c r="P2877" s="65" t="n"/>
      <c r="Q2877" s="75" t="n"/>
      <c r="R2877" s="75" t="n"/>
      <c r="S2877" s="76" t="n"/>
      <c r="T2877" s="76" t="n"/>
      <c r="U2877" s="70">
        <f>IF($A2877="","",IFERROR(INDEX('Techniciens'!$F$5:$F$44,MATCH(O2877,'Techniciens'!$B$5:$B$44,0)),'Paramètres'!$AA$10))</f>
        <v/>
      </c>
      <c r="V2877" s="70">
        <f>IF($A2877="","",IF(OR(AC2877="Demandé",AC2877="Planifié",AC2877="Annulé"),0,N(T2877)*N(U2877)))</f>
        <v/>
      </c>
      <c r="W2877" s="70">
        <f>IF($A2877="","",SUMIFS('Mouvements stock'!$H$5:$H$3004,'Mouvements stock'!$I$5:$I$3004,$A2877,'Mouvements stock'!$C$5:$C$3004,"Sortie")-SUMIFS('Mouvements stock'!$H$5:$H$3004,'Mouvements stock'!$I$5:$I$3004,$A2877,'Mouvements stock'!$C$5:$C$3004,"Retour"))</f>
        <v/>
      </c>
      <c r="X2877" s="66" t="n"/>
      <c r="Y2877" s="66" t="n"/>
      <c r="Z2877" s="7" t="n"/>
      <c r="AA2877" s="70">
        <f>IF($A2877="","",N(V2877)+N(W2877)+N(X2877)+N(Y2877))</f>
        <v/>
      </c>
      <c r="AB2877" s="70">
        <f>IF($A2877="","",N(S2877)*'Paramètres'!$AA$9*IFERROR(INDEX('Paramètres'!$O$5:$O$7,MATCH(G2877,'Paramètres'!$N$5:$N$7,0)),0))</f>
        <v/>
      </c>
      <c r="AC2877" s="7" t="n"/>
      <c r="AD2877" s="69">
        <f>IF(OR($A2877="",Q2877=""),"",(Q2877-B2877)*24)</f>
        <v/>
      </c>
      <c r="AE2877" s="69">
        <f>IF(OR(Q2877="",R2877=""),"",(R2877-Q2877)*24)</f>
        <v/>
      </c>
      <c r="AF2877" s="77">
        <f>IF(OR($A2877="",B2877=""),"",YEAR(B2877))</f>
        <v/>
      </c>
      <c r="AG2877" s="77">
        <f>IF(OR($A2877="",B2877=""),"",MONTH(B2877))</f>
        <v/>
      </c>
    </row>
    <row r="2878">
      <c r="A2878" s="7" t="n"/>
      <c r="B2878" s="75" t="n"/>
      <c r="C2878" s="7" t="n"/>
      <c r="D2878" s="7" t="n"/>
      <c r="E2878" s="9">
        <f>IF(D2878="","",IFERROR(INDEX('Équipements'!$B$5:$B$304,MATCH(D2878,'Équipements'!$A$5:$A$304,0)),"Code inconnu"))</f>
        <v/>
      </c>
      <c r="F2878" s="9">
        <f>IF(D2878="","",IFERROR(INDEX('Équipements'!$D$5:$D$304,MATCH(D2878,'Équipements'!$A$5:$A$304,0)),""))</f>
        <v/>
      </c>
      <c r="G2878" s="9">
        <f>IF(D2878="","",IFERROR(INDEX('Équipements'!$K$5:$K$304,MATCH(D2878,'Équipements'!$A$5:$A$304,0)),""))</f>
        <v/>
      </c>
      <c r="H2878" s="7" t="n"/>
      <c r="I2878" s="7" t="n"/>
      <c r="J2878" s="7" t="n"/>
      <c r="K2878" s="7" t="n"/>
      <c r="L2878" s="7" t="n"/>
      <c r="M2878" s="7" t="n"/>
      <c r="N2878" s="7" t="n"/>
      <c r="O2878" s="7" t="n"/>
      <c r="P2878" s="65" t="n"/>
      <c r="Q2878" s="75" t="n"/>
      <c r="R2878" s="75" t="n"/>
      <c r="S2878" s="76" t="n"/>
      <c r="T2878" s="76" t="n"/>
      <c r="U2878" s="70">
        <f>IF($A2878="","",IFERROR(INDEX('Techniciens'!$F$5:$F$44,MATCH(O2878,'Techniciens'!$B$5:$B$44,0)),'Paramètres'!$AA$10))</f>
        <v/>
      </c>
      <c r="V2878" s="70">
        <f>IF($A2878="","",IF(OR(AC2878="Demandé",AC2878="Planifié",AC2878="Annulé"),0,N(T2878)*N(U2878)))</f>
        <v/>
      </c>
      <c r="W2878" s="70">
        <f>IF($A2878="","",SUMIFS('Mouvements stock'!$H$5:$H$3004,'Mouvements stock'!$I$5:$I$3004,$A2878,'Mouvements stock'!$C$5:$C$3004,"Sortie")-SUMIFS('Mouvements stock'!$H$5:$H$3004,'Mouvements stock'!$I$5:$I$3004,$A2878,'Mouvements stock'!$C$5:$C$3004,"Retour"))</f>
        <v/>
      </c>
      <c r="X2878" s="66" t="n"/>
      <c r="Y2878" s="66" t="n"/>
      <c r="Z2878" s="7" t="n"/>
      <c r="AA2878" s="70">
        <f>IF($A2878="","",N(V2878)+N(W2878)+N(X2878)+N(Y2878))</f>
        <v/>
      </c>
      <c r="AB2878" s="70">
        <f>IF($A2878="","",N(S2878)*'Paramètres'!$AA$9*IFERROR(INDEX('Paramètres'!$O$5:$O$7,MATCH(G2878,'Paramètres'!$N$5:$N$7,0)),0))</f>
        <v/>
      </c>
      <c r="AC2878" s="7" t="n"/>
      <c r="AD2878" s="69">
        <f>IF(OR($A2878="",Q2878=""),"",(Q2878-B2878)*24)</f>
        <v/>
      </c>
      <c r="AE2878" s="69">
        <f>IF(OR(Q2878="",R2878=""),"",(R2878-Q2878)*24)</f>
        <v/>
      </c>
      <c r="AF2878" s="77">
        <f>IF(OR($A2878="",B2878=""),"",YEAR(B2878))</f>
        <v/>
      </c>
      <c r="AG2878" s="77">
        <f>IF(OR($A2878="",B2878=""),"",MONTH(B2878))</f>
        <v/>
      </c>
    </row>
    <row r="2879">
      <c r="A2879" s="7" t="n"/>
      <c r="B2879" s="75" t="n"/>
      <c r="C2879" s="7" t="n"/>
      <c r="D2879" s="7" t="n"/>
      <c r="E2879" s="9">
        <f>IF(D2879="","",IFERROR(INDEX('Équipements'!$B$5:$B$304,MATCH(D2879,'Équipements'!$A$5:$A$304,0)),"Code inconnu"))</f>
        <v/>
      </c>
      <c r="F2879" s="9">
        <f>IF(D2879="","",IFERROR(INDEX('Équipements'!$D$5:$D$304,MATCH(D2879,'Équipements'!$A$5:$A$304,0)),""))</f>
        <v/>
      </c>
      <c r="G2879" s="9">
        <f>IF(D2879="","",IFERROR(INDEX('Équipements'!$K$5:$K$304,MATCH(D2879,'Équipements'!$A$5:$A$304,0)),""))</f>
        <v/>
      </c>
      <c r="H2879" s="7" t="n"/>
      <c r="I2879" s="7" t="n"/>
      <c r="J2879" s="7" t="n"/>
      <c r="K2879" s="7" t="n"/>
      <c r="L2879" s="7" t="n"/>
      <c r="M2879" s="7" t="n"/>
      <c r="N2879" s="7" t="n"/>
      <c r="O2879" s="7" t="n"/>
      <c r="P2879" s="65" t="n"/>
      <c r="Q2879" s="75" t="n"/>
      <c r="R2879" s="75" t="n"/>
      <c r="S2879" s="76" t="n"/>
      <c r="T2879" s="76" t="n"/>
      <c r="U2879" s="70">
        <f>IF($A2879="","",IFERROR(INDEX('Techniciens'!$F$5:$F$44,MATCH(O2879,'Techniciens'!$B$5:$B$44,0)),'Paramètres'!$AA$10))</f>
        <v/>
      </c>
      <c r="V2879" s="70">
        <f>IF($A2879="","",IF(OR(AC2879="Demandé",AC2879="Planifié",AC2879="Annulé"),0,N(T2879)*N(U2879)))</f>
        <v/>
      </c>
      <c r="W2879" s="70">
        <f>IF($A2879="","",SUMIFS('Mouvements stock'!$H$5:$H$3004,'Mouvements stock'!$I$5:$I$3004,$A2879,'Mouvements stock'!$C$5:$C$3004,"Sortie")-SUMIFS('Mouvements stock'!$H$5:$H$3004,'Mouvements stock'!$I$5:$I$3004,$A2879,'Mouvements stock'!$C$5:$C$3004,"Retour"))</f>
        <v/>
      </c>
      <c r="X2879" s="66" t="n"/>
      <c r="Y2879" s="66" t="n"/>
      <c r="Z2879" s="7" t="n"/>
      <c r="AA2879" s="70">
        <f>IF($A2879="","",N(V2879)+N(W2879)+N(X2879)+N(Y2879))</f>
        <v/>
      </c>
      <c r="AB2879" s="70">
        <f>IF($A2879="","",N(S2879)*'Paramètres'!$AA$9*IFERROR(INDEX('Paramètres'!$O$5:$O$7,MATCH(G2879,'Paramètres'!$N$5:$N$7,0)),0))</f>
        <v/>
      </c>
      <c r="AC2879" s="7" t="n"/>
      <c r="AD2879" s="69">
        <f>IF(OR($A2879="",Q2879=""),"",(Q2879-B2879)*24)</f>
        <v/>
      </c>
      <c r="AE2879" s="69">
        <f>IF(OR(Q2879="",R2879=""),"",(R2879-Q2879)*24)</f>
        <v/>
      </c>
      <c r="AF2879" s="77">
        <f>IF(OR($A2879="",B2879=""),"",YEAR(B2879))</f>
        <v/>
      </c>
      <c r="AG2879" s="77">
        <f>IF(OR($A2879="",B2879=""),"",MONTH(B2879))</f>
        <v/>
      </c>
    </row>
    <row r="2880">
      <c r="A2880" s="7" t="n"/>
      <c r="B2880" s="75" t="n"/>
      <c r="C2880" s="7" t="n"/>
      <c r="D2880" s="7" t="n"/>
      <c r="E2880" s="9">
        <f>IF(D2880="","",IFERROR(INDEX('Équipements'!$B$5:$B$304,MATCH(D2880,'Équipements'!$A$5:$A$304,0)),"Code inconnu"))</f>
        <v/>
      </c>
      <c r="F2880" s="9">
        <f>IF(D2880="","",IFERROR(INDEX('Équipements'!$D$5:$D$304,MATCH(D2880,'Équipements'!$A$5:$A$304,0)),""))</f>
        <v/>
      </c>
      <c r="G2880" s="9">
        <f>IF(D2880="","",IFERROR(INDEX('Équipements'!$K$5:$K$304,MATCH(D2880,'Équipements'!$A$5:$A$304,0)),""))</f>
        <v/>
      </c>
      <c r="H2880" s="7" t="n"/>
      <c r="I2880" s="7" t="n"/>
      <c r="J2880" s="7" t="n"/>
      <c r="K2880" s="7" t="n"/>
      <c r="L2880" s="7" t="n"/>
      <c r="M2880" s="7" t="n"/>
      <c r="N2880" s="7" t="n"/>
      <c r="O2880" s="7" t="n"/>
      <c r="P2880" s="65" t="n"/>
      <c r="Q2880" s="75" t="n"/>
      <c r="R2880" s="75" t="n"/>
      <c r="S2880" s="76" t="n"/>
      <c r="T2880" s="76" t="n"/>
      <c r="U2880" s="70">
        <f>IF($A2880="","",IFERROR(INDEX('Techniciens'!$F$5:$F$44,MATCH(O2880,'Techniciens'!$B$5:$B$44,0)),'Paramètres'!$AA$10))</f>
        <v/>
      </c>
      <c r="V2880" s="70">
        <f>IF($A2880="","",IF(OR(AC2880="Demandé",AC2880="Planifié",AC2880="Annulé"),0,N(T2880)*N(U2880)))</f>
        <v/>
      </c>
      <c r="W2880" s="70">
        <f>IF($A2880="","",SUMIFS('Mouvements stock'!$H$5:$H$3004,'Mouvements stock'!$I$5:$I$3004,$A2880,'Mouvements stock'!$C$5:$C$3004,"Sortie")-SUMIFS('Mouvements stock'!$H$5:$H$3004,'Mouvements stock'!$I$5:$I$3004,$A2880,'Mouvements stock'!$C$5:$C$3004,"Retour"))</f>
        <v/>
      </c>
      <c r="X2880" s="66" t="n"/>
      <c r="Y2880" s="66" t="n"/>
      <c r="Z2880" s="7" t="n"/>
      <c r="AA2880" s="70">
        <f>IF($A2880="","",N(V2880)+N(W2880)+N(X2880)+N(Y2880))</f>
        <v/>
      </c>
      <c r="AB2880" s="70">
        <f>IF($A2880="","",N(S2880)*'Paramètres'!$AA$9*IFERROR(INDEX('Paramètres'!$O$5:$O$7,MATCH(G2880,'Paramètres'!$N$5:$N$7,0)),0))</f>
        <v/>
      </c>
      <c r="AC2880" s="7" t="n"/>
      <c r="AD2880" s="69">
        <f>IF(OR($A2880="",Q2880=""),"",(Q2880-B2880)*24)</f>
        <v/>
      </c>
      <c r="AE2880" s="69">
        <f>IF(OR(Q2880="",R2880=""),"",(R2880-Q2880)*24)</f>
        <v/>
      </c>
      <c r="AF2880" s="77">
        <f>IF(OR($A2880="",B2880=""),"",YEAR(B2880))</f>
        <v/>
      </c>
      <c r="AG2880" s="77">
        <f>IF(OR($A2880="",B2880=""),"",MONTH(B2880))</f>
        <v/>
      </c>
    </row>
    <row r="2881">
      <c r="A2881" s="7" t="n"/>
      <c r="B2881" s="75" t="n"/>
      <c r="C2881" s="7" t="n"/>
      <c r="D2881" s="7" t="n"/>
      <c r="E2881" s="9">
        <f>IF(D2881="","",IFERROR(INDEX('Équipements'!$B$5:$B$304,MATCH(D2881,'Équipements'!$A$5:$A$304,0)),"Code inconnu"))</f>
        <v/>
      </c>
      <c r="F2881" s="9">
        <f>IF(D2881="","",IFERROR(INDEX('Équipements'!$D$5:$D$304,MATCH(D2881,'Équipements'!$A$5:$A$304,0)),""))</f>
        <v/>
      </c>
      <c r="G2881" s="9">
        <f>IF(D2881="","",IFERROR(INDEX('Équipements'!$K$5:$K$304,MATCH(D2881,'Équipements'!$A$5:$A$304,0)),""))</f>
        <v/>
      </c>
      <c r="H2881" s="7" t="n"/>
      <c r="I2881" s="7" t="n"/>
      <c r="J2881" s="7" t="n"/>
      <c r="K2881" s="7" t="n"/>
      <c r="L2881" s="7" t="n"/>
      <c r="M2881" s="7" t="n"/>
      <c r="N2881" s="7" t="n"/>
      <c r="O2881" s="7" t="n"/>
      <c r="P2881" s="65" t="n"/>
      <c r="Q2881" s="75" t="n"/>
      <c r="R2881" s="75" t="n"/>
      <c r="S2881" s="76" t="n"/>
      <c r="T2881" s="76" t="n"/>
      <c r="U2881" s="70">
        <f>IF($A2881="","",IFERROR(INDEX('Techniciens'!$F$5:$F$44,MATCH(O2881,'Techniciens'!$B$5:$B$44,0)),'Paramètres'!$AA$10))</f>
        <v/>
      </c>
      <c r="V2881" s="70">
        <f>IF($A2881="","",IF(OR(AC2881="Demandé",AC2881="Planifié",AC2881="Annulé"),0,N(T2881)*N(U2881)))</f>
        <v/>
      </c>
      <c r="W2881" s="70">
        <f>IF($A2881="","",SUMIFS('Mouvements stock'!$H$5:$H$3004,'Mouvements stock'!$I$5:$I$3004,$A2881,'Mouvements stock'!$C$5:$C$3004,"Sortie")-SUMIFS('Mouvements stock'!$H$5:$H$3004,'Mouvements stock'!$I$5:$I$3004,$A2881,'Mouvements stock'!$C$5:$C$3004,"Retour"))</f>
        <v/>
      </c>
      <c r="X2881" s="66" t="n"/>
      <c r="Y2881" s="66" t="n"/>
      <c r="Z2881" s="7" t="n"/>
      <c r="AA2881" s="70">
        <f>IF($A2881="","",N(V2881)+N(W2881)+N(X2881)+N(Y2881))</f>
        <v/>
      </c>
      <c r="AB2881" s="70">
        <f>IF($A2881="","",N(S2881)*'Paramètres'!$AA$9*IFERROR(INDEX('Paramètres'!$O$5:$O$7,MATCH(G2881,'Paramètres'!$N$5:$N$7,0)),0))</f>
        <v/>
      </c>
      <c r="AC2881" s="7" t="n"/>
      <c r="AD2881" s="69">
        <f>IF(OR($A2881="",Q2881=""),"",(Q2881-B2881)*24)</f>
        <v/>
      </c>
      <c r="AE2881" s="69">
        <f>IF(OR(Q2881="",R2881=""),"",(R2881-Q2881)*24)</f>
        <v/>
      </c>
      <c r="AF2881" s="77">
        <f>IF(OR($A2881="",B2881=""),"",YEAR(B2881))</f>
        <v/>
      </c>
      <c r="AG2881" s="77">
        <f>IF(OR($A2881="",B2881=""),"",MONTH(B2881))</f>
        <v/>
      </c>
    </row>
    <row r="2882">
      <c r="A2882" s="7" t="n"/>
      <c r="B2882" s="75" t="n"/>
      <c r="C2882" s="7" t="n"/>
      <c r="D2882" s="7" t="n"/>
      <c r="E2882" s="9">
        <f>IF(D2882="","",IFERROR(INDEX('Équipements'!$B$5:$B$304,MATCH(D2882,'Équipements'!$A$5:$A$304,0)),"Code inconnu"))</f>
        <v/>
      </c>
      <c r="F2882" s="9">
        <f>IF(D2882="","",IFERROR(INDEX('Équipements'!$D$5:$D$304,MATCH(D2882,'Équipements'!$A$5:$A$304,0)),""))</f>
        <v/>
      </c>
      <c r="G2882" s="9">
        <f>IF(D2882="","",IFERROR(INDEX('Équipements'!$K$5:$K$304,MATCH(D2882,'Équipements'!$A$5:$A$304,0)),""))</f>
        <v/>
      </c>
      <c r="H2882" s="7" t="n"/>
      <c r="I2882" s="7" t="n"/>
      <c r="J2882" s="7" t="n"/>
      <c r="K2882" s="7" t="n"/>
      <c r="L2882" s="7" t="n"/>
      <c r="M2882" s="7" t="n"/>
      <c r="N2882" s="7" t="n"/>
      <c r="O2882" s="7" t="n"/>
      <c r="P2882" s="65" t="n"/>
      <c r="Q2882" s="75" t="n"/>
      <c r="R2882" s="75" t="n"/>
      <c r="S2882" s="76" t="n"/>
      <c r="T2882" s="76" t="n"/>
      <c r="U2882" s="70">
        <f>IF($A2882="","",IFERROR(INDEX('Techniciens'!$F$5:$F$44,MATCH(O2882,'Techniciens'!$B$5:$B$44,0)),'Paramètres'!$AA$10))</f>
        <v/>
      </c>
      <c r="V2882" s="70">
        <f>IF($A2882="","",IF(OR(AC2882="Demandé",AC2882="Planifié",AC2882="Annulé"),0,N(T2882)*N(U2882)))</f>
        <v/>
      </c>
      <c r="W2882" s="70">
        <f>IF($A2882="","",SUMIFS('Mouvements stock'!$H$5:$H$3004,'Mouvements stock'!$I$5:$I$3004,$A2882,'Mouvements stock'!$C$5:$C$3004,"Sortie")-SUMIFS('Mouvements stock'!$H$5:$H$3004,'Mouvements stock'!$I$5:$I$3004,$A2882,'Mouvements stock'!$C$5:$C$3004,"Retour"))</f>
        <v/>
      </c>
      <c r="X2882" s="66" t="n"/>
      <c r="Y2882" s="66" t="n"/>
      <c r="Z2882" s="7" t="n"/>
      <c r="AA2882" s="70">
        <f>IF($A2882="","",N(V2882)+N(W2882)+N(X2882)+N(Y2882))</f>
        <v/>
      </c>
      <c r="AB2882" s="70">
        <f>IF($A2882="","",N(S2882)*'Paramètres'!$AA$9*IFERROR(INDEX('Paramètres'!$O$5:$O$7,MATCH(G2882,'Paramètres'!$N$5:$N$7,0)),0))</f>
        <v/>
      </c>
      <c r="AC2882" s="7" t="n"/>
      <c r="AD2882" s="69">
        <f>IF(OR($A2882="",Q2882=""),"",(Q2882-B2882)*24)</f>
        <v/>
      </c>
      <c r="AE2882" s="69">
        <f>IF(OR(Q2882="",R2882=""),"",(R2882-Q2882)*24)</f>
        <v/>
      </c>
      <c r="AF2882" s="77">
        <f>IF(OR($A2882="",B2882=""),"",YEAR(B2882))</f>
        <v/>
      </c>
      <c r="AG2882" s="77">
        <f>IF(OR($A2882="",B2882=""),"",MONTH(B2882))</f>
        <v/>
      </c>
    </row>
    <row r="2883">
      <c r="A2883" s="7" t="n"/>
      <c r="B2883" s="75" t="n"/>
      <c r="C2883" s="7" t="n"/>
      <c r="D2883" s="7" t="n"/>
      <c r="E2883" s="9">
        <f>IF(D2883="","",IFERROR(INDEX('Équipements'!$B$5:$B$304,MATCH(D2883,'Équipements'!$A$5:$A$304,0)),"Code inconnu"))</f>
        <v/>
      </c>
      <c r="F2883" s="9">
        <f>IF(D2883="","",IFERROR(INDEX('Équipements'!$D$5:$D$304,MATCH(D2883,'Équipements'!$A$5:$A$304,0)),""))</f>
        <v/>
      </c>
      <c r="G2883" s="9">
        <f>IF(D2883="","",IFERROR(INDEX('Équipements'!$K$5:$K$304,MATCH(D2883,'Équipements'!$A$5:$A$304,0)),""))</f>
        <v/>
      </c>
      <c r="H2883" s="7" t="n"/>
      <c r="I2883" s="7" t="n"/>
      <c r="J2883" s="7" t="n"/>
      <c r="K2883" s="7" t="n"/>
      <c r="L2883" s="7" t="n"/>
      <c r="M2883" s="7" t="n"/>
      <c r="N2883" s="7" t="n"/>
      <c r="O2883" s="7" t="n"/>
      <c r="P2883" s="65" t="n"/>
      <c r="Q2883" s="75" t="n"/>
      <c r="R2883" s="75" t="n"/>
      <c r="S2883" s="76" t="n"/>
      <c r="T2883" s="76" t="n"/>
      <c r="U2883" s="70">
        <f>IF($A2883="","",IFERROR(INDEX('Techniciens'!$F$5:$F$44,MATCH(O2883,'Techniciens'!$B$5:$B$44,0)),'Paramètres'!$AA$10))</f>
        <v/>
      </c>
      <c r="V2883" s="70">
        <f>IF($A2883="","",IF(OR(AC2883="Demandé",AC2883="Planifié",AC2883="Annulé"),0,N(T2883)*N(U2883)))</f>
        <v/>
      </c>
      <c r="W2883" s="70">
        <f>IF($A2883="","",SUMIFS('Mouvements stock'!$H$5:$H$3004,'Mouvements stock'!$I$5:$I$3004,$A2883,'Mouvements stock'!$C$5:$C$3004,"Sortie")-SUMIFS('Mouvements stock'!$H$5:$H$3004,'Mouvements stock'!$I$5:$I$3004,$A2883,'Mouvements stock'!$C$5:$C$3004,"Retour"))</f>
        <v/>
      </c>
      <c r="X2883" s="66" t="n"/>
      <c r="Y2883" s="66" t="n"/>
      <c r="Z2883" s="7" t="n"/>
      <c r="AA2883" s="70">
        <f>IF($A2883="","",N(V2883)+N(W2883)+N(X2883)+N(Y2883))</f>
        <v/>
      </c>
      <c r="AB2883" s="70">
        <f>IF($A2883="","",N(S2883)*'Paramètres'!$AA$9*IFERROR(INDEX('Paramètres'!$O$5:$O$7,MATCH(G2883,'Paramètres'!$N$5:$N$7,0)),0))</f>
        <v/>
      </c>
      <c r="AC2883" s="7" t="n"/>
      <c r="AD2883" s="69">
        <f>IF(OR($A2883="",Q2883=""),"",(Q2883-B2883)*24)</f>
        <v/>
      </c>
      <c r="AE2883" s="69">
        <f>IF(OR(Q2883="",R2883=""),"",(R2883-Q2883)*24)</f>
        <v/>
      </c>
      <c r="AF2883" s="77">
        <f>IF(OR($A2883="",B2883=""),"",YEAR(B2883))</f>
        <v/>
      </c>
      <c r="AG2883" s="77">
        <f>IF(OR($A2883="",B2883=""),"",MONTH(B2883))</f>
        <v/>
      </c>
    </row>
    <row r="2884">
      <c r="A2884" s="7" t="n"/>
      <c r="B2884" s="75" t="n"/>
      <c r="C2884" s="7" t="n"/>
      <c r="D2884" s="7" t="n"/>
      <c r="E2884" s="9">
        <f>IF(D2884="","",IFERROR(INDEX('Équipements'!$B$5:$B$304,MATCH(D2884,'Équipements'!$A$5:$A$304,0)),"Code inconnu"))</f>
        <v/>
      </c>
      <c r="F2884" s="9">
        <f>IF(D2884="","",IFERROR(INDEX('Équipements'!$D$5:$D$304,MATCH(D2884,'Équipements'!$A$5:$A$304,0)),""))</f>
        <v/>
      </c>
      <c r="G2884" s="9">
        <f>IF(D2884="","",IFERROR(INDEX('Équipements'!$K$5:$K$304,MATCH(D2884,'Équipements'!$A$5:$A$304,0)),""))</f>
        <v/>
      </c>
      <c r="H2884" s="7" t="n"/>
      <c r="I2884" s="7" t="n"/>
      <c r="J2884" s="7" t="n"/>
      <c r="K2884" s="7" t="n"/>
      <c r="L2884" s="7" t="n"/>
      <c r="M2884" s="7" t="n"/>
      <c r="N2884" s="7" t="n"/>
      <c r="O2884" s="7" t="n"/>
      <c r="P2884" s="65" t="n"/>
      <c r="Q2884" s="75" t="n"/>
      <c r="R2884" s="75" t="n"/>
      <c r="S2884" s="76" t="n"/>
      <c r="T2884" s="76" t="n"/>
      <c r="U2884" s="70">
        <f>IF($A2884="","",IFERROR(INDEX('Techniciens'!$F$5:$F$44,MATCH(O2884,'Techniciens'!$B$5:$B$44,0)),'Paramètres'!$AA$10))</f>
        <v/>
      </c>
      <c r="V2884" s="70">
        <f>IF($A2884="","",IF(OR(AC2884="Demandé",AC2884="Planifié",AC2884="Annulé"),0,N(T2884)*N(U2884)))</f>
        <v/>
      </c>
      <c r="W2884" s="70">
        <f>IF($A2884="","",SUMIFS('Mouvements stock'!$H$5:$H$3004,'Mouvements stock'!$I$5:$I$3004,$A2884,'Mouvements stock'!$C$5:$C$3004,"Sortie")-SUMIFS('Mouvements stock'!$H$5:$H$3004,'Mouvements stock'!$I$5:$I$3004,$A2884,'Mouvements stock'!$C$5:$C$3004,"Retour"))</f>
        <v/>
      </c>
      <c r="X2884" s="66" t="n"/>
      <c r="Y2884" s="66" t="n"/>
      <c r="Z2884" s="7" t="n"/>
      <c r="AA2884" s="70">
        <f>IF($A2884="","",N(V2884)+N(W2884)+N(X2884)+N(Y2884))</f>
        <v/>
      </c>
      <c r="AB2884" s="70">
        <f>IF($A2884="","",N(S2884)*'Paramètres'!$AA$9*IFERROR(INDEX('Paramètres'!$O$5:$O$7,MATCH(G2884,'Paramètres'!$N$5:$N$7,0)),0))</f>
        <v/>
      </c>
      <c r="AC2884" s="7" t="n"/>
      <c r="AD2884" s="69">
        <f>IF(OR($A2884="",Q2884=""),"",(Q2884-B2884)*24)</f>
        <v/>
      </c>
      <c r="AE2884" s="69">
        <f>IF(OR(Q2884="",R2884=""),"",(R2884-Q2884)*24)</f>
        <v/>
      </c>
      <c r="AF2884" s="77">
        <f>IF(OR($A2884="",B2884=""),"",YEAR(B2884))</f>
        <v/>
      </c>
      <c r="AG2884" s="77">
        <f>IF(OR($A2884="",B2884=""),"",MONTH(B2884))</f>
        <v/>
      </c>
    </row>
    <row r="2885">
      <c r="A2885" s="7" t="n"/>
      <c r="B2885" s="75" t="n"/>
      <c r="C2885" s="7" t="n"/>
      <c r="D2885" s="7" t="n"/>
      <c r="E2885" s="9">
        <f>IF(D2885="","",IFERROR(INDEX('Équipements'!$B$5:$B$304,MATCH(D2885,'Équipements'!$A$5:$A$304,0)),"Code inconnu"))</f>
        <v/>
      </c>
      <c r="F2885" s="9">
        <f>IF(D2885="","",IFERROR(INDEX('Équipements'!$D$5:$D$304,MATCH(D2885,'Équipements'!$A$5:$A$304,0)),""))</f>
        <v/>
      </c>
      <c r="G2885" s="9">
        <f>IF(D2885="","",IFERROR(INDEX('Équipements'!$K$5:$K$304,MATCH(D2885,'Équipements'!$A$5:$A$304,0)),""))</f>
        <v/>
      </c>
      <c r="H2885" s="7" t="n"/>
      <c r="I2885" s="7" t="n"/>
      <c r="J2885" s="7" t="n"/>
      <c r="K2885" s="7" t="n"/>
      <c r="L2885" s="7" t="n"/>
      <c r="M2885" s="7" t="n"/>
      <c r="N2885" s="7" t="n"/>
      <c r="O2885" s="7" t="n"/>
      <c r="P2885" s="65" t="n"/>
      <c r="Q2885" s="75" t="n"/>
      <c r="R2885" s="75" t="n"/>
      <c r="S2885" s="76" t="n"/>
      <c r="T2885" s="76" t="n"/>
      <c r="U2885" s="70">
        <f>IF($A2885="","",IFERROR(INDEX('Techniciens'!$F$5:$F$44,MATCH(O2885,'Techniciens'!$B$5:$B$44,0)),'Paramètres'!$AA$10))</f>
        <v/>
      </c>
      <c r="V2885" s="70">
        <f>IF($A2885="","",IF(OR(AC2885="Demandé",AC2885="Planifié",AC2885="Annulé"),0,N(T2885)*N(U2885)))</f>
        <v/>
      </c>
      <c r="W2885" s="70">
        <f>IF($A2885="","",SUMIFS('Mouvements stock'!$H$5:$H$3004,'Mouvements stock'!$I$5:$I$3004,$A2885,'Mouvements stock'!$C$5:$C$3004,"Sortie")-SUMIFS('Mouvements stock'!$H$5:$H$3004,'Mouvements stock'!$I$5:$I$3004,$A2885,'Mouvements stock'!$C$5:$C$3004,"Retour"))</f>
        <v/>
      </c>
      <c r="X2885" s="66" t="n"/>
      <c r="Y2885" s="66" t="n"/>
      <c r="Z2885" s="7" t="n"/>
      <c r="AA2885" s="70">
        <f>IF($A2885="","",N(V2885)+N(W2885)+N(X2885)+N(Y2885))</f>
        <v/>
      </c>
      <c r="AB2885" s="70">
        <f>IF($A2885="","",N(S2885)*'Paramètres'!$AA$9*IFERROR(INDEX('Paramètres'!$O$5:$O$7,MATCH(G2885,'Paramètres'!$N$5:$N$7,0)),0))</f>
        <v/>
      </c>
      <c r="AC2885" s="7" t="n"/>
      <c r="AD2885" s="69">
        <f>IF(OR($A2885="",Q2885=""),"",(Q2885-B2885)*24)</f>
        <v/>
      </c>
      <c r="AE2885" s="69">
        <f>IF(OR(Q2885="",R2885=""),"",(R2885-Q2885)*24)</f>
        <v/>
      </c>
      <c r="AF2885" s="77">
        <f>IF(OR($A2885="",B2885=""),"",YEAR(B2885))</f>
        <v/>
      </c>
      <c r="AG2885" s="77">
        <f>IF(OR($A2885="",B2885=""),"",MONTH(B2885))</f>
        <v/>
      </c>
    </row>
    <row r="2886">
      <c r="A2886" s="7" t="n"/>
      <c r="B2886" s="75" t="n"/>
      <c r="C2886" s="7" t="n"/>
      <c r="D2886" s="7" t="n"/>
      <c r="E2886" s="9">
        <f>IF(D2886="","",IFERROR(INDEX('Équipements'!$B$5:$B$304,MATCH(D2886,'Équipements'!$A$5:$A$304,0)),"Code inconnu"))</f>
        <v/>
      </c>
      <c r="F2886" s="9">
        <f>IF(D2886="","",IFERROR(INDEX('Équipements'!$D$5:$D$304,MATCH(D2886,'Équipements'!$A$5:$A$304,0)),""))</f>
        <v/>
      </c>
      <c r="G2886" s="9">
        <f>IF(D2886="","",IFERROR(INDEX('Équipements'!$K$5:$K$304,MATCH(D2886,'Équipements'!$A$5:$A$304,0)),""))</f>
        <v/>
      </c>
      <c r="H2886" s="7" t="n"/>
      <c r="I2886" s="7" t="n"/>
      <c r="J2886" s="7" t="n"/>
      <c r="K2886" s="7" t="n"/>
      <c r="L2886" s="7" t="n"/>
      <c r="M2886" s="7" t="n"/>
      <c r="N2886" s="7" t="n"/>
      <c r="O2886" s="7" t="n"/>
      <c r="P2886" s="65" t="n"/>
      <c r="Q2886" s="75" t="n"/>
      <c r="R2886" s="75" t="n"/>
      <c r="S2886" s="76" t="n"/>
      <c r="T2886" s="76" t="n"/>
      <c r="U2886" s="70">
        <f>IF($A2886="","",IFERROR(INDEX('Techniciens'!$F$5:$F$44,MATCH(O2886,'Techniciens'!$B$5:$B$44,0)),'Paramètres'!$AA$10))</f>
        <v/>
      </c>
      <c r="V2886" s="70">
        <f>IF($A2886="","",IF(OR(AC2886="Demandé",AC2886="Planifié",AC2886="Annulé"),0,N(T2886)*N(U2886)))</f>
        <v/>
      </c>
      <c r="W2886" s="70">
        <f>IF($A2886="","",SUMIFS('Mouvements stock'!$H$5:$H$3004,'Mouvements stock'!$I$5:$I$3004,$A2886,'Mouvements stock'!$C$5:$C$3004,"Sortie")-SUMIFS('Mouvements stock'!$H$5:$H$3004,'Mouvements stock'!$I$5:$I$3004,$A2886,'Mouvements stock'!$C$5:$C$3004,"Retour"))</f>
        <v/>
      </c>
      <c r="X2886" s="66" t="n"/>
      <c r="Y2886" s="66" t="n"/>
      <c r="Z2886" s="7" t="n"/>
      <c r="AA2886" s="70">
        <f>IF($A2886="","",N(V2886)+N(W2886)+N(X2886)+N(Y2886))</f>
        <v/>
      </c>
      <c r="AB2886" s="70">
        <f>IF($A2886="","",N(S2886)*'Paramètres'!$AA$9*IFERROR(INDEX('Paramètres'!$O$5:$O$7,MATCH(G2886,'Paramètres'!$N$5:$N$7,0)),0))</f>
        <v/>
      </c>
      <c r="AC2886" s="7" t="n"/>
      <c r="AD2886" s="69">
        <f>IF(OR($A2886="",Q2886=""),"",(Q2886-B2886)*24)</f>
        <v/>
      </c>
      <c r="AE2886" s="69">
        <f>IF(OR(Q2886="",R2886=""),"",(R2886-Q2886)*24)</f>
        <v/>
      </c>
      <c r="AF2886" s="77">
        <f>IF(OR($A2886="",B2886=""),"",YEAR(B2886))</f>
        <v/>
      </c>
      <c r="AG2886" s="77">
        <f>IF(OR($A2886="",B2886=""),"",MONTH(B2886))</f>
        <v/>
      </c>
    </row>
    <row r="2887">
      <c r="A2887" s="7" t="n"/>
      <c r="B2887" s="75" t="n"/>
      <c r="C2887" s="7" t="n"/>
      <c r="D2887" s="7" t="n"/>
      <c r="E2887" s="9">
        <f>IF(D2887="","",IFERROR(INDEX('Équipements'!$B$5:$B$304,MATCH(D2887,'Équipements'!$A$5:$A$304,0)),"Code inconnu"))</f>
        <v/>
      </c>
      <c r="F2887" s="9">
        <f>IF(D2887="","",IFERROR(INDEX('Équipements'!$D$5:$D$304,MATCH(D2887,'Équipements'!$A$5:$A$304,0)),""))</f>
        <v/>
      </c>
      <c r="G2887" s="9">
        <f>IF(D2887="","",IFERROR(INDEX('Équipements'!$K$5:$K$304,MATCH(D2887,'Équipements'!$A$5:$A$304,0)),""))</f>
        <v/>
      </c>
      <c r="H2887" s="7" t="n"/>
      <c r="I2887" s="7" t="n"/>
      <c r="J2887" s="7" t="n"/>
      <c r="K2887" s="7" t="n"/>
      <c r="L2887" s="7" t="n"/>
      <c r="M2887" s="7" t="n"/>
      <c r="N2887" s="7" t="n"/>
      <c r="O2887" s="7" t="n"/>
      <c r="P2887" s="65" t="n"/>
      <c r="Q2887" s="75" t="n"/>
      <c r="R2887" s="75" t="n"/>
      <c r="S2887" s="76" t="n"/>
      <c r="T2887" s="76" t="n"/>
      <c r="U2887" s="70">
        <f>IF($A2887="","",IFERROR(INDEX('Techniciens'!$F$5:$F$44,MATCH(O2887,'Techniciens'!$B$5:$B$44,0)),'Paramètres'!$AA$10))</f>
        <v/>
      </c>
      <c r="V2887" s="70">
        <f>IF($A2887="","",IF(OR(AC2887="Demandé",AC2887="Planifié",AC2887="Annulé"),0,N(T2887)*N(U2887)))</f>
        <v/>
      </c>
      <c r="W2887" s="70">
        <f>IF($A2887="","",SUMIFS('Mouvements stock'!$H$5:$H$3004,'Mouvements stock'!$I$5:$I$3004,$A2887,'Mouvements stock'!$C$5:$C$3004,"Sortie")-SUMIFS('Mouvements stock'!$H$5:$H$3004,'Mouvements stock'!$I$5:$I$3004,$A2887,'Mouvements stock'!$C$5:$C$3004,"Retour"))</f>
        <v/>
      </c>
      <c r="X2887" s="66" t="n"/>
      <c r="Y2887" s="66" t="n"/>
      <c r="Z2887" s="7" t="n"/>
      <c r="AA2887" s="70">
        <f>IF($A2887="","",N(V2887)+N(W2887)+N(X2887)+N(Y2887))</f>
        <v/>
      </c>
      <c r="AB2887" s="70">
        <f>IF($A2887="","",N(S2887)*'Paramètres'!$AA$9*IFERROR(INDEX('Paramètres'!$O$5:$O$7,MATCH(G2887,'Paramètres'!$N$5:$N$7,0)),0))</f>
        <v/>
      </c>
      <c r="AC2887" s="7" t="n"/>
      <c r="AD2887" s="69">
        <f>IF(OR($A2887="",Q2887=""),"",(Q2887-B2887)*24)</f>
        <v/>
      </c>
      <c r="AE2887" s="69">
        <f>IF(OR(Q2887="",R2887=""),"",(R2887-Q2887)*24)</f>
        <v/>
      </c>
      <c r="AF2887" s="77">
        <f>IF(OR($A2887="",B2887=""),"",YEAR(B2887))</f>
        <v/>
      </c>
      <c r="AG2887" s="77">
        <f>IF(OR($A2887="",B2887=""),"",MONTH(B2887))</f>
        <v/>
      </c>
    </row>
    <row r="2888">
      <c r="A2888" s="7" t="n"/>
      <c r="B2888" s="75" t="n"/>
      <c r="C2888" s="7" t="n"/>
      <c r="D2888" s="7" t="n"/>
      <c r="E2888" s="9">
        <f>IF(D2888="","",IFERROR(INDEX('Équipements'!$B$5:$B$304,MATCH(D2888,'Équipements'!$A$5:$A$304,0)),"Code inconnu"))</f>
        <v/>
      </c>
      <c r="F2888" s="9">
        <f>IF(D2888="","",IFERROR(INDEX('Équipements'!$D$5:$D$304,MATCH(D2888,'Équipements'!$A$5:$A$304,0)),""))</f>
        <v/>
      </c>
      <c r="G2888" s="9">
        <f>IF(D2888="","",IFERROR(INDEX('Équipements'!$K$5:$K$304,MATCH(D2888,'Équipements'!$A$5:$A$304,0)),""))</f>
        <v/>
      </c>
      <c r="H2888" s="7" t="n"/>
      <c r="I2888" s="7" t="n"/>
      <c r="J2888" s="7" t="n"/>
      <c r="K2888" s="7" t="n"/>
      <c r="L2888" s="7" t="n"/>
      <c r="M2888" s="7" t="n"/>
      <c r="N2888" s="7" t="n"/>
      <c r="O2888" s="7" t="n"/>
      <c r="P2888" s="65" t="n"/>
      <c r="Q2888" s="75" t="n"/>
      <c r="R2888" s="75" t="n"/>
      <c r="S2888" s="76" t="n"/>
      <c r="T2888" s="76" t="n"/>
      <c r="U2888" s="70">
        <f>IF($A2888="","",IFERROR(INDEX('Techniciens'!$F$5:$F$44,MATCH(O2888,'Techniciens'!$B$5:$B$44,0)),'Paramètres'!$AA$10))</f>
        <v/>
      </c>
      <c r="V2888" s="70">
        <f>IF($A2888="","",IF(OR(AC2888="Demandé",AC2888="Planifié",AC2888="Annulé"),0,N(T2888)*N(U2888)))</f>
        <v/>
      </c>
      <c r="W2888" s="70">
        <f>IF($A2888="","",SUMIFS('Mouvements stock'!$H$5:$H$3004,'Mouvements stock'!$I$5:$I$3004,$A2888,'Mouvements stock'!$C$5:$C$3004,"Sortie")-SUMIFS('Mouvements stock'!$H$5:$H$3004,'Mouvements stock'!$I$5:$I$3004,$A2888,'Mouvements stock'!$C$5:$C$3004,"Retour"))</f>
        <v/>
      </c>
      <c r="X2888" s="66" t="n"/>
      <c r="Y2888" s="66" t="n"/>
      <c r="Z2888" s="7" t="n"/>
      <c r="AA2888" s="70">
        <f>IF($A2888="","",N(V2888)+N(W2888)+N(X2888)+N(Y2888))</f>
        <v/>
      </c>
      <c r="AB2888" s="70">
        <f>IF($A2888="","",N(S2888)*'Paramètres'!$AA$9*IFERROR(INDEX('Paramètres'!$O$5:$O$7,MATCH(G2888,'Paramètres'!$N$5:$N$7,0)),0))</f>
        <v/>
      </c>
      <c r="AC2888" s="7" t="n"/>
      <c r="AD2888" s="69">
        <f>IF(OR($A2888="",Q2888=""),"",(Q2888-B2888)*24)</f>
        <v/>
      </c>
      <c r="AE2888" s="69">
        <f>IF(OR(Q2888="",R2888=""),"",(R2888-Q2888)*24)</f>
        <v/>
      </c>
      <c r="AF2888" s="77">
        <f>IF(OR($A2888="",B2888=""),"",YEAR(B2888))</f>
        <v/>
      </c>
      <c r="AG2888" s="77">
        <f>IF(OR($A2888="",B2888=""),"",MONTH(B2888))</f>
        <v/>
      </c>
    </row>
    <row r="2889">
      <c r="A2889" s="7" t="n"/>
      <c r="B2889" s="75" t="n"/>
      <c r="C2889" s="7" t="n"/>
      <c r="D2889" s="7" t="n"/>
      <c r="E2889" s="9">
        <f>IF(D2889="","",IFERROR(INDEX('Équipements'!$B$5:$B$304,MATCH(D2889,'Équipements'!$A$5:$A$304,0)),"Code inconnu"))</f>
        <v/>
      </c>
      <c r="F2889" s="9">
        <f>IF(D2889="","",IFERROR(INDEX('Équipements'!$D$5:$D$304,MATCH(D2889,'Équipements'!$A$5:$A$304,0)),""))</f>
        <v/>
      </c>
      <c r="G2889" s="9">
        <f>IF(D2889="","",IFERROR(INDEX('Équipements'!$K$5:$K$304,MATCH(D2889,'Équipements'!$A$5:$A$304,0)),""))</f>
        <v/>
      </c>
      <c r="H2889" s="7" t="n"/>
      <c r="I2889" s="7" t="n"/>
      <c r="J2889" s="7" t="n"/>
      <c r="K2889" s="7" t="n"/>
      <c r="L2889" s="7" t="n"/>
      <c r="M2889" s="7" t="n"/>
      <c r="N2889" s="7" t="n"/>
      <c r="O2889" s="7" t="n"/>
      <c r="P2889" s="65" t="n"/>
      <c r="Q2889" s="75" t="n"/>
      <c r="R2889" s="75" t="n"/>
      <c r="S2889" s="76" t="n"/>
      <c r="T2889" s="76" t="n"/>
      <c r="U2889" s="70">
        <f>IF($A2889="","",IFERROR(INDEX('Techniciens'!$F$5:$F$44,MATCH(O2889,'Techniciens'!$B$5:$B$44,0)),'Paramètres'!$AA$10))</f>
        <v/>
      </c>
      <c r="V2889" s="70">
        <f>IF($A2889="","",IF(OR(AC2889="Demandé",AC2889="Planifié",AC2889="Annulé"),0,N(T2889)*N(U2889)))</f>
        <v/>
      </c>
      <c r="W2889" s="70">
        <f>IF($A2889="","",SUMIFS('Mouvements stock'!$H$5:$H$3004,'Mouvements stock'!$I$5:$I$3004,$A2889,'Mouvements stock'!$C$5:$C$3004,"Sortie")-SUMIFS('Mouvements stock'!$H$5:$H$3004,'Mouvements stock'!$I$5:$I$3004,$A2889,'Mouvements stock'!$C$5:$C$3004,"Retour"))</f>
        <v/>
      </c>
      <c r="X2889" s="66" t="n"/>
      <c r="Y2889" s="66" t="n"/>
      <c r="Z2889" s="7" t="n"/>
      <c r="AA2889" s="70">
        <f>IF($A2889="","",N(V2889)+N(W2889)+N(X2889)+N(Y2889))</f>
        <v/>
      </c>
      <c r="AB2889" s="70">
        <f>IF($A2889="","",N(S2889)*'Paramètres'!$AA$9*IFERROR(INDEX('Paramètres'!$O$5:$O$7,MATCH(G2889,'Paramètres'!$N$5:$N$7,0)),0))</f>
        <v/>
      </c>
      <c r="AC2889" s="7" t="n"/>
      <c r="AD2889" s="69">
        <f>IF(OR($A2889="",Q2889=""),"",(Q2889-B2889)*24)</f>
        <v/>
      </c>
      <c r="AE2889" s="69">
        <f>IF(OR(Q2889="",R2889=""),"",(R2889-Q2889)*24)</f>
        <v/>
      </c>
      <c r="AF2889" s="77">
        <f>IF(OR($A2889="",B2889=""),"",YEAR(B2889))</f>
        <v/>
      </c>
      <c r="AG2889" s="77">
        <f>IF(OR($A2889="",B2889=""),"",MONTH(B2889))</f>
        <v/>
      </c>
    </row>
    <row r="2890">
      <c r="A2890" s="7" t="n"/>
      <c r="B2890" s="75" t="n"/>
      <c r="C2890" s="7" t="n"/>
      <c r="D2890" s="7" t="n"/>
      <c r="E2890" s="9">
        <f>IF(D2890="","",IFERROR(INDEX('Équipements'!$B$5:$B$304,MATCH(D2890,'Équipements'!$A$5:$A$304,0)),"Code inconnu"))</f>
        <v/>
      </c>
      <c r="F2890" s="9">
        <f>IF(D2890="","",IFERROR(INDEX('Équipements'!$D$5:$D$304,MATCH(D2890,'Équipements'!$A$5:$A$304,0)),""))</f>
        <v/>
      </c>
      <c r="G2890" s="9">
        <f>IF(D2890="","",IFERROR(INDEX('Équipements'!$K$5:$K$304,MATCH(D2890,'Équipements'!$A$5:$A$304,0)),""))</f>
        <v/>
      </c>
      <c r="H2890" s="7" t="n"/>
      <c r="I2890" s="7" t="n"/>
      <c r="J2890" s="7" t="n"/>
      <c r="K2890" s="7" t="n"/>
      <c r="L2890" s="7" t="n"/>
      <c r="M2890" s="7" t="n"/>
      <c r="N2890" s="7" t="n"/>
      <c r="O2890" s="7" t="n"/>
      <c r="P2890" s="65" t="n"/>
      <c r="Q2890" s="75" t="n"/>
      <c r="R2890" s="75" t="n"/>
      <c r="S2890" s="76" t="n"/>
      <c r="T2890" s="76" t="n"/>
      <c r="U2890" s="70">
        <f>IF($A2890="","",IFERROR(INDEX('Techniciens'!$F$5:$F$44,MATCH(O2890,'Techniciens'!$B$5:$B$44,0)),'Paramètres'!$AA$10))</f>
        <v/>
      </c>
      <c r="V2890" s="70">
        <f>IF($A2890="","",IF(OR(AC2890="Demandé",AC2890="Planifié",AC2890="Annulé"),0,N(T2890)*N(U2890)))</f>
        <v/>
      </c>
      <c r="W2890" s="70">
        <f>IF($A2890="","",SUMIFS('Mouvements stock'!$H$5:$H$3004,'Mouvements stock'!$I$5:$I$3004,$A2890,'Mouvements stock'!$C$5:$C$3004,"Sortie")-SUMIFS('Mouvements stock'!$H$5:$H$3004,'Mouvements stock'!$I$5:$I$3004,$A2890,'Mouvements stock'!$C$5:$C$3004,"Retour"))</f>
        <v/>
      </c>
      <c r="X2890" s="66" t="n"/>
      <c r="Y2890" s="66" t="n"/>
      <c r="Z2890" s="7" t="n"/>
      <c r="AA2890" s="70">
        <f>IF($A2890="","",N(V2890)+N(W2890)+N(X2890)+N(Y2890))</f>
        <v/>
      </c>
      <c r="AB2890" s="70">
        <f>IF($A2890="","",N(S2890)*'Paramètres'!$AA$9*IFERROR(INDEX('Paramètres'!$O$5:$O$7,MATCH(G2890,'Paramètres'!$N$5:$N$7,0)),0))</f>
        <v/>
      </c>
      <c r="AC2890" s="7" t="n"/>
      <c r="AD2890" s="69">
        <f>IF(OR($A2890="",Q2890=""),"",(Q2890-B2890)*24)</f>
        <v/>
      </c>
      <c r="AE2890" s="69">
        <f>IF(OR(Q2890="",R2890=""),"",(R2890-Q2890)*24)</f>
        <v/>
      </c>
      <c r="AF2890" s="77">
        <f>IF(OR($A2890="",B2890=""),"",YEAR(B2890))</f>
        <v/>
      </c>
      <c r="AG2890" s="77">
        <f>IF(OR($A2890="",B2890=""),"",MONTH(B2890))</f>
        <v/>
      </c>
    </row>
    <row r="2891">
      <c r="A2891" s="7" t="n"/>
      <c r="B2891" s="75" t="n"/>
      <c r="C2891" s="7" t="n"/>
      <c r="D2891" s="7" t="n"/>
      <c r="E2891" s="9">
        <f>IF(D2891="","",IFERROR(INDEX('Équipements'!$B$5:$B$304,MATCH(D2891,'Équipements'!$A$5:$A$304,0)),"Code inconnu"))</f>
        <v/>
      </c>
      <c r="F2891" s="9">
        <f>IF(D2891="","",IFERROR(INDEX('Équipements'!$D$5:$D$304,MATCH(D2891,'Équipements'!$A$5:$A$304,0)),""))</f>
        <v/>
      </c>
      <c r="G2891" s="9">
        <f>IF(D2891="","",IFERROR(INDEX('Équipements'!$K$5:$K$304,MATCH(D2891,'Équipements'!$A$5:$A$304,0)),""))</f>
        <v/>
      </c>
      <c r="H2891" s="7" t="n"/>
      <c r="I2891" s="7" t="n"/>
      <c r="J2891" s="7" t="n"/>
      <c r="K2891" s="7" t="n"/>
      <c r="L2891" s="7" t="n"/>
      <c r="M2891" s="7" t="n"/>
      <c r="N2891" s="7" t="n"/>
      <c r="O2891" s="7" t="n"/>
      <c r="P2891" s="65" t="n"/>
      <c r="Q2891" s="75" t="n"/>
      <c r="R2891" s="75" t="n"/>
      <c r="S2891" s="76" t="n"/>
      <c r="T2891" s="76" t="n"/>
      <c r="U2891" s="70">
        <f>IF($A2891="","",IFERROR(INDEX('Techniciens'!$F$5:$F$44,MATCH(O2891,'Techniciens'!$B$5:$B$44,0)),'Paramètres'!$AA$10))</f>
        <v/>
      </c>
      <c r="V2891" s="70">
        <f>IF($A2891="","",IF(OR(AC2891="Demandé",AC2891="Planifié",AC2891="Annulé"),0,N(T2891)*N(U2891)))</f>
        <v/>
      </c>
      <c r="W2891" s="70">
        <f>IF($A2891="","",SUMIFS('Mouvements stock'!$H$5:$H$3004,'Mouvements stock'!$I$5:$I$3004,$A2891,'Mouvements stock'!$C$5:$C$3004,"Sortie")-SUMIFS('Mouvements stock'!$H$5:$H$3004,'Mouvements stock'!$I$5:$I$3004,$A2891,'Mouvements stock'!$C$5:$C$3004,"Retour"))</f>
        <v/>
      </c>
      <c r="X2891" s="66" t="n"/>
      <c r="Y2891" s="66" t="n"/>
      <c r="Z2891" s="7" t="n"/>
      <c r="AA2891" s="70">
        <f>IF($A2891="","",N(V2891)+N(W2891)+N(X2891)+N(Y2891))</f>
        <v/>
      </c>
      <c r="AB2891" s="70">
        <f>IF($A2891="","",N(S2891)*'Paramètres'!$AA$9*IFERROR(INDEX('Paramètres'!$O$5:$O$7,MATCH(G2891,'Paramètres'!$N$5:$N$7,0)),0))</f>
        <v/>
      </c>
      <c r="AC2891" s="7" t="n"/>
      <c r="AD2891" s="69">
        <f>IF(OR($A2891="",Q2891=""),"",(Q2891-B2891)*24)</f>
        <v/>
      </c>
      <c r="AE2891" s="69">
        <f>IF(OR(Q2891="",R2891=""),"",(R2891-Q2891)*24)</f>
        <v/>
      </c>
      <c r="AF2891" s="77">
        <f>IF(OR($A2891="",B2891=""),"",YEAR(B2891))</f>
        <v/>
      </c>
      <c r="AG2891" s="77">
        <f>IF(OR($A2891="",B2891=""),"",MONTH(B2891))</f>
        <v/>
      </c>
    </row>
    <row r="2892">
      <c r="A2892" s="7" t="n"/>
      <c r="B2892" s="75" t="n"/>
      <c r="C2892" s="7" t="n"/>
      <c r="D2892" s="7" t="n"/>
      <c r="E2892" s="9">
        <f>IF(D2892="","",IFERROR(INDEX('Équipements'!$B$5:$B$304,MATCH(D2892,'Équipements'!$A$5:$A$304,0)),"Code inconnu"))</f>
        <v/>
      </c>
      <c r="F2892" s="9">
        <f>IF(D2892="","",IFERROR(INDEX('Équipements'!$D$5:$D$304,MATCH(D2892,'Équipements'!$A$5:$A$304,0)),""))</f>
        <v/>
      </c>
      <c r="G2892" s="9">
        <f>IF(D2892="","",IFERROR(INDEX('Équipements'!$K$5:$K$304,MATCH(D2892,'Équipements'!$A$5:$A$304,0)),""))</f>
        <v/>
      </c>
      <c r="H2892" s="7" t="n"/>
      <c r="I2892" s="7" t="n"/>
      <c r="J2892" s="7" t="n"/>
      <c r="K2892" s="7" t="n"/>
      <c r="L2892" s="7" t="n"/>
      <c r="M2892" s="7" t="n"/>
      <c r="N2892" s="7" t="n"/>
      <c r="O2892" s="7" t="n"/>
      <c r="P2892" s="65" t="n"/>
      <c r="Q2892" s="75" t="n"/>
      <c r="R2892" s="75" t="n"/>
      <c r="S2892" s="76" t="n"/>
      <c r="T2892" s="76" t="n"/>
      <c r="U2892" s="70">
        <f>IF($A2892="","",IFERROR(INDEX('Techniciens'!$F$5:$F$44,MATCH(O2892,'Techniciens'!$B$5:$B$44,0)),'Paramètres'!$AA$10))</f>
        <v/>
      </c>
      <c r="V2892" s="70">
        <f>IF($A2892="","",IF(OR(AC2892="Demandé",AC2892="Planifié",AC2892="Annulé"),0,N(T2892)*N(U2892)))</f>
        <v/>
      </c>
      <c r="W2892" s="70">
        <f>IF($A2892="","",SUMIFS('Mouvements stock'!$H$5:$H$3004,'Mouvements stock'!$I$5:$I$3004,$A2892,'Mouvements stock'!$C$5:$C$3004,"Sortie")-SUMIFS('Mouvements stock'!$H$5:$H$3004,'Mouvements stock'!$I$5:$I$3004,$A2892,'Mouvements stock'!$C$5:$C$3004,"Retour"))</f>
        <v/>
      </c>
      <c r="X2892" s="66" t="n"/>
      <c r="Y2892" s="66" t="n"/>
      <c r="Z2892" s="7" t="n"/>
      <c r="AA2892" s="70">
        <f>IF($A2892="","",N(V2892)+N(W2892)+N(X2892)+N(Y2892))</f>
        <v/>
      </c>
      <c r="AB2892" s="70">
        <f>IF($A2892="","",N(S2892)*'Paramètres'!$AA$9*IFERROR(INDEX('Paramètres'!$O$5:$O$7,MATCH(G2892,'Paramètres'!$N$5:$N$7,0)),0))</f>
        <v/>
      </c>
      <c r="AC2892" s="7" t="n"/>
      <c r="AD2892" s="69">
        <f>IF(OR($A2892="",Q2892=""),"",(Q2892-B2892)*24)</f>
        <v/>
      </c>
      <c r="AE2892" s="69">
        <f>IF(OR(Q2892="",R2892=""),"",(R2892-Q2892)*24)</f>
        <v/>
      </c>
      <c r="AF2892" s="77">
        <f>IF(OR($A2892="",B2892=""),"",YEAR(B2892))</f>
        <v/>
      </c>
      <c r="AG2892" s="77">
        <f>IF(OR($A2892="",B2892=""),"",MONTH(B2892))</f>
        <v/>
      </c>
    </row>
    <row r="2893">
      <c r="A2893" s="7" t="n"/>
      <c r="B2893" s="75" t="n"/>
      <c r="C2893" s="7" t="n"/>
      <c r="D2893" s="7" t="n"/>
      <c r="E2893" s="9">
        <f>IF(D2893="","",IFERROR(INDEX('Équipements'!$B$5:$B$304,MATCH(D2893,'Équipements'!$A$5:$A$304,0)),"Code inconnu"))</f>
        <v/>
      </c>
      <c r="F2893" s="9">
        <f>IF(D2893="","",IFERROR(INDEX('Équipements'!$D$5:$D$304,MATCH(D2893,'Équipements'!$A$5:$A$304,0)),""))</f>
        <v/>
      </c>
      <c r="G2893" s="9">
        <f>IF(D2893="","",IFERROR(INDEX('Équipements'!$K$5:$K$304,MATCH(D2893,'Équipements'!$A$5:$A$304,0)),""))</f>
        <v/>
      </c>
      <c r="H2893" s="7" t="n"/>
      <c r="I2893" s="7" t="n"/>
      <c r="J2893" s="7" t="n"/>
      <c r="K2893" s="7" t="n"/>
      <c r="L2893" s="7" t="n"/>
      <c r="M2893" s="7" t="n"/>
      <c r="N2893" s="7" t="n"/>
      <c r="O2893" s="7" t="n"/>
      <c r="P2893" s="65" t="n"/>
      <c r="Q2893" s="75" t="n"/>
      <c r="R2893" s="75" t="n"/>
      <c r="S2893" s="76" t="n"/>
      <c r="T2893" s="76" t="n"/>
      <c r="U2893" s="70">
        <f>IF($A2893="","",IFERROR(INDEX('Techniciens'!$F$5:$F$44,MATCH(O2893,'Techniciens'!$B$5:$B$44,0)),'Paramètres'!$AA$10))</f>
        <v/>
      </c>
      <c r="V2893" s="70">
        <f>IF($A2893="","",IF(OR(AC2893="Demandé",AC2893="Planifié",AC2893="Annulé"),0,N(T2893)*N(U2893)))</f>
        <v/>
      </c>
      <c r="W2893" s="70">
        <f>IF($A2893="","",SUMIFS('Mouvements stock'!$H$5:$H$3004,'Mouvements stock'!$I$5:$I$3004,$A2893,'Mouvements stock'!$C$5:$C$3004,"Sortie")-SUMIFS('Mouvements stock'!$H$5:$H$3004,'Mouvements stock'!$I$5:$I$3004,$A2893,'Mouvements stock'!$C$5:$C$3004,"Retour"))</f>
        <v/>
      </c>
      <c r="X2893" s="66" t="n"/>
      <c r="Y2893" s="66" t="n"/>
      <c r="Z2893" s="7" t="n"/>
      <c r="AA2893" s="70">
        <f>IF($A2893="","",N(V2893)+N(W2893)+N(X2893)+N(Y2893))</f>
        <v/>
      </c>
      <c r="AB2893" s="70">
        <f>IF($A2893="","",N(S2893)*'Paramètres'!$AA$9*IFERROR(INDEX('Paramètres'!$O$5:$O$7,MATCH(G2893,'Paramètres'!$N$5:$N$7,0)),0))</f>
        <v/>
      </c>
      <c r="AC2893" s="7" t="n"/>
      <c r="AD2893" s="69">
        <f>IF(OR($A2893="",Q2893=""),"",(Q2893-B2893)*24)</f>
        <v/>
      </c>
      <c r="AE2893" s="69">
        <f>IF(OR(Q2893="",R2893=""),"",(R2893-Q2893)*24)</f>
        <v/>
      </c>
      <c r="AF2893" s="77">
        <f>IF(OR($A2893="",B2893=""),"",YEAR(B2893))</f>
        <v/>
      </c>
      <c r="AG2893" s="77">
        <f>IF(OR($A2893="",B2893=""),"",MONTH(B2893))</f>
        <v/>
      </c>
    </row>
    <row r="2894">
      <c r="A2894" s="7" t="n"/>
      <c r="B2894" s="75" t="n"/>
      <c r="C2894" s="7" t="n"/>
      <c r="D2894" s="7" t="n"/>
      <c r="E2894" s="9">
        <f>IF(D2894="","",IFERROR(INDEX('Équipements'!$B$5:$B$304,MATCH(D2894,'Équipements'!$A$5:$A$304,0)),"Code inconnu"))</f>
        <v/>
      </c>
      <c r="F2894" s="9">
        <f>IF(D2894="","",IFERROR(INDEX('Équipements'!$D$5:$D$304,MATCH(D2894,'Équipements'!$A$5:$A$304,0)),""))</f>
        <v/>
      </c>
      <c r="G2894" s="9">
        <f>IF(D2894="","",IFERROR(INDEX('Équipements'!$K$5:$K$304,MATCH(D2894,'Équipements'!$A$5:$A$304,0)),""))</f>
        <v/>
      </c>
      <c r="H2894" s="7" t="n"/>
      <c r="I2894" s="7" t="n"/>
      <c r="J2894" s="7" t="n"/>
      <c r="K2894" s="7" t="n"/>
      <c r="L2894" s="7" t="n"/>
      <c r="M2894" s="7" t="n"/>
      <c r="N2894" s="7" t="n"/>
      <c r="O2894" s="7" t="n"/>
      <c r="P2894" s="65" t="n"/>
      <c r="Q2894" s="75" t="n"/>
      <c r="R2894" s="75" t="n"/>
      <c r="S2894" s="76" t="n"/>
      <c r="T2894" s="76" t="n"/>
      <c r="U2894" s="70">
        <f>IF($A2894="","",IFERROR(INDEX('Techniciens'!$F$5:$F$44,MATCH(O2894,'Techniciens'!$B$5:$B$44,0)),'Paramètres'!$AA$10))</f>
        <v/>
      </c>
      <c r="V2894" s="70">
        <f>IF($A2894="","",IF(OR(AC2894="Demandé",AC2894="Planifié",AC2894="Annulé"),0,N(T2894)*N(U2894)))</f>
        <v/>
      </c>
      <c r="W2894" s="70">
        <f>IF($A2894="","",SUMIFS('Mouvements stock'!$H$5:$H$3004,'Mouvements stock'!$I$5:$I$3004,$A2894,'Mouvements stock'!$C$5:$C$3004,"Sortie")-SUMIFS('Mouvements stock'!$H$5:$H$3004,'Mouvements stock'!$I$5:$I$3004,$A2894,'Mouvements stock'!$C$5:$C$3004,"Retour"))</f>
        <v/>
      </c>
      <c r="X2894" s="66" t="n"/>
      <c r="Y2894" s="66" t="n"/>
      <c r="Z2894" s="7" t="n"/>
      <c r="AA2894" s="70">
        <f>IF($A2894="","",N(V2894)+N(W2894)+N(X2894)+N(Y2894))</f>
        <v/>
      </c>
      <c r="AB2894" s="70">
        <f>IF($A2894="","",N(S2894)*'Paramètres'!$AA$9*IFERROR(INDEX('Paramètres'!$O$5:$O$7,MATCH(G2894,'Paramètres'!$N$5:$N$7,0)),0))</f>
        <v/>
      </c>
      <c r="AC2894" s="7" t="n"/>
      <c r="AD2894" s="69">
        <f>IF(OR($A2894="",Q2894=""),"",(Q2894-B2894)*24)</f>
        <v/>
      </c>
      <c r="AE2894" s="69">
        <f>IF(OR(Q2894="",R2894=""),"",(R2894-Q2894)*24)</f>
        <v/>
      </c>
      <c r="AF2894" s="77">
        <f>IF(OR($A2894="",B2894=""),"",YEAR(B2894))</f>
        <v/>
      </c>
      <c r="AG2894" s="77">
        <f>IF(OR($A2894="",B2894=""),"",MONTH(B2894))</f>
        <v/>
      </c>
    </row>
    <row r="2895">
      <c r="A2895" s="7" t="n"/>
      <c r="B2895" s="75" t="n"/>
      <c r="C2895" s="7" t="n"/>
      <c r="D2895" s="7" t="n"/>
      <c r="E2895" s="9">
        <f>IF(D2895="","",IFERROR(INDEX('Équipements'!$B$5:$B$304,MATCH(D2895,'Équipements'!$A$5:$A$304,0)),"Code inconnu"))</f>
        <v/>
      </c>
      <c r="F2895" s="9">
        <f>IF(D2895="","",IFERROR(INDEX('Équipements'!$D$5:$D$304,MATCH(D2895,'Équipements'!$A$5:$A$304,0)),""))</f>
        <v/>
      </c>
      <c r="G2895" s="9">
        <f>IF(D2895="","",IFERROR(INDEX('Équipements'!$K$5:$K$304,MATCH(D2895,'Équipements'!$A$5:$A$304,0)),""))</f>
        <v/>
      </c>
      <c r="H2895" s="7" t="n"/>
      <c r="I2895" s="7" t="n"/>
      <c r="J2895" s="7" t="n"/>
      <c r="K2895" s="7" t="n"/>
      <c r="L2895" s="7" t="n"/>
      <c r="M2895" s="7" t="n"/>
      <c r="N2895" s="7" t="n"/>
      <c r="O2895" s="7" t="n"/>
      <c r="P2895" s="65" t="n"/>
      <c r="Q2895" s="75" t="n"/>
      <c r="R2895" s="75" t="n"/>
      <c r="S2895" s="76" t="n"/>
      <c r="T2895" s="76" t="n"/>
      <c r="U2895" s="70">
        <f>IF($A2895="","",IFERROR(INDEX('Techniciens'!$F$5:$F$44,MATCH(O2895,'Techniciens'!$B$5:$B$44,0)),'Paramètres'!$AA$10))</f>
        <v/>
      </c>
      <c r="V2895" s="70">
        <f>IF($A2895="","",IF(OR(AC2895="Demandé",AC2895="Planifié",AC2895="Annulé"),0,N(T2895)*N(U2895)))</f>
        <v/>
      </c>
      <c r="W2895" s="70">
        <f>IF($A2895="","",SUMIFS('Mouvements stock'!$H$5:$H$3004,'Mouvements stock'!$I$5:$I$3004,$A2895,'Mouvements stock'!$C$5:$C$3004,"Sortie")-SUMIFS('Mouvements stock'!$H$5:$H$3004,'Mouvements stock'!$I$5:$I$3004,$A2895,'Mouvements stock'!$C$5:$C$3004,"Retour"))</f>
        <v/>
      </c>
      <c r="X2895" s="66" t="n"/>
      <c r="Y2895" s="66" t="n"/>
      <c r="Z2895" s="7" t="n"/>
      <c r="AA2895" s="70">
        <f>IF($A2895="","",N(V2895)+N(W2895)+N(X2895)+N(Y2895))</f>
        <v/>
      </c>
      <c r="AB2895" s="70">
        <f>IF($A2895="","",N(S2895)*'Paramètres'!$AA$9*IFERROR(INDEX('Paramètres'!$O$5:$O$7,MATCH(G2895,'Paramètres'!$N$5:$N$7,0)),0))</f>
        <v/>
      </c>
      <c r="AC2895" s="7" t="n"/>
      <c r="AD2895" s="69">
        <f>IF(OR($A2895="",Q2895=""),"",(Q2895-B2895)*24)</f>
        <v/>
      </c>
      <c r="AE2895" s="69">
        <f>IF(OR(Q2895="",R2895=""),"",(R2895-Q2895)*24)</f>
        <v/>
      </c>
      <c r="AF2895" s="77">
        <f>IF(OR($A2895="",B2895=""),"",YEAR(B2895))</f>
        <v/>
      </c>
      <c r="AG2895" s="77">
        <f>IF(OR($A2895="",B2895=""),"",MONTH(B2895))</f>
        <v/>
      </c>
    </row>
    <row r="2896">
      <c r="A2896" s="7" t="n"/>
      <c r="B2896" s="75" t="n"/>
      <c r="C2896" s="7" t="n"/>
      <c r="D2896" s="7" t="n"/>
      <c r="E2896" s="9">
        <f>IF(D2896="","",IFERROR(INDEX('Équipements'!$B$5:$B$304,MATCH(D2896,'Équipements'!$A$5:$A$304,0)),"Code inconnu"))</f>
        <v/>
      </c>
      <c r="F2896" s="9">
        <f>IF(D2896="","",IFERROR(INDEX('Équipements'!$D$5:$D$304,MATCH(D2896,'Équipements'!$A$5:$A$304,0)),""))</f>
        <v/>
      </c>
      <c r="G2896" s="9">
        <f>IF(D2896="","",IFERROR(INDEX('Équipements'!$K$5:$K$304,MATCH(D2896,'Équipements'!$A$5:$A$304,0)),""))</f>
        <v/>
      </c>
      <c r="H2896" s="7" t="n"/>
      <c r="I2896" s="7" t="n"/>
      <c r="J2896" s="7" t="n"/>
      <c r="K2896" s="7" t="n"/>
      <c r="L2896" s="7" t="n"/>
      <c r="M2896" s="7" t="n"/>
      <c r="N2896" s="7" t="n"/>
      <c r="O2896" s="7" t="n"/>
      <c r="P2896" s="65" t="n"/>
      <c r="Q2896" s="75" t="n"/>
      <c r="R2896" s="75" t="n"/>
      <c r="S2896" s="76" t="n"/>
      <c r="T2896" s="76" t="n"/>
      <c r="U2896" s="70">
        <f>IF($A2896="","",IFERROR(INDEX('Techniciens'!$F$5:$F$44,MATCH(O2896,'Techniciens'!$B$5:$B$44,0)),'Paramètres'!$AA$10))</f>
        <v/>
      </c>
      <c r="V2896" s="70">
        <f>IF($A2896="","",IF(OR(AC2896="Demandé",AC2896="Planifié",AC2896="Annulé"),0,N(T2896)*N(U2896)))</f>
        <v/>
      </c>
      <c r="W2896" s="70">
        <f>IF($A2896="","",SUMIFS('Mouvements stock'!$H$5:$H$3004,'Mouvements stock'!$I$5:$I$3004,$A2896,'Mouvements stock'!$C$5:$C$3004,"Sortie")-SUMIFS('Mouvements stock'!$H$5:$H$3004,'Mouvements stock'!$I$5:$I$3004,$A2896,'Mouvements stock'!$C$5:$C$3004,"Retour"))</f>
        <v/>
      </c>
      <c r="X2896" s="66" t="n"/>
      <c r="Y2896" s="66" t="n"/>
      <c r="Z2896" s="7" t="n"/>
      <c r="AA2896" s="70">
        <f>IF($A2896="","",N(V2896)+N(W2896)+N(X2896)+N(Y2896))</f>
        <v/>
      </c>
      <c r="AB2896" s="70">
        <f>IF($A2896="","",N(S2896)*'Paramètres'!$AA$9*IFERROR(INDEX('Paramètres'!$O$5:$O$7,MATCH(G2896,'Paramètres'!$N$5:$N$7,0)),0))</f>
        <v/>
      </c>
      <c r="AC2896" s="7" t="n"/>
      <c r="AD2896" s="69">
        <f>IF(OR($A2896="",Q2896=""),"",(Q2896-B2896)*24)</f>
        <v/>
      </c>
      <c r="AE2896" s="69">
        <f>IF(OR(Q2896="",R2896=""),"",(R2896-Q2896)*24)</f>
        <v/>
      </c>
      <c r="AF2896" s="77">
        <f>IF(OR($A2896="",B2896=""),"",YEAR(B2896))</f>
        <v/>
      </c>
      <c r="AG2896" s="77">
        <f>IF(OR($A2896="",B2896=""),"",MONTH(B2896))</f>
        <v/>
      </c>
    </row>
    <row r="2897">
      <c r="A2897" s="7" t="n"/>
      <c r="B2897" s="75" t="n"/>
      <c r="C2897" s="7" t="n"/>
      <c r="D2897" s="7" t="n"/>
      <c r="E2897" s="9">
        <f>IF(D2897="","",IFERROR(INDEX('Équipements'!$B$5:$B$304,MATCH(D2897,'Équipements'!$A$5:$A$304,0)),"Code inconnu"))</f>
        <v/>
      </c>
      <c r="F2897" s="9">
        <f>IF(D2897="","",IFERROR(INDEX('Équipements'!$D$5:$D$304,MATCH(D2897,'Équipements'!$A$5:$A$304,0)),""))</f>
        <v/>
      </c>
      <c r="G2897" s="9">
        <f>IF(D2897="","",IFERROR(INDEX('Équipements'!$K$5:$K$304,MATCH(D2897,'Équipements'!$A$5:$A$304,0)),""))</f>
        <v/>
      </c>
      <c r="H2897" s="7" t="n"/>
      <c r="I2897" s="7" t="n"/>
      <c r="J2897" s="7" t="n"/>
      <c r="K2897" s="7" t="n"/>
      <c r="L2897" s="7" t="n"/>
      <c r="M2897" s="7" t="n"/>
      <c r="N2897" s="7" t="n"/>
      <c r="O2897" s="7" t="n"/>
      <c r="P2897" s="65" t="n"/>
      <c r="Q2897" s="75" t="n"/>
      <c r="R2897" s="75" t="n"/>
      <c r="S2897" s="76" t="n"/>
      <c r="T2897" s="76" t="n"/>
      <c r="U2897" s="70">
        <f>IF($A2897="","",IFERROR(INDEX('Techniciens'!$F$5:$F$44,MATCH(O2897,'Techniciens'!$B$5:$B$44,0)),'Paramètres'!$AA$10))</f>
        <v/>
      </c>
      <c r="V2897" s="70">
        <f>IF($A2897="","",IF(OR(AC2897="Demandé",AC2897="Planifié",AC2897="Annulé"),0,N(T2897)*N(U2897)))</f>
        <v/>
      </c>
      <c r="W2897" s="70">
        <f>IF($A2897="","",SUMIFS('Mouvements stock'!$H$5:$H$3004,'Mouvements stock'!$I$5:$I$3004,$A2897,'Mouvements stock'!$C$5:$C$3004,"Sortie")-SUMIFS('Mouvements stock'!$H$5:$H$3004,'Mouvements stock'!$I$5:$I$3004,$A2897,'Mouvements stock'!$C$5:$C$3004,"Retour"))</f>
        <v/>
      </c>
      <c r="X2897" s="66" t="n"/>
      <c r="Y2897" s="66" t="n"/>
      <c r="Z2897" s="7" t="n"/>
      <c r="AA2897" s="70">
        <f>IF($A2897="","",N(V2897)+N(W2897)+N(X2897)+N(Y2897))</f>
        <v/>
      </c>
      <c r="AB2897" s="70">
        <f>IF($A2897="","",N(S2897)*'Paramètres'!$AA$9*IFERROR(INDEX('Paramètres'!$O$5:$O$7,MATCH(G2897,'Paramètres'!$N$5:$N$7,0)),0))</f>
        <v/>
      </c>
      <c r="AC2897" s="7" t="n"/>
      <c r="AD2897" s="69">
        <f>IF(OR($A2897="",Q2897=""),"",(Q2897-B2897)*24)</f>
        <v/>
      </c>
      <c r="AE2897" s="69">
        <f>IF(OR(Q2897="",R2897=""),"",(R2897-Q2897)*24)</f>
        <v/>
      </c>
      <c r="AF2897" s="77">
        <f>IF(OR($A2897="",B2897=""),"",YEAR(B2897))</f>
        <v/>
      </c>
      <c r="AG2897" s="77">
        <f>IF(OR($A2897="",B2897=""),"",MONTH(B2897))</f>
        <v/>
      </c>
    </row>
    <row r="2898">
      <c r="A2898" s="7" t="n"/>
      <c r="B2898" s="75" t="n"/>
      <c r="C2898" s="7" t="n"/>
      <c r="D2898" s="7" t="n"/>
      <c r="E2898" s="9">
        <f>IF(D2898="","",IFERROR(INDEX('Équipements'!$B$5:$B$304,MATCH(D2898,'Équipements'!$A$5:$A$304,0)),"Code inconnu"))</f>
        <v/>
      </c>
      <c r="F2898" s="9">
        <f>IF(D2898="","",IFERROR(INDEX('Équipements'!$D$5:$D$304,MATCH(D2898,'Équipements'!$A$5:$A$304,0)),""))</f>
        <v/>
      </c>
      <c r="G2898" s="9">
        <f>IF(D2898="","",IFERROR(INDEX('Équipements'!$K$5:$K$304,MATCH(D2898,'Équipements'!$A$5:$A$304,0)),""))</f>
        <v/>
      </c>
      <c r="H2898" s="7" t="n"/>
      <c r="I2898" s="7" t="n"/>
      <c r="J2898" s="7" t="n"/>
      <c r="K2898" s="7" t="n"/>
      <c r="L2898" s="7" t="n"/>
      <c r="M2898" s="7" t="n"/>
      <c r="N2898" s="7" t="n"/>
      <c r="O2898" s="7" t="n"/>
      <c r="P2898" s="65" t="n"/>
      <c r="Q2898" s="75" t="n"/>
      <c r="R2898" s="75" t="n"/>
      <c r="S2898" s="76" t="n"/>
      <c r="T2898" s="76" t="n"/>
      <c r="U2898" s="70">
        <f>IF($A2898="","",IFERROR(INDEX('Techniciens'!$F$5:$F$44,MATCH(O2898,'Techniciens'!$B$5:$B$44,0)),'Paramètres'!$AA$10))</f>
        <v/>
      </c>
      <c r="V2898" s="70">
        <f>IF($A2898="","",IF(OR(AC2898="Demandé",AC2898="Planifié",AC2898="Annulé"),0,N(T2898)*N(U2898)))</f>
        <v/>
      </c>
      <c r="W2898" s="70">
        <f>IF($A2898="","",SUMIFS('Mouvements stock'!$H$5:$H$3004,'Mouvements stock'!$I$5:$I$3004,$A2898,'Mouvements stock'!$C$5:$C$3004,"Sortie")-SUMIFS('Mouvements stock'!$H$5:$H$3004,'Mouvements stock'!$I$5:$I$3004,$A2898,'Mouvements stock'!$C$5:$C$3004,"Retour"))</f>
        <v/>
      </c>
      <c r="X2898" s="66" t="n"/>
      <c r="Y2898" s="66" t="n"/>
      <c r="Z2898" s="7" t="n"/>
      <c r="AA2898" s="70">
        <f>IF($A2898="","",N(V2898)+N(W2898)+N(X2898)+N(Y2898))</f>
        <v/>
      </c>
      <c r="AB2898" s="70">
        <f>IF($A2898="","",N(S2898)*'Paramètres'!$AA$9*IFERROR(INDEX('Paramètres'!$O$5:$O$7,MATCH(G2898,'Paramètres'!$N$5:$N$7,0)),0))</f>
        <v/>
      </c>
      <c r="AC2898" s="7" t="n"/>
      <c r="AD2898" s="69">
        <f>IF(OR($A2898="",Q2898=""),"",(Q2898-B2898)*24)</f>
        <v/>
      </c>
      <c r="AE2898" s="69">
        <f>IF(OR(Q2898="",R2898=""),"",(R2898-Q2898)*24)</f>
        <v/>
      </c>
      <c r="AF2898" s="77">
        <f>IF(OR($A2898="",B2898=""),"",YEAR(B2898))</f>
        <v/>
      </c>
      <c r="AG2898" s="77">
        <f>IF(OR($A2898="",B2898=""),"",MONTH(B2898))</f>
        <v/>
      </c>
    </row>
    <row r="2899">
      <c r="A2899" s="7" t="n"/>
      <c r="B2899" s="75" t="n"/>
      <c r="C2899" s="7" t="n"/>
      <c r="D2899" s="7" t="n"/>
      <c r="E2899" s="9">
        <f>IF(D2899="","",IFERROR(INDEX('Équipements'!$B$5:$B$304,MATCH(D2899,'Équipements'!$A$5:$A$304,0)),"Code inconnu"))</f>
        <v/>
      </c>
      <c r="F2899" s="9">
        <f>IF(D2899="","",IFERROR(INDEX('Équipements'!$D$5:$D$304,MATCH(D2899,'Équipements'!$A$5:$A$304,0)),""))</f>
        <v/>
      </c>
      <c r="G2899" s="9">
        <f>IF(D2899="","",IFERROR(INDEX('Équipements'!$K$5:$K$304,MATCH(D2899,'Équipements'!$A$5:$A$304,0)),""))</f>
        <v/>
      </c>
      <c r="H2899" s="7" t="n"/>
      <c r="I2899" s="7" t="n"/>
      <c r="J2899" s="7" t="n"/>
      <c r="K2899" s="7" t="n"/>
      <c r="L2899" s="7" t="n"/>
      <c r="M2899" s="7" t="n"/>
      <c r="N2899" s="7" t="n"/>
      <c r="O2899" s="7" t="n"/>
      <c r="P2899" s="65" t="n"/>
      <c r="Q2899" s="75" t="n"/>
      <c r="R2899" s="75" t="n"/>
      <c r="S2899" s="76" t="n"/>
      <c r="T2899" s="76" t="n"/>
      <c r="U2899" s="70">
        <f>IF($A2899="","",IFERROR(INDEX('Techniciens'!$F$5:$F$44,MATCH(O2899,'Techniciens'!$B$5:$B$44,0)),'Paramètres'!$AA$10))</f>
        <v/>
      </c>
      <c r="V2899" s="70">
        <f>IF($A2899="","",IF(OR(AC2899="Demandé",AC2899="Planifié",AC2899="Annulé"),0,N(T2899)*N(U2899)))</f>
        <v/>
      </c>
      <c r="W2899" s="70">
        <f>IF($A2899="","",SUMIFS('Mouvements stock'!$H$5:$H$3004,'Mouvements stock'!$I$5:$I$3004,$A2899,'Mouvements stock'!$C$5:$C$3004,"Sortie")-SUMIFS('Mouvements stock'!$H$5:$H$3004,'Mouvements stock'!$I$5:$I$3004,$A2899,'Mouvements stock'!$C$5:$C$3004,"Retour"))</f>
        <v/>
      </c>
      <c r="X2899" s="66" t="n"/>
      <c r="Y2899" s="66" t="n"/>
      <c r="Z2899" s="7" t="n"/>
      <c r="AA2899" s="70">
        <f>IF($A2899="","",N(V2899)+N(W2899)+N(X2899)+N(Y2899))</f>
        <v/>
      </c>
      <c r="AB2899" s="70">
        <f>IF($A2899="","",N(S2899)*'Paramètres'!$AA$9*IFERROR(INDEX('Paramètres'!$O$5:$O$7,MATCH(G2899,'Paramètres'!$N$5:$N$7,0)),0))</f>
        <v/>
      </c>
      <c r="AC2899" s="7" t="n"/>
      <c r="AD2899" s="69">
        <f>IF(OR($A2899="",Q2899=""),"",(Q2899-B2899)*24)</f>
        <v/>
      </c>
      <c r="AE2899" s="69">
        <f>IF(OR(Q2899="",R2899=""),"",(R2899-Q2899)*24)</f>
        <v/>
      </c>
      <c r="AF2899" s="77">
        <f>IF(OR($A2899="",B2899=""),"",YEAR(B2899))</f>
        <v/>
      </c>
      <c r="AG2899" s="77">
        <f>IF(OR($A2899="",B2899=""),"",MONTH(B2899))</f>
        <v/>
      </c>
    </row>
    <row r="2900">
      <c r="A2900" s="7" t="n"/>
      <c r="B2900" s="75" t="n"/>
      <c r="C2900" s="7" t="n"/>
      <c r="D2900" s="7" t="n"/>
      <c r="E2900" s="9">
        <f>IF(D2900="","",IFERROR(INDEX('Équipements'!$B$5:$B$304,MATCH(D2900,'Équipements'!$A$5:$A$304,0)),"Code inconnu"))</f>
        <v/>
      </c>
      <c r="F2900" s="9">
        <f>IF(D2900="","",IFERROR(INDEX('Équipements'!$D$5:$D$304,MATCH(D2900,'Équipements'!$A$5:$A$304,0)),""))</f>
        <v/>
      </c>
      <c r="G2900" s="9">
        <f>IF(D2900="","",IFERROR(INDEX('Équipements'!$K$5:$K$304,MATCH(D2900,'Équipements'!$A$5:$A$304,0)),""))</f>
        <v/>
      </c>
      <c r="H2900" s="7" t="n"/>
      <c r="I2900" s="7" t="n"/>
      <c r="J2900" s="7" t="n"/>
      <c r="K2900" s="7" t="n"/>
      <c r="L2900" s="7" t="n"/>
      <c r="M2900" s="7" t="n"/>
      <c r="N2900" s="7" t="n"/>
      <c r="O2900" s="7" t="n"/>
      <c r="P2900" s="65" t="n"/>
      <c r="Q2900" s="75" t="n"/>
      <c r="R2900" s="75" t="n"/>
      <c r="S2900" s="76" t="n"/>
      <c r="T2900" s="76" t="n"/>
      <c r="U2900" s="70">
        <f>IF($A2900="","",IFERROR(INDEX('Techniciens'!$F$5:$F$44,MATCH(O2900,'Techniciens'!$B$5:$B$44,0)),'Paramètres'!$AA$10))</f>
        <v/>
      </c>
      <c r="V2900" s="70">
        <f>IF($A2900="","",IF(OR(AC2900="Demandé",AC2900="Planifié",AC2900="Annulé"),0,N(T2900)*N(U2900)))</f>
        <v/>
      </c>
      <c r="W2900" s="70">
        <f>IF($A2900="","",SUMIFS('Mouvements stock'!$H$5:$H$3004,'Mouvements stock'!$I$5:$I$3004,$A2900,'Mouvements stock'!$C$5:$C$3004,"Sortie")-SUMIFS('Mouvements stock'!$H$5:$H$3004,'Mouvements stock'!$I$5:$I$3004,$A2900,'Mouvements stock'!$C$5:$C$3004,"Retour"))</f>
        <v/>
      </c>
      <c r="X2900" s="66" t="n"/>
      <c r="Y2900" s="66" t="n"/>
      <c r="Z2900" s="7" t="n"/>
      <c r="AA2900" s="70">
        <f>IF($A2900="","",N(V2900)+N(W2900)+N(X2900)+N(Y2900))</f>
        <v/>
      </c>
      <c r="AB2900" s="70">
        <f>IF($A2900="","",N(S2900)*'Paramètres'!$AA$9*IFERROR(INDEX('Paramètres'!$O$5:$O$7,MATCH(G2900,'Paramètres'!$N$5:$N$7,0)),0))</f>
        <v/>
      </c>
      <c r="AC2900" s="7" t="n"/>
      <c r="AD2900" s="69">
        <f>IF(OR($A2900="",Q2900=""),"",(Q2900-B2900)*24)</f>
        <v/>
      </c>
      <c r="AE2900" s="69">
        <f>IF(OR(Q2900="",R2900=""),"",(R2900-Q2900)*24)</f>
        <v/>
      </c>
      <c r="AF2900" s="77">
        <f>IF(OR($A2900="",B2900=""),"",YEAR(B2900))</f>
        <v/>
      </c>
      <c r="AG2900" s="77">
        <f>IF(OR($A2900="",B2900=""),"",MONTH(B2900))</f>
        <v/>
      </c>
    </row>
    <row r="2901">
      <c r="A2901" s="7" t="n"/>
      <c r="B2901" s="75" t="n"/>
      <c r="C2901" s="7" t="n"/>
      <c r="D2901" s="7" t="n"/>
      <c r="E2901" s="9">
        <f>IF(D2901="","",IFERROR(INDEX('Équipements'!$B$5:$B$304,MATCH(D2901,'Équipements'!$A$5:$A$304,0)),"Code inconnu"))</f>
        <v/>
      </c>
      <c r="F2901" s="9">
        <f>IF(D2901="","",IFERROR(INDEX('Équipements'!$D$5:$D$304,MATCH(D2901,'Équipements'!$A$5:$A$304,0)),""))</f>
        <v/>
      </c>
      <c r="G2901" s="9">
        <f>IF(D2901="","",IFERROR(INDEX('Équipements'!$K$5:$K$304,MATCH(D2901,'Équipements'!$A$5:$A$304,0)),""))</f>
        <v/>
      </c>
      <c r="H2901" s="7" t="n"/>
      <c r="I2901" s="7" t="n"/>
      <c r="J2901" s="7" t="n"/>
      <c r="K2901" s="7" t="n"/>
      <c r="L2901" s="7" t="n"/>
      <c r="M2901" s="7" t="n"/>
      <c r="N2901" s="7" t="n"/>
      <c r="O2901" s="7" t="n"/>
      <c r="P2901" s="65" t="n"/>
      <c r="Q2901" s="75" t="n"/>
      <c r="R2901" s="75" t="n"/>
      <c r="S2901" s="76" t="n"/>
      <c r="T2901" s="76" t="n"/>
      <c r="U2901" s="70">
        <f>IF($A2901="","",IFERROR(INDEX('Techniciens'!$F$5:$F$44,MATCH(O2901,'Techniciens'!$B$5:$B$44,0)),'Paramètres'!$AA$10))</f>
        <v/>
      </c>
      <c r="V2901" s="70">
        <f>IF($A2901="","",IF(OR(AC2901="Demandé",AC2901="Planifié",AC2901="Annulé"),0,N(T2901)*N(U2901)))</f>
        <v/>
      </c>
      <c r="W2901" s="70">
        <f>IF($A2901="","",SUMIFS('Mouvements stock'!$H$5:$H$3004,'Mouvements stock'!$I$5:$I$3004,$A2901,'Mouvements stock'!$C$5:$C$3004,"Sortie")-SUMIFS('Mouvements stock'!$H$5:$H$3004,'Mouvements stock'!$I$5:$I$3004,$A2901,'Mouvements stock'!$C$5:$C$3004,"Retour"))</f>
        <v/>
      </c>
      <c r="X2901" s="66" t="n"/>
      <c r="Y2901" s="66" t="n"/>
      <c r="Z2901" s="7" t="n"/>
      <c r="AA2901" s="70">
        <f>IF($A2901="","",N(V2901)+N(W2901)+N(X2901)+N(Y2901))</f>
        <v/>
      </c>
      <c r="AB2901" s="70">
        <f>IF($A2901="","",N(S2901)*'Paramètres'!$AA$9*IFERROR(INDEX('Paramètres'!$O$5:$O$7,MATCH(G2901,'Paramètres'!$N$5:$N$7,0)),0))</f>
        <v/>
      </c>
      <c r="AC2901" s="7" t="n"/>
      <c r="AD2901" s="69">
        <f>IF(OR($A2901="",Q2901=""),"",(Q2901-B2901)*24)</f>
        <v/>
      </c>
      <c r="AE2901" s="69">
        <f>IF(OR(Q2901="",R2901=""),"",(R2901-Q2901)*24)</f>
        <v/>
      </c>
      <c r="AF2901" s="77">
        <f>IF(OR($A2901="",B2901=""),"",YEAR(B2901))</f>
        <v/>
      </c>
      <c r="AG2901" s="77">
        <f>IF(OR($A2901="",B2901=""),"",MONTH(B2901))</f>
        <v/>
      </c>
    </row>
    <row r="2902">
      <c r="A2902" s="7" t="n"/>
      <c r="B2902" s="75" t="n"/>
      <c r="C2902" s="7" t="n"/>
      <c r="D2902" s="7" t="n"/>
      <c r="E2902" s="9">
        <f>IF(D2902="","",IFERROR(INDEX('Équipements'!$B$5:$B$304,MATCH(D2902,'Équipements'!$A$5:$A$304,0)),"Code inconnu"))</f>
        <v/>
      </c>
      <c r="F2902" s="9">
        <f>IF(D2902="","",IFERROR(INDEX('Équipements'!$D$5:$D$304,MATCH(D2902,'Équipements'!$A$5:$A$304,0)),""))</f>
        <v/>
      </c>
      <c r="G2902" s="9">
        <f>IF(D2902="","",IFERROR(INDEX('Équipements'!$K$5:$K$304,MATCH(D2902,'Équipements'!$A$5:$A$304,0)),""))</f>
        <v/>
      </c>
      <c r="H2902" s="7" t="n"/>
      <c r="I2902" s="7" t="n"/>
      <c r="J2902" s="7" t="n"/>
      <c r="K2902" s="7" t="n"/>
      <c r="L2902" s="7" t="n"/>
      <c r="M2902" s="7" t="n"/>
      <c r="N2902" s="7" t="n"/>
      <c r="O2902" s="7" t="n"/>
      <c r="P2902" s="65" t="n"/>
      <c r="Q2902" s="75" t="n"/>
      <c r="R2902" s="75" t="n"/>
      <c r="S2902" s="76" t="n"/>
      <c r="T2902" s="76" t="n"/>
      <c r="U2902" s="70">
        <f>IF($A2902="","",IFERROR(INDEX('Techniciens'!$F$5:$F$44,MATCH(O2902,'Techniciens'!$B$5:$B$44,0)),'Paramètres'!$AA$10))</f>
        <v/>
      </c>
      <c r="V2902" s="70">
        <f>IF($A2902="","",IF(OR(AC2902="Demandé",AC2902="Planifié",AC2902="Annulé"),0,N(T2902)*N(U2902)))</f>
        <v/>
      </c>
      <c r="W2902" s="70">
        <f>IF($A2902="","",SUMIFS('Mouvements stock'!$H$5:$H$3004,'Mouvements stock'!$I$5:$I$3004,$A2902,'Mouvements stock'!$C$5:$C$3004,"Sortie")-SUMIFS('Mouvements stock'!$H$5:$H$3004,'Mouvements stock'!$I$5:$I$3004,$A2902,'Mouvements stock'!$C$5:$C$3004,"Retour"))</f>
        <v/>
      </c>
      <c r="X2902" s="66" t="n"/>
      <c r="Y2902" s="66" t="n"/>
      <c r="Z2902" s="7" t="n"/>
      <c r="AA2902" s="70">
        <f>IF($A2902="","",N(V2902)+N(W2902)+N(X2902)+N(Y2902))</f>
        <v/>
      </c>
      <c r="AB2902" s="70">
        <f>IF($A2902="","",N(S2902)*'Paramètres'!$AA$9*IFERROR(INDEX('Paramètres'!$O$5:$O$7,MATCH(G2902,'Paramètres'!$N$5:$N$7,0)),0))</f>
        <v/>
      </c>
      <c r="AC2902" s="7" t="n"/>
      <c r="AD2902" s="69">
        <f>IF(OR($A2902="",Q2902=""),"",(Q2902-B2902)*24)</f>
        <v/>
      </c>
      <c r="AE2902" s="69">
        <f>IF(OR(Q2902="",R2902=""),"",(R2902-Q2902)*24)</f>
        <v/>
      </c>
      <c r="AF2902" s="77">
        <f>IF(OR($A2902="",B2902=""),"",YEAR(B2902))</f>
        <v/>
      </c>
      <c r="AG2902" s="77">
        <f>IF(OR($A2902="",B2902=""),"",MONTH(B2902))</f>
        <v/>
      </c>
    </row>
    <row r="2903">
      <c r="A2903" s="7" t="n"/>
      <c r="B2903" s="75" t="n"/>
      <c r="C2903" s="7" t="n"/>
      <c r="D2903" s="7" t="n"/>
      <c r="E2903" s="9">
        <f>IF(D2903="","",IFERROR(INDEX('Équipements'!$B$5:$B$304,MATCH(D2903,'Équipements'!$A$5:$A$304,0)),"Code inconnu"))</f>
        <v/>
      </c>
      <c r="F2903" s="9">
        <f>IF(D2903="","",IFERROR(INDEX('Équipements'!$D$5:$D$304,MATCH(D2903,'Équipements'!$A$5:$A$304,0)),""))</f>
        <v/>
      </c>
      <c r="G2903" s="9">
        <f>IF(D2903="","",IFERROR(INDEX('Équipements'!$K$5:$K$304,MATCH(D2903,'Équipements'!$A$5:$A$304,0)),""))</f>
        <v/>
      </c>
      <c r="H2903" s="7" t="n"/>
      <c r="I2903" s="7" t="n"/>
      <c r="J2903" s="7" t="n"/>
      <c r="K2903" s="7" t="n"/>
      <c r="L2903" s="7" t="n"/>
      <c r="M2903" s="7" t="n"/>
      <c r="N2903" s="7" t="n"/>
      <c r="O2903" s="7" t="n"/>
      <c r="P2903" s="65" t="n"/>
      <c r="Q2903" s="75" t="n"/>
      <c r="R2903" s="75" t="n"/>
      <c r="S2903" s="76" t="n"/>
      <c r="T2903" s="76" t="n"/>
      <c r="U2903" s="70">
        <f>IF($A2903="","",IFERROR(INDEX('Techniciens'!$F$5:$F$44,MATCH(O2903,'Techniciens'!$B$5:$B$44,0)),'Paramètres'!$AA$10))</f>
        <v/>
      </c>
      <c r="V2903" s="70">
        <f>IF($A2903="","",IF(OR(AC2903="Demandé",AC2903="Planifié",AC2903="Annulé"),0,N(T2903)*N(U2903)))</f>
        <v/>
      </c>
      <c r="W2903" s="70">
        <f>IF($A2903="","",SUMIFS('Mouvements stock'!$H$5:$H$3004,'Mouvements stock'!$I$5:$I$3004,$A2903,'Mouvements stock'!$C$5:$C$3004,"Sortie")-SUMIFS('Mouvements stock'!$H$5:$H$3004,'Mouvements stock'!$I$5:$I$3004,$A2903,'Mouvements stock'!$C$5:$C$3004,"Retour"))</f>
        <v/>
      </c>
      <c r="X2903" s="66" t="n"/>
      <c r="Y2903" s="66" t="n"/>
      <c r="Z2903" s="7" t="n"/>
      <c r="AA2903" s="70">
        <f>IF($A2903="","",N(V2903)+N(W2903)+N(X2903)+N(Y2903))</f>
        <v/>
      </c>
      <c r="AB2903" s="70">
        <f>IF($A2903="","",N(S2903)*'Paramètres'!$AA$9*IFERROR(INDEX('Paramètres'!$O$5:$O$7,MATCH(G2903,'Paramètres'!$N$5:$N$7,0)),0))</f>
        <v/>
      </c>
      <c r="AC2903" s="7" t="n"/>
      <c r="AD2903" s="69">
        <f>IF(OR($A2903="",Q2903=""),"",(Q2903-B2903)*24)</f>
        <v/>
      </c>
      <c r="AE2903" s="69">
        <f>IF(OR(Q2903="",R2903=""),"",(R2903-Q2903)*24)</f>
        <v/>
      </c>
      <c r="AF2903" s="77">
        <f>IF(OR($A2903="",B2903=""),"",YEAR(B2903))</f>
        <v/>
      </c>
      <c r="AG2903" s="77">
        <f>IF(OR($A2903="",B2903=""),"",MONTH(B2903))</f>
        <v/>
      </c>
    </row>
    <row r="2904">
      <c r="A2904" s="7" t="n"/>
      <c r="B2904" s="75" t="n"/>
      <c r="C2904" s="7" t="n"/>
      <c r="D2904" s="7" t="n"/>
      <c r="E2904" s="9">
        <f>IF(D2904="","",IFERROR(INDEX('Équipements'!$B$5:$B$304,MATCH(D2904,'Équipements'!$A$5:$A$304,0)),"Code inconnu"))</f>
        <v/>
      </c>
      <c r="F2904" s="9">
        <f>IF(D2904="","",IFERROR(INDEX('Équipements'!$D$5:$D$304,MATCH(D2904,'Équipements'!$A$5:$A$304,0)),""))</f>
        <v/>
      </c>
      <c r="G2904" s="9">
        <f>IF(D2904="","",IFERROR(INDEX('Équipements'!$K$5:$K$304,MATCH(D2904,'Équipements'!$A$5:$A$304,0)),""))</f>
        <v/>
      </c>
      <c r="H2904" s="7" t="n"/>
      <c r="I2904" s="7" t="n"/>
      <c r="J2904" s="7" t="n"/>
      <c r="K2904" s="7" t="n"/>
      <c r="L2904" s="7" t="n"/>
      <c r="M2904" s="7" t="n"/>
      <c r="N2904" s="7" t="n"/>
      <c r="O2904" s="7" t="n"/>
      <c r="P2904" s="65" t="n"/>
      <c r="Q2904" s="75" t="n"/>
      <c r="R2904" s="75" t="n"/>
      <c r="S2904" s="76" t="n"/>
      <c r="T2904" s="76" t="n"/>
      <c r="U2904" s="70">
        <f>IF($A2904="","",IFERROR(INDEX('Techniciens'!$F$5:$F$44,MATCH(O2904,'Techniciens'!$B$5:$B$44,0)),'Paramètres'!$AA$10))</f>
        <v/>
      </c>
      <c r="V2904" s="70">
        <f>IF($A2904="","",IF(OR(AC2904="Demandé",AC2904="Planifié",AC2904="Annulé"),0,N(T2904)*N(U2904)))</f>
        <v/>
      </c>
      <c r="W2904" s="70">
        <f>IF($A2904="","",SUMIFS('Mouvements stock'!$H$5:$H$3004,'Mouvements stock'!$I$5:$I$3004,$A2904,'Mouvements stock'!$C$5:$C$3004,"Sortie")-SUMIFS('Mouvements stock'!$H$5:$H$3004,'Mouvements stock'!$I$5:$I$3004,$A2904,'Mouvements stock'!$C$5:$C$3004,"Retour"))</f>
        <v/>
      </c>
      <c r="X2904" s="66" t="n"/>
      <c r="Y2904" s="66" t="n"/>
      <c r="Z2904" s="7" t="n"/>
      <c r="AA2904" s="70">
        <f>IF($A2904="","",N(V2904)+N(W2904)+N(X2904)+N(Y2904))</f>
        <v/>
      </c>
      <c r="AB2904" s="70">
        <f>IF($A2904="","",N(S2904)*'Paramètres'!$AA$9*IFERROR(INDEX('Paramètres'!$O$5:$O$7,MATCH(G2904,'Paramètres'!$N$5:$N$7,0)),0))</f>
        <v/>
      </c>
      <c r="AC2904" s="7" t="n"/>
      <c r="AD2904" s="69">
        <f>IF(OR($A2904="",Q2904=""),"",(Q2904-B2904)*24)</f>
        <v/>
      </c>
      <c r="AE2904" s="69">
        <f>IF(OR(Q2904="",R2904=""),"",(R2904-Q2904)*24)</f>
        <v/>
      </c>
      <c r="AF2904" s="77">
        <f>IF(OR($A2904="",B2904=""),"",YEAR(B2904))</f>
        <v/>
      </c>
      <c r="AG2904" s="77">
        <f>IF(OR($A2904="",B2904=""),"",MONTH(B2904))</f>
        <v/>
      </c>
    </row>
    <row r="2905">
      <c r="A2905" s="7" t="n"/>
      <c r="B2905" s="75" t="n"/>
      <c r="C2905" s="7" t="n"/>
      <c r="D2905" s="7" t="n"/>
      <c r="E2905" s="9">
        <f>IF(D2905="","",IFERROR(INDEX('Équipements'!$B$5:$B$304,MATCH(D2905,'Équipements'!$A$5:$A$304,0)),"Code inconnu"))</f>
        <v/>
      </c>
      <c r="F2905" s="9">
        <f>IF(D2905="","",IFERROR(INDEX('Équipements'!$D$5:$D$304,MATCH(D2905,'Équipements'!$A$5:$A$304,0)),""))</f>
        <v/>
      </c>
      <c r="G2905" s="9">
        <f>IF(D2905="","",IFERROR(INDEX('Équipements'!$K$5:$K$304,MATCH(D2905,'Équipements'!$A$5:$A$304,0)),""))</f>
        <v/>
      </c>
      <c r="H2905" s="7" t="n"/>
      <c r="I2905" s="7" t="n"/>
      <c r="J2905" s="7" t="n"/>
      <c r="K2905" s="7" t="n"/>
      <c r="L2905" s="7" t="n"/>
      <c r="M2905" s="7" t="n"/>
      <c r="N2905" s="7" t="n"/>
      <c r="O2905" s="7" t="n"/>
      <c r="P2905" s="65" t="n"/>
      <c r="Q2905" s="75" t="n"/>
      <c r="R2905" s="75" t="n"/>
      <c r="S2905" s="76" t="n"/>
      <c r="T2905" s="76" t="n"/>
      <c r="U2905" s="70">
        <f>IF($A2905="","",IFERROR(INDEX('Techniciens'!$F$5:$F$44,MATCH(O2905,'Techniciens'!$B$5:$B$44,0)),'Paramètres'!$AA$10))</f>
        <v/>
      </c>
      <c r="V2905" s="70">
        <f>IF($A2905="","",IF(OR(AC2905="Demandé",AC2905="Planifié",AC2905="Annulé"),0,N(T2905)*N(U2905)))</f>
        <v/>
      </c>
      <c r="W2905" s="70">
        <f>IF($A2905="","",SUMIFS('Mouvements stock'!$H$5:$H$3004,'Mouvements stock'!$I$5:$I$3004,$A2905,'Mouvements stock'!$C$5:$C$3004,"Sortie")-SUMIFS('Mouvements stock'!$H$5:$H$3004,'Mouvements stock'!$I$5:$I$3004,$A2905,'Mouvements stock'!$C$5:$C$3004,"Retour"))</f>
        <v/>
      </c>
      <c r="X2905" s="66" t="n"/>
      <c r="Y2905" s="66" t="n"/>
      <c r="Z2905" s="7" t="n"/>
      <c r="AA2905" s="70">
        <f>IF($A2905="","",N(V2905)+N(W2905)+N(X2905)+N(Y2905))</f>
        <v/>
      </c>
      <c r="AB2905" s="70">
        <f>IF($A2905="","",N(S2905)*'Paramètres'!$AA$9*IFERROR(INDEX('Paramètres'!$O$5:$O$7,MATCH(G2905,'Paramètres'!$N$5:$N$7,0)),0))</f>
        <v/>
      </c>
      <c r="AC2905" s="7" t="n"/>
      <c r="AD2905" s="69">
        <f>IF(OR($A2905="",Q2905=""),"",(Q2905-B2905)*24)</f>
        <v/>
      </c>
      <c r="AE2905" s="69">
        <f>IF(OR(Q2905="",R2905=""),"",(R2905-Q2905)*24)</f>
        <v/>
      </c>
      <c r="AF2905" s="77">
        <f>IF(OR($A2905="",B2905=""),"",YEAR(B2905))</f>
        <v/>
      </c>
      <c r="AG2905" s="77">
        <f>IF(OR($A2905="",B2905=""),"",MONTH(B2905))</f>
        <v/>
      </c>
    </row>
    <row r="2906">
      <c r="A2906" s="7" t="n"/>
      <c r="B2906" s="75" t="n"/>
      <c r="C2906" s="7" t="n"/>
      <c r="D2906" s="7" t="n"/>
      <c r="E2906" s="9">
        <f>IF(D2906="","",IFERROR(INDEX('Équipements'!$B$5:$B$304,MATCH(D2906,'Équipements'!$A$5:$A$304,0)),"Code inconnu"))</f>
        <v/>
      </c>
      <c r="F2906" s="9">
        <f>IF(D2906="","",IFERROR(INDEX('Équipements'!$D$5:$D$304,MATCH(D2906,'Équipements'!$A$5:$A$304,0)),""))</f>
        <v/>
      </c>
      <c r="G2906" s="9">
        <f>IF(D2906="","",IFERROR(INDEX('Équipements'!$K$5:$K$304,MATCH(D2906,'Équipements'!$A$5:$A$304,0)),""))</f>
        <v/>
      </c>
      <c r="H2906" s="7" t="n"/>
      <c r="I2906" s="7" t="n"/>
      <c r="J2906" s="7" t="n"/>
      <c r="K2906" s="7" t="n"/>
      <c r="L2906" s="7" t="n"/>
      <c r="M2906" s="7" t="n"/>
      <c r="N2906" s="7" t="n"/>
      <c r="O2906" s="7" t="n"/>
      <c r="P2906" s="65" t="n"/>
      <c r="Q2906" s="75" t="n"/>
      <c r="R2906" s="75" t="n"/>
      <c r="S2906" s="76" t="n"/>
      <c r="T2906" s="76" t="n"/>
      <c r="U2906" s="70">
        <f>IF($A2906="","",IFERROR(INDEX('Techniciens'!$F$5:$F$44,MATCH(O2906,'Techniciens'!$B$5:$B$44,0)),'Paramètres'!$AA$10))</f>
        <v/>
      </c>
      <c r="V2906" s="70">
        <f>IF($A2906="","",IF(OR(AC2906="Demandé",AC2906="Planifié",AC2906="Annulé"),0,N(T2906)*N(U2906)))</f>
        <v/>
      </c>
      <c r="W2906" s="70">
        <f>IF($A2906="","",SUMIFS('Mouvements stock'!$H$5:$H$3004,'Mouvements stock'!$I$5:$I$3004,$A2906,'Mouvements stock'!$C$5:$C$3004,"Sortie")-SUMIFS('Mouvements stock'!$H$5:$H$3004,'Mouvements stock'!$I$5:$I$3004,$A2906,'Mouvements stock'!$C$5:$C$3004,"Retour"))</f>
        <v/>
      </c>
      <c r="X2906" s="66" t="n"/>
      <c r="Y2906" s="66" t="n"/>
      <c r="Z2906" s="7" t="n"/>
      <c r="AA2906" s="70">
        <f>IF($A2906="","",N(V2906)+N(W2906)+N(X2906)+N(Y2906))</f>
        <v/>
      </c>
      <c r="AB2906" s="70">
        <f>IF($A2906="","",N(S2906)*'Paramètres'!$AA$9*IFERROR(INDEX('Paramètres'!$O$5:$O$7,MATCH(G2906,'Paramètres'!$N$5:$N$7,0)),0))</f>
        <v/>
      </c>
      <c r="AC2906" s="7" t="n"/>
      <c r="AD2906" s="69">
        <f>IF(OR($A2906="",Q2906=""),"",(Q2906-B2906)*24)</f>
        <v/>
      </c>
      <c r="AE2906" s="69">
        <f>IF(OR(Q2906="",R2906=""),"",(R2906-Q2906)*24)</f>
        <v/>
      </c>
      <c r="AF2906" s="77">
        <f>IF(OR($A2906="",B2906=""),"",YEAR(B2906))</f>
        <v/>
      </c>
      <c r="AG2906" s="77">
        <f>IF(OR($A2906="",B2906=""),"",MONTH(B2906))</f>
        <v/>
      </c>
    </row>
    <row r="2907">
      <c r="A2907" s="7" t="n"/>
      <c r="B2907" s="75" t="n"/>
      <c r="C2907" s="7" t="n"/>
      <c r="D2907" s="7" t="n"/>
      <c r="E2907" s="9">
        <f>IF(D2907="","",IFERROR(INDEX('Équipements'!$B$5:$B$304,MATCH(D2907,'Équipements'!$A$5:$A$304,0)),"Code inconnu"))</f>
        <v/>
      </c>
      <c r="F2907" s="9">
        <f>IF(D2907="","",IFERROR(INDEX('Équipements'!$D$5:$D$304,MATCH(D2907,'Équipements'!$A$5:$A$304,0)),""))</f>
        <v/>
      </c>
      <c r="G2907" s="9">
        <f>IF(D2907="","",IFERROR(INDEX('Équipements'!$K$5:$K$304,MATCH(D2907,'Équipements'!$A$5:$A$304,0)),""))</f>
        <v/>
      </c>
      <c r="H2907" s="7" t="n"/>
      <c r="I2907" s="7" t="n"/>
      <c r="J2907" s="7" t="n"/>
      <c r="K2907" s="7" t="n"/>
      <c r="L2907" s="7" t="n"/>
      <c r="M2907" s="7" t="n"/>
      <c r="N2907" s="7" t="n"/>
      <c r="O2907" s="7" t="n"/>
      <c r="P2907" s="65" t="n"/>
      <c r="Q2907" s="75" t="n"/>
      <c r="R2907" s="75" t="n"/>
      <c r="S2907" s="76" t="n"/>
      <c r="T2907" s="76" t="n"/>
      <c r="U2907" s="70">
        <f>IF($A2907="","",IFERROR(INDEX('Techniciens'!$F$5:$F$44,MATCH(O2907,'Techniciens'!$B$5:$B$44,0)),'Paramètres'!$AA$10))</f>
        <v/>
      </c>
      <c r="V2907" s="70">
        <f>IF($A2907="","",IF(OR(AC2907="Demandé",AC2907="Planifié",AC2907="Annulé"),0,N(T2907)*N(U2907)))</f>
        <v/>
      </c>
      <c r="W2907" s="70">
        <f>IF($A2907="","",SUMIFS('Mouvements stock'!$H$5:$H$3004,'Mouvements stock'!$I$5:$I$3004,$A2907,'Mouvements stock'!$C$5:$C$3004,"Sortie")-SUMIFS('Mouvements stock'!$H$5:$H$3004,'Mouvements stock'!$I$5:$I$3004,$A2907,'Mouvements stock'!$C$5:$C$3004,"Retour"))</f>
        <v/>
      </c>
      <c r="X2907" s="66" t="n"/>
      <c r="Y2907" s="66" t="n"/>
      <c r="Z2907" s="7" t="n"/>
      <c r="AA2907" s="70">
        <f>IF($A2907="","",N(V2907)+N(W2907)+N(X2907)+N(Y2907))</f>
        <v/>
      </c>
      <c r="AB2907" s="70">
        <f>IF($A2907="","",N(S2907)*'Paramètres'!$AA$9*IFERROR(INDEX('Paramètres'!$O$5:$O$7,MATCH(G2907,'Paramètres'!$N$5:$N$7,0)),0))</f>
        <v/>
      </c>
      <c r="AC2907" s="7" t="n"/>
      <c r="AD2907" s="69">
        <f>IF(OR($A2907="",Q2907=""),"",(Q2907-B2907)*24)</f>
        <v/>
      </c>
      <c r="AE2907" s="69">
        <f>IF(OR(Q2907="",R2907=""),"",(R2907-Q2907)*24)</f>
        <v/>
      </c>
      <c r="AF2907" s="77">
        <f>IF(OR($A2907="",B2907=""),"",YEAR(B2907))</f>
        <v/>
      </c>
      <c r="AG2907" s="77">
        <f>IF(OR($A2907="",B2907=""),"",MONTH(B2907))</f>
        <v/>
      </c>
    </row>
    <row r="2908">
      <c r="A2908" s="7" t="n"/>
      <c r="B2908" s="75" t="n"/>
      <c r="C2908" s="7" t="n"/>
      <c r="D2908" s="7" t="n"/>
      <c r="E2908" s="9">
        <f>IF(D2908="","",IFERROR(INDEX('Équipements'!$B$5:$B$304,MATCH(D2908,'Équipements'!$A$5:$A$304,0)),"Code inconnu"))</f>
        <v/>
      </c>
      <c r="F2908" s="9">
        <f>IF(D2908="","",IFERROR(INDEX('Équipements'!$D$5:$D$304,MATCH(D2908,'Équipements'!$A$5:$A$304,0)),""))</f>
        <v/>
      </c>
      <c r="G2908" s="9">
        <f>IF(D2908="","",IFERROR(INDEX('Équipements'!$K$5:$K$304,MATCH(D2908,'Équipements'!$A$5:$A$304,0)),""))</f>
        <v/>
      </c>
      <c r="H2908" s="7" t="n"/>
      <c r="I2908" s="7" t="n"/>
      <c r="J2908" s="7" t="n"/>
      <c r="K2908" s="7" t="n"/>
      <c r="L2908" s="7" t="n"/>
      <c r="M2908" s="7" t="n"/>
      <c r="N2908" s="7" t="n"/>
      <c r="O2908" s="7" t="n"/>
      <c r="P2908" s="65" t="n"/>
      <c r="Q2908" s="75" t="n"/>
      <c r="R2908" s="75" t="n"/>
      <c r="S2908" s="76" t="n"/>
      <c r="T2908" s="76" t="n"/>
      <c r="U2908" s="70">
        <f>IF($A2908="","",IFERROR(INDEX('Techniciens'!$F$5:$F$44,MATCH(O2908,'Techniciens'!$B$5:$B$44,0)),'Paramètres'!$AA$10))</f>
        <v/>
      </c>
      <c r="V2908" s="70">
        <f>IF($A2908="","",IF(OR(AC2908="Demandé",AC2908="Planifié",AC2908="Annulé"),0,N(T2908)*N(U2908)))</f>
        <v/>
      </c>
      <c r="W2908" s="70">
        <f>IF($A2908="","",SUMIFS('Mouvements stock'!$H$5:$H$3004,'Mouvements stock'!$I$5:$I$3004,$A2908,'Mouvements stock'!$C$5:$C$3004,"Sortie")-SUMIFS('Mouvements stock'!$H$5:$H$3004,'Mouvements stock'!$I$5:$I$3004,$A2908,'Mouvements stock'!$C$5:$C$3004,"Retour"))</f>
        <v/>
      </c>
      <c r="X2908" s="66" t="n"/>
      <c r="Y2908" s="66" t="n"/>
      <c r="Z2908" s="7" t="n"/>
      <c r="AA2908" s="70">
        <f>IF($A2908="","",N(V2908)+N(W2908)+N(X2908)+N(Y2908))</f>
        <v/>
      </c>
      <c r="AB2908" s="70">
        <f>IF($A2908="","",N(S2908)*'Paramètres'!$AA$9*IFERROR(INDEX('Paramètres'!$O$5:$O$7,MATCH(G2908,'Paramètres'!$N$5:$N$7,0)),0))</f>
        <v/>
      </c>
      <c r="AC2908" s="7" t="n"/>
      <c r="AD2908" s="69">
        <f>IF(OR($A2908="",Q2908=""),"",(Q2908-B2908)*24)</f>
        <v/>
      </c>
      <c r="AE2908" s="69">
        <f>IF(OR(Q2908="",R2908=""),"",(R2908-Q2908)*24)</f>
        <v/>
      </c>
      <c r="AF2908" s="77">
        <f>IF(OR($A2908="",B2908=""),"",YEAR(B2908))</f>
        <v/>
      </c>
      <c r="AG2908" s="77">
        <f>IF(OR($A2908="",B2908=""),"",MONTH(B2908))</f>
        <v/>
      </c>
    </row>
    <row r="2909">
      <c r="A2909" s="7" t="n"/>
      <c r="B2909" s="75" t="n"/>
      <c r="C2909" s="7" t="n"/>
      <c r="D2909" s="7" t="n"/>
      <c r="E2909" s="9">
        <f>IF(D2909="","",IFERROR(INDEX('Équipements'!$B$5:$B$304,MATCH(D2909,'Équipements'!$A$5:$A$304,0)),"Code inconnu"))</f>
        <v/>
      </c>
      <c r="F2909" s="9">
        <f>IF(D2909="","",IFERROR(INDEX('Équipements'!$D$5:$D$304,MATCH(D2909,'Équipements'!$A$5:$A$304,0)),""))</f>
        <v/>
      </c>
      <c r="G2909" s="9">
        <f>IF(D2909="","",IFERROR(INDEX('Équipements'!$K$5:$K$304,MATCH(D2909,'Équipements'!$A$5:$A$304,0)),""))</f>
        <v/>
      </c>
      <c r="H2909" s="7" t="n"/>
      <c r="I2909" s="7" t="n"/>
      <c r="J2909" s="7" t="n"/>
      <c r="K2909" s="7" t="n"/>
      <c r="L2909" s="7" t="n"/>
      <c r="M2909" s="7" t="n"/>
      <c r="N2909" s="7" t="n"/>
      <c r="O2909" s="7" t="n"/>
      <c r="P2909" s="65" t="n"/>
      <c r="Q2909" s="75" t="n"/>
      <c r="R2909" s="75" t="n"/>
      <c r="S2909" s="76" t="n"/>
      <c r="T2909" s="76" t="n"/>
      <c r="U2909" s="70">
        <f>IF($A2909="","",IFERROR(INDEX('Techniciens'!$F$5:$F$44,MATCH(O2909,'Techniciens'!$B$5:$B$44,0)),'Paramètres'!$AA$10))</f>
        <v/>
      </c>
      <c r="V2909" s="70">
        <f>IF($A2909="","",IF(OR(AC2909="Demandé",AC2909="Planifié",AC2909="Annulé"),0,N(T2909)*N(U2909)))</f>
        <v/>
      </c>
      <c r="W2909" s="70">
        <f>IF($A2909="","",SUMIFS('Mouvements stock'!$H$5:$H$3004,'Mouvements stock'!$I$5:$I$3004,$A2909,'Mouvements stock'!$C$5:$C$3004,"Sortie")-SUMIFS('Mouvements stock'!$H$5:$H$3004,'Mouvements stock'!$I$5:$I$3004,$A2909,'Mouvements stock'!$C$5:$C$3004,"Retour"))</f>
        <v/>
      </c>
      <c r="X2909" s="66" t="n"/>
      <c r="Y2909" s="66" t="n"/>
      <c r="Z2909" s="7" t="n"/>
      <c r="AA2909" s="70">
        <f>IF($A2909="","",N(V2909)+N(W2909)+N(X2909)+N(Y2909))</f>
        <v/>
      </c>
      <c r="AB2909" s="70">
        <f>IF($A2909="","",N(S2909)*'Paramètres'!$AA$9*IFERROR(INDEX('Paramètres'!$O$5:$O$7,MATCH(G2909,'Paramètres'!$N$5:$N$7,0)),0))</f>
        <v/>
      </c>
      <c r="AC2909" s="7" t="n"/>
      <c r="AD2909" s="69">
        <f>IF(OR($A2909="",Q2909=""),"",(Q2909-B2909)*24)</f>
        <v/>
      </c>
      <c r="AE2909" s="69">
        <f>IF(OR(Q2909="",R2909=""),"",(R2909-Q2909)*24)</f>
        <v/>
      </c>
      <c r="AF2909" s="77">
        <f>IF(OR($A2909="",B2909=""),"",YEAR(B2909))</f>
        <v/>
      </c>
      <c r="AG2909" s="77">
        <f>IF(OR($A2909="",B2909=""),"",MONTH(B2909))</f>
        <v/>
      </c>
    </row>
    <row r="2910">
      <c r="A2910" s="7" t="n"/>
      <c r="B2910" s="75" t="n"/>
      <c r="C2910" s="7" t="n"/>
      <c r="D2910" s="7" t="n"/>
      <c r="E2910" s="9">
        <f>IF(D2910="","",IFERROR(INDEX('Équipements'!$B$5:$B$304,MATCH(D2910,'Équipements'!$A$5:$A$304,0)),"Code inconnu"))</f>
        <v/>
      </c>
      <c r="F2910" s="9">
        <f>IF(D2910="","",IFERROR(INDEX('Équipements'!$D$5:$D$304,MATCH(D2910,'Équipements'!$A$5:$A$304,0)),""))</f>
        <v/>
      </c>
      <c r="G2910" s="9">
        <f>IF(D2910="","",IFERROR(INDEX('Équipements'!$K$5:$K$304,MATCH(D2910,'Équipements'!$A$5:$A$304,0)),""))</f>
        <v/>
      </c>
      <c r="H2910" s="7" t="n"/>
      <c r="I2910" s="7" t="n"/>
      <c r="J2910" s="7" t="n"/>
      <c r="K2910" s="7" t="n"/>
      <c r="L2910" s="7" t="n"/>
      <c r="M2910" s="7" t="n"/>
      <c r="N2910" s="7" t="n"/>
      <c r="O2910" s="7" t="n"/>
      <c r="P2910" s="65" t="n"/>
      <c r="Q2910" s="75" t="n"/>
      <c r="R2910" s="75" t="n"/>
      <c r="S2910" s="76" t="n"/>
      <c r="T2910" s="76" t="n"/>
      <c r="U2910" s="70">
        <f>IF($A2910="","",IFERROR(INDEX('Techniciens'!$F$5:$F$44,MATCH(O2910,'Techniciens'!$B$5:$B$44,0)),'Paramètres'!$AA$10))</f>
        <v/>
      </c>
      <c r="V2910" s="70">
        <f>IF($A2910="","",IF(OR(AC2910="Demandé",AC2910="Planifié",AC2910="Annulé"),0,N(T2910)*N(U2910)))</f>
        <v/>
      </c>
      <c r="W2910" s="70">
        <f>IF($A2910="","",SUMIFS('Mouvements stock'!$H$5:$H$3004,'Mouvements stock'!$I$5:$I$3004,$A2910,'Mouvements stock'!$C$5:$C$3004,"Sortie")-SUMIFS('Mouvements stock'!$H$5:$H$3004,'Mouvements stock'!$I$5:$I$3004,$A2910,'Mouvements stock'!$C$5:$C$3004,"Retour"))</f>
        <v/>
      </c>
      <c r="X2910" s="66" t="n"/>
      <c r="Y2910" s="66" t="n"/>
      <c r="Z2910" s="7" t="n"/>
      <c r="AA2910" s="70">
        <f>IF($A2910="","",N(V2910)+N(W2910)+N(X2910)+N(Y2910))</f>
        <v/>
      </c>
      <c r="AB2910" s="70">
        <f>IF($A2910="","",N(S2910)*'Paramètres'!$AA$9*IFERROR(INDEX('Paramètres'!$O$5:$O$7,MATCH(G2910,'Paramètres'!$N$5:$N$7,0)),0))</f>
        <v/>
      </c>
      <c r="AC2910" s="7" t="n"/>
      <c r="AD2910" s="69">
        <f>IF(OR($A2910="",Q2910=""),"",(Q2910-B2910)*24)</f>
        <v/>
      </c>
      <c r="AE2910" s="69">
        <f>IF(OR(Q2910="",R2910=""),"",(R2910-Q2910)*24)</f>
        <v/>
      </c>
      <c r="AF2910" s="77">
        <f>IF(OR($A2910="",B2910=""),"",YEAR(B2910))</f>
        <v/>
      </c>
      <c r="AG2910" s="77">
        <f>IF(OR($A2910="",B2910=""),"",MONTH(B2910))</f>
        <v/>
      </c>
    </row>
    <row r="2911">
      <c r="A2911" s="7" t="n"/>
      <c r="B2911" s="75" t="n"/>
      <c r="C2911" s="7" t="n"/>
      <c r="D2911" s="7" t="n"/>
      <c r="E2911" s="9">
        <f>IF(D2911="","",IFERROR(INDEX('Équipements'!$B$5:$B$304,MATCH(D2911,'Équipements'!$A$5:$A$304,0)),"Code inconnu"))</f>
        <v/>
      </c>
      <c r="F2911" s="9">
        <f>IF(D2911="","",IFERROR(INDEX('Équipements'!$D$5:$D$304,MATCH(D2911,'Équipements'!$A$5:$A$304,0)),""))</f>
        <v/>
      </c>
      <c r="G2911" s="9">
        <f>IF(D2911="","",IFERROR(INDEX('Équipements'!$K$5:$K$304,MATCH(D2911,'Équipements'!$A$5:$A$304,0)),""))</f>
        <v/>
      </c>
      <c r="H2911" s="7" t="n"/>
      <c r="I2911" s="7" t="n"/>
      <c r="J2911" s="7" t="n"/>
      <c r="K2911" s="7" t="n"/>
      <c r="L2911" s="7" t="n"/>
      <c r="M2911" s="7" t="n"/>
      <c r="N2911" s="7" t="n"/>
      <c r="O2911" s="7" t="n"/>
      <c r="P2911" s="65" t="n"/>
      <c r="Q2911" s="75" t="n"/>
      <c r="R2911" s="75" t="n"/>
      <c r="S2911" s="76" t="n"/>
      <c r="T2911" s="76" t="n"/>
      <c r="U2911" s="70">
        <f>IF($A2911="","",IFERROR(INDEX('Techniciens'!$F$5:$F$44,MATCH(O2911,'Techniciens'!$B$5:$B$44,0)),'Paramètres'!$AA$10))</f>
        <v/>
      </c>
      <c r="V2911" s="70">
        <f>IF($A2911="","",IF(OR(AC2911="Demandé",AC2911="Planifié",AC2911="Annulé"),0,N(T2911)*N(U2911)))</f>
        <v/>
      </c>
      <c r="W2911" s="70">
        <f>IF($A2911="","",SUMIFS('Mouvements stock'!$H$5:$H$3004,'Mouvements stock'!$I$5:$I$3004,$A2911,'Mouvements stock'!$C$5:$C$3004,"Sortie")-SUMIFS('Mouvements stock'!$H$5:$H$3004,'Mouvements stock'!$I$5:$I$3004,$A2911,'Mouvements stock'!$C$5:$C$3004,"Retour"))</f>
        <v/>
      </c>
      <c r="X2911" s="66" t="n"/>
      <c r="Y2911" s="66" t="n"/>
      <c r="Z2911" s="7" t="n"/>
      <c r="AA2911" s="70">
        <f>IF($A2911="","",N(V2911)+N(W2911)+N(X2911)+N(Y2911))</f>
        <v/>
      </c>
      <c r="AB2911" s="70">
        <f>IF($A2911="","",N(S2911)*'Paramètres'!$AA$9*IFERROR(INDEX('Paramètres'!$O$5:$O$7,MATCH(G2911,'Paramètres'!$N$5:$N$7,0)),0))</f>
        <v/>
      </c>
      <c r="AC2911" s="7" t="n"/>
      <c r="AD2911" s="69">
        <f>IF(OR($A2911="",Q2911=""),"",(Q2911-B2911)*24)</f>
        <v/>
      </c>
      <c r="AE2911" s="69">
        <f>IF(OR(Q2911="",R2911=""),"",(R2911-Q2911)*24)</f>
        <v/>
      </c>
      <c r="AF2911" s="77">
        <f>IF(OR($A2911="",B2911=""),"",YEAR(B2911))</f>
        <v/>
      </c>
      <c r="AG2911" s="77">
        <f>IF(OR($A2911="",B2911=""),"",MONTH(B2911))</f>
        <v/>
      </c>
    </row>
    <row r="2912">
      <c r="A2912" s="7" t="n"/>
      <c r="B2912" s="75" t="n"/>
      <c r="C2912" s="7" t="n"/>
      <c r="D2912" s="7" t="n"/>
      <c r="E2912" s="9">
        <f>IF(D2912="","",IFERROR(INDEX('Équipements'!$B$5:$B$304,MATCH(D2912,'Équipements'!$A$5:$A$304,0)),"Code inconnu"))</f>
        <v/>
      </c>
      <c r="F2912" s="9">
        <f>IF(D2912="","",IFERROR(INDEX('Équipements'!$D$5:$D$304,MATCH(D2912,'Équipements'!$A$5:$A$304,0)),""))</f>
        <v/>
      </c>
      <c r="G2912" s="9">
        <f>IF(D2912="","",IFERROR(INDEX('Équipements'!$K$5:$K$304,MATCH(D2912,'Équipements'!$A$5:$A$304,0)),""))</f>
        <v/>
      </c>
      <c r="H2912" s="7" t="n"/>
      <c r="I2912" s="7" t="n"/>
      <c r="J2912" s="7" t="n"/>
      <c r="K2912" s="7" t="n"/>
      <c r="L2912" s="7" t="n"/>
      <c r="M2912" s="7" t="n"/>
      <c r="N2912" s="7" t="n"/>
      <c r="O2912" s="7" t="n"/>
      <c r="P2912" s="65" t="n"/>
      <c r="Q2912" s="75" t="n"/>
      <c r="R2912" s="75" t="n"/>
      <c r="S2912" s="76" t="n"/>
      <c r="T2912" s="76" t="n"/>
      <c r="U2912" s="70">
        <f>IF($A2912="","",IFERROR(INDEX('Techniciens'!$F$5:$F$44,MATCH(O2912,'Techniciens'!$B$5:$B$44,0)),'Paramètres'!$AA$10))</f>
        <v/>
      </c>
      <c r="V2912" s="70">
        <f>IF($A2912="","",IF(OR(AC2912="Demandé",AC2912="Planifié",AC2912="Annulé"),0,N(T2912)*N(U2912)))</f>
        <v/>
      </c>
      <c r="W2912" s="70">
        <f>IF($A2912="","",SUMIFS('Mouvements stock'!$H$5:$H$3004,'Mouvements stock'!$I$5:$I$3004,$A2912,'Mouvements stock'!$C$5:$C$3004,"Sortie")-SUMIFS('Mouvements stock'!$H$5:$H$3004,'Mouvements stock'!$I$5:$I$3004,$A2912,'Mouvements stock'!$C$5:$C$3004,"Retour"))</f>
        <v/>
      </c>
      <c r="X2912" s="66" t="n"/>
      <c r="Y2912" s="66" t="n"/>
      <c r="Z2912" s="7" t="n"/>
      <c r="AA2912" s="70">
        <f>IF($A2912="","",N(V2912)+N(W2912)+N(X2912)+N(Y2912))</f>
        <v/>
      </c>
      <c r="AB2912" s="70">
        <f>IF($A2912="","",N(S2912)*'Paramètres'!$AA$9*IFERROR(INDEX('Paramètres'!$O$5:$O$7,MATCH(G2912,'Paramètres'!$N$5:$N$7,0)),0))</f>
        <v/>
      </c>
      <c r="AC2912" s="7" t="n"/>
      <c r="AD2912" s="69">
        <f>IF(OR($A2912="",Q2912=""),"",(Q2912-B2912)*24)</f>
        <v/>
      </c>
      <c r="AE2912" s="69">
        <f>IF(OR(Q2912="",R2912=""),"",(R2912-Q2912)*24)</f>
        <v/>
      </c>
      <c r="AF2912" s="77">
        <f>IF(OR($A2912="",B2912=""),"",YEAR(B2912))</f>
        <v/>
      </c>
      <c r="AG2912" s="77">
        <f>IF(OR($A2912="",B2912=""),"",MONTH(B2912))</f>
        <v/>
      </c>
    </row>
    <row r="2913">
      <c r="A2913" s="7" t="n"/>
      <c r="B2913" s="75" t="n"/>
      <c r="C2913" s="7" t="n"/>
      <c r="D2913" s="7" t="n"/>
      <c r="E2913" s="9">
        <f>IF(D2913="","",IFERROR(INDEX('Équipements'!$B$5:$B$304,MATCH(D2913,'Équipements'!$A$5:$A$304,0)),"Code inconnu"))</f>
        <v/>
      </c>
      <c r="F2913" s="9">
        <f>IF(D2913="","",IFERROR(INDEX('Équipements'!$D$5:$D$304,MATCH(D2913,'Équipements'!$A$5:$A$304,0)),""))</f>
        <v/>
      </c>
      <c r="G2913" s="9">
        <f>IF(D2913="","",IFERROR(INDEX('Équipements'!$K$5:$K$304,MATCH(D2913,'Équipements'!$A$5:$A$304,0)),""))</f>
        <v/>
      </c>
      <c r="H2913" s="7" t="n"/>
      <c r="I2913" s="7" t="n"/>
      <c r="J2913" s="7" t="n"/>
      <c r="K2913" s="7" t="n"/>
      <c r="L2913" s="7" t="n"/>
      <c r="M2913" s="7" t="n"/>
      <c r="N2913" s="7" t="n"/>
      <c r="O2913" s="7" t="n"/>
      <c r="P2913" s="65" t="n"/>
      <c r="Q2913" s="75" t="n"/>
      <c r="R2913" s="75" t="n"/>
      <c r="S2913" s="76" t="n"/>
      <c r="T2913" s="76" t="n"/>
      <c r="U2913" s="70">
        <f>IF($A2913="","",IFERROR(INDEX('Techniciens'!$F$5:$F$44,MATCH(O2913,'Techniciens'!$B$5:$B$44,0)),'Paramètres'!$AA$10))</f>
        <v/>
      </c>
      <c r="V2913" s="70">
        <f>IF($A2913="","",IF(OR(AC2913="Demandé",AC2913="Planifié",AC2913="Annulé"),0,N(T2913)*N(U2913)))</f>
        <v/>
      </c>
      <c r="W2913" s="70">
        <f>IF($A2913="","",SUMIFS('Mouvements stock'!$H$5:$H$3004,'Mouvements stock'!$I$5:$I$3004,$A2913,'Mouvements stock'!$C$5:$C$3004,"Sortie")-SUMIFS('Mouvements stock'!$H$5:$H$3004,'Mouvements stock'!$I$5:$I$3004,$A2913,'Mouvements stock'!$C$5:$C$3004,"Retour"))</f>
        <v/>
      </c>
      <c r="X2913" s="66" t="n"/>
      <c r="Y2913" s="66" t="n"/>
      <c r="Z2913" s="7" t="n"/>
      <c r="AA2913" s="70">
        <f>IF($A2913="","",N(V2913)+N(W2913)+N(X2913)+N(Y2913))</f>
        <v/>
      </c>
      <c r="AB2913" s="70">
        <f>IF($A2913="","",N(S2913)*'Paramètres'!$AA$9*IFERROR(INDEX('Paramètres'!$O$5:$O$7,MATCH(G2913,'Paramètres'!$N$5:$N$7,0)),0))</f>
        <v/>
      </c>
      <c r="AC2913" s="7" t="n"/>
      <c r="AD2913" s="69">
        <f>IF(OR($A2913="",Q2913=""),"",(Q2913-B2913)*24)</f>
        <v/>
      </c>
      <c r="AE2913" s="69">
        <f>IF(OR(Q2913="",R2913=""),"",(R2913-Q2913)*24)</f>
        <v/>
      </c>
      <c r="AF2913" s="77">
        <f>IF(OR($A2913="",B2913=""),"",YEAR(B2913))</f>
        <v/>
      </c>
      <c r="AG2913" s="77">
        <f>IF(OR($A2913="",B2913=""),"",MONTH(B2913))</f>
        <v/>
      </c>
    </row>
    <row r="2914">
      <c r="A2914" s="7" t="n"/>
      <c r="B2914" s="75" t="n"/>
      <c r="C2914" s="7" t="n"/>
      <c r="D2914" s="7" t="n"/>
      <c r="E2914" s="9">
        <f>IF(D2914="","",IFERROR(INDEX('Équipements'!$B$5:$B$304,MATCH(D2914,'Équipements'!$A$5:$A$304,0)),"Code inconnu"))</f>
        <v/>
      </c>
      <c r="F2914" s="9">
        <f>IF(D2914="","",IFERROR(INDEX('Équipements'!$D$5:$D$304,MATCH(D2914,'Équipements'!$A$5:$A$304,0)),""))</f>
        <v/>
      </c>
      <c r="G2914" s="9">
        <f>IF(D2914="","",IFERROR(INDEX('Équipements'!$K$5:$K$304,MATCH(D2914,'Équipements'!$A$5:$A$304,0)),""))</f>
        <v/>
      </c>
      <c r="H2914" s="7" t="n"/>
      <c r="I2914" s="7" t="n"/>
      <c r="J2914" s="7" t="n"/>
      <c r="K2914" s="7" t="n"/>
      <c r="L2914" s="7" t="n"/>
      <c r="M2914" s="7" t="n"/>
      <c r="N2914" s="7" t="n"/>
      <c r="O2914" s="7" t="n"/>
      <c r="P2914" s="65" t="n"/>
      <c r="Q2914" s="75" t="n"/>
      <c r="R2914" s="75" t="n"/>
      <c r="S2914" s="76" t="n"/>
      <c r="T2914" s="76" t="n"/>
      <c r="U2914" s="70">
        <f>IF($A2914="","",IFERROR(INDEX('Techniciens'!$F$5:$F$44,MATCH(O2914,'Techniciens'!$B$5:$B$44,0)),'Paramètres'!$AA$10))</f>
        <v/>
      </c>
      <c r="V2914" s="70">
        <f>IF($A2914="","",IF(OR(AC2914="Demandé",AC2914="Planifié",AC2914="Annulé"),0,N(T2914)*N(U2914)))</f>
        <v/>
      </c>
      <c r="W2914" s="70">
        <f>IF($A2914="","",SUMIFS('Mouvements stock'!$H$5:$H$3004,'Mouvements stock'!$I$5:$I$3004,$A2914,'Mouvements stock'!$C$5:$C$3004,"Sortie")-SUMIFS('Mouvements stock'!$H$5:$H$3004,'Mouvements stock'!$I$5:$I$3004,$A2914,'Mouvements stock'!$C$5:$C$3004,"Retour"))</f>
        <v/>
      </c>
      <c r="X2914" s="66" t="n"/>
      <c r="Y2914" s="66" t="n"/>
      <c r="Z2914" s="7" t="n"/>
      <c r="AA2914" s="70">
        <f>IF($A2914="","",N(V2914)+N(W2914)+N(X2914)+N(Y2914))</f>
        <v/>
      </c>
      <c r="AB2914" s="70">
        <f>IF($A2914="","",N(S2914)*'Paramètres'!$AA$9*IFERROR(INDEX('Paramètres'!$O$5:$O$7,MATCH(G2914,'Paramètres'!$N$5:$N$7,0)),0))</f>
        <v/>
      </c>
      <c r="AC2914" s="7" t="n"/>
      <c r="AD2914" s="69">
        <f>IF(OR($A2914="",Q2914=""),"",(Q2914-B2914)*24)</f>
        <v/>
      </c>
      <c r="AE2914" s="69">
        <f>IF(OR(Q2914="",R2914=""),"",(R2914-Q2914)*24)</f>
        <v/>
      </c>
      <c r="AF2914" s="77">
        <f>IF(OR($A2914="",B2914=""),"",YEAR(B2914))</f>
        <v/>
      </c>
      <c r="AG2914" s="77">
        <f>IF(OR($A2914="",B2914=""),"",MONTH(B2914))</f>
        <v/>
      </c>
    </row>
    <row r="2915">
      <c r="A2915" s="7" t="n"/>
      <c r="B2915" s="75" t="n"/>
      <c r="C2915" s="7" t="n"/>
      <c r="D2915" s="7" t="n"/>
      <c r="E2915" s="9">
        <f>IF(D2915="","",IFERROR(INDEX('Équipements'!$B$5:$B$304,MATCH(D2915,'Équipements'!$A$5:$A$304,0)),"Code inconnu"))</f>
        <v/>
      </c>
      <c r="F2915" s="9">
        <f>IF(D2915="","",IFERROR(INDEX('Équipements'!$D$5:$D$304,MATCH(D2915,'Équipements'!$A$5:$A$304,0)),""))</f>
        <v/>
      </c>
      <c r="G2915" s="9">
        <f>IF(D2915="","",IFERROR(INDEX('Équipements'!$K$5:$K$304,MATCH(D2915,'Équipements'!$A$5:$A$304,0)),""))</f>
        <v/>
      </c>
      <c r="H2915" s="7" t="n"/>
      <c r="I2915" s="7" t="n"/>
      <c r="J2915" s="7" t="n"/>
      <c r="K2915" s="7" t="n"/>
      <c r="L2915" s="7" t="n"/>
      <c r="M2915" s="7" t="n"/>
      <c r="N2915" s="7" t="n"/>
      <c r="O2915" s="7" t="n"/>
      <c r="P2915" s="65" t="n"/>
      <c r="Q2915" s="75" t="n"/>
      <c r="R2915" s="75" t="n"/>
      <c r="S2915" s="76" t="n"/>
      <c r="T2915" s="76" t="n"/>
      <c r="U2915" s="70">
        <f>IF($A2915="","",IFERROR(INDEX('Techniciens'!$F$5:$F$44,MATCH(O2915,'Techniciens'!$B$5:$B$44,0)),'Paramètres'!$AA$10))</f>
        <v/>
      </c>
      <c r="V2915" s="70">
        <f>IF($A2915="","",IF(OR(AC2915="Demandé",AC2915="Planifié",AC2915="Annulé"),0,N(T2915)*N(U2915)))</f>
        <v/>
      </c>
      <c r="W2915" s="70">
        <f>IF($A2915="","",SUMIFS('Mouvements stock'!$H$5:$H$3004,'Mouvements stock'!$I$5:$I$3004,$A2915,'Mouvements stock'!$C$5:$C$3004,"Sortie")-SUMIFS('Mouvements stock'!$H$5:$H$3004,'Mouvements stock'!$I$5:$I$3004,$A2915,'Mouvements stock'!$C$5:$C$3004,"Retour"))</f>
        <v/>
      </c>
      <c r="X2915" s="66" t="n"/>
      <c r="Y2915" s="66" t="n"/>
      <c r="Z2915" s="7" t="n"/>
      <c r="AA2915" s="70">
        <f>IF($A2915="","",N(V2915)+N(W2915)+N(X2915)+N(Y2915))</f>
        <v/>
      </c>
      <c r="AB2915" s="70">
        <f>IF($A2915="","",N(S2915)*'Paramètres'!$AA$9*IFERROR(INDEX('Paramètres'!$O$5:$O$7,MATCH(G2915,'Paramètres'!$N$5:$N$7,0)),0))</f>
        <v/>
      </c>
      <c r="AC2915" s="7" t="n"/>
      <c r="AD2915" s="69">
        <f>IF(OR($A2915="",Q2915=""),"",(Q2915-B2915)*24)</f>
        <v/>
      </c>
      <c r="AE2915" s="69">
        <f>IF(OR(Q2915="",R2915=""),"",(R2915-Q2915)*24)</f>
        <v/>
      </c>
      <c r="AF2915" s="77">
        <f>IF(OR($A2915="",B2915=""),"",YEAR(B2915))</f>
        <v/>
      </c>
      <c r="AG2915" s="77">
        <f>IF(OR($A2915="",B2915=""),"",MONTH(B2915))</f>
        <v/>
      </c>
    </row>
    <row r="2916">
      <c r="A2916" s="7" t="n"/>
      <c r="B2916" s="75" t="n"/>
      <c r="C2916" s="7" t="n"/>
      <c r="D2916" s="7" t="n"/>
      <c r="E2916" s="9">
        <f>IF(D2916="","",IFERROR(INDEX('Équipements'!$B$5:$B$304,MATCH(D2916,'Équipements'!$A$5:$A$304,0)),"Code inconnu"))</f>
        <v/>
      </c>
      <c r="F2916" s="9">
        <f>IF(D2916="","",IFERROR(INDEX('Équipements'!$D$5:$D$304,MATCH(D2916,'Équipements'!$A$5:$A$304,0)),""))</f>
        <v/>
      </c>
      <c r="G2916" s="9">
        <f>IF(D2916="","",IFERROR(INDEX('Équipements'!$K$5:$K$304,MATCH(D2916,'Équipements'!$A$5:$A$304,0)),""))</f>
        <v/>
      </c>
      <c r="H2916" s="7" t="n"/>
      <c r="I2916" s="7" t="n"/>
      <c r="J2916" s="7" t="n"/>
      <c r="K2916" s="7" t="n"/>
      <c r="L2916" s="7" t="n"/>
      <c r="M2916" s="7" t="n"/>
      <c r="N2916" s="7" t="n"/>
      <c r="O2916" s="7" t="n"/>
      <c r="P2916" s="65" t="n"/>
      <c r="Q2916" s="75" t="n"/>
      <c r="R2916" s="75" t="n"/>
      <c r="S2916" s="76" t="n"/>
      <c r="T2916" s="76" t="n"/>
      <c r="U2916" s="70">
        <f>IF($A2916="","",IFERROR(INDEX('Techniciens'!$F$5:$F$44,MATCH(O2916,'Techniciens'!$B$5:$B$44,0)),'Paramètres'!$AA$10))</f>
        <v/>
      </c>
      <c r="V2916" s="70">
        <f>IF($A2916="","",IF(OR(AC2916="Demandé",AC2916="Planifié",AC2916="Annulé"),0,N(T2916)*N(U2916)))</f>
        <v/>
      </c>
      <c r="W2916" s="70">
        <f>IF($A2916="","",SUMIFS('Mouvements stock'!$H$5:$H$3004,'Mouvements stock'!$I$5:$I$3004,$A2916,'Mouvements stock'!$C$5:$C$3004,"Sortie")-SUMIFS('Mouvements stock'!$H$5:$H$3004,'Mouvements stock'!$I$5:$I$3004,$A2916,'Mouvements stock'!$C$5:$C$3004,"Retour"))</f>
        <v/>
      </c>
      <c r="X2916" s="66" t="n"/>
      <c r="Y2916" s="66" t="n"/>
      <c r="Z2916" s="7" t="n"/>
      <c r="AA2916" s="70">
        <f>IF($A2916="","",N(V2916)+N(W2916)+N(X2916)+N(Y2916))</f>
        <v/>
      </c>
      <c r="AB2916" s="70">
        <f>IF($A2916="","",N(S2916)*'Paramètres'!$AA$9*IFERROR(INDEX('Paramètres'!$O$5:$O$7,MATCH(G2916,'Paramètres'!$N$5:$N$7,0)),0))</f>
        <v/>
      </c>
      <c r="AC2916" s="7" t="n"/>
      <c r="AD2916" s="69">
        <f>IF(OR($A2916="",Q2916=""),"",(Q2916-B2916)*24)</f>
        <v/>
      </c>
      <c r="AE2916" s="69">
        <f>IF(OR(Q2916="",R2916=""),"",(R2916-Q2916)*24)</f>
        <v/>
      </c>
      <c r="AF2916" s="77">
        <f>IF(OR($A2916="",B2916=""),"",YEAR(B2916))</f>
        <v/>
      </c>
      <c r="AG2916" s="77">
        <f>IF(OR($A2916="",B2916=""),"",MONTH(B2916))</f>
        <v/>
      </c>
    </row>
    <row r="2917">
      <c r="A2917" s="7" t="n"/>
      <c r="B2917" s="75" t="n"/>
      <c r="C2917" s="7" t="n"/>
      <c r="D2917" s="7" t="n"/>
      <c r="E2917" s="9">
        <f>IF(D2917="","",IFERROR(INDEX('Équipements'!$B$5:$B$304,MATCH(D2917,'Équipements'!$A$5:$A$304,0)),"Code inconnu"))</f>
        <v/>
      </c>
      <c r="F2917" s="9">
        <f>IF(D2917="","",IFERROR(INDEX('Équipements'!$D$5:$D$304,MATCH(D2917,'Équipements'!$A$5:$A$304,0)),""))</f>
        <v/>
      </c>
      <c r="G2917" s="9">
        <f>IF(D2917="","",IFERROR(INDEX('Équipements'!$K$5:$K$304,MATCH(D2917,'Équipements'!$A$5:$A$304,0)),""))</f>
        <v/>
      </c>
      <c r="H2917" s="7" t="n"/>
      <c r="I2917" s="7" t="n"/>
      <c r="J2917" s="7" t="n"/>
      <c r="K2917" s="7" t="n"/>
      <c r="L2917" s="7" t="n"/>
      <c r="M2917" s="7" t="n"/>
      <c r="N2917" s="7" t="n"/>
      <c r="O2917" s="7" t="n"/>
      <c r="P2917" s="65" t="n"/>
      <c r="Q2917" s="75" t="n"/>
      <c r="R2917" s="75" t="n"/>
      <c r="S2917" s="76" t="n"/>
      <c r="T2917" s="76" t="n"/>
      <c r="U2917" s="70">
        <f>IF($A2917="","",IFERROR(INDEX('Techniciens'!$F$5:$F$44,MATCH(O2917,'Techniciens'!$B$5:$B$44,0)),'Paramètres'!$AA$10))</f>
        <v/>
      </c>
      <c r="V2917" s="70">
        <f>IF($A2917="","",IF(OR(AC2917="Demandé",AC2917="Planifié",AC2917="Annulé"),0,N(T2917)*N(U2917)))</f>
        <v/>
      </c>
      <c r="W2917" s="70">
        <f>IF($A2917="","",SUMIFS('Mouvements stock'!$H$5:$H$3004,'Mouvements stock'!$I$5:$I$3004,$A2917,'Mouvements stock'!$C$5:$C$3004,"Sortie")-SUMIFS('Mouvements stock'!$H$5:$H$3004,'Mouvements stock'!$I$5:$I$3004,$A2917,'Mouvements stock'!$C$5:$C$3004,"Retour"))</f>
        <v/>
      </c>
      <c r="X2917" s="66" t="n"/>
      <c r="Y2917" s="66" t="n"/>
      <c r="Z2917" s="7" t="n"/>
      <c r="AA2917" s="70">
        <f>IF($A2917="","",N(V2917)+N(W2917)+N(X2917)+N(Y2917))</f>
        <v/>
      </c>
      <c r="AB2917" s="70">
        <f>IF($A2917="","",N(S2917)*'Paramètres'!$AA$9*IFERROR(INDEX('Paramètres'!$O$5:$O$7,MATCH(G2917,'Paramètres'!$N$5:$N$7,0)),0))</f>
        <v/>
      </c>
      <c r="AC2917" s="7" t="n"/>
      <c r="AD2917" s="69">
        <f>IF(OR($A2917="",Q2917=""),"",(Q2917-B2917)*24)</f>
        <v/>
      </c>
      <c r="AE2917" s="69">
        <f>IF(OR(Q2917="",R2917=""),"",(R2917-Q2917)*24)</f>
        <v/>
      </c>
      <c r="AF2917" s="77">
        <f>IF(OR($A2917="",B2917=""),"",YEAR(B2917))</f>
        <v/>
      </c>
      <c r="AG2917" s="77">
        <f>IF(OR($A2917="",B2917=""),"",MONTH(B2917))</f>
        <v/>
      </c>
    </row>
    <row r="2918">
      <c r="A2918" s="7" t="n"/>
      <c r="B2918" s="75" t="n"/>
      <c r="C2918" s="7" t="n"/>
      <c r="D2918" s="7" t="n"/>
      <c r="E2918" s="9">
        <f>IF(D2918="","",IFERROR(INDEX('Équipements'!$B$5:$B$304,MATCH(D2918,'Équipements'!$A$5:$A$304,0)),"Code inconnu"))</f>
        <v/>
      </c>
      <c r="F2918" s="9">
        <f>IF(D2918="","",IFERROR(INDEX('Équipements'!$D$5:$D$304,MATCH(D2918,'Équipements'!$A$5:$A$304,0)),""))</f>
        <v/>
      </c>
      <c r="G2918" s="9">
        <f>IF(D2918="","",IFERROR(INDEX('Équipements'!$K$5:$K$304,MATCH(D2918,'Équipements'!$A$5:$A$304,0)),""))</f>
        <v/>
      </c>
      <c r="H2918" s="7" t="n"/>
      <c r="I2918" s="7" t="n"/>
      <c r="J2918" s="7" t="n"/>
      <c r="K2918" s="7" t="n"/>
      <c r="L2918" s="7" t="n"/>
      <c r="M2918" s="7" t="n"/>
      <c r="N2918" s="7" t="n"/>
      <c r="O2918" s="7" t="n"/>
      <c r="P2918" s="65" t="n"/>
      <c r="Q2918" s="75" t="n"/>
      <c r="R2918" s="75" t="n"/>
      <c r="S2918" s="76" t="n"/>
      <c r="T2918" s="76" t="n"/>
      <c r="U2918" s="70">
        <f>IF($A2918="","",IFERROR(INDEX('Techniciens'!$F$5:$F$44,MATCH(O2918,'Techniciens'!$B$5:$B$44,0)),'Paramètres'!$AA$10))</f>
        <v/>
      </c>
      <c r="V2918" s="70">
        <f>IF($A2918="","",IF(OR(AC2918="Demandé",AC2918="Planifié",AC2918="Annulé"),0,N(T2918)*N(U2918)))</f>
        <v/>
      </c>
      <c r="W2918" s="70">
        <f>IF($A2918="","",SUMIFS('Mouvements stock'!$H$5:$H$3004,'Mouvements stock'!$I$5:$I$3004,$A2918,'Mouvements stock'!$C$5:$C$3004,"Sortie")-SUMIFS('Mouvements stock'!$H$5:$H$3004,'Mouvements stock'!$I$5:$I$3004,$A2918,'Mouvements stock'!$C$5:$C$3004,"Retour"))</f>
        <v/>
      </c>
      <c r="X2918" s="66" t="n"/>
      <c r="Y2918" s="66" t="n"/>
      <c r="Z2918" s="7" t="n"/>
      <c r="AA2918" s="70">
        <f>IF($A2918="","",N(V2918)+N(W2918)+N(X2918)+N(Y2918))</f>
        <v/>
      </c>
      <c r="AB2918" s="70">
        <f>IF($A2918="","",N(S2918)*'Paramètres'!$AA$9*IFERROR(INDEX('Paramètres'!$O$5:$O$7,MATCH(G2918,'Paramètres'!$N$5:$N$7,0)),0))</f>
        <v/>
      </c>
      <c r="AC2918" s="7" t="n"/>
      <c r="AD2918" s="69">
        <f>IF(OR($A2918="",Q2918=""),"",(Q2918-B2918)*24)</f>
        <v/>
      </c>
      <c r="AE2918" s="69">
        <f>IF(OR(Q2918="",R2918=""),"",(R2918-Q2918)*24)</f>
        <v/>
      </c>
      <c r="AF2918" s="77">
        <f>IF(OR($A2918="",B2918=""),"",YEAR(B2918))</f>
        <v/>
      </c>
      <c r="AG2918" s="77">
        <f>IF(OR($A2918="",B2918=""),"",MONTH(B2918))</f>
        <v/>
      </c>
    </row>
    <row r="2919">
      <c r="A2919" s="7" t="n"/>
      <c r="B2919" s="75" t="n"/>
      <c r="C2919" s="7" t="n"/>
      <c r="D2919" s="7" t="n"/>
      <c r="E2919" s="9">
        <f>IF(D2919="","",IFERROR(INDEX('Équipements'!$B$5:$B$304,MATCH(D2919,'Équipements'!$A$5:$A$304,0)),"Code inconnu"))</f>
        <v/>
      </c>
      <c r="F2919" s="9">
        <f>IF(D2919="","",IFERROR(INDEX('Équipements'!$D$5:$D$304,MATCH(D2919,'Équipements'!$A$5:$A$304,0)),""))</f>
        <v/>
      </c>
      <c r="G2919" s="9">
        <f>IF(D2919="","",IFERROR(INDEX('Équipements'!$K$5:$K$304,MATCH(D2919,'Équipements'!$A$5:$A$304,0)),""))</f>
        <v/>
      </c>
      <c r="H2919" s="7" t="n"/>
      <c r="I2919" s="7" t="n"/>
      <c r="J2919" s="7" t="n"/>
      <c r="K2919" s="7" t="n"/>
      <c r="L2919" s="7" t="n"/>
      <c r="M2919" s="7" t="n"/>
      <c r="N2919" s="7" t="n"/>
      <c r="O2919" s="7" t="n"/>
      <c r="P2919" s="65" t="n"/>
      <c r="Q2919" s="75" t="n"/>
      <c r="R2919" s="75" t="n"/>
      <c r="S2919" s="76" t="n"/>
      <c r="T2919" s="76" t="n"/>
      <c r="U2919" s="70">
        <f>IF($A2919="","",IFERROR(INDEX('Techniciens'!$F$5:$F$44,MATCH(O2919,'Techniciens'!$B$5:$B$44,0)),'Paramètres'!$AA$10))</f>
        <v/>
      </c>
      <c r="V2919" s="70">
        <f>IF($A2919="","",IF(OR(AC2919="Demandé",AC2919="Planifié",AC2919="Annulé"),0,N(T2919)*N(U2919)))</f>
        <v/>
      </c>
      <c r="W2919" s="70">
        <f>IF($A2919="","",SUMIFS('Mouvements stock'!$H$5:$H$3004,'Mouvements stock'!$I$5:$I$3004,$A2919,'Mouvements stock'!$C$5:$C$3004,"Sortie")-SUMIFS('Mouvements stock'!$H$5:$H$3004,'Mouvements stock'!$I$5:$I$3004,$A2919,'Mouvements stock'!$C$5:$C$3004,"Retour"))</f>
        <v/>
      </c>
      <c r="X2919" s="66" t="n"/>
      <c r="Y2919" s="66" t="n"/>
      <c r="Z2919" s="7" t="n"/>
      <c r="AA2919" s="70">
        <f>IF($A2919="","",N(V2919)+N(W2919)+N(X2919)+N(Y2919))</f>
        <v/>
      </c>
      <c r="AB2919" s="70">
        <f>IF($A2919="","",N(S2919)*'Paramètres'!$AA$9*IFERROR(INDEX('Paramètres'!$O$5:$O$7,MATCH(G2919,'Paramètres'!$N$5:$N$7,0)),0))</f>
        <v/>
      </c>
      <c r="AC2919" s="7" t="n"/>
      <c r="AD2919" s="69">
        <f>IF(OR($A2919="",Q2919=""),"",(Q2919-B2919)*24)</f>
        <v/>
      </c>
      <c r="AE2919" s="69">
        <f>IF(OR(Q2919="",R2919=""),"",(R2919-Q2919)*24)</f>
        <v/>
      </c>
      <c r="AF2919" s="77">
        <f>IF(OR($A2919="",B2919=""),"",YEAR(B2919))</f>
        <v/>
      </c>
      <c r="AG2919" s="77">
        <f>IF(OR($A2919="",B2919=""),"",MONTH(B2919))</f>
        <v/>
      </c>
    </row>
    <row r="2920">
      <c r="A2920" s="7" t="n"/>
      <c r="B2920" s="75" t="n"/>
      <c r="C2920" s="7" t="n"/>
      <c r="D2920" s="7" t="n"/>
      <c r="E2920" s="9">
        <f>IF(D2920="","",IFERROR(INDEX('Équipements'!$B$5:$B$304,MATCH(D2920,'Équipements'!$A$5:$A$304,0)),"Code inconnu"))</f>
        <v/>
      </c>
      <c r="F2920" s="9">
        <f>IF(D2920="","",IFERROR(INDEX('Équipements'!$D$5:$D$304,MATCH(D2920,'Équipements'!$A$5:$A$304,0)),""))</f>
        <v/>
      </c>
      <c r="G2920" s="9">
        <f>IF(D2920="","",IFERROR(INDEX('Équipements'!$K$5:$K$304,MATCH(D2920,'Équipements'!$A$5:$A$304,0)),""))</f>
        <v/>
      </c>
      <c r="H2920" s="7" t="n"/>
      <c r="I2920" s="7" t="n"/>
      <c r="J2920" s="7" t="n"/>
      <c r="K2920" s="7" t="n"/>
      <c r="L2920" s="7" t="n"/>
      <c r="M2920" s="7" t="n"/>
      <c r="N2920" s="7" t="n"/>
      <c r="O2920" s="7" t="n"/>
      <c r="P2920" s="65" t="n"/>
      <c r="Q2920" s="75" t="n"/>
      <c r="R2920" s="75" t="n"/>
      <c r="S2920" s="76" t="n"/>
      <c r="T2920" s="76" t="n"/>
      <c r="U2920" s="70">
        <f>IF($A2920="","",IFERROR(INDEX('Techniciens'!$F$5:$F$44,MATCH(O2920,'Techniciens'!$B$5:$B$44,0)),'Paramètres'!$AA$10))</f>
        <v/>
      </c>
      <c r="V2920" s="70">
        <f>IF($A2920="","",IF(OR(AC2920="Demandé",AC2920="Planifié",AC2920="Annulé"),0,N(T2920)*N(U2920)))</f>
        <v/>
      </c>
      <c r="W2920" s="70">
        <f>IF($A2920="","",SUMIFS('Mouvements stock'!$H$5:$H$3004,'Mouvements stock'!$I$5:$I$3004,$A2920,'Mouvements stock'!$C$5:$C$3004,"Sortie")-SUMIFS('Mouvements stock'!$H$5:$H$3004,'Mouvements stock'!$I$5:$I$3004,$A2920,'Mouvements stock'!$C$5:$C$3004,"Retour"))</f>
        <v/>
      </c>
      <c r="X2920" s="66" t="n"/>
      <c r="Y2920" s="66" t="n"/>
      <c r="Z2920" s="7" t="n"/>
      <c r="AA2920" s="70">
        <f>IF($A2920="","",N(V2920)+N(W2920)+N(X2920)+N(Y2920))</f>
        <v/>
      </c>
      <c r="AB2920" s="70">
        <f>IF($A2920="","",N(S2920)*'Paramètres'!$AA$9*IFERROR(INDEX('Paramètres'!$O$5:$O$7,MATCH(G2920,'Paramètres'!$N$5:$N$7,0)),0))</f>
        <v/>
      </c>
      <c r="AC2920" s="7" t="n"/>
      <c r="AD2920" s="69">
        <f>IF(OR($A2920="",Q2920=""),"",(Q2920-B2920)*24)</f>
        <v/>
      </c>
      <c r="AE2920" s="69">
        <f>IF(OR(Q2920="",R2920=""),"",(R2920-Q2920)*24)</f>
        <v/>
      </c>
      <c r="AF2920" s="77">
        <f>IF(OR($A2920="",B2920=""),"",YEAR(B2920))</f>
        <v/>
      </c>
      <c r="AG2920" s="77">
        <f>IF(OR($A2920="",B2920=""),"",MONTH(B2920))</f>
        <v/>
      </c>
    </row>
    <row r="2921">
      <c r="A2921" s="7" t="n"/>
      <c r="B2921" s="75" t="n"/>
      <c r="C2921" s="7" t="n"/>
      <c r="D2921" s="7" t="n"/>
      <c r="E2921" s="9">
        <f>IF(D2921="","",IFERROR(INDEX('Équipements'!$B$5:$B$304,MATCH(D2921,'Équipements'!$A$5:$A$304,0)),"Code inconnu"))</f>
        <v/>
      </c>
      <c r="F2921" s="9">
        <f>IF(D2921="","",IFERROR(INDEX('Équipements'!$D$5:$D$304,MATCH(D2921,'Équipements'!$A$5:$A$304,0)),""))</f>
        <v/>
      </c>
      <c r="G2921" s="9">
        <f>IF(D2921="","",IFERROR(INDEX('Équipements'!$K$5:$K$304,MATCH(D2921,'Équipements'!$A$5:$A$304,0)),""))</f>
        <v/>
      </c>
      <c r="H2921" s="7" t="n"/>
      <c r="I2921" s="7" t="n"/>
      <c r="J2921" s="7" t="n"/>
      <c r="K2921" s="7" t="n"/>
      <c r="L2921" s="7" t="n"/>
      <c r="M2921" s="7" t="n"/>
      <c r="N2921" s="7" t="n"/>
      <c r="O2921" s="7" t="n"/>
      <c r="P2921" s="65" t="n"/>
      <c r="Q2921" s="75" t="n"/>
      <c r="R2921" s="75" t="n"/>
      <c r="S2921" s="76" t="n"/>
      <c r="T2921" s="76" t="n"/>
      <c r="U2921" s="70">
        <f>IF($A2921="","",IFERROR(INDEX('Techniciens'!$F$5:$F$44,MATCH(O2921,'Techniciens'!$B$5:$B$44,0)),'Paramètres'!$AA$10))</f>
        <v/>
      </c>
      <c r="V2921" s="70">
        <f>IF($A2921="","",IF(OR(AC2921="Demandé",AC2921="Planifié",AC2921="Annulé"),0,N(T2921)*N(U2921)))</f>
        <v/>
      </c>
      <c r="W2921" s="70">
        <f>IF($A2921="","",SUMIFS('Mouvements stock'!$H$5:$H$3004,'Mouvements stock'!$I$5:$I$3004,$A2921,'Mouvements stock'!$C$5:$C$3004,"Sortie")-SUMIFS('Mouvements stock'!$H$5:$H$3004,'Mouvements stock'!$I$5:$I$3004,$A2921,'Mouvements stock'!$C$5:$C$3004,"Retour"))</f>
        <v/>
      </c>
      <c r="X2921" s="66" t="n"/>
      <c r="Y2921" s="66" t="n"/>
      <c r="Z2921" s="7" t="n"/>
      <c r="AA2921" s="70">
        <f>IF($A2921="","",N(V2921)+N(W2921)+N(X2921)+N(Y2921))</f>
        <v/>
      </c>
      <c r="AB2921" s="70">
        <f>IF($A2921="","",N(S2921)*'Paramètres'!$AA$9*IFERROR(INDEX('Paramètres'!$O$5:$O$7,MATCH(G2921,'Paramètres'!$N$5:$N$7,0)),0))</f>
        <v/>
      </c>
      <c r="AC2921" s="7" t="n"/>
      <c r="AD2921" s="69">
        <f>IF(OR($A2921="",Q2921=""),"",(Q2921-B2921)*24)</f>
        <v/>
      </c>
      <c r="AE2921" s="69">
        <f>IF(OR(Q2921="",R2921=""),"",(R2921-Q2921)*24)</f>
        <v/>
      </c>
      <c r="AF2921" s="77">
        <f>IF(OR($A2921="",B2921=""),"",YEAR(B2921))</f>
        <v/>
      </c>
      <c r="AG2921" s="77">
        <f>IF(OR($A2921="",B2921=""),"",MONTH(B2921))</f>
        <v/>
      </c>
    </row>
    <row r="2922">
      <c r="A2922" s="7" t="n"/>
      <c r="B2922" s="75" t="n"/>
      <c r="C2922" s="7" t="n"/>
      <c r="D2922" s="7" t="n"/>
      <c r="E2922" s="9">
        <f>IF(D2922="","",IFERROR(INDEX('Équipements'!$B$5:$B$304,MATCH(D2922,'Équipements'!$A$5:$A$304,0)),"Code inconnu"))</f>
        <v/>
      </c>
      <c r="F2922" s="9">
        <f>IF(D2922="","",IFERROR(INDEX('Équipements'!$D$5:$D$304,MATCH(D2922,'Équipements'!$A$5:$A$304,0)),""))</f>
        <v/>
      </c>
      <c r="G2922" s="9">
        <f>IF(D2922="","",IFERROR(INDEX('Équipements'!$K$5:$K$304,MATCH(D2922,'Équipements'!$A$5:$A$304,0)),""))</f>
        <v/>
      </c>
      <c r="H2922" s="7" t="n"/>
      <c r="I2922" s="7" t="n"/>
      <c r="J2922" s="7" t="n"/>
      <c r="K2922" s="7" t="n"/>
      <c r="L2922" s="7" t="n"/>
      <c r="M2922" s="7" t="n"/>
      <c r="N2922" s="7" t="n"/>
      <c r="O2922" s="7" t="n"/>
      <c r="P2922" s="65" t="n"/>
      <c r="Q2922" s="75" t="n"/>
      <c r="R2922" s="75" t="n"/>
      <c r="S2922" s="76" t="n"/>
      <c r="T2922" s="76" t="n"/>
      <c r="U2922" s="70">
        <f>IF($A2922="","",IFERROR(INDEX('Techniciens'!$F$5:$F$44,MATCH(O2922,'Techniciens'!$B$5:$B$44,0)),'Paramètres'!$AA$10))</f>
        <v/>
      </c>
      <c r="V2922" s="70">
        <f>IF($A2922="","",IF(OR(AC2922="Demandé",AC2922="Planifié",AC2922="Annulé"),0,N(T2922)*N(U2922)))</f>
        <v/>
      </c>
      <c r="W2922" s="70">
        <f>IF($A2922="","",SUMIFS('Mouvements stock'!$H$5:$H$3004,'Mouvements stock'!$I$5:$I$3004,$A2922,'Mouvements stock'!$C$5:$C$3004,"Sortie")-SUMIFS('Mouvements stock'!$H$5:$H$3004,'Mouvements stock'!$I$5:$I$3004,$A2922,'Mouvements stock'!$C$5:$C$3004,"Retour"))</f>
        <v/>
      </c>
      <c r="X2922" s="66" t="n"/>
      <c r="Y2922" s="66" t="n"/>
      <c r="Z2922" s="7" t="n"/>
      <c r="AA2922" s="70">
        <f>IF($A2922="","",N(V2922)+N(W2922)+N(X2922)+N(Y2922))</f>
        <v/>
      </c>
      <c r="AB2922" s="70">
        <f>IF($A2922="","",N(S2922)*'Paramètres'!$AA$9*IFERROR(INDEX('Paramètres'!$O$5:$O$7,MATCH(G2922,'Paramètres'!$N$5:$N$7,0)),0))</f>
        <v/>
      </c>
      <c r="AC2922" s="7" t="n"/>
      <c r="AD2922" s="69">
        <f>IF(OR($A2922="",Q2922=""),"",(Q2922-B2922)*24)</f>
        <v/>
      </c>
      <c r="AE2922" s="69">
        <f>IF(OR(Q2922="",R2922=""),"",(R2922-Q2922)*24)</f>
        <v/>
      </c>
      <c r="AF2922" s="77">
        <f>IF(OR($A2922="",B2922=""),"",YEAR(B2922))</f>
        <v/>
      </c>
      <c r="AG2922" s="77">
        <f>IF(OR($A2922="",B2922=""),"",MONTH(B2922))</f>
        <v/>
      </c>
    </row>
    <row r="2923">
      <c r="A2923" s="7" t="n"/>
      <c r="B2923" s="75" t="n"/>
      <c r="C2923" s="7" t="n"/>
      <c r="D2923" s="7" t="n"/>
      <c r="E2923" s="9">
        <f>IF(D2923="","",IFERROR(INDEX('Équipements'!$B$5:$B$304,MATCH(D2923,'Équipements'!$A$5:$A$304,0)),"Code inconnu"))</f>
        <v/>
      </c>
      <c r="F2923" s="9">
        <f>IF(D2923="","",IFERROR(INDEX('Équipements'!$D$5:$D$304,MATCH(D2923,'Équipements'!$A$5:$A$304,0)),""))</f>
        <v/>
      </c>
      <c r="G2923" s="9">
        <f>IF(D2923="","",IFERROR(INDEX('Équipements'!$K$5:$K$304,MATCH(D2923,'Équipements'!$A$5:$A$304,0)),""))</f>
        <v/>
      </c>
      <c r="H2923" s="7" t="n"/>
      <c r="I2923" s="7" t="n"/>
      <c r="J2923" s="7" t="n"/>
      <c r="K2923" s="7" t="n"/>
      <c r="L2923" s="7" t="n"/>
      <c r="M2923" s="7" t="n"/>
      <c r="N2923" s="7" t="n"/>
      <c r="O2923" s="7" t="n"/>
      <c r="P2923" s="65" t="n"/>
      <c r="Q2923" s="75" t="n"/>
      <c r="R2923" s="75" t="n"/>
      <c r="S2923" s="76" t="n"/>
      <c r="T2923" s="76" t="n"/>
      <c r="U2923" s="70">
        <f>IF($A2923="","",IFERROR(INDEX('Techniciens'!$F$5:$F$44,MATCH(O2923,'Techniciens'!$B$5:$B$44,0)),'Paramètres'!$AA$10))</f>
        <v/>
      </c>
      <c r="V2923" s="70">
        <f>IF($A2923="","",IF(OR(AC2923="Demandé",AC2923="Planifié",AC2923="Annulé"),0,N(T2923)*N(U2923)))</f>
        <v/>
      </c>
      <c r="W2923" s="70">
        <f>IF($A2923="","",SUMIFS('Mouvements stock'!$H$5:$H$3004,'Mouvements stock'!$I$5:$I$3004,$A2923,'Mouvements stock'!$C$5:$C$3004,"Sortie")-SUMIFS('Mouvements stock'!$H$5:$H$3004,'Mouvements stock'!$I$5:$I$3004,$A2923,'Mouvements stock'!$C$5:$C$3004,"Retour"))</f>
        <v/>
      </c>
      <c r="X2923" s="66" t="n"/>
      <c r="Y2923" s="66" t="n"/>
      <c r="Z2923" s="7" t="n"/>
      <c r="AA2923" s="70">
        <f>IF($A2923="","",N(V2923)+N(W2923)+N(X2923)+N(Y2923))</f>
        <v/>
      </c>
      <c r="AB2923" s="70">
        <f>IF($A2923="","",N(S2923)*'Paramètres'!$AA$9*IFERROR(INDEX('Paramètres'!$O$5:$O$7,MATCH(G2923,'Paramètres'!$N$5:$N$7,0)),0))</f>
        <v/>
      </c>
      <c r="AC2923" s="7" t="n"/>
      <c r="AD2923" s="69">
        <f>IF(OR($A2923="",Q2923=""),"",(Q2923-B2923)*24)</f>
        <v/>
      </c>
      <c r="AE2923" s="69">
        <f>IF(OR(Q2923="",R2923=""),"",(R2923-Q2923)*24)</f>
        <v/>
      </c>
      <c r="AF2923" s="77">
        <f>IF(OR($A2923="",B2923=""),"",YEAR(B2923))</f>
        <v/>
      </c>
      <c r="AG2923" s="77">
        <f>IF(OR($A2923="",B2923=""),"",MONTH(B2923))</f>
        <v/>
      </c>
    </row>
    <row r="2924">
      <c r="A2924" s="7" t="n"/>
      <c r="B2924" s="75" t="n"/>
      <c r="C2924" s="7" t="n"/>
      <c r="D2924" s="7" t="n"/>
      <c r="E2924" s="9">
        <f>IF(D2924="","",IFERROR(INDEX('Équipements'!$B$5:$B$304,MATCH(D2924,'Équipements'!$A$5:$A$304,0)),"Code inconnu"))</f>
        <v/>
      </c>
      <c r="F2924" s="9">
        <f>IF(D2924="","",IFERROR(INDEX('Équipements'!$D$5:$D$304,MATCH(D2924,'Équipements'!$A$5:$A$304,0)),""))</f>
        <v/>
      </c>
      <c r="G2924" s="9">
        <f>IF(D2924="","",IFERROR(INDEX('Équipements'!$K$5:$K$304,MATCH(D2924,'Équipements'!$A$5:$A$304,0)),""))</f>
        <v/>
      </c>
      <c r="H2924" s="7" t="n"/>
      <c r="I2924" s="7" t="n"/>
      <c r="J2924" s="7" t="n"/>
      <c r="K2924" s="7" t="n"/>
      <c r="L2924" s="7" t="n"/>
      <c r="M2924" s="7" t="n"/>
      <c r="N2924" s="7" t="n"/>
      <c r="O2924" s="7" t="n"/>
      <c r="P2924" s="65" t="n"/>
      <c r="Q2924" s="75" t="n"/>
      <c r="R2924" s="75" t="n"/>
      <c r="S2924" s="76" t="n"/>
      <c r="T2924" s="76" t="n"/>
      <c r="U2924" s="70">
        <f>IF($A2924="","",IFERROR(INDEX('Techniciens'!$F$5:$F$44,MATCH(O2924,'Techniciens'!$B$5:$B$44,0)),'Paramètres'!$AA$10))</f>
        <v/>
      </c>
      <c r="V2924" s="70">
        <f>IF($A2924="","",IF(OR(AC2924="Demandé",AC2924="Planifié",AC2924="Annulé"),0,N(T2924)*N(U2924)))</f>
        <v/>
      </c>
      <c r="W2924" s="70">
        <f>IF($A2924="","",SUMIFS('Mouvements stock'!$H$5:$H$3004,'Mouvements stock'!$I$5:$I$3004,$A2924,'Mouvements stock'!$C$5:$C$3004,"Sortie")-SUMIFS('Mouvements stock'!$H$5:$H$3004,'Mouvements stock'!$I$5:$I$3004,$A2924,'Mouvements stock'!$C$5:$C$3004,"Retour"))</f>
        <v/>
      </c>
      <c r="X2924" s="66" t="n"/>
      <c r="Y2924" s="66" t="n"/>
      <c r="Z2924" s="7" t="n"/>
      <c r="AA2924" s="70">
        <f>IF($A2924="","",N(V2924)+N(W2924)+N(X2924)+N(Y2924))</f>
        <v/>
      </c>
      <c r="AB2924" s="70">
        <f>IF($A2924="","",N(S2924)*'Paramètres'!$AA$9*IFERROR(INDEX('Paramètres'!$O$5:$O$7,MATCH(G2924,'Paramètres'!$N$5:$N$7,0)),0))</f>
        <v/>
      </c>
      <c r="AC2924" s="7" t="n"/>
      <c r="AD2924" s="69">
        <f>IF(OR($A2924="",Q2924=""),"",(Q2924-B2924)*24)</f>
        <v/>
      </c>
      <c r="AE2924" s="69">
        <f>IF(OR(Q2924="",R2924=""),"",(R2924-Q2924)*24)</f>
        <v/>
      </c>
      <c r="AF2924" s="77">
        <f>IF(OR($A2924="",B2924=""),"",YEAR(B2924))</f>
        <v/>
      </c>
      <c r="AG2924" s="77">
        <f>IF(OR($A2924="",B2924=""),"",MONTH(B2924))</f>
        <v/>
      </c>
    </row>
    <row r="2925">
      <c r="A2925" s="7" t="n"/>
      <c r="B2925" s="75" t="n"/>
      <c r="C2925" s="7" t="n"/>
      <c r="D2925" s="7" t="n"/>
      <c r="E2925" s="9">
        <f>IF(D2925="","",IFERROR(INDEX('Équipements'!$B$5:$B$304,MATCH(D2925,'Équipements'!$A$5:$A$304,0)),"Code inconnu"))</f>
        <v/>
      </c>
      <c r="F2925" s="9">
        <f>IF(D2925="","",IFERROR(INDEX('Équipements'!$D$5:$D$304,MATCH(D2925,'Équipements'!$A$5:$A$304,0)),""))</f>
        <v/>
      </c>
      <c r="G2925" s="9">
        <f>IF(D2925="","",IFERROR(INDEX('Équipements'!$K$5:$K$304,MATCH(D2925,'Équipements'!$A$5:$A$304,0)),""))</f>
        <v/>
      </c>
      <c r="H2925" s="7" t="n"/>
      <c r="I2925" s="7" t="n"/>
      <c r="J2925" s="7" t="n"/>
      <c r="K2925" s="7" t="n"/>
      <c r="L2925" s="7" t="n"/>
      <c r="M2925" s="7" t="n"/>
      <c r="N2925" s="7" t="n"/>
      <c r="O2925" s="7" t="n"/>
      <c r="P2925" s="65" t="n"/>
      <c r="Q2925" s="75" t="n"/>
      <c r="R2925" s="75" t="n"/>
      <c r="S2925" s="76" t="n"/>
      <c r="T2925" s="76" t="n"/>
      <c r="U2925" s="70">
        <f>IF($A2925="","",IFERROR(INDEX('Techniciens'!$F$5:$F$44,MATCH(O2925,'Techniciens'!$B$5:$B$44,0)),'Paramètres'!$AA$10))</f>
        <v/>
      </c>
      <c r="V2925" s="70">
        <f>IF($A2925="","",IF(OR(AC2925="Demandé",AC2925="Planifié",AC2925="Annulé"),0,N(T2925)*N(U2925)))</f>
        <v/>
      </c>
      <c r="W2925" s="70">
        <f>IF($A2925="","",SUMIFS('Mouvements stock'!$H$5:$H$3004,'Mouvements stock'!$I$5:$I$3004,$A2925,'Mouvements stock'!$C$5:$C$3004,"Sortie")-SUMIFS('Mouvements stock'!$H$5:$H$3004,'Mouvements stock'!$I$5:$I$3004,$A2925,'Mouvements stock'!$C$5:$C$3004,"Retour"))</f>
        <v/>
      </c>
      <c r="X2925" s="66" t="n"/>
      <c r="Y2925" s="66" t="n"/>
      <c r="Z2925" s="7" t="n"/>
      <c r="AA2925" s="70">
        <f>IF($A2925="","",N(V2925)+N(W2925)+N(X2925)+N(Y2925))</f>
        <v/>
      </c>
      <c r="AB2925" s="70">
        <f>IF($A2925="","",N(S2925)*'Paramètres'!$AA$9*IFERROR(INDEX('Paramètres'!$O$5:$O$7,MATCH(G2925,'Paramètres'!$N$5:$N$7,0)),0))</f>
        <v/>
      </c>
      <c r="AC2925" s="7" t="n"/>
      <c r="AD2925" s="69">
        <f>IF(OR($A2925="",Q2925=""),"",(Q2925-B2925)*24)</f>
        <v/>
      </c>
      <c r="AE2925" s="69">
        <f>IF(OR(Q2925="",R2925=""),"",(R2925-Q2925)*24)</f>
        <v/>
      </c>
      <c r="AF2925" s="77">
        <f>IF(OR($A2925="",B2925=""),"",YEAR(B2925))</f>
        <v/>
      </c>
      <c r="AG2925" s="77">
        <f>IF(OR($A2925="",B2925=""),"",MONTH(B2925))</f>
        <v/>
      </c>
    </row>
    <row r="2926">
      <c r="A2926" s="7" t="n"/>
      <c r="B2926" s="75" t="n"/>
      <c r="C2926" s="7" t="n"/>
      <c r="D2926" s="7" t="n"/>
      <c r="E2926" s="9">
        <f>IF(D2926="","",IFERROR(INDEX('Équipements'!$B$5:$B$304,MATCH(D2926,'Équipements'!$A$5:$A$304,0)),"Code inconnu"))</f>
        <v/>
      </c>
      <c r="F2926" s="9">
        <f>IF(D2926="","",IFERROR(INDEX('Équipements'!$D$5:$D$304,MATCH(D2926,'Équipements'!$A$5:$A$304,0)),""))</f>
        <v/>
      </c>
      <c r="G2926" s="9">
        <f>IF(D2926="","",IFERROR(INDEX('Équipements'!$K$5:$K$304,MATCH(D2926,'Équipements'!$A$5:$A$304,0)),""))</f>
        <v/>
      </c>
      <c r="H2926" s="7" t="n"/>
      <c r="I2926" s="7" t="n"/>
      <c r="J2926" s="7" t="n"/>
      <c r="K2926" s="7" t="n"/>
      <c r="L2926" s="7" t="n"/>
      <c r="M2926" s="7" t="n"/>
      <c r="N2926" s="7" t="n"/>
      <c r="O2926" s="7" t="n"/>
      <c r="P2926" s="65" t="n"/>
      <c r="Q2926" s="75" t="n"/>
      <c r="R2926" s="75" t="n"/>
      <c r="S2926" s="76" t="n"/>
      <c r="T2926" s="76" t="n"/>
      <c r="U2926" s="70">
        <f>IF($A2926="","",IFERROR(INDEX('Techniciens'!$F$5:$F$44,MATCH(O2926,'Techniciens'!$B$5:$B$44,0)),'Paramètres'!$AA$10))</f>
        <v/>
      </c>
      <c r="V2926" s="70">
        <f>IF($A2926="","",IF(OR(AC2926="Demandé",AC2926="Planifié",AC2926="Annulé"),0,N(T2926)*N(U2926)))</f>
        <v/>
      </c>
      <c r="W2926" s="70">
        <f>IF($A2926="","",SUMIFS('Mouvements stock'!$H$5:$H$3004,'Mouvements stock'!$I$5:$I$3004,$A2926,'Mouvements stock'!$C$5:$C$3004,"Sortie")-SUMIFS('Mouvements stock'!$H$5:$H$3004,'Mouvements stock'!$I$5:$I$3004,$A2926,'Mouvements stock'!$C$5:$C$3004,"Retour"))</f>
        <v/>
      </c>
      <c r="X2926" s="66" t="n"/>
      <c r="Y2926" s="66" t="n"/>
      <c r="Z2926" s="7" t="n"/>
      <c r="AA2926" s="70">
        <f>IF($A2926="","",N(V2926)+N(W2926)+N(X2926)+N(Y2926))</f>
        <v/>
      </c>
      <c r="AB2926" s="70">
        <f>IF($A2926="","",N(S2926)*'Paramètres'!$AA$9*IFERROR(INDEX('Paramètres'!$O$5:$O$7,MATCH(G2926,'Paramètres'!$N$5:$N$7,0)),0))</f>
        <v/>
      </c>
      <c r="AC2926" s="7" t="n"/>
      <c r="AD2926" s="69">
        <f>IF(OR($A2926="",Q2926=""),"",(Q2926-B2926)*24)</f>
        <v/>
      </c>
      <c r="AE2926" s="69">
        <f>IF(OR(Q2926="",R2926=""),"",(R2926-Q2926)*24)</f>
        <v/>
      </c>
      <c r="AF2926" s="77">
        <f>IF(OR($A2926="",B2926=""),"",YEAR(B2926))</f>
        <v/>
      </c>
      <c r="AG2926" s="77">
        <f>IF(OR($A2926="",B2926=""),"",MONTH(B2926))</f>
        <v/>
      </c>
    </row>
    <row r="2927">
      <c r="A2927" s="7" t="n"/>
      <c r="B2927" s="75" t="n"/>
      <c r="C2927" s="7" t="n"/>
      <c r="D2927" s="7" t="n"/>
      <c r="E2927" s="9">
        <f>IF(D2927="","",IFERROR(INDEX('Équipements'!$B$5:$B$304,MATCH(D2927,'Équipements'!$A$5:$A$304,0)),"Code inconnu"))</f>
        <v/>
      </c>
      <c r="F2927" s="9">
        <f>IF(D2927="","",IFERROR(INDEX('Équipements'!$D$5:$D$304,MATCH(D2927,'Équipements'!$A$5:$A$304,0)),""))</f>
        <v/>
      </c>
      <c r="G2927" s="9">
        <f>IF(D2927="","",IFERROR(INDEX('Équipements'!$K$5:$K$304,MATCH(D2927,'Équipements'!$A$5:$A$304,0)),""))</f>
        <v/>
      </c>
      <c r="H2927" s="7" t="n"/>
      <c r="I2927" s="7" t="n"/>
      <c r="J2927" s="7" t="n"/>
      <c r="K2927" s="7" t="n"/>
      <c r="L2927" s="7" t="n"/>
      <c r="M2927" s="7" t="n"/>
      <c r="N2927" s="7" t="n"/>
      <c r="O2927" s="7" t="n"/>
      <c r="P2927" s="65" t="n"/>
      <c r="Q2927" s="75" t="n"/>
      <c r="R2927" s="75" t="n"/>
      <c r="S2927" s="76" t="n"/>
      <c r="T2927" s="76" t="n"/>
      <c r="U2927" s="70">
        <f>IF($A2927="","",IFERROR(INDEX('Techniciens'!$F$5:$F$44,MATCH(O2927,'Techniciens'!$B$5:$B$44,0)),'Paramètres'!$AA$10))</f>
        <v/>
      </c>
      <c r="V2927" s="70">
        <f>IF($A2927="","",IF(OR(AC2927="Demandé",AC2927="Planifié",AC2927="Annulé"),0,N(T2927)*N(U2927)))</f>
        <v/>
      </c>
      <c r="W2927" s="70">
        <f>IF($A2927="","",SUMIFS('Mouvements stock'!$H$5:$H$3004,'Mouvements stock'!$I$5:$I$3004,$A2927,'Mouvements stock'!$C$5:$C$3004,"Sortie")-SUMIFS('Mouvements stock'!$H$5:$H$3004,'Mouvements stock'!$I$5:$I$3004,$A2927,'Mouvements stock'!$C$5:$C$3004,"Retour"))</f>
        <v/>
      </c>
      <c r="X2927" s="66" t="n"/>
      <c r="Y2927" s="66" t="n"/>
      <c r="Z2927" s="7" t="n"/>
      <c r="AA2927" s="70">
        <f>IF($A2927="","",N(V2927)+N(W2927)+N(X2927)+N(Y2927))</f>
        <v/>
      </c>
      <c r="AB2927" s="70">
        <f>IF($A2927="","",N(S2927)*'Paramètres'!$AA$9*IFERROR(INDEX('Paramètres'!$O$5:$O$7,MATCH(G2927,'Paramètres'!$N$5:$N$7,0)),0))</f>
        <v/>
      </c>
      <c r="AC2927" s="7" t="n"/>
      <c r="AD2927" s="69">
        <f>IF(OR($A2927="",Q2927=""),"",(Q2927-B2927)*24)</f>
        <v/>
      </c>
      <c r="AE2927" s="69">
        <f>IF(OR(Q2927="",R2927=""),"",(R2927-Q2927)*24)</f>
        <v/>
      </c>
      <c r="AF2927" s="77">
        <f>IF(OR($A2927="",B2927=""),"",YEAR(B2927))</f>
        <v/>
      </c>
      <c r="AG2927" s="77">
        <f>IF(OR($A2927="",B2927=""),"",MONTH(B2927))</f>
        <v/>
      </c>
    </row>
    <row r="2928">
      <c r="A2928" s="7" t="n"/>
      <c r="B2928" s="75" t="n"/>
      <c r="C2928" s="7" t="n"/>
      <c r="D2928" s="7" t="n"/>
      <c r="E2928" s="9">
        <f>IF(D2928="","",IFERROR(INDEX('Équipements'!$B$5:$B$304,MATCH(D2928,'Équipements'!$A$5:$A$304,0)),"Code inconnu"))</f>
        <v/>
      </c>
      <c r="F2928" s="9">
        <f>IF(D2928="","",IFERROR(INDEX('Équipements'!$D$5:$D$304,MATCH(D2928,'Équipements'!$A$5:$A$304,0)),""))</f>
        <v/>
      </c>
      <c r="G2928" s="9">
        <f>IF(D2928="","",IFERROR(INDEX('Équipements'!$K$5:$K$304,MATCH(D2928,'Équipements'!$A$5:$A$304,0)),""))</f>
        <v/>
      </c>
      <c r="H2928" s="7" t="n"/>
      <c r="I2928" s="7" t="n"/>
      <c r="J2928" s="7" t="n"/>
      <c r="K2928" s="7" t="n"/>
      <c r="L2928" s="7" t="n"/>
      <c r="M2928" s="7" t="n"/>
      <c r="N2928" s="7" t="n"/>
      <c r="O2928" s="7" t="n"/>
      <c r="P2928" s="65" t="n"/>
      <c r="Q2928" s="75" t="n"/>
      <c r="R2928" s="75" t="n"/>
      <c r="S2928" s="76" t="n"/>
      <c r="T2928" s="76" t="n"/>
      <c r="U2928" s="70">
        <f>IF($A2928="","",IFERROR(INDEX('Techniciens'!$F$5:$F$44,MATCH(O2928,'Techniciens'!$B$5:$B$44,0)),'Paramètres'!$AA$10))</f>
        <v/>
      </c>
      <c r="V2928" s="70">
        <f>IF($A2928="","",IF(OR(AC2928="Demandé",AC2928="Planifié",AC2928="Annulé"),0,N(T2928)*N(U2928)))</f>
        <v/>
      </c>
      <c r="W2928" s="70">
        <f>IF($A2928="","",SUMIFS('Mouvements stock'!$H$5:$H$3004,'Mouvements stock'!$I$5:$I$3004,$A2928,'Mouvements stock'!$C$5:$C$3004,"Sortie")-SUMIFS('Mouvements stock'!$H$5:$H$3004,'Mouvements stock'!$I$5:$I$3004,$A2928,'Mouvements stock'!$C$5:$C$3004,"Retour"))</f>
        <v/>
      </c>
      <c r="X2928" s="66" t="n"/>
      <c r="Y2928" s="66" t="n"/>
      <c r="Z2928" s="7" t="n"/>
      <c r="AA2928" s="70">
        <f>IF($A2928="","",N(V2928)+N(W2928)+N(X2928)+N(Y2928))</f>
        <v/>
      </c>
      <c r="AB2928" s="70">
        <f>IF($A2928="","",N(S2928)*'Paramètres'!$AA$9*IFERROR(INDEX('Paramètres'!$O$5:$O$7,MATCH(G2928,'Paramètres'!$N$5:$N$7,0)),0))</f>
        <v/>
      </c>
      <c r="AC2928" s="7" t="n"/>
      <c r="AD2928" s="69">
        <f>IF(OR($A2928="",Q2928=""),"",(Q2928-B2928)*24)</f>
        <v/>
      </c>
      <c r="AE2928" s="69">
        <f>IF(OR(Q2928="",R2928=""),"",(R2928-Q2928)*24)</f>
        <v/>
      </c>
      <c r="AF2928" s="77">
        <f>IF(OR($A2928="",B2928=""),"",YEAR(B2928))</f>
        <v/>
      </c>
      <c r="AG2928" s="77">
        <f>IF(OR($A2928="",B2928=""),"",MONTH(B2928))</f>
        <v/>
      </c>
    </row>
    <row r="2929">
      <c r="A2929" s="7" t="n"/>
      <c r="B2929" s="75" t="n"/>
      <c r="C2929" s="7" t="n"/>
      <c r="D2929" s="7" t="n"/>
      <c r="E2929" s="9">
        <f>IF(D2929="","",IFERROR(INDEX('Équipements'!$B$5:$B$304,MATCH(D2929,'Équipements'!$A$5:$A$304,0)),"Code inconnu"))</f>
        <v/>
      </c>
      <c r="F2929" s="9">
        <f>IF(D2929="","",IFERROR(INDEX('Équipements'!$D$5:$D$304,MATCH(D2929,'Équipements'!$A$5:$A$304,0)),""))</f>
        <v/>
      </c>
      <c r="G2929" s="9">
        <f>IF(D2929="","",IFERROR(INDEX('Équipements'!$K$5:$K$304,MATCH(D2929,'Équipements'!$A$5:$A$304,0)),""))</f>
        <v/>
      </c>
      <c r="H2929" s="7" t="n"/>
      <c r="I2929" s="7" t="n"/>
      <c r="J2929" s="7" t="n"/>
      <c r="K2929" s="7" t="n"/>
      <c r="L2929" s="7" t="n"/>
      <c r="M2929" s="7" t="n"/>
      <c r="N2929" s="7" t="n"/>
      <c r="O2929" s="7" t="n"/>
      <c r="P2929" s="65" t="n"/>
      <c r="Q2929" s="75" t="n"/>
      <c r="R2929" s="75" t="n"/>
      <c r="S2929" s="76" t="n"/>
      <c r="T2929" s="76" t="n"/>
      <c r="U2929" s="70">
        <f>IF($A2929="","",IFERROR(INDEX('Techniciens'!$F$5:$F$44,MATCH(O2929,'Techniciens'!$B$5:$B$44,0)),'Paramètres'!$AA$10))</f>
        <v/>
      </c>
      <c r="V2929" s="70">
        <f>IF($A2929="","",IF(OR(AC2929="Demandé",AC2929="Planifié",AC2929="Annulé"),0,N(T2929)*N(U2929)))</f>
        <v/>
      </c>
      <c r="W2929" s="70">
        <f>IF($A2929="","",SUMIFS('Mouvements stock'!$H$5:$H$3004,'Mouvements stock'!$I$5:$I$3004,$A2929,'Mouvements stock'!$C$5:$C$3004,"Sortie")-SUMIFS('Mouvements stock'!$H$5:$H$3004,'Mouvements stock'!$I$5:$I$3004,$A2929,'Mouvements stock'!$C$5:$C$3004,"Retour"))</f>
        <v/>
      </c>
      <c r="X2929" s="66" t="n"/>
      <c r="Y2929" s="66" t="n"/>
      <c r="Z2929" s="7" t="n"/>
      <c r="AA2929" s="70">
        <f>IF($A2929="","",N(V2929)+N(W2929)+N(X2929)+N(Y2929))</f>
        <v/>
      </c>
      <c r="AB2929" s="70">
        <f>IF($A2929="","",N(S2929)*'Paramètres'!$AA$9*IFERROR(INDEX('Paramètres'!$O$5:$O$7,MATCH(G2929,'Paramètres'!$N$5:$N$7,0)),0))</f>
        <v/>
      </c>
      <c r="AC2929" s="7" t="n"/>
      <c r="AD2929" s="69">
        <f>IF(OR($A2929="",Q2929=""),"",(Q2929-B2929)*24)</f>
        <v/>
      </c>
      <c r="AE2929" s="69">
        <f>IF(OR(Q2929="",R2929=""),"",(R2929-Q2929)*24)</f>
        <v/>
      </c>
      <c r="AF2929" s="77">
        <f>IF(OR($A2929="",B2929=""),"",YEAR(B2929))</f>
        <v/>
      </c>
      <c r="AG2929" s="77">
        <f>IF(OR($A2929="",B2929=""),"",MONTH(B2929))</f>
        <v/>
      </c>
    </row>
    <row r="2930">
      <c r="A2930" s="7" t="n"/>
      <c r="B2930" s="75" t="n"/>
      <c r="C2930" s="7" t="n"/>
      <c r="D2930" s="7" t="n"/>
      <c r="E2930" s="9">
        <f>IF(D2930="","",IFERROR(INDEX('Équipements'!$B$5:$B$304,MATCH(D2930,'Équipements'!$A$5:$A$304,0)),"Code inconnu"))</f>
        <v/>
      </c>
      <c r="F2930" s="9">
        <f>IF(D2930="","",IFERROR(INDEX('Équipements'!$D$5:$D$304,MATCH(D2930,'Équipements'!$A$5:$A$304,0)),""))</f>
        <v/>
      </c>
      <c r="G2930" s="9">
        <f>IF(D2930="","",IFERROR(INDEX('Équipements'!$K$5:$K$304,MATCH(D2930,'Équipements'!$A$5:$A$304,0)),""))</f>
        <v/>
      </c>
      <c r="H2930" s="7" t="n"/>
      <c r="I2930" s="7" t="n"/>
      <c r="J2930" s="7" t="n"/>
      <c r="K2930" s="7" t="n"/>
      <c r="L2930" s="7" t="n"/>
      <c r="M2930" s="7" t="n"/>
      <c r="N2930" s="7" t="n"/>
      <c r="O2930" s="7" t="n"/>
      <c r="P2930" s="65" t="n"/>
      <c r="Q2930" s="75" t="n"/>
      <c r="R2930" s="75" t="n"/>
      <c r="S2930" s="76" t="n"/>
      <c r="T2930" s="76" t="n"/>
      <c r="U2930" s="70">
        <f>IF($A2930="","",IFERROR(INDEX('Techniciens'!$F$5:$F$44,MATCH(O2930,'Techniciens'!$B$5:$B$44,0)),'Paramètres'!$AA$10))</f>
        <v/>
      </c>
      <c r="V2930" s="70">
        <f>IF($A2930="","",IF(OR(AC2930="Demandé",AC2930="Planifié",AC2930="Annulé"),0,N(T2930)*N(U2930)))</f>
        <v/>
      </c>
      <c r="W2930" s="70">
        <f>IF($A2930="","",SUMIFS('Mouvements stock'!$H$5:$H$3004,'Mouvements stock'!$I$5:$I$3004,$A2930,'Mouvements stock'!$C$5:$C$3004,"Sortie")-SUMIFS('Mouvements stock'!$H$5:$H$3004,'Mouvements stock'!$I$5:$I$3004,$A2930,'Mouvements stock'!$C$5:$C$3004,"Retour"))</f>
        <v/>
      </c>
      <c r="X2930" s="66" t="n"/>
      <c r="Y2930" s="66" t="n"/>
      <c r="Z2930" s="7" t="n"/>
      <c r="AA2930" s="70">
        <f>IF($A2930="","",N(V2930)+N(W2930)+N(X2930)+N(Y2930))</f>
        <v/>
      </c>
      <c r="AB2930" s="70">
        <f>IF($A2930="","",N(S2930)*'Paramètres'!$AA$9*IFERROR(INDEX('Paramètres'!$O$5:$O$7,MATCH(G2930,'Paramètres'!$N$5:$N$7,0)),0))</f>
        <v/>
      </c>
      <c r="AC2930" s="7" t="n"/>
      <c r="AD2930" s="69">
        <f>IF(OR($A2930="",Q2930=""),"",(Q2930-B2930)*24)</f>
        <v/>
      </c>
      <c r="AE2930" s="69">
        <f>IF(OR(Q2930="",R2930=""),"",(R2930-Q2930)*24)</f>
        <v/>
      </c>
      <c r="AF2930" s="77">
        <f>IF(OR($A2930="",B2930=""),"",YEAR(B2930))</f>
        <v/>
      </c>
      <c r="AG2930" s="77">
        <f>IF(OR($A2930="",B2930=""),"",MONTH(B2930))</f>
        <v/>
      </c>
    </row>
    <row r="2931">
      <c r="A2931" s="7" t="n"/>
      <c r="B2931" s="75" t="n"/>
      <c r="C2931" s="7" t="n"/>
      <c r="D2931" s="7" t="n"/>
      <c r="E2931" s="9">
        <f>IF(D2931="","",IFERROR(INDEX('Équipements'!$B$5:$B$304,MATCH(D2931,'Équipements'!$A$5:$A$304,0)),"Code inconnu"))</f>
        <v/>
      </c>
      <c r="F2931" s="9">
        <f>IF(D2931="","",IFERROR(INDEX('Équipements'!$D$5:$D$304,MATCH(D2931,'Équipements'!$A$5:$A$304,0)),""))</f>
        <v/>
      </c>
      <c r="G2931" s="9">
        <f>IF(D2931="","",IFERROR(INDEX('Équipements'!$K$5:$K$304,MATCH(D2931,'Équipements'!$A$5:$A$304,0)),""))</f>
        <v/>
      </c>
      <c r="H2931" s="7" t="n"/>
      <c r="I2931" s="7" t="n"/>
      <c r="J2931" s="7" t="n"/>
      <c r="K2931" s="7" t="n"/>
      <c r="L2931" s="7" t="n"/>
      <c r="M2931" s="7" t="n"/>
      <c r="N2931" s="7" t="n"/>
      <c r="O2931" s="7" t="n"/>
      <c r="P2931" s="65" t="n"/>
      <c r="Q2931" s="75" t="n"/>
      <c r="R2931" s="75" t="n"/>
      <c r="S2931" s="76" t="n"/>
      <c r="T2931" s="76" t="n"/>
      <c r="U2931" s="70">
        <f>IF($A2931="","",IFERROR(INDEX('Techniciens'!$F$5:$F$44,MATCH(O2931,'Techniciens'!$B$5:$B$44,0)),'Paramètres'!$AA$10))</f>
        <v/>
      </c>
      <c r="V2931" s="70">
        <f>IF($A2931="","",IF(OR(AC2931="Demandé",AC2931="Planifié",AC2931="Annulé"),0,N(T2931)*N(U2931)))</f>
        <v/>
      </c>
      <c r="W2931" s="70">
        <f>IF($A2931="","",SUMIFS('Mouvements stock'!$H$5:$H$3004,'Mouvements stock'!$I$5:$I$3004,$A2931,'Mouvements stock'!$C$5:$C$3004,"Sortie")-SUMIFS('Mouvements stock'!$H$5:$H$3004,'Mouvements stock'!$I$5:$I$3004,$A2931,'Mouvements stock'!$C$5:$C$3004,"Retour"))</f>
        <v/>
      </c>
      <c r="X2931" s="66" t="n"/>
      <c r="Y2931" s="66" t="n"/>
      <c r="Z2931" s="7" t="n"/>
      <c r="AA2931" s="70">
        <f>IF($A2931="","",N(V2931)+N(W2931)+N(X2931)+N(Y2931))</f>
        <v/>
      </c>
      <c r="AB2931" s="70">
        <f>IF($A2931="","",N(S2931)*'Paramètres'!$AA$9*IFERROR(INDEX('Paramètres'!$O$5:$O$7,MATCH(G2931,'Paramètres'!$N$5:$N$7,0)),0))</f>
        <v/>
      </c>
      <c r="AC2931" s="7" t="n"/>
      <c r="AD2931" s="69">
        <f>IF(OR($A2931="",Q2931=""),"",(Q2931-B2931)*24)</f>
        <v/>
      </c>
      <c r="AE2931" s="69">
        <f>IF(OR(Q2931="",R2931=""),"",(R2931-Q2931)*24)</f>
        <v/>
      </c>
      <c r="AF2931" s="77">
        <f>IF(OR($A2931="",B2931=""),"",YEAR(B2931))</f>
        <v/>
      </c>
      <c r="AG2931" s="77">
        <f>IF(OR($A2931="",B2931=""),"",MONTH(B2931))</f>
        <v/>
      </c>
    </row>
    <row r="2932">
      <c r="A2932" s="7" t="n"/>
      <c r="B2932" s="75" t="n"/>
      <c r="C2932" s="7" t="n"/>
      <c r="D2932" s="7" t="n"/>
      <c r="E2932" s="9">
        <f>IF(D2932="","",IFERROR(INDEX('Équipements'!$B$5:$B$304,MATCH(D2932,'Équipements'!$A$5:$A$304,0)),"Code inconnu"))</f>
        <v/>
      </c>
      <c r="F2932" s="9">
        <f>IF(D2932="","",IFERROR(INDEX('Équipements'!$D$5:$D$304,MATCH(D2932,'Équipements'!$A$5:$A$304,0)),""))</f>
        <v/>
      </c>
      <c r="G2932" s="9">
        <f>IF(D2932="","",IFERROR(INDEX('Équipements'!$K$5:$K$304,MATCH(D2932,'Équipements'!$A$5:$A$304,0)),""))</f>
        <v/>
      </c>
      <c r="H2932" s="7" t="n"/>
      <c r="I2932" s="7" t="n"/>
      <c r="J2932" s="7" t="n"/>
      <c r="K2932" s="7" t="n"/>
      <c r="L2932" s="7" t="n"/>
      <c r="M2932" s="7" t="n"/>
      <c r="N2932" s="7" t="n"/>
      <c r="O2932" s="7" t="n"/>
      <c r="P2932" s="65" t="n"/>
      <c r="Q2932" s="75" t="n"/>
      <c r="R2932" s="75" t="n"/>
      <c r="S2932" s="76" t="n"/>
      <c r="T2932" s="76" t="n"/>
      <c r="U2932" s="70">
        <f>IF($A2932="","",IFERROR(INDEX('Techniciens'!$F$5:$F$44,MATCH(O2932,'Techniciens'!$B$5:$B$44,0)),'Paramètres'!$AA$10))</f>
        <v/>
      </c>
      <c r="V2932" s="70">
        <f>IF($A2932="","",IF(OR(AC2932="Demandé",AC2932="Planifié",AC2932="Annulé"),0,N(T2932)*N(U2932)))</f>
        <v/>
      </c>
      <c r="W2932" s="70">
        <f>IF($A2932="","",SUMIFS('Mouvements stock'!$H$5:$H$3004,'Mouvements stock'!$I$5:$I$3004,$A2932,'Mouvements stock'!$C$5:$C$3004,"Sortie")-SUMIFS('Mouvements stock'!$H$5:$H$3004,'Mouvements stock'!$I$5:$I$3004,$A2932,'Mouvements stock'!$C$5:$C$3004,"Retour"))</f>
        <v/>
      </c>
      <c r="X2932" s="66" t="n"/>
      <c r="Y2932" s="66" t="n"/>
      <c r="Z2932" s="7" t="n"/>
      <c r="AA2932" s="70">
        <f>IF($A2932="","",N(V2932)+N(W2932)+N(X2932)+N(Y2932))</f>
        <v/>
      </c>
      <c r="AB2932" s="70">
        <f>IF($A2932="","",N(S2932)*'Paramètres'!$AA$9*IFERROR(INDEX('Paramètres'!$O$5:$O$7,MATCH(G2932,'Paramètres'!$N$5:$N$7,0)),0))</f>
        <v/>
      </c>
      <c r="AC2932" s="7" t="n"/>
      <c r="AD2932" s="69">
        <f>IF(OR($A2932="",Q2932=""),"",(Q2932-B2932)*24)</f>
        <v/>
      </c>
      <c r="AE2932" s="69">
        <f>IF(OR(Q2932="",R2932=""),"",(R2932-Q2932)*24)</f>
        <v/>
      </c>
      <c r="AF2932" s="77">
        <f>IF(OR($A2932="",B2932=""),"",YEAR(B2932))</f>
        <v/>
      </c>
      <c r="AG2932" s="77">
        <f>IF(OR($A2932="",B2932=""),"",MONTH(B2932))</f>
        <v/>
      </c>
    </row>
    <row r="2933">
      <c r="A2933" s="7" t="n"/>
      <c r="B2933" s="75" t="n"/>
      <c r="C2933" s="7" t="n"/>
      <c r="D2933" s="7" t="n"/>
      <c r="E2933" s="9">
        <f>IF(D2933="","",IFERROR(INDEX('Équipements'!$B$5:$B$304,MATCH(D2933,'Équipements'!$A$5:$A$304,0)),"Code inconnu"))</f>
        <v/>
      </c>
      <c r="F2933" s="9">
        <f>IF(D2933="","",IFERROR(INDEX('Équipements'!$D$5:$D$304,MATCH(D2933,'Équipements'!$A$5:$A$304,0)),""))</f>
        <v/>
      </c>
      <c r="G2933" s="9">
        <f>IF(D2933="","",IFERROR(INDEX('Équipements'!$K$5:$K$304,MATCH(D2933,'Équipements'!$A$5:$A$304,0)),""))</f>
        <v/>
      </c>
      <c r="H2933" s="7" t="n"/>
      <c r="I2933" s="7" t="n"/>
      <c r="J2933" s="7" t="n"/>
      <c r="K2933" s="7" t="n"/>
      <c r="L2933" s="7" t="n"/>
      <c r="M2933" s="7" t="n"/>
      <c r="N2933" s="7" t="n"/>
      <c r="O2933" s="7" t="n"/>
      <c r="P2933" s="65" t="n"/>
      <c r="Q2933" s="75" t="n"/>
      <c r="R2933" s="75" t="n"/>
      <c r="S2933" s="76" t="n"/>
      <c r="T2933" s="76" t="n"/>
      <c r="U2933" s="70">
        <f>IF($A2933="","",IFERROR(INDEX('Techniciens'!$F$5:$F$44,MATCH(O2933,'Techniciens'!$B$5:$B$44,0)),'Paramètres'!$AA$10))</f>
        <v/>
      </c>
      <c r="V2933" s="70">
        <f>IF($A2933="","",IF(OR(AC2933="Demandé",AC2933="Planifié",AC2933="Annulé"),0,N(T2933)*N(U2933)))</f>
        <v/>
      </c>
      <c r="W2933" s="70">
        <f>IF($A2933="","",SUMIFS('Mouvements stock'!$H$5:$H$3004,'Mouvements stock'!$I$5:$I$3004,$A2933,'Mouvements stock'!$C$5:$C$3004,"Sortie")-SUMIFS('Mouvements stock'!$H$5:$H$3004,'Mouvements stock'!$I$5:$I$3004,$A2933,'Mouvements stock'!$C$5:$C$3004,"Retour"))</f>
        <v/>
      </c>
      <c r="X2933" s="66" t="n"/>
      <c r="Y2933" s="66" t="n"/>
      <c r="Z2933" s="7" t="n"/>
      <c r="AA2933" s="70">
        <f>IF($A2933="","",N(V2933)+N(W2933)+N(X2933)+N(Y2933))</f>
        <v/>
      </c>
      <c r="AB2933" s="70">
        <f>IF($A2933="","",N(S2933)*'Paramètres'!$AA$9*IFERROR(INDEX('Paramètres'!$O$5:$O$7,MATCH(G2933,'Paramètres'!$N$5:$N$7,0)),0))</f>
        <v/>
      </c>
      <c r="AC2933" s="7" t="n"/>
      <c r="AD2933" s="69">
        <f>IF(OR($A2933="",Q2933=""),"",(Q2933-B2933)*24)</f>
        <v/>
      </c>
      <c r="AE2933" s="69">
        <f>IF(OR(Q2933="",R2933=""),"",(R2933-Q2933)*24)</f>
        <v/>
      </c>
      <c r="AF2933" s="77">
        <f>IF(OR($A2933="",B2933=""),"",YEAR(B2933))</f>
        <v/>
      </c>
      <c r="AG2933" s="77">
        <f>IF(OR($A2933="",B2933=""),"",MONTH(B2933))</f>
        <v/>
      </c>
    </row>
    <row r="2934">
      <c r="A2934" s="7" t="n"/>
      <c r="B2934" s="75" t="n"/>
      <c r="C2934" s="7" t="n"/>
      <c r="D2934" s="7" t="n"/>
      <c r="E2934" s="9">
        <f>IF(D2934="","",IFERROR(INDEX('Équipements'!$B$5:$B$304,MATCH(D2934,'Équipements'!$A$5:$A$304,0)),"Code inconnu"))</f>
        <v/>
      </c>
      <c r="F2934" s="9">
        <f>IF(D2934="","",IFERROR(INDEX('Équipements'!$D$5:$D$304,MATCH(D2934,'Équipements'!$A$5:$A$304,0)),""))</f>
        <v/>
      </c>
      <c r="G2934" s="9">
        <f>IF(D2934="","",IFERROR(INDEX('Équipements'!$K$5:$K$304,MATCH(D2934,'Équipements'!$A$5:$A$304,0)),""))</f>
        <v/>
      </c>
      <c r="H2934" s="7" t="n"/>
      <c r="I2934" s="7" t="n"/>
      <c r="J2934" s="7" t="n"/>
      <c r="K2934" s="7" t="n"/>
      <c r="L2934" s="7" t="n"/>
      <c r="M2934" s="7" t="n"/>
      <c r="N2934" s="7" t="n"/>
      <c r="O2934" s="7" t="n"/>
      <c r="P2934" s="65" t="n"/>
      <c r="Q2934" s="75" t="n"/>
      <c r="R2934" s="75" t="n"/>
      <c r="S2934" s="76" t="n"/>
      <c r="T2934" s="76" t="n"/>
      <c r="U2934" s="70">
        <f>IF($A2934="","",IFERROR(INDEX('Techniciens'!$F$5:$F$44,MATCH(O2934,'Techniciens'!$B$5:$B$44,0)),'Paramètres'!$AA$10))</f>
        <v/>
      </c>
      <c r="V2934" s="70">
        <f>IF($A2934="","",IF(OR(AC2934="Demandé",AC2934="Planifié",AC2934="Annulé"),0,N(T2934)*N(U2934)))</f>
        <v/>
      </c>
      <c r="W2934" s="70">
        <f>IF($A2934="","",SUMIFS('Mouvements stock'!$H$5:$H$3004,'Mouvements stock'!$I$5:$I$3004,$A2934,'Mouvements stock'!$C$5:$C$3004,"Sortie")-SUMIFS('Mouvements stock'!$H$5:$H$3004,'Mouvements stock'!$I$5:$I$3004,$A2934,'Mouvements stock'!$C$5:$C$3004,"Retour"))</f>
        <v/>
      </c>
      <c r="X2934" s="66" t="n"/>
      <c r="Y2934" s="66" t="n"/>
      <c r="Z2934" s="7" t="n"/>
      <c r="AA2934" s="70">
        <f>IF($A2934="","",N(V2934)+N(W2934)+N(X2934)+N(Y2934))</f>
        <v/>
      </c>
      <c r="AB2934" s="70">
        <f>IF($A2934="","",N(S2934)*'Paramètres'!$AA$9*IFERROR(INDEX('Paramètres'!$O$5:$O$7,MATCH(G2934,'Paramètres'!$N$5:$N$7,0)),0))</f>
        <v/>
      </c>
      <c r="AC2934" s="7" t="n"/>
      <c r="AD2934" s="69">
        <f>IF(OR($A2934="",Q2934=""),"",(Q2934-B2934)*24)</f>
        <v/>
      </c>
      <c r="AE2934" s="69">
        <f>IF(OR(Q2934="",R2934=""),"",(R2934-Q2934)*24)</f>
        <v/>
      </c>
      <c r="AF2934" s="77">
        <f>IF(OR($A2934="",B2934=""),"",YEAR(B2934))</f>
        <v/>
      </c>
      <c r="AG2934" s="77">
        <f>IF(OR($A2934="",B2934=""),"",MONTH(B2934))</f>
        <v/>
      </c>
    </row>
    <row r="2935">
      <c r="A2935" s="7" t="n"/>
      <c r="B2935" s="75" t="n"/>
      <c r="C2935" s="7" t="n"/>
      <c r="D2935" s="7" t="n"/>
      <c r="E2935" s="9">
        <f>IF(D2935="","",IFERROR(INDEX('Équipements'!$B$5:$B$304,MATCH(D2935,'Équipements'!$A$5:$A$304,0)),"Code inconnu"))</f>
        <v/>
      </c>
      <c r="F2935" s="9">
        <f>IF(D2935="","",IFERROR(INDEX('Équipements'!$D$5:$D$304,MATCH(D2935,'Équipements'!$A$5:$A$304,0)),""))</f>
        <v/>
      </c>
      <c r="G2935" s="9">
        <f>IF(D2935="","",IFERROR(INDEX('Équipements'!$K$5:$K$304,MATCH(D2935,'Équipements'!$A$5:$A$304,0)),""))</f>
        <v/>
      </c>
      <c r="H2935" s="7" t="n"/>
      <c r="I2935" s="7" t="n"/>
      <c r="J2935" s="7" t="n"/>
      <c r="K2935" s="7" t="n"/>
      <c r="L2935" s="7" t="n"/>
      <c r="M2935" s="7" t="n"/>
      <c r="N2935" s="7" t="n"/>
      <c r="O2935" s="7" t="n"/>
      <c r="P2935" s="65" t="n"/>
      <c r="Q2935" s="75" t="n"/>
      <c r="R2935" s="75" t="n"/>
      <c r="S2935" s="76" t="n"/>
      <c r="T2935" s="76" t="n"/>
      <c r="U2935" s="70">
        <f>IF($A2935="","",IFERROR(INDEX('Techniciens'!$F$5:$F$44,MATCH(O2935,'Techniciens'!$B$5:$B$44,0)),'Paramètres'!$AA$10))</f>
        <v/>
      </c>
      <c r="V2935" s="70">
        <f>IF($A2935="","",IF(OR(AC2935="Demandé",AC2935="Planifié",AC2935="Annulé"),0,N(T2935)*N(U2935)))</f>
        <v/>
      </c>
      <c r="W2935" s="70">
        <f>IF($A2935="","",SUMIFS('Mouvements stock'!$H$5:$H$3004,'Mouvements stock'!$I$5:$I$3004,$A2935,'Mouvements stock'!$C$5:$C$3004,"Sortie")-SUMIFS('Mouvements stock'!$H$5:$H$3004,'Mouvements stock'!$I$5:$I$3004,$A2935,'Mouvements stock'!$C$5:$C$3004,"Retour"))</f>
        <v/>
      </c>
      <c r="X2935" s="66" t="n"/>
      <c r="Y2935" s="66" t="n"/>
      <c r="Z2935" s="7" t="n"/>
      <c r="AA2935" s="70">
        <f>IF($A2935="","",N(V2935)+N(W2935)+N(X2935)+N(Y2935))</f>
        <v/>
      </c>
      <c r="AB2935" s="70">
        <f>IF($A2935="","",N(S2935)*'Paramètres'!$AA$9*IFERROR(INDEX('Paramètres'!$O$5:$O$7,MATCH(G2935,'Paramètres'!$N$5:$N$7,0)),0))</f>
        <v/>
      </c>
      <c r="AC2935" s="7" t="n"/>
      <c r="AD2935" s="69">
        <f>IF(OR($A2935="",Q2935=""),"",(Q2935-B2935)*24)</f>
        <v/>
      </c>
      <c r="AE2935" s="69">
        <f>IF(OR(Q2935="",R2935=""),"",(R2935-Q2935)*24)</f>
        <v/>
      </c>
      <c r="AF2935" s="77">
        <f>IF(OR($A2935="",B2935=""),"",YEAR(B2935))</f>
        <v/>
      </c>
      <c r="AG2935" s="77">
        <f>IF(OR($A2935="",B2935=""),"",MONTH(B2935))</f>
        <v/>
      </c>
    </row>
    <row r="2936">
      <c r="A2936" s="7" t="n"/>
      <c r="B2936" s="75" t="n"/>
      <c r="C2936" s="7" t="n"/>
      <c r="D2936" s="7" t="n"/>
      <c r="E2936" s="9">
        <f>IF(D2936="","",IFERROR(INDEX('Équipements'!$B$5:$B$304,MATCH(D2936,'Équipements'!$A$5:$A$304,0)),"Code inconnu"))</f>
        <v/>
      </c>
      <c r="F2936" s="9">
        <f>IF(D2936="","",IFERROR(INDEX('Équipements'!$D$5:$D$304,MATCH(D2936,'Équipements'!$A$5:$A$304,0)),""))</f>
        <v/>
      </c>
      <c r="G2936" s="9">
        <f>IF(D2936="","",IFERROR(INDEX('Équipements'!$K$5:$K$304,MATCH(D2936,'Équipements'!$A$5:$A$304,0)),""))</f>
        <v/>
      </c>
      <c r="H2936" s="7" t="n"/>
      <c r="I2936" s="7" t="n"/>
      <c r="J2936" s="7" t="n"/>
      <c r="K2936" s="7" t="n"/>
      <c r="L2936" s="7" t="n"/>
      <c r="M2936" s="7" t="n"/>
      <c r="N2936" s="7" t="n"/>
      <c r="O2936" s="7" t="n"/>
      <c r="P2936" s="65" t="n"/>
      <c r="Q2936" s="75" t="n"/>
      <c r="R2936" s="75" t="n"/>
      <c r="S2936" s="76" t="n"/>
      <c r="T2936" s="76" t="n"/>
      <c r="U2936" s="70">
        <f>IF($A2936="","",IFERROR(INDEX('Techniciens'!$F$5:$F$44,MATCH(O2936,'Techniciens'!$B$5:$B$44,0)),'Paramètres'!$AA$10))</f>
        <v/>
      </c>
      <c r="V2936" s="70">
        <f>IF($A2936="","",IF(OR(AC2936="Demandé",AC2936="Planifié",AC2936="Annulé"),0,N(T2936)*N(U2936)))</f>
        <v/>
      </c>
      <c r="W2936" s="70">
        <f>IF($A2936="","",SUMIFS('Mouvements stock'!$H$5:$H$3004,'Mouvements stock'!$I$5:$I$3004,$A2936,'Mouvements stock'!$C$5:$C$3004,"Sortie")-SUMIFS('Mouvements stock'!$H$5:$H$3004,'Mouvements stock'!$I$5:$I$3004,$A2936,'Mouvements stock'!$C$5:$C$3004,"Retour"))</f>
        <v/>
      </c>
      <c r="X2936" s="66" t="n"/>
      <c r="Y2936" s="66" t="n"/>
      <c r="Z2936" s="7" t="n"/>
      <c r="AA2936" s="70">
        <f>IF($A2936="","",N(V2936)+N(W2936)+N(X2936)+N(Y2936))</f>
        <v/>
      </c>
      <c r="AB2936" s="70">
        <f>IF($A2936="","",N(S2936)*'Paramètres'!$AA$9*IFERROR(INDEX('Paramètres'!$O$5:$O$7,MATCH(G2936,'Paramètres'!$N$5:$N$7,0)),0))</f>
        <v/>
      </c>
      <c r="AC2936" s="7" t="n"/>
      <c r="AD2936" s="69">
        <f>IF(OR($A2936="",Q2936=""),"",(Q2936-B2936)*24)</f>
        <v/>
      </c>
      <c r="AE2936" s="69">
        <f>IF(OR(Q2936="",R2936=""),"",(R2936-Q2936)*24)</f>
        <v/>
      </c>
      <c r="AF2936" s="77">
        <f>IF(OR($A2936="",B2936=""),"",YEAR(B2936))</f>
        <v/>
      </c>
      <c r="AG2936" s="77">
        <f>IF(OR($A2936="",B2936=""),"",MONTH(B2936))</f>
        <v/>
      </c>
    </row>
    <row r="2937">
      <c r="A2937" s="7" t="n"/>
      <c r="B2937" s="75" t="n"/>
      <c r="C2937" s="7" t="n"/>
      <c r="D2937" s="7" t="n"/>
      <c r="E2937" s="9">
        <f>IF(D2937="","",IFERROR(INDEX('Équipements'!$B$5:$B$304,MATCH(D2937,'Équipements'!$A$5:$A$304,0)),"Code inconnu"))</f>
        <v/>
      </c>
      <c r="F2937" s="9">
        <f>IF(D2937="","",IFERROR(INDEX('Équipements'!$D$5:$D$304,MATCH(D2937,'Équipements'!$A$5:$A$304,0)),""))</f>
        <v/>
      </c>
      <c r="G2937" s="9">
        <f>IF(D2937="","",IFERROR(INDEX('Équipements'!$K$5:$K$304,MATCH(D2937,'Équipements'!$A$5:$A$304,0)),""))</f>
        <v/>
      </c>
      <c r="H2937" s="7" t="n"/>
      <c r="I2937" s="7" t="n"/>
      <c r="J2937" s="7" t="n"/>
      <c r="K2937" s="7" t="n"/>
      <c r="L2937" s="7" t="n"/>
      <c r="M2937" s="7" t="n"/>
      <c r="N2937" s="7" t="n"/>
      <c r="O2937" s="7" t="n"/>
      <c r="P2937" s="65" t="n"/>
      <c r="Q2937" s="75" t="n"/>
      <c r="R2937" s="75" t="n"/>
      <c r="S2937" s="76" t="n"/>
      <c r="T2937" s="76" t="n"/>
      <c r="U2937" s="70">
        <f>IF($A2937="","",IFERROR(INDEX('Techniciens'!$F$5:$F$44,MATCH(O2937,'Techniciens'!$B$5:$B$44,0)),'Paramètres'!$AA$10))</f>
        <v/>
      </c>
      <c r="V2937" s="70">
        <f>IF($A2937="","",IF(OR(AC2937="Demandé",AC2937="Planifié",AC2937="Annulé"),0,N(T2937)*N(U2937)))</f>
        <v/>
      </c>
      <c r="W2937" s="70">
        <f>IF($A2937="","",SUMIFS('Mouvements stock'!$H$5:$H$3004,'Mouvements stock'!$I$5:$I$3004,$A2937,'Mouvements stock'!$C$5:$C$3004,"Sortie")-SUMIFS('Mouvements stock'!$H$5:$H$3004,'Mouvements stock'!$I$5:$I$3004,$A2937,'Mouvements stock'!$C$5:$C$3004,"Retour"))</f>
        <v/>
      </c>
      <c r="X2937" s="66" t="n"/>
      <c r="Y2937" s="66" t="n"/>
      <c r="Z2937" s="7" t="n"/>
      <c r="AA2937" s="70">
        <f>IF($A2937="","",N(V2937)+N(W2937)+N(X2937)+N(Y2937))</f>
        <v/>
      </c>
      <c r="AB2937" s="70">
        <f>IF($A2937="","",N(S2937)*'Paramètres'!$AA$9*IFERROR(INDEX('Paramètres'!$O$5:$O$7,MATCH(G2937,'Paramètres'!$N$5:$N$7,0)),0))</f>
        <v/>
      </c>
      <c r="AC2937" s="7" t="n"/>
      <c r="AD2937" s="69">
        <f>IF(OR($A2937="",Q2937=""),"",(Q2937-B2937)*24)</f>
        <v/>
      </c>
      <c r="AE2937" s="69">
        <f>IF(OR(Q2937="",R2937=""),"",(R2937-Q2937)*24)</f>
        <v/>
      </c>
      <c r="AF2937" s="77">
        <f>IF(OR($A2937="",B2937=""),"",YEAR(B2937))</f>
        <v/>
      </c>
      <c r="AG2937" s="77">
        <f>IF(OR($A2937="",B2937=""),"",MONTH(B2937))</f>
        <v/>
      </c>
    </row>
    <row r="2938">
      <c r="A2938" s="7" t="n"/>
      <c r="B2938" s="75" t="n"/>
      <c r="C2938" s="7" t="n"/>
      <c r="D2938" s="7" t="n"/>
      <c r="E2938" s="9">
        <f>IF(D2938="","",IFERROR(INDEX('Équipements'!$B$5:$B$304,MATCH(D2938,'Équipements'!$A$5:$A$304,0)),"Code inconnu"))</f>
        <v/>
      </c>
      <c r="F2938" s="9">
        <f>IF(D2938="","",IFERROR(INDEX('Équipements'!$D$5:$D$304,MATCH(D2938,'Équipements'!$A$5:$A$304,0)),""))</f>
        <v/>
      </c>
      <c r="G2938" s="9">
        <f>IF(D2938="","",IFERROR(INDEX('Équipements'!$K$5:$K$304,MATCH(D2938,'Équipements'!$A$5:$A$304,0)),""))</f>
        <v/>
      </c>
      <c r="H2938" s="7" t="n"/>
      <c r="I2938" s="7" t="n"/>
      <c r="J2938" s="7" t="n"/>
      <c r="K2938" s="7" t="n"/>
      <c r="L2938" s="7" t="n"/>
      <c r="M2938" s="7" t="n"/>
      <c r="N2938" s="7" t="n"/>
      <c r="O2938" s="7" t="n"/>
      <c r="P2938" s="65" t="n"/>
      <c r="Q2938" s="75" t="n"/>
      <c r="R2938" s="75" t="n"/>
      <c r="S2938" s="76" t="n"/>
      <c r="T2938" s="76" t="n"/>
      <c r="U2938" s="70">
        <f>IF($A2938="","",IFERROR(INDEX('Techniciens'!$F$5:$F$44,MATCH(O2938,'Techniciens'!$B$5:$B$44,0)),'Paramètres'!$AA$10))</f>
        <v/>
      </c>
      <c r="V2938" s="70">
        <f>IF($A2938="","",IF(OR(AC2938="Demandé",AC2938="Planifié",AC2938="Annulé"),0,N(T2938)*N(U2938)))</f>
        <v/>
      </c>
      <c r="W2938" s="70">
        <f>IF($A2938="","",SUMIFS('Mouvements stock'!$H$5:$H$3004,'Mouvements stock'!$I$5:$I$3004,$A2938,'Mouvements stock'!$C$5:$C$3004,"Sortie")-SUMIFS('Mouvements stock'!$H$5:$H$3004,'Mouvements stock'!$I$5:$I$3004,$A2938,'Mouvements stock'!$C$5:$C$3004,"Retour"))</f>
        <v/>
      </c>
      <c r="X2938" s="66" t="n"/>
      <c r="Y2938" s="66" t="n"/>
      <c r="Z2938" s="7" t="n"/>
      <c r="AA2938" s="70">
        <f>IF($A2938="","",N(V2938)+N(W2938)+N(X2938)+N(Y2938))</f>
        <v/>
      </c>
      <c r="AB2938" s="70">
        <f>IF($A2938="","",N(S2938)*'Paramètres'!$AA$9*IFERROR(INDEX('Paramètres'!$O$5:$O$7,MATCH(G2938,'Paramètres'!$N$5:$N$7,0)),0))</f>
        <v/>
      </c>
      <c r="AC2938" s="7" t="n"/>
      <c r="AD2938" s="69">
        <f>IF(OR($A2938="",Q2938=""),"",(Q2938-B2938)*24)</f>
        <v/>
      </c>
      <c r="AE2938" s="69">
        <f>IF(OR(Q2938="",R2938=""),"",(R2938-Q2938)*24)</f>
        <v/>
      </c>
      <c r="AF2938" s="77">
        <f>IF(OR($A2938="",B2938=""),"",YEAR(B2938))</f>
        <v/>
      </c>
      <c r="AG2938" s="77">
        <f>IF(OR($A2938="",B2938=""),"",MONTH(B2938))</f>
        <v/>
      </c>
    </row>
    <row r="2939">
      <c r="A2939" s="7" t="n"/>
      <c r="B2939" s="75" t="n"/>
      <c r="C2939" s="7" t="n"/>
      <c r="D2939" s="7" t="n"/>
      <c r="E2939" s="9">
        <f>IF(D2939="","",IFERROR(INDEX('Équipements'!$B$5:$B$304,MATCH(D2939,'Équipements'!$A$5:$A$304,0)),"Code inconnu"))</f>
        <v/>
      </c>
      <c r="F2939" s="9">
        <f>IF(D2939="","",IFERROR(INDEX('Équipements'!$D$5:$D$304,MATCH(D2939,'Équipements'!$A$5:$A$304,0)),""))</f>
        <v/>
      </c>
      <c r="G2939" s="9">
        <f>IF(D2939="","",IFERROR(INDEX('Équipements'!$K$5:$K$304,MATCH(D2939,'Équipements'!$A$5:$A$304,0)),""))</f>
        <v/>
      </c>
      <c r="H2939" s="7" t="n"/>
      <c r="I2939" s="7" t="n"/>
      <c r="J2939" s="7" t="n"/>
      <c r="K2939" s="7" t="n"/>
      <c r="L2939" s="7" t="n"/>
      <c r="M2939" s="7" t="n"/>
      <c r="N2939" s="7" t="n"/>
      <c r="O2939" s="7" t="n"/>
      <c r="P2939" s="65" t="n"/>
      <c r="Q2939" s="75" t="n"/>
      <c r="R2939" s="75" t="n"/>
      <c r="S2939" s="76" t="n"/>
      <c r="T2939" s="76" t="n"/>
      <c r="U2939" s="70">
        <f>IF($A2939="","",IFERROR(INDEX('Techniciens'!$F$5:$F$44,MATCH(O2939,'Techniciens'!$B$5:$B$44,0)),'Paramètres'!$AA$10))</f>
        <v/>
      </c>
      <c r="V2939" s="70">
        <f>IF($A2939="","",IF(OR(AC2939="Demandé",AC2939="Planifié",AC2939="Annulé"),0,N(T2939)*N(U2939)))</f>
        <v/>
      </c>
      <c r="W2939" s="70">
        <f>IF($A2939="","",SUMIFS('Mouvements stock'!$H$5:$H$3004,'Mouvements stock'!$I$5:$I$3004,$A2939,'Mouvements stock'!$C$5:$C$3004,"Sortie")-SUMIFS('Mouvements stock'!$H$5:$H$3004,'Mouvements stock'!$I$5:$I$3004,$A2939,'Mouvements stock'!$C$5:$C$3004,"Retour"))</f>
        <v/>
      </c>
      <c r="X2939" s="66" t="n"/>
      <c r="Y2939" s="66" t="n"/>
      <c r="Z2939" s="7" t="n"/>
      <c r="AA2939" s="70">
        <f>IF($A2939="","",N(V2939)+N(W2939)+N(X2939)+N(Y2939))</f>
        <v/>
      </c>
      <c r="AB2939" s="70">
        <f>IF($A2939="","",N(S2939)*'Paramètres'!$AA$9*IFERROR(INDEX('Paramètres'!$O$5:$O$7,MATCH(G2939,'Paramètres'!$N$5:$N$7,0)),0))</f>
        <v/>
      </c>
      <c r="AC2939" s="7" t="n"/>
      <c r="AD2939" s="69">
        <f>IF(OR($A2939="",Q2939=""),"",(Q2939-B2939)*24)</f>
        <v/>
      </c>
      <c r="AE2939" s="69">
        <f>IF(OR(Q2939="",R2939=""),"",(R2939-Q2939)*24)</f>
        <v/>
      </c>
      <c r="AF2939" s="77">
        <f>IF(OR($A2939="",B2939=""),"",YEAR(B2939))</f>
        <v/>
      </c>
      <c r="AG2939" s="77">
        <f>IF(OR($A2939="",B2939=""),"",MONTH(B2939))</f>
        <v/>
      </c>
    </row>
    <row r="2940">
      <c r="A2940" s="7" t="n"/>
      <c r="B2940" s="75" t="n"/>
      <c r="C2940" s="7" t="n"/>
      <c r="D2940" s="7" t="n"/>
      <c r="E2940" s="9">
        <f>IF(D2940="","",IFERROR(INDEX('Équipements'!$B$5:$B$304,MATCH(D2940,'Équipements'!$A$5:$A$304,0)),"Code inconnu"))</f>
        <v/>
      </c>
      <c r="F2940" s="9">
        <f>IF(D2940="","",IFERROR(INDEX('Équipements'!$D$5:$D$304,MATCH(D2940,'Équipements'!$A$5:$A$304,0)),""))</f>
        <v/>
      </c>
      <c r="G2940" s="9">
        <f>IF(D2940="","",IFERROR(INDEX('Équipements'!$K$5:$K$304,MATCH(D2940,'Équipements'!$A$5:$A$304,0)),""))</f>
        <v/>
      </c>
      <c r="H2940" s="7" t="n"/>
      <c r="I2940" s="7" t="n"/>
      <c r="J2940" s="7" t="n"/>
      <c r="K2940" s="7" t="n"/>
      <c r="L2940" s="7" t="n"/>
      <c r="M2940" s="7" t="n"/>
      <c r="N2940" s="7" t="n"/>
      <c r="O2940" s="7" t="n"/>
      <c r="P2940" s="65" t="n"/>
      <c r="Q2940" s="75" t="n"/>
      <c r="R2940" s="75" t="n"/>
      <c r="S2940" s="76" t="n"/>
      <c r="T2940" s="76" t="n"/>
      <c r="U2940" s="70">
        <f>IF($A2940="","",IFERROR(INDEX('Techniciens'!$F$5:$F$44,MATCH(O2940,'Techniciens'!$B$5:$B$44,0)),'Paramètres'!$AA$10))</f>
        <v/>
      </c>
      <c r="V2940" s="70">
        <f>IF($A2940="","",IF(OR(AC2940="Demandé",AC2940="Planifié",AC2940="Annulé"),0,N(T2940)*N(U2940)))</f>
        <v/>
      </c>
      <c r="W2940" s="70">
        <f>IF($A2940="","",SUMIFS('Mouvements stock'!$H$5:$H$3004,'Mouvements stock'!$I$5:$I$3004,$A2940,'Mouvements stock'!$C$5:$C$3004,"Sortie")-SUMIFS('Mouvements stock'!$H$5:$H$3004,'Mouvements stock'!$I$5:$I$3004,$A2940,'Mouvements stock'!$C$5:$C$3004,"Retour"))</f>
        <v/>
      </c>
      <c r="X2940" s="66" t="n"/>
      <c r="Y2940" s="66" t="n"/>
      <c r="Z2940" s="7" t="n"/>
      <c r="AA2940" s="70">
        <f>IF($A2940="","",N(V2940)+N(W2940)+N(X2940)+N(Y2940))</f>
        <v/>
      </c>
      <c r="AB2940" s="70">
        <f>IF($A2940="","",N(S2940)*'Paramètres'!$AA$9*IFERROR(INDEX('Paramètres'!$O$5:$O$7,MATCH(G2940,'Paramètres'!$N$5:$N$7,0)),0))</f>
        <v/>
      </c>
      <c r="AC2940" s="7" t="n"/>
      <c r="AD2940" s="69">
        <f>IF(OR($A2940="",Q2940=""),"",(Q2940-B2940)*24)</f>
        <v/>
      </c>
      <c r="AE2940" s="69">
        <f>IF(OR(Q2940="",R2940=""),"",(R2940-Q2940)*24)</f>
        <v/>
      </c>
      <c r="AF2940" s="77">
        <f>IF(OR($A2940="",B2940=""),"",YEAR(B2940))</f>
        <v/>
      </c>
      <c r="AG2940" s="77">
        <f>IF(OR($A2940="",B2940=""),"",MONTH(B2940))</f>
        <v/>
      </c>
    </row>
    <row r="2941">
      <c r="A2941" s="7" t="n"/>
      <c r="B2941" s="75" t="n"/>
      <c r="C2941" s="7" t="n"/>
      <c r="D2941" s="7" t="n"/>
      <c r="E2941" s="9">
        <f>IF(D2941="","",IFERROR(INDEX('Équipements'!$B$5:$B$304,MATCH(D2941,'Équipements'!$A$5:$A$304,0)),"Code inconnu"))</f>
        <v/>
      </c>
      <c r="F2941" s="9">
        <f>IF(D2941="","",IFERROR(INDEX('Équipements'!$D$5:$D$304,MATCH(D2941,'Équipements'!$A$5:$A$304,0)),""))</f>
        <v/>
      </c>
      <c r="G2941" s="9">
        <f>IF(D2941="","",IFERROR(INDEX('Équipements'!$K$5:$K$304,MATCH(D2941,'Équipements'!$A$5:$A$304,0)),""))</f>
        <v/>
      </c>
      <c r="H2941" s="7" t="n"/>
      <c r="I2941" s="7" t="n"/>
      <c r="J2941" s="7" t="n"/>
      <c r="K2941" s="7" t="n"/>
      <c r="L2941" s="7" t="n"/>
      <c r="M2941" s="7" t="n"/>
      <c r="N2941" s="7" t="n"/>
      <c r="O2941" s="7" t="n"/>
      <c r="P2941" s="65" t="n"/>
      <c r="Q2941" s="75" t="n"/>
      <c r="R2941" s="75" t="n"/>
      <c r="S2941" s="76" t="n"/>
      <c r="T2941" s="76" t="n"/>
      <c r="U2941" s="70">
        <f>IF($A2941="","",IFERROR(INDEX('Techniciens'!$F$5:$F$44,MATCH(O2941,'Techniciens'!$B$5:$B$44,0)),'Paramètres'!$AA$10))</f>
        <v/>
      </c>
      <c r="V2941" s="70">
        <f>IF($A2941="","",IF(OR(AC2941="Demandé",AC2941="Planifié",AC2941="Annulé"),0,N(T2941)*N(U2941)))</f>
        <v/>
      </c>
      <c r="W2941" s="70">
        <f>IF($A2941="","",SUMIFS('Mouvements stock'!$H$5:$H$3004,'Mouvements stock'!$I$5:$I$3004,$A2941,'Mouvements stock'!$C$5:$C$3004,"Sortie")-SUMIFS('Mouvements stock'!$H$5:$H$3004,'Mouvements stock'!$I$5:$I$3004,$A2941,'Mouvements stock'!$C$5:$C$3004,"Retour"))</f>
        <v/>
      </c>
      <c r="X2941" s="66" t="n"/>
      <c r="Y2941" s="66" t="n"/>
      <c r="Z2941" s="7" t="n"/>
      <c r="AA2941" s="70">
        <f>IF($A2941="","",N(V2941)+N(W2941)+N(X2941)+N(Y2941))</f>
        <v/>
      </c>
      <c r="AB2941" s="70">
        <f>IF($A2941="","",N(S2941)*'Paramètres'!$AA$9*IFERROR(INDEX('Paramètres'!$O$5:$O$7,MATCH(G2941,'Paramètres'!$N$5:$N$7,0)),0))</f>
        <v/>
      </c>
      <c r="AC2941" s="7" t="n"/>
      <c r="AD2941" s="69">
        <f>IF(OR($A2941="",Q2941=""),"",(Q2941-B2941)*24)</f>
        <v/>
      </c>
      <c r="AE2941" s="69">
        <f>IF(OR(Q2941="",R2941=""),"",(R2941-Q2941)*24)</f>
        <v/>
      </c>
      <c r="AF2941" s="77">
        <f>IF(OR($A2941="",B2941=""),"",YEAR(B2941))</f>
        <v/>
      </c>
      <c r="AG2941" s="77">
        <f>IF(OR($A2941="",B2941=""),"",MONTH(B2941))</f>
        <v/>
      </c>
    </row>
    <row r="2942">
      <c r="A2942" s="7" t="n"/>
      <c r="B2942" s="75" t="n"/>
      <c r="C2942" s="7" t="n"/>
      <c r="D2942" s="7" t="n"/>
      <c r="E2942" s="9">
        <f>IF(D2942="","",IFERROR(INDEX('Équipements'!$B$5:$B$304,MATCH(D2942,'Équipements'!$A$5:$A$304,0)),"Code inconnu"))</f>
        <v/>
      </c>
      <c r="F2942" s="9">
        <f>IF(D2942="","",IFERROR(INDEX('Équipements'!$D$5:$D$304,MATCH(D2942,'Équipements'!$A$5:$A$304,0)),""))</f>
        <v/>
      </c>
      <c r="G2942" s="9">
        <f>IF(D2942="","",IFERROR(INDEX('Équipements'!$K$5:$K$304,MATCH(D2942,'Équipements'!$A$5:$A$304,0)),""))</f>
        <v/>
      </c>
      <c r="H2942" s="7" t="n"/>
      <c r="I2942" s="7" t="n"/>
      <c r="J2942" s="7" t="n"/>
      <c r="K2942" s="7" t="n"/>
      <c r="L2942" s="7" t="n"/>
      <c r="M2942" s="7" t="n"/>
      <c r="N2942" s="7" t="n"/>
      <c r="O2942" s="7" t="n"/>
      <c r="P2942" s="65" t="n"/>
      <c r="Q2942" s="75" t="n"/>
      <c r="R2942" s="75" t="n"/>
      <c r="S2942" s="76" t="n"/>
      <c r="T2942" s="76" t="n"/>
      <c r="U2942" s="70">
        <f>IF($A2942="","",IFERROR(INDEX('Techniciens'!$F$5:$F$44,MATCH(O2942,'Techniciens'!$B$5:$B$44,0)),'Paramètres'!$AA$10))</f>
        <v/>
      </c>
      <c r="V2942" s="70">
        <f>IF($A2942="","",IF(OR(AC2942="Demandé",AC2942="Planifié",AC2942="Annulé"),0,N(T2942)*N(U2942)))</f>
        <v/>
      </c>
      <c r="W2942" s="70">
        <f>IF($A2942="","",SUMIFS('Mouvements stock'!$H$5:$H$3004,'Mouvements stock'!$I$5:$I$3004,$A2942,'Mouvements stock'!$C$5:$C$3004,"Sortie")-SUMIFS('Mouvements stock'!$H$5:$H$3004,'Mouvements stock'!$I$5:$I$3004,$A2942,'Mouvements stock'!$C$5:$C$3004,"Retour"))</f>
        <v/>
      </c>
      <c r="X2942" s="66" t="n"/>
      <c r="Y2942" s="66" t="n"/>
      <c r="Z2942" s="7" t="n"/>
      <c r="AA2942" s="70">
        <f>IF($A2942="","",N(V2942)+N(W2942)+N(X2942)+N(Y2942))</f>
        <v/>
      </c>
      <c r="AB2942" s="70">
        <f>IF($A2942="","",N(S2942)*'Paramètres'!$AA$9*IFERROR(INDEX('Paramètres'!$O$5:$O$7,MATCH(G2942,'Paramètres'!$N$5:$N$7,0)),0))</f>
        <v/>
      </c>
      <c r="AC2942" s="7" t="n"/>
      <c r="AD2942" s="69">
        <f>IF(OR($A2942="",Q2942=""),"",(Q2942-B2942)*24)</f>
        <v/>
      </c>
      <c r="AE2942" s="69">
        <f>IF(OR(Q2942="",R2942=""),"",(R2942-Q2942)*24)</f>
        <v/>
      </c>
      <c r="AF2942" s="77">
        <f>IF(OR($A2942="",B2942=""),"",YEAR(B2942))</f>
        <v/>
      </c>
      <c r="AG2942" s="77">
        <f>IF(OR($A2942="",B2942=""),"",MONTH(B2942))</f>
        <v/>
      </c>
    </row>
    <row r="2943">
      <c r="A2943" s="7" t="n"/>
      <c r="B2943" s="75" t="n"/>
      <c r="C2943" s="7" t="n"/>
      <c r="D2943" s="7" t="n"/>
      <c r="E2943" s="9">
        <f>IF(D2943="","",IFERROR(INDEX('Équipements'!$B$5:$B$304,MATCH(D2943,'Équipements'!$A$5:$A$304,0)),"Code inconnu"))</f>
        <v/>
      </c>
      <c r="F2943" s="9">
        <f>IF(D2943="","",IFERROR(INDEX('Équipements'!$D$5:$D$304,MATCH(D2943,'Équipements'!$A$5:$A$304,0)),""))</f>
        <v/>
      </c>
      <c r="G2943" s="9">
        <f>IF(D2943="","",IFERROR(INDEX('Équipements'!$K$5:$K$304,MATCH(D2943,'Équipements'!$A$5:$A$304,0)),""))</f>
        <v/>
      </c>
      <c r="H2943" s="7" t="n"/>
      <c r="I2943" s="7" t="n"/>
      <c r="J2943" s="7" t="n"/>
      <c r="K2943" s="7" t="n"/>
      <c r="L2943" s="7" t="n"/>
      <c r="M2943" s="7" t="n"/>
      <c r="N2943" s="7" t="n"/>
      <c r="O2943" s="7" t="n"/>
      <c r="P2943" s="65" t="n"/>
      <c r="Q2943" s="75" t="n"/>
      <c r="R2943" s="75" t="n"/>
      <c r="S2943" s="76" t="n"/>
      <c r="T2943" s="76" t="n"/>
      <c r="U2943" s="70">
        <f>IF($A2943="","",IFERROR(INDEX('Techniciens'!$F$5:$F$44,MATCH(O2943,'Techniciens'!$B$5:$B$44,0)),'Paramètres'!$AA$10))</f>
        <v/>
      </c>
      <c r="V2943" s="70">
        <f>IF($A2943="","",IF(OR(AC2943="Demandé",AC2943="Planifié",AC2943="Annulé"),0,N(T2943)*N(U2943)))</f>
        <v/>
      </c>
      <c r="W2943" s="70">
        <f>IF($A2943="","",SUMIFS('Mouvements stock'!$H$5:$H$3004,'Mouvements stock'!$I$5:$I$3004,$A2943,'Mouvements stock'!$C$5:$C$3004,"Sortie")-SUMIFS('Mouvements stock'!$H$5:$H$3004,'Mouvements stock'!$I$5:$I$3004,$A2943,'Mouvements stock'!$C$5:$C$3004,"Retour"))</f>
        <v/>
      </c>
      <c r="X2943" s="66" t="n"/>
      <c r="Y2943" s="66" t="n"/>
      <c r="Z2943" s="7" t="n"/>
      <c r="AA2943" s="70">
        <f>IF($A2943="","",N(V2943)+N(W2943)+N(X2943)+N(Y2943))</f>
        <v/>
      </c>
      <c r="AB2943" s="70">
        <f>IF($A2943="","",N(S2943)*'Paramètres'!$AA$9*IFERROR(INDEX('Paramètres'!$O$5:$O$7,MATCH(G2943,'Paramètres'!$N$5:$N$7,0)),0))</f>
        <v/>
      </c>
      <c r="AC2943" s="7" t="n"/>
      <c r="AD2943" s="69">
        <f>IF(OR($A2943="",Q2943=""),"",(Q2943-B2943)*24)</f>
        <v/>
      </c>
      <c r="AE2943" s="69">
        <f>IF(OR(Q2943="",R2943=""),"",(R2943-Q2943)*24)</f>
        <v/>
      </c>
      <c r="AF2943" s="77">
        <f>IF(OR($A2943="",B2943=""),"",YEAR(B2943))</f>
        <v/>
      </c>
      <c r="AG2943" s="77">
        <f>IF(OR($A2943="",B2943=""),"",MONTH(B2943))</f>
        <v/>
      </c>
    </row>
    <row r="2944">
      <c r="A2944" s="7" t="n"/>
      <c r="B2944" s="75" t="n"/>
      <c r="C2944" s="7" t="n"/>
      <c r="D2944" s="7" t="n"/>
      <c r="E2944" s="9">
        <f>IF(D2944="","",IFERROR(INDEX('Équipements'!$B$5:$B$304,MATCH(D2944,'Équipements'!$A$5:$A$304,0)),"Code inconnu"))</f>
        <v/>
      </c>
      <c r="F2944" s="9">
        <f>IF(D2944="","",IFERROR(INDEX('Équipements'!$D$5:$D$304,MATCH(D2944,'Équipements'!$A$5:$A$304,0)),""))</f>
        <v/>
      </c>
      <c r="G2944" s="9">
        <f>IF(D2944="","",IFERROR(INDEX('Équipements'!$K$5:$K$304,MATCH(D2944,'Équipements'!$A$5:$A$304,0)),""))</f>
        <v/>
      </c>
      <c r="H2944" s="7" t="n"/>
      <c r="I2944" s="7" t="n"/>
      <c r="J2944" s="7" t="n"/>
      <c r="K2944" s="7" t="n"/>
      <c r="L2944" s="7" t="n"/>
      <c r="M2944" s="7" t="n"/>
      <c r="N2944" s="7" t="n"/>
      <c r="O2944" s="7" t="n"/>
      <c r="P2944" s="65" t="n"/>
      <c r="Q2944" s="75" t="n"/>
      <c r="R2944" s="75" t="n"/>
      <c r="S2944" s="76" t="n"/>
      <c r="T2944" s="76" t="n"/>
      <c r="U2944" s="70">
        <f>IF($A2944="","",IFERROR(INDEX('Techniciens'!$F$5:$F$44,MATCH(O2944,'Techniciens'!$B$5:$B$44,0)),'Paramètres'!$AA$10))</f>
        <v/>
      </c>
      <c r="V2944" s="70">
        <f>IF($A2944="","",IF(OR(AC2944="Demandé",AC2944="Planifié",AC2944="Annulé"),0,N(T2944)*N(U2944)))</f>
        <v/>
      </c>
      <c r="W2944" s="70">
        <f>IF($A2944="","",SUMIFS('Mouvements stock'!$H$5:$H$3004,'Mouvements stock'!$I$5:$I$3004,$A2944,'Mouvements stock'!$C$5:$C$3004,"Sortie")-SUMIFS('Mouvements stock'!$H$5:$H$3004,'Mouvements stock'!$I$5:$I$3004,$A2944,'Mouvements stock'!$C$5:$C$3004,"Retour"))</f>
        <v/>
      </c>
      <c r="X2944" s="66" t="n"/>
      <c r="Y2944" s="66" t="n"/>
      <c r="Z2944" s="7" t="n"/>
      <c r="AA2944" s="70">
        <f>IF($A2944="","",N(V2944)+N(W2944)+N(X2944)+N(Y2944))</f>
        <v/>
      </c>
      <c r="AB2944" s="70">
        <f>IF($A2944="","",N(S2944)*'Paramètres'!$AA$9*IFERROR(INDEX('Paramètres'!$O$5:$O$7,MATCH(G2944,'Paramètres'!$N$5:$N$7,0)),0))</f>
        <v/>
      </c>
      <c r="AC2944" s="7" t="n"/>
      <c r="AD2944" s="69">
        <f>IF(OR($A2944="",Q2944=""),"",(Q2944-B2944)*24)</f>
        <v/>
      </c>
      <c r="AE2944" s="69">
        <f>IF(OR(Q2944="",R2944=""),"",(R2944-Q2944)*24)</f>
        <v/>
      </c>
      <c r="AF2944" s="77">
        <f>IF(OR($A2944="",B2944=""),"",YEAR(B2944))</f>
        <v/>
      </c>
      <c r="AG2944" s="77">
        <f>IF(OR($A2944="",B2944=""),"",MONTH(B2944))</f>
        <v/>
      </c>
    </row>
    <row r="2945">
      <c r="A2945" s="7" t="n"/>
      <c r="B2945" s="75" t="n"/>
      <c r="C2945" s="7" t="n"/>
      <c r="D2945" s="7" t="n"/>
      <c r="E2945" s="9">
        <f>IF(D2945="","",IFERROR(INDEX('Équipements'!$B$5:$B$304,MATCH(D2945,'Équipements'!$A$5:$A$304,0)),"Code inconnu"))</f>
        <v/>
      </c>
      <c r="F2945" s="9">
        <f>IF(D2945="","",IFERROR(INDEX('Équipements'!$D$5:$D$304,MATCH(D2945,'Équipements'!$A$5:$A$304,0)),""))</f>
        <v/>
      </c>
      <c r="G2945" s="9">
        <f>IF(D2945="","",IFERROR(INDEX('Équipements'!$K$5:$K$304,MATCH(D2945,'Équipements'!$A$5:$A$304,0)),""))</f>
        <v/>
      </c>
      <c r="H2945" s="7" t="n"/>
      <c r="I2945" s="7" t="n"/>
      <c r="J2945" s="7" t="n"/>
      <c r="K2945" s="7" t="n"/>
      <c r="L2945" s="7" t="n"/>
      <c r="M2945" s="7" t="n"/>
      <c r="N2945" s="7" t="n"/>
      <c r="O2945" s="7" t="n"/>
      <c r="P2945" s="65" t="n"/>
      <c r="Q2945" s="75" t="n"/>
      <c r="R2945" s="75" t="n"/>
      <c r="S2945" s="76" t="n"/>
      <c r="T2945" s="76" t="n"/>
      <c r="U2945" s="70">
        <f>IF($A2945="","",IFERROR(INDEX('Techniciens'!$F$5:$F$44,MATCH(O2945,'Techniciens'!$B$5:$B$44,0)),'Paramètres'!$AA$10))</f>
        <v/>
      </c>
      <c r="V2945" s="70">
        <f>IF($A2945="","",IF(OR(AC2945="Demandé",AC2945="Planifié",AC2945="Annulé"),0,N(T2945)*N(U2945)))</f>
        <v/>
      </c>
      <c r="W2945" s="70">
        <f>IF($A2945="","",SUMIFS('Mouvements stock'!$H$5:$H$3004,'Mouvements stock'!$I$5:$I$3004,$A2945,'Mouvements stock'!$C$5:$C$3004,"Sortie")-SUMIFS('Mouvements stock'!$H$5:$H$3004,'Mouvements stock'!$I$5:$I$3004,$A2945,'Mouvements stock'!$C$5:$C$3004,"Retour"))</f>
        <v/>
      </c>
      <c r="X2945" s="66" t="n"/>
      <c r="Y2945" s="66" t="n"/>
      <c r="Z2945" s="7" t="n"/>
      <c r="AA2945" s="70">
        <f>IF($A2945="","",N(V2945)+N(W2945)+N(X2945)+N(Y2945))</f>
        <v/>
      </c>
      <c r="AB2945" s="70">
        <f>IF($A2945="","",N(S2945)*'Paramètres'!$AA$9*IFERROR(INDEX('Paramètres'!$O$5:$O$7,MATCH(G2945,'Paramètres'!$N$5:$N$7,0)),0))</f>
        <v/>
      </c>
      <c r="AC2945" s="7" t="n"/>
      <c r="AD2945" s="69">
        <f>IF(OR($A2945="",Q2945=""),"",(Q2945-B2945)*24)</f>
        <v/>
      </c>
      <c r="AE2945" s="69">
        <f>IF(OR(Q2945="",R2945=""),"",(R2945-Q2945)*24)</f>
        <v/>
      </c>
      <c r="AF2945" s="77">
        <f>IF(OR($A2945="",B2945=""),"",YEAR(B2945))</f>
        <v/>
      </c>
      <c r="AG2945" s="77">
        <f>IF(OR($A2945="",B2945=""),"",MONTH(B2945))</f>
        <v/>
      </c>
    </row>
    <row r="2946">
      <c r="A2946" s="7" t="n"/>
      <c r="B2946" s="75" t="n"/>
      <c r="C2946" s="7" t="n"/>
      <c r="D2946" s="7" t="n"/>
      <c r="E2946" s="9">
        <f>IF(D2946="","",IFERROR(INDEX('Équipements'!$B$5:$B$304,MATCH(D2946,'Équipements'!$A$5:$A$304,0)),"Code inconnu"))</f>
        <v/>
      </c>
      <c r="F2946" s="9">
        <f>IF(D2946="","",IFERROR(INDEX('Équipements'!$D$5:$D$304,MATCH(D2946,'Équipements'!$A$5:$A$304,0)),""))</f>
        <v/>
      </c>
      <c r="G2946" s="9">
        <f>IF(D2946="","",IFERROR(INDEX('Équipements'!$K$5:$K$304,MATCH(D2946,'Équipements'!$A$5:$A$304,0)),""))</f>
        <v/>
      </c>
      <c r="H2946" s="7" t="n"/>
      <c r="I2946" s="7" t="n"/>
      <c r="J2946" s="7" t="n"/>
      <c r="K2946" s="7" t="n"/>
      <c r="L2946" s="7" t="n"/>
      <c r="M2946" s="7" t="n"/>
      <c r="N2946" s="7" t="n"/>
      <c r="O2946" s="7" t="n"/>
      <c r="P2946" s="65" t="n"/>
      <c r="Q2946" s="75" t="n"/>
      <c r="R2946" s="75" t="n"/>
      <c r="S2946" s="76" t="n"/>
      <c r="T2946" s="76" t="n"/>
      <c r="U2946" s="70">
        <f>IF($A2946="","",IFERROR(INDEX('Techniciens'!$F$5:$F$44,MATCH(O2946,'Techniciens'!$B$5:$B$44,0)),'Paramètres'!$AA$10))</f>
        <v/>
      </c>
      <c r="V2946" s="70">
        <f>IF($A2946="","",IF(OR(AC2946="Demandé",AC2946="Planifié",AC2946="Annulé"),0,N(T2946)*N(U2946)))</f>
        <v/>
      </c>
      <c r="W2946" s="70">
        <f>IF($A2946="","",SUMIFS('Mouvements stock'!$H$5:$H$3004,'Mouvements stock'!$I$5:$I$3004,$A2946,'Mouvements stock'!$C$5:$C$3004,"Sortie")-SUMIFS('Mouvements stock'!$H$5:$H$3004,'Mouvements stock'!$I$5:$I$3004,$A2946,'Mouvements stock'!$C$5:$C$3004,"Retour"))</f>
        <v/>
      </c>
      <c r="X2946" s="66" t="n"/>
      <c r="Y2946" s="66" t="n"/>
      <c r="Z2946" s="7" t="n"/>
      <c r="AA2946" s="70">
        <f>IF($A2946="","",N(V2946)+N(W2946)+N(X2946)+N(Y2946))</f>
        <v/>
      </c>
      <c r="AB2946" s="70">
        <f>IF($A2946="","",N(S2946)*'Paramètres'!$AA$9*IFERROR(INDEX('Paramètres'!$O$5:$O$7,MATCH(G2946,'Paramètres'!$N$5:$N$7,0)),0))</f>
        <v/>
      </c>
      <c r="AC2946" s="7" t="n"/>
      <c r="AD2946" s="69">
        <f>IF(OR($A2946="",Q2946=""),"",(Q2946-B2946)*24)</f>
        <v/>
      </c>
      <c r="AE2946" s="69">
        <f>IF(OR(Q2946="",R2946=""),"",(R2946-Q2946)*24)</f>
        <v/>
      </c>
      <c r="AF2946" s="77">
        <f>IF(OR($A2946="",B2946=""),"",YEAR(B2946))</f>
        <v/>
      </c>
      <c r="AG2946" s="77">
        <f>IF(OR($A2946="",B2946=""),"",MONTH(B2946))</f>
        <v/>
      </c>
    </row>
    <row r="2947">
      <c r="A2947" s="7" t="n"/>
      <c r="B2947" s="75" t="n"/>
      <c r="C2947" s="7" t="n"/>
      <c r="D2947" s="7" t="n"/>
      <c r="E2947" s="9">
        <f>IF(D2947="","",IFERROR(INDEX('Équipements'!$B$5:$B$304,MATCH(D2947,'Équipements'!$A$5:$A$304,0)),"Code inconnu"))</f>
        <v/>
      </c>
      <c r="F2947" s="9">
        <f>IF(D2947="","",IFERROR(INDEX('Équipements'!$D$5:$D$304,MATCH(D2947,'Équipements'!$A$5:$A$304,0)),""))</f>
        <v/>
      </c>
      <c r="G2947" s="9">
        <f>IF(D2947="","",IFERROR(INDEX('Équipements'!$K$5:$K$304,MATCH(D2947,'Équipements'!$A$5:$A$304,0)),""))</f>
        <v/>
      </c>
      <c r="H2947" s="7" t="n"/>
      <c r="I2947" s="7" t="n"/>
      <c r="J2947" s="7" t="n"/>
      <c r="K2947" s="7" t="n"/>
      <c r="L2947" s="7" t="n"/>
      <c r="M2947" s="7" t="n"/>
      <c r="N2947" s="7" t="n"/>
      <c r="O2947" s="7" t="n"/>
      <c r="P2947" s="65" t="n"/>
      <c r="Q2947" s="75" t="n"/>
      <c r="R2947" s="75" t="n"/>
      <c r="S2947" s="76" t="n"/>
      <c r="T2947" s="76" t="n"/>
      <c r="U2947" s="70">
        <f>IF($A2947="","",IFERROR(INDEX('Techniciens'!$F$5:$F$44,MATCH(O2947,'Techniciens'!$B$5:$B$44,0)),'Paramètres'!$AA$10))</f>
        <v/>
      </c>
      <c r="V2947" s="70">
        <f>IF($A2947="","",IF(OR(AC2947="Demandé",AC2947="Planifié",AC2947="Annulé"),0,N(T2947)*N(U2947)))</f>
        <v/>
      </c>
      <c r="W2947" s="70">
        <f>IF($A2947="","",SUMIFS('Mouvements stock'!$H$5:$H$3004,'Mouvements stock'!$I$5:$I$3004,$A2947,'Mouvements stock'!$C$5:$C$3004,"Sortie")-SUMIFS('Mouvements stock'!$H$5:$H$3004,'Mouvements stock'!$I$5:$I$3004,$A2947,'Mouvements stock'!$C$5:$C$3004,"Retour"))</f>
        <v/>
      </c>
      <c r="X2947" s="66" t="n"/>
      <c r="Y2947" s="66" t="n"/>
      <c r="Z2947" s="7" t="n"/>
      <c r="AA2947" s="70">
        <f>IF($A2947="","",N(V2947)+N(W2947)+N(X2947)+N(Y2947))</f>
        <v/>
      </c>
      <c r="AB2947" s="70">
        <f>IF($A2947="","",N(S2947)*'Paramètres'!$AA$9*IFERROR(INDEX('Paramètres'!$O$5:$O$7,MATCH(G2947,'Paramètres'!$N$5:$N$7,0)),0))</f>
        <v/>
      </c>
      <c r="AC2947" s="7" t="n"/>
      <c r="AD2947" s="69">
        <f>IF(OR($A2947="",Q2947=""),"",(Q2947-B2947)*24)</f>
        <v/>
      </c>
      <c r="AE2947" s="69">
        <f>IF(OR(Q2947="",R2947=""),"",(R2947-Q2947)*24)</f>
        <v/>
      </c>
      <c r="AF2947" s="77">
        <f>IF(OR($A2947="",B2947=""),"",YEAR(B2947))</f>
        <v/>
      </c>
      <c r="AG2947" s="77">
        <f>IF(OR($A2947="",B2947=""),"",MONTH(B2947))</f>
        <v/>
      </c>
    </row>
    <row r="2948">
      <c r="A2948" s="7" t="n"/>
      <c r="B2948" s="75" t="n"/>
      <c r="C2948" s="7" t="n"/>
      <c r="D2948" s="7" t="n"/>
      <c r="E2948" s="9">
        <f>IF(D2948="","",IFERROR(INDEX('Équipements'!$B$5:$B$304,MATCH(D2948,'Équipements'!$A$5:$A$304,0)),"Code inconnu"))</f>
        <v/>
      </c>
      <c r="F2948" s="9">
        <f>IF(D2948="","",IFERROR(INDEX('Équipements'!$D$5:$D$304,MATCH(D2948,'Équipements'!$A$5:$A$304,0)),""))</f>
        <v/>
      </c>
      <c r="G2948" s="9">
        <f>IF(D2948="","",IFERROR(INDEX('Équipements'!$K$5:$K$304,MATCH(D2948,'Équipements'!$A$5:$A$304,0)),""))</f>
        <v/>
      </c>
      <c r="H2948" s="7" t="n"/>
      <c r="I2948" s="7" t="n"/>
      <c r="J2948" s="7" t="n"/>
      <c r="K2948" s="7" t="n"/>
      <c r="L2948" s="7" t="n"/>
      <c r="M2948" s="7" t="n"/>
      <c r="N2948" s="7" t="n"/>
      <c r="O2948" s="7" t="n"/>
      <c r="P2948" s="65" t="n"/>
      <c r="Q2948" s="75" t="n"/>
      <c r="R2948" s="75" t="n"/>
      <c r="S2948" s="76" t="n"/>
      <c r="T2948" s="76" t="n"/>
      <c r="U2948" s="70">
        <f>IF($A2948="","",IFERROR(INDEX('Techniciens'!$F$5:$F$44,MATCH(O2948,'Techniciens'!$B$5:$B$44,0)),'Paramètres'!$AA$10))</f>
        <v/>
      </c>
      <c r="V2948" s="70">
        <f>IF($A2948="","",IF(OR(AC2948="Demandé",AC2948="Planifié",AC2948="Annulé"),0,N(T2948)*N(U2948)))</f>
        <v/>
      </c>
      <c r="W2948" s="70">
        <f>IF($A2948="","",SUMIFS('Mouvements stock'!$H$5:$H$3004,'Mouvements stock'!$I$5:$I$3004,$A2948,'Mouvements stock'!$C$5:$C$3004,"Sortie")-SUMIFS('Mouvements stock'!$H$5:$H$3004,'Mouvements stock'!$I$5:$I$3004,$A2948,'Mouvements stock'!$C$5:$C$3004,"Retour"))</f>
        <v/>
      </c>
      <c r="X2948" s="66" t="n"/>
      <c r="Y2948" s="66" t="n"/>
      <c r="Z2948" s="7" t="n"/>
      <c r="AA2948" s="70">
        <f>IF($A2948="","",N(V2948)+N(W2948)+N(X2948)+N(Y2948))</f>
        <v/>
      </c>
      <c r="AB2948" s="70">
        <f>IF($A2948="","",N(S2948)*'Paramètres'!$AA$9*IFERROR(INDEX('Paramètres'!$O$5:$O$7,MATCH(G2948,'Paramètres'!$N$5:$N$7,0)),0))</f>
        <v/>
      </c>
      <c r="AC2948" s="7" t="n"/>
      <c r="AD2948" s="69">
        <f>IF(OR($A2948="",Q2948=""),"",(Q2948-B2948)*24)</f>
        <v/>
      </c>
      <c r="AE2948" s="69">
        <f>IF(OR(Q2948="",R2948=""),"",(R2948-Q2948)*24)</f>
        <v/>
      </c>
      <c r="AF2948" s="77">
        <f>IF(OR($A2948="",B2948=""),"",YEAR(B2948))</f>
        <v/>
      </c>
      <c r="AG2948" s="77">
        <f>IF(OR($A2948="",B2948=""),"",MONTH(B2948))</f>
        <v/>
      </c>
    </row>
    <row r="2949">
      <c r="A2949" s="7" t="n"/>
      <c r="B2949" s="75" t="n"/>
      <c r="C2949" s="7" t="n"/>
      <c r="D2949" s="7" t="n"/>
      <c r="E2949" s="9">
        <f>IF(D2949="","",IFERROR(INDEX('Équipements'!$B$5:$B$304,MATCH(D2949,'Équipements'!$A$5:$A$304,0)),"Code inconnu"))</f>
        <v/>
      </c>
      <c r="F2949" s="9">
        <f>IF(D2949="","",IFERROR(INDEX('Équipements'!$D$5:$D$304,MATCH(D2949,'Équipements'!$A$5:$A$304,0)),""))</f>
        <v/>
      </c>
      <c r="G2949" s="9">
        <f>IF(D2949="","",IFERROR(INDEX('Équipements'!$K$5:$K$304,MATCH(D2949,'Équipements'!$A$5:$A$304,0)),""))</f>
        <v/>
      </c>
      <c r="H2949" s="7" t="n"/>
      <c r="I2949" s="7" t="n"/>
      <c r="J2949" s="7" t="n"/>
      <c r="K2949" s="7" t="n"/>
      <c r="L2949" s="7" t="n"/>
      <c r="M2949" s="7" t="n"/>
      <c r="N2949" s="7" t="n"/>
      <c r="O2949" s="7" t="n"/>
      <c r="P2949" s="65" t="n"/>
      <c r="Q2949" s="75" t="n"/>
      <c r="R2949" s="75" t="n"/>
      <c r="S2949" s="76" t="n"/>
      <c r="T2949" s="76" t="n"/>
      <c r="U2949" s="70">
        <f>IF($A2949="","",IFERROR(INDEX('Techniciens'!$F$5:$F$44,MATCH(O2949,'Techniciens'!$B$5:$B$44,0)),'Paramètres'!$AA$10))</f>
        <v/>
      </c>
      <c r="V2949" s="70">
        <f>IF($A2949="","",IF(OR(AC2949="Demandé",AC2949="Planifié",AC2949="Annulé"),0,N(T2949)*N(U2949)))</f>
        <v/>
      </c>
      <c r="W2949" s="70">
        <f>IF($A2949="","",SUMIFS('Mouvements stock'!$H$5:$H$3004,'Mouvements stock'!$I$5:$I$3004,$A2949,'Mouvements stock'!$C$5:$C$3004,"Sortie")-SUMIFS('Mouvements stock'!$H$5:$H$3004,'Mouvements stock'!$I$5:$I$3004,$A2949,'Mouvements stock'!$C$5:$C$3004,"Retour"))</f>
        <v/>
      </c>
      <c r="X2949" s="66" t="n"/>
      <c r="Y2949" s="66" t="n"/>
      <c r="Z2949" s="7" t="n"/>
      <c r="AA2949" s="70">
        <f>IF($A2949="","",N(V2949)+N(W2949)+N(X2949)+N(Y2949))</f>
        <v/>
      </c>
      <c r="AB2949" s="70">
        <f>IF($A2949="","",N(S2949)*'Paramètres'!$AA$9*IFERROR(INDEX('Paramètres'!$O$5:$O$7,MATCH(G2949,'Paramètres'!$N$5:$N$7,0)),0))</f>
        <v/>
      </c>
      <c r="AC2949" s="7" t="n"/>
      <c r="AD2949" s="69">
        <f>IF(OR($A2949="",Q2949=""),"",(Q2949-B2949)*24)</f>
        <v/>
      </c>
      <c r="AE2949" s="69">
        <f>IF(OR(Q2949="",R2949=""),"",(R2949-Q2949)*24)</f>
        <v/>
      </c>
      <c r="AF2949" s="77">
        <f>IF(OR($A2949="",B2949=""),"",YEAR(B2949))</f>
        <v/>
      </c>
      <c r="AG2949" s="77">
        <f>IF(OR($A2949="",B2949=""),"",MONTH(B2949))</f>
        <v/>
      </c>
    </row>
    <row r="2950">
      <c r="A2950" s="7" t="n"/>
      <c r="B2950" s="75" t="n"/>
      <c r="C2950" s="7" t="n"/>
      <c r="D2950" s="7" t="n"/>
      <c r="E2950" s="9">
        <f>IF(D2950="","",IFERROR(INDEX('Équipements'!$B$5:$B$304,MATCH(D2950,'Équipements'!$A$5:$A$304,0)),"Code inconnu"))</f>
        <v/>
      </c>
      <c r="F2950" s="9">
        <f>IF(D2950="","",IFERROR(INDEX('Équipements'!$D$5:$D$304,MATCH(D2950,'Équipements'!$A$5:$A$304,0)),""))</f>
        <v/>
      </c>
      <c r="G2950" s="9">
        <f>IF(D2950="","",IFERROR(INDEX('Équipements'!$K$5:$K$304,MATCH(D2950,'Équipements'!$A$5:$A$304,0)),""))</f>
        <v/>
      </c>
      <c r="H2950" s="7" t="n"/>
      <c r="I2950" s="7" t="n"/>
      <c r="J2950" s="7" t="n"/>
      <c r="K2950" s="7" t="n"/>
      <c r="L2950" s="7" t="n"/>
      <c r="M2950" s="7" t="n"/>
      <c r="N2950" s="7" t="n"/>
      <c r="O2950" s="7" t="n"/>
      <c r="P2950" s="65" t="n"/>
      <c r="Q2950" s="75" t="n"/>
      <c r="R2950" s="75" t="n"/>
      <c r="S2950" s="76" t="n"/>
      <c r="T2950" s="76" t="n"/>
      <c r="U2950" s="70">
        <f>IF($A2950="","",IFERROR(INDEX('Techniciens'!$F$5:$F$44,MATCH(O2950,'Techniciens'!$B$5:$B$44,0)),'Paramètres'!$AA$10))</f>
        <v/>
      </c>
      <c r="V2950" s="70">
        <f>IF($A2950="","",IF(OR(AC2950="Demandé",AC2950="Planifié",AC2950="Annulé"),0,N(T2950)*N(U2950)))</f>
        <v/>
      </c>
      <c r="W2950" s="70">
        <f>IF($A2950="","",SUMIFS('Mouvements stock'!$H$5:$H$3004,'Mouvements stock'!$I$5:$I$3004,$A2950,'Mouvements stock'!$C$5:$C$3004,"Sortie")-SUMIFS('Mouvements stock'!$H$5:$H$3004,'Mouvements stock'!$I$5:$I$3004,$A2950,'Mouvements stock'!$C$5:$C$3004,"Retour"))</f>
        <v/>
      </c>
      <c r="X2950" s="66" t="n"/>
      <c r="Y2950" s="66" t="n"/>
      <c r="Z2950" s="7" t="n"/>
      <c r="AA2950" s="70">
        <f>IF($A2950="","",N(V2950)+N(W2950)+N(X2950)+N(Y2950))</f>
        <v/>
      </c>
      <c r="AB2950" s="70">
        <f>IF($A2950="","",N(S2950)*'Paramètres'!$AA$9*IFERROR(INDEX('Paramètres'!$O$5:$O$7,MATCH(G2950,'Paramètres'!$N$5:$N$7,0)),0))</f>
        <v/>
      </c>
      <c r="AC2950" s="7" t="n"/>
      <c r="AD2950" s="69">
        <f>IF(OR($A2950="",Q2950=""),"",(Q2950-B2950)*24)</f>
        <v/>
      </c>
      <c r="AE2950" s="69">
        <f>IF(OR(Q2950="",R2950=""),"",(R2950-Q2950)*24)</f>
        <v/>
      </c>
      <c r="AF2950" s="77">
        <f>IF(OR($A2950="",B2950=""),"",YEAR(B2950))</f>
        <v/>
      </c>
      <c r="AG2950" s="77">
        <f>IF(OR($A2950="",B2950=""),"",MONTH(B2950))</f>
        <v/>
      </c>
    </row>
    <row r="2951">
      <c r="A2951" s="7" t="n"/>
      <c r="B2951" s="75" t="n"/>
      <c r="C2951" s="7" t="n"/>
      <c r="D2951" s="7" t="n"/>
      <c r="E2951" s="9">
        <f>IF(D2951="","",IFERROR(INDEX('Équipements'!$B$5:$B$304,MATCH(D2951,'Équipements'!$A$5:$A$304,0)),"Code inconnu"))</f>
        <v/>
      </c>
      <c r="F2951" s="9">
        <f>IF(D2951="","",IFERROR(INDEX('Équipements'!$D$5:$D$304,MATCH(D2951,'Équipements'!$A$5:$A$304,0)),""))</f>
        <v/>
      </c>
      <c r="G2951" s="9">
        <f>IF(D2951="","",IFERROR(INDEX('Équipements'!$K$5:$K$304,MATCH(D2951,'Équipements'!$A$5:$A$304,0)),""))</f>
        <v/>
      </c>
      <c r="H2951" s="7" t="n"/>
      <c r="I2951" s="7" t="n"/>
      <c r="J2951" s="7" t="n"/>
      <c r="K2951" s="7" t="n"/>
      <c r="L2951" s="7" t="n"/>
      <c r="M2951" s="7" t="n"/>
      <c r="N2951" s="7" t="n"/>
      <c r="O2951" s="7" t="n"/>
      <c r="P2951" s="65" t="n"/>
      <c r="Q2951" s="75" t="n"/>
      <c r="R2951" s="75" t="n"/>
      <c r="S2951" s="76" t="n"/>
      <c r="T2951" s="76" t="n"/>
      <c r="U2951" s="70">
        <f>IF($A2951="","",IFERROR(INDEX('Techniciens'!$F$5:$F$44,MATCH(O2951,'Techniciens'!$B$5:$B$44,0)),'Paramètres'!$AA$10))</f>
        <v/>
      </c>
      <c r="V2951" s="70">
        <f>IF($A2951="","",IF(OR(AC2951="Demandé",AC2951="Planifié",AC2951="Annulé"),0,N(T2951)*N(U2951)))</f>
        <v/>
      </c>
      <c r="W2951" s="70">
        <f>IF($A2951="","",SUMIFS('Mouvements stock'!$H$5:$H$3004,'Mouvements stock'!$I$5:$I$3004,$A2951,'Mouvements stock'!$C$5:$C$3004,"Sortie")-SUMIFS('Mouvements stock'!$H$5:$H$3004,'Mouvements stock'!$I$5:$I$3004,$A2951,'Mouvements stock'!$C$5:$C$3004,"Retour"))</f>
        <v/>
      </c>
      <c r="X2951" s="66" t="n"/>
      <c r="Y2951" s="66" t="n"/>
      <c r="Z2951" s="7" t="n"/>
      <c r="AA2951" s="70">
        <f>IF($A2951="","",N(V2951)+N(W2951)+N(X2951)+N(Y2951))</f>
        <v/>
      </c>
      <c r="AB2951" s="70">
        <f>IF($A2951="","",N(S2951)*'Paramètres'!$AA$9*IFERROR(INDEX('Paramètres'!$O$5:$O$7,MATCH(G2951,'Paramètres'!$N$5:$N$7,0)),0))</f>
        <v/>
      </c>
      <c r="AC2951" s="7" t="n"/>
      <c r="AD2951" s="69">
        <f>IF(OR($A2951="",Q2951=""),"",(Q2951-B2951)*24)</f>
        <v/>
      </c>
      <c r="AE2951" s="69">
        <f>IF(OR(Q2951="",R2951=""),"",(R2951-Q2951)*24)</f>
        <v/>
      </c>
      <c r="AF2951" s="77">
        <f>IF(OR($A2951="",B2951=""),"",YEAR(B2951))</f>
        <v/>
      </c>
      <c r="AG2951" s="77">
        <f>IF(OR($A2951="",B2951=""),"",MONTH(B2951))</f>
        <v/>
      </c>
    </row>
    <row r="2952">
      <c r="A2952" s="7" t="n"/>
      <c r="B2952" s="75" t="n"/>
      <c r="C2952" s="7" t="n"/>
      <c r="D2952" s="7" t="n"/>
      <c r="E2952" s="9">
        <f>IF(D2952="","",IFERROR(INDEX('Équipements'!$B$5:$B$304,MATCH(D2952,'Équipements'!$A$5:$A$304,0)),"Code inconnu"))</f>
        <v/>
      </c>
      <c r="F2952" s="9">
        <f>IF(D2952="","",IFERROR(INDEX('Équipements'!$D$5:$D$304,MATCH(D2952,'Équipements'!$A$5:$A$304,0)),""))</f>
        <v/>
      </c>
      <c r="G2952" s="9">
        <f>IF(D2952="","",IFERROR(INDEX('Équipements'!$K$5:$K$304,MATCH(D2952,'Équipements'!$A$5:$A$304,0)),""))</f>
        <v/>
      </c>
      <c r="H2952" s="7" t="n"/>
      <c r="I2952" s="7" t="n"/>
      <c r="J2952" s="7" t="n"/>
      <c r="K2952" s="7" t="n"/>
      <c r="L2952" s="7" t="n"/>
      <c r="M2952" s="7" t="n"/>
      <c r="N2952" s="7" t="n"/>
      <c r="O2952" s="7" t="n"/>
      <c r="P2952" s="65" t="n"/>
      <c r="Q2952" s="75" t="n"/>
      <c r="R2952" s="75" t="n"/>
      <c r="S2952" s="76" t="n"/>
      <c r="T2952" s="76" t="n"/>
      <c r="U2952" s="70">
        <f>IF($A2952="","",IFERROR(INDEX('Techniciens'!$F$5:$F$44,MATCH(O2952,'Techniciens'!$B$5:$B$44,0)),'Paramètres'!$AA$10))</f>
        <v/>
      </c>
      <c r="V2952" s="70">
        <f>IF($A2952="","",IF(OR(AC2952="Demandé",AC2952="Planifié",AC2952="Annulé"),0,N(T2952)*N(U2952)))</f>
        <v/>
      </c>
      <c r="W2952" s="70">
        <f>IF($A2952="","",SUMIFS('Mouvements stock'!$H$5:$H$3004,'Mouvements stock'!$I$5:$I$3004,$A2952,'Mouvements stock'!$C$5:$C$3004,"Sortie")-SUMIFS('Mouvements stock'!$H$5:$H$3004,'Mouvements stock'!$I$5:$I$3004,$A2952,'Mouvements stock'!$C$5:$C$3004,"Retour"))</f>
        <v/>
      </c>
      <c r="X2952" s="66" t="n"/>
      <c r="Y2952" s="66" t="n"/>
      <c r="Z2952" s="7" t="n"/>
      <c r="AA2952" s="70">
        <f>IF($A2952="","",N(V2952)+N(W2952)+N(X2952)+N(Y2952))</f>
        <v/>
      </c>
      <c r="AB2952" s="70">
        <f>IF($A2952="","",N(S2952)*'Paramètres'!$AA$9*IFERROR(INDEX('Paramètres'!$O$5:$O$7,MATCH(G2952,'Paramètres'!$N$5:$N$7,0)),0))</f>
        <v/>
      </c>
      <c r="AC2952" s="7" t="n"/>
      <c r="AD2952" s="69">
        <f>IF(OR($A2952="",Q2952=""),"",(Q2952-B2952)*24)</f>
        <v/>
      </c>
      <c r="AE2952" s="69">
        <f>IF(OR(Q2952="",R2952=""),"",(R2952-Q2952)*24)</f>
        <v/>
      </c>
      <c r="AF2952" s="77">
        <f>IF(OR($A2952="",B2952=""),"",YEAR(B2952))</f>
        <v/>
      </c>
      <c r="AG2952" s="77">
        <f>IF(OR($A2952="",B2952=""),"",MONTH(B2952))</f>
        <v/>
      </c>
    </row>
    <row r="2953">
      <c r="A2953" s="7" t="n"/>
      <c r="B2953" s="75" t="n"/>
      <c r="C2953" s="7" t="n"/>
      <c r="D2953" s="7" t="n"/>
      <c r="E2953" s="9">
        <f>IF(D2953="","",IFERROR(INDEX('Équipements'!$B$5:$B$304,MATCH(D2953,'Équipements'!$A$5:$A$304,0)),"Code inconnu"))</f>
        <v/>
      </c>
      <c r="F2953" s="9">
        <f>IF(D2953="","",IFERROR(INDEX('Équipements'!$D$5:$D$304,MATCH(D2953,'Équipements'!$A$5:$A$304,0)),""))</f>
        <v/>
      </c>
      <c r="G2953" s="9">
        <f>IF(D2953="","",IFERROR(INDEX('Équipements'!$K$5:$K$304,MATCH(D2953,'Équipements'!$A$5:$A$304,0)),""))</f>
        <v/>
      </c>
      <c r="H2953" s="7" t="n"/>
      <c r="I2953" s="7" t="n"/>
      <c r="J2953" s="7" t="n"/>
      <c r="K2953" s="7" t="n"/>
      <c r="L2953" s="7" t="n"/>
      <c r="M2953" s="7" t="n"/>
      <c r="N2953" s="7" t="n"/>
      <c r="O2953" s="7" t="n"/>
      <c r="P2953" s="65" t="n"/>
      <c r="Q2953" s="75" t="n"/>
      <c r="R2953" s="75" t="n"/>
      <c r="S2953" s="76" t="n"/>
      <c r="T2953" s="76" t="n"/>
      <c r="U2953" s="70">
        <f>IF($A2953="","",IFERROR(INDEX('Techniciens'!$F$5:$F$44,MATCH(O2953,'Techniciens'!$B$5:$B$44,0)),'Paramètres'!$AA$10))</f>
        <v/>
      </c>
      <c r="V2953" s="70">
        <f>IF($A2953="","",IF(OR(AC2953="Demandé",AC2953="Planifié",AC2953="Annulé"),0,N(T2953)*N(U2953)))</f>
        <v/>
      </c>
      <c r="W2953" s="70">
        <f>IF($A2953="","",SUMIFS('Mouvements stock'!$H$5:$H$3004,'Mouvements stock'!$I$5:$I$3004,$A2953,'Mouvements stock'!$C$5:$C$3004,"Sortie")-SUMIFS('Mouvements stock'!$H$5:$H$3004,'Mouvements stock'!$I$5:$I$3004,$A2953,'Mouvements stock'!$C$5:$C$3004,"Retour"))</f>
        <v/>
      </c>
      <c r="X2953" s="66" t="n"/>
      <c r="Y2953" s="66" t="n"/>
      <c r="Z2953" s="7" t="n"/>
      <c r="AA2953" s="70">
        <f>IF($A2953="","",N(V2953)+N(W2953)+N(X2953)+N(Y2953))</f>
        <v/>
      </c>
      <c r="AB2953" s="70">
        <f>IF($A2953="","",N(S2953)*'Paramètres'!$AA$9*IFERROR(INDEX('Paramètres'!$O$5:$O$7,MATCH(G2953,'Paramètres'!$N$5:$N$7,0)),0))</f>
        <v/>
      </c>
      <c r="AC2953" s="7" t="n"/>
      <c r="AD2953" s="69">
        <f>IF(OR($A2953="",Q2953=""),"",(Q2953-B2953)*24)</f>
        <v/>
      </c>
      <c r="AE2953" s="69">
        <f>IF(OR(Q2953="",R2953=""),"",(R2953-Q2953)*24)</f>
        <v/>
      </c>
      <c r="AF2953" s="77">
        <f>IF(OR($A2953="",B2953=""),"",YEAR(B2953))</f>
        <v/>
      </c>
      <c r="AG2953" s="77">
        <f>IF(OR($A2953="",B2953=""),"",MONTH(B2953))</f>
        <v/>
      </c>
    </row>
    <row r="2954">
      <c r="A2954" s="7" t="n"/>
      <c r="B2954" s="75" t="n"/>
      <c r="C2954" s="7" t="n"/>
      <c r="D2954" s="7" t="n"/>
      <c r="E2954" s="9">
        <f>IF(D2954="","",IFERROR(INDEX('Équipements'!$B$5:$B$304,MATCH(D2954,'Équipements'!$A$5:$A$304,0)),"Code inconnu"))</f>
        <v/>
      </c>
      <c r="F2954" s="9">
        <f>IF(D2954="","",IFERROR(INDEX('Équipements'!$D$5:$D$304,MATCH(D2954,'Équipements'!$A$5:$A$304,0)),""))</f>
        <v/>
      </c>
      <c r="G2954" s="9">
        <f>IF(D2954="","",IFERROR(INDEX('Équipements'!$K$5:$K$304,MATCH(D2954,'Équipements'!$A$5:$A$304,0)),""))</f>
        <v/>
      </c>
      <c r="H2954" s="7" t="n"/>
      <c r="I2954" s="7" t="n"/>
      <c r="J2954" s="7" t="n"/>
      <c r="K2954" s="7" t="n"/>
      <c r="L2954" s="7" t="n"/>
      <c r="M2954" s="7" t="n"/>
      <c r="N2954" s="7" t="n"/>
      <c r="O2954" s="7" t="n"/>
      <c r="P2954" s="65" t="n"/>
      <c r="Q2954" s="75" t="n"/>
      <c r="R2954" s="75" t="n"/>
      <c r="S2954" s="76" t="n"/>
      <c r="T2954" s="76" t="n"/>
      <c r="U2954" s="70">
        <f>IF($A2954="","",IFERROR(INDEX('Techniciens'!$F$5:$F$44,MATCH(O2954,'Techniciens'!$B$5:$B$44,0)),'Paramètres'!$AA$10))</f>
        <v/>
      </c>
      <c r="V2954" s="70">
        <f>IF($A2954="","",IF(OR(AC2954="Demandé",AC2954="Planifié",AC2954="Annulé"),0,N(T2954)*N(U2954)))</f>
        <v/>
      </c>
      <c r="W2954" s="70">
        <f>IF($A2954="","",SUMIFS('Mouvements stock'!$H$5:$H$3004,'Mouvements stock'!$I$5:$I$3004,$A2954,'Mouvements stock'!$C$5:$C$3004,"Sortie")-SUMIFS('Mouvements stock'!$H$5:$H$3004,'Mouvements stock'!$I$5:$I$3004,$A2954,'Mouvements stock'!$C$5:$C$3004,"Retour"))</f>
        <v/>
      </c>
      <c r="X2954" s="66" t="n"/>
      <c r="Y2954" s="66" t="n"/>
      <c r="Z2954" s="7" t="n"/>
      <c r="AA2954" s="70">
        <f>IF($A2954="","",N(V2954)+N(W2954)+N(X2954)+N(Y2954))</f>
        <v/>
      </c>
      <c r="AB2954" s="70">
        <f>IF($A2954="","",N(S2954)*'Paramètres'!$AA$9*IFERROR(INDEX('Paramètres'!$O$5:$O$7,MATCH(G2954,'Paramètres'!$N$5:$N$7,0)),0))</f>
        <v/>
      </c>
      <c r="AC2954" s="7" t="n"/>
      <c r="AD2954" s="69">
        <f>IF(OR($A2954="",Q2954=""),"",(Q2954-B2954)*24)</f>
        <v/>
      </c>
      <c r="AE2954" s="69">
        <f>IF(OR(Q2954="",R2954=""),"",(R2954-Q2954)*24)</f>
        <v/>
      </c>
      <c r="AF2954" s="77">
        <f>IF(OR($A2954="",B2954=""),"",YEAR(B2954))</f>
        <v/>
      </c>
      <c r="AG2954" s="77">
        <f>IF(OR($A2954="",B2954=""),"",MONTH(B2954))</f>
        <v/>
      </c>
    </row>
    <row r="2955">
      <c r="A2955" s="7" t="n"/>
      <c r="B2955" s="75" t="n"/>
      <c r="C2955" s="7" t="n"/>
      <c r="D2955" s="7" t="n"/>
      <c r="E2955" s="9">
        <f>IF(D2955="","",IFERROR(INDEX('Équipements'!$B$5:$B$304,MATCH(D2955,'Équipements'!$A$5:$A$304,0)),"Code inconnu"))</f>
        <v/>
      </c>
      <c r="F2955" s="9">
        <f>IF(D2955="","",IFERROR(INDEX('Équipements'!$D$5:$D$304,MATCH(D2955,'Équipements'!$A$5:$A$304,0)),""))</f>
        <v/>
      </c>
      <c r="G2955" s="9">
        <f>IF(D2955="","",IFERROR(INDEX('Équipements'!$K$5:$K$304,MATCH(D2955,'Équipements'!$A$5:$A$304,0)),""))</f>
        <v/>
      </c>
      <c r="H2955" s="7" t="n"/>
      <c r="I2955" s="7" t="n"/>
      <c r="J2955" s="7" t="n"/>
      <c r="K2955" s="7" t="n"/>
      <c r="L2955" s="7" t="n"/>
      <c r="M2955" s="7" t="n"/>
      <c r="N2955" s="7" t="n"/>
      <c r="O2955" s="7" t="n"/>
      <c r="P2955" s="65" t="n"/>
      <c r="Q2955" s="75" t="n"/>
      <c r="R2955" s="75" t="n"/>
      <c r="S2955" s="76" t="n"/>
      <c r="T2955" s="76" t="n"/>
      <c r="U2955" s="70">
        <f>IF($A2955="","",IFERROR(INDEX('Techniciens'!$F$5:$F$44,MATCH(O2955,'Techniciens'!$B$5:$B$44,0)),'Paramètres'!$AA$10))</f>
        <v/>
      </c>
      <c r="V2955" s="70">
        <f>IF($A2955="","",IF(OR(AC2955="Demandé",AC2955="Planifié",AC2955="Annulé"),0,N(T2955)*N(U2955)))</f>
        <v/>
      </c>
      <c r="W2955" s="70">
        <f>IF($A2955="","",SUMIFS('Mouvements stock'!$H$5:$H$3004,'Mouvements stock'!$I$5:$I$3004,$A2955,'Mouvements stock'!$C$5:$C$3004,"Sortie")-SUMIFS('Mouvements stock'!$H$5:$H$3004,'Mouvements stock'!$I$5:$I$3004,$A2955,'Mouvements stock'!$C$5:$C$3004,"Retour"))</f>
        <v/>
      </c>
      <c r="X2955" s="66" t="n"/>
      <c r="Y2955" s="66" t="n"/>
      <c r="Z2955" s="7" t="n"/>
      <c r="AA2955" s="70">
        <f>IF($A2955="","",N(V2955)+N(W2955)+N(X2955)+N(Y2955))</f>
        <v/>
      </c>
      <c r="AB2955" s="70">
        <f>IF($A2955="","",N(S2955)*'Paramètres'!$AA$9*IFERROR(INDEX('Paramètres'!$O$5:$O$7,MATCH(G2955,'Paramètres'!$N$5:$N$7,0)),0))</f>
        <v/>
      </c>
      <c r="AC2955" s="7" t="n"/>
      <c r="AD2955" s="69">
        <f>IF(OR($A2955="",Q2955=""),"",(Q2955-B2955)*24)</f>
        <v/>
      </c>
      <c r="AE2955" s="69">
        <f>IF(OR(Q2955="",R2955=""),"",(R2955-Q2955)*24)</f>
        <v/>
      </c>
      <c r="AF2955" s="77">
        <f>IF(OR($A2955="",B2955=""),"",YEAR(B2955))</f>
        <v/>
      </c>
      <c r="AG2955" s="77">
        <f>IF(OR($A2955="",B2955=""),"",MONTH(B2955))</f>
        <v/>
      </c>
    </row>
    <row r="2956">
      <c r="A2956" s="7" t="n"/>
      <c r="B2956" s="75" t="n"/>
      <c r="C2956" s="7" t="n"/>
      <c r="D2956" s="7" t="n"/>
      <c r="E2956" s="9">
        <f>IF(D2956="","",IFERROR(INDEX('Équipements'!$B$5:$B$304,MATCH(D2956,'Équipements'!$A$5:$A$304,0)),"Code inconnu"))</f>
        <v/>
      </c>
      <c r="F2956" s="9">
        <f>IF(D2956="","",IFERROR(INDEX('Équipements'!$D$5:$D$304,MATCH(D2956,'Équipements'!$A$5:$A$304,0)),""))</f>
        <v/>
      </c>
      <c r="G2956" s="9">
        <f>IF(D2956="","",IFERROR(INDEX('Équipements'!$K$5:$K$304,MATCH(D2956,'Équipements'!$A$5:$A$304,0)),""))</f>
        <v/>
      </c>
      <c r="H2956" s="7" t="n"/>
      <c r="I2956" s="7" t="n"/>
      <c r="J2956" s="7" t="n"/>
      <c r="K2956" s="7" t="n"/>
      <c r="L2956" s="7" t="n"/>
      <c r="M2956" s="7" t="n"/>
      <c r="N2956" s="7" t="n"/>
      <c r="O2956" s="7" t="n"/>
      <c r="P2956" s="65" t="n"/>
      <c r="Q2956" s="75" t="n"/>
      <c r="R2956" s="75" t="n"/>
      <c r="S2956" s="76" t="n"/>
      <c r="T2956" s="76" t="n"/>
      <c r="U2956" s="70">
        <f>IF($A2956="","",IFERROR(INDEX('Techniciens'!$F$5:$F$44,MATCH(O2956,'Techniciens'!$B$5:$B$44,0)),'Paramètres'!$AA$10))</f>
        <v/>
      </c>
      <c r="V2956" s="70">
        <f>IF($A2956="","",IF(OR(AC2956="Demandé",AC2956="Planifié",AC2956="Annulé"),0,N(T2956)*N(U2956)))</f>
        <v/>
      </c>
      <c r="W2956" s="70">
        <f>IF($A2956="","",SUMIFS('Mouvements stock'!$H$5:$H$3004,'Mouvements stock'!$I$5:$I$3004,$A2956,'Mouvements stock'!$C$5:$C$3004,"Sortie")-SUMIFS('Mouvements stock'!$H$5:$H$3004,'Mouvements stock'!$I$5:$I$3004,$A2956,'Mouvements stock'!$C$5:$C$3004,"Retour"))</f>
        <v/>
      </c>
      <c r="X2956" s="66" t="n"/>
      <c r="Y2956" s="66" t="n"/>
      <c r="Z2956" s="7" t="n"/>
      <c r="AA2956" s="70">
        <f>IF($A2956="","",N(V2956)+N(W2956)+N(X2956)+N(Y2956))</f>
        <v/>
      </c>
      <c r="AB2956" s="70">
        <f>IF($A2956="","",N(S2956)*'Paramètres'!$AA$9*IFERROR(INDEX('Paramètres'!$O$5:$O$7,MATCH(G2956,'Paramètres'!$N$5:$N$7,0)),0))</f>
        <v/>
      </c>
      <c r="AC2956" s="7" t="n"/>
      <c r="AD2956" s="69">
        <f>IF(OR($A2956="",Q2956=""),"",(Q2956-B2956)*24)</f>
        <v/>
      </c>
      <c r="AE2956" s="69">
        <f>IF(OR(Q2956="",R2956=""),"",(R2956-Q2956)*24)</f>
        <v/>
      </c>
      <c r="AF2956" s="77">
        <f>IF(OR($A2956="",B2956=""),"",YEAR(B2956))</f>
        <v/>
      </c>
      <c r="AG2956" s="77">
        <f>IF(OR($A2956="",B2956=""),"",MONTH(B2956))</f>
        <v/>
      </c>
    </row>
    <row r="2957">
      <c r="A2957" s="7" t="n"/>
      <c r="B2957" s="75" t="n"/>
      <c r="C2957" s="7" t="n"/>
      <c r="D2957" s="7" t="n"/>
      <c r="E2957" s="9">
        <f>IF(D2957="","",IFERROR(INDEX('Équipements'!$B$5:$B$304,MATCH(D2957,'Équipements'!$A$5:$A$304,0)),"Code inconnu"))</f>
        <v/>
      </c>
      <c r="F2957" s="9">
        <f>IF(D2957="","",IFERROR(INDEX('Équipements'!$D$5:$D$304,MATCH(D2957,'Équipements'!$A$5:$A$304,0)),""))</f>
        <v/>
      </c>
      <c r="G2957" s="9">
        <f>IF(D2957="","",IFERROR(INDEX('Équipements'!$K$5:$K$304,MATCH(D2957,'Équipements'!$A$5:$A$304,0)),""))</f>
        <v/>
      </c>
      <c r="H2957" s="7" t="n"/>
      <c r="I2957" s="7" t="n"/>
      <c r="J2957" s="7" t="n"/>
      <c r="K2957" s="7" t="n"/>
      <c r="L2957" s="7" t="n"/>
      <c r="M2957" s="7" t="n"/>
      <c r="N2957" s="7" t="n"/>
      <c r="O2957" s="7" t="n"/>
      <c r="P2957" s="65" t="n"/>
      <c r="Q2957" s="75" t="n"/>
      <c r="R2957" s="75" t="n"/>
      <c r="S2957" s="76" t="n"/>
      <c r="T2957" s="76" t="n"/>
      <c r="U2957" s="70">
        <f>IF($A2957="","",IFERROR(INDEX('Techniciens'!$F$5:$F$44,MATCH(O2957,'Techniciens'!$B$5:$B$44,0)),'Paramètres'!$AA$10))</f>
        <v/>
      </c>
      <c r="V2957" s="70">
        <f>IF($A2957="","",IF(OR(AC2957="Demandé",AC2957="Planifié",AC2957="Annulé"),0,N(T2957)*N(U2957)))</f>
        <v/>
      </c>
      <c r="W2957" s="70">
        <f>IF($A2957="","",SUMIFS('Mouvements stock'!$H$5:$H$3004,'Mouvements stock'!$I$5:$I$3004,$A2957,'Mouvements stock'!$C$5:$C$3004,"Sortie")-SUMIFS('Mouvements stock'!$H$5:$H$3004,'Mouvements stock'!$I$5:$I$3004,$A2957,'Mouvements stock'!$C$5:$C$3004,"Retour"))</f>
        <v/>
      </c>
      <c r="X2957" s="66" t="n"/>
      <c r="Y2957" s="66" t="n"/>
      <c r="Z2957" s="7" t="n"/>
      <c r="AA2957" s="70">
        <f>IF($A2957="","",N(V2957)+N(W2957)+N(X2957)+N(Y2957))</f>
        <v/>
      </c>
      <c r="AB2957" s="70">
        <f>IF($A2957="","",N(S2957)*'Paramètres'!$AA$9*IFERROR(INDEX('Paramètres'!$O$5:$O$7,MATCH(G2957,'Paramètres'!$N$5:$N$7,0)),0))</f>
        <v/>
      </c>
      <c r="AC2957" s="7" t="n"/>
      <c r="AD2957" s="69">
        <f>IF(OR($A2957="",Q2957=""),"",(Q2957-B2957)*24)</f>
        <v/>
      </c>
      <c r="AE2957" s="69">
        <f>IF(OR(Q2957="",R2957=""),"",(R2957-Q2957)*24)</f>
        <v/>
      </c>
      <c r="AF2957" s="77">
        <f>IF(OR($A2957="",B2957=""),"",YEAR(B2957))</f>
        <v/>
      </c>
      <c r="AG2957" s="77">
        <f>IF(OR($A2957="",B2957=""),"",MONTH(B2957))</f>
        <v/>
      </c>
    </row>
    <row r="2958">
      <c r="A2958" s="7" t="n"/>
      <c r="B2958" s="75" t="n"/>
      <c r="C2958" s="7" t="n"/>
      <c r="D2958" s="7" t="n"/>
      <c r="E2958" s="9">
        <f>IF(D2958="","",IFERROR(INDEX('Équipements'!$B$5:$B$304,MATCH(D2958,'Équipements'!$A$5:$A$304,0)),"Code inconnu"))</f>
        <v/>
      </c>
      <c r="F2958" s="9">
        <f>IF(D2958="","",IFERROR(INDEX('Équipements'!$D$5:$D$304,MATCH(D2958,'Équipements'!$A$5:$A$304,0)),""))</f>
        <v/>
      </c>
      <c r="G2958" s="9">
        <f>IF(D2958="","",IFERROR(INDEX('Équipements'!$K$5:$K$304,MATCH(D2958,'Équipements'!$A$5:$A$304,0)),""))</f>
        <v/>
      </c>
      <c r="H2958" s="7" t="n"/>
      <c r="I2958" s="7" t="n"/>
      <c r="J2958" s="7" t="n"/>
      <c r="K2958" s="7" t="n"/>
      <c r="L2958" s="7" t="n"/>
      <c r="M2958" s="7" t="n"/>
      <c r="N2958" s="7" t="n"/>
      <c r="O2958" s="7" t="n"/>
      <c r="P2958" s="65" t="n"/>
      <c r="Q2958" s="75" t="n"/>
      <c r="R2958" s="75" t="n"/>
      <c r="S2958" s="76" t="n"/>
      <c r="T2958" s="76" t="n"/>
      <c r="U2958" s="70">
        <f>IF($A2958="","",IFERROR(INDEX('Techniciens'!$F$5:$F$44,MATCH(O2958,'Techniciens'!$B$5:$B$44,0)),'Paramètres'!$AA$10))</f>
        <v/>
      </c>
      <c r="V2958" s="70">
        <f>IF($A2958="","",IF(OR(AC2958="Demandé",AC2958="Planifié",AC2958="Annulé"),0,N(T2958)*N(U2958)))</f>
        <v/>
      </c>
      <c r="W2958" s="70">
        <f>IF($A2958="","",SUMIFS('Mouvements stock'!$H$5:$H$3004,'Mouvements stock'!$I$5:$I$3004,$A2958,'Mouvements stock'!$C$5:$C$3004,"Sortie")-SUMIFS('Mouvements stock'!$H$5:$H$3004,'Mouvements stock'!$I$5:$I$3004,$A2958,'Mouvements stock'!$C$5:$C$3004,"Retour"))</f>
        <v/>
      </c>
      <c r="X2958" s="66" t="n"/>
      <c r="Y2958" s="66" t="n"/>
      <c r="Z2958" s="7" t="n"/>
      <c r="AA2958" s="70">
        <f>IF($A2958="","",N(V2958)+N(W2958)+N(X2958)+N(Y2958))</f>
        <v/>
      </c>
      <c r="AB2958" s="70">
        <f>IF($A2958="","",N(S2958)*'Paramètres'!$AA$9*IFERROR(INDEX('Paramètres'!$O$5:$O$7,MATCH(G2958,'Paramètres'!$N$5:$N$7,0)),0))</f>
        <v/>
      </c>
      <c r="AC2958" s="7" t="n"/>
      <c r="AD2958" s="69">
        <f>IF(OR($A2958="",Q2958=""),"",(Q2958-B2958)*24)</f>
        <v/>
      </c>
      <c r="AE2958" s="69">
        <f>IF(OR(Q2958="",R2958=""),"",(R2958-Q2958)*24)</f>
        <v/>
      </c>
      <c r="AF2958" s="77">
        <f>IF(OR($A2958="",B2958=""),"",YEAR(B2958))</f>
        <v/>
      </c>
      <c r="AG2958" s="77">
        <f>IF(OR($A2958="",B2958=""),"",MONTH(B2958))</f>
        <v/>
      </c>
    </row>
    <row r="2959">
      <c r="A2959" s="7" t="n"/>
      <c r="B2959" s="75" t="n"/>
      <c r="C2959" s="7" t="n"/>
      <c r="D2959" s="7" t="n"/>
      <c r="E2959" s="9">
        <f>IF(D2959="","",IFERROR(INDEX('Équipements'!$B$5:$B$304,MATCH(D2959,'Équipements'!$A$5:$A$304,0)),"Code inconnu"))</f>
        <v/>
      </c>
      <c r="F2959" s="9">
        <f>IF(D2959="","",IFERROR(INDEX('Équipements'!$D$5:$D$304,MATCH(D2959,'Équipements'!$A$5:$A$304,0)),""))</f>
        <v/>
      </c>
      <c r="G2959" s="9">
        <f>IF(D2959="","",IFERROR(INDEX('Équipements'!$K$5:$K$304,MATCH(D2959,'Équipements'!$A$5:$A$304,0)),""))</f>
        <v/>
      </c>
      <c r="H2959" s="7" t="n"/>
      <c r="I2959" s="7" t="n"/>
      <c r="J2959" s="7" t="n"/>
      <c r="K2959" s="7" t="n"/>
      <c r="L2959" s="7" t="n"/>
      <c r="M2959" s="7" t="n"/>
      <c r="N2959" s="7" t="n"/>
      <c r="O2959" s="7" t="n"/>
      <c r="P2959" s="65" t="n"/>
      <c r="Q2959" s="75" t="n"/>
      <c r="R2959" s="75" t="n"/>
      <c r="S2959" s="76" t="n"/>
      <c r="T2959" s="76" t="n"/>
      <c r="U2959" s="70">
        <f>IF($A2959="","",IFERROR(INDEX('Techniciens'!$F$5:$F$44,MATCH(O2959,'Techniciens'!$B$5:$B$44,0)),'Paramètres'!$AA$10))</f>
        <v/>
      </c>
      <c r="V2959" s="70">
        <f>IF($A2959="","",IF(OR(AC2959="Demandé",AC2959="Planifié",AC2959="Annulé"),0,N(T2959)*N(U2959)))</f>
        <v/>
      </c>
      <c r="W2959" s="70">
        <f>IF($A2959="","",SUMIFS('Mouvements stock'!$H$5:$H$3004,'Mouvements stock'!$I$5:$I$3004,$A2959,'Mouvements stock'!$C$5:$C$3004,"Sortie")-SUMIFS('Mouvements stock'!$H$5:$H$3004,'Mouvements stock'!$I$5:$I$3004,$A2959,'Mouvements stock'!$C$5:$C$3004,"Retour"))</f>
        <v/>
      </c>
      <c r="X2959" s="66" t="n"/>
      <c r="Y2959" s="66" t="n"/>
      <c r="Z2959" s="7" t="n"/>
      <c r="AA2959" s="70">
        <f>IF($A2959="","",N(V2959)+N(W2959)+N(X2959)+N(Y2959))</f>
        <v/>
      </c>
      <c r="AB2959" s="70">
        <f>IF($A2959="","",N(S2959)*'Paramètres'!$AA$9*IFERROR(INDEX('Paramètres'!$O$5:$O$7,MATCH(G2959,'Paramètres'!$N$5:$N$7,0)),0))</f>
        <v/>
      </c>
      <c r="AC2959" s="7" t="n"/>
      <c r="AD2959" s="69">
        <f>IF(OR($A2959="",Q2959=""),"",(Q2959-B2959)*24)</f>
        <v/>
      </c>
      <c r="AE2959" s="69">
        <f>IF(OR(Q2959="",R2959=""),"",(R2959-Q2959)*24)</f>
        <v/>
      </c>
      <c r="AF2959" s="77">
        <f>IF(OR($A2959="",B2959=""),"",YEAR(B2959))</f>
        <v/>
      </c>
      <c r="AG2959" s="77">
        <f>IF(OR($A2959="",B2959=""),"",MONTH(B2959))</f>
        <v/>
      </c>
    </row>
    <row r="2960">
      <c r="A2960" s="7" t="n"/>
      <c r="B2960" s="75" t="n"/>
      <c r="C2960" s="7" t="n"/>
      <c r="D2960" s="7" t="n"/>
      <c r="E2960" s="9">
        <f>IF(D2960="","",IFERROR(INDEX('Équipements'!$B$5:$B$304,MATCH(D2960,'Équipements'!$A$5:$A$304,0)),"Code inconnu"))</f>
        <v/>
      </c>
      <c r="F2960" s="9">
        <f>IF(D2960="","",IFERROR(INDEX('Équipements'!$D$5:$D$304,MATCH(D2960,'Équipements'!$A$5:$A$304,0)),""))</f>
        <v/>
      </c>
      <c r="G2960" s="9">
        <f>IF(D2960="","",IFERROR(INDEX('Équipements'!$K$5:$K$304,MATCH(D2960,'Équipements'!$A$5:$A$304,0)),""))</f>
        <v/>
      </c>
      <c r="H2960" s="7" t="n"/>
      <c r="I2960" s="7" t="n"/>
      <c r="J2960" s="7" t="n"/>
      <c r="K2960" s="7" t="n"/>
      <c r="L2960" s="7" t="n"/>
      <c r="M2960" s="7" t="n"/>
      <c r="N2960" s="7" t="n"/>
      <c r="O2960" s="7" t="n"/>
      <c r="P2960" s="65" t="n"/>
      <c r="Q2960" s="75" t="n"/>
      <c r="R2960" s="75" t="n"/>
      <c r="S2960" s="76" t="n"/>
      <c r="T2960" s="76" t="n"/>
      <c r="U2960" s="70">
        <f>IF($A2960="","",IFERROR(INDEX('Techniciens'!$F$5:$F$44,MATCH(O2960,'Techniciens'!$B$5:$B$44,0)),'Paramètres'!$AA$10))</f>
        <v/>
      </c>
      <c r="V2960" s="70">
        <f>IF($A2960="","",IF(OR(AC2960="Demandé",AC2960="Planifié",AC2960="Annulé"),0,N(T2960)*N(U2960)))</f>
        <v/>
      </c>
      <c r="W2960" s="70">
        <f>IF($A2960="","",SUMIFS('Mouvements stock'!$H$5:$H$3004,'Mouvements stock'!$I$5:$I$3004,$A2960,'Mouvements stock'!$C$5:$C$3004,"Sortie")-SUMIFS('Mouvements stock'!$H$5:$H$3004,'Mouvements stock'!$I$5:$I$3004,$A2960,'Mouvements stock'!$C$5:$C$3004,"Retour"))</f>
        <v/>
      </c>
      <c r="X2960" s="66" t="n"/>
      <c r="Y2960" s="66" t="n"/>
      <c r="Z2960" s="7" t="n"/>
      <c r="AA2960" s="70">
        <f>IF($A2960="","",N(V2960)+N(W2960)+N(X2960)+N(Y2960))</f>
        <v/>
      </c>
      <c r="AB2960" s="70">
        <f>IF($A2960="","",N(S2960)*'Paramètres'!$AA$9*IFERROR(INDEX('Paramètres'!$O$5:$O$7,MATCH(G2960,'Paramètres'!$N$5:$N$7,0)),0))</f>
        <v/>
      </c>
      <c r="AC2960" s="7" t="n"/>
      <c r="AD2960" s="69">
        <f>IF(OR($A2960="",Q2960=""),"",(Q2960-B2960)*24)</f>
        <v/>
      </c>
      <c r="AE2960" s="69">
        <f>IF(OR(Q2960="",R2960=""),"",(R2960-Q2960)*24)</f>
        <v/>
      </c>
      <c r="AF2960" s="77">
        <f>IF(OR($A2960="",B2960=""),"",YEAR(B2960))</f>
        <v/>
      </c>
      <c r="AG2960" s="77">
        <f>IF(OR($A2960="",B2960=""),"",MONTH(B2960))</f>
        <v/>
      </c>
    </row>
    <row r="2961">
      <c r="A2961" s="7" t="n"/>
      <c r="B2961" s="75" t="n"/>
      <c r="C2961" s="7" t="n"/>
      <c r="D2961" s="7" t="n"/>
      <c r="E2961" s="9">
        <f>IF(D2961="","",IFERROR(INDEX('Équipements'!$B$5:$B$304,MATCH(D2961,'Équipements'!$A$5:$A$304,0)),"Code inconnu"))</f>
        <v/>
      </c>
      <c r="F2961" s="9">
        <f>IF(D2961="","",IFERROR(INDEX('Équipements'!$D$5:$D$304,MATCH(D2961,'Équipements'!$A$5:$A$304,0)),""))</f>
        <v/>
      </c>
      <c r="G2961" s="9">
        <f>IF(D2961="","",IFERROR(INDEX('Équipements'!$K$5:$K$304,MATCH(D2961,'Équipements'!$A$5:$A$304,0)),""))</f>
        <v/>
      </c>
      <c r="H2961" s="7" t="n"/>
      <c r="I2961" s="7" t="n"/>
      <c r="J2961" s="7" t="n"/>
      <c r="K2961" s="7" t="n"/>
      <c r="L2961" s="7" t="n"/>
      <c r="M2961" s="7" t="n"/>
      <c r="N2961" s="7" t="n"/>
      <c r="O2961" s="7" t="n"/>
      <c r="P2961" s="65" t="n"/>
      <c r="Q2961" s="75" t="n"/>
      <c r="R2961" s="75" t="n"/>
      <c r="S2961" s="76" t="n"/>
      <c r="T2961" s="76" t="n"/>
      <c r="U2961" s="70">
        <f>IF($A2961="","",IFERROR(INDEX('Techniciens'!$F$5:$F$44,MATCH(O2961,'Techniciens'!$B$5:$B$44,0)),'Paramètres'!$AA$10))</f>
        <v/>
      </c>
      <c r="V2961" s="70">
        <f>IF($A2961="","",IF(OR(AC2961="Demandé",AC2961="Planifié",AC2961="Annulé"),0,N(T2961)*N(U2961)))</f>
        <v/>
      </c>
      <c r="W2961" s="70">
        <f>IF($A2961="","",SUMIFS('Mouvements stock'!$H$5:$H$3004,'Mouvements stock'!$I$5:$I$3004,$A2961,'Mouvements stock'!$C$5:$C$3004,"Sortie")-SUMIFS('Mouvements stock'!$H$5:$H$3004,'Mouvements stock'!$I$5:$I$3004,$A2961,'Mouvements stock'!$C$5:$C$3004,"Retour"))</f>
        <v/>
      </c>
      <c r="X2961" s="66" t="n"/>
      <c r="Y2961" s="66" t="n"/>
      <c r="Z2961" s="7" t="n"/>
      <c r="AA2961" s="70">
        <f>IF($A2961="","",N(V2961)+N(W2961)+N(X2961)+N(Y2961))</f>
        <v/>
      </c>
      <c r="AB2961" s="70">
        <f>IF($A2961="","",N(S2961)*'Paramètres'!$AA$9*IFERROR(INDEX('Paramètres'!$O$5:$O$7,MATCH(G2961,'Paramètres'!$N$5:$N$7,0)),0))</f>
        <v/>
      </c>
      <c r="AC2961" s="7" t="n"/>
      <c r="AD2961" s="69">
        <f>IF(OR($A2961="",Q2961=""),"",(Q2961-B2961)*24)</f>
        <v/>
      </c>
      <c r="AE2961" s="69">
        <f>IF(OR(Q2961="",R2961=""),"",(R2961-Q2961)*24)</f>
        <v/>
      </c>
      <c r="AF2961" s="77">
        <f>IF(OR($A2961="",B2961=""),"",YEAR(B2961))</f>
        <v/>
      </c>
      <c r="AG2961" s="77">
        <f>IF(OR($A2961="",B2961=""),"",MONTH(B2961))</f>
        <v/>
      </c>
    </row>
    <row r="2962">
      <c r="A2962" s="7" t="n"/>
      <c r="B2962" s="75" t="n"/>
      <c r="C2962" s="7" t="n"/>
      <c r="D2962" s="7" t="n"/>
      <c r="E2962" s="9">
        <f>IF(D2962="","",IFERROR(INDEX('Équipements'!$B$5:$B$304,MATCH(D2962,'Équipements'!$A$5:$A$304,0)),"Code inconnu"))</f>
        <v/>
      </c>
      <c r="F2962" s="9">
        <f>IF(D2962="","",IFERROR(INDEX('Équipements'!$D$5:$D$304,MATCH(D2962,'Équipements'!$A$5:$A$304,0)),""))</f>
        <v/>
      </c>
      <c r="G2962" s="9">
        <f>IF(D2962="","",IFERROR(INDEX('Équipements'!$K$5:$K$304,MATCH(D2962,'Équipements'!$A$5:$A$304,0)),""))</f>
        <v/>
      </c>
      <c r="H2962" s="7" t="n"/>
      <c r="I2962" s="7" t="n"/>
      <c r="J2962" s="7" t="n"/>
      <c r="K2962" s="7" t="n"/>
      <c r="L2962" s="7" t="n"/>
      <c r="M2962" s="7" t="n"/>
      <c r="N2962" s="7" t="n"/>
      <c r="O2962" s="7" t="n"/>
      <c r="P2962" s="65" t="n"/>
      <c r="Q2962" s="75" t="n"/>
      <c r="R2962" s="75" t="n"/>
      <c r="S2962" s="76" t="n"/>
      <c r="T2962" s="76" t="n"/>
      <c r="U2962" s="70">
        <f>IF($A2962="","",IFERROR(INDEX('Techniciens'!$F$5:$F$44,MATCH(O2962,'Techniciens'!$B$5:$B$44,0)),'Paramètres'!$AA$10))</f>
        <v/>
      </c>
      <c r="V2962" s="70">
        <f>IF($A2962="","",IF(OR(AC2962="Demandé",AC2962="Planifié",AC2962="Annulé"),0,N(T2962)*N(U2962)))</f>
        <v/>
      </c>
      <c r="W2962" s="70">
        <f>IF($A2962="","",SUMIFS('Mouvements stock'!$H$5:$H$3004,'Mouvements stock'!$I$5:$I$3004,$A2962,'Mouvements stock'!$C$5:$C$3004,"Sortie")-SUMIFS('Mouvements stock'!$H$5:$H$3004,'Mouvements stock'!$I$5:$I$3004,$A2962,'Mouvements stock'!$C$5:$C$3004,"Retour"))</f>
        <v/>
      </c>
      <c r="X2962" s="66" t="n"/>
      <c r="Y2962" s="66" t="n"/>
      <c r="Z2962" s="7" t="n"/>
      <c r="AA2962" s="70">
        <f>IF($A2962="","",N(V2962)+N(W2962)+N(X2962)+N(Y2962))</f>
        <v/>
      </c>
      <c r="AB2962" s="70">
        <f>IF($A2962="","",N(S2962)*'Paramètres'!$AA$9*IFERROR(INDEX('Paramètres'!$O$5:$O$7,MATCH(G2962,'Paramètres'!$N$5:$N$7,0)),0))</f>
        <v/>
      </c>
      <c r="AC2962" s="7" t="n"/>
      <c r="AD2962" s="69">
        <f>IF(OR($A2962="",Q2962=""),"",(Q2962-B2962)*24)</f>
        <v/>
      </c>
      <c r="AE2962" s="69">
        <f>IF(OR(Q2962="",R2962=""),"",(R2962-Q2962)*24)</f>
        <v/>
      </c>
      <c r="AF2962" s="77">
        <f>IF(OR($A2962="",B2962=""),"",YEAR(B2962))</f>
        <v/>
      </c>
      <c r="AG2962" s="77">
        <f>IF(OR($A2962="",B2962=""),"",MONTH(B2962))</f>
        <v/>
      </c>
    </row>
    <row r="2963">
      <c r="A2963" s="7" t="n"/>
      <c r="B2963" s="75" t="n"/>
      <c r="C2963" s="7" t="n"/>
      <c r="D2963" s="7" t="n"/>
      <c r="E2963" s="9">
        <f>IF(D2963="","",IFERROR(INDEX('Équipements'!$B$5:$B$304,MATCH(D2963,'Équipements'!$A$5:$A$304,0)),"Code inconnu"))</f>
        <v/>
      </c>
      <c r="F2963" s="9">
        <f>IF(D2963="","",IFERROR(INDEX('Équipements'!$D$5:$D$304,MATCH(D2963,'Équipements'!$A$5:$A$304,0)),""))</f>
        <v/>
      </c>
      <c r="G2963" s="9">
        <f>IF(D2963="","",IFERROR(INDEX('Équipements'!$K$5:$K$304,MATCH(D2963,'Équipements'!$A$5:$A$304,0)),""))</f>
        <v/>
      </c>
      <c r="H2963" s="7" t="n"/>
      <c r="I2963" s="7" t="n"/>
      <c r="J2963" s="7" t="n"/>
      <c r="K2963" s="7" t="n"/>
      <c r="L2963" s="7" t="n"/>
      <c r="M2963" s="7" t="n"/>
      <c r="N2963" s="7" t="n"/>
      <c r="O2963" s="7" t="n"/>
      <c r="P2963" s="65" t="n"/>
      <c r="Q2963" s="75" t="n"/>
      <c r="R2963" s="75" t="n"/>
      <c r="S2963" s="76" t="n"/>
      <c r="T2963" s="76" t="n"/>
      <c r="U2963" s="70">
        <f>IF($A2963="","",IFERROR(INDEX('Techniciens'!$F$5:$F$44,MATCH(O2963,'Techniciens'!$B$5:$B$44,0)),'Paramètres'!$AA$10))</f>
        <v/>
      </c>
      <c r="V2963" s="70">
        <f>IF($A2963="","",IF(OR(AC2963="Demandé",AC2963="Planifié",AC2963="Annulé"),0,N(T2963)*N(U2963)))</f>
        <v/>
      </c>
      <c r="W2963" s="70">
        <f>IF($A2963="","",SUMIFS('Mouvements stock'!$H$5:$H$3004,'Mouvements stock'!$I$5:$I$3004,$A2963,'Mouvements stock'!$C$5:$C$3004,"Sortie")-SUMIFS('Mouvements stock'!$H$5:$H$3004,'Mouvements stock'!$I$5:$I$3004,$A2963,'Mouvements stock'!$C$5:$C$3004,"Retour"))</f>
        <v/>
      </c>
      <c r="X2963" s="66" t="n"/>
      <c r="Y2963" s="66" t="n"/>
      <c r="Z2963" s="7" t="n"/>
      <c r="AA2963" s="70">
        <f>IF($A2963="","",N(V2963)+N(W2963)+N(X2963)+N(Y2963))</f>
        <v/>
      </c>
      <c r="AB2963" s="70">
        <f>IF($A2963="","",N(S2963)*'Paramètres'!$AA$9*IFERROR(INDEX('Paramètres'!$O$5:$O$7,MATCH(G2963,'Paramètres'!$N$5:$N$7,0)),0))</f>
        <v/>
      </c>
      <c r="AC2963" s="7" t="n"/>
      <c r="AD2963" s="69">
        <f>IF(OR($A2963="",Q2963=""),"",(Q2963-B2963)*24)</f>
        <v/>
      </c>
      <c r="AE2963" s="69">
        <f>IF(OR(Q2963="",R2963=""),"",(R2963-Q2963)*24)</f>
        <v/>
      </c>
      <c r="AF2963" s="77">
        <f>IF(OR($A2963="",B2963=""),"",YEAR(B2963))</f>
        <v/>
      </c>
      <c r="AG2963" s="77">
        <f>IF(OR($A2963="",B2963=""),"",MONTH(B2963))</f>
        <v/>
      </c>
    </row>
    <row r="2964">
      <c r="A2964" s="7" t="n"/>
      <c r="B2964" s="75" t="n"/>
      <c r="C2964" s="7" t="n"/>
      <c r="D2964" s="7" t="n"/>
      <c r="E2964" s="9">
        <f>IF(D2964="","",IFERROR(INDEX('Équipements'!$B$5:$B$304,MATCH(D2964,'Équipements'!$A$5:$A$304,0)),"Code inconnu"))</f>
        <v/>
      </c>
      <c r="F2964" s="9">
        <f>IF(D2964="","",IFERROR(INDEX('Équipements'!$D$5:$D$304,MATCH(D2964,'Équipements'!$A$5:$A$304,0)),""))</f>
        <v/>
      </c>
      <c r="G2964" s="9">
        <f>IF(D2964="","",IFERROR(INDEX('Équipements'!$K$5:$K$304,MATCH(D2964,'Équipements'!$A$5:$A$304,0)),""))</f>
        <v/>
      </c>
      <c r="H2964" s="7" t="n"/>
      <c r="I2964" s="7" t="n"/>
      <c r="J2964" s="7" t="n"/>
      <c r="K2964" s="7" t="n"/>
      <c r="L2964" s="7" t="n"/>
      <c r="M2964" s="7" t="n"/>
      <c r="N2964" s="7" t="n"/>
      <c r="O2964" s="7" t="n"/>
      <c r="P2964" s="65" t="n"/>
      <c r="Q2964" s="75" t="n"/>
      <c r="R2964" s="75" t="n"/>
      <c r="S2964" s="76" t="n"/>
      <c r="T2964" s="76" t="n"/>
      <c r="U2964" s="70">
        <f>IF($A2964="","",IFERROR(INDEX('Techniciens'!$F$5:$F$44,MATCH(O2964,'Techniciens'!$B$5:$B$44,0)),'Paramètres'!$AA$10))</f>
        <v/>
      </c>
      <c r="V2964" s="70">
        <f>IF($A2964="","",IF(OR(AC2964="Demandé",AC2964="Planifié",AC2964="Annulé"),0,N(T2964)*N(U2964)))</f>
        <v/>
      </c>
      <c r="W2964" s="70">
        <f>IF($A2964="","",SUMIFS('Mouvements stock'!$H$5:$H$3004,'Mouvements stock'!$I$5:$I$3004,$A2964,'Mouvements stock'!$C$5:$C$3004,"Sortie")-SUMIFS('Mouvements stock'!$H$5:$H$3004,'Mouvements stock'!$I$5:$I$3004,$A2964,'Mouvements stock'!$C$5:$C$3004,"Retour"))</f>
        <v/>
      </c>
      <c r="X2964" s="66" t="n"/>
      <c r="Y2964" s="66" t="n"/>
      <c r="Z2964" s="7" t="n"/>
      <c r="AA2964" s="70">
        <f>IF($A2964="","",N(V2964)+N(W2964)+N(X2964)+N(Y2964))</f>
        <v/>
      </c>
      <c r="AB2964" s="70">
        <f>IF($A2964="","",N(S2964)*'Paramètres'!$AA$9*IFERROR(INDEX('Paramètres'!$O$5:$O$7,MATCH(G2964,'Paramètres'!$N$5:$N$7,0)),0))</f>
        <v/>
      </c>
      <c r="AC2964" s="7" t="n"/>
      <c r="AD2964" s="69">
        <f>IF(OR($A2964="",Q2964=""),"",(Q2964-B2964)*24)</f>
        <v/>
      </c>
      <c r="AE2964" s="69">
        <f>IF(OR(Q2964="",R2964=""),"",(R2964-Q2964)*24)</f>
        <v/>
      </c>
      <c r="AF2964" s="77">
        <f>IF(OR($A2964="",B2964=""),"",YEAR(B2964))</f>
        <v/>
      </c>
      <c r="AG2964" s="77">
        <f>IF(OR($A2964="",B2964=""),"",MONTH(B2964))</f>
        <v/>
      </c>
    </row>
    <row r="2965">
      <c r="A2965" s="7" t="n"/>
      <c r="B2965" s="75" t="n"/>
      <c r="C2965" s="7" t="n"/>
      <c r="D2965" s="7" t="n"/>
      <c r="E2965" s="9">
        <f>IF(D2965="","",IFERROR(INDEX('Équipements'!$B$5:$B$304,MATCH(D2965,'Équipements'!$A$5:$A$304,0)),"Code inconnu"))</f>
        <v/>
      </c>
      <c r="F2965" s="9">
        <f>IF(D2965="","",IFERROR(INDEX('Équipements'!$D$5:$D$304,MATCH(D2965,'Équipements'!$A$5:$A$304,0)),""))</f>
        <v/>
      </c>
      <c r="G2965" s="9">
        <f>IF(D2965="","",IFERROR(INDEX('Équipements'!$K$5:$K$304,MATCH(D2965,'Équipements'!$A$5:$A$304,0)),""))</f>
        <v/>
      </c>
      <c r="H2965" s="7" t="n"/>
      <c r="I2965" s="7" t="n"/>
      <c r="J2965" s="7" t="n"/>
      <c r="K2965" s="7" t="n"/>
      <c r="L2965" s="7" t="n"/>
      <c r="M2965" s="7" t="n"/>
      <c r="N2965" s="7" t="n"/>
      <c r="O2965" s="7" t="n"/>
      <c r="P2965" s="65" t="n"/>
      <c r="Q2965" s="75" t="n"/>
      <c r="R2965" s="75" t="n"/>
      <c r="S2965" s="76" t="n"/>
      <c r="T2965" s="76" t="n"/>
      <c r="U2965" s="70">
        <f>IF($A2965="","",IFERROR(INDEX('Techniciens'!$F$5:$F$44,MATCH(O2965,'Techniciens'!$B$5:$B$44,0)),'Paramètres'!$AA$10))</f>
        <v/>
      </c>
      <c r="V2965" s="70">
        <f>IF($A2965="","",IF(OR(AC2965="Demandé",AC2965="Planifié",AC2965="Annulé"),0,N(T2965)*N(U2965)))</f>
        <v/>
      </c>
      <c r="W2965" s="70">
        <f>IF($A2965="","",SUMIFS('Mouvements stock'!$H$5:$H$3004,'Mouvements stock'!$I$5:$I$3004,$A2965,'Mouvements stock'!$C$5:$C$3004,"Sortie")-SUMIFS('Mouvements stock'!$H$5:$H$3004,'Mouvements stock'!$I$5:$I$3004,$A2965,'Mouvements stock'!$C$5:$C$3004,"Retour"))</f>
        <v/>
      </c>
      <c r="X2965" s="66" t="n"/>
      <c r="Y2965" s="66" t="n"/>
      <c r="Z2965" s="7" t="n"/>
      <c r="AA2965" s="70">
        <f>IF($A2965="","",N(V2965)+N(W2965)+N(X2965)+N(Y2965))</f>
        <v/>
      </c>
      <c r="AB2965" s="70">
        <f>IF($A2965="","",N(S2965)*'Paramètres'!$AA$9*IFERROR(INDEX('Paramètres'!$O$5:$O$7,MATCH(G2965,'Paramètres'!$N$5:$N$7,0)),0))</f>
        <v/>
      </c>
      <c r="AC2965" s="7" t="n"/>
      <c r="AD2965" s="69">
        <f>IF(OR($A2965="",Q2965=""),"",(Q2965-B2965)*24)</f>
        <v/>
      </c>
      <c r="AE2965" s="69">
        <f>IF(OR(Q2965="",R2965=""),"",(R2965-Q2965)*24)</f>
        <v/>
      </c>
      <c r="AF2965" s="77">
        <f>IF(OR($A2965="",B2965=""),"",YEAR(B2965))</f>
        <v/>
      </c>
      <c r="AG2965" s="77">
        <f>IF(OR($A2965="",B2965=""),"",MONTH(B2965))</f>
        <v/>
      </c>
    </row>
    <row r="2966">
      <c r="A2966" s="7" t="n"/>
      <c r="B2966" s="75" t="n"/>
      <c r="C2966" s="7" t="n"/>
      <c r="D2966" s="7" t="n"/>
      <c r="E2966" s="9">
        <f>IF(D2966="","",IFERROR(INDEX('Équipements'!$B$5:$B$304,MATCH(D2966,'Équipements'!$A$5:$A$304,0)),"Code inconnu"))</f>
        <v/>
      </c>
      <c r="F2966" s="9">
        <f>IF(D2966="","",IFERROR(INDEX('Équipements'!$D$5:$D$304,MATCH(D2966,'Équipements'!$A$5:$A$304,0)),""))</f>
        <v/>
      </c>
      <c r="G2966" s="9">
        <f>IF(D2966="","",IFERROR(INDEX('Équipements'!$K$5:$K$304,MATCH(D2966,'Équipements'!$A$5:$A$304,0)),""))</f>
        <v/>
      </c>
      <c r="H2966" s="7" t="n"/>
      <c r="I2966" s="7" t="n"/>
      <c r="J2966" s="7" t="n"/>
      <c r="K2966" s="7" t="n"/>
      <c r="L2966" s="7" t="n"/>
      <c r="M2966" s="7" t="n"/>
      <c r="N2966" s="7" t="n"/>
      <c r="O2966" s="7" t="n"/>
      <c r="P2966" s="65" t="n"/>
      <c r="Q2966" s="75" t="n"/>
      <c r="R2966" s="75" t="n"/>
      <c r="S2966" s="76" t="n"/>
      <c r="T2966" s="76" t="n"/>
      <c r="U2966" s="70">
        <f>IF($A2966="","",IFERROR(INDEX('Techniciens'!$F$5:$F$44,MATCH(O2966,'Techniciens'!$B$5:$B$44,0)),'Paramètres'!$AA$10))</f>
        <v/>
      </c>
      <c r="V2966" s="70">
        <f>IF($A2966="","",IF(OR(AC2966="Demandé",AC2966="Planifié",AC2966="Annulé"),0,N(T2966)*N(U2966)))</f>
        <v/>
      </c>
      <c r="W2966" s="70">
        <f>IF($A2966="","",SUMIFS('Mouvements stock'!$H$5:$H$3004,'Mouvements stock'!$I$5:$I$3004,$A2966,'Mouvements stock'!$C$5:$C$3004,"Sortie")-SUMIFS('Mouvements stock'!$H$5:$H$3004,'Mouvements stock'!$I$5:$I$3004,$A2966,'Mouvements stock'!$C$5:$C$3004,"Retour"))</f>
        <v/>
      </c>
      <c r="X2966" s="66" t="n"/>
      <c r="Y2966" s="66" t="n"/>
      <c r="Z2966" s="7" t="n"/>
      <c r="AA2966" s="70">
        <f>IF($A2966="","",N(V2966)+N(W2966)+N(X2966)+N(Y2966))</f>
        <v/>
      </c>
      <c r="AB2966" s="70">
        <f>IF($A2966="","",N(S2966)*'Paramètres'!$AA$9*IFERROR(INDEX('Paramètres'!$O$5:$O$7,MATCH(G2966,'Paramètres'!$N$5:$N$7,0)),0))</f>
        <v/>
      </c>
      <c r="AC2966" s="7" t="n"/>
      <c r="AD2966" s="69">
        <f>IF(OR($A2966="",Q2966=""),"",(Q2966-B2966)*24)</f>
        <v/>
      </c>
      <c r="AE2966" s="69">
        <f>IF(OR(Q2966="",R2966=""),"",(R2966-Q2966)*24)</f>
        <v/>
      </c>
      <c r="AF2966" s="77">
        <f>IF(OR($A2966="",B2966=""),"",YEAR(B2966))</f>
        <v/>
      </c>
      <c r="AG2966" s="77">
        <f>IF(OR($A2966="",B2966=""),"",MONTH(B2966))</f>
        <v/>
      </c>
    </row>
    <row r="2967">
      <c r="A2967" s="7" t="n"/>
      <c r="B2967" s="75" t="n"/>
      <c r="C2967" s="7" t="n"/>
      <c r="D2967" s="7" t="n"/>
      <c r="E2967" s="9">
        <f>IF(D2967="","",IFERROR(INDEX('Équipements'!$B$5:$B$304,MATCH(D2967,'Équipements'!$A$5:$A$304,0)),"Code inconnu"))</f>
        <v/>
      </c>
      <c r="F2967" s="9">
        <f>IF(D2967="","",IFERROR(INDEX('Équipements'!$D$5:$D$304,MATCH(D2967,'Équipements'!$A$5:$A$304,0)),""))</f>
        <v/>
      </c>
      <c r="G2967" s="9">
        <f>IF(D2967="","",IFERROR(INDEX('Équipements'!$K$5:$K$304,MATCH(D2967,'Équipements'!$A$5:$A$304,0)),""))</f>
        <v/>
      </c>
      <c r="H2967" s="7" t="n"/>
      <c r="I2967" s="7" t="n"/>
      <c r="J2967" s="7" t="n"/>
      <c r="K2967" s="7" t="n"/>
      <c r="L2967" s="7" t="n"/>
      <c r="M2967" s="7" t="n"/>
      <c r="N2967" s="7" t="n"/>
      <c r="O2967" s="7" t="n"/>
      <c r="P2967" s="65" t="n"/>
      <c r="Q2967" s="75" t="n"/>
      <c r="R2967" s="75" t="n"/>
      <c r="S2967" s="76" t="n"/>
      <c r="T2967" s="76" t="n"/>
      <c r="U2967" s="70">
        <f>IF($A2967="","",IFERROR(INDEX('Techniciens'!$F$5:$F$44,MATCH(O2967,'Techniciens'!$B$5:$B$44,0)),'Paramètres'!$AA$10))</f>
        <v/>
      </c>
      <c r="V2967" s="70">
        <f>IF($A2967="","",IF(OR(AC2967="Demandé",AC2967="Planifié",AC2967="Annulé"),0,N(T2967)*N(U2967)))</f>
        <v/>
      </c>
      <c r="W2967" s="70">
        <f>IF($A2967="","",SUMIFS('Mouvements stock'!$H$5:$H$3004,'Mouvements stock'!$I$5:$I$3004,$A2967,'Mouvements stock'!$C$5:$C$3004,"Sortie")-SUMIFS('Mouvements stock'!$H$5:$H$3004,'Mouvements stock'!$I$5:$I$3004,$A2967,'Mouvements stock'!$C$5:$C$3004,"Retour"))</f>
        <v/>
      </c>
      <c r="X2967" s="66" t="n"/>
      <c r="Y2967" s="66" t="n"/>
      <c r="Z2967" s="7" t="n"/>
      <c r="AA2967" s="70">
        <f>IF($A2967="","",N(V2967)+N(W2967)+N(X2967)+N(Y2967))</f>
        <v/>
      </c>
      <c r="AB2967" s="70">
        <f>IF($A2967="","",N(S2967)*'Paramètres'!$AA$9*IFERROR(INDEX('Paramètres'!$O$5:$O$7,MATCH(G2967,'Paramètres'!$N$5:$N$7,0)),0))</f>
        <v/>
      </c>
      <c r="AC2967" s="7" t="n"/>
      <c r="AD2967" s="69">
        <f>IF(OR($A2967="",Q2967=""),"",(Q2967-B2967)*24)</f>
        <v/>
      </c>
      <c r="AE2967" s="69">
        <f>IF(OR(Q2967="",R2967=""),"",(R2967-Q2967)*24)</f>
        <v/>
      </c>
      <c r="AF2967" s="77">
        <f>IF(OR($A2967="",B2967=""),"",YEAR(B2967))</f>
        <v/>
      </c>
      <c r="AG2967" s="77">
        <f>IF(OR($A2967="",B2967=""),"",MONTH(B2967))</f>
        <v/>
      </c>
    </row>
    <row r="2968">
      <c r="A2968" s="7" t="n"/>
      <c r="B2968" s="75" t="n"/>
      <c r="C2968" s="7" t="n"/>
      <c r="D2968" s="7" t="n"/>
      <c r="E2968" s="9">
        <f>IF(D2968="","",IFERROR(INDEX('Équipements'!$B$5:$B$304,MATCH(D2968,'Équipements'!$A$5:$A$304,0)),"Code inconnu"))</f>
        <v/>
      </c>
      <c r="F2968" s="9">
        <f>IF(D2968="","",IFERROR(INDEX('Équipements'!$D$5:$D$304,MATCH(D2968,'Équipements'!$A$5:$A$304,0)),""))</f>
        <v/>
      </c>
      <c r="G2968" s="9">
        <f>IF(D2968="","",IFERROR(INDEX('Équipements'!$K$5:$K$304,MATCH(D2968,'Équipements'!$A$5:$A$304,0)),""))</f>
        <v/>
      </c>
      <c r="H2968" s="7" t="n"/>
      <c r="I2968" s="7" t="n"/>
      <c r="J2968" s="7" t="n"/>
      <c r="K2968" s="7" t="n"/>
      <c r="L2968" s="7" t="n"/>
      <c r="M2968" s="7" t="n"/>
      <c r="N2968" s="7" t="n"/>
      <c r="O2968" s="7" t="n"/>
      <c r="P2968" s="65" t="n"/>
      <c r="Q2968" s="75" t="n"/>
      <c r="R2968" s="75" t="n"/>
      <c r="S2968" s="76" t="n"/>
      <c r="T2968" s="76" t="n"/>
      <c r="U2968" s="70">
        <f>IF($A2968="","",IFERROR(INDEX('Techniciens'!$F$5:$F$44,MATCH(O2968,'Techniciens'!$B$5:$B$44,0)),'Paramètres'!$AA$10))</f>
        <v/>
      </c>
      <c r="V2968" s="70">
        <f>IF($A2968="","",IF(OR(AC2968="Demandé",AC2968="Planifié",AC2968="Annulé"),0,N(T2968)*N(U2968)))</f>
        <v/>
      </c>
      <c r="W2968" s="70">
        <f>IF($A2968="","",SUMIFS('Mouvements stock'!$H$5:$H$3004,'Mouvements stock'!$I$5:$I$3004,$A2968,'Mouvements stock'!$C$5:$C$3004,"Sortie")-SUMIFS('Mouvements stock'!$H$5:$H$3004,'Mouvements stock'!$I$5:$I$3004,$A2968,'Mouvements stock'!$C$5:$C$3004,"Retour"))</f>
        <v/>
      </c>
      <c r="X2968" s="66" t="n"/>
      <c r="Y2968" s="66" t="n"/>
      <c r="Z2968" s="7" t="n"/>
      <c r="AA2968" s="70">
        <f>IF($A2968="","",N(V2968)+N(W2968)+N(X2968)+N(Y2968))</f>
        <v/>
      </c>
      <c r="AB2968" s="70">
        <f>IF($A2968="","",N(S2968)*'Paramètres'!$AA$9*IFERROR(INDEX('Paramètres'!$O$5:$O$7,MATCH(G2968,'Paramètres'!$N$5:$N$7,0)),0))</f>
        <v/>
      </c>
      <c r="AC2968" s="7" t="n"/>
      <c r="AD2968" s="69">
        <f>IF(OR($A2968="",Q2968=""),"",(Q2968-B2968)*24)</f>
        <v/>
      </c>
      <c r="AE2968" s="69">
        <f>IF(OR(Q2968="",R2968=""),"",(R2968-Q2968)*24)</f>
        <v/>
      </c>
      <c r="AF2968" s="77">
        <f>IF(OR($A2968="",B2968=""),"",YEAR(B2968))</f>
        <v/>
      </c>
      <c r="AG2968" s="77">
        <f>IF(OR($A2968="",B2968=""),"",MONTH(B2968))</f>
        <v/>
      </c>
    </row>
    <row r="2969">
      <c r="A2969" s="7" t="n"/>
      <c r="B2969" s="75" t="n"/>
      <c r="C2969" s="7" t="n"/>
      <c r="D2969" s="7" t="n"/>
      <c r="E2969" s="9">
        <f>IF(D2969="","",IFERROR(INDEX('Équipements'!$B$5:$B$304,MATCH(D2969,'Équipements'!$A$5:$A$304,0)),"Code inconnu"))</f>
        <v/>
      </c>
      <c r="F2969" s="9">
        <f>IF(D2969="","",IFERROR(INDEX('Équipements'!$D$5:$D$304,MATCH(D2969,'Équipements'!$A$5:$A$304,0)),""))</f>
        <v/>
      </c>
      <c r="G2969" s="9">
        <f>IF(D2969="","",IFERROR(INDEX('Équipements'!$K$5:$K$304,MATCH(D2969,'Équipements'!$A$5:$A$304,0)),""))</f>
        <v/>
      </c>
      <c r="H2969" s="7" t="n"/>
      <c r="I2969" s="7" t="n"/>
      <c r="J2969" s="7" t="n"/>
      <c r="K2969" s="7" t="n"/>
      <c r="L2969" s="7" t="n"/>
      <c r="M2969" s="7" t="n"/>
      <c r="N2969" s="7" t="n"/>
      <c r="O2969" s="7" t="n"/>
      <c r="P2969" s="65" t="n"/>
      <c r="Q2969" s="75" t="n"/>
      <c r="R2969" s="75" t="n"/>
      <c r="S2969" s="76" t="n"/>
      <c r="T2969" s="76" t="n"/>
      <c r="U2969" s="70">
        <f>IF($A2969="","",IFERROR(INDEX('Techniciens'!$F$5:$F$44,MATCH(O2969,'Techniciens'!$B$5:$B$44,0)),'Paramètres'!$AA$10))</f>
        <v/>
      </c>
      <c r="V2969" s="70">
        <f>IF($A2969="","",IF(OR(AC2969="Demandé",AC2969="Planifié",AC2969="Annulé"),0,N(T2969)*N(U2969)))</f>
        <v/>
      </c>
      <c r="W2969" s="70">
        <f>IF($A2969="","",SUMIFS('Mouvements stock'!$H$5:$H$3004,'Mouvements stock'!$I$5:$I$3004,$A2969,'Mouvements stock'!$C$5:$C$3004,"Sortie")-SUMIFS('Mouvements stock'!$H$5:$H$3004,'Mouvements stock'!$I$5:$I$3004,$A2969,'Mouvements stock'!$C$5:$C$3004,"Retour"))</f>
        <v/>
      </c>
      <c r="X2969" s="66" t="n"/>
      <c r="Y2969" s="66" t="n"/>
      <c r="Z2969" s="7" t="n"/>
      <c r="AA2969" s="70">
        <f>IF($A2969="","",N(V2969)+N(W2969)+N(X2969)+N(Y2969))</f>
        <v/>
      </c>
      <c r="AB2969" s="70">
        <f>IF($A2969="","",N(S2969)*'Paramètres'!$AA$9*IFERROR(INDEX('Paramètres'!$O$5:$O$7,MATCH(G2969,'Paramètres'!$N$5:$N$7,0)),0))</f>
        <v/>
      </c>
      <c r="AC2969" s="7" t="n"/>
      <c r="AD2969" s="69">
        <f>IF(OR($A2969="",Q2969=""),"",(Q2969-B2969)*24)</f>
        <v/>
      </c>
      <c r="AE2969" s="69">
        <f>IF(OR(Q2969="",R2969=""),"",(R2969-Q2969)*24)</f>
        <v/>
      </c>
      <c r="AF2969" s="77">
        <f>IF(OR($A2969="",B2969=""),"",YEAR(B2969))</f>
        <v/>
      </c>
      <c r="AG2969" s="77">
        <f>IF(OR($A2969="",B2969=""),"",MONTH(B2969))</f>
        <v/>
      </c>
    </row>
    <row r="2970">
      <c r="A2970" s="7" t="n"/>
      <c r="B2970" s="75" t="n"/>
      <c r="C2970" s="7" t="n"/>
      <c r="D2970" s="7" t="n"/>
      <c r="E2970" s="9">
        <f>IF(D2970="","",IFERROR(INDEX('Équipements'!$B$5:$B$304,MATCH(D2970,'Équipements'!$A$5:$A$304,0)),"Code inconnu"))</f>
        <v/>
      </c>
      <c r="F2970" s="9">
        <f>IF(D2970="","",IFERROR(INDEX('Équipements'!$D$5:$D$304,MATCH(D2970,'Équipements'!$A$5:$A$304,0)),""))</f>
        <v/>
      </c>
      <c r="G2970" s="9">
        <f>IF(D2970="","",IFERROR(INDEX('Équipements'!$K$5:$K$304,MATCH(D2970,'Équipements'!$A$5:$A$304,0)),""))</f>
        <v/>
      </c>
      <c r="H2970" s="7" t="n"/>
      <c r="I2970" s="7" t="n"/>
      <c r="J2970" s="7" t="n"/>
      <c r="K2970" s="7" t="n"/>
      <c r="L2970" s="7" t="n"/>
      <c r="M2970" s="7" t="n"/>
      <c r="N2970" s="7" t="n"/>
      <c r="O2970" s="7" t="n"/>
      <c r="P2970" s="65" t="n"/>
      <c r="Q2970" s="75" t="n"/>
      <c r="R2970" s="75" t="n"/>
      <c r="S2970" s="76" t="n"/>
      <c r="T2970" s="76" t="n"/>
      <c r="U2970" s="70">
        <f>IF($A2970="","",IFERROR(INDEX('Techniciens'!$F$5:$F$44,MATCH(O2970,'Techniciens'!$B$5:$B$44,0)),'Paramètres'!$AA$10))</f>
        <v/>
      </c>
      <c r="V2970" s="70">
        <f>IF($A2970="","",IF(OR(AC2970="Demandé",AC2970="Planifié",AC2970="Annulé"),0,N(T2970)*N(U2970)))</f>
        <v/>
      </c>
      <c r="W2970" s="70">
        <f>IF($A2970="","",SUMIFS('Mouvements stock'!$H$5:$H$3004,'Mouvements stock'!$I$5:$I$3004,$A2970,'Mouvements stock'!$C$5:$C$3004,"Sortie")-SUMIFS('Mouvements stock'!$H$5:$H$3004,'Mouvements stock'!$I$5:$I$3004,$A2970,'Mouvements stock'!$C$5:$C$3004,"Retour"))</f>
        <v/>
      </c>
      <c r="X2970" s="66" t="n"/>
      <c r="Y2970" s="66" t="n"/>
      <c r="Z2970" s="7" t="n"/>
      <c r="AA2970" s="70">
        <f>IF($A2970="","",N(V2970)+N(W2970)+N(X2970)+N(Y2970))</f>
        <v/>
      </c>
      <c r="AB2970" s="70">
        <f>IF($A2970="","",N(S2970)*'Paramètres'!$AA$9*IFERROR(INDEX('Paramètres'!$O$5:$O$7,MATCH(G2970,'Paramètres'!$N$5:$N$7,0)),0))</f>
        <v/>
      </c>
      <c r="AC2970" s="7" t="n"/>
      <c r="AD2970" s="69">
        <f>IF(OR($A2970="",Q2970=""),"",(Q2970-B2970)*24)</f>
        <v/>
      </c>
      <c r="AE2970" s="69">
        <f>IF(OR(Q2970="",R2970=""),"",(R2970-Q2970)*24)</f>
        <v/>
      </c>
      <c r="AF2970" s="77">
        <f>IF(OR($A2970="",B2970=""),"",YEAR(B2970))</f>
        <v/>
      </c>
      <c r="AG2970" s="77">
        <f>IF(OR($A2970="",B2970=""),"",MONTH(B2970))</f>
        <v/>
      </c>
    </row>
    <row r="2971">
      <c r="A2971" s="7" t="n"/>
      <c r="B2971" s="75" t="n"/>
      <c r="C2971" s="7" t="n"/>
      <c r="D2971" s="7" t="n"/>
      <c r="E2971" s="9">
        <f>IF(D2971="","",IFERROR(INDEX('Équipements'!$B$5:$B$304,MATCH(D2971,'Équipements'!$A$5:$A$304,0)),"Code inconnu"))</f>
        <v/>
      </c>
      <c r="F2971" s="9">
        <f>IF(D2971="","",IFERROR(INDEX('Équipements'!$D$5:$D$304,MATCH(D2971,'Équipements'!$A$5:$A$304,0)),""))</f>
        <v/>
      </c>
      <c r="G2971" s="9">
        <f>IF(D2971="","",IFERROR(INDEX('Équipements'!$K$5:$K$304,MATCH(D2971,'Équipements'!$A$5:$A$304,0)),""))</f>
        <v/>
      </c>
      <c r="H2971" s="7" t="n"/>
      <c r="I2971" s="7" t="n"/>
      <c r="J2971" s="7" t="n"/>
      <c r="K2971" s="7" t="n"/>
      <c r="L2971" s="7" t="n"/>
      <c r="M2971" s="7" t="n"/>
      <c r="N2971" s="7" t="n"/>
      <c r="O2971" s="7" t="n"/>
      <c r="P2971" s="65" t="n"/>
      <c r="Q2971" s="75" t="n"/>
      <c r="R2971" s="75" t="n"/>
      <c r="S2971" s="76" t="n"/>
      <c r="T2971" s="76" t="n"/>
      <c r="U2971" s="70">
        <f>IF($A2971="","",IFERROR(INDEX('Techniciens'!$F$5:$F$44,MATCH(O2971,'Techniciens'!$B$5:$B$44,0)),'Paramètres'!$AA$10))</f>
        <v/>
      </c>
      <c r="V2971" s="70">
        <f>IF($A2971="","",IF(OR(AC2971="Demandé",AC2971="Planifié",AC2971="Annulé"),0,N(T2971)*N(U2971)))</f>
        <v/>
      </c>
      <c r="W2971" s="70">
        <f>IF($A2971="","",SUMIFS('Mouvements stock'!$H$5:$H$3004,'Mouvements stock'!$I$5:$I$3004,$A2971,'Mouvements stock'!$C$5:$C$3004,"Sortie")-SUMIFS('Mouvements stock'!$H$5:$H$3004,'Mouvements stock'!$I$5:$I$3004,$A2971,'Mouvements stock'!$C$5:$C$3004,"Retour"))</f>
        <v/>
      </c>
      <c r="X2971" s="66" t="n"/>
      <c r="Y2971" s="66" t="n"/>
      <c r="Z2971" s="7" t="n"/>
      <c r="AA2971" s="70">
        <f>IF($A2971="","",N(V2971)+N(W2971)+N(X2971)+N(Y2971))</f>
        <v/>
      </c>
      <c r="AB2971" s="70">
        <f>IF($A2971="","",N(S2971)*'Paramètres'!$AA$9*IFERROR(INDEX('Paramètres'!$O$5:$O$7,MATCH(G2971,'Paramètres'!$N$5:$N$7,0)),0))</f>
        <v/>
      </c>
      <c r="AC2971" s="7" t="n"/>
      <c r="AD2971" s="69">
        <f>IF(OR($A2971="",Q2971=""),"",(Q2971-B2971)*24)</f>
        <v/>
      </c>
      <c r="AE2971" s="69">
        <f>IF(OR(Q2971="",R2971=""),"",(R2971-Q2971)*24)</f>
        <v/>
      </c>
      <c r="AF2971" s="77">
        <f>IF(OR($A2971="",B2971=""),"",YEAR(B2971))</f>
        <v/>
      </c>
      <c r="AG2971" s="77">
        <f>IF(OR($A2971="",B2971=""),"",MONTH(B2971))</f>
        <v/>
      </c>
    </row>
    <row r="2972">
      <c r="A2972" s="7" t="n"/>
      <c r="B2972" s="75" t="n"/>
      <c r="C2972" s="7" t="n"/>
      <c r="D2972" s="7" t="n"/>
      <c r="E2972" s="9">
        <f>IF(D2972="","",IFERROR(INDEX('Équipements'!$B$5:$B$304,MATCH(D2972,'Équipements'!$A$5:$A$304,0)),"Code inconnu"))</f>
        <v/>
      </c>
      <c r="F2972" s="9">
        <f>IF(D2972="","",IFERROR(INDEX('Équipements'!$D$5:$D$304,MATCH(D2972,'Équipements'!$A$5:$A$304,0)),""))</f>
        <v/>
      </c>
      <c r="G2972" s="9">
        <f>IF(D2972="","",IFERROR(INDEX('Équipements'!$K$5:$K$304,MATCH(D2972,'Équipements'!$A$5:$A$304,0)),""))</f>
        <v/>
      </c>
      <c r="H2972" s="7" t="n"/>
      <c r="I2972" s="7" t="n"/>
      <c r="J2972" s="7" t="n"/>
      <c r="K2972" s="7" t="n"/>
      <c r="L2972" s="7" t="n"/>
      <c r="M2972" s="7" t="n"/>
      <c r="N2972" s="7" t="n"/>
      <c r="O2972" s="7" t="n"/>
      <c r="P2972" s="65" t="n"/>
      <c r="Q2972" s="75" t="n"/>
      <c r="R2972" s="75" t="n"/>
      <c r="S2972" s="76" t="n"/>
      <c r="T2972" s="76" t="n"/>
      <c r="U2972" s="70">
        <f>IF($A2972="","",IFERROR(INDEX('Techniciens'!$F$5:$F$44,MATCH(O2972,'Techniciens'!$B$5:$B$44,0)),'Paramètres'!$AA$10))</f>
        <v/>
      </c>
      <c r="V2972" s="70">
        <f>IF($A2972="","",IF(OR(AC2972="Demandé",AC2972="Planifié",AC2972="Annulé"),0,N(T2972)*N(U2972)))</f>
        <v/>
      </c>
      <c r="W2972" s="70">
        <f>IF($A2972="","",SUMIFS('Mouvements stock'!$H$5:$H$3004,'Mouvements stock'!$I$5:$I$3004,$A2972,'Mouvements stock'!$C$5:$C$3004,"Sortie")-SUMIFS('Mouvements stock'!$H$5:$H$3004,'Mouvements stock'!$I$5:$I$3004,$A2972,'Mouvements stock'!$C$5:$C$3004,"Retour"))</f>
        <v/>
      </c>
      <c r="X2972" s="66" t="n"/>
      <c r="Y2972" s="66" t="n"/>
      <c r="Z2972" s="7" t="n"/>
      <c r="AA2972" s="70">
        <f>IF($A2972="","",N(V2972)+N(W2972)+N(X2972)+N(Y2972))</f>
        <v/>
      </c>
      <c r="AB2972" s="70">
        <f>IF($A2972="","",N(S2972)*'Paramètres'!$AA$9*IFERROR(INDEX('Paramètres'!$O$5:$O$7,MATCH(G2972,'Paramètres'!$N$5:$N$7,0)),0))</f>
        <v/>
      </c>
      <c r="AC2972" s="7" t="n"/>
      <c r="AD2972" s="69">
        <f>IF(OR($A2972="",Q2972=""),"",(Q2972-B2972)*24)</f>
        <v/>
      </c>
      <c r="AE2972" s="69">
        <f>IF(OR(Q2972="",R2972=""),"",(R2972-Q2972)*24)</f>
        <v/>
      </c>
      <c r="AF2972" s="77">
        <f>IF(OR($A2972="",B2972=""),"",YEAR(B2972))</f>
        <v/>
      </c>
      <c r="AG2972" s="77">
        <f>IF(OR($A2972="",B2972=""),"",MONTH(B2972))</f>
        <v/>
      </c>
    </row>
    <row r="2973">
      <c r="A2973" s="7" t="n"/>
      <c r="B2973" s="75" t="n"/>
      <c r="C2973" s="7" t="n"/>
      <c r="D2973" s="7" t="n"/>
      <c r="E2973" s="9">
        <f>IF(D2973="","",IFERROR(INDEX('Équipements'!$B$5:$B$304,MATCH(D2973,'Équipements'!$A$5:$A$304,0)),"Code inconnu"))</f>
        <v/>
      </c>
      <c r="F2973" s="9">
        <f>IF(D2973="","",IFERROR(INDEX('Équipements'!$D$5:$D$304,MATCH(D2973,'Équipements'!$A$5:$A$304,0)),""))</f>
        <v/>
      </c>
      <c r="G2973" s="9">
        <f>IF(D2973="","",IFERROR(INDEX('Équipements'!$K$5:$K$304,MATCH(D2973,'Équipements'!$A$5:$A$304,0)),""))</f>
        <v/>
      </c>
      <c r="H2973" s="7" t="n"/>
      <c r="I2973" s="7" t="n"/>
      <c r="J2973" s="7" t="n"/>
      <c r="K2973" s="7" t="n"/>
      <c r="L2973" s="7" t="n"/>
      <c r="M2973" s="7" t="n"/>
      <c r="N2973" s="7" t="n"/>
      <c r="O2973" s="7" t="n"/>
      <c r="P2973" s="65" t="n"/>
      <c r="Q2973" s="75" t="n"/>
      <c r="R2973" s="75" t="n"/>
      <c r="S2973" s="76" t="n"/>
      <c r="T2973" s="76" t="n"/>
      <c r="U2973" s="70">
        <f>IF($A2973="","",IFERROR(INDEX('Techniciens'!$F$5:$F$44,MATCH(O2973,'Techniciens'!$B$5:$B$44,0)),'Paramètres'!$AA$10))</f>
        <v/>
      </c>
      <c r="V2973" s="70">
        <f>IF($A2973="","",IF(OR(AC2973="Demandé",AC2973="Planifié",AC2973="Annulé"),0,N(T2973)*N(U2973)))</f>
        <v/>
      </c>
      <c r="W2973" s="70">
        <f>IF($A2973="","",SUMIFS('Mouvements stock'!$H$5:$H$3004,'Mouvements stock'!$I$5:$I$3004,$A2973,'Mouvements stock'!$C$5:$C$3004,"Sortie")-SUMIFS('Mouvements stock'!$H$5:$H$3004,'Mouvements stock'!$I$5:$I$3004,$A2973,'Mouvements stock'!$C$5:$C$3004,"Retour"))</f>
        <v/>
      </c>
      <c r="X2973" s="66" t="n"/>
      <c r="Y2973" s="66" t="n"/>
      <c r="Z2973" s="7" t="n"/>
      <c r="AA2973" s="70">
        <f>IF($A2973="","",N(V2973)+N(W2973)+N(X2973)+N(Y2973))</f>
        <v/>
      </c>
      <c r="AB2973" s="70">
        <f>IF($A2973="","",N(S2973)*'Paramètres'!$AA$9*IFERROR(INDEX('Paramètres'!$O$5:$O$7,MATCH(G2973,'Paramètres'!$N$5:$N$7,0)),0))</f>
        <v/>
      </c>
      <c r="AC2973" s="7" t="n"/>
      <c r="AD2973" s="69">
        <f>IF(OR($A2973="",Q2973=""),"",(Q2973-B2973)*24)</f>
        <v/>
      </c>
      <c r="AE2973" s="69">
        <f>IF(OR(Q2973="",R2973=""),"",(R2973-Q2973)*24)</f>
        <v/>
      </c>
      <c r="AF2973" s="77">
        <f>IF(OR($A2973="",B2973=""),"",YEAR(B2973))</f>
        <v/>
      </c>
      <c r="AG2973" s="77">
        <f>IF(OR($A2973="",B2973=""),"",MONTH(B2973))</f>
        <v/>
      </c>
    </row>
    <row r="2974">
      <c r="A2974" s="7" t="n"/>
      <c r="B2974" s="75" t="n"/>
      <c r="C2974" s="7" t="n"/>
      <c r="D2974" s="7" t="n"/>
      <c r="E2974" s="9">
        <f>IF(D2974="","",IFERROR(INDEX('Équipements'!$B$5:$B$304,MATCH(D2974,'Équipements'!$A$5:$A$304,0)),"Code inconnu"))</f>
        <v/>
      </c>
      <c r="F2974" s="9">
        <f>IF(D2974="","",IFERROR(INDEX('Équipements'!$D$5:$D$304,MATCH(D2974,'Équipements'!$A$5:$A$304,0)),""))</f>
        <v/>
      </c>
      <c r="G2974" s="9">
        <f>IF(D2974="","",IFERROR(INDEX('Équipements'!$K$5:$K$304,MATCH(D2974,'Équipements'!$A$5:$A$304,0)),""))</f>
        <v/>
      </c>
      <c r="H2974" s="7" t="n"/>
      <c r="I2974" s="7" t="n"/>
      <c r="J2974" s="7" t="n"/>
      <c r="K2974" s="7" t="n"/>
      <c r="L2974" s="7" t="n"/>
      <c r="M2974" s="7" t="n"/>
      <c r="N2974" s="7" t="n"/>
      <c r="O2974" s="7" t="n"/>
      <c r="P2974" s="65" t="n"/>
      <c r="Q2974" s="75" t="n"/>
      <c r="R2974" s="75" t="n"/>
      <c r="S2974" s="76" t="n"/>
      <c r="T2974" s="76" t="n"/>
      <c r="U2974" s="70">
        <f>IF($A2974="","",IFERROR(INDEX('Techniciens'!$F$5:$F$44,MATCH(O2974,'Techniciens'!$B$5:$B$44,0)),'Paramètres'!$AA$10))</f>
        <v/>
      </c>
      <c r="V2974" s="70">
        <f>IF($A2974="","",IF(OR(AC2974="Demandé",AC2974="Planifié",AC2974="Annulé"),0,N(T2974)*N(U2974)))</f>
        <v/>
      </c>
      <c r="W2974" s="70">
        <f>IF($A2974="","",SUMIFS('Mouvements stock'!$H$5:$H$3004,'Mouvements stock'!$I$5:$I$3004,$A2974,'Mouvements stock'!$C$5:$C$3004,"Sortie")-SUMIFS('Mouvements stock'!$H$5:$H$3004,'Mouvements stock'!$I$5:$I$3004,$A2974,'Mouvements stock'!$C$5:$C$3004,"Retour"))</f>
        <v/>
      </c>
      <c r="X2974" s="66" t="n"/>
      <c r="Y2974" s="66" t="n"/>
      <c r="Z2974" s="7" t="n"/>
      <c r="AA2974" s="70">
        <f>IF($A2974="","",N(V2974)+N(W2974)+N(X2974)+N(Y2974))</f>
        <v/>
      </c>
      <c r="AB2974" s="70">
        <f>IF($A2974="","",N(S2974)*'Paramètres'!$AA$9*IFERROR(INDEX('Paramètres'!$O$5:$O$7,MATCH(G2974,'Paramètres'!$N$5:$N$7,0)),0))</f>
        <v/>
      </c>
      <c r="AC2974" s="7" t="n"/>
      <c r="AD2974" s="69">
        <f>IF(OR($A2974="",Q2974=""),"",(Q2974-B2974)*24)</f>
        <v/>
      </c>
      <c r="AE2974" s="69">
        <f>IF(OR(Q2974="",R2974=""),"",(R2974-Q2974)*24)</f>
        <v/>
      </c>
      <c r="AF2974" s="77">
        <f>IF(OR($A2974="",B2974=""),"",YEAR(B2974))</f>
        <v/>
      </c>
      <c r="AG2974" s="77">
        <f>IF(OR($A2974="",B2974=""),"",MONTH(B2974))</f>
        <v/>
      </c>
    </row>
    <row r="2975">
      <c r="A2975" s="7" t="n"/>
      <c r="B2975" s="75" t="n"/>
      <c r="C2975" s="7" t="n"/>
      <c r="D2975" s="7" t="n"/>
      <c r="E2975" s="9">
        <f>IF(D2975="","",IFERROR(INDEX('Équipements'!$B$5:$B$304,MATCH(D2975,'Équipements'!$A$5:$A$304,0)),"Code inconnu"))</f>
        <v/>
      </c>
      <c r="F2975" s="9">
        <f>IF(D2975="","",IFERROR(INDEX('Équipements'!$D$5:$D$304,MATCH(D2975,'Équipements'!$A$5:$A$304,0)),""))</f>
        <v/>
      </c>
      <c r="G2975" s="9">
        <f>IF(D2975="","",IFERROR(INDEX('Équipements'!$K$5:$K$304,MATCH(D2975,'Équipements'!$A$5:$A$304,0)),""))</f>
        <v/>
      </c>
      <c r="H2975" s="7" t="n"/>
      <c r="I2975" s="7" t="n"/>
      <c r="J2975" s="7" t="n"/>
      <c r="K2975" s="7" t="n"/>
      <c r="L2975" s="7" t="n"/>
      <c r="M2975" s="7" t="n"/>
      <c r="N2975" s="7" t="n"/>
      <c r="O2975" s="7" t="n"/>
      <c r="P2975" s="65" t="n"/>
      <c r="Q2975" s="75" t="n"/>
      <c r="R2975" s="75" t="n"/>
      <c r="S2975" s="76" t="n"/>
      <c r="T2975" s="76" t="n"/>
      <c r="U2975" s="70">
        <f>IF($A2975="","",IFERROR(INDEX('Techniciens'!$F$5:$F$44,MATCH(O2975,'Techniciens'!$B$5:$B$44,0)),'Paramètres'!$AA$10))</f>
        <v/>
      </c>
      <c r="V2975" s="70">
        <f>IF($A2975="","",IF(OR(AC2975="Demandé",AC2975="Planifié",AC2975="Annulé"),0,N(T2975)*N(U2975)))</f>
        <v/>
      </c>
      <c r="W2975" s="70">
        <f>IF($A2975="","",SUMIFS('Mouvements stock'!$H$5:$H$3004,'Mouvements stock'!$I$5:$I$3004,$A2975,'Mouvements stock'!$C$5:$C$3004,"Sortie")-SUMIFS('Mouvements stock'!$H$5:$H$3004,'Mouvements stock'!$I$5:$I$3004,$A2975,'Mouvements stock'!$C$5:$C$3004,"Retour"))</f>
        <v/>
      </c>
      <c r="X2975" s="66" t="n"/>
      <c r="Y2975" s="66" t="n"/>
      <c r="Z2975" s="7" t="n"/>
      <c r="AA2975" s="70">
        <f>IF($A2975="","",N(V2975)+N(W2975)+N(X2975)+N(Y2975))</f>
        <v/>
      </c>
      <c r="AB2975" s="70">
        <f>IF($A2975="","",N(S2975)*'Paramètres'!$AA$9*IFERROR(INDEX('Paramètres'!$O$5:$O$7,MATCH(G2975,'Paramètres'!$N$5:$N$7,0)),0))</f>
        <v/>
      </c>
      <c r="AC2975" s="7" t="n"/>
      <c r="AD2975" s="69">
        <f>IF(OR($A2975="",Q2975=""),"",(Q2975-B2975)*24)</f>
        <v/>
      </c>
      <c r="AE2975" s="69">
        <f>IF(OR(Q2975="",R2975=""),"",(R2975-Q2975)*24)</f>
        <v/>
      </c>
      <c r="AF2975" s="77">
        <f>IF(OR($A2975="",B2975=""),"",YEAR(B2975))</f>
        <v/>
      </c>
      <c r="AG2975" s="77">
        <f>IF(OR($A2975="",B2975=""),"",MONTH(B2975))</f>
        <v/>
      </c>
    </row>
    <row r="2976">
      <c r="A2976" s="7" t="n"/>
      <c r="B2976" s="75" t="n"/>
      <c r="C2976" s="7" t="n"/>
      <c r="D2976" s="7" t="n"/>
      <c r="E2976" s="9">
        <f>IF(D2976="","",IFERROR(INDEX('Équipements'!$B$5:$B$304,MATCH(D2976,'Équipements'!$A$5:$A$304,0)),"Code inconnu"))</f>
        <v/>
      </c>
      <c r="F2976" s="9">
        <f>IF(D2976="","",IFERROR(INDEX('Équipements'!$D$5:$D$304,MATCH(D2976,'Équipements'!$A$5:$A$304,0)),""))</f>
        <v/>
      </c>
      <c r="G2976" s="9">
        <f>IF(D2976="","",IFERROR(INDEX('Équipements'!$K$5:$K$304,MATCH(D2976,'Équipements'!$A$5:$A$304,0)),""))</f>
        <v/>
      </c>
      <c r="H2976" s="7" t="n"/>
      <c r="I2976" s="7" t="n"/>
      <c r="J2976" s="7" t="n"/>
      <c r="K2976" s="7" t="n"/>
      <c r="L2976" s="7" t="n"/>
      <c r="M2976" s="7" t="n"/>
      <c r="N2976" s="7" t="n"/>
      <c r="O2976" s="7" t="n"/>
      <c r="P2976" s="65" t="n"/>
      <c r="Q2976" s="75" t="n"/>
      <c r="R2976" s="75" t="n"/>
      <c r="S2976" s="76" t="n"/>
      <c r="T2976" s="76" t="n"/>
      <c r="U2976" s="70">
        <f>IF($A2976="","",IFERROR(INDEX('Techniciens'!$F$5:$F$44,MATCH(O2976,'Techniciens'!$B$5:$B$44,0)),'Paramètres'!$AA$10))</f>
        <v/>
      </c>
      <c r="V2976" s="70">
        <f>IF($A2976="","",IF(OR(AC2976="Demandé",AC2976="Planifié",AC2976="Annulé"),0,N(T2976)*N(U2976)))</f>
        <v/>
      </c>
      <c r="W2976" s="70">
        <f>IF($A2976="","",SUMIFS('Mouvements stock'!$H$5:$H$3004,'Mouvements stock'!$I$5:$I$3004,$A2976,'Mouvements stock'!$C$5:$C$3004,"Sortie")-SUMIFS('Mouvements stock'!$H$5:$H$3004,'Mouvements stock'!$I$5:$I$3004,$A2976,'Mouvements stock'!$C$5:$C$3004,"Retour"))</f>
        <v/>
      </c>
      <c r="X2976" s="66" t="n"/>
      <c r="Y2976" s="66" t="n"/>
      <c r="Z2976" s="7" t="n"/>
      <c r="AA2976" s="70">
        <f>IF($A2976="","",N(V2976)+N(W2976)+N(X2976)+N(Y2976))</f>
        <v/>
      </c>
      <c r="AB2976" s="70">
        <f>IF($A2976="","",N(S2976)*'Paramètres'!$AA$9*IFERROR(INDEX('Paramètres'!$O$5:$O$7,MATCH(G2976,'Paramètres'!$N$5:$N$7,0)),0))</f>
        <v/>
      </c>
      <c r="AC2976" s="7" t="n"/>
      <c r="AD2976" s="69">
        <f>IF(OR($A2976="",Q2976=""),"",(Q2976-B2976)*24)</f>
        <v/>
      </c>
      <c r="AE2976" s="69">
        <f>IF(OR(Q2976="",R2976=""),"",(R2976-Q2976)*24)</f>
        <v/>
      </c>
      <c r="AF2976" s="77">
        <f>IF(OR($A2976="",B2976=""),"",YEAR(B2976))</f>
        <v/>
      </c>
      <c r="AG2976" s="77">
        <f>IF(OR($A2976="",B2976=""),"",MONTH(B2976))</f>
        <v/>
      </c>
    </row>
    <row r="2977">
      <c r="A2977" s="7" t="n"/>
      <c r="B2977" s="75" t="n"/>
      <c r="C2977" s="7" t="n"/>
      <c r="D2977" s="7" t="n"/>
      <c r="E2977" s="9">
        <f>IF(D2977="","",IFERROR(INDEX('Équipements'!$B$5:$B$304,MATCH(D2977,'Équipements'!$A$5:$A$304,0)),"Code inconnu"))</f>
        <v/>
      </c>
      <c r="F2977" s="9">
        <f>IF(D2977="","",IFERROR(INDEX('Équipements'!$D$5:$D$304,MATCH(D2977,'Équipements'!$A$5:$A$304,0)),""))</f>
        <v/>
      </c>
      <c r="G2977" s="9">
        <f>IF(D2977="","",IFERROR(INDEX('Équipements'!$K$5:$K$304,MATCH(D2977,'Équipements'!$A$5:$A$304,0)),""))</f>
        <v/>
      </c>
      <c r="H2977" s="7" t="n"/>
      <c r="I2977" s="7" t="n"/>
      <c r="J2977" s="7" t="n"/>
      <c r="K2977" s="7" t="n"/>
      <c r="L2977" s="7" t="n"/>
      <c r="M2977" s="7" t="n"/>
      <c r="N2977" s="7" t="n"/>
      <c r="O2977" s="7" t="n"/>
      <c r="P2977" s="65" t="n"/>
      <c r="Q2977" s="75" t="n"/>
      <c r="R2977" s="75" t="n"/>
      <c r="S2977" s="76" t="n"/>
      <c r="T2977" s="76" t="n"/>
      <c r="U2977" s="70">
        <f>IF($A2977="","",IFERROR(INDEX('Techniciens'!$F$5:$F$44,MATCH(O2977,'Techniciens'!$B$5:$B$44,0)),'Paramètres'!$AA$10))</f>
        <v/>
      </c>
      <c r="V2977" s="70">
        <f>IF($A2977="","",IF(OR(AC2977="Demandé",AC2977="Planifié",AC2977="Annulé"),0,N(T2977)*N(U2977)))</f>
        <v/>
      </c>
      <c r="W2977" s="70">
        <f>IF($A2977="","",SUMIFS('Mouvements stock'!$H$5:$H$3004,'Mouvements stock'!$I$5:$I$3004,$A2977,'Mouvements stock'!$C$5:$C$3004,"Sortie")-SUMIFS('Mouvements stock'!$H$5:$H$3004,'Mouvements stock'!$I$5:$I$3004,$A2977,'Mouvements stock'!$C$5:$C$3004,"Retour"))</f>
        <v/>
      </c>
      <c r="X2977" s="66" t="n"/>
      <c r="Y2977" s="66" t="n"/>
      <c r="Z2977" s="7" t="n"/>
      <c r="AA2977" s="70">
        <f>IF($A2977="","",N(V2977)+N(W2977)+N(X2977)+N(Y2977))</f>
        <v/>
      </c>
      <c r="AB2977" s="70">
        <f>IF($A2977="","",N(S2977)*'Paramètres'!$AA$9*IFERROR(INDEX('Paramètres'!$O$5:$O$7,MATCH(G2977,'Paramètres'!$N$5:$N$7,0)),0))</f>
        <v/>
      </c>
      <c r="AC2977" s="7" t="n"/>
      <c r="AD2977" s="69">
        <f>IF(OR($A2977="",Q2977=""),"",(Q2977-B2977)*24)</f>
        <v/>
      </c>
      <c r="AE2977" s="69">
        <f>IF(OR(Q2977="",R2977=""),"",(R2977-Q2977)*24)</f>
        <v/>
      </c>
      <c r="AF2977" s="77">
        <f>IF(OR($A2977="",B2977=""),"",YEAR(B2977))</f>
        <v/>
      </c>
      <c r="AG2977" s="77">
        <f>IF(OR($A2977="",B2977=""),"",MONTH(B2977))</f>
        <v/>
      </c>
    </row>
    <row r="2978">
      <c r="A2978" s="7" t="n"/>
      <c r="B2978" s="75" t="n"/>
      <c r="C2978" s="7" t="n"/>
      <c r="D2978" s="7" t="n"/>
      <c r="E2978" s="9">
        <f>IF(D2978="","",IFERROR(INDEX('Équipements'!$B$5:$B$304,MATCH(D2978,'Équipements'!$A$5:$A$304,0)),"Code inconnu"))</f>
        <v/>
      </c>
      <c r="F2978" s="9">
        <f>IF(D2978="","",IFERROR(INDEX('Équipements'!$D$5:$D$304,MATCH(D2978,'Équipements'!$A$5:$A$304,0)),""))</f>
        <v/>
      </c>
      <c r="G2978" s="9">
        <f>IF(D2978="","",IFERROR(INDEX('Équipements'!$K$5:$K$304,MATCH(D2978,'Équipements'!$A$5:$A$304,0)),""))</f>
        <v/>
      </c>
      <c r="H2978" s="7" t="n"/>
      <c r="I2978" s="7" t="n"/>
      <c r="J2978" s="7" t="n"/>
      <c r="K2978" s="7" t="n"/>
      <c r="L2978" s="7" t="n"/>
      <c r="M2978" s="7" t="n"/>
      <c r="N2978" s="7" t="n"/>
      <c r="O2978" s="7" t="n"/>
      <c r="P2978" s="65" t="n"/>
      <c r="Q2978" s="75" t="n"/>
      <c r="R2978" s="75" t="n"/>
      <c r="S2978" s="76" t="n"/>
      <c r="T2978" s="76" t="n"/>
      <c r="U2978" s="70">
        <f>IF($A2978="","",IFERROR(INDEX('Techniciens'!$F$5:$F$44,MATCH(O2978,'Techniciens'!$B$5:$B$44,0)),'Paramètres'!$AA$10))</f>
        <v/>
      </c>
      <c r="V2978" s="70">
        <f>IF($A2978="","",IF(OR(AC2978="Demandé",AC2978="Planifié",AC2978="Annulé"),0,N(T2978)*N(U2978)))</f>
        <v/>
      </c>
      <c r="W2978" s="70">
        <f>IF($A2978="","",SUMIFS('Mouvements stock'!$H$5:$H$3004,'Mouvements stock'!$I$5:$I$3004,$A2978,'Mouvements stock'!$C$5:$C$3004,"Sortie")-SUMIFS('Mouvements stock'!$H$5:$H$3004,'Mouvements stock'!$I$5:$I$3004,$A2978,'Mouvements stock'!$C$5:$C$3004,"Retour"))</f>
        <v/>
      </c>
      <c r="X2978" s="66" t="n"/>
      <c r="Y2978" s="66" t="n"/>
      <c r="Z2978" s="7" t="n"/>
      <c r="AA2978" s="70">
        <f>IF($A2978="","",N(V2978)+N(W2978)+N(X2978)+N(Y2978))</f>
        <v/>
      </c>
      <c r="AB2978" s="70">
        <f>IF($A2978="","",N(S2978)*'Paramètres'!$AA$9*IFERROR(INDEX('Paramètres'!$O$5:$O$7,MATCH(G2978,'Paramètres'!$N$5:$N$7,0)),0))</f>
        <v/>
      </c>
      <c r="AC2978" s="7" t="n"/>
      <c r="AD2978" s="69">
        <f>IF(OR($A2978="",Q2978=""),"",(Q2978-B2978)*24)</f>
        <v/>
      </c>
      <c r="AE2978" s="69">
        <f>IF(OR(Q2978="",R2978=""),"",(R2978-Q2978)*24)</f>
        <v/>
      </c>
      <c r="AF2978" s="77">
        <f>IF(OR($A2978="",B2978=""),"",YEAR(B2978))</f>
        <v/>
      </c>
      <c r="AG2978" s="77">
        <f>IF(OR($A2978="",B2978=""),"",MONTH(B2978))</f>
        <v/>
      </c>
    </row>
    <row r="2979">
      <c r="A2979" s="7" t="n"/>
      <c r="B2979" s="75" t="n"/>
      <c r="C2979" s="7" t="n"/>
      <c r="D2979" s="7" t="n"/>
      <c r="E2979" s="9">
        <f>IF(D2979="","",IFERROR(INDEX('Équipements'!$B$5:$B$304,MATCH(D2979,'Équipements'!$A$5:$A$304,0)),"Code inconnu"))</f>
        <v/>
      </c>
      <c r="F2979" s="9">
        <f>IF(D2979="","",IFERROR(INDEX('Équipements'!$D$5:$D$304,MATCH(D2979,'Équipements'!$A$5:$A$304,0)),""))</f>
        <v/>
      </c>
      <c r="G2979" s="9">
        <f>IF(D2979="","",IFERROR(INDEX('Équipements'!$K$5:$K$304,MATCH(D2979,'Équipements'!$A$5:$A$304,0)),""))</f>
        <v/>
      </c>
      <c r="H2979" s="7" t="n"/>
      <c r="I2979" s="7" t="n"/>
      <c r="J2979" s="7" t="n"/>
      <c r="K2979" s="7" t="n"/>
      <c r="L2979" s="7" t="n"/>
      <c r="M2979" s="7" t="n"/>
      <c r="N2979" s="7" t="n"/>
      <c r="O2979" s="7" t="n"/>
      <c r="P2979" s="65" t="n"/>
      <c r="Q2979" s="75" t="n"/>
      <c r="R2979" s="75" t="n"/>
      <c r="S2979" s="76" t="n"/>
      <c r="T2979" s="76" t="n"/>
      <c r="U2979" s="70">
        <f>IF($A2979="","",IFERROR(INDEX('Techniciens'!$F$5:$F$44,MATCH(O2979,'Techniciens'!$B$5:$B$44,0)),'Paramètres'!$AA$10))</f>
        <v/>
      </c>
      <c r="V2979" s="70">
        <f>IF($A2979="","",IF(OR(AC2979="Demandé",AC2979="Planifié",AC2979="Annulé"),0,N(T2979)*N(U2979)))</f>
        <v/>
      </c>
      <c r="W2979" s="70">
        <f>IF($A2979="","",SUMIFS('Mouvements stock'!$H$5:$H$3004,'Mouvements stock'!$I$5:$I$3004,$A2979,'Mouvements stock'!$C$5:$C$3004,"Sortie")-SUMIFS('Mouvements stock'!$H$5:$H$3004,'Mouvements stock'!$I$5:$I$3004,$A2979,'Mouvements stock'!$C$5:$C$3004,"Retour"))</f>
        <v/>
      </c>
      <c r="X2979" s="66" t="n"/>
      <c r="Y2979" s="66" t="n"/>
      <c r="Z2979" s="7" t="n"/>
      <c r="AA2979" s="70">
        <f>IF($A2979="","",N(V2979)+N(W2979)+N(X2979)+N(Y2979))</f>
        <v/>
      </c>
      <c r="AB2979" s="70">
        <f>IF($A2979="","",N(S2979)*'Paramètres'!$AA$9*IFERROR(INDEX('Paramètres'!$O$5:$O$7,MATCH(G2979,'Paramètres'!$N$5:$N$7,0)),0))</f>
        <v/>
      </c>
      <c r="AC2979" s="7" t="n"/>
      <c r="AD2979" s="69">
        <f>IF(OR($A2979="",Q2979=""),"",(Q2979-B2979)*24)</f>
        <v/>
      </c>
      <c r="AE2979" s="69">
        <f>IF(OR(Q2979="",R2979=""),"",(R2979-Q2979)*24)</f>
        <v/>
      </c>
      <c r="AF2979" s="77">
        <f>IF(OR($A2979="",B2979=""),"",YEAR(B2979))</f>
        <v/>
      </c>
      <c r="AG2979" s="77">
        <f>IF(OR($A2979="",B2979=""),"",MONTH(B2979))</f>
        <v/>
      </c>
    </row>
    <row r="2980">
      <c r="A2980" s="7" t="n"/>
      <c r="B2980" s="75" t="n"/>
      <c r="C2980" s="7" t="n"/>
      <c r="D2980" s="7" t="n"/>
      <c r="E2980" s="9">
        <f>IF(D2980="","",IFERROR(INDEX('Équipements'!$B$5:$B$304,MATCH(D2980,'Équipements'!$A$5:$A$304,0)),"Code inconnu"))</f>
        <v/>
      </c>
      <c r="F2980" s="9">
        <f>IF(D2980="","",IFERROR(INDEX('Équipements'!$D$5:$D$304,MATCH(D2980,'Équipements'!$A$5:$A$304,0)),""))</f>
        <v/>
      </c>
      <c r="G2980" s="9">
        <f>IF(D2980="","",IFERROR(INDEX('Équipements'!$K$5:$K$304,MATCH(D2980,'Équipements'!$A$5:$A$304,0)),""))</f>
        <v/>
      </c>
      <c r="H2980" s="7" t="n"/>
      <c r="I2980" s="7" t="n"/>
      <c r="J2980" s="7" t="n"/>
      <c r="K2980" s="7" t="n"/>
      <c r="L2980" s="7" t="n"/>
      <c r="M2980" s="7" t="n"/>
      <c r="N2980" s="7" t="n"/>
      <c r="O2980" s="7" t="n"/>
      <c r="P2980" s="65" t="n"/>
      <c r="Q2980" s="75" t="n"/>
      <c r="R2980" s="75" t="n"/>
      <c r="S2980" s="76" t="n"/>
      <c r="T2980" s="76" t="n"/>
      <c r="U2980" s="70">
        <f>IF($A2980="","",IFERROR(INDEX('Techniciens'!$F$5:$F$44,MATCH(O2980,'Techniciens'!$B$5:$B$44,0)),'Paramètres'!$AA$10))</f>
        <v/>
      </c>
      <c r="V2980" s="70">
        <f>IF($A2980="","",IF(OR(AC2980="Demandé",AC2980="Planifié",AC2980="Annulé"),0,N(T2980)*N(U2980)))</f>
        <v/>
      </c>
      <c r="W2980" s="70">
        <f>IF($A2980="","",SUMIFS('Mouvements stock'!$H$5:$H$3004,'Mouvements stock'!$I$5:$I$3004,$A2980,'Mouvements stock'!$C$5:$C$3004,"Sortie")-SUMIFS('Mouvements stock'!$H$5:$H$3004,'Mouvements stock'!$I$5:$I$3004,$A2980,'Mouvements stock'!$C$5:$C$3004,"Retour"))</f>
        <v/>
      </c>
      <c r="X2980" s="66" t="n"/>
      <c r="Y2980" s="66" t="n"/>
      <c r="Z2980" s="7" t="n"/>
      <c r="AA2980" s="70">
        <f>IF($A2980="","",N(V2980)+N(W2980)+N(X2980)+N(Y2980))</f>
        <v/>
      </c>
      <c r="AB2980" s="70">
        <f>IF($A2980="","",N(S2980)*'Paramètres'!$AA$9*IFERROR(INDEX('Paramètres'!$O$5:$O$7,MATCH(G2980,'Paramètres'!$N$5:$N$7,0)),0))</f>
        <v/>
      </c>
      <c r="AC2980" s="7" t="n"/>
      <c r="AD2980" s="69">
        <f>IF(OR($A2980="",Q2980=""),"",(Q2980-B2980)*24)</f>
        <v/>
      </c>
      <c r="AE2980" s="69">
        <f>IF(OR(Q2980="",R2980=""),"",(R2980-Q2980)*24)</f>
        <v/>
      </c>
      <c r="AF2980" s="77">
        <f>IF(OR($A2980="",B2980=""),"",YEAR(B2980))</f>
        <v/>
      </c>
      <c r="AG2980" s="77">
        <f>IF(OR($A2980="",B2980=""),"",MONTH(B2980))</f>
        <v/>
      </c>
    </row>
    <row r="2981">
      <c r="A2981" s="7" t="n"/>
      <c r="B2981" s="75" t="n"/>
      <c r="C2981" s="7" t="n"/>
      <c r="D2981" s="7" t="n"/>
      <c r="E2981" s="9">
        <f>IF(D2981="","",IFERROR(INDEX('Équipements'!$B$5:$B$304,MATCH(D2981,'Équipements'!$A$5:$A$304,0)),"Code inconnu"))</f>
        <v/>
      </c>
      <c r="F2981" s="9">
        <f>IF(D2981="","",IFERROR(INDEX('Équipements'!$D$5:$D$304,MATCH(D2981,'Équipements'!$A$5:$A$304,0)),""))</f>
        <v/>
      </c>
      <c r="G2981" s="9">
        <f>IF(D2981="","",IFERROR(INDEX('Équipements'!$K$5:$K$304,MATCH(D2981,'Équipements'!$A$5:$A$304,0)),""))</f>
        <v/>
      </c>
      <c r="H2981" s="7" t="n"/>
      <c r="I2981" s="7" t="n"/>
      <c r="J2981" s="7" t="n"/>
      <c r="K2981" s="7" t="n"/>
      <c r="L2981" s="7" t="n"/>
      <c r="M2981" s="7" t="n"/>
      <c r="N2981" s="7" t="n"/>
      <c r="O2981" s="7" t="n"/>
      <c r="P2981" s="65" t="n"/>
      <c r="Q2981" s="75" t="n"/>
      <c r="R2981" s="75" t="n"/>
      <c r="S2981" s="76" t="n"/>
      <c r="T2981" s="76" t="n"/>
      <c r="U2981" s="70">
        <f>IF($A2981="","",IFERROR(INDEX('Techniciens'!$F$5:$F$44,MATCH(O2981,'Techniciens'!$B$5:$B$44,0)),'Paramètres'!$AA$10))</f>
        <v/>
      </c>
      <c r="V2981" s="70">
        <f>IF($A2981="","",IF(OR(AC2981="Demandé",AC2981="Planifié",AC2981="Annulé"),0,N(T2981)*N(U2981)))</f>
        <v/>
      </c>
      <c r="W2981" s="70">
        <f>IF($A2981="","",SUMIFS('Mouvements stock'!$H$5:$H$3004,'Mouvements stock'!$I$5:$I$3004,$A2981,'Mouvements stock'!$C$5:$C$3004,"Sortie")-SUMIFS('Mouvements stock'!$H$5:$H$3004,'Mouvements stock'!$I$5:$I$3004,$A2981,'Mouvements stock'!$C$5:$C$3004,"Retour"))</f>
        <v/>
      </c>
      <c r="X2981" s="66" t="n"/>
      <c r="Y2981" s="66" t="n"/>
      <c r="Z2981" s="7" t="n"/>
      <c r="AA2981" s="70">
        <f>IF($A2981="","",N(V2981)+N(W2981)+N(X2981)+N(Y2981))</f>
        <v/>
      </c>
      <c r="AB2981" s="70">
        <f>IF($A2981="","",N(S2981)*'Paramètres'!$AA$9*IFERROR(INDEX('Paramètres'!$O$5:$O$7,MATCH(G2981,'Paramètres'!$N$5:$N$7,0)),0))</f>
        <v/>
      </c>
      <c r="AC2981" s="7" t="n"/>
      <c r="AD2981" s="69">
        <f>IF(OR($A2981="",Q2981=""),"",(Q2981-B2981)*24)</f>
        <v/>
      </c>
      <c r="AE2981" s="69">
        <f>IF(OR(Q2981="",R2981=""),"",(R2981-Q2981)*24)</f>
        <v/>
      </c>
      <c r="AF2981" s="77">
        <f>IF(OR($A2981="",B2981=""),"",YEAR(B2981))</f>
        <v/>
      </c>
      <c r="AG2981" s="77">
        <f>IF(OR($A2981="",B2981=""),"",MONTH(B2981))</f>
        <v/>
      </c>
    </row>
    <row r="2982">
      <c r="A2982" s="7" t="n"/>
      <c r="B2982" s="75" t="n"/>
      <c r="C2982" s="7" t="n"/>
      <c r="D2982" s="7" t="n"/>
      <c r="E2982" s="9">
        <f>IF(D2982="","",IFERROR(INDEX('Équipements'!$B$5:$B$304,MATCH(D2982,'Équipements'!$A$5:$A$304,0)),"Code inconnu"))</f>
        <v/>
      </c>
      <c r="F2982" s="9">
        <f>IF(D2982="","",IFERROR(INDEX('Équipements'!$D$5:$D$304,MATCH(D2982,'Équipements'!$A$5:$A$304,0)),""))</f>
        <v/>
      </c>
      <c r="G2982" s="9">
        <f>IF(D2982="","",IFERROR(INDEX('Équipements'!$K$5:$K$304,MATCH(D2982,'Équipements'!$A$5:$A$304,0)),""))</f>
        <v/>
      </c>
      <c r="H2982" s="7" t="n"/>
      <c r="I2982" s="7" t="n"/>
      <c r="J2982" s="7" t="n"/>
      <c r="K2982" s="7" t="n"/>
      <c r="L2982" s="7" t="n"/>
      <c r="M2982" s="7" t="n"/>
      <c r="N2982" s="7" t="n"/>
      <c r="O2982" s="7" t="n"/>
      <c r="P2982" s="65" t="n"/>
      <c r="Q2982" s="75" t="n"/>
      <c r="R2982" s="75" t="n"/>
      <c r="S2982" s="76" t="n"/>
      <c r="T2982" s="76" t="n"/>
      <c r="U2982" s="70">
        <f>IF($A2982="","",IFERROR(INDEX('Techniciens'!$F$5:$F$44,MATCH(O2982,'Techniciens'!$B$5:$B$44,0)),'Paramètres'!$AA$10))</f>
        <v/>
      </c>
      <c r="V2982" s="70">
        <f>IF($A2982="","",IF(OR(AC2982="Demandé",AC2982="Planifié",AC2982="Annulé"),0,N(T2982)*N(U2982)))</f>
        <v/>
      </c>
      <c r="W2982" s="70">
        <f>IF($A2982="","",SUMIFS('Mouvements stock'!$H$5:$H$3004,'Mouvements stock'!$I$5:$I$3004,$A2982,'Mouvements stock'!$C$5:$C$3004,"Sortie")-SUMIFS('Mouvements stock'!$H$5:$H$3004,'Mouvements stock'!$I$5:$I$3004,$A2982,'Mouvements stock'!$C$5:$C$3004,"Retour"))</f>
        <v/>
      </c>
      <c r="X2982" s="66" t="n"/>
      <c r="Y2982" s="66" t="n"/>
      <c r="Z2982" s="7" t="n"/>
      <c r="AA2982" s="70">
        <f>IF($A2982="","",N(V2982)+N(W2982)+N(X2982)+N(Y2982))</f>
        <v/>
      </c>
      <c r="AB2982" s="70">
        <f>IF($A2982="","",N(S2982)*'Paramètres'!$AA$9*IFERROR(INDEX('Paramètres'!$O$5:$O$7,MATCH(G2982,'Paramètres'!$N$5:$N$7,0)),0))</f>
        <v/>
      </c>
      <c r="AC2982" s="7" t="n"/>
      <c r="AD2982" s="69">
        <f>IF(OR($A2982="",Q2982=""),"",(Q2982-B2982)*24)</f>
        <v/>
      </c>
      <c r="AE2982" s="69">
        <f>IF(OR(Q2982="",R2982=""),"",(R2982-Q2982)*24)</f>
        <v/>
      </c>
      <c r="AF2982" s="77">
        <f>IF(OR($A2982="",B2982=""),"",YEAR(B2982))</f>
        <v/>
      </c>
      <c r="AG2982" s="77">
        <f>IF(OR($A2982="",B2982=""),"",MONTH(B2982))</f>
        <v/>
      </c>
    </row>
    <row r="2983">
      <c r="A2983" s="7" t="n"/>
      <c r="B2983" s="75" t="n"/>
      <c r="C2983" s="7" t="n"/>
      <c r="D2983" s="7" t="n"/>
      <c r="E2983" s="9">
        <f>IF(D2983="","",IFERROR(INDEX('Équipements'!$B$5:$B$304,MATCH(D2983,'Équipements'!$A$5:$A$304,0)),"Code inconnu"))</f>
        <v/>
      </c>
      <c r="F2983" s="9">
        <f>IF(D2983="","",IFERROR(INDEX('Équipements'!$D$5:$D$304,MATCH(D2983,'Équipements'!$A$5:$A$304,0)),""))</f>
        <v/>
      </c>
      <c r="G2983" s="9">
        <f>IF(D2983="","",IFERROR(INDEX('Équipements'!$K$5:$K$304,MATCH(D2983,'Équipements'!$A$5:$A$304,0)),""))</f>
        <v/>
      </c>
      <c r="H2983" s="7" t="n"/>
      <c r="I2983" s="7" t="n"/>
      <c r="J2983" s="7" t="n"/>
      <c r="K2983" s="7" t="n"/>
      <c r="L2983" s="7" t="n"/>
      <c r="M2983" s="7" t="n"/>
      <c r="N2983" s="7" t="n"/>
      <c r="O2983" s="7" t="n"/>
      <c r="P2983" s="65" t="n"/>
      <c r="Q2983" s="75" t="n"/>
      <c r="R2983" s="75" t="n"/>
      <c r="S2983" s="76" t="n"/>
      <c r="T2983" s="76" t="n"/>
      <c r="U2983" s="70">
        <f>IF($A2983="","",IFERROR(INDEX('Techniciens'!$F$5:$F$44,MATCH(O2983,'Techniciens'!$B$5:$B$44,0)),'Paramètres'!$AA$10))</f>
        <v/>
      </c>
      <c r="V2983" s="70">
        <f>IF($A2983="","",IF(OR(AC2983="Demandé",AC2983="Planifié",AC2983="Annulé"),0,N(T2983)*N(U2983)))</f>
        <v/>
      </c>
      <c r="W2983" s="70">
        <f>IF($A2983="","",SUMIFS('Mouvements stock'!$H$5:$H$3004,'Mouvements stock'!$I$5:$I$3004,$A2983,'Mouvements stock'!$C$5:$C$3004,"Sortie")-SUMIFS('Mouvements stock'!$H$5:$H$3004,'Mouvements stock'!$I$5:$I$3004,$A2983,'Mouvements stock'!$C$5:$C$3004,"Retour"))</f>
        <v/>
      </c>
      <c r="X2983" s="66" t="n"/>
      <c r="Y2983" s="66" t="n"/>
      <c r="Z2983" s="7" t="n"/>
      <c r="AA2983" s="70">
        <f>IF($A2983="","",N(V2983)+N(W2983)+N(X2983)+N(Y2983))</f>
        <v/>
      </c>
      <c r="AB2983" s="70">
        <f>IF($A2983="","",N(S2983)*'Paramètres'!$AA$9*IFERROR(INDEX('Paramètres'!$O$5:$O$7,MATCH(G2983,'Paramètres'!$N$5:$N$7,0)),0))</f>
        <v/>
      </c>
      <c r="AC2983" s="7" t="n"/>
      <c r="AD2983" s="69">
        <f>IF(OR($A2983="",Q2983=""),"",(Q2983-B2983)*24)</f>
        <v/>
      </c>
      <c r="AE2983" s="69">
        <f>IF(OR(Q2983="",R2983=""),"",(R2983-Q2983)*24)</f>
        <v/>
      </c>
      <c r="AF2983" s="77">
        <f>IF(OR($A2983="",B2983=""),"",YEAR(B2983))</f>
        <v/>
      </c>
      <c r="AG2983" s="77">
        <f>IF(OR($A2983="",B2983=""),"",MONTH(B2983))</f>
        <v/>
      </c>
    </row>
    <row r="2984">
      <c r="A2984" s="7" t="n"/>
      <c r="B2984" s="75" t="n"/>
      <c r="C2984" s="7" t="n"/>
      <c r="D2984" s="7" t="n"/>
      <c r="E2984" s="9">
        <f>IF(D2984="","",IFERROR(INDEX('Équipements'!$B$5:$B$304,MATCH(D2984,'Équipements'!$A$5:$A$304,0)),"Code inconnu"))</f>
        <v/>
      </c>
      <c r="F2984" s="9">
        <f>IF(D2984="","",IFERROR(INDEX('Équipements'!$D$5:$D$304,MATCH(D2984,'Équipements'!$A$5:$A$304,0)),""))</f>
        <v/>
      </c>
      <c r="G2984" s="9">
        <f>IF(D2984="","",IFERROR(INDEX('Équipements'!$K$5:$K$304,MATCH(D2984,'Équipements'!$A$5:$A$304,0)),""))</f>
        <v/>
      </c>
      <c r="H2984" s="7" t="n"/>
      <c r="I2984" s="7" t="n"/>
      <c r="J2984" s="7" t="n"/>
      <c r="K2984" s="7" t="n"/>
      <c r="L2984" s="7" t="n"/>
      <c r="M2984" s="7" t="n"/>
      <c r="N2984" s="7" t="n"/>
      <c r="O2984" s="7" t="n"/>
      <c r="P2984" s="65" t="n"/>
      <c r="Q2984" s="75" t="n"/>
      <c r="R2984" s="75" t="n"/>
      <c r="S2984" s="76" t="n"/>
      <c r="T2984" s="76" t="n"/>
      <c r="U2984" s="70">
        <f>IF($A2984="","",IFERROR(INDEX('Techniciens'!$F$5:$F$44,MATCH(O2984,'Techniciens'!$B$5:$B$44,0)),'Paramètres'!$AA$10))</f>
        <v/>
      </c>
      <c r="V2984" s="70">
        <f>IF($A2984="","",IF(OR(AC2984="Demandé",AC2984="Planifié",AC2984="Annulé"),0,N(T2984)*N(U2984)))</f>
        <v/>
      </c>
      <c r="W2984" s="70">
        <f>IF($A2984="","",SUMIFS('Mouvements stock'!$H$5:$H$3004,'Mouvements stock'!$I$5:$I$3004,$A2984,'Mouvements stock'!$C$5:$C$3004,"Sortie")-SUMIFS('Mouvements stock'!$H$5:$H$3004,'Mouvements stock'!$I$5:$I$3004,$A2984,'Mouvements stock'!$C$5:$C$3004,"Retour"))</f>
        <v/>
      </c>
      <c r="X2984" s="66" t="n"/>
      <c r="Y2984" s="66" t="n"/>
      <c r="Z2984" s="7" t="n"/>
      <c r="AA2984" s="70">
        <f>IF($A2984="","",N(V2984)+N(W2984)+N(X2984)+N(Y2984))</f>
        <v/>
      </c>
      <c r="AB2984" s="70">
        <f>IF($A2984="","",N(S2984)*'Paramètres'!$AA$9*IFERROR(INDEX('Paramètres'!$O$5:$O$7,MATCH(G2984,'Paramètres'!$N$5:$N$7,0)),0))</f>
        <v/>
      </c>
      <c r="AC2984" s="7" t="n"/>
      <c r="AD2984" s="69">
        <f>IF(OR($A2984="",Q2984=""),"",(Q2984-B2984)*24)</f>
        <v/>
      </c>
      <c r="AE2984" s="69">
        <f>IF(OR(Q2984="",R2984=""),"",(R2984-Q2984)*24)</f>
        <v/>
      </c>
      <c r="AF2984" s="77">
        <f>IF(OR($A2984="",B2984=""),"",YEAR(B2984))</f>
        <v/>
      </c>
      <c r="AG2984" s="77">
        <f>IF(OR($A2984="",B2984=""),"",MONTH(B2984))</f>
        <v/>
      </c>
    </row>
    <row r="2985">
      <c r="A2985" s="7" t="n"/>
      <c r="B2985" s="75" t="n"/>
      <c r="C2985" s="7" t="n"/>
      <c r="D2985" s="7" t="n"/>
      <c r="E2985" s="9">
        <f>IF(D2985="","",IFERROR(INDEX('Équipements'!$B$5:$B$304,MATCH(D2985,'Équipements'!$A$5:$A$304,0)),"Code inconnu"))</f>
        <v/>
      </c>
      <c r="F2985" s="9">
        <f>IF(D2985="","",IFERROR(INDEX('Équipements'!$D$5:$D$304,MATCH(D2985,'Équipements'!$A$5:$A$304,0)),""))</f>
        <v/>
      </c>
      <c r="G2985" s="9">
        <f>IF(D2985="","",IFERROR(INDEX('Équipements'!$K$5:$K$304,MATCH(D2985,'Équipements'!$A$5:$A$304,0)),""))</f>
        <v/>
      </c>
      <c r="H2985" s="7" t="n"/>
      <c r="I2985" s="7" t="n"/>
      <c r="J2985" s="7" t="n"/>
      <c r="K2985" s="7" t="n"/>
      <c r="L2985" s="7" t="n"/>
      <c r="M2985" s="7" t="n"/>
      <c r="N2985" s="7" t="n"/>
      <c r="O2985" s="7" t="n"/>
      <c r="P2985" s="65" t="n"/>
      <c r="Q2985" s="75" t="n"/>
      <c r="R2985" s="75" t="n"/>
      <c r="S2985" s="76" t="n"/>
      <c r="T2985" s="76" t="n"/>
      <c r="U2985" s="70">
        <f>IF($A2985="","",IFERROR(INDEX('Techniciens'!$F$5:$F$44,MATCH(O2985,'Techniciens'!$B$5:$B$44,0)),'Paramètres'!$AA$10))</f>
        <v/>
      </c>
      <c r="V2985" s="70">
        <f>IF($A2985="","",IF(OR(AC2985="Demandé",AC2985="Planifié",AC2985="Annulé"),0,N(T2985)*N(U2985)))</f>
        <v/>
      </c>
      <c r="W2985" s="70">
        <f>IF($A2985="","",SUMIFS('Mouvements stock'!$H$5:$H$3004,'Mouvements stock'!$I$5:$I$3004,$A2985,'Mouvements stock'!$C$5:$C$3004,"Sortie")-SUMIFS('Mouvements stock'!$H$5:$H$3004,'Mouvements stock'!$I$5:$I$3004,$A2985,'Mouvements stock'!$C$5:$C$3004,"Retour"))</f>
        <v/>
      </c>
      <c r="X2985" s="66" t="n"/>
      <c r="Y2985" s="66" t="n"/>
      <c r="Z2985" s="7" t="n"/>
      <c r="AA2985" s="70">
        <f>IF($A2985="","",N(V2985)+N(W2985)+N(X2985)+N(Y2985))</f>
        <v/>
      </c>
      <c r="AB2985" s="70">
        <f>IF($A2985="","",N(S2985)*'Paramètres'!$AA$9*IFERROR(INDEX('Paramètres'!$O$5:$O$7,MATCH(G2985,'Paramètres'!$N$5:$N$7,0)),0))</f>
        <v/>
      </c>
      <c r="AC2985" s="7" t="n"/>
      <c r="AD2985" s="69">
        <f>IF(OR($A2985="",Q2985=""),"",(Q2985-B2985)*24)</f>
        <v/>
      </c>
      <c r="AE2985" s="69">
        <f>IF(OR(Q2985="",R2985=""),"",(R2985-Q2985)*24)</f>
        <v/>
      </c>
      <c r="AF2985" s="77">
        <f>IF(OR($A2985="",B2985=""),"",YEAR(B2985))</f>
        <v/>
      </c>
      <c r="AG2985" s="77">
        <f>IF(OR($A2985="",B2985=""),"",MONTH(B2985))</f>
        <v/>
      </c>
    </row>
    <row r="2986">
      <c r="A2986" s="7" t="n"/>
      <c r="B2986" s="75" t="n"/>
      <c r="C2986" s="7" t="n"/>
      <c r="D2986" s="7" t="n"/>
      <c r="E2986" s="9">
        <f>IF(D2986="","",IFERROR(INDEX('Équipements'!$B$5:$B$304,MATCH(D2986,'Équipements'!$A$5:$A$304,0)),"Code inconnu"))</f>
        <v/>
      </c>
      <c r="F2986" s="9">
        <f>IF(D2986="","",IFERROR(INDEX('Équipements'!$D$5:$D$304,MATCH(D2986,'Équipements'!$A$5:$A$304,0)),""))</f>
        <v/>
      </c>
      <c r="G2986" s="9">
        <f>IF(D2986="","",IFERROR(INDEX('Équipements'!$K$5:$K$304,MATCH(D2986,'Équipements'!$A$5:$A$304,0)),""))</f>
        <v/>
      </c>
      <c r="H2986" s="7" t="n"/>
      <c r="I2986" s="7" t="n"/>
      <c r="J2986" s="7" t="n"/>
      <c r="K2986" s="7" t="n"/>
      <c r="L2986" s="7" t="n"/>
      <c r="M2986" s="7" t="n"/>
      <c r="N2986" s="7" t="n"/>
      <c r="O2986" s="7" t="n"/>
      <c r="P2986" s="65" t="n"/>
      <c r="Q2986" s="75" t="n"/>
      <c r="R2986" s="75" t="n"/>
      <c r="S2986" s="76" t="n"/>
      <c r="T2986" s="76" t="n"/>
      <c r="U2986" s="70">
        <f>IF($A2986="","",IFERROR(INDEX('Techniciens'!$F$5:$F$44,MATCH(O2986,'Techniciens'!$B$5:$B$44,0)),'Paramètres'!$AA$10))</f>
        <v/>
      </c>
      <c r="V2986" s="70">
        <f>IF($A2986="","",IF(OR(AC2986="Demandé",AC2986="Planifié",AC2986="Annulé"),0,N(T2986)*N(U2986)))</f>
        <v/>
      </c>
      <c r="W2986" s="70">
        <f>IF($A2986="","",SUMIFS('Mouvements stock'!$H$5:$H$3004,'Mouvements stock'!$I$5:$I$3004,$A2986,'Mouvements stock'!$C$5:$C$3004,"Sortie")-SUMIFS('Mouvements stock'!$H$5:$H$3004,'Mouvements stock'!$I$5:$I$3004,$A2986,'Mouvements stock'!$C$5:$C$3004,"Retour"))</f>
        <v/>
      </c>
      <c r="X2986" s="66" t="n"/>
      <c r="Y2986" s="66" t="n"/>
      <c r="Z2986" s="7" t="n"/>
      <c r="AA2986" s="70">
        <f>IF($A2986="","",N(V2986)+N(W2986)+N(X2986)+N(Y2986))</f>
        <v/>
      </c>
      <c r="AB2986" s="70">
        <f>IF($A2986="","",N(S2986)*'Paramètres'!$AA$9*IFERROR(INDEX('Paramètres'!$O$5:$O$7,MATCH(G2986,'Paramètres'!$N$5:$N$7,0)),0))</f>
        <v/>
      </c>
      <c r="AC2986" s="7" t="n"/>
      <c r="AD2986" s="69">
        <f>IF(OR($A2986="",Q2986=""),"",(Q2986-B2986)*24)</f>
        <v/>
      </c>
      <c r="AE2986" s="69">
        <f>IF(OR(Q2986="",R2986=""),"",(R2986-Q2986)*24)</f>
        <v/>
      </c>
      <c r="AF2986" s="77">
        <f>IF(OR($A2986="",B2986=""),"",YEAR(B2986))</f>
        <v/>
      </c>
      <c r="AG2986" s="77">
        <f>IF(OR($A2986="",B2986=""),"",MONTH(B2986))</f>
        <v/>
      </c>
    </row>
    <row r="2987">
      <c r="A2987" s="7" t="n"/>
      <c r="B2987" s="75" t="n"/>
      <c r="C2987" s="7" t="n"/>
      <c r="D2987" s="7" t="n"/>
      <c r="E2987" s="9">
        <f>IF(D2987="","",IFERROR(INDEX('Équipements'!$B$5:$B$304,MATCH(D2987,'Équipements'!$A$5:$A$304,0)),"Code inconnu"))</f>
        <v/>
      </c>
      <c r="F2987" s="9">
        <f>IF(D2987="","",IFERROR(INDEX('Équipements'!$D$5:$D$304,MATCH(D2987,'Équipements'!$A$5:$A$304,0)),""))</f>
        <v/>
      </c>
      <c r="G2987" s="9">
        <f>IF(D2987="","",IFERROR(INDEX('Équipements'!$K$5:$K$304,MATCH(D2987,'Équipements'!$A$5:$A$304,0)),""))</f>
        <v/>
      </c>
      <c r="H2987" s="7" t="n"/>
      <c r="I2987" s="7" t="n"/>
      <c r="J2987" s="7" t="n"/>
      <c r="K2987" s="7" t="n"/>
      <c r="L2987" s="7" t="n"/>
      <c r="M2987" s="7" t="n"/>
      <c r="N2987" s="7" t="n"/>
      <c r="O2987" s="7" t="n"/>
      <c r="P2987" s="65" t="n"/>
      <c r="Q2987" s="75" t="n"/>
      <c r="R2987" s="75" t="n"/>
      <c r="S2987" s="76" t="n"/>
      <c r="T2987" s="76" t="n"/>
      <c r="U2987" s="70">
        <f>IF($A2987="","",IFERROR(INDEX('Techniciens'!$F$5:$F$44,MATCH(O2987,'Techniciens'!$B$5:$B$44,0)),'Paramètres'!$AA$10))</f>
        <v/>
      </c>
      <c r="V2987" s="70">
        <f>IF($A2987="","",IF(OR(AC2987="Demandé",AC2987="Planifié",AC2987="Annulé"),0,N(T2987)*N(U2987)))</f>
        <v/>
      </c>
      <c r="W2987" s="70">
        <f>IF($A2987="","",SUMIFS('Mouvements stock'!$H$5:$H$3004,'Mouvements stock'!$I$5:$I$3004,$A2987,'Mouvements stock'!$C$5:$C$3004,"Sortie")-SUMIFS('Mouvements stock'!$H$5:$H$3004,'Mouvements stock'!$I$5:$I$3004,$A2987,'Mouvements stock'!$C$5:$C$3004,"Retour"))</f>
        <v/>
      </c>
      <c r="X2987" s="66" t="n"/>
      <c r="Y2987" s="66" t="n"/>
      <c r="Z2987" s="7" t="n"/>
      <c r="AA2987" s="70">
        <f>IF($A2987="","",N(V2987)+N(W2987)+N(X2987)+N(Y2987))</f>
        <v/>
      </c>
      <c r="AB2987" s="70">
        <f>IF($A2987="","",N(S2987)*'Paramètres'!$AA$9*IFERROR(INDEX('Paramètres'!$O$5:$O$7,MATCH(G2987,'Paramètres'!$N$5:$N$7,0)),0))</f>
        <v/>
      </c>
      <c r="AC2987" s="7" t="n"/>
      <c r="AD2987" s="69">
        <f>IF(OR($A2987="",Q2987=""),"",(Q2987-B2987)*24)</f>
        <v/>
      </c>
      <c r="AE2987" s="69">
        <f>IF(OR(Q2987="",R2987=""),"",(R2987-Q2987)*24)</f>
        <v/>
      </c>
      <c r="AF2987" s="77">
        <f>IF(OR($A2987="",B2987=""),"",YEAR(B2987))</f>
        <v/>
      </c>
      <c r="AG2987" s="77">
        <f>IF(OR($A2987="",B2987=""),"",MONTH(B2987))</f>
        <v/>
      </c>
    </row>
    <row r="2988">
      <c r="A2988" s="7" t="n"/>
      <c r="B2988" s="75" t="n"/>
      <c r="C2988" s="7" t="n"/>
      <c r="D2988" s="7" t="n"/>
      <c r="E2988" s="9">
        <f>IF(D2988="","",IFERROR(INDEX('Équipements'!$B$5:$B$304,MATCH(D2988,'Équipements'!$A$5:$A$304,0)),"Code inconnu"))</f>
        <v/>
      </c>
      <c r="F2988" s="9">
        <f>IF(D2988="","",IFERROR(INDEX('Équipements'!$D$5:$D$304,MATCH(D2988,'Équipements'!$A$5:$A$304,0)),""))</f>
        <v/>
      </c>
      <c r="G2988" s="9">
        <f>IF(D2988="","",IFERROR(INDEX('Équipements'!$K$5:$K$304,MATCH(D2988,'Équipements'!$A$5:$A$304,0)),""))</f>
        <v/>
      </c>
      <c r="H2988" s="7" t="n"/>
      <c r="I2988" s="7" t="n"/>
      <c r="J2988" s="7" t="n"/>
      <c r="K2988" s="7" t="n"/>
      <c r="L2988" s="7" t="n"/>
      <c r="M2988" s="7" t="n"/>
      <c r="N2988" s="7" t="n"/>
      <c r="O2988" s="7" t="n"/>
      <c r="P2988" s="65" t="n"/>
      <c r="Q2988" s="75" t="n"/>
      <c r="R2988" s="75" t="n"/>
      <c r="S2988" s="76" t="n"/>
      <c r="T2988" s="76" t="n"/>
      <c r="U2988" s="70">
        <f>IF($A2988="","",IFERROR(INDEX('Techniciens'!$F$5:$F$44,MATCH(O2988,'Techniciens'!$B$5:$B$44,0)),'Paramètres'!$AA$10))</f>
        <v/>
      </c>
      <c r="V2988" s="70">
        <f>IF($A2988="","",IF(OR(AC2988="Demandé",AC2988="Planifié",AC2988="Annulé"),0,N(T2988)*N(U2988)))</f>
        <v/>
      </c>
      <c r="W2988" s="70">
        <f>IF($A2988="","",SUMIFS('Mouvements stock'!$H$5:$H$3004,'Mouvements stock'!$I$5:$I$3004,$A2988,'Mouvements stock'!$C$5:$C$3004,"Sortie")-SUMIFS('Mouvements stock'!$H$5:$H$3004,'Mouvements stock'!$I$5:$I$3004,$A2988,'Mouvements stock'!$C$5:$C$3004,"Retour"))</f>
        <v/>
      </c>
      <c r="X2988" s="66" t="n"/>
      <c r="Y2988" s="66" t="n"/>
      <c r="Z2988" s="7" t="n"/>
      <c r="AA2988" s="70">
        <f>IF($A2988="","",N(V2988)+N(W2988)+N(X2988)+N(Y2988))</f>
        <v/>
      </c>
      <c r="AB2988" s="70">
        <f>IF($A2988="","",N(S2988)*'Paramètres'!$AA$9*IFERROR(INDEX('Paramètres'!$O$5:$O$7,MATCH(G2988,'Paramètres'!$N$5:$N$7,0)),0))</f>
        <v/>
      </c>
      <c r="AC2988" s="7" t="n"/>
      <c r="AD2988" s="69">
        <f>IF(OR($A2988="",Q2988=""),"",(Q2988-B2988)*24)</f>
        <v/>
      </c>
      <c r="AE2988" s="69">
        <f>IF(OR(Q2988="",R2988=""),"",(R2988-Q2988)*24)</f>
        <v/>
      </c>
      <c r="AF2988" s="77">
        <f>IF(OR($A2988="",B2988=""),"",YEAR(B2988))</f>
        <v/>
      </c>
      <c r="AG2988" s="77">
        <f>IF(OR($A2988="",B2988=""),"",MONTH(B2988))</f>
        <v/>
      </c>
    </row>
    <row r="2989">
      <c r="A2989" s="7" t="n"/>
      <c r="B2989" s="75" t="n"/>
      <c r="C2989" s="7" t="n"/>
      <c r="D2989" s="7" t="n"/>
      <c r="E2989" s="9">
        <f>IF(D2989="","",IFERROR(INDEX('Équipements'!$B$5:$B$304,MATCH(D2989,'Équipements'!$A$5:$A$304,0)),"Code inconnu"))</f>
        <v/>
      </c>
      <c r="F2989" s="9">
        <f>IF(D2989="","",IFERROR(INDEX('Équipements'!$D$5:$D$304,MATCH(D2989,'Équipements'!$A$5:$A$304,0)),""))</f>
        <v/>
      </c>
      <c r="G2989" s="9">
        <f>IF(D2989="","",IFERROR(INDEX('Équipements'!$K$5:$K$304,MATCH(D2989,'Équipements'!$A$5:$A$304,0)),""))</f>
        <v/>
      </c>
      <c r="H2989" s="7" t="n"/>
      <c r="I2989" s="7" t="n"/>
      <c r="J2989" s="7" t="n"/>
      <c r="K2989" s="7" t="n"/>
      <c r="L2989" s="7" t="n"/>
      <c r="M2989" s="7" t="n"/>
      <c r="N2989" s="7" t="n"/>
      <c r="O2989" s="7" t="n"/>
      <c r="P2989" s="65" t="n"/>
      <c r="Q2989" s="75" t="n"/>
      <c r="R2989" s="75" t="n"/>
      <c r="S2989" s="76" t="n"/>
      <c r="T2989" s="76" t="n"/>
      <c r="U2989" s="70">
        <f>IF($A2989="","",IFERROR(INDEX('Techniciens'!$F$5:$F$44,MATCH(O2989,'Techniciens'!$B$5:$B$44,0)),'Paramètres'!$AA$10))</f>
        <v/>
      </c>
      <c r="V2989" s="70">
        <f>IF($A2989="","",IF(OR(AC2989="Demandé",AC2989="Planifié",AC2989="Annulé"),0,N(T2989)*N(U2989)))</f>
        <v/>
      </c>
      <c r="W2989" s="70">
        <f>IF($A2989="","",SUMIFS('Mouvements stock'!$H$5:$H$3004,'Mouvements stock'!$I$5:$I$3004,$A2989,'Mouvements stock'!$C$5:$C$3004,"Sortie")-SUMIFS('Mouvements stock'!$H$5:$H$3004,'Mouvements stock'!$I$5:$I$3004,$A2989,'Mouvements stock'!$C$5:$C$3004,"Retour"))</f>
        <v/>
      </c>
      <c r="X2989" s="66" t="n"/>
      <c r="Y2989" s="66" t="n"/>
      <c r="Z2989" s="7" t="n"/>
      <c r="AA2989" s="70">
        <f>IF($A2989="","",N(V2989)+N(W2989)+N(X2989)+N(Y2989))</f>
        <v/>
      </c>
      <c r="AB2989" s="70">
        <f>IF($A2989="","",N(S2989)*'Paramètres'!$AA$9*IFERROR(INDEX('Paramètres'!$O$5:$O$7,MATCH(G2989,'Paramètres'!$N$5:$N$7,0)),0))</f>
        <v/>
      </c>
      <c r="AC2989" s="7" t="n"/>
      <c r="AD2989" s="69">
        <f>IF(OR($A2989="",Q2989=""),"",(Q2989-B2989)*24)</f>
        <v/>
      </c>
      <c r="AE2989" s="69">
        <f>IF(OR(Q2989="",R2989=""),"",(R2989-Q2989)*24)</f>
        <v/>
      </c>
      <c r="AF2989" s="77">
        <f>IF(OR($A2989="",B2989=""),"",YEAR(B2989))</f>
        <v/>
      </c>
      <c r="AG2989" s="77">
        <f>IF(OR($A2989="",B2989=""),"",MONTH(B2989))</f>
        <v/>
      </c>
    </row>
    <row r="2990">
      <c r="A2990" s="7" t="n"/>
      <c r="B2990" s="75" t="n"/>
      <c r="C2990" s="7" t="n"/>
      <c r="D2990" s="7" t="n"/>
      <c r="E2990" s="9">
        <f>IF(D2990="","",IFERROR(INDEX('Équipements'!$B$5:$B$304,MATCH(D2990,'Équipements'!$A$5:$A$304,0)),"Code inconnu"))</f>
        <v/>
      </c>
      <c r="F2990" s="9">
        <f>IF(D2990="","",IFERROR(INDEX('Équipements'!$D$5:$D$304,MATCH(D2990,'Équipements'!$A$5:$A$304,0)),""))</f>
        <v/>
      </c>
      <c r="G2990" s="9">
        <f>IF(D2990="","",IFERROR(INDEX('Équipements'!$K$5:$K$304,MATCH(D2990,'Équipements'!$A$5:$A$304,0)),""))</f>
        <v/>
      </c>
      <c r="H2990" s="7" t="n"/>
      <c r="I2990" s="7" t="n"/>
      <c r="J2990" s="7" t="n"/>
      <c r="K2990" s="7" t="n"/>
      <c r="L2990" s="7" t="n"/>
      <c r="M2990" s="7" t="n"/>
      <c r="N2990" s="7" t="n"/>
      <c r="O2990" s="7" t="n"/>
      <c r="P2990" s="65" t="n"/>
      <c r="Q2990" s="75" t="n"/>
      <c r="R2990" s="75" t="n"/>
      <c r="S2990" s="76" t="n"/>
      <c r="T2990" s="76" t="n"/>
      <c r="U2990" s="70">
        <f>IF($A2990="","",IFERROR(INDEX('Techniciens'!$F$5:$F$44,MATCH(O2990,'Techniciens'!$B$5:$B$44,0)),'Paramètres'!$AA$10))</f>
        <v/>
      </c>
      <c r="V2990" s="70">
        <f>IF($A2990="","",IF(OR(AC2990="Demandé",AC2990="Planifié",AC2990="Annulé"),0,N(T2990)*N(U2990)))</f>
        <v/>
      </c>
      <c r="W2990" s="70">
        <f>IF($A2990="","",SUMIFS('Mouvements stock'!$H$5:$H$3004,'Mouvements stock'!$I$5:$I$3004,$A2990,'Mouvements stock'!$C$5:$C$3004,"Sortie")-SUMIFS('Mouvements stock'!$H$5:$H$3004,'Mouvements stock'!$I$5:$I$3004,$A2990,'Mouvements stock'!$C$5:$C$3004,"Retour"))</f>
        <v/>
      </c>
      <c r="X2990" s="66" t="n"/>
      <c r="Y2990" s="66" t="n"/>
      <c r="Z2990" s="7" t="n"/>
      <c r="AA2990" s="70">
        <f>IF($A2990="","",N(V2990)+N(W2990)+N(X2990)+N(Y2990))</f>
        <v/>
      </c>
      <c r="AB2990" s="70">
        <f>IF($A2990="","",N(S2990)*'Paramètres'!$AA$9*IFERROR(INDEX('Paramètres'!$O$5:$O$7,MATCH(G2990,'Paramètres'!$N$5:$N$7,0)),0))</f>
        <v/>
      </c>
      <c r="AC2990" s="7" t="n"/>
      <c r="AD2990" s="69">
        <f>IF(OR($A2990="",Q2990=""),"",(Q2990-B2990)*24)</f>
        <v/>
      </c>
      <c r="AE2990" s="69">
        <f>IF(OR(Q2990="",R2990=""),"",(R2990-Q2990)*24)</f>
        <v/>
      </c>
      <c r="AF2990" s="77">
        <f>IF(OR($A2990="",B2990=""),"",YEAR(B2990))</f>
        <v/>
      </c>
      <c r="AG2990" s="77">
        <f>IF(OR($A2990="",B2990=""),"",MONTH(B2990))</f>
        <v/>
      </c>
    </row>
    <row r="2991">
      <c r="A2991" s="7" t="n"/>
      <c r="B2991" s="75" t="n"/>
      <c r="C2991" s="7" t="n"/>
      <c r="D2991" s="7" t="n"/>
      <c r="E2991" s="9">
        <f>IF(D2991="","",IFERROR(INDEX('Équipements'!$B$5:$B$304,MATCH(D2991,'Équipements'!$A$5:$A$304,0)),"Code inconnu"))</f>
        <v/>
      </c>
      <c r="F2991" s="9">
        <f>IF(D2991="","",IFERROR(INDEX('Équipements'!$D$5:$D$304,MATCH(D2991,'Équipements'!$A$5:$A$304,0)),""))</f>
        <v/>
      </c>
      <c r="G2991" s="9">
        <f>IF(D2991="","",IFERROR(INDEX('Équipements'!$K$5:$K$304,MATCH(D2991,'Équipements'!$A$5:$A$304,0)),""))</f>
        <v/>
      </c>
      <c r="H2991" s="7" t="n"/>
      <c r="I2991" s="7" t="n"/>
      <c r="J2991" s="7" t="n"/>
      <c r="K2991" s="7" t="n"/>
      <c r="L2991" s="7" t="n"/>
      <c r="M2991" s="7" t="n"/>
      <c r="N2991" s="7" t="n"/>
      <c r="O2991" s="7" t="n"/>
      <c r="P2991" s="65" t="n"/>
      <c r="Q2991" s="75" t="n"/>
      <c r="R2991" s="75" t="n"/>
      <c r="S2991" s="76" t="n"/>
      <c r="T2991" s="76" t="n"/>
      <c r="U2991" s="70">
        <f>IF($A2991="","",IFERROR(INDEX('Techniciens'!$F$5:$F$44,MATCH(O2991,'Techniciens'!$B$5:$B$44,0)),'Paramètres'!$AA$10))</f>
        <v/>
      </c>
      <c r="V2991" s="70">
        <f>IF($A2991="","",IF(OR(AC2991="Demandé",AC2991="Planifié",AC2991="Annulé"),0,N(T2991)*N(U2991)))</f>
        <v/>
      </c>
      <c r="W2991" s="70">
        <f>IF($A2991="","",SUMIFS('Mouvements stock'!$H$5:$H$3004,'Mouvements stock'!$I$5:$I$3004,$A2991,'Mouvements stock'!$C$5:$C$3004,"Sortie")-SUMIFS('Mouvements stock'!$H$5:$H$3004,'Mouvements stock'!$I$5:$I$3004,$A2991,'Mouvements stock'!$C$5:$C$3004,"Retour"))</f>
        <v/>
      </c>
      <c r="X2991" s="66" t="n"/>
      <c r="Y2991" s="66" t="n"/>
      <c r="Z2991" s="7" t="n"/>
      <c r="AA2991" s="70">
        <f>IF($A2991="","",N(V2991)+N(W2991)+N(X2991)+N(Y2991))</f>
        <v/>
      </c>
      <c r="AB2991" s="70">
        <f>IF($A2991="","",N(S2991)*'Paramètres'!$AA$9*IFERROR(INDEX('Paramètres'!$O$5:$O$7,MATCH(G2991,'Paramètres'!$N$5:$N$7,0)),0))</f>
        <v/>
      </c>
      <c r="AC2991" s="7" t="n"/>
      <c r="AD2991" s="69">
        <f>IF(OR($A2991="",Q2991=""),"",(Q2991-B2991)*24)</f>
        <v/>
      </c>
      <c r="AE2991" s="69">
        <f>IF(OR(Q2991="",R2991=""),"",(R2991-Q2991)*24)</f>
        <v/>
      </c>
      <c r="AF2991" s="77">
        <f>IF(OR($A2991="",B2991=""),"",YEAR(B2991))</f>
        <v/>
      </c>
      <c r="AG2991" s="77">
        <f>IF(OR($A2991="",B2991=""),"",MONTH(B2991))</f>
        <v/>
      </c>
    </row>
    <row r="2992">
      <c r="A2992" s="7" t="n"/>
      <c r="B2992" s="75" t="n"/>
      <c r="C2992" s="7" t="n"/>
      <c r="D2992" s="7" t="n"/>
      <c r="E2992" s="9">
        <f>IF(D2992="","",IFERROR(INDEX('Équipements'!$B$5:$B$304,MATCH(D2992,'Équipements'!$A$5:$A$304,0)),"Code inconnu"))</f>
        <v/>
      </c>
      <c r="F2992" s="9">
        <f>IF(D2992="","",IFERROR(INDEX('Équipements'!$D$5:$D$304,MATCH(D2992,'Équipements'!$A$5:$A$304,0)),""))</f>
        <v/>
      </c>
      <c r="G2992" s="9">
        <f>IF(D2992="","",IFERROR(INDEX('Équipements'!$K$5:$K$304,MATCH(D2992,'Équipements'!$A$5:$A$304,0)),""))</f>
        <v/>
      </c>
      <c r="H2992" s="7" t="n"/>
      <c r="I2992" s="7" t="n"/>
      <c r="J2992" s="7" t="n"/>
      <c r="K2992" s="7" t="n"/>
      <c r="L2992" s="7" t="n"/>
      <c r="M2992" s="7" t="n"/>
      <c r="N2992" s="7" t="n"/>
      <c r="O2992" s="7" t="n"/>
      <c r="P2992" s="65" t="n"/>
      <c r="Q2992" s="75" t="n"/>
      <c r="R2992" s="75" t="n"/>
      <c r="S2992" s="76" t="n"/>
      <c r="T2992" s="76" t="n"/>
      <c r="U2992" s="70">
        <f>IF($A2992="","",IFERROR(INDEX('Techniciens'!$F$5:$F$44,MATCH(O2992,'Techniciens'!$B$5:$B$44,0)),'Paramètres'!$AA$10))</f>
        <v/>
      </c>
      <c r="V2992" s="70">
        <f>IF($A2992="","",IF(OR(AC2992="Demandé",AC2992="Planifié",AC2992="Annulé"),0,N(T2992)*N(U2992)))</f>
        <v/>
      </c>
      <c r="W2992" s="70">
        <f>IF($A2992="","",SUMIFS('Mouvements stock'!$H$5:$H$3004,'Mouvements stock'!$I$5:$I$3004,$A2992,'Mouvements stock'!$C$5:$C$3004,"Sortie")-SUMIFS('Mouvements stock'!$H$5:$H$3004,'Mouvements stock'!$I$5:$I$3004,$A2992,'Mouvements stock'!$C$5:$C$3004,"Retour"))</f>
        <v/>
      </c>
      <c r="X2992" s="66" t="n"/>
      <c r="Y2992" s="66" t="n"/>
      <c r="Z2992" s="7" t="n"/>
      <c r="AA2992" s="70">
        <f>IF($A2992="","",N(V2992)+N(W2992)+N(X2992)+N(Y2992))</f>
        <v/>
      </c>
      <c r="AB2992" s="70">
        <f>IF($A2992="","",N(S2992)*'Paramètres'!$AA$9*IFERROR(INDEX('Paramètres'!$O$5:$O$7,MATCH(G2992,'Paramètres'!$N$5:$N$7,0)),0))</f>
        <v/>
      </c>
      <c r="AC2992" s="7" t="n"/>
      <c r="AD2992" s="69">
        <f>IF(OR($A2992="",Q2992=""),"",(Q2992-B2992)*24)</f>
        <v/>
      </c>
      <c r="AE2992" s="69">
        <f>IF(OR(Q2992="",R2992=""),"",(R2992-Q2992)*24)</f>
        <v/>
      </c>
      <c r="AF2992" s="77">
        <f>IF(OR($A2992="",B2992=""),"",YEAR(B2992))</f>
        <v/>
      </c>
      <c r="AG2992" s="77">
        <f>IF(OR($A2992="",B2992=""),"",MONTH(B2992))</f>
        <v/>
      </c>
    </row>
    <row r="2993">
      <c r="A2993" s="7" t="n"/>
      <c r="B2993" s="75" t="n"/>
      <c r="C2993" s="7" t="n"/>
      <c r="D2993" s="7" t="n"/>
      <c r="E2993" s="9">
        <f>IF(D2993="","",IFERROR(INDEX('Équipements'!$B$5:$B$304,MATCH(D2993,'Équipements'!$A$5:$A$304,0)),"Code inconnu"))</f>
        <v/>
      </c>
      <c r="F2993" s="9">
        <f>IF(D2993="","",IFERROR(INDEX('Équipements'!$D$5:$D$304,MATCH(D2993,'Équipements'!$A$5:$A$304,0)),""))</f>
        <v/>
      </c>
      <c r="G2993" s="9">
        <f>IF(D2993="","",IFERROR(INDEX('Équipements'!$K$5:$K$304,MATCH(D2993,'Équipements'!$A$5:$A$304,0)),""))</f>
        <v/>
      </c>
      <c r="H2993" s="7" t="n"/>
      <c r="I2993" s="7" t="n"/>
      <c r="J2993" s="7" t="n"/>
      <c r="K2993" s="7" t="n"/>
      <c r="L2993" s="7" t="n"/>
      <c r="M2993" s="7" t="n"/>
      <c r="N2993" s="7" t="n"/>
      <c r="O2993" s="7" t="n"/>
      <c r="P2993" s="65" t="n"/>
      <c r="Q2993" s="75" t="n"/>
      <c r="R2993" s="75" t="n"/>
      <c r="S2993" s="76" t="n"/>
      <c r="T2993" s="76" t="n"/>
      <c r="U2993" s="70">
        <f>IF($A2993="","",IFERROR(INDEX('Techniciens'!$F$5:$F$44,MATCH(O2993,'Techniciens'!$B$5:$B$44,0)),'Paramètres'!$AA$10))</f>
        <v/>
      </c>
      <c r="V2993" s="70">
        <f>IF($A2993="","",IF(OR(AC2993="Demandé",AC2993="Planifié",AC2993="Annulé"),0,N(T2993)*N(U2993)))</f>
        <v/>
      </c>
      <c r="W2993" s="70">
        <f>IF($A2993="","",SUMIFS('Mouvements stock'!$H$5:$H$3004,'Mouvements stock'!$I$5:$I$3004,$A2993,'Mouvements stock'!$C$5:$C$3004,"Sortie")-SUMIFS('Mouvements stock'!$H$5:$H$3004,'Mouvements stock'!$I$5:$I$3004,$A2993,'Mouvements stock'!$C$5:$C$3004,"Retour"))</f>
        <v/>
      </c>
      <c r="X2993" s="66" t="n"/>
      <c r="Y2993" s="66" t="n"/>
      <c r="Z2993" s="7" t="n"/>
      <c r="AA2993" s="70">
        <f>IF($A2993="","",N(V2993)+N(W2993)+N(X2993)+N(Y2993))</f>
        <v/>
      </c>
      <c r="AB2993" s="70">
        <f>IF($A2993="","",N(S2993)*'Paramètres'!$AA$9*IFERROR(INDEX('Paramètres'!$O$5:$O$7,MATCH(G2993,'Paramètres'!$N$5:$N$7,0)),0))</f>
        <v/>
      </c>
      <c r="AC2993" s="7" t="n"/>
      <c r="AD2993" s="69">
        <f>IF(OR($A2993="",Q2993=""),"",(Q2993-B2993)*24)</f>
        <v/>
      </c>
      <c r="AE2993" s="69">
        <f>IF(OR(Q2993="",R2993=""),"",(R2993-Q2993)*24)</f>
        <v/>
      </c>
      <c r="AF2993" s="77">
        <f>IF(OR($A2993="",B2993=""),"",YEAR(B2993))</f>
        <v/>
      </c>
      <c r="AG2993" s="77">
        <f>IF(OR($A2993="",B2993=""),"",MONTH(B2993))</f>
        <v/>
      </c>
    </row>
    <row r="2994">
      <c r="A2994" s="7" t="n"/>
      <c r="B2994" s="75" t="n"/>
      <c r="C2994" s="7" t="n"/>
      <c r="D2994" s="7" t="n"/>
      <c r="E2994" s="9">
        <f>IF(D2994="","",IFERROR(INDEX('Équipements'!$B$5:$B$304,MATCH(D2994,'Équipements'!$A$5:$A$304,0)),"Code inconnu"))</f>
        <v/>
      </c>
      <c r="F2994" s="9">
        <f>IF(D2994="","",IFERROR(INDEX('Équipements'!$D$5:$D$304,MATCH(D2994,'Équipements'!$A$5:$A$304,0)),""))</f>
        <v/>
      </c>
      <c r="G2994" s="9">
        <f>IF(D2994="","",IFERROR(INDEX('Équipements'!$K$5:$K$304,MATCH(D2994,'Équipements'!$A$5:$A$304,0)),""))</f>
        <v/>
      </c>
      <c r="H2994" s="7" t="n"/>
      <c r="I2994" s="7" t="n"/>
      <c r="J2994" s="7" t="n"/>
      <c r="K2994" s="7" t="n"/>
      <c r="L2994" s="7" t="n"/>
      <c r="M2994" s="7" t="n"/>
      <c r="N2994" s="7" t="n"/>
      <c r="O2994" s="7" t="n"/>
      <c r="P2994" s="65" t="n"/>
      <c r="Q2994" s="75" t="n"/>
      <c r="R2994" s="75" t="n"/>
      <c r="S2994" s="76" t="n"/>
      <c r="T2994" s="76" t="n"/>
      <c r="U2994" s="70">
        <f>IF($A2994="","",IFERROR(INDEX('Techniciens'!$F$5:$F$44,MATCH(O2994,'Techniciens'!$B$5:$B$44,0)),'Paramètres'!$AA$10))</f>
        <v/>
      </c>
      <c r="V2994" s="70">
        <f>IF($A2994="","",IF(OR(AC2994="Demandé",AC2994="Planifié",AC2994="Annulé"),0,N(T2994)*N(U2994)))</f>
        <v/>
      </c>
      <c r="W2994" s="70">
        <f>IF($A2994="","",SUMIFS('Mouvements stock'!$H$5:$H$3004,'Mouvements stock'!$I$5:$I$3004,$A2994,'Mouvements stock'!$C$5:$C$3004,"Sortie")-SUMIFS('Mouvements stock'!$H$5:$H$3004,'Mouvements stock'!$I$5:$I$3004,$A2994,'Mouvements stock'!$C$5:$C$3004,"Retour"))</f>
        <v/>
      </c>
      <c r="X2994" s="66" t="n"/>
      <c r="Y2994" s="66" t="n"/>
      <c r="Z2994" s="7" t="n"/>
      <c r="AA2994" s="70">
        <f>IF($A2994="","",N(V2994)+N(W2994)+N(X2994)+N(Y2994))</f>
        <v/>
      </c>
      <c r="AB2994" s="70">
        <f>IF($A2994="","",N(S2994)*'Paramètres'!$AA$9*IFERROR(INDEX('Paramètres'!$O$5:$O$7,MATCH(G2994,'Paramètres'!$N$5:$N$7,0)),0))</f>
        <v/>
      </c>
      <c r="AC2994" s="7" t="n"/>
      <c r="AD2994" s="69">
        <f>IF(OR($A2994="",Q2994=""),"",(Q2994-B2994)*24)</f>
        <v/>
      </c>
      <c r="AE2994" s="69">
        <f>IF(OR(Q2994="",R2994=""),"",(R2994-Q2994)*24)</f>
        <v/>
      </c>
      <c r="AF2994" s="77">
        <f>IF(OR($A2994="",B2994=""),"",YEAR(B2994))</f>
        <v/>
      </c>
      <c r="AG2994" s="77">
        <f>IF(OR($A2994="",B2994=""),"",MONTH(B2994))</f>
        <v/>
      </c>
    </row>
    <row r="2995">
      <c r="A2995" s="7" t="n"/>
      <c r="B2995" s="75" t="n"/>
      <c r="C2995" s="7" t="n"/>
      <c r="D2995" s="7" t="n"/>
      <c r="E2995" s="9">
        <f>IF(D2995="","",IFERROR(INDEX('Équipements'!$B$5:$B$304,MATCH(D2995,'Équipements'!$A$5:$A$304,0)),"Code inconnu"))</f>
        <v/>
      </c>
      <c r="F2995" s="9">
        <f>IF(D2995="","",IFERROR(INDEX('Équipements'!$D$5:$D$304,MATCH(D2995,'Équipements'!$A$5:$A$304,0)),""))</f>
        <v/>
      </c>
      <c r="G2995" s="9">
        <f>IF(D2995="","",IFERROR(INDEX('Équipements'!$K$5:$K$304,MATCH(D2995,'Équipements'!$A$5:$A$304,0)),""))</f>
        <v/>
      </c>
      <c r="H2995" s="7" t="n"/>
      <c r="I2995" s="7" t="n"/>
      <c r="J2995" s="7" t="n"/>
      <c r="K2995" s="7" t="n"/>
      <c r="L2995" s="7" t="n"/>
      <c r="M2995" s="7" t="n"/>
      <c r="N2995" s="7" t="n"/>
      <c r="O2995" s="7" t="n"/>
      <c r="P2995" s="65" t="n"/>
      <c r="Q2995" s="75" t="n"/>
      <c r="R2995" s="75" t="n"/>
      <c r="S2995" s="76" t="n"/>
      <c r="T2995" s="76" t="n"/>
      <c r="U2995" s="70">
        <f>IF($A2995="","",IFERROR(INDEX('Techniciens'!$F$5:$F$44,MATCH(O2995,'Techniciens'!$B$5:$B$44,0)),'Paramètres'!$AA$10))</f>
        <v/>
      </c>
      <c r="V2995" s="70">
        <f>IF($A2995="","",IF(OR(AC2995="Demandé",AC2995="Planifié",AC2995="Annulé"),0,N(T2995)*N(U2995)))</f>
        <v/>
      </c>
      <c r="W2995" s="70">
        <f>IF($A2995="","",SUMIFS('Mouvements stock'!$H$5:$H$3004,'Mouvements stock'!$I$5:$I$3004,$A2995,'Mouvements stock'!$C$5:$C$3004,"Sortie")-SUMIFS('Mouvements stock'!$H$5:$H$3004,'Mouvements stock'!$I$5:$I$3004,$A2995,'Mouvements stock'!$C$5:$C$3004,"Retour"))</f>
        <v/>
      </c>
      <c r="X2995" s="66" t="n"/>
      <c r="Y2995" s="66" t="n"/>
      <c r="Z2995" s="7" t="n"/>
      <c r="AA2995" s="70">
        <f>IF($A2995="","",N(V2995)+N(W2995)+N(X2995)+N(Y2995))</f>
        <v/>
      </c>
      <c r="AB2995" s="70">
        <f>IF($A2995="","",N(S2995)*'Paramètres'!$AA$9*IFERROR(INDEX('Paramètres'!$O$5:$O$7,MATCH(G2995,'Paramètres'!$N$5:$N$7,0)),0))</f>
        <v/>
      </c>
      <c r="AC2995" s="7" t="n"/>
      <c r="AD2995" s="69">
        <f>IF(OR($A2995="",Q2995=""),"",(Q2995-B2995)*24)</f>
        <v/>
      </c>
      <c r="AE2995" s="69">
        <f>IF(OR(Q2995="",R2995=""),"",(R2995-Q2995)*24)</f>
        <v/>
      </c>
      <c r="AF2995" s="77">
        <f>IF(OR($A2995="",B2995=""),"",YEAR(B2995))</f>
        <v/>
      </c>
      <c r="AG2995" s="77">
        <f>IF(OR($A2995="",B2995=""),"",MONTH(B2995))</f>
        <v/>
      </c>
    </row>
    <row r="2996">
      <c r="A2996" s="7" t="n"/>
      <c r="B2996" s="75" t="n"/>
      <c r="C2996" s="7" t="n"/>
      <c r="D2996" s="7" t="n"/>
      <c r="E2996" s="9">
        <f>IF(D2996="","",IFERROR(INDEX('Équipements'!$B$5:$B$304,MATCH(D2996,'Équipements'!$A$5:$A$304,0)),"Code inconnu"))</f>
        <v/>
      </c>
      <c r="F2996" s="9">
        <f>IF(D2996="","",IFERROR(INDEX('Équipements'!$D$5:$D$304,MATCH(D2996,'Équipements'!$A$5:$A$304,0)),""))</f>
        <v/>
      </c>
      <c r="G2996" s="9">
        <f>IF(D2996="","",IFERROR(INDEX('Équipements'!$K$5:$K$304,MATCH(D2996,'Équipements'!$A$5:$A$304,0)),""))</f>
        <v/>
      </c>
      <c r="H2996" s="7" t="n"/>
      <c r="I2996" s="7" t="n"/>
      <c r="J2996" s="7" t="n"/>
      <c r="K2996" s="7" t="n"/>
      <c r="L2996" s="7" t="n"/>
      <c r="M2996" s="7" t="n"/>
      <c r="N2996" s="7" t="n"/>
      <c r="O2996" s="7" t="n"/>
      <c r="P2996" s="65" t="n"/>
      <c r="Q2996" s="75" t="n"/>
      <c r="R2996" s="75" t="n"/>
      <c r="S2996" s="76" t="n"/>
      <c r="T2996" s="76" t="n"/>
      <c r="U2996" s="70">
        <f>IF($A2996="","",IFERROR(INDEX('Techniciens'!$F$5:$F$44,MATCH(O2996,'Techniciens'!$B$5:$B$44,0)),'Paramètres'!$AA$10))</f>
        <v/>
      </c>
      <c r="V2996" s="70">
        <f>IF($A2996="","",IF(OR(AC2996="Demandé",AC2996="Planifié",AC2996="Annulé"),0,N(T2996)*N(U2996)))</f>
        <v/>
      </c>
      <c r="W2996" s="70">
        <f>IF($A2996="","",SUMIFS('Mouvements stock'!$H$5:$H$3004,'Mouvements stock'!$I$5:$I$3004,$A2996,'Mouvements stock'!$C$5:$C$3004,"Sortie")-SUMIFS('Mouvements stock'!$H$5:$H$3004,'Mouvements stock'!$I$5:$I$3004,$A2996,'Mouvements stock'!$C$5:$C$3004,"Retour"))</f>
        <v/>
      </c>
      <c r="X2996" s="66" t="n"/>
      <c r="Y2996" s="66" t="n"/>
      <c r="Z2996" s="7" t="n"/>
      <c r="AA2996" s="70">
        <f>IF($A2996="","",N(V2996)+N(W2996)+N(X2996)+N(Y2996))</f>
        <v/>
      </c>
      <c r="AB2996" s="70">
        <f>IF($A2996="","",N(S2996)*'Paramètres'!$AA$9*IFERROR(INDEX('Paramètres'!$O$5:$O$7,MATCH(G2996,'Paramètres'!$N$5:$N$7,0)),0))</f>
        <v/>
      </c>
      <c r="AC2996" s="7" t="n"/>
      <c r="AD2996" s="69">
        <f>IF(OR($A2996="",Q2996=""),"",(Q2996-B2996)*24)</f>
        <v/>
      </c>
      <c r="AE2996" s="69">
        <f>IF(OR(Q2996="",R2996=""),"",(R2996-Q2996)*24)</f>
        <v/>
      </c>
      <c r="AF2996" s="77">
        <f>IF(OR($A2996="",B2996=""),"",YEAR(B2996))</f>
        <v/>
      </c>
      <c r="AG2996" s="77">
        <f>IF(OR($A2996="",B2996=""),"",MONTH(B2996))</f>
        <v/>
      </c>
    </row>
    <row r="2997">
      <c r="A2997" s="7" t="n"/>
      <c r="B2997" s="75" t="n"/>
      <c r="C2997" s="7" t="n"/>
      <c r="D2997" s="7" t="n"/>
      <c r="E2997" s="9">
        <f>IF(D2997="","",IFERROR(INDEX('Équipements'!$B$5:$B$304,MATCH(D2997,'Équipements'!$A$5:$A$304,0)),"Code inconnu"))</f>
        <v/>
      </c>
      <c r="F2997" s="9">
        <f>IF(D2997="","",IFERROR(INDEX('Équipements'!$D$5:$D$304,MATCH(D2997,'Équipements'!$A$5:$A$304,0)),""))</f>
        <v/>
      </c>
      <c r="G2997" s="9">
        <f>IF(D2997="","",IFERROR(INDEX('Équipements'!$K$5:$K$304,MATCH(D2997,'Équipements'!$A$5:$A$304,0)),""))</f>
        <v/>
      </c>
      <c r="H2997" s="7" t="n"/>
      <c r="I2997" s="7" t="n"/>
      <c r="J2997" s="7" t="n"/>
      <c r="K2997" s="7" t="n"/>
      <c r="L2997" s="7" t="n"/>
      <c r="M2997" s="7" t="n"/>
      <c r="N2997" s="7" t="n"/>
      <c r="O2997" s="7" t="n"/>
      <c r="P2997" s="65" t="n"/>
      <c r="Q2997" s="75" t="n"/>
      <c r="R2997" s="75" t="n"/>
      <c r="S2997" s="76" t="n"/>
      <c r="T2997" s="76" t="n"/>
      <c r="U2997" s="70">
        <f>IF($A2997="","",IFERROR(INDEX('Techniciens'!$F$5:$F$44,MATCH(O2997,'Techniciens'!$B$5:$B$44,0)),'Paramètres'!$AA$10))</f>
        <v/>
      </c>
      <c r="V2997" s="70">
        <f>IF($A2997="","",IF(OR(AC2997="Demandé",AC2997="Planifié",AC2997="Annulé"),0,N(T2997)*N(U2997)))</f>
        <v/>
      </c>
      <c r="W2997" s="70">
        <f>IF($A2997="","",SUMIFS('Mouvements stock'!$H$5:$H$3004,'Mouvements stock'!$I$5:$I$3004,$A2997,'Mouvements stock'!$C$5:$C$3004,"Sortie")-SUMIFS('Mouvements stock'!$H$5:$H$3004,'Mouvements stock'!$I$5:$I$3004,$A2997,'Mouvements stock'!$C$5:$C$3004,"Retour"))</f>
        <v/>
      </c>
      <c r="X2997" s="66" t="n"/>
      <c r="Y2997" s="66" t="n"/>
      <c r="Z2997" s="7" t="n"/>
      <c r="AA2997" s="70">
        <f>IF($A2997="","",N(V2997)+N(W2997)+N(X2997)+N(Y2997))</f>
        <v/>
      </c>
      <c r="AB2997" s="70">
        <f>IF($A2997="","",N(S2997)*'Paramètres'!$AA$9*IFERROR(INDEX('Paramètres'!$O$5:$O$7,MATCH(G2997,'Paramètres'!$N$5:$N$7,0)),0))</f>
        <v/>
      </c>
      <c r="AC2997" s="7" t="n"/>
      <c r="AD2997" s="69">
        <f>IF(OR($A2997="",Q2997=""),"",(Q2997-B2997)*24)</f>
        <v/>
      </c>
      <c r="AE2997" s="69">
        <f>IF(OR(Q2997="",R2997=""),"",(R2997-Q2997)*24)</f>
        <v/>
      </c>
      <c r="AF2997" s="77">
        <f>IF(OR($A2997="",B2997=""),"",YEAR(B2997))</f>
        <v/>
      </c>
      <c r="AG2997" s="77">
        <f>IF(OR($A2997="",B2997=""),"",MONTH(B2997))</f>
        <v/>
      </c>
    </row>
    <row r="2998">
      <c r="A2998" s="7" t="n"/>
      <c r="B2998" s="75" t="n"/>
      <c r="C2998" s="7" t="n"/>
      <c r="D2998" s="7" t="n"/>
      <c r="E2998" s="9">
        <f>IF(D2998="","",IFERROR(INDEX('Équipements'!$B$5:$B$304,MATCH(D2998,'Équipements'!$A$5:$A$304,0)),"Code inconnu"))</f>
        <v/>
      </c>
      <c r="F2998" s="9">
        <f>IF(D2998="","",IFERROR(INDEX('Équipements'!$D$5:$D$304,MATCH(D2998,'Équipements'!$A$5:$A$304,0)),""))</f>
        <v/>
      </c>
      <c r="G2998" s="9">
        <f>IF(D2998="","",IFERROR(INDEX('Équipements'!$K$5:$K$304,MATCH(D2998,'Équipements'!$A$5:$A$304,0)),""))</f>
        <v/>
      </c>
      <c r="H2998" s="7" t="n"/>
      <c r="I2998" s="7" t="n"/>
      <c r="J2998" s="7" t="n"/>
      <c r="K2998" s="7" t="n"/>
      <c r="L2998" s="7" t="n"/>
      <c r="M2998" s="7" t="n"/>
      <c r="N2998" s="7" t="n"/>
      <c r="O2998" s="7" t="n"/>
      <c r="P2998" s="65" t="n"/>
      <c r="Q2998" s="75" t="n"/>
      <c r="R2998" s="75" t="n"/>
      <c r="S2998" s="76" t="n"/>
      <c r="T2998" s="76" t="n"/>
      <c r="U2998" s="70">
        <f>IF($A2998="","",IFERROR(INDEX('Techniciens'!$F$5:$F$44,MATCH(O2998,'Techniciens'!$B$5:$B$44,0)),'Paramètres'!$AA$10))</f>
        <v/>
      </c>
      <c r="V2998" s="70">
        <f>IF($A2998="","",IF(OR(AC2998="Demandé",AC2998="Planifié",AC2998="Annulé"),0,N(T2998)*N(U2998)))</f>
        <v/>
      </c>
      <c r="W2998" s="70">
        <f>IF($A2998="","",SUMIFS('Mouvements stock'!$H$5:$H$3004,'Mouvements stock'!$I$5:$I$3004,$A2998,'Mouvements stock'!$C$5:$C$3004,"Sortie")-SUMIFS('Mouvements stock'!$H$5:$H$3004,'Mouvements stock'!$I$5:$I$3004,$A2998,'Mouvements stock'!$C$5:$C$3004,"Retour"))</f>
        <v/>
      </c>
      <c r="X2998" s="66" t="n"/>
      <c r="Y2998" s="66" t="n"/>
      <c r="Z2998" s="7" t="n"/>
      <c r="AA2998" s="70">
        <f>IF($A2998="","",N(V2998)+N(W2998)+N(X2998)+N(Y2998))</f>
        <v/>
      </c>
      <c r="AB2998" s="70">
        <f>IF($A2998="","",N(S2998)*'Paramètres'!$AA$9*IFERROR(INDEX('Paramètres'!$O$5:$O$7,MATCH(G2998,'Paramètres'!$N$5:$N$7,0)),0))</f>
        <v/>
      </c>
      <c r="AC2998" s="7" t="n"/>
      <c r="AD2998" s="69">
        <f>IF(OR($A2998="",Q2998=""),"",(Q2998-B2998)*24)</f>
        <v/>
      </c>
      <c r="AE2998" s="69">
        <f>IF(OR(Q2998="",R2998=""),"",(R2998-Q2998)*24)</f>
        <v/>
      </c>
      <c r="AF2998" s="77">
        <f>IF(OR($A2998="",B2998=""),"",YEAR(B2998))</f>
        <v/>
      </c>
      <c r="AG2998" s="77">
        <f>IF(OR($A2998="",B2998=""),"",MONTH(B2998))</f>
        <v/>
      </c>
    </row>
    <row r="2999">
      <c r="A2999" s="7" t="n"/>
      <c r="B2999" s="75" t="n"/>
      <c r="C2999" s="7" t="n"/>
      <c r="D2999" s="7" t="n"/>
      <c r="E2999" s="9">
        <f>IF(D2999="","",IFERROR(INDEX('Équipements'!$B$5:$B$304,MATCH(D2999,'Équipements'!$A$5:$A$304,0)),"Code inconnu"))</f>
        <v/>
      </c>
      <c r="F2999" s="9">
        <f>IF(D2999="","",IFERROR(INDEX('Équipements'!$D$5:$D$304,MATCH(D2999,'Équipements'!$A$5:$A$304,0)),""))</f>
        <v/>
      </c>
      <c r="G2999" s="9">
        <f>IF(D2999="","",IFERROR(INDEX('Équipements'!$K$5:$K$304,MATCH(D2999,'Équipements'!$A$5:$A$304,0)),""))</f>
        <v/>
      </c>
      <c r="H2999" s="7" t="n"/>
      <c r="I2999" s="7" t="n"/>
      <c r="J2999" s="7" t="n"/>
      <c r="K2999" s="7" t="n"/>
      <c r="L2999" s="7" t="n"/>
      <c r="M2999" s="7" t="n"/>
      <c r="N2999" s="7" t="n"/>
      <c r="O2999" s="7" t="n"/>
      <c r="P2999" s="65" t="n"/>
      <c r="Q2999" s="75" t="n"/>
      <c r="R2999" s="75" t="n"/>
      <c r="S2999" s="76" t="n"/>
      <c r="T2999" s="76" t="n"/>
      <c r="U2999" s="70">
        <f>IF($A2999="","",IFERROR(INDEX('Techniciens'!$F$5:$F$44,MATCH(O2999,'Techniciens'!$B$5:$B$44,0)),'Paramètres'!$AA$10))</f>
        <v/>
      </c>
      <c r="V2999" s="70">
        <f>IF($A2999="","",IF(OR(AC2999="Demandé",AC2999="Planifié",AC2999="Annulé"),0,N(T2999)*N(U2999)))</f>
        <v/>
      </c>
      <c r="W2999" s="70">
        <f>IF($A2999="","",SUMIFS('Mouvements stock'!$H$5:$H$3004,'Mouvements stock'!$I$5:$I$3004,$A2999,'Mouvements stock'!$C$5:$C$3004,"Sortie")-SUMIFS('Mouvements stock'!$H$5:$H$3004,'Mouvements stock'!$I$5:$I$3004,$A2999,'Mouvements stock'!$C$5:$C$3004,"Retour"))</f>
        <v/>
      </c>
      <c r="X2999" s="66" t="n"/>
      <c r="Y2999" s="66" t="n"/>
      <c r="Z2999" s="7" t="n"/>
      <c r="AA2999" s="70">
        <f>IF($A2999="","",N(V2999)+N(W2999)+N(X2999)+N(Y2999))</f>
        <v/>
      </c>
      <c r="AB2999" s="70">
        <f>IF($A2999="","",N(S2999)*'Paramètres'!$AA$9*IFERROR(INDEX('Paramètres'!$O$5:$O$7,MATCH(G2999,'Paramètres'!$N$5:$N$7,0)),0))</f>
        <v/>
      </c>
      <c r="AC2999" s="7" t="n"/>
      <c r="AD2999" s="69">
        <f>IF(OR($A2999="",Q2999=""),"",(Q2999-B2999)*24)</f>
        <v/>
      </c>
      <c r="AE2999" s="69">
        <f>IF(OR(Q2999="",R2999=""),"",(R2999-Q2999)*24)</f>
        <v/>
      </c>
      <c r="AF2999" s="77">
        <f>IF(OR($A2999="",B2999=""),"",YEAR(B2999))</f>
        <v/>
      </c>
      <c r="AG2999" s="77">
        <f>IF(OR($A2999="",B2999=""),"",MONTH(B2999))</f>
        <v/>
      </c>
    </row>
    <row r="3000">
      <c r="A3000" s="7" t="n"/>
      <c r="B3000" s="75" t="n"/>
      <c r="C3000" s="7" t="n"/>
      <c r="D3000" s="7" t="n"/>
      <c r="E3000" s="9">
        <f>IF(D3000="","",IFERROR(INDEX('Équipements'!$B$5:$B$304,MATCH(D3000,'Équipements'!$A$5:$A$304,0)),"Code inconnu"))</f>
        <v/>
      </c>
      <c r="F3000" s="9">
        <f>IF(D3000="","",IFERROR(INDEX('Équipements'!$D$5:$D$304,MATCH(D3000,'Équipements'!$A$5:$A$304,0)),""))</f>
        <v/>
      </c>
      <c r="G3000" s="9">
        <f>IF(D3000="","",IFERROR(INDEX('Équipements'!$K$5:$K$304,MATCH(D3000,'Équipements'!$A$5:$A$304,0)),""))</f>
        <v/>
      </c>
      <c r="H3000" s="7" t="n"/>
      <c r="I3000" s="7" t="n"/>
      <c r="J3000" s="7" t="n"/>
      <c r="K3000" s="7" t="n"/>
      <c r="L3000" s="7" t="n"/>
      <c r="M3000" s="7" t="n"/>
      <c r="N3000" s="7" t="n"/>
      <c r="O3000" s="7" t="n"/>
      <c r="P3000" s="65" t="n"/>
      <c r="Q3000" s="75" t="n"/>
      <c r="R3000" s="75" t="n"/>
      <c r="S3000" s="76" t="n"/>
      <c r="T3000" s="76" t="n"/>
      <c r="U3000" s="70">
        <f>IF($A3000="","",IFERROR(INDEX('Techniciens'!$F$5:$F$44,MATCH(O3000,'Techniciens'!$B$5:$B$44,0)),'Paramètres'!$AA$10))</f>
        <v/>
      </c>
      <c r="V3000" s="70">
        <f>IF($A3000="","",IF(OR(AC3000="Demandé",AC3000="Planifié",AC3000="Annulé"),0,N(T3000)*N(U3000)))</f>
        <v/>
      </c>
      <c r="W3000" s="70">
        <f>IF($A3000="","",SUMIFS('Mouvements stock'!$H$5:$H$3004,'Mouvements stock'!$I$5:$I$3004,$A3000,'Mouvements stock'!$C$5:$C$3004,"Sortie")-SUMIFS('Mouvements stock'!$H$5:$H$3004,'Mouvements stock'!$I$5:$I$3004,$A3000,'Mouvements stock'!$C$5:$C$3004,"Retour"))</f>
        <v/>
      </c>
      <c r="X3000" s="66" t="n"/>
      <c r="Y3000" s="66" t="n"/>
      <c r="Z3000" s="7" t="n"/>
      <c r="AA3000" s="70">
        <f>IF($A3000="","",N(V3000)+N(W3000)+N(X3000)+N(Y3000))</f>
        <v/>
      </c>
      <c r="AB3000" s="70">
        <f>IF($A3000="","",N(S3000)*'Paramètres'!$AA$9*IFERROR(INDEX('Paramètres'!$O$5:$O$7,MATCH(G3000,'Paramètres'!$N$5:$N$7,0)),0))</f>
        <v/>
      </c>
      <c r="AC3000" s="7" t="n"/>
      <c r="AD3000" s="69">
        <f>IF(OR($A3000="",Q3000=""),"",(Q3000-B3000)*24)</f>
        <v/>
      </c>
      <c r="AE3000" s="69">
        <f>IF(OR(Q3000="",R3000=""),"",(R3000-Q3000)*24)</f>
        <v/>
      </c>
      <c r="AF3000" s="77">
        <f>IF(OR($A3000="",B3000=""),"",YEAR(B3000))</f>
        <v/>
      </c>
      <c r="AG3000" s="77">
        <f>IF(OR($A3000="",B3000=""),"",MONTH(B3000))</f>
        <v/>
      </c>
    </row>
    <row r="3001">
      <c r="A3001" s="7" t="n"/>
      <c r="B3001" s="75" t="n"/>
      <c r="C3001" s="7" t="n"/>
      <c r="D3001" s="7" t="n"/>
      <c r="E3001" s="9">
        <f>IF(D3001="","",IFERROR(INDEX('Équipements'!$B$5:$B$304,MATCH(D3001,'Équipements'!$A$5:$A$304,0)),"Code inconnu"))</f>
        <v/>
      </c>
      <c r="F3001" s="9">
        <f>IF(D3001="","",IFERROR(INDEX('Équipements'!$D$5:$D$304,MATCH(D3001,'Équipements'!$A$5:$A$304,0)),""))</f>
        <v/>
      </c>
      <c r="G3001" s="9">
        <f>IF(D3001="","",IFERROR(INDEX('Équipements'!$K$5:$K$304,MATCH(D3001,'Équipements'!$A$5:$A$304,0)),""))</f>
        <v/>
      </c>
      <c r="H3001" s="7" t="n"/>
      <c r="I3001" s="7" t="n"/>
      <c r="J3001" s="7" t="n"/>
      <c r="K3001" s="7" t="n"/>
      <c r="L3001" s="7" t="n"/>
      <c r="M3001" s="7" t="n"/>
      <c r="N3001" s="7" t="n"/>
      <c r="O3001" s="7" t="n"/>
      <c r="P3001" s="65" t="n"/>
      <c r="Q3001" s="75" t="n"/>
      <c r="R3001" s="75" t="n"/>
      <c r="S3001" s="76" t="n"/>
      <c r="T3001" s="76" t="n"/>
      <c r="U3001" s="70">
        <f>IF($A3001="","",IFERROR(INDEX('Techniciens'!$F$5:$F$44,MATCH(O3001,'Techniciens'!$B$5:$B$44,0)),'Paramètres'!$AA$10))</f>
        <v/>
      </c>
      <c r="V3001" s="70">
        <f>IF($A3001="","",IF(OR(AC3001="Demandé",AC3001="Planifié",AC3001="Annulé"),0,N(T3001)*N(U3001)))</f>
        <v/>
      </c>
      <c r="W3001" s="70">
        <f>IF($A3001="","",SUMIFS('Mouvements stock'!$H$5:$H$3004,'Mouvements stock'!$I$5:$I$3004,$A3001,'Mouvements stock'!$C$5:$C$3004,"Sortie")-SUMIFS('Mouvements stock'!$H$5:$H$3004,'Mouvements stock'!$I$5:$I$3004,$A3001,'Mouvements stock'!$C$5:$C$3004,"Retour"))</f>
        <v/>
      </c>
      <c r="X3001" s="66" t="n"/>
      <c r="Y3001" s="66" t="n"/>
      <c r="Z3001" s="7" t="n"/>
      <c r="AA3001" s="70">
        <f>IF($A3001="","",N(V3001)+N(W3001)+N(X3001)+N(Y3001))</f>
        <v/>
      </c>
      <c r="AB3001" s="70">
        <f>IF($A3001="","",N(S3001)*'Paramètres'!$AA$9*IFERROR(INDEX('Paramètres'!$O$5:$O$7,MATCH(G3001,'Paramètres'!$N$5:$N$7,0)),0))</f>
        <v/>
      </c>
      <c r="AC3001" s="7" t="n"/>
      <c r="AD3001" s="69">
        <f>IF(OR($A3001="",Q3001=""),"",(Q3001-B3001)*24)</f>
        <v/>
      </c>
      <c r="AE3001" s="69">
        <f>IF(OR(Q3001="",R3001=""),"",(R3001-Q3001)*24)</f>
        <v/>
      </c>
      <c r="AF3001" s="77">
        <f>IF(OR($A3001="",B3001=""),"",YEAR(B3001))</f>
        <v/>
      </c>
      <c r="AG3001" s="77">
        <f>IF(OR($A3001="",B3001=""),"",MONTH(B3001))</f>
        <v/>
      </c>
    </row>
    <row r="3002">
      <c r="A3002" s="7" t="n"/>
      <c r="B3002" s="75" t="n"/>
      <c r="C3002" s="7" t="n"/>
      <c r="D3002" s="7" t="n"/>
      <c r="E3002" s="9">
        <f>IF(D3002="","",IFERROR(INDEX('Équipements'!$B$5:$B$304,MATCH(D3002,'Équipements'!$A$5:$A$304,0)),"Code inconnu"))</f>
        <v/>
      </c>
      <c r="F3002" s="9">
        <f>IF(D3002="","",IFERROR(INDEX('Équipements'!$D$5:$D$304,MATCH(D3002,'Équipements'!$A$5:$A$304,0)),""))</f>
        <v/>
      </c>
      <c r="G3002" s="9">
        <f>IF(D3002="","",IFERROR(INDEX('Équipements'!$K$5:$K$304,MATCH(D3002,'Équipements'!$A$5:$A$304,0)),""))</f>
        <v/>
      </c>
      <c r="H3002" s="7" t="n"/>
      <c r="I3002" s="7" t="n"/>
      <c r="J3002" s="7" t="n"/>
      <c r="K3002" s="7" t="n"/>
      <c r="L3002" s="7" t="n"/>
      <c r="M3002" s="7" t="n"/>
      <c r="N3002" s="7" t="n"/>
      <c r="O3002" s="7" t="n"/>
      <c r="P3002" s="65" t="n"/>
      <c r="Q3002" s="75" t="n"/>
      <c r="R3002" s="75" t="n"/>
      <c r="S3002" s="76" t="n"/>
      <c r="T3002" s="76" t="n"/>
      <c r="U3002" s="70">
        <f>IF($A3002="","",IFERROR(INDEX('Techniciens'!$F$5:$F$44,MATCH(O3002,'Techniciens'!$B$5:$B$44,0)),'Paramètres'!$AA$10))</f>
        <v/>
      </c>
      <c r="V3002" s="70">
        <f>IF($A3002="","",IF(OR(AC3002="Demandé",AC3002="Planifié",AC3002="Annulé"),0,N(T3002)*N(U3002)))</f>
        <v/>
      </c>
      <c r="W3002" s="70">
        <f>IF($A3002="","",SUMIFS('Mouvements stock'!$H$5:$H$3004,'Mouvements stock'!$I$5:$I$3004,$A3002,'Mouvements stock'!$C$5:$C$3004,"Sortie")-SUMIFS('Mouvements stock'!$H$5:$H$3004,'Mouvements stock'!$I$5:$I$3004,$A3002,'Mouvements stock'!$C$5:$C$3004,"Retour"))</f>
        <v/>
      </c>
      <c r="X3002" s="66" t="n"/>
      <c r="Y3002" s="66" t="n"/>
      <c r="Z3002" s="7" t="n"/>
      <c r="AA3002" s="70">
        <f>IF($A3002="","",N(V3002)+N(W3002)+N(X3002)+N(Y3002))</f>
        <v/>
      </c>
      <c r="AB3002" s="70">
        <f>IF($A3002="","",N(S3002)*'Paramètres'!$AA$9*IFERROR(INDEX('Paramètres'!$O$5:$O$7,MATCH(G3002,'Paramètres'!$N$5:$N$7,0)),0))</f>
        <v/>
      </c>
      <c r="AC3002" s="7" t="n"/>
      <c r="AD3002" s="69">
        <f>IF(OR($A3002="",Q3002=""),"",(Q3002-B3002)*24)</f>
        <v/>
      </c>
      <c r="AE3002" s="69">
        <f>IF(OR(Q3002="",R3002=""),"",(R3002-Q3002)*24)</f>
        <v/>
      </c>
      <c r="AF3002" s="77">
        <f>IF(OR($A3002="",B3002=""),"",YEAR(B3002))</f>
        <v/>
      </c>
      <c r="AG3002" s="77">
        <f>IF(OR($A3002="",B3002=""),"",MONTH(B3002))</f>
        <v/>
      </c>
    </row>
    <row r="3003">
      <c r="A3003" s="7" t="n"/>
      <c r="B3003" s="75" t="n"/>
      <c r="C3003" s="7" t="n"/>
      <c r="D3003" s="7" t="n"/>
      <c r="E3003" s="9">
        <f>IF(D3003="","",IFERROR(INDEX('Équipements'!$B$5:$B$304,MATCH(D3003,'Équipements'!$A$5:$A$304,0)),"Code inconnu"))</f>
        <v/>
      </c>
      <c r="F3003" s="9">
        <f>IF(D3003="","",IFERROR(INDEX('Équipements'!$D$5:$D$304,MATCH(D3003,'Équipements'!$A$5:$A$304,0)),""))</f>
        <v/>
      </c>
      <c r="G3003" s="9">
        <f>IF(D3003="","",IFERROR(INDEX('Équipements'!$K$5:$K$304,MATCH(D3003,'Équipements'!$A$5:$A$304,0)),""))</f>
        <v/>
      </c>
      <c r="H3003" s="7" t="n"/>
      <c r="I3003" s="7" t="n"/>
      <c r="J3003" s="7" t="n"/>
      <c r="K3003" s="7" t="n"/>
      <c r="L3003" s="7" t="n"/>
      <c r="M3003" s="7" t="n"/>
      <c r="N3003" s="7" t="n"/>
      <c r="O3003" s="7" t="n"/>
      <c r="P3003" s="65" t="n"/>
      <c r="Q3003" s="75" t="n"/>
      <c r="R3003" s="75" t="n"/>
      <c r="S3003" s="76" t="n"/>
      <c r="T3003" s="76" t="n"/>
      <c r="U3003" s="70">
        <f>IF($A3003="","",IFERROR(INDEX('Techniciens'!$F$5:$F$44,MATCH(O3003,'Techniciens'!$B$5:$B$44,0)),'Paramètres'!$AA$10))</f>
        <v/>
      </c>
      <c r="V3003" s="70">
        <f>IF($A3003="","",IF(OR(AC3003="Demandé",AC3003="Planifié",AC3003="Annulé"),0,N(T3003)*N(U3003)))</f>
        <v/>
      </c>
      <c r="W3003" s="70">
        <f>IF($A3003="","",SUMIFS('Mouvements stock'!$H$5:$H$3004,'Mouvements stock'!$I$5:$I$3004,$A3003,'Mouvements stock'!$C$5:$C$3004,"Sortie")-SUMIFS('Mouvements stock'!$H$5:$H$3004,'Mouvements stock'!$I$5:$I$3004,$A3003,'Mouvements stock'!$C$5:$C$3004,"Retour"))</f>
        <v/>
      </c>
      <c r="X3003" s="66" t="n"/>
      <c r="Y3003" s="66" t="n"/>
      <c r="Z3003" s="7" t="n"/>
      <c r="AA3003" s="70">
        <f>IF($A3003="","",N(V3003)+N(W3003)+N(X3003)+N(Y3003))</f>
        <v/>
      </c>
      <c r="AB3003" s="70">
        <f>IF($A3003="","",N(S3003)*'Paramètres'!$AA$9*IFERROR(INDEX('Paramètres'!$O$5:$O$7,MATCH(G3003,'Paramètres'!$N$5:$N$7,0)),0))</f>
        <v/>
      </c>
      <c r="AC3003" s="7" t="n"/>
      <c r="AD3003" s="69">
        <f>IF(OR($A3003="",Q3003=""),"",(Q3003-B3003)*24)</f>
        <v/>
      </c>
      <c r="AE3003" s="69">
        <f>IF(OR(Q3003="",R3003=""),"",(R3003-Q3003)*24)</f>
        <v/>
      </c>
      <c r="AF3003" s="77">
        <f>IF(OR($A3003="",B3003=""),"",YEAR(B3003))</f>
        <v/>
      </c>
      <c r="AG3003" s="77">
        <f>IF(OR($A3003="",B3003=""),"",MONTH(B3003))</f>
        <v/>
      </c>
    </row>
    <row r="3004">
      <c r="A3004" s="7" t="n"/>
      <c r="B3004" s="75" t="n"/>
      <c r="C3004" s="7" t="n"/>
      <c r="D3004" s="7" t="n"/>
      <c r="E3004" s="9">
        <f>IF(D3004="","",IFERROR(INDEX('Équipements'!$B$5:$B$304,MATCH(D3004,'Équipements'!$A$5:$A$304,0)),"Code inconnu"))</f>
        <v/>
      </c>
      <c r="F3004" s="9">
        <f>IF(D3004="","",IFERROR(INDEX('Équipements'!$D$5:$D$304,MATCH(D3004,'Équipements'!$A$5:$A$304,0)),""))</f>
        <v/>
      </c>
      <c r="G3004" s="9">
        <f>IF(D3004="","",IFERROR(INDEX('Équipements'!$K$5:$K$304,MATCH(D3004,'Équipements'!$A$5:$A$304,0)),""))</f>
        <v/>
      </c>
      <c r="H3004" s="7" t="n"/>
      <c r="I3004" s="7" t="n"/>
      <c r="J3004" s="7" t="n"/>
      <c r="K3004" s="7" t="n"/>
      <c r="L3004" s="7" t="n"/>
      <c r="M3004" s="7" t="n"/>
      <c r="N3004" s="7" t="n"/>
      <c r="O3004" s="7" t="n"/>
      <c r="P3004" s="65" t="n"/>
      <c r="Q3004" s="75" t="n"/>
      <c r="R3004" s="75" t="n"/>
      <c r="S3004" s="76" t="n"/>
      <c r="T3004" s="76" t="n"/>
      <c r="U3004" s="70">
        <f>IF($A3004="","",IFERROR(INDEX('Techniciens'!$F$5:$F$44,MATCH(O3004,'Techniciens'!$B$5:$B$44,0)),'Paramètres'!$AA$10))</f>
        <v/>
      </c>
      <c r="V3004" s="70">
        <f>IF($A3004="","",IF(OR(AC3004="Demandé",AC3004="Planifié",AC3004="Annulé"),0,N(T3004)*N(U3004)))</f>
        <v/>
      </c>
      <c r="W3004" s="70">
        <f>IF($A3004="","",SUMIFS('Mouvements stock'!$H$5:$H$3004,'Mouvements stock'!$I$5:$I$3004,$A3004,'Mouvements stock'!$C$5:$C$3004,"Sortie")-SUMIFS('Mouvements stock'!$H$5:$H$3004,'Mouvements stock'!$I$5:$I$3004,$A3004,'Mouvements stock'!$C$5:$C$3004,"Retour"))</f>
        <v/>
      </c>
      <c r="X3004" s="66" t="n"/>
      <c r="Y3004" s="66" t="n"/>
      <c r="Z3004" s="7" t="n"/>
      <c r="AA3004" s="70">
        <f>IF($A3004="","",N(V3004)+N(W3004)+N(X3004)+N(Y3004))</f>
        <v/>
      </c>
      <c r="AB3004" s="70">
        <f>IF($A3004="","",N(S3004)*'Paramètres'!$AA$9*IFERROR(INDEX('Paramètres'!$O$5:$O$7,MATCH(G3004,'Paramètres'!$N$5:$N$7,0)),0))</f>
        <v/>
      </c>
      <c r="AC3004" s="7" t="n"/>
      <c r="AD3004" s="69">
        <f>IF(OR($A3004="",Q3004=""),"",(Q3004-B3004)*24)</f>
        <v/>
      </c>
      <c r="AE3004" s="69">
        <f>IF(OR(Q3004="",R3004=""),"",(R3004-Q3004)*24)</f>
        <v/>
      </c>
      <c r="AF3004" s="77">
        <f>IF(OR($A3004="",B3004=""),"",YEAR(B3004))</f>
        <v/>
      </c>
      <c r="AG3004" s="77">
        <f>IF(OR($A3004="",B3004=""),"",MONTH(B3004))</f>
        <v/>
      </c>
    </row>
  </sheetData>
  <autoFilter ref="A4:AG3004"/>
  <conditionalFormatting sqref="AC5:AC3004">
    <cfRule type="expression" priority="1" dxfId="5">
      <formula>AC5="Clôturé"</formula>
    </cfRule>
    <cfRule type="expression" priority="2" dxfId="8">
      <formula>AC5="En cours"</formula>
    </cfRule>
    <cfRule type="expression" priority="3" dxfId="4">
      <formula>AC5="En attente pièces"</formula>
    </cfRule>
    <cfRule type="expression" priority="4" dxfId="6">
      <formula>AC5="Demandé"</formula>
    </cfRule>
    <cfRule type="expression" priority="5" dxfId="6">
      <formula>AC5="Planifié"</formula>
    </cfRule>
    <cfRule type="expression" priority="6" dxfId="7">
      <formula>AC5="Annulé"</formula>
    </cfRule>
  </conditionalFormatting>
  <conditionalFormatting sqref="K5:K3004">
    <cfRule type="expression" priority="7" dxfId="0">
      <formula>K5="P1 - Urgent"</formula>
    </cfRule>
    <cfRule type="expression" priority="8" dxfId="4">
      <formula>K5="P2 - Haute"</formula>
    </cfRule>
  </conditionalFormatting>
  <conditionalFormatting sqref="G5:G3004">
    <cfRule type="expression" priority="9" dxfId="0">
      <formula>G5="A"</formula>
    </cfRule>
  </conditionalFormatting>
  <dataValidations count="8">
    <dataValidation sqref="D5:D3004" showDropDown="0" showInputMessage="0" showErrorMessage="0" allowBlank="1" type="list">
      <formula1>='Équipements'!$A$5:$A$304</formula1>
    </dataValidation>
    <dataValidation sqref="H5:H3004" showDropDown="0" showInputMessage="0" showErrorMessage="0" allowBlank="1" type="list">
      <formula1>='Paramètres'!$D$5:$D$12</formula1>
    </dataValidation>
    <dataValidation sqref="J5:J3004" showDropDown="0" showInputMessage="0" showErrorMessage="0" allowBlank="1" type="list">
      <formula1>='Paramètres'!$F$5:$F$14</formula1>
    </dataValidation>
    <dataValidation sqref="K5:K3004" showDropDown="0" showInputMessage="0" showErrorMessage="0" allowBlank="1" type="list">
      <formula1>='Paramètres'!$H$5:$H$10</formula1>
    </dataValidation>
    <dataValidation sqref="M5:M3004" showDropDown="0" showInputMessage="0" showErrorMessage="0" allowBlank="1" type="list">
      <formula1>='Paramètres'!$L$5:$L$24</formula1>
    </dataValidation>
    <dataValidation sqref="O5:O3004" showDropDown="0" showInputMessage="0" showErrorMessage="0" allowBlank="1" type="list">
      <formula1>='Techniciens'!$B$5:$B$44</formula1>
    </dataValidation>
    <dataValidation sqref="Z5:Z3004" showDropDown="0" showInputMessage="0" showErrorMessage="0" allowBlank="1" type="list">
      <formula1>='Fournisseurs'!$B$5:$B$84</formula1>
    </dataValidation>
    <dataValidation sqref="AC5:AC3004" showDropDown="0" showInputMessage="0" showErrorMessage="0" allowBlank="1" type="list">
      <formula1>='Paramètres'!$J$5:$J$12</formula1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U404"/>
  <sheetViews>
    <sheetView zoomScale="9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3" customWidth="1" min="2" max="2"/>
    <col width="30" customWidth="1" min="3" max="3"/>
    <col width="11" customWidth="1" min="4" max="4"/>
    <col width="44" customWidth="1" min="5" max="5"/>
    <col width="20" customWidth="1" min="6" max="6"/>
    <col width="13" customWidth="1" min="7" max="7"/>
    <col width="10" customWidth="1" min="8" max="8"/>
    <col width="9" customWidth="1" min="9" max="9"/>
    <col width="16" customWidth="1" min="10" max="10"/>
    <col width="26" customWidth="1" min="11" max="11"/>
    <col width="11" customWidth="1" min="12" max="12"/>
    <col width="7" customWidth="1" min="13" max="13"/>
    <col width="50" customWidth="1" min="14" max="14"/>
    <col width="12" customWidth="1" min="15" max="15"/>
    <col width="12" customWidth="1" min="16" max="16"/>
    <col width="9" customWidth="1" min="17" max="17"/>
    <col width="13" customWidth="1" min="18" max="18"/>
    <col width="8" customWidth="1" min="19" max="19"/>
    <col width="10" customWidth="1" min="20" max="20"/>
    <col width="10" customWidth="1" min="21" max="21"/>
  </cols>
  <sheetData>
    <row r="1">
      <c r="A1" s="62" t="inlineStr">
        <is>
          <t>Plan de maintenance préventive</t>
        </is>
      </c>
    </row>
    <row r="2">
      <c r="A2" s="3" t="inlineStr">
        <is>
          <t>Gammes préventives : la dernière réalisation est lue automatiquement dans les OT clôturés portant le code gamme.</t>
        </is>
      </c>
    </row>
    <row r="3">
      <c r="A3" s="63" t="inlineStr">
        <is>
          <t>Saisie : texte bleu   |   Calcul automatique : fond gris (ne pas modifier)   |   Les listes déroulantes proviennent de l'onglet Paramètres.</t>
        </is>
      </c>
    </row>
    <row r="4" ht="42" customHeight="1">
      <c r="A4" s="48" t="inlineStr">
        <is>
          <t>Code gamme</t>
        </is>
      </c>
      <c r="B4" s="48" t="inlineStr">
        <is>
          <t>Code équipement</t>
        </is>
      </c>
      <c r="C4" s="64" t="inlineStr">
        <is>
          <t>Désignation équipement</t>
        </is>
      </c>
      <c r="D4" s="64" t="inlineStr">
        <is>
          <t>Atelier</t>
        </is>
      </c>
      <c r="E4" s="48" t="inlineStr">
        <is>
          <t>Opération</t>
        </is>
      </c>
      <c r="F4" s="48" t="inlineStr">
        <is>
          <t>Type</t>
        </is>
      </c>
      <c r="G4" s="48" t="inlineStr">
        <is>
          <t>Nature</t>
        </is>
      </c>
      <c r="H4" s="48" t="inlineStr">
        <is>
          <t>Fréquence (jours)</t>
        </is>
      </c>
      <c r="I4" s="48" t="inlineStr">
        <is>
          <t>Durée estimée (h)</t>
        </is>
      </c>
      <c r="J4" s="48" t="inlineStr">
        <is>
          <t>Intervenant habituel</t>
        </is>
      </c>
      <c r="K4" s="48" t="inlineStr">
        <is>
          <t>Prestataire</t>
        </is>
      </c>
      <c r="L4" s="48" t="inlineStr">
        <is>
          <t>Date de référence</t>
        </is>
      </c>
      <c r="M4" s="48" t="inlineStr">
        <is>
          <t>Actif</t>
        </is>
      </c>
      <c r="N4" s="48" t="inlineStr">
        <is>
          <t>Mode opératoire / points de contrôle</t>
        </is>
      </c>
      <c r="O4" s="64" t="inlineStr">
        <is>
          <t>Dernière réalisation</t>
        </is>
      </c>
      <c r="P4" s="64" t="inlineStr">
        <is>
          <t>Prochaine échéance</t>
        </is>
      </c>
      <c r="Q4" s="64" t="inlineStr">
        <is>
          <t>Jours restants</t>
        </is>
      </c>
      <c r="R4" s="64" t="inlineStr">
        <is>
          <t>Statut</t>
        </is>
      </c>
      <c r="S4" s="64" t="inlineStr">
        <is>
          <t>OT ouvert</t>
        </is>
      </c>
      <c r="T4" s="64" t="inlineStr">
        <is>
          <t>Réalisations (période)</t>
        </is>
      </c>
      <c r="U4" s="64" t="inlineStr">
        <is>
          <t>Charge annuelle (h)</t>
        </is>
      </c>
    </row>
    <row r="5">
      <c r="A5" s="7" t="inlineStr">
        <is>
          <t>GP-001</t>
        </is>
      </c>
      <c r="B5" s="7" t="inlineStr">
        <is>
          <t>EQ-USI-001</t>
        </is>
      </c>
      <c r="C5" s="9">
        <f>IF(B5="","",IFERROR(INDEX('Équipements'!$B$5:$B$304,MATCH(B5,'Équipements'!$A$5:$A$304,0)),"Code inconnu"))</f>
        <v/>
      </c>
      <c r="D5" s="9">
        <f>IF(B5="","",IFERROR(INDEX('Équipements'!$D$5:$D$304,MATCH(B5,'Équipements'!$A$5:$A$304,0)),""))</f>
        <v/>
      </c>
      <c r="E5" s="7" t="inlineStr">
        <is>
          <t>Contrôle niveaux, nettoyage filtres et bac à copeaux</t>
        </is>
      </c>
      <c r="F5" s="7" t="inlineStr">
        <is>
          <t>Préventif systématique</t>
        </is>
      </c>
      <c r="G5" s="7" t="inlineStr">
        <is>
          <t>Mécanique</t>
        </is>
      </c>
      <c r="H5" s="67" t="n">
        <v>30</v>
      </c>
      <c r="I5" s="76" t="n">
        <v>1</v>
      </c>
      <c r="J5" s="7" t="inlineStr">
        <is>
          <t>Antoine Mercier</t>
        </is>
      </c>
      <c r="K5" s="7" t="n"/>
      <c r="L5" s="65" t="n">
        <v>45642</v>
      </c>
      <c r="M5" s="7" t="inlineStr">
        <is>
          <t>Oui</t>
        </is>
      </c>
      <c r="N5" s="7" t="inlineStr">
        <is>
          <t>Niveaux huile/lubrifiant ; filtre liquide de coupe ; vidange bac copeaux ; contrôle fuites</t>
        </is>
      </c>
      <c r="O5" s="78">
        <f>IF($A5="","",MAX(N(L5),INT(_xlfn.MAXIFS('Ordres de travail'!$R$5:$R$3004,'Ordres de travail'!$I$5:$I$3004,$A5,'Ordres de travail'!$AC$5:$AC$3004,"Clôturé"))))</f>
        <v/>
      </c>
      <c r="P5" s="78">
        <f>IF(OR($A5="",N(O5)=0),"",O5+H5)</f>
        <v/>
      </c>
      <c r="Q5" s="79">
        <f>IF(P5="","",P5-TODAY())</f>
        <v/>
      </c>
      <c r="R5" s="9">
        <f>IF($A5="","",IF(M5="Non","INACTIF",IF(Q5="","À DÉFINIR",IF(Q5&lt;0,"EN RETARD",IF(Q5&lt;='Paramètres'!$AA$12,"À PLANIFIER","OK")))))</f>
        <v/>
      </c>
      <c r="S5" s="9">
        <f>IF($A5="","",IF(SUM(COUNTIFS('Ordres de travail'!$I$5:$I$3004,$A5,'Ordres de travail'!$AC$5:$AC$3004,{"Demandé","Planifié","En cours","En attente pièces"}))&gt;0,"Oui","Non"))</f>
        <v/>
      </c>
      <c r="T5" s="68">
        <f>IF($A5="","",COUNTIFS('Ordres de travail'!$I$5:$I$3004,$A5,'Ordres de travail'!$AC$5:$AC$3004,"Clôturé",'Ordres de travail'!$R$5:$R$3004,"&gt;="&amp;'Paramètres'!$AA$6,'Ordres de travail'!$R$5:$R$3004,"&lt;"&amp;('Paramètres'!$AA$7+1)))</f>
        <v/>
      </c>
      <c r="U5" s="69">
        <f>IF(OR($A5="",N(H5)=0),"",IF(M5="Non",0,365/H5*I5))</f>
        <v/>
      </c>
    </row>
    <row r="6">
      <c r="A6" s="7" t="inlineStr">
        <is>
          <t>GP-002</t>
        </is>
      </c>
      <c r="B6" s="7" t="inlineStr">
        <is>
          <t>EQ-USI-001</t>
        </is>
      </c>
      <c r="C6" s="9">
        <f>IF(B6="","",IFERROR(INDEX('Équipements'!$B$5:$B$304,MATCH(B6,'Équipements'!$A$5:$A$304,0)),"Code inconnu"))</f>
        <v/>
      </c>
      <c r="D6" s="9">
        <f>IF(B6="","",IFERROR(INDEX('Équipements'!$D$5:$D$304,MATCH(B6,'Équipements'!$A$5:$A$304,0)),""))</f>
        <v/>
      </c>
      <c r="E6" s="7" t="inlineStr">
        <is>
          <t>Contrôle géométrie, jeux et graissage des axes</t>
        </is>
      </c>
      <c r="F6" s="7" t="inlineStr">
        <is>
          <t>Préventif systématique</t>
        </is>
      </c>
      <c r="G6" s="7" t="inlineStr">
        <is>
          <t>Mécanique</t>
        </is>
      </c>
      <c r="H6" s="67" t="n">
        <v>180</v>
      </c>
      <c r="I6" s="76" t="n">
        <v>4</v>
      </c>
      <c r="J6" s="7" t="inlineStr">
        <is>
          <t>Antoine Mercier</t>
        </is>
      </c>
      <c r="K6" s="7" t="n"/>
      <c r="L6" s="65" t="n">
        <v>45538</v>
      </c>
      <c r="M6" s="7" t="inlineStr">
        <is>
          <t>Oui</t>
        </is>
      </c>
      <c r="N6" s="7" t="inlineStr">
        <is>
          <t>Mesure jeux axes ; contrôle bille ballbar ; graissage vis à billes ; serrage protections</t>
        </is>
      </c>
      <c r="O6" s="78">
        <f>IF($A6="","",MAX(N(L6),INT(_xlfn.MAXIFS('Ordres de travail'!$R$5:$R$3004,'Ordres de travail'!$I$5:$I$3004,$A6,'Ordres de travail'!$AC$5:$AC$3004,"Clôturé"))))</f>
        <v/>
      </c>
      <c r="P6" s="78">
        <f>IF(OR($A6="",N(O6)=0),"",O6+H6)</f>
        <v/>
      </c>
      <c r="Q6" s="79">
        <f>IF(P6="","",P6-TODAY())</f>
        <v/>
      </c>
      <c r="R6" s="9">
        <f>IF($A6="","",IF(M6="Non","INACTIF",IF(Q6="","À DÉFINIR",IF(Q6&lt;0,"EN RETARD",IF(Q6&lt;='Paramètres'!$AA$12,"À PLANIFIER","OK")))))</f>
        <v/>
      </c>
      <c r="S6" s="9">
        <f>IF($A6="","",IF(SUM(COUNTIFS('Ordres de travail'!$I$5:$I$3004,$A6,'Ordres de travail'!$AC$5:$AC$3004,{"Demandé","Planifié","En cours","En attente pièces"}))&gt;0,"Oui","Non"))</f>
        <v/>
      </c>
      <c r="T6" s="68">
        <f>IF($A6="","",COUNTIFS('Ordres de travail'!$I$5:$I$3004,$A6,'Ordres de travail'!$AC$5:$AC$3004,"Clôturé",'Ordres de travail'!$R$5:$R$3004,"&gt;="&amp;'Paramètres'!$AA$6,'Ordres de travail'!$R$5:$R$3004,"&lt;"&amp;('Paramètres'!$AA$7+1)))</f>
        <v/>
      </c>
      <c r="U6" s="69">
        <f>IF(OR($A6="",N(H6)=0),"",IF(M6="Non",0,365/H6*I6))</f>
        <v/>
      </c>
    </row>
    <row r="7">
      <c r="A7" s="7" t="inlineStr">
        <is>
          <t>GP-003</t>
        </is>
      </c>
      <c r="B7" s="7" t="inlineStr">
        <is>
          <t>EQ-USI-001</t>
        </is>
      </c>
      <c r="C7" s="9">
        <f>IF(B7="","",IFERROR(INDEX('Équipements'!$B$5:$B$304,MATCH(B7,'Équipements'!$A$5:$A$304,0)),"Code inconnu"))</f>
        <v/>
      </c>
      <c r="D7" s="9">
        <f>IF(B7="","",IFERROR(INDEX('Équipements'!$D$5:$D$304,MATCH(B7,'Équipements'!$A$5:$A$304,0)),""))</f>
        <v/>
      </c>
      <c r="E7" s="7" t="inlineStr">
        <is>
          <t>Vidange groupe hydraulique et remplacement filtres</t>
        </is>
      </c>
      <c r="F7" s="7" t="inlineStr">
        <is>
          <t>Préventif systématique</t>
        </is>
      </c>
      <c r="G7" s="7" t="inlineStr">
        <is>
          <t>Hydraulique</t>
        </is>
      </c>
      <c r="H7" s="67" t="n">
        <v>365</v>
      </c>
      <c r="I7" s="76" t="n">
        <v>3</v>
      </c>
      <c r="J7" s="7" t="inlineStr">
        <is>
          <t>Antoine Mercier</t>
        </is>
      </c>
      <c r="K7" s="7" t="n"/>
      <c r="L7" s="65" t="n">
        <v>45647</v>
      </c>
      <c r="M7" s="7" t="inlineStr">
        <is>
          <t>Oui</t>
        </is>
      </c>
      <c r="N7" s="7" t="inlineStr">
        <is>
          <t>Vidange 208 L ; remplacement filtre retour ; contrôle accumulateur ; essais</t>
        </is>
      </c>
      <c r="O7" s="78">
        <f>IF($A7="","",MAX(N(L7),INT(_xlfn.MAXIFS('Ordres de travail'!$R$5:$R$3004,'Ordres de travail'!$I$5:$I$3004,$A7,'Ordres de travail'!$AC$5:$AC$3004,"Clôturé"))))</f>
        <v/>
      </c>
      <c r="P7" s="78">
        <f>IF(OR($A7="",N(O7)=0),"",O7+H7)</f>
        <v/>
      </c>
      <c r="Q7" s="79">
        <f>IF(P7="","",P7-TODAY())</f>
        <v/>
      </c>
      <c r="R7" s="9">
        <f>IF($A7="","",IF(M7="Non","INACTIF",IF(Q7="","À DÉFINIR",IF(Q7&lt;0,"EN RETARD",IF(Q7&lt;='Paramètres'!$AA$12,"À PLANIFIER","OK")))))</f>
        <v/>
      </c>
      <c r="S7" s="9">
        <f>IF($A7="","",IF(SUM(COUNTIFS('Ordres de travail'!$I$5:$I$3004,$A7,'Ordres de travail'!$AC$5:$AC$3004,{"Demandé","Planifié","En cours","En attente pièces"}))&gt;0,"Oui","Non"))</f>
        <v/>
      </c>
      <c r="T7" s="68">
        <f>IF($A7="","",COUNTIFS('Ordres de travail'!$I$5:$I$3004,$A7,'Ordres de travail'!$AC$5:$AC$3004,"Clôturé",'Ordres de travail'!$R$5:$R$3004,"&gt;="&amp;'Paramètres'!$AA$6,'Ordres de travail'!$R$5:$R$3004,"&lt;"&amp;('Paramètres'!$AA$7+1)))</f>
        <v/>
      </c>
      <c r="U7" s="69">
        <f>IF(OR($A7="",N(H7)=0),"",IF(M7="Non",0,365/H7*I7))</f>
        <v/>
      </c>
    </row>
    <row r="8">
      <c r="A8" s="7" t="inlineStr">
        <is>
          <t>GP-004</t>
        </is>
      </c>
      <c r="B8" s="7" t="inlineStr">
        <is>
          <t>EQ-USI-001</t>
        </is>
      </c>
      <c r="C8" s="9">
        <f>IF(B8="","",IFERROR(INDEX('Équipements'!$B$5:$B$304,MATCH(B8,'Équipements'!$A$5:$A$304,0)),"Code inconnu"))</f>
        <v/>
      </c>
      <c r="D8" s="9">
        <f>IF(B8="","",IFERROR(INDEX('Équipements'!$D$5:$D$304,MATCH(B8,'Équipements'!$A$5:$A$304,0)),""))</f>
        <v/>
      </c>
      <c r="E8" s="7" t="inlineStr">
        <is>
          <t>Contrôle armoire électrique (ventilation, serrages)</t>
        </is>
      </c>
      <c r="F8" s="7" t="inlineStr">
        <is>
          <t>Préventif systématique</t>
        </is>
      </c>
      <c r="G8" s="7" t="inlineStr">
        <is>
          <t>Électrique</t>
        </is>
      </c>
      <c r="H8" s="67" t="n">
        <v>365</v>
      </c>
      <c r="I8" s="76" t="n">
        <v>2</v>
      </c>
      <c r="J8" s="7" t="inlineStr">
        <is>
          <t>Julien Moreau</t>
        </is>
      </c>
      <c r="K8" s="7" t="n"/>
      <c r="L8" s="65" t="n">
        <v>45642</v>
      </c>
      <c r="M8" s="7" t="inlineStr">
        <is>
          <t>Oui</t>
        </is>
      </c>
      <c r="N8" s="7" t="inlineStr">
        <is>
          <t>Dépoussiérage ; contrôle ventilateurs ; resserrage borniers ; contrôle AU</t>
        </is>
      </c>
      <c r="O8" s="78">
        <f>IF($A8="","",MAX(N(L8),INT(_xlfn.MAXIFS('Ordres de travail'!$R$5:$R$3004,'Ordres de travail'!$I$5:$I$3004,$A8,'Ordres de travail'!$AC$5:$AC$3004,"Clôturé"))))</f>
        <v/>
      </c>
      <c r="P8" s="78">
        <f>IF(OR($A8="",N(O8)=0),"",O8+H8)</f>
        <v/>
      </c>
      <c r="Q8" s="79">
        <f>IF(P8="","",P8-TODAY())</f>
        <v/>
      </c>
      <c r="R8" s="9">
        <f>IF($A8="","",IF(M8="Non","INACTIF",IF(Q8="","À DÉFINIR",IF(Q8&lt;0,"EN RETARD",IF(Q8&lt;='Paramètres'!$AA$12,"À PLANIFIER","OK")))))</f>
        <v/>
      </c>
      <c r="S8" s="9">
        <f>IF($A8="","",IF(SUM(COUNTIFS('Ordres de travail'!$I$5:$I$3004,$A8,'Ordres de travail'!$AC$5:$AC$3004,{"Demandé","Planifié","En cours","En attente pièces"}))&gt;0,"Oui","Non"))</f>
        <v/>
      </c>
      <c r="T8" s="68">
        <f>IF($A8="","",COUNTIFS('Ordres de travail'!$I$5:$I$3004,$A8,'Ordres de travail'!$AC$5:$AC$3004,"Clôturé",'Ordres de travail'!$R$5:$R$3004,"&gt;="&amp;'Paramètres'!$AA$6,'Ordres de travail'!$R$5:$R$3004,"&lt;"&amp;('Paramètres'!$AA$7+1)))</f>
        <v/>
      </c>
      <c r="U8" s="69">
        <f>IF(OR($A8="",N(H8)=0),"",IF(M8="Non",0,365/H8*I8))</f>
        <v/>
      </c>
    </row>
    <row r="9">
      <c r="A9" s="7" t="inlineStr">
        <is>
          <t>GP-005</t>
        </is>
      </c>
      <c r="B9" s="7" t="inlineStr">
        <is>
          <t>EQ-USI-002</t>
        </is>
      </c>
      <c r="C9" s="9">
        <f>IF(B9="","",IFERROR(INDEX('Équipements'!$B$5:$B$304,MATCH(B9,'Équipements'!$A$5:$A$304,0)),"Code inconnu"))</f>
        <v/>
      </c>
      <c r="D9" s="9">
        <f>IF(B9="","",IFERROR(INDEX('Équipements'!$D$5:$D$304,MATCH(B9,'Équipements'!$A$5:$A$304,0)),""))</f>
        <v/>
      </c>
      <c r="E9" s="7" t="inlineStr">
        <is>
          <t>Contrôle niveaux, nettoyage filtres et bac à copeaux</t>
        </is>
      </c>
      <c r="F9" s="7" t="inlineStr">
        <is>
          <t>Préventif systématique</t>
        </is>
      </c>
      <c r="G9" s="7" t="inlineStr">
        <is>
          <t>Mécanique</t>
        </is>
      </c>
      <c r="H9" s="67" t="n">
        <v>30</v>
      </c>
      <c r="I9" s="76" t="n">
        <v>1</v>
      </c>
      <c r="J9" s="7" t="inlineStr">
        <is>
          <t>Antoine Mercier</t>
        </is>
      </c>
      <c r="K9" s="7" t="n"/>
      <c r="L9" s="65" t="n">
        <v>45638</v>
      </c>
      <c r="M9" s="7" t="inlineStr">
        <is>
          <t>Oui</t>
        </is>
      </c>
      <c r="N9" s="7" t="inlineStr">
        <is>
          <t>Niveaux huile/lubrifiant ; filtre liquide de coupe ; vidange bac copeaux ; contrôle fuites</t>
        </is>
      </c>
      <c r="O9" s="78">
        <f>IF($A9="","",MAX(N(L9),INT(_xlfn.MAXIFS('Ordres de travail'!$R$5:$R$3004,'Ordres de travail'!$I$5:$I$3004,$A9,'Ordres de travail'!$AC$5:$AC$3004,"Clôturé"))))</f>
        <v/>
      </c>
      <c r="P9" s="78">
        <f>IF(OR($A9="",N(O9)=0),"",O9+H9)</f>
        <v/>
      </c>
      <c r="Q9" s="79">
        <f>IF(P9="","",P9-TODAY())</f>
        <v/>
      </c>
      <c r="R9" s="9">
        <f>IF($A9="","",IF(M9="Non","INACTIF",IF(Q9="","À DÉFINIR",IF(Q9&lt;0,"EN RETARD",IF(Q9&lt;='Paramètres'!$AA$12,"À PLANIFIER","OK")))))</f>
        <v/>
      </c>
      <c r="S9" s="9">
        <f>IF($A9="","",IF(SUM(COUNTIFS('Ordres de travail'!$I$5:$I$3004,$A9,'Ordres de travail'!$AC$5:$AC$3004,{"Demandé","Planifié","En cours","En attente pièces"}))&gt;0,"Oui","Non"))</f>
        <v/>
      </c>
      <c r="T9" s="68">
        <f>IF($A9="","",COUNTIFS('Ordres de travail'!$I$5:$I$3004,$A9,'Ordres de travail'!$AC$5:$AC$3004,"Clôturé",'Ordres de travail'!$R$5:$R$3004,"&gt;="&amp;'Paramètres'!$AA$6,'Ordres de travail'!$R$5:$R$3004,"&lt;"&amp;('Paramètres'!$AA$7+1)))</f>
        <v/>
      </c>
      <c r="U9" s="69">
        <f>IF(OR($A9="",N(H9)=0),"",IF(M9="Non",0,365/H9*I9))</f>
        <v/>
      </c>
    </row>
    <row r="10">
      <c r="A10" s="7" t="inlineStr">
        <is>
          <t>GP-006</t>
        </is>
      </c>
      <c r="B10" s="7" t="inlineStr">
        <is>
          <t>EQ-USI-002</t>
        </is>
      </c>
      <c r="C10" s="9">
        <f>IF(B10="","",IFERROR(INDEX('Équipements'!$B$5:$B$304,MATCH(B10,'Équipements'!$A$5:$A$304,0)),"Code inconnu"))</f>
        <v/>
      </c>
      <c r="D10" s="9">
        <f>IF(B10="","",IFERROR(INDEX('Équipements'!$D$5:$D$304,MATCH(B10,'Équipements'!$A$5:$A$304,0)),""))</f>
        <v/>
      </c>
      <c r="E10" s="7" t="inlineStr">
        <is>
          <t>Contrôle géométrie, jeux et graissage des axes</t>
        </is>
      </c>
      <c r="F10" s="7" t="inlineStr">
        <is>
          <t>Préventif systématique</t>
        </is>
      </c>
      <c r="G10" s="7" t="inlineStr">
        <is>
          <t>Mécanique</t>
        </is>
      </c>
      <c r="H10" s="67" t="n">
        <v>180</v>
      </c>
      <c r="I10" s="76" t="n">
        <v>4</v>
      </c>
      <c r="J10" s="7" t="inlineStr">
        <is>
          <t>Karim Benali</t>
        </is>
      </c>
      <c r="K10" s="7" t="n"/>
      <c r="L10" s="65" t="n">
        <v>45562</v>
      </c>
      <c r="M10" s="7" t="inlineStr">
        <is>
          <t>Oui</t>
        </is>
      </c>
      <c r="N10" s="7" t="inlineStr">
        <is>
          <t>Mesure jeux axes ; contrôle bille ballbar ; graissage vis à billes ; serrage protections</t>
        </is>
      </c>
      <c r="O10" s="78">
        <f>IF($A10="","",MAX(N(L10),INT(_xlfn.MAXIFS('Ordres de travail'!$R$5:$R$3004,'Ordres de travail'!$I$5:$I$3004,$A10,'Ordres de travail'!$AC$5:$AC$3004,"Clôturé"))))</f>
        <v/>
      </c>
      <c r="P10" s="78">
        <f>IF(OR($A10="",N(O10)=0),"",O10+H10)</f>
        <v/>
      </c>
      <c r="Q10" s="79">
        <f>IF(P10="","",P10-TODAY())</f>
        <v/>
      </c>
      <c r="R10" s="9">
        <f>IF($A10="","",IF(M10="Non","INACTIF",IF(Q10="","À DÉFINIR",IF(Q10&lt;0,"EN RETARD",IF(Q10&lt;='Paramètres'!$AA$12,"À PLANIFIER","OK")))))</f>
        <v/>
      </c>
      <c r="S10" s="9">
        <f>IF($A10="","",IF(SUM(COUNTIFS('Ordres de travail'!$I$5:$I$3004,$A10,'Ordres de travail'!$AC$5:$AC$3004,{"Demandé","Planifié","En cours","En attente pièces"}))&gt;0,"Oui","Non"))</f>
        <v/>
      </c>
      <c r="T10" s="68">
        <f>IF($A10="","",COUNTIFS('Ordres de travail'!$I$5:$I$3004,$A10,'Ordres de travail'!$AC$5:$AC$3004,"Clôturé",'Ordres de travail'!$R$5:$R$3004,"&gt;="&amp;'Paramètres'!$AA$6,'Ordres de travail'!$R$5:$R$3004,"&lt;"&amp;('Paramètres'!$AA$7+1)))</f>
        <v/>
      </c>
      <c r="U10" s="69">
        <f>IF(OR($A10="",N(H10)=0),"",IF(M10="Non",0,365/H10*I10))</f>
        <v/>
      </c>
    </row>
    <row r="11">
      <c r="A11" s="7" t="inlineStr">
        <is>
          <t>GP-007</t>
        </is>
      </c>
      <c r="B11" s="7" t="inlineStr">
        <is>
          <t>EQ-USI-002</t>
        </is>
      </c>
      <c r="C11" s="9">
        <f>IF(B11="","",IFERROR(INDEX('Équipements'!$B$5:$B$304,MATCH(B11,'Équipements'!$A$5:$A$304,0)),"Code inconnu"))</f>
        <v/>
      </c>
      <c r="D11" s="9">
        <f>IF(B11="","",IFERROR(INDEX('Équipements'!$D$5:$D$304,MATCH(B11,'Équipements'!$A$5:$A$304,0)),""))</f>
        <v/>
      </c>
      <c r="E11" s="7" t="inlineStr">
        <is>
          <t>Vidange groupe hydraulique et remplacement filtres</t>
        </is>
      </c>
      <c r="F11" s="7" t="inlineStr">
        <is>
          <t>Préventif systématique</t>
        </is>
      </c>
      <c r="G11" s="7" t="inlineStr">
        <is>
          <t>Hydraulique</t>
        </is>
      </c>
      <c r="H11" s="67" t="n">
        <v>365</v>
      </c>
      <c r="I11" s="76" t="n">
        <v>3</v>
      </c>
      <c r="J11" s="7" t="inlineStr">
        <is>
          <t>Antoine Mercier</t>
        </is>
      </c>
      <c r="K11" s="7" t="n"/>
      <c r="L11" s="65" t="n">
        <v>45297</v>
      </c>
      <c r="M11" s="7" t="inlineStr">
        <is>
          <t>Oui</t>
        </is>
      </c>
      <c r="N11" s="7" t="inlineStr">
        <is>
          <t>Vidange 208 L ; remplacement filtre retour ; contrôle accumulateur ; essais</t>
        </is>
      </c>
      <c r="O11" s="78">
        <f>IF($A11="","",MAX(N(L11),INT(_xlfn.MAXIFS('Ordres de travail'!$R$5:$R$3004,'Ordres de travail'!$I$5:$I$3004,$A11,'Ordres de travail'!$AC$5:$AC$3004,"Clôturé"))))</f>
        <v/>
      </c>
      <c r="P11" s="78">
        <f>IF(OR($A11="",N(O11)=0),"",O11+H11)</f>
        <v/>
      </c>
      <c r="Q11" s="79">
        <f>IF(P11="","",P11-TODAY())</f>
        <v/>
      </c>
      <c r="R11" s="9">
        <f>IF($A11="","",IF(M11="Non","INACTIF",IF(Q11="","À DÉFINIR",IF(Q11&lt;0,"EN RETARD",IF(Q11&lt;='Paramètres'!$AA$12,"À PLANIFIER","OK")))))</f>
        <v/>
      </c>
      <c r="S11" s="9">
        <f>IF($A11="","",IF(SUM(COUNTIFS('Ordres de travail'!$I$5:$I$3004,$A11,'Ordres de travail'!$AC$5:$AC$3004,{"Demandé","Planifié","En cours","En attente pièces"}))&gt;0,"Oui","Non"))</f>
        <v/>
      </c>
      <c r="T11" s="68">
        <f>IF($A11="","",COUNTIFS('Ordres de travail'!$I$5:$I$3004,$A11,'Ordres de travail'!$AC$5:$AC$3004,"Clôturé",'Ordres de travail'!$R$5:$R$3004,"&gt;="&amp;'Paramètres'!$AA$6,'Ordres de travail'!$R$5:$R$3004,"&lt;"&amp;('Paramètres'!$AA$7+1)))</f>
        <v/>
      </c>
      <c r="U11" s="69">
        <f>IF(OR($A11="",N(H11)=0),"",IF(M11="Non",0,365/H11*I11))</f>
        <v/>
      </c>
    </row>
    <row r="12">
      <c r="A12" s="7" t="inlineStr">
        <is>
          <t>GP-008</t>
        </is>
      </c>
      <c r="B12" s="7" t="inlineStr">
        <is>
          <t>EQ-USI-002</t>
        </is>
      </c>
      <c r="C12" s="9">
        <f>IF(B12="","",IFERROR(INDEX('Équipements'!$B$5:$B$304,MATCH(B12,'Équipements'!$A$5:$A$304,0)),"Code inconnu"))</f>
        <v/>
      </c>
      <c r="D12" s="9">
        <f>IF(B12="","",IFERROR(INDEX('Équipements'!$D$5:$D$304,MATCH(B12,'Équipements'!$A$5:$A$304,0)),""))</f>
        <v/>
      </c>
      <c r="E12" s="7" t="inlineStr">
        <is>
          <t>Contrôle armoire électrique (ventilation, serrages)</t>
        </is>
      </c>
      <c r="F12" s="7" t="inlineStr">
        <is>
          <t>Préventif systématique</t>
        </is>
      </c>
      <c r="G12" s="7" t="inlineStr">
        <is>
          <t>Électrique</t>
        </is>
      </c>
      <c r="H12" s="67" t="n">
        <v>365</v>
      </c>
      <c r="I12" s="76" t="n">
        <v>2</v>
      </c>
      <c r="J12" s="7" t="inlineStr">
        <is>
          <t>Thomas Petit</t>
        </is>
      </c>
      <c r="K12" s="7" t="n"/>
      <c r="L12" s="65" t="n">
        <v>45440</v>
      </c>
      <c r="M12" s="7" t="inlineStr">
        <is>
          <t>Oui</t>
        </is>
      </c>
      <c r="N12" s="7" t="inlineStr">
        <is>
          <t>Dépoussiérage ; contrôle ventilateurs ; resserrage borniers ; contrôle AU</t>
        </is>
      </c>
      <c r="O12" s="78">
        <f>IF($A12="","",MAX(N(L12),INT(_xlfn.MAXIFS('Ordres de travail'!$R$5:$R$3004,'Ordres de travail'!$I$5:$I$3004,$A12,'Ordres de travail'!$AC$5:$AC$3004,"Clôturé"))))</f>
        <v/>
      </c>
      <c r="P12" s="78">
        <f>IF(OR($A12="",N(O12)=0),"",O12+H12)</f>
        <v/>
      </c>
      <c r="Q12" s="79">
        <f>IF(P12="","",P12-TODAY())</f>
        <v/>
      </c>
      <c r="R12" s="9">
        <f>IF($A12="","",IF(M12="Non","INACTIF",IF(Q12="","À DÉFINIR",IF(Q12&lt;0,"EN RETARD",IF(Q12&lt;='Paramètres'!$AA$12,"À PLANIFIER","OK")))))</f>
        <v/>
      </c>
      <c r="S12" s="9">
        <f>IF($A12="","",IF(SUM(COUNTIFS('Ordres de travail'!$I$5:$I$3004,$A12,'Ordres de travail'!$AC$5:$AC$3004,{"Demandé","Planifié","En cours","En attente pièces"}))&gt;0,"Oui","Non"))</f>
        <v/>
      </c>
      <c r="T12" s="68">
        <f>IF($A12="","",COUNTIFS('Ordres de travail'!$I$5:$I$3004,$A12,'Ordres de travail'!$AC$5:$AC$3004,"Clôturé",'Ordres de travail'!$R$5:$R$3004,"&gt;="&amp;'Paramètres'!$AA$6,'Ordres de travail'!$R$5:$R$3004,"&lt;"&amp;('Paramètres'!$AA$7+1)))</f>
        <v/>
      </c>
      <c r="U12" s="69">
        <f>IF(OR($A12="",N(H12)=0),"",IF(M12="Non",0,365/H12*I12))</f>
        <v/>
      </c>
    </row>
    <row r="13">
      <c r="A13" s="7" t="inlineStr">
        <is>
          <t>GP-009</t>
        </is>
      </c>
      <c r="B13" s="7" t="inlineStr">
        <is>
          <t>EQ-USI-003</t>
        </is>
      </c>
      <c r="C13" s="9">
        <f>IF(B13="","",IFERROR(INDEX('Équipements'!$B$5:$B$304,MATCH(B13,'Équipements'!$A$5:$A$304,0)),"Code inconnu"))</f>
        <v/>
      </c>
      <c r="D13" s="9">
        <f>IF(B13="","",IFERROR(INDEX('Équipements'!$D$5:$D$304,MATCH(B13,'Équipements'!$A$5:$A$304,0)),""))</f>
        <v/>
      </c>
      <c r="E13" s="7" t="inlineStr">
        <is>
          <t>Contrôle niveaux, nettoyage filtres et bac à copeaux</t>
        </is>
      </c>
      <c r="F13" s="7" t="inlineStr">
        <is>
          <t>Préventif systématique</t>
        </is>
      </c>
      <c r="G13" s="7" t="inlineStr">
        <is>
          <t>Mécanique</t>
        </is>
      </c>
      <c r="H13" s="67" t="n">
        <v>60</v>
      </c>
      <c r="I13" s="76" t="n">
        <v>1</v>
      </c>
      <c r="J13" s="7" t="inlineStr">
        <is>
          <t>Lucas Fontaine</t>
        </is>
      </c>
      <c r="K13" s="7" t="n"/>
      <c r="L13" s="65" t="n">
        <v>45605</v>
      </c>
      <c r="M13" s="7" t="inlineStr">
        <is>
          <t>Oui</t>
        </is>
      </c>
      <c r="N13" s="7" t="inlineStr">
        <is>
          <t>Niveaux huile/lubrifiant ; filtre liquide de coupe ; vidange bac copeaux ; contrôle fuites</t>
        </is>
      </c>
      <c r="O13" s="78">
        <f>IF($A13="","",MAX(N(L13),INT(_xlfn.MAXIFS('Ordres de travail'!$R$5:$R$3004,'Ordres de travail'!$I$5:$I$3004,$A13,'Ordres de travail'!$AC$5:$AC$3004,"Clôturé"))))</f>
        <v/>
      </c>
      <c r="P13" s="78">
        <f>IF(OR($A13="",N(O13)=0),"",O13+H13)</f>
        <v/>
      </c>
      <c r="Q13" s="79">
        <f>IF(P13="","",P13-TODAY())</f>
        <v/>
      </c>
      <c r="R13" s="9">
        <f>IF($A13="","",IF(M13="Non","INACTIF",IF(Q13="","À DÉFINIR",IF(Q13&lt;0,"EN RETARD",IF(Q13&lt;='Paramètres'!$AA$12,"À PLANIFIER","OK")))))</f>
        <v/>
      </c>
      <c r="S13" s="9">
        <f>IF($A13="","",IF(SUM(COUNTIFS('Ordres de travail'!$I$5:$I$3004,$A13,'Ordres de travail'!$AC$5:$AC$3004,{"Demandé","Planifié","En cours","En attente pièces"}))&gt;0,"Oui","Non"))</f>
        <v/>
      </c>
      <c r="T13" s="68">
        <f>IF($A13="","",COUNTIFS('Ordres de travail'!$I$5:$I$3004,$A13,'Ordres de travail'!$AC$5:$AC$3004,"Clôturé",'Ordres de travail'!$R$5:$R$3004,"&gt;="&amp;'Paramètres'!$AA$6,'Ordres de travail'!$R$5:$R$3004,"&lt;"&amp;('Paramètres'!$AA$7+1)))</f>
        <v/>
      </c>
      <c r="U13" s="69">
        <f>IF(OR($A13="",N(H13)=0),"",IF(M13="Non",0,365/H13*I13))</f>
        <v/>
      </c>
    </row>
    <row r="14">
      <c r="A14" s="7" t="inlineStr">
        <is>
          <t>GP-010</t>
        </is>
      </c>
      <c r="B14" s="7" t="inlineStr">
        <is>
          <t>EQ-USI-003</t>
        </is>
      </c>
      <c r="C14" s="9">
        <f>IF(B14="","",IFERROR(INDEX('Équipements'!$B$5:$B$304,MATCH(B14,'Équipements'!$A$5:$A$304,0)),"Code inconnu"))</f>
        <v/>
      </c>
      <c r="D14" s="9">
        <f>IF(B14="","",IFERROR(INDEX('Équipements'!$D$5:$D$304,MATCH(B14,'Équipements'!$A$5:$A$304,0)),""))</f>
        <v/>
      </c>
      <c r="E14" s="7" t="inlineStr">
        <is>
          <t>Contrôle géométrie, jeux et graissage des axes</t>
        </is>
      </c>
      <c r="F14" s="7" t="inlineStr">
        <is>
          <t>Préventif systématique</t>
        </is>
      </c>
      <c r="G14" s="7" t="inlineStr">
        <is>
          <t>Mécanique</t>
        </is>
      </c>
      <c r="H14" s="67" t="n">
        <v>180</v>
      </c>
      <c r="I14" s="76" t="n">
        <v>4</v>
      </c>
      <c r="J14" s="7" t="inlineStr">
        <is>
          <t>Antoine Mercier</t>
        </is>
      </c>
      <c r="K14" s="7" t="n"/>
      <c r="L14" s="65" t="n">
        <v>45616</v>
      </c>
      <c r="M14" s="7" t="inlineStr">
        <is>
          <t>Oui</t>
        </is>
      </c>
      <c r="N14" s="7" t="inlineStr">
        <is>
          <t>Mesure jeux axes ; contrôle bille ballbar ; graissage vis à billes ; serrage protections</t>
        </is>
      </c>
      <c r="O14" s="78">
        <f>IF($A14="","",MAX(N(L14),INT(_xlfn.MAXIFS('Ordres de travail'!$R$5:$R$3004,'Ordres de travail'!$I$5:$I$3004,$A14,'Ordres de travail'!$AC$5:$AC$3004,"Clôturé"))))</f>
        <v/>
      </c>
      <c r="P14" s="78">
        <f>IF(OR($A14="",N(O14)=0),"",O14+H14)</f>
        <v/>
      </c>
      <c r="Q14" s="79">
        <f>IF(P14="","",P14-TODAY())</f>
        <v/>
      </c>
      <c r="R14" s="9">
        <f>IF($A14="","",IF(M14="Non","INACTIF",IF(Q14="","À DÉFINIR",IF(Q14&lt;0,"EN RETARD",IF(Q14&lt;='Paramètres'!$AA$12,"À PLANIFIER","OK")))))</f>
        <v/>
      </c>
      <c r="S14" s="9">
        <f>IF($A14="","",IF(SUM(COUNTIFS('Ordres de travail'!$I$5:$I$3004,$A14,'Ordres de travail'!$AC$5:$AC$3004,{"Demandé","Planifié","En cours","En attente pièces"}))&gt;0,"Oui","Non"))</f>
        <v/>
      </c>
      <c r="T14" s="68">
        <f>IF($A14="","",COUNTIFS('Ordres de travail'!$I$5:$I$3004,$A14,'Ordres de travail'!$AC$5:$AC$3004,"Clôturé",'Ordres de travail'!$R$5:$R$3004,"&gt;="&amp;'Paramètres'!$AA$6,'Ordres de travail'!$R$5:$R$3004,"&lt;"&amp;('Paramètres'!$AA$7+1)))</f>
        <v/>
      </c>
      <c r="U14" s="69">
        <f>IF(OR($A14="",N(H14)=0),"",IF(M14="Non",0,365/H14*I14))</f>
        <v/>
      </c>
    </row>
    <row r="15">
      <c r="A15" s="7" t="inlineStr">
        <is>
          <t>GP-011</t>
        </is>
      </c>
      <c r="B15" s="7" t="inlineStr">
        <is>
          <t>EQ-USI-003</t>
        </is>
      </c>
      <c r="C15" s="9">
        <f>IF(B15="","",IFERROR(INDEX('Équipements'!$B$5:$B$304,MATCH(B15,'Équipements'!$A$5:$A$304,0)),"Code inconnu"))</f>
        <v/>
      </c>
      <c r="D15" s="9">
        <f>IF(B15="","",IFERROR(INDEX('Équipements'!$D$5:$D$304,MATCH(B15,'Équipements'!$A$5:$A$304,0)),""))</f>
        <v/>
      </c>
      <c r="E15" s="7" t="inlineStr">
        <is>
          <t>Vidange groupe hydraulique et remplacement filtres</t>
        </is>
      </c>
      <c r="F15" s="7" t="inlineStr">
        <is>
          <t>Préventif systématique</t>
        </is>
      </c>
      <c r="G15" s="7" t="inlineStr">
        <is>
          <t>Hydraulique</t>
        </is>
      </c>
      <c r="H15" s="67" t="n">
        <v>365</v>
      </c>
      <c r="I15" s="76" t="n">
        <v>3</v>
      </c>
      <c r="J15" s="7" t="inlineStr">
        <is>
          <t>Antoine Mercier</t>
        </is>
      </c>
      <c r="K15" s="7" t="n"/>
      <c r="L15" s="65" t="n">
        <v>45293</v>
      </c>
      <c r="M15" s="7" t="inlineStr">
        <is>
          <t>Oui</t>
        </is>
      </c>
      <c r="N15" s="7" t="inlineStr">
        <is>
          <t>Vidange 208 L ; remplacement filtre retour ; contrôle accumulateur ; essais</t>
        </is>
      </c>
      <c r="O15" s="78">
        <f>IF($A15="","",MAX(N(L15),INT(_xlfn.MAXIFS('Ordres de travail'!$R$5:$R$3004,'Ordres de travail'!$I$5:$I$3004,$A15,'Ordres de travail'!$AC$5:$AC$3004,"Clôturé"))))</f>
        <v/>
      </c>
      <c r="P15" s="78">
        <f>IF(OR($A15="",N(O15)=0),"",O15+H15)</f>
        <v/>
      </c>
      <c r="Q15" s="79">
        <f>IF(P15="","",P15-TODAY())</f>
        <v/>
      </c>
      <c r="R15" s="9">
        <f>IF($A15="","",IF(M15="Non","INACTIF",IF(Q15="","À DÉFINIR",IF(Q15&lt;0,"EN RETARD",IF(Q15&lt;='Paramètres'!$AA$12,"À PLANIFIER","OK")))))</f>
        <v/>
      </c>
      <c r="S15" s="9">
        <f>IF($A15="","",IF(SUM(COUNTIFS('Ordres de travail'!$I$5:$I$3004,$A15,'Ordres de travail'!$AC$5:$AC$3004,{"Demandé","Planifié","En cours","En attente pièces"}))&gt;0,"Oui","Non"))</f>
        <v/>
      </c>
      <c r="T15" s="68">
        <f>IF($A15="","",COUNTIFS('Ordres de travail'!$I$5:$I$3004,$A15,'Ordres de travail'!$AC$5:$AC$3004,"Clôturé",'Ordres de travail'!$R$5:$R$3004,"&gt;="&amp;'Paramètres'!$AA$6,'Ordres de travail'!$R$5:$R$3004,"&lt;"&amp;('Paramètres'!$AA$7+1)))</f>
        <v/>
      </c>
      <c r="U15" s="69">
        <f>IF(OR($A15="",N(H15)=0),"",IF(M15="Non",0,365/H15*I15))</f>
        <v/>
      </c>
    </row>
    <row r="16">
      <c r="A16" s="7" t="inlineStr">
        <is>
          <t>GP-012</t>
        </is>
      </c>
      <c r="B16" s="7" t="inlineStr">
        <is>
          <t>EQ-USI-003</t>
        </is>
      </c>
      <c r="C16" s="9">
        <f>IF(B16="","",IFERROR(INDEX('Équipements'!$B$5:$B$304,MATCH(B16,'Équipements'!$A$5:$A$304,0)),"Code inconnu"))</f>
        <v/>
      </c>
      <c r="D16" s="9">
        <f>IF(B16="","",IFERROR(INDEX('Équipements'!$D$5:$D$304,MATCH(B16,'Équipements'!$A$5:$A$304,0)),""))</f>
        <v/>
      </c>
      <c r="E16" s="7" t="inlineStr">
        <is>
          <t>Contrôle armoire électrique (ventilation, serrages)</t>
        </is>
      </c>
      <c r="F16" s="7" t="inlineStr">
        <is>
          <t>Préventif systématique</t>
        </is>
      </c>
      <c r="G16" s="7" t="inlineStr">
        <is>
          <t>Électrique</t>
        </is>
      </c>
      <c r="H16" s="67" t="n">
        <v>365</v>
      </c>
      <c r="I16" s="76" t="n">
        <v>2</v>
      </c>
      <c r="J16" s="7" t="inlineStr">
        <is>
          <t>Thomas Petit</t>
        </is>
      </c>
      <c r="K16" s="7" t="n"/>
      <c r="L16" s="65" t="n">
        <v>45395</v>
      </c>
      <c r="M16" s="7" t="inlineStr">
        <is>
          <t>Oui</t>
        </is>
      </c>
      <c r="N16" s="7" t="inlineStr">
        <is>
          <t>Dépoussiérage ; contrôle ventilateurs ; resserrage borniers ; contrôle AU</t>
        </is>
      </c>
      <c r="O16" s="78">
        <f>IF($A16="","",MAX(N(L16),INT(_xlfn.MAXIFS('Ordres de travail'!$R$5:$R$3004,'Ordres de travail'!$I$5:$I$3004,$A16,'Ordres de travail'!$AC$5:$AC$3004,"Clôturé"))))</f>
        <v/>
      </c>
      <c r="P16" s="78">
        <f>IF(OR($A16="",N(O16)=0),"",O16+H16)</f>
        <v/>
      </c>
      <c r="Q16" s="79">
        <f>IF(P16="","",P16-TODAY())</f>
        <v/>
      </c>
      <c r="R16" s="9">
        <f>IF($A16="","",IF(M16="Non","INACTIF",IF(Q16="","À DÉFINIR",IF(Q16&lt;0,"EN RETARD",IF(Q16&lt;='Paramètres'!$AA$12,"À PLANIFIER","OK")))))</f>
        <v/>
      </c>
      <c r="S16" s="9">
        <f>IF($A16="","",IF(SUM(COUNTIFS('Ordres de travail'!$I$5:$I$3004,$A16,'Ordres de travail'!$AC$5:$AC$3004,{"Demandé","Planifié","En cours","En attente pièces"}))&gt;0,"Oui","Non"))</f>
        <v/>
      </c>
      <c r="T16" s="68">
        <f>IF($A16="","",COUNTIFS('Ordres de travail'!$I$5:$I$3004,$A16,'Ordres de travail'!$AC$5:$AC$3004,"Clôturé",'Ordres de travail'!$R$5:$R$3004,"&gt;="&amp;'Paramètres'!$AA$6,'Ordres de travail'!$R$5:$R$3004,"&lt;"&amp;('Paramètres'!$AA$7+1)))</f>
        <v/>
      </c>
      <c r="U16" s="69">
        <f>IF(OR($A16="",N(H16)=0),"",IF(M16="Non",0,365/H16*I16))</f>
        <v/>
      </c>
    </row>
    <row r="17">
      <c r="A17" s="7" t="inlineStr">
        <is>
          <t>GP-013</t>
        </is>
      </c>
      <c r="B17" s="7" t="inlineStr">
        <is>
          <t>EQ-USI-004</t>
        </is>
      </c>
      <c r="C17" s="9">
        <f>IF(B17="","",IFERROR(INDEX('Équipements'!$B$5:$B$304,MATCH(B17,'Équipements'!$A$5:$A$304,0)),"Code inconnu"))</f>
        <v/>
      </c>
      <c r="D17" s="9">
        <f>IF(B17="","",IFERROR(INDEX('Équipements'!$D$5:$D$304,MATCH(B17,'Équipements'!$A$5:$A$304,0)),""))</f>
        <v/>
      </c>
      <c r="E17" s="7" t="inlineStr">
        <is>
          <t>Contrôle niveaux, nettoyage filtres et bac à copeaux</t>
        </is>
      </c>
      <c r="F17" s="7" t="inlineStr">
        <is>
          <t>Préventif systématique</t>
        </is>
      </c>
      <c r="G17" s="7" t="inlineStr">
        <is>
          <t>Mécanique</t>
        </is>
      </c>
      <c r="H17" s="67" t="n">
        <v>30</v>
      </c>
      <c r="I17" s="76" t="n">
        <v>1</v>
      </c>
      <c r="J17" s="7" t="inlineStr">
        <is>
          <t>Lucas Fontaine</t>
        </is>
      </c>
      <c r="K17" s="7" t="n"/>
      <c r="L17" s="65" t="n">
        <v>45641</v>
      </c>
      <c r="M17" s="7" t="inlineStr">
        <is>
          <t>Oui</t>
        </is>
      </c>
      <c r="N17" s="7" t="inlineStr">
        <is>
          <t>Niveaux huile/lubrifiant ; filtre liquide de coupe ; vidange bac copeaux ; contrôle fuites</t>
        </is>
      </c>
      <c r="O17" s="78">
        <f>IF($A17="","",MAX(N(L17),INT(_xlfn.MAXIFS('Ordres de travail'!$R$5:$R$3004,'Ordres de travail'!$I$5:$I$3004,$A17,'Ordres de travail'!$AC$5:$AC$3004,"Clôturé"))))</f>
        <v/>
      </c>
      <c r="P17" s="78">
        <f>IF(OR($A17="",N(O17)=0),"",O17+H17)</f>
        <v/>
      </c>
      <c r="Q17" s="79">
        <f>IF(P17="","",P17-TODAY())</f>
        <v/>
      </c>
      <c r="R17" s="9">
        <f>IF($A17="","",IF(M17="Non","INACTIF",IF(Q17="","À DÉFINIR",IF(Q17&lt;0,"EN RETARD",IF(Q17&lt;='Paramètres'!$AA$12,"À PLANIFIER","OK")))))</f>
        <v/>
      </c>
      <c r="S17" s="9">
        <f>IF($A17="","",IF(SUM(COUNTIFS('Ordres de travail'!$I$5:$I$3004,$A17,'Ordres de travail'!$AC$5:$AC$3004,{"Demandé","Planifié","En cours","En attente pièces"}))&gt;0,"Oui","Non"))</f>
        <v/>
      </c>
      <c r="T17" s="68">
        <f>IF($A17="","",COUNTIFS('Ordres de travail'!$I$5:$I$3004,$A17,'Ordres de travail'!$AC$5:$AC$3004,"Clôturé",'Ordres de travail'!$R$5:$R$3004,"&gt;="&amp;'Paramètres'!$AA$6,'Ordres de travail'!$R$5:$R$3004,"&lt;"&amp;('Paramètres'!$AA$7+1)))</f>
        <v/>
      </c>
      <c r="U17" s="69">
        <f>IF(OR($A17="",N(H17)=0),"",IF(M17="Non",0,365/H17*I17))</f>
        <v/>
      </c>
    </row>
    <row r="18">
      <c r="A18" s="7" t="inlineStr">
        <is>
          <t>GP-014</t>
        </is>
      </c>
      <c r="B18" s="7" t="inlineStr">
        <is>
          <t>EQ-USI-004</t>
        </is>
      </c>
      <c r="C18" s="9">
        <f>IF(B18="","",IFERROR(INDEX('Équipements'!$B$5:$B$304,MATCH(B18,'Équipements'!$A$5:$A$304,0)),"Code inconnu"))</f>
        <v/>
      </c>
      <c r="D18" s="9">
        <f>IF(B18="","",IFERROR(INDEX('Équipements'!$D$5:$D$304,MATCH(B18,'Équipements'!$A$5:$A$304,0)),""))</f>
        <v/>
      </c>
      <c r="E18" s="7" t="inlineStr">
        <is>
          <t>Contrôle géométrie, jeux et graissage des axes</t>
        </is>
      </c>
      <c r="F18" s="7" t="inlineStr">
        <is>
          <t>Préventif systématique</t>
        </is>
      </c>
      <c r="G18" s="7" t="inlineStr">
        <is>
          <t>Mécanique</t>
        </is>
      </c>
      <c r="H18" s="67" t="n">
        <v>180</v>
      </c>
      <c r="I18" s="76" t="n">
        <v>4</v>
      </c>
      <c r="J18" s="7" t="inlineStr">
        <is>
          <t>Karim Benali</t>
        </is>
      </c>
      <c r="K18" s="7" t="n"/>
      <c r="L18" s="65" t="n">
        <v>45523</v>
      </c>
      <c r="M18" s="7" t="inlineStr">
        <is>
          <t>Oui</t>
        </is>
      </c>
      <c r="N18" s="7" t="inlineStr">
        <is>
          <t>Mesure jeux axes ; contrôle bille ballbar ; graissage vis à billes ; serrage protections</t>
        </is>
      </c>
      <c r="O18" s="78">
        <f>IF($A18="","",MAX(N(L18),INT(_xlfn.MAXIFS('Ordres de travail'!$R$5:$R$3004,'Ordres de travail'!$I$5:$I$3004,$A18,'Ordres de travail'!$AC$5:$AC$3004,"Clôturé"))))</f>
        <v/>
      </c>
      <c r="P18" s="78">
        <f>IF(OR($A18="",N(O18)=0),"",O18+H18)</f>
        <v/>
      </c>
      <c r="Q18" s="79">
        <f>IF(P18="","",P18-TODAY())</f>
        <v/>
      </c>
      <c r="R18" s="9">
        <f>IF($A18="","",IF(M18="Non","INACTIF",IF(Q18="","À DÉFINIR",IF(Q18&lt;0,"EN RETARD",IF(Q18&lt;='Paramètres'!$AA$12,"À PLANIFIER","OK")))))</f>
        <v/>
      </c>
      <c r="S18" s="9">
        <f>IF($A18="","",IF(SUM(COUNTIFS('Ordres de travail'!$I$5:$I$3004,$A18,'Ordres de travail'!$AC$5:$AC$3004,{"Demandé","Planifié","En cours","En attente pièces"}))&gt;0,"Oui","Non"))</f>
        <v/>
      </c>
      <c r="T18" s="68">
        <f>IF($A18="","",COUNTIFS('Ordres de travail'!$I$5:$I$3004,$A18,'Ordres de travail'!$AC$5:$AC$3004,"Clôturé",'Ordres de travail'!$R$5:$R$3004,"&gt;="&amp;'Paramètres'!$AA$6,'Ordres de travail'!$R$5:$R$3004,"&lt;"&amp;('Paramètres'!$AA$7+1)))</f>
        <v/>
      </c>
      <c r="U18" s="69">
        <f>IF(OR($A18="",N(H18)=0),"",IF(M18="Non",0,365/H18*I18))</f>
        <v/>
      </c>
    </row>
    <row r="19">
      <c r="A19" s="7" t="inlineStr">
        <is>
          <t>GP-015</t>
        </is>
      </c>
      <c r="B19" s="7" t="inlineStr">
        <is>
          <t>EQ-USI-004</t>
        </is>
      </c>
      <c r="C19" s="9">
        <f>IF(B19="","",IFERROR(INDEX('Équipements'!$B$5:$B$304,MATCH(B19,'Équipements'!$A$5:$A$304,0)),"Code inconnu"))</f>
        <v/>
      </c>
      <c r="D19" s="9">
        <f>IF(B19="","",IFERROR(INDEX('Équipements'!$D$5:$D$304,MATCH(B19,'Équipements'!$A$5:$A$304,0)),""))</f>
        <v/>
      </c>
      <c r="E19" s="7" t="inlineStr">
        <is>
          <t>Vidange groupe hydraulique et remplacement filtres</t>
        </is>
      </c>
      <c r="F19" s="7" t="inlineStr">
        <is>
          <t>Préventif systématique</t>
        </is>
      </c>
      <c r="G19" s="7" t="inlineStr">
        <is>
          <t>Hydraulique</t>
        </is>
      </c>
      <c r="H19" s="67" t="n">
        <v>365</v>
      </c>
      <c r="I19" s="76" t="n">
        <v>3</v>
      </c>
      <c r="J19" s="7" t="inlineStr">
        <is>
          <t>Karim Benali</t>
        </is>
      </c>
      <c r="K19" s="7" t="n"/>
      <c r="L19" s="65" t="n">
        <v>45378</v>
      </c>
      <c r="M19" s="7" t="inlineStr">
        <is>
          <t>Oui</t>
        </is>
      </c>
      <c r="N19" s="7" t="inlineStr">
        <is>
          <t>Vidange 208 L ; remplacement filtre retour ; contrôle accumulateur ; essais</t>
        </is>
      </c>
      <c r="O19" s="78">
        <f>IF($A19="","",MAX(N(L19),INT(_xlfn.MAXIFS('Ordres de travail'!$R$5:$R$3004,'Ordres de travail'!$I$5:$I$3004,$A19,'Ordres de travail'!$AC$5:$AC$3004,"Clôturé"))))</f>
        <v/>
      </c>
      <c r="P19" s="78">
        <f>IF(OR($A19="",N(O19)=0),"",O19+H19)</f>
        <v/>
      </c>
      <c r="Q19" s="79">
        <f>IF(P19="","",P19-TODAY())</f>
        <v/>
      </c>
      <c r="R19" s="9">
        <f>IF($A19="","",IF(M19="Non","INACTIF",IF(Q19="","À DÉFINIR",IF(Q19&lt;0,"EN RETARD",IF(Q19&lt;='Paramètres'!$AA$12,"À PLANIFIER","OK")))))</f>
        <v/>
      </c>
      <c r="S19" s="9">
        <f>IF($A19="","",IF(SUM(COUNTIFS('Ordres de travail'!$I$5:$I$3004,$A19,'Ordres de travail'!$AC$5:$AC$3004,{"Demandé","Planifié","En cours","En attente pièces"}))&gt;0,"Oui","Non"))</f>
        <v/>
      </c>
      <c r="T19" s="68">
        <f>IF($A19="","",COUNTIFS('Ordres de travail'!$I$5:$I$3004,$A19,'Ordres de travail'!$AC$5:$AC$3004,"Clôturé",'Ordres de travail'!$R$5:$R$3004,"&gt;="&amp;'Paramètres'!$AA$6,'Ordres de travail'!$R$5:$R$3004,"&lt;"&amp;('Paramètres'!$AA$7+1)))</f>
        <v/>
      </c>
      <c r="U19" s="69">
        <f>IF(OR($A19="",N(H19)=0),"",IF(M19="Non",0,365/H19*I19))</f>
        <v/>
      </c>
    </row>
    <row r="20">
      <c r="A20" s="7" t="inlineStr">
        <is>
          <t>GP-016</t>
        </is>
      </c>
      <c r="B20" s="7" t="inlineStr">
        <is>
          <t>EQ-USI-004</t>
        </is>
      </c>
      <c r="C20" s="9">
        <f>IF(B20="","",IFERROR(INDEX('Équipements'!$B$5:$B$304,MATCH(B20,'Équipements'!$A$5:$A$304,0)),"Code inconnu"))</f>
        <v/>
      </c>
      <c r="D20" s="9">
        <f>IF(B20="","",IFERROR(INDEX('Équipements'!$D$5:$D$304,MATCH(B20,'Équipements'!$A$5:$A$304,0)),""))</f>
        <v/>
      </c>
      <c r="E20" s="7" t="inlineStr">
        <is>
          <t>Contrôle armoire électrique (ventilation, serrages)</t>
        </is>
      </c>
      <c r="F20" s="7" t="inlineStr">
        <is>
          <t>Préventif systématique</t>
        </is>
      </c>
      <c r="G20" s="7" t="inlineStr">
        <is>
          <t>Électrique</t>
        </is>
      </c>
      <c r="H20" s="67" t="n">
        <v>365</v>
      </c>
      <c r="I20" s="76" t="n">
        <v>2</v>
      </c>
      <c r="J20" s="7" t="inlineStr">
        <is>
          <t>Antoine Mercier</t>
        </is>
      </c>
      <c r="K20" s="7" t="n"/>
      <c r="L20" s="65" t="n">
        <v>45591</v>
      </c>
      <c r="M20" s="7" t="inlineStr">
        <is>
          <t>Oui</t>
        </is>
      </c>
      <c r="N20" s="7" t="inlineStr">
        <is>
          <t>Dépoussiérage ; contrôle ventilateurs ; resserrage borniers ; contrôle AU</t>
        </is>
      </c>
      <c r="O20" s="78">
        <f>IF($A20="","",MAX(N(L20),INT(_xlfn.MAXIFS('Ordres de travail'!$R$5:$R$3004,'Ordres de travail'!$I$5:$I$3004,$A20,'Ordres de travail'!$AC$5:$AC$3004,"Clôturé"))))</f>
        <v/>
      </c>
      <c r="P20" s="78">
        <f>IF(OR($A20="",N(O20)=0),"",O20+H20)</f>
        <v/>
      </c>
      <c r="Q20" s="79">
        <f>IF(P20="","",P20-TODAY())</f>
        <v/>
      </c>
      <c r="R20" s="9">
        <f>IF($A20="","",IF(M20="Non","INACTIF",IF(Q20="","À DÉFINIR",IF(Q20&lt;0,"EN RETARD",IF(Q20&lt;='Paramètres'!$AA$12,"À PLANIFIER","OK")))))</f>
        <v/>
      </c>
      <c r="S20" s="9">
        <f>IF($A20="","",IF(SUM(COUNTIFS('Ordres de travail'!$I$5:$I$3004,$A20,'Ordres de travail'!$AC$5:$AC$3004,{"Demandé","Planifié","En cours","En attente pièces"}))&gt;0,"Oui","Non"))</f>
        <v/>
      </c>
      <c r="T20" s="68">
        <f>IF($A20="","",COUNTIFS('Ordres de travail'!$I$5:$I$3004,$A20,'Ordres de travail'!$AC$5:$AC$3004,"Clôturé",'Ordres de travail'!$R$5:$R$3004,"&gt;="&amp;'Paramètres'!$AA$6,'Ordres de travail'!$R$5:$R$3004,"&lt;"&amp;('Paramètres'!$AA$7+1)))</f>
        <v/>
      </c>
      <c r="U20" s="69">
        <f>IF(OR($A20="",N(H20)=0),"",IF(M20="Non",0,365/H20*I20))</f>
        <v/>
      </c>
    </row>
    <row r="21">
      <c r="A21" s="7" t="inlineStr">
        <is>
          <t>GP-017</t>
        </is>
      </c>
      <c r="B21" s="7" t="inlineStr">
        <is>
          <t>EQ-USI-005</t>
        </is>
      </c>
      <c r="C21" s="9">
        <f>IF(B21="","",IFERROR(INDEX('Équipements'!$B$5:$B$304,MATCH(B21,'Équipements'!$A$5:$A$304,0)),"Code inconnu"))</f>
        <v/>
      </c>
      <c r="D21" s="9">
        <f>IF(B21="","",IFERROR(INDEX('Équipements'!$D$5:$D$304,MATCH(B21,'Équipements'!$A$5:$A$304,0)),""))</f>
        <v/>
      </c>
      <c r="E21" s="7" t="inlineStr">
        <is>
          <t>Contrôle niveaux, nettoyage filtres et bac à copeaux</t>
        </is>
      </c>
      <c r="F21" s="7" t="inlineStr">
        <is>
          <t>Préventif systématique</t>
        </is>
      </c>
      <c r="G21" s="7" t="inlineStr">
        <is>
          <t>Mécanique</t>
        </is>
      </c>
      <c r="H21" s="67" t="n">
        <v>30</v>
      </c>
      <c r="I21" s="76" t="n">
        <v>1</v>
      </c>
      <c r="J21" s="7" t="inlineStr">
        <is>
          <t>Karim Benali</t>
        </is>
      </c>
      <c r="K21" s="7" t="n"/>
      <c r="L21" s="65" t="n">
        <v>45648</v>
      </c>
      <c r="M21" s="7" t="inlineStr">
        <is>
          <t>Oui</t>
        </is>
      </c>
      <c r="N21" s="7" t="inlineStr">
        <is>
          <t>Niveaux huile/lubrifiant ; filtre liquide de coupe ; vidange bac copeaux ; contrôle fuites</t>
        </is>
      </c>
      <c r="O21" s="78">
        <f>IF($A21="","",MAX(N(L21),INT(_xlfn.MAXIFS('Ordres de travail'!$R$5:$R$3004,'Ordres de travail'!$I$5:$I$3004,$A21,'Ordres de travail'!$AC$5:$AC$3004,"Clôturé"))))</f>
        <v/>
      </c>
      <c r="P21" s="78">
        <f>IF(OR($A21="",N(O21)=0),"",O21+H21)</f>
        <v/>
      </c>
      <c r="Q21" s="79">
        <f>IF(P21="","",P21-TODAY())</f>
        <v/>
      </c>
      <c r="R21" s="9">
        <f>IF($A21="","",IF(M21="Non","INACTIF",IF(Q21="","À DÉFINIR",IF(Q21&lt;0,"EN RETARD",IF(Q21&lt;='Paramètres'!$AA$12,"À PLANIFIER","OK")))))</f>
        <v/>
      </c>
      <c r="S21" s="9">
        <f>IF($A21="","",IF(SUM(COUNTIFS('Ordres de travail'!$I$5:$I$3004,$A21,'Ordres de travail'!$AC$5:$AC$3004,{"Demandé","Planifié","En cours","En attente pièces"}))&gt;0,"Oui","Non"))</f>
        <v/>
      </c>
      <c r="T21" s="68">
        <f>IF($A21="","",COUNTIFS('Ordres de travail'!$I$5:$I$3004,$A21,'Ordres de travail'!$AC$5:$AC$3004,"Clôturé",'Ordres de travail'!$R$5:$R$3004,"&gt;="&amp;'Paramètres'!$AA$6,'Ordres de travail'!$R$5:$R$3004,"&lt;"&amp;('Paramètres'!$AA$7+1)))</f>
        <v/>
      </c>
      <c r="U21" s="69">
        <f>IF(OR($A21="",N(H21)=0),"",IF(M21="Non",0,365/H21*I21))</f>
        <v/>
      </c>
    </row>
    <row r="22">
      <c r="A22" s="7" t="inlineStr">
        <is>
          <t>GP-018</t>
        </is>
      </c>
      <c r="B22" s="7" t="inlineStr">
        <is>
          <t>EQ-USI-005</t>
        </is>
      </c>
      <c r="C22" s="9">
        <f>IF(B22="","",IFERROR(INDEX('Équipements'!$B$5:$B$304,MATCH(B22,'Équipements'!$A$5:$A$304,0)),"Code inconnu"))</f>
        <v/>
      </c>
      <c r="D22" s="9">
        <f>IF(B22="","",IFERROR(INDEX('Équipements'!$D$5:$D$304,MATCH(B22,'Équipements'!$A$5:$A$304,0)),""))</f>
        <v/>
      </c>
      <c r="E22" s="7" t="inlineStr">
        <is>
          <t>Contrôle géométrie, jeux et graissage des axes</t>
        </is>
      </c>
      <c r="F22" s="7" t="inlineStr">
        <is>
          <t>Préventif systématique</t>
        </is>
      </c>
      <c r="G22" s="7" t="inlineStr">
        <is>
          <t>Mécanique</t>
        </is>
      </c>
      <c r="H22" s="67" t="n">
        <v>180</v>
      </c>
      <c r="I22" s="76" t="n">
        <v>4</v>
      </c>
      <c r="J22" s="7" t="inlineStr">
        <is>
          <t>Antoine Mercier</t>
        </is>
      </c>
      <c r="K22" s="7" t="n"/>
      <c r="L22" s="65" t="n">
        <v>45545</v>
      </c>
      <c r="M22" s="7" t="inlineStr">
        <is>
          <t>Oui</t>
        </is>
      </c>
      <c r="N22" s="7" t="inlineStr">
        <is>
          <t>Mesure jeux axes ; contrôle bille ballbar ; graissage vis à billes ; serrage protections</t>
        </is>
      </c>
      <c r="O22" s="78">
        <f>IF($A22="","",MAX(N(L22),INT(_xlfn.MAXIFS('Ordres de travail'!$R$5:$R$3004,'Ordres de travail'!$I$5:$I$3004,$A22,'Ordres de travail'!$AC$5:$AC$3004,"Clôturé"))))</f>
        <v/>
      </c>
      <c r="P22" s="78">
        <f>IF(OR($A22="",N(O22)=0),"",O22+H22)</f>
        <v/>
      </c>
      <c r="Q22" s="79">
        <f>IF(P22="","",P22-TODAY())</f>
        <v/>
      </c>
      <c r="R22" s="9">
        <f>IF($A22="","",IF(M22="Non","INACTIF",IF(Q22="","À DÉFINIR",IF(Q22&lt;0,"EN RETARD",IF(Q22&lt;='Paramètres'!$AA$12,"À PLANIFIER","OK")))))</f>
        <v/>
      </c>
      <c r="S22" s="9">
        <f>IF($A22="","",IF(SUM(COUNTIFS('Ordres de travail'!$I$5:$I$3004,$A22,'Ordres de travail'!$AC$5:$AC$3004,{"Demandé","Planifié","En cours","En attente pièces"}))&gt;0,"Oui","Non"))</f>
        <v/>
      </c>
      <c r="T22" s="68">
        <f>IF($A22="","",COUNTIFS('Ordres de travail'!$I$5:$I$3004,$A22,'Ordres de travail'!$AC$5:$AC$3004,"Clôturé",'Ordres de travail'!$R$5:$R$3004,"&gt;="&amp;'Paramètres'!$AA$6,'Ordres de travail'!$R$5:$R$3004,"&lt;"&amp;('Paramètres'!$AA$7+1)))</f>
        <v/>
      </c>
      <c r="U22" s="69">
        <f>IF(OR($A22="",N(H22)=0),"",IF(M22="Non",0,365/H22*I22))</f>
        <v/>
      </c>
    </row>
    <row r="23">
      <c r="A23" s="7" t="inlineStr">
        <is>
          <t>GP-019</t>
        </is>
      </c>
      <c r="B23" s="7" t="inlineStr">
        <is>
          <t>EQ-USI-005</t>
        </is>
      </c>
      <c r="C23" s="9">
        <f>IF(B23="","",IFERROR(INDEX('Équipements'!$B$5:$B$304,MATCH(B23,'Équipements'!$A$5:$A$304,0)),"Code inconnu"))</f>
        <v/>
      </c>
      <c r="D23" s="9">
        <f>IF(B23="","",IFERROR(INDEX('Équipements'!$D$5:$D$304,MATCH(B23,'Équipements'!$A$5:$A$304,0)),""))</f>
        <v/>
      </c>
      <c r="E23" s="7" t="inlineStr">
        <is>
          <t>Vidange groupe hydraulique et remplacement filtres</t>
        </is>
      </c>
      <c r="F23" s="7" t="inlineStr">
        <is>
          <t>Préventif systématique</t>
        </is>
      </c>
      <c r="G23" s="7" t="inlineStr">
        <is>
          <t>Hydraulique</t>
        </is>
      </c>
      <c r="H23" s="67" t="n">
        <v>365</v>
      </c>
      <c r="I23" s="76" t="n">
        <v>3</v>
      </c>
      <c r="J23" s="7" t="inlineStr">
        <is>
          <t>Antoine Mercier</t>
        </is>
      </c>
      <c r="K23" s="7" t="n"/>
      <c r="L23" s="65" t="n">
        <v>45303</v>
      </c>
      <c r="M23" s="7" t="inlineStr">
        <is>
          <t>Oui</t>
        </is>
      </c>
      <c r="N23" s="7" t="inlineStr">
        <is>
          <t>Vidange 208 L ; remplacement filtre retour ; contrôle accumulateur ; essais</t>
        </is>
      </c>
      <c r="O23" s="78">
        <f>IF($A23="","",MAX(N(L23),INT(_xlfn.MAXIFS('Ordres de travail'!$R$5:$R$3004,'Ordres de travail'!$I$5:$I$3004,$A23,'Ordres de travail'!$AC$5:$AC$3004,"Clôturé"))))</f>
        <v/>
      </c>
      <c r="P23" s="78">
        <f>IF(OR($A23="",N(O23)=0),"",O23+H23)</f>
        <v/>
      </c>
      <c r="Q23" s="79">
        <f>IF(P23="","",P23-TODAY())</f>
        <v/>
      </c>
      <c r="R23" s="9">
        <f>IF($A23="","",IF(M23="Non","INACTIF",IF(Q23="","À DÉFINIR",IF(Q23&lt;0,"EN RETARD",IF(Q23&lt;='Paramètres'!$AA$12,"À PLANIFIER","OK")))))</f>
        <v/>
      </c>
      <c r="S23" s="9">
        <f>IF($A23="","",IF(SUM(COUNTIFS('Ordres de travail'!$I$5:$I$3004,$A23,'Ordres de travail'!$AC$5:$AC$3004,{"Demandé","Planifié","En cours","En attente pièces"}))&gt;0,"Oui","Non"))</f>
        <v/>
      </c>
      <c r="T23" s="68">
        <f>IF($A23="","",COUNTIFS('Ordres de travail'!$I$5:$I$3004,$A23,'Ordres de travail'!$AC$5:$AC$3004,"Clôturé",'Ordres de travail'!$R$5:$R$3004,"&gt;="&amp;'Paramètres'!$AA$6,'Ordres de travail'!$R$5:$R$3004,"&lt;"&amp;('Paramètres'!$AA$7+1)))</f>
        <v/>
      </c>
      <c r="U23" s="69">
        <f>IF(OR($A23="",N(H23)=0),"",IF(M23="Non",0,365/H23*I23))</f>
        <v/>
      </c>
    </row>
    <row r="24">
      <c r="A24" s="7" t="inlineStr">
        <is>
          <t>GP-020</t>
        </is>
      </c>
      <c r="B24" s="7" t="inlineStr">
        <is>
          <t>EQ-USI-005</t>
        </is>
      </c>
      <c r="C24" s="9">
        <f>IF(B24="","",IFERROR(INDEX('Équipements'!$B$5:$B$304,MATCH(B24,'Équipements'!$A$5:$A$304,0)),"Code inconnu"))</f>
        <v/>
      </c>
      <c r="D24" s="9">
        <f>IF(B24="","",IFERROR(INDEX('Équipements'!$D$5:$D$304,MATCH(B24,'Équipements'!$A$5:$A$304,0)),""))</f>
        <v/>
      </c>
      <c r="E24" s="7" t="inlineStr">
        <is>
          <t>Contrôle armoire électrique (ventilation, serrages)</t>
        </is>
      </c>
      <c r="F24" s="7" t="inlineStr">
        <is>
          <t>Préventif systématique</t>
        </is>
      </c>
      <c r="G24" s="7" t="inlineStr">
        <is>
          <t>Électrique</t>
        </is>
      </c>
      <c r="H24" s="67" t="n">
        <v>365</v>
      </c>
      <c r="I24" s="76" t="n">
        <v>2</v>
      </c>
      <c r="J24" s="7" t="inlineStr">
        <is>
          <t>Antoine Mercier</t>
        </is>
      </c>
      <c r="K24" s="7" t="n"/>
      <c r="L24" s="65" t="n">
        <v>45459</v>
      </c>
      <c r="M24" s="7" t="inlineStr">
        <is>
          <t>Oui</t>
        </is>
      </c>
      <c r="N24" s="7" t="inlineStr">
        <is>
          <t>Dépoussiérage ; contrôle ventilateurs ; resserrage borniers ; contrôle AU</t>
        </is>
      </c>
      <c r="O24" s="78">
        <f>IF($A24="","",MAX(N(L24),INT(_xlfn.MAXIFS('Ordres de travail'!$R$5:$R$3004,'Ordres de travail'!$I$5:$I$3004,$A24,'Ordres de travail'!$AC$5:$AC$3004,"Clôturé"))))</f>
        <v/>
      </c>
      <c r="P24" s="78">
        <f>IF(OR($A24="",N(O24)=0),"",O24+H24)</f>
        <v/>
      </c>
      <c r="Q24" s="79">
        <f>IF(P24="","",P24-TODAY())</f>
        <v/>
      </c>
      <c r="R24" s="9">
        <f>IF($A24="","",IF(M24="Non","INACTIF",IF(Q24="","À DÉFINIR",IF(Q24&lt;0,"EN RETARD",IF(Q24&lt;='Paramètres'!$AA$12,"À PLANIFIER","OK")))))</f>
        <v/>
      </c>
      <c r="S24" s="9">
        <f>IF($A24="","",IF(SUM(COUNTIFS('Ordres de travail'!$I$5:$I$3004,$A24,'Ordres de travail'!$AC$5:$AC$3004,{"Demandé","Planifié","En cours","En attente pièces"}))&gt;0,"Oui","Non"))</f>
        <v/>
      </c>
      <c r="T24" s="68">
        <f>IF($A24="","",COUNTIFS('Ordres de travail'!$I$5:$I$3004,$A24,'Ordres de travail'!$AC$5:$AC$3004,"Clôturé",'Ordres de travail'!$R$5:$R$3004,"&gt;="&amp;'Paramètres'!$AA$6,'Ordres de travail'!$R$5:$R$3004,"&lt;"&amp;('Paramètres'!$AA$7+1)))</f>
        <v/>
      </c>
      <c r="U24" s="69">
        <f>IF(OR($A24="",N(H24)=0),"",IF(M24="Non",0,365/H24*I24))</f>
        <v/>
      </c>
    </row>
    <row r="25">
      <c r="A25" s="7" t="inlineStr">
        <is>
          <t>GP-021</t>
        </is>
      </c>
      <c r="B25" s="7" t="inlineStr">
        <is>
          <t>EQ-USI-006</t>
        </is>
      </c>
      <c r="C25" s="9">
        <f>IF(B25="","",IFERROR(INDEX('Équipements'!$B$5:$B$304,MATCH(B25,'Équipements'!$A$5:$A$304,0)),"Code inconnu"))</f>
        <v/>
      </c>
      <c r="D25" s="9">
        <f>IF(B25="","",IFERROR(INDEX('Équipements'!$D$5:$D$304,MATCH(B25,'Équipements'!$A$5:$A$304,0)),""))</f>
        <v/>
      </c>
      <c r="E25" s="7" t="inlineStr">
        <is>
          <t>Contrôle niveaux, nettoyage filtres et bac à copeaux</t>
        </is>
      </c>
      <c r="F25" s="7" t="inlineStr">
        <is>
          <t>Préventif systématique</t>
        </is>
      </c>
      <c r="G25" s="7" t="inlineStr">
        <is>
          <t>Mécanique</t>
        </is>
      </c>
      <c r="H25" s="67" t="n">
        <v>60</v>
      </c>
      <c r="I25" s="76" t="n">
        <v>1</v>
      </c>
      <c r="J25" s="7" t="inlineStr">
        <is>
          <t>Lucas Fontaine</t>
        </is>
      </c>
      <c r="K25" s="7" t="n"/>
      <c r="L25" s="65" t="n">
        <v>45648</v>
      </c>
      <c r="M25" s="7" t="inlineStr">
        <is>
          <t>Oui</t>
        </is>
      </c>
      <c r="N25" s="7" t="inlineStr">
        <is>
          <t>Niveaux huile/lubrifiant ; filtre liquide de coupe ; vidange bac copeaux ; contrôle fuites</t>
        </is>
      </c>
      <c r="O25" s="78">
        <f>IF($A25="","",MAX(N(L25),INT(_xlfn.MAXIFS('Ordres de travail'!$R$5:$R$3004,'Ordres de travail'!$I$5:$I$3004,$A25,'Ordres de travail'!$AC$5:$AC$3004,"Clôturé"))))</f>
        <v/>
      </c>
      <c r="P25" s="78">
        <f>IF(OR($A25="",N(O25)=0),"",O25+H25)</f>
        <v/>
      </c>
      <c r="Q25" s="79">
        <f>IF(P25="","",P25-TODAY())</f>
        <v/>
      </c>
      <c r="R25" s="9">
        <f>IF($A25="","",IF(M25="Non","INACTIF",IF(Q25="","À DÉFINIR",IF(Q25&lt;0,"EN RETARD",IF(Q25&lt;='Paramètres'!$AA$12,"À PLANIFIER","OK")))))</f>
        <v/>
      </c>
      <c r="S25" s="9">
        <f>IF($A25="","",IF(SUM(COUNTIFS('Ordres de travail'!$I$5:$I$3004,$A25,'Ordres de travail'!$AC$5:$AC$3004,{"Demandé","Planifié","En cours","En attente pièces"}))&gt;0,"Oui","Non"))</f>
        <v/>
      </c>
      <c r="T25" s="68">
        <f>IF($A25="","",COUNTIFS('Ordres de travail'!$I$5:$I$3004,$A25,'Ordres de travail'!$AC$5:$AC$3004,"Clôturé",'Ordres de travail'!$R$5:$R$3004,"&gt;="&amp;'Paramètres'!$AA$6,'Ordres de travail'!$R$5:$R$3004,"&lt;"&amp;('Paramètres'!$AA$7+1)))</f>
        <v/>
      </c>
      <c r="U25" s="69">
        <f>IF(OR($A25="",N(H25)=0),"",IF(M25="Non",0,365/H25*I25))</f>
        <v/>
      </c>
    </row>
    <row r="26">
      <c r="A26" s="7" t="inlineStr">
        <is>
          <t>GP-022</t>
        </is>
      </c>
      <c r="B26" s="7" t="inlineStr">
        <is>
          <t>EQ-USI-006</t>
        </is>
      </c>
      <c r="C26" s="9">
        <f>IF(B26="","",IFERROR(INDEX('Équipements'!$B$5:$B$304,MATCH(B26,'Équipements'!$A$5:$A$304,0)),"Code inconnu"))</f>
        <v/>
      </c>
      <c r="D26" s="9">
        <f>IF(B26="","",IFERROR(INDEX('Équipements'!$D$5:$D$304,MATCH(B26,'Équipements'!$A$5:$A$304,0)),""))</f>
        <v/>
      </c>
      <c r="E26" s="7" t="inlineStr">
        <is>
          <t>Contrôle géométrie, jeux et graissage des axes</t>
        </is>
      </c>
      <c r="F26" s="7" t="inlineStr">
        <is>
          <t>Préventif systématique</t>
        </is>
      </c>
      <c r="G26" s="7" t="inlineStr">
        <is>
          <t>Mécanique</t>
        </is>
      </c>
      <c r="H26" s="67" t="n">
        <v>180</v>
      </c>
      <c r="I26" s="76" t="n">
        <v>4</v>
      </c>
      <c r="J26" s="7" t="inlineStr">
        <is>
          <t>Antoine Mercier</t>
        </is>
      </c>
      <c r="K26" s="7" t="n"/>
      <c r="L26" s="65" t="n">
        <v>45545</v>
      </c>
      <c r="M26" s="7" t="inlineStr">
        <is>
          <t>Oui</t>
        </is>
      </c>
      <c r="N26" s="7" t="inlineStr">
        <is>
          <t>Mesure jeux axes ; contrôle bille ballbar ; graissage vis à billes ; serrage protections</t>
        </is>
      </c>
      <c r="O26" s="78">
        <f>IF($A26="","",MAX(N(L26),INT(_xlfn.MAXIFS('Ordres de travail'!$R$5:$R$3004,'Ordres de travail'!$I$5:$I$3004,$A26,'Ordres de travail'!$AC$5:$AC$3004,"Clôturé"))))</f>
        <v/>
      </c>
      <c r="P26" s="78">
        <f>IF(OR($A26="",N(O26)=0),"",O26+H26)</f>
        <v/>
      </c>
      <c r="Q26" s="79">
        <f>IF(P26="","",P26-TODAY())</f>
        <v/>
      </c>
      <c r="R26" s="9">
        <f>IF($A26="","",IF(M26="Non","INACTIF",IF(Q26="","À DÉFINIR",IF(Q26&lt;0,"EN RETARD",IF(Q26&lt;='Paramètres'!$AA$12,"À PLANIFIER","OK")))))</f>
        <v/>
      </c>
      <c r="S26" s="9">
        <f>IF($A26="","",IF(SUM(COUNTIFS('Ordres de travail'!$I$5:$I$3004,$A26,'Ordres de travail'!$AC$5:$AC$3004,{"Demandé","Planifié","En cours","En attente pièces"}))&gt;0,"Oui","Non"))</f>
        <v/>
      </c>
      <c r="T26" s="68">
        <f>IF($A26="","",COUNTIFS('Ordres de travail'!$I$5:$I$3004,$A26,'Ordres de travail'!$AC$5:$AC$3004,"Clôturé",'Ordres de travail'!$R$5:$R$3004,"&gt;="&amp;'Paramètres'!$AA$6,'Ordres de travail'!$R$5:$R$3004,"&lt;"&amp;('Paramètres'!$AA$7+1)))</f>
        <v/>
      </c>
      <c r="U26" s="69">
        <f>IF(OR($A26="",N(H26)=0),"",IF(M26="Non",0,365/H26*I26))</f>
        <v/>
      </c>
    </row>
    <row r="27">
      <c r="A27" s="7" t="inlineStr">
        <is>
          <t>GP-023</t>
        </is>
      </c>
      <c r="B27" s="7" t="inlineStr">
        <is>
          <t>EQ-USI-006</t>
        </is>
      </c>
      <c r="C27" s="9">
        <f>IF(B27="","",IFERROR(INDEX('Équipements'!$B$5:$B$304,MATCH(B27,'Équipements'!$A$5:$A$304,0)),"Code inconnu"))</f>
        <v/>
      </c>
      <c r="D27" s="9">
        <f>IF(B27="","",IFERROR(INDEX('Équipements'!$D$5:$D$304,MATCH(B27,'Équipements'!$A$5:$A$304,0)),""))</f>
        <v/>
      </c>
      <c r="E27" s="7" t="inlineStr">
        <is>
          <t>Vidange groupe hydraulique et remplacement filtres</t>
        </is>
      </c>
      <c r="F27" s="7" t="inlineStr">
        <is>
          <t>Préventif systématique</t>
        </is>
      </c>
      <c r="G27" s="7" t="inlineStr">
        <is>
          <t>Hydraulique</t>
        </is>
      </c>
      <c r="H27" s="67" t="n">
        <v>365</v>
      </c>
      <c r="I27" s="76" t="n">
        <v>3</v>
      </c>
      <c r="J27" s="7" t="inlineStr">
        <is>
          <t>Karim Benali</t>
        </is>
      </c>
      <c r="K27" s="7" t="n"/>
      <c r="L27" s="65" t="n">
        <v>45524</v>
      </c>
      <c r="M27" s="7" t="inlineStr">
        <is>
          <t>Oui</t>
        </is>
      </c>
      <c r="N27" s="7" t="inlineStr">
        <is>
          <t>Vidange 208 L ; remplacement filtre retour ; contrôle accumulateur ; essais</t>
        </is>
      </c>
      <c r="O27" s="78">
        <f>IF($A27="","",MAX(N(L27),INT(_xlfn.MAXIFS('Ordres de travail'!$R$5:$R$3004,'Ordres de travail'!$I$5:$I$3004,$A27,'Ordres de travail'!$AC$5:$AC$3004,"Clôturé"))))</f>
        <v/>
      </c>
      <c r="P27" s="78">
        <f>IF(OR($A27="",N(O27)=0),"",O27+H27)</f>
        <v/>
      </c>
      <c r="Q27" s="79">
        <f>IF(P27="","",P27-TODAY())</f>
        <v/>
      </c>
      <c r="R27" s="9">
        <f>IF($A27="","",IF(M27="Non","INACTIF",IF(Q27="","À DÉFINIR",IF(Q27&lt;0,"EN RETARD",IF(Q27&lt;='Paramètres'!$AA$12,"À PLANIFIER","OK")))))</f>
        <v/>
      </c>
      <c r="S27" s="9">
        <f>IF($A27="","",IF(SUM(COUNTIFS('Ordres de travail'!$I$5:$I$3004,$A27,'Ordres de travail'!$AC$5:$AC$3004,{"Demandé","Planifié","En cours","En attente pièces"}))&gt;0,"Oui","Non"))</f>
        <v/>
      </c>
      <c r="T27" s="68">
        <f>IF($A27="","",COUNTIFS('Ordres de travail'!$I$5:$I$3004,$A27,'Ordres de travail'!$AC$5:$AC$3004,"Clôturé",'Ordres de travail'!$R$5:$R$3004,"&gt;="&amp;'Paramètres'!$AA$6,'Ordres de travail'!$R$5:$R$3004,"&lt;"&amp;('Paramètres'!$AA$7+1)))</f>
        <v/>
      </c>
      <c r="U27" s="69">
        <f>IF(OR($A27="",N(H27)=0),"",IF(M27="Non",0,365/H27*I27))</f>
        <v/>
      </c>
    </row>
    <row r="28">
      <c r="A28" s="7" t="inlineStr">
        <is>
          <t>GP-024</t>
        </is>
      </c>
      <c r="B28" s="7" t="inlineStr">
        <is>
          <t>EQ-USI-006</t>
        </is>
      </c>
      <c r="C28" s="9">
        <f>IF(B28="","",IFERROR(INDEX('Équipements'!$B$5:$B$304,MATCH(B28,'Équipements'!$A$5:$A$304,0)),"Code inconnu"))</f>
        <v/>
      </c>
      <c r="D28" s="9">
        <f>IF(B28="","",IFERROR(INDEX('Équipements'!$D$5:$D$304,MATCH(B28,'Équipements'!$A$5:$A$304,0)),""))</f>
        <v/>
      </c>
      <c r="E28" s="7" t="inlineStr">
        <is>
          <t>Contrôle armoire électrique (ventilation, serrages)</t>
        </is>
      </c>
      <c r="F28" s="7" t="inlineStr">
        <is>
          <t>Préventif systématique</t>
        </is>
      </c>
      <c r="G28" s="7" t="inlineStr">
        <is>
          <t>Électrique</t>
        </is>
      </c>
      <c r="H28" s="67" t="n">
        <v>365</v>
      </c>
      <c r="I28" s="76" t="n">
        <v>2</v>
      </c>
      <c r="J28" s="7" t="inlineStr">
        <is>
          <t>Julien Moreau</t>
        </is>
      </c>
      <c r="K28" s="7" t="n"/>
      <c r="L28" s="65" t="n">
        <v>45409</v>
      </c>
      <c r="M28" s="7" t="inlineStr">
        <is>
          <t>Oui</t>
        </is>
      </c>
      <c r="N28" s="7" t="inlineStr">
        <is>
          <t>Dépoussiérage ; contrôle ventilateurs ; resserrage borniers ; contrôle AU</t>
        </is>
      </c>
      <c r="O28" s="78">
        <f>IF($A28="","",MAX(N(L28),INT(_xlfn.MAXIFS('Ordres de travail'!$R$5:$R$3004,'Ordres de travail'!$I$5:$I$3004,$A28,'Ordres de travail'!$AC$5:$AC$3004,"Clôturé"))))</f>
        <v/>
      </c>
      <c r="P28" s="78">
        <f>IF(OR($A28="",N(O28)=0),"",O28+H28)</f>
        <v/>
      </c>
      <c r="Q28" s="79">
        <f>IF(P28="","",P28-TODAY())</f>
        <v/>
      </c>
      <c r="R28" s="9">
        <f>IF($A28="","",IF(M28="Non","INACTIF",IF(Q28="","À DÉFINIR",IF(Q28&lt;0,"EN RETARD",IF(Q28&lt;='Paramètres'!$AA$12,"À PLANIFIER","OK")))))</f>
        <v/>
      </c>
      <c r="S28" s="9">
        <f>IF($A28="","",IF(SUM(COUNTIFS('Ordres de travail'!$I$5:$I$3004,$A28,'Ordres de travail'!$AC$5:$AC$3004,{"Demandé","Planifié","En cours","En attente pièces"}))&gt;0,"Oui","Non"))</f>
        <v/>
      </c>
      <c r="T28" s="68">
        <f>IF($A28="","",COUNTIFS('Ordres de travail'!$I$5:$I$3004,$A28,'Ordres de travail'!$AC$5:$AC$3004,"Clôturé",'Ordres de travail'!$R$5:$R$3004,"&gt;="&amp;'Paramètres'!$AA$6,'Ordres de travail'!$R$5:$R$3004,"&lt;"&amp;('Paramètres'!$AA$7+1)))</f>
        <v/>
      </c>
      <c r="U28" s="69">
        <f>IF(OR($A28="",N(H28)=0),"",IF(M28="Non",0,365/H28*I28))</f>
        <v/>
      </c>
    </row>
    <row r="29">
      <c r="A29" s="7" t="inlineStr">
        <is>
          <t>GP-025</t>
        </is>
      </c>
      <c r="B29" s="7" t="inlineStr">
        <is>
          <t>EQ-USI-007</t>
        </is>
      </c>
      <c r="C29" s="9">
        <f>IF(B29="","",IFERROR(INDEX('Équipements'!$B$5:$B$304,MATCH(B29,'Équipements'!$A$5:$A$304,0)),"Code inconnu"))</f>
        <v/>
      </c>
      <c r="D29" s="9">
        <f>IF(B29="","",IFERROR(INDEX('Équipements'!$D$5:$D$304,MATCH(B29,'Équipements'!$A$5:$A$304,0)),""))</f>
        <v/>
      </c>
      <c r="E29" s="7" t="inlineStr">
        <is>
          <t>Contrôle niveaux, nettoyage filtres et bac à copeaux</t>
        </is>
      </c>
      <c r="F29" s="7" t="inlineStr">
        <is>
          <t>Préventif systématique</t>
        </is>
      </c>
      <c r="G29" s="7" t="inlineStr">
        <is>
          <t>Mécanique</t>
        </is>
      </c>
      <c r="H29" s="67" t="n">
        <v>60</v>
      </c>
      <c r="I29" s="76" t="n">
        <v>1</v>
      </c>
      <c r="J29" s="7" t="inlineStr">
        <is>
          <t>Lucas Fontaine</t>
        </is>
      </c>
      <c r="K29" s="7" t="n"/>
      <c r="L29" s="65" t="n">
        <v>45606</v>
      </c>
      <c r="M29" s="7" t="inlineStr">
        <is>
          <t>Oui</t>
        </is>
      </c>
      <c r="N29" s="7" t="inlineStr">
        <is>
          <t>Niveaux huile/lubrifiant ; filtre liquide de coupe ; vidange bac copeaux ; contrôle fuites</t>
        </is>
      </c>
      <c r="O29" s="78">
        <f>IF($A29="","",MAX(N(L29),INT(_xlfn.MAXIFS('Ordres de travail'!$R$5:$R$3004,'Ordres de travail'!$I$5:$I$3004,$A29,'Ordres de travail'!$AC$5:$AC$3004,"Clôturé"))))</f>
        <v/>
      </c>
      <c r="P29" s="78">
        <f>IF(OR($A29="",N(O29)=0),"",O29+H29)</f>
        <v/>
      </c>
      <c r="Q29" s="79">
        <f>IF(P29="","",P29-TODAY())</f>
        <v/>
      </c>
      <c r="R29" s="9">
        <f>IF($A29="","",IF(M29="Non","INACTIF",IF(Q29="","À DÉFINIR",IF(Q29&lt;0,"EN RETARD",IF(Q29&lt;='Paramètres'!$AA$12,"À PLANIFIER","OK")))))</f>
        <v/>
      </c>
      <c r="S29" s="9">
        <f>IF($A29="","",IF(SUM(COUNTIFS('Ordres de travail'!$I$5:$I$3004,$A29,'Ordres de travail'!$AC$5:$AC$3004,{"Demandé","Planifié","En cours","En attente pièces"}))&gt;0,"Oui","Non"))</f>
        <v/>
      </c>
      <c r="T29" s="68">
        <f>IF($A29="","",COUNTIFS('Ordres de travail'!$I$5:$I$3004,$A29,'Ordres de travail'!$AC$5:$AC$3004,"Clôturé",'Ordres de travail'!$R$5:$R$3004,"&gt;="&amp;'Paramètres'!$AA$6,'Ordres de travail'!$R$5:$R$3004,"&lt;"&amp;('Paramètres'!$AA$7+1)))</f>
        <v/>
      </c>
      <c r="U29" s="69">
        <f>IF(OR($A29="",N(H29)=0),"",IF(M29="Non",0,365/H29*I29))</f>
        <v/>
      </c>
    </row>
    <row r="30">
      <c r="A30" s="7" t="inlineStr">
        <is>
          <t>GP-026</t>
        </is>
      </c>
      <c r="B30" s="7" t="inlineStr">
        <is>
          <t>EQ-USI-007</t>
        </is>
      </c>
      <c r="C30" s="9">
        <f>IF(B30="","",IFERROR(INDEX('Équipements'!$B$5:$B$304,MATCH(B30,'Équipements'!$A$5:$A$304,0)),"Code inconnu"))</f>
        <v/>
      </c>
      <c r="D30" s="9">
        <f>IF(B30="","",IFERROR(INDEX('Équipements'!$D$5:$D$304,MATCH(B30,'Équipements'!$A$5:$A$304,0)),""))</f>
        <v/>
      </c>
      <c r="E30" s="7" t="inlineStr">
        <is>
          <t>Contrôle géométrie, jeux et graissage des axes</t>
        </is>
      </c>
      <c r="F30" s="7" t="inlineStr">
        <is>
          <t>Préventif systématique</t>
        </is>
      </c>
      <c r="G30" s="7" t="inlineStr">
        <is>
          <t>Mécanique</t>
        </is>
      </c>
      <c r="H30" s="67" t="n">
        <v>180</v>
      </c>
      <c r="I30" s="76" t="n">
        <v>4</v>
      </c>
      <c r="J30" s="7" t="inlineStr">
        <is>
          <t>Karim Benali</t>
        </is>
      </c>
      <c r="K30" s="7" t="n"/>
      <c r="L30" s="65" t="n">
        <v>45656</v>
      </c>
      <c r="M30" s="7" t="inlineStr">
        <is>
          <t>Oui</t>
        </is>
      </c>
      <c r="N30" s="7" t="inlineStr">
        <is>
          <t>Mesure jeux axes ; contrôle bille ballbar ; graissage vis à billes ; serrage protections</t>
        </is>
      </c>
      <c r="O30" s="78">
        <f>IF($A30="","",MAX(N(L30),INT(_xlfn.MAXIFS('Ordres de travail'!$R$5:$R$3004,'Ordres de travail'!$I$5:$I$3004,$A30,'Ordres de travail'!$AC$5:$AC$3004,"Clôturé"))))</f>
        <v/>
      </c>
      <c r="P30" s="78">
        <f>IF(OR($A30="",N(O30)=0),"",O30+H30)</f>
        <v/>
      </c>
      <c r="Q30" s="79">
        <f>IF(P30="","",P30-TODAY())</f>
        <v/>
      </c>
      <c r="R30" s="9">
        <f>IF($A30="","",IF(M30="Non","INACTIF",IF(Q30="","À DÉFINIR",IF(Q30&lt;0,"EN RETARD",IF(Q30&lt;='Paramètres'!$AA$12,"À PLANIFIER","OK")))))</f>
        <v/>
      </c>
      <c r="S30" s="9">
        <f>IF($A30="","",IF(SUM(COUNTIFS('Ordres de travail'!$I$5:$I$3004,$A30,'Ordres de travail'!$AC$5:$AC$3004,{"Demandé","Planifié","En cours","En attente pièces"}))&gt;0,"Oui","Non"))</f>
        <v/>
      </c>
      <c r="T30" s="68">
        <f>IF($A30="","",COUNTIFS('Ordres de travail'!$I$5:$I$3004,$A30,'Ordres de travail'!$AC$5:$AC$3004,"Clôturé",'Ordres de travail'!$R$5:$R$3004,"&gt;="&amp;'Paramètres'!$AA$6,'Ordres de travail'!$R$5:$R$3004,"&lt;"&amp;('Paramètres'!$AA$7+1)))</f>
        <v/>
      </c>
      <c r="U30" s="69">
        <f>IF(OR($A30="",N(H30)=0),"",IF(M30="Non",0,365/H30*I30))</f>
        <v/>
      </c>
    </row>
    <row r="31">
      <c r="A31" s="7" t="inlineStr">
        <is>
          <t>GP-027</t>
        </is>
      </c>
      <c r="B31" s="7" t="inlineStr">
        <is>
          <t>EQ-USI-007</t>
        </is>
      </c>
      <c r="C31" s="9">
        <f>IF(B31="","",IFERROR(INDEX('Équipements'!$B$5:$B$304,MATCH(B31,'Équipements'!$A$5:$A$304,0)),"Code inconnu"))</f>
        <v/>
      </c>
      <c r="D31" s="9">
        <f>IF(B31="","",IFERROR(INDEX('Équipements'!$D$5:$D$304,MATCH(B31,'Équipements'!$A$5:$A$304,0)),""))</f>
        <v/>
      </c>
      <c r="E31" s="7" t="inlineStr">
        <is>
          <t>Vidange groupe hydraulique et remplacement filtres</t>
        </is>
      </c>
      <c r="F31" s="7" t="inlineStr">
        <is>
          <t>Préventif systématique</t>
        </is>
      </c>
      <c r="G31" s="7" t="inlineStr">
        <is>
          <t>Hydraulique</t>
        </is>
      </c>
      <c r="H31" s="67" t="n">
        <v>365</v>
      </c>
      <c r="I31" s="76" t="n">
        <v>3</v>
      </c>
      <c r="J31" s="7" t="inlineStr">
        <is>
          <t>Antoine Mercier</t>
        </is>
      </c>
      <c r="K31" s="7" t="n"/>
      <c r="L31" s="65" t="n">
        <v>45443</v>
      </c>
      <c r="M31" s="7" t="inlineStr">
        <is>
          <t>Oui</t>
        </is>
      </c>
      <c r="N31" s="7" t="inlineStr">
        <is>
          <t>Vidange 208 L ; remplacement filtre retour ; contrôle accumulateur ; essais</t>
        </is>
      </c>
      <c r="O31" s="78">
        <f>IF($A31="","",MAX(N(L31),INT(_xlfn.MAXIFS('Ordres de travail'!$R$5:$R$3004,'Ordres de travail'!$I$5:$I$3004,$A31,'Ordres de travail'!$AC$5:$AC$3004,"Clôturé"))))</f>
        <v/>
      </c>
      <c r="P31" s="78">
        <f>IF(OR($A31="",N(O31)=0),"",O31+H31)</f>
        <v/>
      </c>
      <c r="Q31" s="79">
        <f>IF(P31="","",P31-TODAY())</f>
        <v/>
      </c>
      <c r="R31" s="9">
        <f>IF($A31="","",IF(M31="Non","INACTIF",IF(Q31="","À DÉFINIR",IF(Q31&lt;0,"EN RETARD",IF(Q31&lt;='Paramètres'!$AA$12,"À PLANIFIER","OK")))))</f>
        <v/>
      </c>
      <c r="S31" s="9">
        <f>IF($A31="","",IF(SUM(COUNTIFS('Ordres de travail'!$I$5:$I$3004,$A31,'Ordres de travail'!$AC$5:$AC$3004,{"Demandé","Planifié","En cours","En attente pièces"}))&gt;0,"Oui","Non"))</f>
        <v/>
      </c>
      <c r="T31" s="68">
        <f>IF($A31="","",COUNTIFS('Ordres de travail'!$I$5:$I$3004,$A31,'Ordres de travail'!$AC$5:$AC$3004,"Clôturé",'Ordres de travail'!$R$5:$R$3004,"&gt;="&amp;'Paramètres'!$AA$6,'Ordres de travail'!$R$5:$R$3004,"&lt;"&amp;('Paramètres'!$AA$7+1)))</f>
        <v/>
      </c>
      <c r="U31" s="69">
        <f>IF(OR($A31="",N(H31)=0),"",IF(M31="Non",0,365/H31*I31))</f>
        <v/>
      </c>
    </row>
    <row r="32">
      <c r="A32" s="7" t="inlineStr">
        <is>
          <t>GP-028</t>
        </is>
      </c>
      <c r="B32" s="7" t="inlineStr">
        <is>
          <t>EQ-USI-007</t>
        </is>
      </c>
      <c r="C32" s="9">
        <f>IF(B32="","",IFERROR(INDEX('Équipements'!$B$5:$B$304,MATCH(B32,'Équipements'!$A$5:$A$304,0)),"Code inconnu"))</f>
        <v/>
      </c>
      <c r="D32" s="9">
        <f>IF(B32="","",IFERROR(INDEX('Équipements'!$D$5:$D$304,MATCH(B32,'Équipements'!$A$5:$A$304,0)),""))</f>
        <v/>
      </c>
      <c r="E32" s="7" t="inlineStr">
        <is>
          <t>Contrôle armoire électrique (ventilation, serrages)</t>
        </is>
      </c>
      <c r="F32" s="7" t="inlineStr">
        <is>
          <t>Préventif systématique</t>
        </is>
      </c>
      <c r="G32" s="7" t="inlineStr">
        <is>
          <t>Électrique</t>
        </is>
      </c>
      <c r="H32" s="67" t="n">
        <v>365</v>
      </c>
      <c r="I32" s="76" t="n">
        <v>2</v>
      </c>
      <c r="J32" s="7" t="inlineStr">
        <is>
          <t>Antoine Mercier</t>
        </is>
      </c>
      <c r="K32" s="7" t="n"/>
      <c r="L32" s="65" t="n">
        <v>45457</v>
      </c>
      <c r="M32" s="7" t="inlineStr">
        <is>
          <t>Oui</t>
        </is>
      </c>
      <c r="N32" s="7" t="inlineStr">
        <is>
          <t>Dépoussiérage ; contrôle ventilateurs ; resserrage borniers ; contrôle AU</t>
        </is>
      </c>
      <c r="O32" s="78">
        <f>IF($A32="","",MAX(N(L32),INT(_xlfn.MAXIFS('Ordres de travail'!$R$5:$R$3004,'Ordres de travail'!$I$5:$I$3004,$A32,'Ordres de travail'!$AC$5:$AC$3004,"Clôturé"))))</f>
        <v/>
      </c>
      <c r="P32" s="78">
        <f>IF(OR($A32="",N(O32)=0),"",O32+H32)</f>
        <v/>
      </c>
      <c r="Q32" s="79">
        <f>IF(P32="","",P32-TODAY())</f>
        <v/>
      </c>
      <c r="R32" s="9">
        <f>IF($A32="","",IF(M32="Non","INACTIF",IF(Q32="","À DÉFINIR",IF(Q32&lt;0,"EN RETARD",IF(Q32&lt;='Paramètres'!$AA$12,"À PLANIFIER","OK")))))</f>
        <v/>
      </c>
      <c r="S32" s="9">
        <f>IF($A32="","",IF(SUM(COUNTIFS('Ordres de travail'!$I$5:$I$3004,$A32,'Ordres de travail'!$AC$5:$AC$3004,{"Demandé","Planifié","En cours","En attente pièces"}))&gt;0,"Oui","Non"))</f>
        <v/>
      </c>
      <c r="T32" s="68">
        <f>IF($A32="","",COUNTIFS('Ordres de travail'!$I$5:$I$3004,$A32,'Ordres de travail'!$AC$5:$AC$3004,"Clôturé",'Ordres de travail'!$R$5:$R$3004,"&gt;="&amp;'Paramètres'!$AA$6,'Ordres de travail'!$R$5:$R$3004,"&lt;"&amp;('Paramètres'!$AA$7+1)))</f>
        <v/>
      </c>
      <c r="U32" s="69">
        <f>IF(OR($A32="",N(H32)=0),"",IF(M32="Non",0,365/H32*I32))</f>
        <v/>
      </c>
    </row>
    <row r="33">
      <c r="A33" s="7" t="inlineStr">
        <is>
          <t>GP-029</t>
        </is>
      </c>
      <c r="B33" s="7" t="inlineStr">
        <is>
          <t>EQ-USI-008</t>
        </is>
      </c>
      <c r="C33" s="9">
        <f>IF(B33="","",IFERROR(INDEX('Équipements'!$B$5:$B$304,MATCH(B33,'Équipements'!$A$5:$A$304,0)),"Code inconnu"))</f>
        <v/>
      </c>
      <c r="D33" s="9">
        <f>IF(B33="","",IFERROR(INDEX('Équipements'!$D$5:$D$304,MATCH(B33,'Équipements'!$A$5:$A$304,0)),""))</f>
        <v/>
      </c>
      <c r="E33" s="7" t="inlineStr">
        <is>
          <t>Graissage et contrôle général</t>
        </is>
      </c>
      <c r="F33" s="7" t="inlineStr">
        <is>
          <t>Préventif systématique</t>
        </is>
      </c>
      <c r="G33" s="7" t="inlineStr">
        <is>
          <t>Mécanique</t>
        </is>
      </c>
      <c r="H33" s="67" t="n">
        <v>180</v>
      </c>
      <c r="I33" s="76" t="n">
        <v>1</v>
      </c>
      <c r="J33" s="7" t="inlineStr">
        <is>
          <t>Lucas Fontaine</t>
        </is>
      </c>
      <c r="K33" s="7" t="n"/>
      <c r="L33" s="65" t="n">
        <v>45363</v>
      </c>
      <c r="M33" s="7" t="inlineStr">
        <is>
          <t>Non</t>
        </is>
      </c>
      <c r="N33" s="7" t="inlineStr">
        <is>
          <t>Graissage ; jeux ; sécurités</t>
        </is>
      </c>
      <c r="O33" s="78">
        <f>IF($A33="","",MAX(N(L33),INT(_xlfn.MAXIFS('Ordres de travail'!$R$5:$R$3004,'Ordres de travail'!$I$5:$I$3004,$A33,'Ordres de travail'!$AC$5:$AC$3004,"Clôturé"))))</f>
        <v/>
      </c>
      <c r="P33" s="78">
        <f>IF(OR($A33="",N(O33)=0),"",O33+H33)</f>
        <v/>
      </c>
      <c r="Q33" s="79">
        <f>IF(P33="","",P33-TODAY())</f>
        <v/>
      </c>
      <c r="R33" s="9">
        <f>IF($A33="","",IF(M33="Non","INACTIF",IF(Q33="","À DÉFINIR",IF(Q33&lt;0,"EN RETARD",IF(Q33&lt;='Paramètres'!$AA$12,"À PLANIFIER","OK")))))</f>
        <v/>
      </c>
      <c r="S33" s="9">
        <f>IF($A33="","",IF(SUM(COUNTIFS('Ordres de travail'!$I$5:$I$3004,$A33,'Ordres de travail'!$AC$5:$AC$3004,{"Demandé","Planifié","En cours","En attente pièces"}))&gt;0,"Oui","Non"))</f>
        <v/>
      </c>
      <c r="T33" s="68">
        <f>IF($A33="","",COUNTIFS('Ordres de travail'!$I$5:$I$3004,$A33,'Ordres de travail'!$AC$5:$AC$3004,"Clôturé",'Ordres de travail'!$R$5:$R$3004,"&gt;="&amp;'Paramètres'!$AA$6,'Ordres de travail'!$R$5:$R$3004,"&lt;"&amp;('Paramètres'!$AA$7+1)))</f>
        <v/>
      </c>
      <c r="U33" s="69">
        <f>IF(OR($A33="",N(H33)=0),"",IF(M33="Non",0,365/H33*I33))</f>
        <v/>
      </c>
    </row>
    <row r="34">
      <c r="A34" s="7" t="inlineStr">
        <is>
          <t>GP-030</t>
        </is>
      </c>
      <c r="B34" s="7" t="inlineStr">
        <is>
          <t>EQ-USI-009</t>
        </is>
      </c>
      <c r="C34" s="9">
        <f>IF(B34="","",IFERROR(INDEX('Équipements'!$B$5:$B$304,MATCH(B34,'Équipements'!$A$5:$A$304,0)),"Code inconnu"))</f>
        <v/>
      </c>
      <c r="D34" s="9">
        <f>IF(B34="","",IFERROR(INDEX('Équipements'!$D$5:$D$304,MATCH(B34,'Équipements'!$A$5:$A$304,0)),""))</f>
        <v/>
      </c>
      <c r="E34" s="7" t="inlineStr">
        <is>
          <t>Contrôle lame, guides et liquide de coupe</t>
        </is>
      </c>
      <c r="F34" s="7" t="inlineStr">
        <is>
          <t>Préventif systématique</t>
        </is>
      </c>
      <c r="G34" s="7" t="inlineStr">
        <is>
          <t>Mécanique</t>
        </is>
      </c>
      <c r="H34" s="67" t="n">
        <v>30</v>
      </c>
      <c r="I34" s="76" t="n">
        <v>0.5</v>
      </c>
      <c r="J34" s="7" t="inlineStr">
        <is>
          <t>Karim Benali</t>
        </is>
      </c>
      <c r="K34" s="7" t="n"/>
      <c r="L34" s="65" t="n">
        <v>45645</v>
      </c>
      <c r="M34" s="7" t="inlineStr">
        <is>
          <t>Oui</t>
        </is>
      </c>
      <c r="N34" s="7" t="inlineStr">
        <is>
          <t>Lame ; guides ; concentration émulsion</t>
        </is>
      </c>
      <c r="O34" s="78">
        <f>IF($A34="","",MAX(N(L34),INT(_xlfn.MAXIFS('Ordres de travail'!$R$5:$R$3004,'Ordres de travail'!$I$5:$I$3004,$A34,'Ordres de travail'!$AC$5:$AC$3004,"Clôturé"))))</f>
        <v/>
      </c>
      <c r="P34" s="78">
        <f>IF(OR($A34="",N(O34)=0),"",O34+H34)</f>
        <v/>
      </c>
      <c r="Q34" s="79">
        <f>IF(P34="","",P34-TODAY())</f>
        <v/>
      </c>
      <c r="R34" s="9">
        <f>IF($A34="","",IF(M34="Non","INACTIF",IF(Q34="","À DÉFINIR",IF(Q34&lt;0,"EN RETARD",IF(Q34&lt;='Paramètres'!$AA$12,"À PLANIFIER","OK")))))</f>
        <v/>
      </c>
      <c r="S34" s="9">
        <f>IF($A34="","",IF(SUM(COUNTIFS('Ordres de travail'!$I$5:$I$3004,$A34,'Ordres de travail'!$AC$5:$AC$3004,{"Demandé","Planifié","En cours","En attente pièces"}))&gt;0,"Oui","Non"))</f>
        <v/>
      </c>
      <c r="T34" s="68">
        <f>IF($A34="","",COUNTIFS('Ordres de travail'!$I$5:$I$3004,$A34,'Ordres de travail'!$AC$5:$AC$3004,"Clôturé",'Ordres de travail'!$R$5:$R$3004,"&gt;="&amp;'Paramètres'!$AA$6,'Ordres de travail'!$R$5:$R$3004,"&lt;"&amp;('Paramètres'!$AA$7+1)))</f>
        <v/>
      </c>
      <c r="U34" s="69">
        <f>IF(OR($A34="",N(H34)=0),"",IF(M34="Non",0,365/H34*I34))</f>
        <v/>
      </c>
    </row>
    <row r="35">
      <c r="A35" s="7" t="inlineStr">
        <is>
          <t>GP-031</t>
        </is>
      </c>
      <c r="B35" s="7" t="inlineStr">
        <is>
          <t>EQ-USI-009</t>
        </is>
      </c>
      <c r="C35" s="9">
        <f>IF(B35="","",IFERROR(INDEX('Équipements'!$B$5:$B$304,MATCH(B35,'Équipements'!$A$5:$A$304,0)),"Code inconnu"))</f>
        <v/>
      </c>
      <c r="D35" s="9">
        <f>IF(B35="","",IFERROR(INDEX('Équipements'!$D$5:$D$304,MATCH(B35,'Équipements'!$A$5:$A$304,0)),""))</f>
        <v/>
      </c>
      <c r="E35" s="7" t="inlineStr">
        <is>
          <t>Vidange hydraulique</t>
        </is>
      </c>
      <c r="F35" s="7" t="inlineStr">
        <is>
          <t>Préventif systématique</t>
        </is>
      </c>
      <c r="G35" s="7" t="inlineStr">
        <is>
          <t>Hydraulique</t>
        </is>
      </c>
      <c r="H35" s="67" t="n">
        <v>365</v>
      </c>
      <c r="I35" s="76" t="n">
        <v>2</v>
      </c>
      <c r="J35" s="7" t="inlineStr">
        <is>
          <t>Karim Benali</t>
        </is>
      </c>
      <c r="K35" s="7" t="n"/>
      <c r="L35" s="65" t="n">
        <v>45462</v>
      </c>
      <c r="M35" s="7" t="inlineStr">
        <is>
          <t>Oui</t>
        </is>
      </c>
      <c r="N35" s="7" t="inlineStr">
        <is>
          <t>Vidange ; filtre</t>
        </is>
      </c>
      <c r="O35" s="78">
        <f>IF($A35="","",MAX(N(L35),INT(_xlfn.MAXIFS('Ordres de travail'!$R$5:$R$3004,'Ordres de travail'!$I$5:$I$3004,$A35,'Ordres de travail'!$AC$5:$AC$3004,"Clôturé"))))</f>
        <v/>
      </c>
      <c r="P35" s="78">
        <f>IF(OR($A35="",N(O35)=0),"",O35+H35)</f>
        <v/>
      </c>
      <c r="Q35" s="79">
        <f>IF(P35="","",P35-TODAY())</f>
        <v/>
      </c>
      <c r="R35" s="9">
        <f>IF($A35="","",IF(M35="Non","INACTIF",IF(Q35="","À DÉFINIR",IF(Q35&lt;0,"EN RETARD",IF(Q35&lt;='Paramètres'!$AA$12,"À PLANIFIER","OK")))))</f>
        <v/>
      </c>
      <c r="S35" s="9">
        <f>IF($A35="","",IF(SUM(COUNTIFS('Ordres de travail'!$I$5:$I$3004,$A35,'Ordres de travail'!$AC$5:$AC$3004,{"Demandé","Planifié","En cours","En attente pièces"}))&gt;0,"Oui","Non"))</f>
        <v/>
      </c>
      <c r="T35" s="68">
        <f>IF($A35="","",COUNTIFS('Ordres de travail'!$I$5:$I$3004,$A35,'Ordres de travail'!$AC$5:$AC$3004,"Clôturé",'Ordres de travail'!$R$5:$R$3004,"&gt;="&amp;'Paramètres'!$AA$6,'Ordres de travail'!$R$5:$R$3004,"&lt;"&amp;('Paramètres'!$AA$7+1)))</f>
        <v/>
      </c>
      <c r="U35" s="69">
        <f>IF(OR($A35="",N(H35)=0),"",IF(M35="Non",0,365/H35*I35))</f>
        <v/>
      </c>
    </row>
    <row r="36">
      <c r="A36" s="7" t="inlineStr">
        <is>
          <t>GP-032</t>
        </is>
      </c>
      <c r="B36" s="7" t="inlineStr">
        <is>
          <t>EQ-USI-010</t>
        </is>
      </c>
      <c r="C36" s="9">
        <f>IF(B36="","",IFERROR(INDEX('Équipements'!$B$5:$B$304,MATCH(B36,'Équipements'!$A$5:$A$304,0)),"Code inconnu"))</f>
        <v/>
      </c>
      <c r="D36" s="9">
        <f>IF(B36="","",IFERROR(INDEX('Équipements'!$D$5:$D$304,MATCH(B36,'Équipements'!$A$5:$A$304,0)),""))</f>
        <v/>
      </c>
      <c r="E36" s="7" t="inlineStr">
        <is>
          <t>Étalonnage / vérification métrologique</t>
        </is>
      </c>
      <c r="F36" s="7" t="inlineStr">
        <is>
          <t>Préventif systématique</t>
        </is>
      </c>
      <c r="G36" s="7" t="inlineStr">
        <is>
          <t>Électrique</t>
        </is>
      </c>
      <c r="H36" s="67" t="n">
        <v>365</v>
      </c>
      <c r="I36" s="76" t="n">
        <v>2</v>
      </c>
      <c r="J36" s="7" t="inlineStr">
        <is>
          <t>Julien Moreau</t>
        </is>
      </c>
      <c r="K36" s="7" t="inlineStr">
        <is>
          <t>Métrologie Contrôle Services</t>
        </is>
      </c>
      <c r="L36" s="65" t="n">
        <v>45550</v>
      </c>
      <c r="M36" s="7" t="inlineStr">
        <is>
          <t>Oui</t>
        </is>
      </c>
      <c r="N36" s="7" t="inlineStr">
        <is>
          <t>Étalonnage selon procédure ; certificat</t>
        </is>
      </c>
      <c r="O36" s="78">
        <f>IF($A36="","",MAX(N(L36),INT(_xlfn.MAXIFS('Ordres de travail'!$R$5:$R$3004,'Ordres de travail'!$I$5:$I$3004,$A36,'Ordres de travail'!$AC$5:$AC$3004,"Clôturé"))))</f>
        <v/>
      </c>
      <c r="P36" s="78">
        <f>IF(OR($A36="",N(O36)=0),"",O36+H36)</f>
        <v/>
      </c>
      <c r="Q36" s="79">
        <f>IF(P36="","",P36-TODAY())</f>
        <v/>
      </c>
      <c r="R36" s="9">
        <f>IF($A36="","",IF(M36="Non","INACTIF",IF(Q36="","À DÉFINIR",IF(Q36&lt;0,"EN RETARD",IF(Q36&lt;='Paramètres'!$AA$12,"À PLANIFIER","OK")))))</f>
        <v/>
      </c>
      <c r="S36" s="9">
        <f>IF($A36="","",IF(SUM(COUNTIFS('Ordres de travail'!$I$5:$I$3004,$A36,'Ordres de travail'!$AC$5:$AC$3004,{"Demandé","Planifié","En cours","En attente pièces"}))&gt;0,"Oui","Non"))</f>
        <v/>
      </c>
      <c r="T36" s="68">
        <f>IF($A36="","",COUNTIFS('Ordres de travail'!$I$5:$I$3004,$A36,'Ordres de travail'!$AC$5:$AC$3004,"Clôturé",'Ordres de travail'!$R$5:$R$3004,"&gt;="&amp;'Paramètres'!$AA$6,'Ordres de travail'!$R$5:$R$3004,"&lt;"&amp;('Paramètres'!$AA$7+1)))</f>
        <v/>
      </c>
      <c r="U36" s="69">
        <f>IF(OR($A36="",N(H36)=0),"",IF(M36="Non",0,365/H36*I36))</f>
        <v/>
      </c>
    </row>
    <row r="37">
      <c r="A37" s="7" t="inlineStr">
        <is>
          <t>GP-033</t>
        </is>
      </c>
      <c r="B37" s="7" t="inlineStr">
        <is>
          <t>EQ-USI-010</t>
        </is>
      </c>
      <c r="C37" s="9">
        <f>IF(B37="","",IFERROR(INDEX('Équipements'!$B$5:$B$304,MATCH(B37,'Équipements'!$A$5:$A$304,0)),"Code inconnu"))</f>
        <v/>
      </c>
      <c r="D37" s="9">
        <f>IF(B37="","",IFERROR(INDEX('Équipements'!$D$5:$D$304,MATCH(B37,'Équipements'!$A$5:$A$304,0)),""))</f>
        <v/>
      </c>
      <c r="E37" s="7" t="inlineStr">
        <is>
          <t>Nettoyage et contrôle général</t>
        </is>
      </c>
      <c r="F37" s="7" t="inlineStr">
        <is>
          <t>Préventif systématique</t>
        </is>
      </c>
      <c r="G37" s="7" t="inlineStr">
        <is>
          <t>Mécanique</t>
        </is>
      </c>
      <c r="H37" s="67" t="n">
        <v>90</v>
      </c>
      <c r="I37" s="76" t="n">
        <v>0.5</v>
      </c>
      <c r="J37" s="7" t="inlineStr">
        <is>
          <t>Antoine Mercier</t>
        </is>
      </c>
      <c r="K37" s="7" t="n"/>
      <c r="L37" s="65" t="n">
        <v>45613</v>
      </c>
      <c r="M37" s="7" t="inlineStr">
        <is>
          <t>Oui</t>
        </is>
      </c>
      <c r="N37" s="7" t="inlineStr">
        <is>
          <t>Nettoyage ; contrôle air ; sauvegarde</t>
        </is>
      </c>
      <c r="O37" s="78">
        <f>IF($A37="","",MAX(N(L37),INT(_xlfn.MAXIFS('Ordres de travail'!$R$5:$R$3004,'Ordres de travail'!$I$5:$I$3004,$A37,'Ordres de travail'!$AC$5:$AC$3004,"Clôturé"))))</f>
        <v/>
      </c>
      <c r="P37" s="78">
        <f>IF(OR($A37="",N(O37)=0),"",O37+H37)</f>
        <v/>
      </c>
      <c r="Q37" s="79">
        <f>IF(P37="","",P37-TODAY())</f>
        <v/>
      </c>
      <c r="R37" s="9">
        <f>IF($A37="","",IF(M37="Non","INACTIF",IF(Q37="","À DÉFINIR",IF(Q37&lt;0,"EN RETARD",IF(Q37&lt;='Paramètres'!$AA$12,"À PLANIFIER","OK")))))</f>
        <v/>
      </c>
      <c r="S37" s="9">
        <f>IF($A37="","",IF(SUM(COUNTIFS('Ordres de travail'!$I$5:$I$3004,$A37,'Ordres de travail'!$AC$5:$AC$3004,{"Demandé","Planifié","En cours","En attente pièces"}))&gt;0,"Oui","Non"))</f>
        <v/>
      </c>
      <c r="T37" s="68">
        <f>IF($A37="","",COUNTIFS('Ordres de travail'!$I$5:$I$3004,$A37,'Ordres de travail'!$AC$5:$AC$3004,"Clôturé",'Ordres de travail'!$R$5:$R$3004,"&gt;="&amp;'Paramètres'!$AA$6,'Ordres de travail'!$R$5:$R$3004,"&lt;"&amp;('Paramètres'!$AA$7+1)))</f>
        <v/>
      </c>
      <c r="U37" s="69">
        <f>IF(OR($A37="",N(H37)=0),"",IF(M37="Non",0,365/H37*I37))</f>
        <v/>
      </c>
    </row>
    <row r="38">
      <c r="A38" s="7" t="inlineStr">
        <is>
          <t>GP-034</t>
        </is>
      </c>
      <c r="B38" s="7" t="inlineStr">
        <is>
          <t>EQ-USI-011</t>
        </is>
      </c>
      <c r="C38" s="9">
        <f>IF(B38="","",IFERROR(INDEX('Équipements'!$B$5:$B$304,MATCH(B38,'Équipements'!$A$5:$A$304,0)),"Code inconnu"))</f>
        <v/>
      </c>
      <c r="D38" s="9">
        <f>IF(B38="","",IFERROR(INDEX('Équipements'!$D$5:$D$304,MATCH(B38,'Équipements'!$A$5:$A$304,0)),""))</f>
        <v/>
      </c>
      <c r="E38" s="7" t="inlineStr">
        <is>
          <t>Graissage et contrôle général</t>
        </is>
      </c>
      <c r="F38" s="7" t="inlineStr">
        <is>
          <t>Préventif systématique</t>
        </is>
      </c>
      <c r="G38" s="7" t="inlineStr">
        <is>
          <t>Mécanique</t>
        </is>
      </c>
      <c r="H38" s="67" t="n">
        <v>180</v>
      </c>
      <c r="I38" s="76" t="n">
        <v>1</v>
      </c>
      <c r="J38" s="7" t="inlineStr">
        <is>
          <t>Karim Benali</t>
        </is>
      </c>
      <c r="K38" s="7" t="n"/>
      <c r="L38" s="65" t="n">
        <v>45579</v>
      </c>
      <c r="M38" s="7" t="inlineStr">
        <is>
          <t>Oui</t>
        </is>
      </c>
      <c r="N38" s="7" t="inlineStr">
        <is>
          <t>Graissage ; jeux ; sécurités</t>
        </is>
      </c>
      <c r="O38" s="78">
        <f>IF($A38="","",MAX(N(L38),INT(_xlfn.MAXIFS('Ordres de travail'!$R$5:$R$3004,'Ordres de travail'!$I$5:$I$3004,$A38,'Ordres de travail'!$AC$5:$AC$3004,"Clôturé"))))</f>
        <v/>
      </c>
      <c r="P38" s="78">
        <f>IF(OR($A38="",N(O38)=0),"",O38+H38)</f>
        <v/>
      </c>
      <c r="Q38" s="79">
        <f>IF(P38="","",P38-TODAY())</f>
        <v/>
      </c>
      <c r="R38" s="9">
        <f>IF($A38="","",IF(M38="Non","INACTIF",IF(Q38="","À DÉFINIR",IF(Q38&lt;0,"EN RETARD",IF(Q38&lt;='Paramètres'!$AA$12,"À PLANIFIER","OK")))))</f>
        <v/>
      </c>
      <c r="S38" s="9">
        <f>IF($A38="","",IF(SUM(COUNTIFS('Ordres de travail'!$I$5:$I$3004,$A38,'Ordres de travail'!$AC$5:$AC$3004,{"Demandé","Planifié","En cours","En attente pièces"}))&gt;0,"Oui","Non"))</f>
        <v/>
      </c>
      <c r="T38" s="68">
        <f>IF($A38="","",COUNTIFS('Ordres de travail'!$I$5:$I$3004,$A38,'Ordres de travail'!$AC$5:$AC$3004,"Clôturé",'Ordres de travail'!$R$5:$R$3004,"&gt;="&amp;'Paramètres'!$AA$6,'Ordres de travail'!$R$5:$R$3004,"&lt;"&amp;('Paramètres'!$AA$7+1)))</f>
        <v/>
      </c>
      <c r="U38" s="69">
        <f>IF(OR($A38="",N(H38)=0),"",IF(M38="Non",0,365/H38*I38))</f>
        <v/>
      </c>
    </row>
    <row r="39">
      <c r="A39" s="7" t="inlineStr">
        <is>
          <t>GP-035</t>
        </is>
      </c>
      <c r="B39" s="7" t="inlineStr">
        <is>
          <t>EQ-USI-012</t>
        </is>
      </c>
      <c r="C39" s="9">
        <f>IF(B39="","",IFERROR(INDEX('Équipements'!$B$5:$B$304,MATCH(B39,'Équipements'!$A$5:$A$304,0)),"Code inconnu"))</f>
        <v/>
      </c>
      <c r="D39" s="9">
        <f>IF(B39="","",IFERROR(INDEX('Équipements'!$D$5:$D$304,MATCH(B39,'Équipements'!$A$5:$A$304,0)),""))</f>
        <v/>
      </c>
      <c r="E39" s="7" t="inlineStr">
        <is>
          <t>Nettoyage torche et contrôle faisceau</t>
        </is>
      </c>
      <c r="F39" s="7" t="inlineStr">
        <is>
          <t>Préventif systématique</t>
        </is>
      </c>
      <c r="G39" s="7" t="inlineStr">
        <is>
          <t>Mécanique</t>
        </is>
      </c>
      <c r="H39" s="67" t="n">
        <v>30</v>
      </c>
      <c r="I39" s="76" t="n">
        <v>0.5</v>
      </c>
      <c r="J39" s="7" t="inlineStr">
        <is>
          <t>Lucas Fontaine</t>
        </is>
      </c>
      <c r="K39" s="7" t="n"/>
      <c r="L39" s="65" t="n">
        <v>45824</v>
      </c>
      <c r="M39" s="7" t="inlineStr">
        <is>
          <t>Oui</t>
        </is>
      </c>
      <c r="N39" s="7" t="inlineStr">
        <is>
          <t>Nettoyage torche ; remplacement tube contact ; contrôle faisceau</t>
        </is>
      </c>
      <c r="O39" s="78">
        <f>IF($A39="","",MAX(N(L39),INT(_xlfn.MAXIFS('Ordres de travail'!$R$5:$R$3004,'Ordres de travail'!$I$5:$I$3004,$A39,'Ordres de travail'!$AC$5:$AC$3004,"Clôturé"))))</f>
        <v/>
      </c>
      <c r="P39" s="78">
        <f>IF(OR($A39="",N(O39)=0),"",O39+H39)</f>
        <v/>
      </c>
      <c r="Q39" s="79">
        <f>IF(P39="","",P39-TODAY())</f>
        <v/>
      </c>
      <c r="R39" s="9">
        <f>IF($A39="","",IF(M39="Non","INACTIF",IF(Q39="","À DÉFINIR",IF(Q39&lt;0,"EN RETARD",IF(Q39&lt;='Paramètres'!$AA$12,"À PLANIFIER","OK")))))</f>
        <v/>
      </c>
      <c r="S39" s="9">
        <f>IF($A39="","",IF(SUM(COUNTIFS('Ordres de travail'!$I$5:$I$3004,$A39,'Ordres de travail'!$AC$5:$AC$3004,{"Demandé","Planifié","En cours","En attente pièces"}))&gt;0,"Oui","Non"))</f>
        <v/>
      </c>
      <c r="T39" s="68">
        <f>IF($A39="","",COUNTIFS('Ordres de travail'!$I$5:$I$3004,$A39,'Ordres de travail'!$AC$5:$AC$3004,"Clôturé",'Ordres de travail'!$R$5:$R$3004,"&gt;="&amp;'Paramètres'!$AA$6,'Ordres de travail'!$R$5:$R$3004,"&lt;"&amp;('Paramètres'!$AA$7+1)))</f>
        <v/>
      </c>
      <c r="U39" s="69">
        <f>IF(OR($A39="",N(H39)=0),"",IF(M39="Non",0,365/H39*I39))</f>
        <v/>
      </c>
    </row>
    <row r="40">
      <c r="A40" s="7" t="inlineStr">
        <is>
          <t>GP-036</t>
        </is>
      </c>
      <c r="B40" s="7" t="inlineStr">
        <is>
          <t>EQ-USI-012</t>
        </is>
      </c>
      <c r="C40" s="9">
        <f>IF(B40="","",IFERROR(INDEX('Équipements'!$B$5:$B$304,MATCH(B40,'Équipements'!$A$5:$A$304,0)),"Code inconnu"))</f>
        <v/>
      </c>
      <c r="D40" s="9">
        <f>IF(B40="","",IFERROR(INDEX('Équipements'!$D$5:$D$304,MATCH(B40,'Équipements'!$A$5:$A$304,0)),""))</f>
        <v/>
      </c>
      <c r="E40" s="7" t="inlineStr">
        <is>
          <t>Graissage réducteurs et contrôle câblage</t>
        </is>
      </c>
      <c r="F40" s="7" t="inlineStr">
        <is>
          <t>Préventif systématique</t>
        </is>
      </c>
      <c r="G40" s="7" t="inlineStr">
        <is>
          <t>Mécanique</t>
        </is>
      </c>
      <c r="H40" s="67" t="n">
        <v>180</v>
      </c>
      <c r="I40" s="76" t="n">
        <v>3</v>
      </c>
      <c r="J40" s="7" t="inlineStr">
        <is>
          <t>Lucas Fontaine</t>
        </is>
      </c>
      <c r="K40" s="7" t="n"/>
      <c r="L40" s="65" t="n">
        <v>45824</v>
      </c>
      <c r="M40" s="7" t="inlineStr">
        <is>
          <t>Oui</t>
        </is>
      </c>
      <c r="N40" s="7" t="inlineStr">
        <is>
          <t>Graissage axes J1-J6 ; contrôle câbles et connecteurs</t>
        </is>
      </c>
      <c r="O40" s="78">
        <f>IF($A40="","",MAX(N(L40),INT(_xlfn.MAXIFS('Ordres de travail'!$R$5:$R$3004,'Ordres de travail'!$I$5:$I$3004,$A40,'Ordres de travail'!$AC$5:$AC$3004,"Clôturé"))))</f>
        <v/>
      </c>
      <c r="P40" s="78">
        <f>IF(OR($A40="",N(O40)=0),"",O40+H40)</f>
        <v/>
      </c>
      <c r="Q40" s="79">
        <f>IF(P40="","",P40-TODAY())</f>
        <v/>
      </c>
      <c r="R40" s="9">
        <f>IF($A40="","",IF(M40="Non","INACTIF",IF(Q40="","À DÉFINIR",IF(Q40&lt;0,"EN RETARD",IF(Q40&lt;='Paramètres'!$AA$12,"À PLANIFIER","OK")))))</f>
        <v/>
      </c>
      <c r="S40" s="9">
        <f>IF($A40="","",IF(SUM(COUNTIFS('Ordres de travail'!$I$5:$I$3004,$A40,'Ordres de travail'!$AC$5:$AC$3004,{"Demandé","Planifié","En cours","En attente pièces"}))&gt;0,"Oui","Non"))</f>
        <v/>
      </c>
      <c r="T40" s="68">
        <f>IF($A40="","",COUNTIFS('Ordres de travail'!$I$5:$I$3004,$A40,'Ordres de travail'!$AC$5:$AC$3004,"Clôturé",'Ordres de travail'!$R$5:$R$3004,"&gt;="&amp;'Paramètres'!$AA$6,'Ordres de travail'!$R$5:$R$3004,"&lt;"&amp;('Paramètres'!$AA$7+1)))</f>
        <v/>
      </c>
      <c r="U40" s="69">
        <f>IF(OR($A40="",N(H40)=0),"",IF(M40="Non",0,365/H40*I40))</f>
        <v/>
      </c>
    </row>
    <row r="41">
      <c r="A41" s="7" t="inlineStr">
        <is>
          <t>GP-037</t>
        </is>
      </c>
      <c r="B41" s="7" t="inlineStr">
        <is>
          <t>EQ-USI-012</t>
        </is>
      </c>
      <c r="C41" s="9">
        <f>IF(B41="","",IFERROR(INDEX('Équipements'!$B$5:$B$304,MATCH(B41,'Équipements'!$A$5:$A$304,0)),"Code inconnu"))</f>
        <v/>
      </c>
      <c r="D41" s="9">
        <f>IF(B41="","",IFERROR(INDEX('Équipements'!$D$5:$D$304,MATCH(B41,'Équipements'!$A$5:$A$304,0)),""))</f>
        <v/>
      </c>
      <c r="E41" s="7" t="inlineStr">
        <is>
          <t>Remplacement batteries codeurs et sauvegarde</t>
        </is>
      </c>
      <c r="F41" s="7" t="inlineStr">
        <is>
          <t>Préventif systématique</t>
        </is>
      </c>
      <c r="G41" s="7" t="inlineStr">
        <is>
          <t>Électrique</t>
        </is>
      </c>
      <c r="H41" s="67" t="n">
        <v>365</v>
      </c>
      <c r="I41" s="76" t="n">
        <v>1</v>
      </c>
      <c r="J41" s="7" t="inlineStr">
        <is>
          <t>Julien Moreau</t>
        </is>
      </c>
      <c r="K41" s="7" t="n"/>
      <c r="L41" s="65" t="n">
        <v>45824</v>
      </c>
      <c r="M41" s="7" t="inlineStr">
        <is>
          <t>Oui</t>
        </is>
      </c>
      <c r="N41" s="7" t="inlineStr">
        <is>
          <t>Remplacement batteries sous tension ; sauvegarde complète</t>
        </is>
      </c>
      <c r="O41" s="78">
        <f>IF($A41="","",MAX(N(L41),INT(_xlfn.MAXIFS('Ordres de travail'!$R$5:$R$3004,'Ordres de travail'!$I$5:$I$3004,$A41,'Ordres de travail'!$AC$5:$AC$3004,"Clôturé"))))</f>
        <v/>
      </c>
      <c r="P41" s="78">
        <f>IF(OR($A41="",N(O41)=0),"",O41+H41)</f>
        <v/>
      </c>
      <c r="Q41" s="79">
        <f>IF(P41="","",P41-TODAY())</f>
        <v/>
      </c>
      <c r="R41" s="9">
        <f>IF($A41="","",IF(M41="Non","INACTIF",IF(Q41="","À DÉFINIR",IF(Q41&lt;0,"EN RETARD",IF(Q41&lt;='Paramètres'!$AA$12,"À PLANIFIER","OK")))))</f>
        <v/>
      </c>
      <c r="S41" s="9">
        <f>IF($A41="","",IF(SUM(COUNTIFS('Ordres de travail'!$I$5:$I$3004,$A41,'Ordres de travail'!$AC$5:$AC$3004,{"Demandé","Planifié","En cours","En attente pièces"}))&gt;0,"Oui","Non"))</f>
        <v/>
      </c>
      <c r="T41" s="68">
        <f>IF($A41="","",COUNTIFS('Ordres de travail'!$I$5:$I$3004,$A41,'Ordres de travail'!$AC$5:$AC$3004,"Clôturé",'Ordres de travail'!$R$5:$R$3004,"&gt;="&amp;'Paramètres'!$AA$6,'Ordres de travail'!$R$5:$R$3004,"&lt;"&amp;('Paramètres'!$AA$7+1)))</f>
        <v/>
      </c>
      <c r="U41" s="69">
        <f>IF(OR($A41="",N(H41)=0),"",IF(M41="Non",0,365/H41*I41))</f>
        <v/>
      </c>
    </row>
    <row r="42">
      <c r="A42" s="7" t="inlineStr">
        <is>
          <t>GP-038</t>
        </is>
      </c>
      <c r="B42" s="7" t="inlineStr">
        <is>
          <t>EQ-TOL-001</t>
        </is>
      </c>
      <c r="C42" s="9">
        <f>IF(B42="","",IFERROR(INDEX('Équipements'!$B$5:$B$304,MATCH(B42,'Équipements'!$A$5:$A$304,0)),"Code inconnu"))</f>
        <v/>
      </c>
      <c r="D42" s="9">
        <f>IF(B42="","",IFERROR(INDEX('Équipements'!$D$5:$D$304,MATCH(B42,'Équipements'!$A$5:$A$304,0)),""))</f>
        <v/>
      </c>
      <c r="E42" s="7" t="inlineStr">
        <is>
          <t>Nettoyage optique, contrôle buse et lentille</t>
        </is>
      </c>
      <c r="F42" s="7" t="inlineStr">
        <is>
          <t>Préventif systématique</t>
        </is>
      </c>
      <c r="G42" s="7" t="inlineStr">
        <is>
          <t>Mécanique</t>
        </is>
      </c>
      <c r="H42" s="67" t="n">
        <v>30</v>
      </c>
      <c r="I42" s="76" t="n">
        <v>1.5</v>
      </c>
      <c r="J42" s="7" t="inlineStr">
        <is>
          <t>Karim Benali</t>
        </is>
      </c>
      <c r="K42" s="7" t="n"/>
      <c r="L42" s="65" t="n">
        <v>45639</v>
      </c>
      <c r="M42" s="7" t="inlineStr">
        <is>
          <t>Oui</t>
        </is>
      </c>
      <c r="N42" s="7" t="inlineStr">
        <is>
          <t>Remplacement verre de protection ; centrage buse ; contrôle lentille</t>
        </is>
      </c>
      <c r="O42" s="78">
        <f>IF($A42="","",MAX(N(L42),INT(_xlfn.MAXIFS('Ordres de travail'!$R$5:$R$3004,'Ordres de travail'!$I$5:$I$3004,$A42,'Ordres de travail'!$AC$5:$AC$3004,"Clôturé"))))</f>
        <v/>
      </c>
      <c r="P42" s="78">
        <f>IF(OR($A42="",N(O42)=0),"",O42+H42)</f>
        <v/>
      </c>
      <c r="Q42" s="79">
        <f>IF(P42="","",P42-TODAY())</f>
        <v/>
      </c>
      <c r="R42" s="9">
        <f>IF($A42="","",IF(M42="Non","INACTIF",IF(Q42="","À DÉFINIR",IF(Q42&lt;0,"EN RETARD",IF(Q42&lt;='Paramètres'!$AA$12,"À PLANIFIER","OK")))))</f>
        <v/>
      </c>
      <c r="S42" s="9">
        <f>IF($A42="","",IF(SUM(COUNTIFS('Ordres de travail'!$I$5:$I$3004,$A42,'Ordres de travail'!$AC$5:$AC$3004,{"Demandé","Planifié","En cours","En attente pièces"}))&gt;0,"Oui","Non"))</f>
        <v/>
      </c>
      <c r="T42" s="68">
        <f>IF($A42="","",COUNTIFS('Ordres de travail'!$I$5:$I$3004,$A42,'Ordres de travail'!$AC$5:$AC$3004,"Clôturé",'Ordres de travail'!$R$5:$R$3004,"&gt;="&amp;'Paramètres'!$AA$6,'Ordres de travail'!$R$5:$R$3004,"&lt;"&amp;('Paramètres'!$AA$7+1)))</f>
        <v/>
      </c>
      <c r="U42" s="69">
        <f>IF(OR($A42="",N(H42)=0),"",IF(M42="Non",0,365/H42*I42))</f>
        <v/>
      </c>
    </row>
    <row r="43">
      <c r="A43" s="7" t="inlineStr">
        <is>
          <t>GP-039</t>
        </is>
      </c>
      <c r="B43" s="7" t="inlineStr">
        <is>
          <t>EQ-TOL-001</t>
        </is>
      </c>
      <c r="C43" s="9">
        <f>IF(B43="","",IFERROR(INDEX('Équipements'!$B$5:$B$304,MATCH(B43,'Équipements'!$A$5:$A$304,0)),"Code inconnu"))</f>
        <v/>
      </c>
      <c r="D43" s="9">
        <f>IF(B43="","",IFERROR(INDEX('Équipements'!$D$5:$D$304,MATCH(B43,'Équipements'!$A$5:$A$304,0)),""))</f>
        <v/>
      </c>
      <c r="E43" s="7" t="inlineStr">
        <is>
          <t>Maintenance groupe froid laser (filtres, eau)</t>
        </is>
      </c>
      <c r="F43" s="7" t="inlineStr">
        <is>
          <t>Préventif systématique</t>
        </is>
      </c>
      <c r="G43" s="7" t="inlineStr">
        <is>
          <t>Mécanique</t>
        </is>
      </c>
      <c r="H43" s="67" t="n">
        <v>90</v>
      </c>
      <c r="I43" s="76" t="n">
        <v>2</v>
      </c>
      <c r="J43" s="7" t="inlineStr">
        <is>
          <t>Antoine Mercier</t>
        </is>
      </c>
      <c r="K43" s="7" t="n"/>
      <c r="L43" s="65" t="n">
        <v>45578</v>
      </c>
      <c r="M43" s="7" t="inlineStr">
        <is>
          <t>Oui</t>
        </is>
      </c>
      <c r="N43" s="7" t="inlineStr">
        <is>
          <t>Nettoyage filtres ; vidange eau déminéralisée ; contrôle conductivité</t>
        </is>
      </c>
      <c r="O43" s="78">
        <f>IF($A43="","",MAX(N(L43),INT(_xlfn.MAXIFS('Ordres de travail'!$R$5:$R$3004,'Ordres de travail'!$I$5:$I$3004,$A43,'Ordres de travail'!$AC$5:$AC$3004,"Clôturé"))))</f>
        <v/>
      </c>
      <c r="P43" s="78">
        <f>IF(OR($A43="",N(O43)=0),"",O43+H43)</f>
        <v/>
      </c>
      <c r="Q43" s="79">
        <f>IF(P43="","",P43-TODAY())</f>
        <v/>
      </c>
      <c r="R43" s="9">
        <f>IF($A43="","",IF(M43="Non","INACTIF",IF(Q43="","À DÉFINIR",IF(Q43&lt;0,"EN RETARD",IF(Q43&lt;='Paramètres'!$AA$12,"À PLANIFIER","OK")))))</f>
        <v/>
      </c>
      <c r="S43" s="9">
        <f>IF($A43="","",IF(SUM(COUNTIFS('Ordres de travail'!$I$5:$I$3004,$A43,'Ordres de travail'!$AC$5:$AC$3004,{"Demandé","Planifié","En cours","En attente pièces"}))&gt;0,"Oui","Non"))</f>
        <v/>
      </c>
      <c r="T43" s="68">
        <f>IF($A43="","",COUNTIFS('Ordres de travail'!$I$5:$I$3004,$A43,'Ordres de travail'!$AC$5:$AC$3004,"Clôturé",'Ordres de travail'!$R$5:$R$3004,"&gt;="&amp;'Paramètres'!$AA$6,'Ordres de travail'!$R$5:$R$3004,"&lt;"&amp;('Paramètres'!$AA$7+1)))</f>
        <v/>
      </c>
      <c r="U43" s="69">
        <f>IF(OR($A43="",N(H43)=0),"",IF(M43="Non",0,365/H43*I43))</f>
        <v/>
      </c>
    </row>
    <row r="44">
      <c r="A44" s="7" t="inlineStr">
        <is>
          <t>GP-040</t>
        </is>
      </c>
      <c r="B44" s="7" t="inlineStr">
        <is>
          <t>EQ-TOL-001</t>
        </is>
      </c>
      <c r="C44" s="9">
        <f>IF(B44="","",IFERROR(INDEX('Équipements'!$B$5:$B$304,MATCH(B44,'Équipements'!$A$5:$A$304,0)),"Code inconnu"))</f>
        <v/>
      </c>
      <c r="D44" s="9">
        <f>IF(B44="","",IFERROR(INDEX('Équipements'!$D$5:$D$304,MATCH(B44,'Équipements'!$A$5:$A$304,0)),""))</f>
        <v/>
      </c>
      <c r="E44" s="7" t="inlineStr">
        <is>
          <t>Entretien annuel constructeur (source et tête de coupe)</t>
        </is>
      </c>
      <c r="F44" s="7" t="inlineStr">
        <is>
          <t>Préventif systématique</t>
        </is>
      </c>
      <c r="G44" s="7" t="inlineStr">
        <is>
          <t>Multi-technique</t>
        </is>
      </c>
      <c r="H44" s="67" t="n">
        <v>365</v>
      </c>
      <c r="I44" s="76" t="n">
        <v>8</v>
      </c>
      <c r="J44" s="7" t="inlineStr">
        <is>
          <t>Antoine Mercier</t>
        </is>
      </c>
      <c r="K44" s="7" t="inlineStr">
        <is>
          <t>LaserCare Services</t>
        </is>
      </c>
      <c r="L44" s="65" t="n">
        <v>45579</v>
      </c>
      <c r="M44" s="7" t="inlineStr">
        <is>
          <t>Oui</t>
        </is>
      </c>
      <c r="N44" s="7" t="inlineStr">
        <is>
          <t>Visite SAV constructeur selon contrat</t>
        </is>
      </c>
      <c r="O44" s="78">
        <f>IF($A44="","",MAX(N(L44),INT(_xlfn.MAXIFS('Ordres de travail'!$R$5:$R$3004,'Ordres de travail'!$I$5:$I$3004,$A44,'Ordres de travail'!$AC$5:$AC$3004,"Clôturé"))))</f>
        <v/>
      </c>
      <c r="P44" s="78">
        <f>IF(OR($A44="",N(O44)=0),"",O44+H44)</f>
        <v/>
      </c>
      <c r="Q44" s="79">
        <f>IF(P44="","",P44-TODAY())</f>
        <v/>
      </c>
      <c r="R44" s="9">
        <f>IF($A44="","",IF(M44="Non","INACTIF",IF(Q44="","À DÉFINIR",IF(Q44&lt;0,"EN RETARD",IF(Q44&lt;='Paramètres'!$AA$12,"À PLANIFIER","OK")))))</f>
        <v/>
      </c>
      <c r="S44" s="9">
        <f>IF($A44="","",IF(SUM(COUNTIFS('Ordres de travail'!$I$5:$I$3004,$A44,'Ordres de travail'!$AC$5:$AC$3004,{"Demandé","Planifié","En cours","En attente pièces"}))&gt;0,"Oui","Non"))</f>
        <v/>
      </c>
      <c r="T44" s="68">
        <f>IF($A44="","",COUNTIFS('Ordres de travail'!$I$5:$I$3004,$A44,'Ordres de travail'!$AC$5:$AC$3004,"Clôturé",'Ordres de travail'!$R$5:$R$3004,"&gt;="&amp;'Paramètres'!$AA$6,'Ordres de travail'!$R$5:$R$3004,"&lt;"&amp;('Paramètres'!$AA$7+1)))</f>
        <v/>
      </c>
      <c r="U44" s="69">
        <f>IF(OR($A44="",N(H44)=0),"",IF(M44="Non",0,365/H44*I44))</f>
        <v/>
      </c>
    </row>
    <row r="45">
      <c r="A45" s="7" t="inlineStr">
        <is>
          <t>GP-041</t>
        </is>
      </c>
      <c r="B45" s="7" t="inlineStr">
        <is>
          <t>EQ-TOL-002</t>
        </is>
      </c>
      <c r="C45" s="9">
        <f>IF(B45="","",IFERROR(INDEX('Équipements'!$B$5:$B$304,MATCH(B45,'Équipements'!$A$5:$A$304,0)),"Code inconnu"))</f>
        <v/>
      </c>
      <c r="D45" s="9">
        <f>IF(B45="","",IFERROR(INDEX('Équipements'!$D$5:$D$304,MATCH(B45,'Équipements'!$A$5:$A$304,0)),""))</f>
        <v/>
      </c>
      <c r="E45" s="7" t="inlineStr">
        <is>
          <t>Contrôle hydraulique : fuites, niveaux, pressions</t>
        </is>
      </c>
      <c r="F45" s="7" t="inlineStr">
        <is>
          <t>Préventif systématique</t>
        </is>
      </c>
      <c r="G45" s="7" t="inlineStr">
        <is>
          <t>Hydraulique</t>
        </is>
      </c>
      <c r="H45" s="67" t="n">
        <v>90</v>
      </c>
      <c r="I45" s="76" t="n">
        <v>1.5</v>
      </c>
      <c r="J45" s="7" t="inlineStr">
        <is>
          <t>Antoine Mercier</t>
        </is>
      </c>
      <c r="K45" s="7" t="n"/>
      <c r="L45" s="65" t="n">
        <v>45575</v>
      </c>
      <c r="M45" s="7" t="inlineStr">
        <is>
          <t>Oui</t>
        </is>
      </c>
      <c r="N45" s="7" t="inlineStr">
        <is>
          <t>Contrôle niveau ; relevé pressions ; contrôle flexibles ; fuites</t>
        </is>
      </c>
      <c r="O45" s="78">
        <f>IF($A45="","",MAX(N(L45),INT(_xlfn.MAXIFS('Ordres de travail'!$R$5:$R$3004,'Ordres de travail'!$I$5:$I$3004,$A45,'Ordres de travail'!$AC$5:$AC$3004,"Clôturé"))))</f>
        <v/>
      </c>
      <c r="P45" s="78">
        <f>IF(OR($A45="",N(O45)=0),"",O45+H45)</f>
        <v/>
      </c>
      <c r="Q45" s="79">
        <f>IF(P45="","",P45-TODAY())</f>
        <v/>
      </c>
      <c r="R45" s="9">
        <f>IF($A45="","",IF(M45="Non","INACTIF",IF(Q45="","À DÉFINIR",IF(Q45&lt;0,"EN RETARD",IF(Q45&lt;='Paramètres'!$AA$12,"À PLANIFIER","OK")))))</f>
        <v/>
      </c>
      <c r="S45" s="9">
        <f>IF($A45="","",IF(SUM(COUNTIFS('Ordres de travail'!$I$5:$I$3004,$A45,'Ordres de travail'!$AC$5:$AC$3004,{"Demandé","Planifié","En cours","En attente pièces"}))&gt;0,"Oui","Non"))</f>
        <v/>
      </c>
      <c r="T45" s="68">
        <f>IF($A45="","",COUNTIFS('Ordres de travail'!$I$5:$I$3004,$A45,'Ordres de travail'!$AC$5:$AC$3004,"Clôturé",'Ordres de travail'!$R$5:$R$3004,"&gt;="&amp;'Paramètres'!$AA$6,'Ordres de travail'!$R$5:$R$3004,"&lt;"&amp;('Paramètres'!$AA$7+1)))</f>
        <v/>
      </c>
      <c r="U45" s="69">
        <f>IF(OR($A45="",N(H45)=0),"",IF(M45="Non",0,365/H45*I45))</f>
        <v/>
      </c>
    </row>
    <row r="46">
      <c r="A46" s="7" t="inlineStr">
        <is>
          <t>GP-042</t>
        </is>
      </c>
      <c r="B46" s="7" t="inlineStr">
        <is>
          <t>EQ-TOL-002</t>
        </is>
      </c>
      <c r="C46" s="9">
        <f>IF(B46="","",IFERROR(INDEX('Équipements'!$B$5:$B$304,MATCH(B46,'Équipements'!$A$5:$A$304,0)),"Code inconnu"))</f>
        <v/>
      </c>
      <c r="D46" s="9">
        <f>IF(B46="","",IFERROR(INDEX('Équipements'!$D$5:$D$304,MATCH(B46,'Équipements'!$A$5:$A$304,0)),""))</f>
        <v/>
      </c>
      <c r="E46" s="7" t="inlineStr">
        <is>
          <t>Vidange huile hydraulique et filtres</t>
        </is>
      </c>
      <c r="F46" s="7" t="inlineStr">
        <is>
          <t>Préventif conditionnel</t>
        </is>
      </c>
      <c r="G46" s="7" t="inlineStr">
        <is>
          <t>Hydraulique</t>
        </is>
      </c>
      <c r="H46" s="67" t="n">
        <v>730</v>
      </c>
      <c r="I46" s="76" t="n">
        <v>4</v>
      </c>
      <c r="J46" s="7" t="inlineStr">
        <is>
          <t>Antoine Mercier</t>
        </is>
      </c>
      <c r="K46" s="7" t="n"/>
      <c r="L46" s="65" t="n">
        <v>45271</v>
      </c>
      <c r="M46" s="7" t="inlineStr">
        <is>
          <t>Oui</t>
        </is>
      </c>
      <c r="N46" s="7" t="inlineStr">
        <is>
          <t>Déclenchée sur analyse d'huile ; vidange ; filtres HP et retour</t>
        </is>
      </c>
      <c r="O46" s="78">
        <f>IF($A46="","",MAX(N(L46),INT(_xlfn.MAXIFS('Ordres de travail'!$R$5:$R$3004,'Ordres de travail'!$I$5:$I$3004,$A46,'Ordres de travail'!$AC$5:$AC$3004,"Clôturé"))))</f>
        <v/>
      </c>
      <c r="P46" s="78">
        <f>IF(OR($A46="",N(O46)=0),"",O46+H46)</f>
        <v/>
      </c>
      <c r="Q46" s="79">
        <f>IF(P46="","",P46-TODAY())</f>
        <v/>
      </c>
      <c r="R46" s="9">
        <f>IF($A46="","",IF(M46="Non","INACTIF",IF(Q46="","À DÉFINIR",IF(Q46&lt;0,"EN RETARD",IF(Q46&lt;='Paramètres'!$AA$12,"À PLANIFIER","OK")))))</f>
        <v/>
      </c>
      <c r="S46" s="9">
        <f>IF($A46="","",IF(SUM(COUNTIFS('Ordres de travail'!$I$5:$I$3004,$A46,'Ordres de travail'!$AC$5:$AC$3004,{"Demandé","Planifié","En cours","En attente pièces"}))&gt;0,"Oui","Non"))</f>
        <v/>
      </c>
      <c r="T46" s="68">
        <f>IF($A46="","",COUNTIFS('Ordres de travail'!$I$5:$I$3004,$A46,'Ordres de travail'!$AC$5:$AC$3004,"Clôturé",'Ordres de travail'!$R$5:$R$3004,"&gt;="&amp;'Paramètres'!$AA$6,'Ordres de travail'!$R$5:$R$3004,"&lt;"&amp;('Paramètres'!$AA$7+1)))</f>
        <v/>
      </c>
      <c r="U46" s="69">
        <f>IF(OR($A46="",N(H46)=0),"",IF(M46="Non",0,365/H46*I46))</f>
        <v/>
      </c>
    </row>
    <row r="47">
      <c r="A47" s="7" t="inlineStr">
        <is>
          <t>GP-043</t>
        </is>
      </c>
      <c r="B47" s="7" t="inlineStr">
        <is>
          <t>EQ-TOL-002</t>
        </is>
      </c>
      <c r="C47" s="9">
        <f>IF(B47="","",IFERROR(INDEX('Équipements'!$B$5:$B$304,MATCH(B47,'Équipements'!$A$5:$A$304,0)),"Code inconnu"))</f>
        <v/>
      </c>
      <c r="D47" s="9">
        <f>IF(B47="","",IFERROR(INDEX('Équipements'!$D$5:$D$304,MATCH(B47,'Équipements'!$A$5:$A$304,0)),""))</f>
        <v/>
      </c>
      <c r="E47" s="7" t="inlineStr">
        <is>
          <t>Contrôle des sécurités (barrages, AU, pédale)</t>
        </is>
      </c>
      <c r="F47" s="7" t="inlineStr">
        <is>
          <t>Préventif systématique</t>
        </is>
      </c>
      <c r="G47" s="7" t="inlineStr">
        <is>
          <t>Électrique</t>
        </is>
      </c>
      <c r="H47" s="67" t="n">
        <v>90</v>
      </c>
      <c r="I47" s="76" t="n">
        <v>1</v>
      </c>
      <c r="J47" s="7" t="inlineStr">
        <is>
          <t>Julien Moreau</t>
        </is>
      </c>
      <c r="K47" s="7" t="n"/>
      <c r="L47" s="65" t="n">
        <v>45639</v>
      </c>
      <c r="M47" s="7" t="inlineStr">
        <is>
          <t>Oui</t>
        </is>
      </c>
      <c r="N47" s="7" t="inlineStr">
        <is>
          <t>Test barrages immatériels ; test temps d'arrêt ; AU ; pédale 3 positions</t>
        </is>
      </c>
      <c r="O47" s="78">
        <f>IF($A47="","",MAX(N(L47),INT(_xlfn.MAXIFS('Ordres de travail'!$R$5:$R$3004,'Ordres de travail'!$I$5:$I$3004,$A47,'Ordres de travail'!$AC$5:$AC$3004,"Clôturé"))))</f>
        <v/>
      </c>
      <c r="P47" s="78">
        <f>IF(OR($A47="",N(O47)=0),"",O47+H47)</f>
        <v/>
      </c>
      <c r="Q47" s="79">
        <f>IF(P47="","",P47-TODAY())</f>
        <v/>
      </c>
      <c r="R47" s="9">
        <f>IF($A47="","",IF(M47="Non","INACTIF",IF(Q47="","À DÉFINIR",IF(Q47&lt;0,"EN RETARD",IF(Q47&lt;='Paramètres'!$AA$12,"À PLANIFIER","OK")))))</f>
        <v/>
      </c>
      <c r="S47" s="9">
        <f>IF($A47="","",IF(SUM(COUNTIFS('Ordres de travail'!$I$5:$I$3004,$A47,'Ordres de travail'!$AC$5:$AC$3004,{"Demandé","Planifié","En cours","En attente pièces"}))&gt;0,"Oui","Non"))</f>
        <v/>
      </c>
      <c r="T47" s="68">
        <f>IF($A47="","",COUNTIFS('Ordres de travail'!$I$5:$I$3004,$A47,'Ordres de travail'!$AC$5:$AC$3004,"Clôturé",'Ordres de travail'!$R$5:$R$3004,"&gt;="&amp;'Paramètres'!$AA$6,'Ordres de travail'!$R$5:$R$3004,"&lt;"&amp;('Paramètres'!$AA$7+1)))</f>
        <v/>
      </c>
      <c r="U47" s="69">
        <f>IF(OR($A47="",N(H47)=0),"",IF(M47="Non",0,365/H47*I47))</f>
        <v/>
      </c>
    </row>
    <row r="48">
      <c r="A48" s="7" t="inlineStr">
        <is>
          <t>GP-044</t>
        </is>
      </c>
      <c r="B48" s="7" t="inlineStr">
        <is>
          <t>EQ-TOL-003</t>
        </is>
      </c>
      <c r="C48" s="9">
        <f>IF(B48="","",IFERROR(INDEX('Équipements'!$B$5:$B$304,MATCH(B48,'Équipements'!$A$5:$A$304,0)),"Code inconnu"))</f>
        <v/>
      </c>
      <c r="D48" s="9">
        <f>IF(B48="","",IFERROR(INDEX('Équipements'!$D$5:$D$304,MATCH(B48,'Équipements'!$A$5:$A$304,0)),""))</f>
        <v/>
      </c>
      <c r="E48" s="7" t="inlineStr">
        <is>
          <t>Contrôle hydraulique : fuites, niveaux, pressions</t>
        </is>
      </c>
      <c r="F48" s="7" t="inlineStr">
        <is>
          <t>Préventif systématique</t>
        </is>
      </c>
      <c r="G48" s="7" t="inlineStr">
        <is>
          <t>Hydraulique</t>
        </is>
      </c>
      <c r="H48" s="67" t="n">
        <v>90</v>
      </c>
      <c r="I48" s="76" t="n">
        <v>1.5</v>
      </c>
      <c r="J48" s="7" t="inlineStr">
        <is>
          <t>Karim Benali</t>
        </is>
      </c>
      <c r="K48" s="7" t="n"/>
      <c r="L48" s="65" t="n">
        <v>45579</v>
      </c>
      <c r="M48" s="7" t="inlineStr">
        <is>
          <t>Oui</t>
        </is>
      </c>
      <c r="N48" s="7" t="inlineStr">
        <is>
          <t>Contrôle niveau ; relevé pressions ; contrôle flexibles ; fuites</t>
        </is>
      </c>
      <c r="O48" s="78">
        <f>IF($A48="","",MAX(N(L48),INT(_xlfn.MAXIFS('Ordres de travail'!$R$5:$R$3004,'Ordres de travail'!$I$5:$I$3004,$A48,'Ordres de travail'!$AC$5:$AC$3004,"Clôturé"))))</f>
        <v/>
      </c>
      <c r="P48" s="78">
        <f>IF(OR($A48="",N(O48)=0),"",O48+H48)</f>
        <v/>
      </c>
      <c r="Q48" s="79">
        <f>IF(P48="","",P48-TODAY())</f>
        <v/>
      </c>
      <c r="R48" s="9">
        <f>IF($A48="","",IF(M48="Non","INACTIF",IF(Q48="","À DÉFINIR",IF(Q48&lt;0,"EN RETARD",IF(Q48&lt;='Paramètres'!$AA$12,"À PLANIFIER","OK")))))</f>
        <v/>
      </c>
      <c r="S48" s="9">
        <f>IF($A48="","",IF(SUM(COUNTIFS('Ordres de travail'!$I$5:$I$3004,$A48,'Ordres de travail'!$AC$5:$AC$3004,{"Demandé","Planifié","En cours","En attente pièces"}))&gt;0,"Oui","Non"))</f>
        <v/>
      </c>
      <c r="T48" s="68">
        <f>IF($A48="","",COUNTIFS('Ordres de travail'!$I$5:$I$3004,$A48,'Ordres de travail'!$AC$5:$AC$3004,"Clôturé",'Ordres de travail'!$R$5:$R$3004,"&gt;="&amp;'Paramètres'!$AA$6,'Ordres de travail'!$R$5:$R$3004,"&lt;"&amp;('Paramètres'!$AA$7+1)))</f>
        <v/>
      </c>
      <c r="U48" s="69">
        <f>IF(OR($A48="",N(H48)=0),"",IF(M48="Non",0,365/H48*I48))</f>
        <v/>
      </c>
    </row>
    <row r="49">
      <c r="A49" s="7" t="inlineStr">
        <is>
          <t>GP-045</t>
        </is>
      </c>
      <c r="B49" s="7" t="inlineStr">
        <is>
          <t>EQ-TOL-003</t>
        </is>
      </c>
      <c r="C49" s="9">
        <f>IF(B49="","",IFERROR(INDEX('Équipements'!$B$5:$B$304,MATCH(B49,'Équipements'!$A$5:$A$304,0)),"Code inconnu"))</f>
        <v/>
      </c>
      <c r="D49" s="9">
        <f>IF(B49="","",IFERROR(INDEX('Équipements'!$D$5:$D$304,MATCH(B49,'Équipements'!$A$5:$A$304,0)),""))</f>
        <v/>
      </c>
      <c r="E49" s="7" t="inlineStr">
        <is>
          <t>Vidange huile hydraulique et filtres</t>
        </is>
      </c>
      <c r="F49" s="7" t="inlineStr">
        <is>
          <t>Préventif conditionnel</t>
        </is>
      </c>
      <c r="G49" s="7" t="inlineStr">
        <is>
          <t>Hydraulique</t>
        </is>
      </c>
      <c r="H49" s="67" t="n">
        <v>730</v>
      </c>
      <c r="I49" s="76" t="n">
        <v>4</v>
      </c>
      <c r="J49" s="7" t="inlineStr">
        <is>
          <t>Karim Benali</t>
        </is>
      </c>
      <c r="K49" s="7" t="n"/>
      <c r="L49" s="65" t="n">
        <v>45164</v>
      </c>
      <c r="M49" s="7" t="inlineStr">
        <is>
          <t>Oui</t>
        </is>
      </c>
      <c r="N49" s="7" t="inlineStr">
        <is>
          <t>Déclenchée sur analyse d'huile ; vidange ; filtres HP et retour</t>
        </is>
      </c>
      <c r="O49" s="78">
        <f>IF($A49="","",MAX(N(L49),INT(_xlfn.MAXIFS('Ordres de travail'!$R$5:$R$3004,'Ordres de travail'!$I$5:$I$3004,$A49,'Ordres de travail'!$AC$5:$AC$3004,"Clôturé"))))</f>
        <v/>
      </c>
      <c r="P49" s="78">
        <f>IF(OR($A49="",N(O49)=0),"",O49+H49)</f>
        <v/>
      </c>
      <c r="Q49" s="79">
        <f>IF(P49="","",P49-TODAY())</f>
        <v/>
      </c>
      <c r="R49" s="9">
        <f>IF($A49="","",IF(M49="Non","INACTIF",IF(Q49="","À DÉFINIR",IF(Q49&lt;0,"EN RETARD",IF(Q49&lt;='Paramètres'!$AA$12,"À PLANIFIER","OK")))))</f>
        <v/>
      </c>
      <c r="S49" s="9">
        <f>IF($A49="","",IF(SUM(COUNTIFS('Ordres de travail'!$I$5:$I$3004,$A49,'Ordres de travail'!$AC$5:$AC$3004,{"Demandé","Planifié","En cours","En attente pièces"}))&gt;0,"Oui","Non"))</f>
        <v/>
      </c>
      <c r="T49" s="68">
        <f>IF($A49="","",COUNTIFS('Ordres de travail'!$I$5:$I$3004,$A49,'Ordres de travail'!$AC$5:$AC$3004,"Clôturé",'Ordres de travail'!$R$5:$R$3004,"&gt;="&amp;'Paramètres'!$AA$6,'Ordres de travail'!$R$5:$R$3004,"&lt;"&amp;('Paramètres'!$AA$7+1)))</f>
        <v/>
      </c>
      <c r="U49" s="69">
        <f>IF(OR($A49="",N(H49)=0),"",IF(M49="Non",0,365/H49*I49))</f>
        <v/>
      </c>
    </row>
    <row r="50">
      <c r="A50" s="7" t="inlineStr">
        <is>
          <t>GP-046</t>
        </is>
      </c>
      <c r="B50" s="7" t="inlineStr">
        <is>
          <t>EQ-TOL-003</t>
        </is>
      </c>
      <c r="C50" s="9">
        <f>IF(B50="","",IFERROR(INDEX('Équipements'!$B$5:$B$304,MATCH(B50,'Équipements'!$A$5:$A$304,0)),"Code inconnu"))</f>
        <v/>
      </c>
      <c r="D50" s="9">
        <f>IF(B50="","",IFERROR(INDEX('Équipements'!$D$5:$D$304,MATCH(B50,'Équipements'!$A$5:$A$304,0)),""))</f>
        <v/>
      </c>
      <c r="E50" s="7" t="inlineStr">
        <is>
          <t>Contrôle des sécurités (barrages, AU, pédale)</t>
        </is>
      </c>
      <c r="F50" s="7" t="inlineStr">
        <is>
          <t>Préventif systématique</t>
        </is>
      </c>
      <c r="G50" s="7" t="inlineStr">
        <is>
          <t>Électrique</t>
        </is>
      </c>
      <c r="H50" s="67" t="n">
        <v>90</v>
      </c>
      <c r="I50" s="76" t="n">
        <v>1</v>
      </c>
      <c r="J50" s="7" t="inlineStr">
        <is>
          <t>Antoine Mercier</t>
        </is>
      </c>
      <c r="K50" s="7" t="n"/>
      <c r="L50" s="65" t="n">
        <v>45616</v>
      </c>
      <c r="M50" s="7" t="inlineStr">
        <is>
          <t>Oui</t>
        </is>
      </c>
      <c r="N50" s="7" t="inlineStr">
        <is>
          <t>Test barrages immatériels ; test temps d'arrêt ; AU ; pédale 3 positions</t>
        </is>
      </c>
      <c r="O50" s="78">
        <f>IF($A50="","",MAX(N(L50),INT(_xlfn.MAXIFS('Ordres de travail'!$R$5:$R$3004,'Ordres de travail'!$I$5:$I$3004,$A50,'Ordres de travail'!$AC$5:$AC$3004,"Clôturé"))))</f>
        <v/>
      </c>
      <c r="P50" s="78">
        <f>IF(OR($A50="",N(O50)=0),"",O50+H50)</f>
        <v/>
      </c>
      <c r="Q50" s="79">
        <f>IF(P50="","",P50-TODAY())</f>
        <v/>
      </c>
      <c r="R50" s="9">
        <f>IF($A50="","",IF(M50="Non","INACTIF",IF(Q50="","À DÉFINIR",IF(Q50&lt;0,"EN RETARD",IF(Q50&lt;='Paramètres'!$AA$12,"À PLANIFIER","OK")))))</f>
        <v/>
      </c>
      <c r="S50" s="9">
        <f>IF($A50="","",IF(SUM(COUNTIFS('Ordres de travail'!$I$5:$I$3004,$A50,'Ordres de travail'!$AC$5:$AC$3004,{"Demandé","Planifié","En cours","En attente pièces"}))&gt;0,"Oui","Non"))</f>
        <v/>
      </c>
      <c r="T50" s="68">
        <f>IF($A50="","",COUNTIFS('Ordres de travail'!$I$5:$I$3004,$A50,'Ordres de travail'!$AC$5:$AC$3004,"Clôturé",'Ordres de travail'!$R$5:$R$3004,"&gt;="&amp;'Paramètres'!$AA$6,'Ordres de travail'!$R$5:$R$3004,"&lt;"&amp;('Paramètres'!$AA$7+1)))</f>
        <v/>
      </c>
      <c r="U50" s="69">
        <f>IF(OR($A50="",N(H50)=0),"",IF(M50="Non",0,365/H50*I50))</f>
        <v/>
      </c>
    </row>
    <row r="51">
      <c r="A51" s="7" t="inlineStr">
        <is>
          <t>GP-047</t>
        </is>
      </c>
      <c r="B51" s="7" t="inlineStr">
        <is>
          <t>EQ-TOL-004</t>
        </is>
      </c>
      <c r="C51" s="9">
        <f>IF(B51="","",IFERROR(INDEX('Équipements'!$B$5:$B$304,MATCH(B51,'Équipements'!$A$5:$A$304,0)),"Code inconnu"))</f>
        <v/>
      </c>
      <c r="D51" s="9">
        <f>IF(B51="","",IFERROR(INDEX('Équipements'!$D$5:$D$304,MATCH(B51,'Équipements'!$A$5:$A$304,0)),""))</f>
        <v/>
      </c>
      <c r="E51" s="7" t="inlineStr">
        <is>
          <t>Contrôle hydraulique : fuites, niveaux, pressions</t>
        </is>
      </c>
      <c r="F51" s="7" t="inlineStr">
        <is>
          <t>Préventif systématique</t>
        </is>
      </c>
      <c r="G51" s="7" t="inlineStr">
        <is>
          <t>Hydraulique</t>
        </is>
      </c>
      <c r="H51" s="67" t="n">
        <v>90</v>
      </c>
      <c r="I51" s="76" t="n">
        <v>1.5</v>
      </c>
      <c r="J51" s="7" t="inlineStr">
        <is>
          <t>Antoine Mercier</t>
        </is>
      </c>
      <c r="K51" s="7" t="n"/>
      <c r="L51" s="65" t="n">
        <v>45630</v>
      </c>
      <c r="M51" s="7" t="inlineStr">
        <is>
          <t>Oui</t>
        </is>
      </c>
      <c r="N51" s="7" t="inlineStr">
        <is>
          <t>Contrôle niveau ; relevé pressions ; contrôle flexibles ; fuites</t>
        </is>
      </c>
      <c r="O51" s="78">
        <f>IF($A51="","",MAX(N(L51),INT(_xlfn.MAXIFS('Ordres de travail'!$R$5:$R$3004,'Ordres de travail'!$I$5:$I$3004,$A51,'Ordres de travail'!$AC$5:$AC$3004,"Clôturé"))))</f>
        <v/>
      </c>
      <c r="P51" s="78">
        <f>IF(OR($A51="",N(O51)=0),"",O51+H51)</f>
        <v/>
      </c>
      <c r="Q51" s="79">
        <f>IF(P51="","",P51-TODAY())</f>
        <v/>
      </c>
      <c r="R51" s="9">
        <f>IF($A51="","",IF(M51="Non","INACTIF",IF(Q51="","À DÉFINIR",IF(Q51&lt;0,"EN RETARD",IF(Q51&lt;='Paramètres'!$AA$12,"À PLANIFIER","OK")))))</f>
        <v/>
      </c>
      <c r="S51" s="9">
        <f>IF($A51="","",IF(SUM(COUNTIFS('Ordres de travail'!$I$5:$I$3004,$A51,'Ordres de travail'!$AC$5:$AC$3004,{"Demandé","Planifié","En cours","En attente pièces"}))&gt;0,"Oui","Non"))</f>
        <v/>
      </c>
      <c r="T51" s="68">
        <f>IF($A51="","",COUNTIFS('Ordres de travail'!$I$5:$I$3004,$A51,'Ordres de travail'!$AC$5:$AC$3004,"Clôturé",'Ordres de travail'!$R$5:$R$3004,"&gt;="&amp;'Paramètres'!$AA$6,'Ordres de travail'!$R$5:$R$3004,"&lt;"&amp;('Paramètres'!$AA$7+1)))</f>
        <v/>
      </c>
      <c r="U51" s="69">
        <f>IF(OR($A51="",N(H51)=0),"",IF(M51="Non",0,365/H51*I51))</f>
        <v/>
      </c>
    </row>
    <row r="52">
      <c r="A52" s="7" t="inlineStr">
        <is>
          <t>GP-048</t>
        </is>
      </c>
      <c r="B52" s="7" t="inlineStr">
        <is>
          <t>EQ-TOL-004</t>
        </is>
      </c>
      <c r="C52" s="9">
        <f>IF(B52="","",IFERROR(INDEX('Équipements'!$B$5:$B$304,MATCH(B52,'Équipements'!$A$5:$A$304,0)),"Code inconnu"))</f>
        <v/>
      </c>
      <c r="D52" s="9">
        <f>IF(B52="","",IFERROR(INDEX('Équipements'!$D$5:$D$304,MATCH(B52,'Équipements'!$A$5:$A$304,0)),""))</f>
        <v/>
      </c>
      <c r="E52" s="7" t="inlineStr">
        <is>
          <t>Vidange huile hydraulique et filtres</t>
        </is>
      </c>
      <c r="F52" s="7" t="inlineStr">
        <is>
          <t>Préventif conditionnel</t>
        </is>
      </c>
      <c r="G52" s="7" t="inlineStr">
        <is>
          <t>Hydraulique</t>
        </is>
      </c>
      <c r="H52" s="67" t="n">
        <v>730</v>
      </c>
      <c r="I52" s="76" t="n">
        <v>4</v>
      </c>
      <c r="J52" s="7" t="inlineStr">
        <is>
          <t>Antoine Mercier</t>
        </is>
      </c>
      <c r="K52" s="7" t="n"/>
      <c r="L52" s="65" t="n">
        <v>45141</v>
      </c>
      <c r="M52" s="7" t="inlineStr">
        <is>
          <t>Oui</t>
        </is>
      </c>
      <c r="N52" s="7" t="inlineStr">
        <is>
          <t>Déclenchée sur analyse d'huile ; vidange ; filtres HP et retour</t>
        </is>
      </c>
      <c r="O52" s="78">
        <f>IF($A52="","",MAX(N(L52),INT(_xlfn.MAXIFS('Ordres de travail'!$R$5:$R$3004,'Ordres de travail'!$I$5:$I$3004,$A52,'Ordres de travail'!$AC$5:$AC$3004,"Clôturé"))))</f>
        <v/>
      </c>
      <c r="P52" s="78">
        <f>IF(OR($A52="",N(O52)=0),"",O52+H52)</f>
        <v/>
      </c>
      <c r="Q52" s="79">
        <f>IF(P52="","",P52-TODAY())</f>
        <v/>
      </c>
      <c r="R52" s="9">
        <f>IF($A52="","",IF(M52="Non","INACTIF",IF(Q52="","À DÉFINIR",IF(Q52&lt;0,"EN RETARD",IF(Q52&lt;='Paramètres'!$AA$12,"À PLANIFIER","OK")))))</f>
        <v/>
      </c>
      <c r="S52" s="9">
        <f>IF($A52="","",IF(SUM(COUNTIFS('Ordres de travail'!$I$5:$I$3004,$A52,'Ordres de travail'!$AC$5:$AC$3004,{"Demandé","Planifié","En cours","En attente pièces"}))&gt;0,"Oui","Non"))</f>
        <v/>
      </c>
      <c r="T52" s="68">
        <f>IF($A52="","",COUNTIFS('Ordres de travail'!$I$5:$I$3004,$A52,'Ordres de travail'!$AC$5:$AC$3004,"Clôturé",'Ordres de travail'!$R$5:$R$3004,"&gt;="&amp;'Paramètres'!$AA$6,'Ordres de travail'!$R$5:$R$3004,"&lt;"&amp;('Paramètres'!$AA$7+1)))</f>
        <v/>
      </c>
      <c r="U52" s="69">
        <f>IF(OR($A52="",N(H52)=0),"",IF(M52="Non",0,365/H52*I52))</f>
        <v/>
      </c>
    </row>
    <row r="53">
      <c r="A53" s="7" t="inlineStr">
        <is>
          <t>GP-049</t>
        </is>
      </c>
      <c r="B53" s="7" t="inlineStr">
        <is>
          <t>EQ-TOL-004</t>
        </is>
      </c>
      <c r="C53" s="9">
        <f>IF(B53="","",IFERROR(INDEX('Équipements'!$B$5:$B$304,MATCH(B53,'Équipements'!$A$5:$A$304,0)),"Code inconnu"))</f>
        <v/>
      </c>
      <c r="D53" s="9">
        <f>IF(B53="","",IFERROR(INDEX('Équipements'!$D$5:$D$304,MATCH(B53,'Équipements'!$A$5:$A$304,0)),""))</f>
        <v/>
      </c>
      <c r="E53" s="7" t="inlineStr">
        <is>
          <t>Contrôle des sécurités (barrages, AU, pédale)</t>
        </is>
      </c>
      <c r="F53" s="7" t="inlineStr">
        <is>
          <t>Préventif systématique</t>
        </is>
      </c>
      <c r="G53" s="7" t="inlineStr">
        <is>
          <t>Électrique</t>
        </is>
      </c>
      <c r="H53" s="67" t="n">
        <v>90</v>
      </c>
      <c r="I53" s="76" t="n">
        <v>1</v>
      </c>
      <c r="J53" s="7" t="inlineStr">
        <is>
          <t>Antoine Mercier</t>
        </is>
      </c>
      <c r="K53" s="7" t="n"/>
      <c r="L53" s="65" t="n">
        <v>45646</v>
      </c>
      <c r="M53" s="7" t="inlineStr">
        <is>
          <t>Oui</t>
        </is>
      </c>
      <c r="N53" s="7" t="inlineStr">
        <is>
          <t>Test barrages immatériels ; test temps d'arrêt ; AU ; pédale 3 positions</t>
        </is>
      </c>
      <c r="O53" s="78">
        <f>IF($A53="","",MAX(N(L53),INT(_xlfn.MAXIFS('Ordres de travail'!$R$5:$R$3004,'Ordres de travail'!$I$5:$I$3004,$A53,'Ordres de travail'!$AC$5:$AC$3004,"Clôturé"))))</f>
        <v/>
      </c>
      <c r="P53" s="78">
        <f>IF(OR($A53="",N(O53)=0),"",O53+H53)</f>
        <v/>
      </c>
      <c r="Q53" s="79">
        <f>IF(P53="","",P53-TODAY())</f>
        <v/>
      </c>
      <c r="R53" s="9">
        <f>IF($A53="","",IF(M53="Non","INACTIF",IF(Q53="","À DÉFINIR",IF(Q53&lt;0,"EN RETARD",IF(Q53&lt;='Paramètres'!$AA$12,"À PLANIFIER","OK")))))</f>
        <v/>
      </c>
      <c r="S53" s="9">
        <f>IF($A53="","",IF(SUM(COUNTIFS('Ordres de travail'!$I$5:$I$3004,$A53,'Ordres de travail'!$AC$5:$AC$3004,{"Demandé","Planifié","En cours","En attente pièces"}))&gt;0,"Oui","Non"))</f>
        <v/>
      </c>
      <c r="T53" s="68">
        <f>IF($A53="","",COUNTIFS('Ordres de travail'!$I$5:$I$3004,$A53,'Ordres de travail'!$AC$5:$AC$3004,"Clôturé",'Ordres de travail'!$R$5:$R$3004,"&gt;="&amp;'Paramètres'!$AA$6,'Ordres de travail'!$R$5:$R$3004,"&lt;"&amp;('Paramètres'!$AA$7+1)))</f>
        <v/>
      </c>
      <c r="U53" s="69">
        <f>IF(OR($A53="",N(H53)=0),"",IF(M53="Non",0,365/H53*I53))</f>
        <v/>
      </c>
    </row>
    <row r="54">
      <c r="A54" s="7" t="inlineStr">
        <is>
          <t>GP-050</t>
        </is>
      </c>
      <c r="B54" s="7" t="inlineStr">
        <is>
          <t>EQ-TOL-005</t>
        </is>
      </c>
      <c r="C54" s="9">
        <f>IF(B54="","",IFERROR(INDEX('Équipements'!$B$5:$B$304,MATCH(B54,'Équipements'!$A$5:$A$304,0)),"Code inconnu"))</f>
        <v/>
      </c>
      <c r="D54" s="9">
        <f>IF(B54="","",IFERROR(INDEX('Équipements'!$D$5:$D$304,MATCH(B54,'Équipements'!$A$5:$A$304,0)),""))</f>
        <v/>
      </c>
      <c r="E54" s="7" t="inlineStr">
        <is>
          <t>Contrôle hydraulique : fuites, niveaux, pressions</t>
        </is>
      </c>
      <c r="F54" s="7" t="inlineStr">
        <is>
          <t>Préventif systématique</t>
        </is>
      </c>
      <c r="G54" s="7" t="inlineStr">
        <is>
          <t>Hydraulique</t>
        </is>
      </c>
      <c r="H54" s="67" t="n">
        <v>90</v>
      </c>
      <c r="I54" s="76" t="n">
        <v>1.5</v>
      </c>
      <c r="J54" s="7" t="inlineStr">
        <is>
          <t>Antoine Mercier</t>
        </is>
      </c>
      <c r="K54" s="7" t="n"/>
      <c r="L54" s="65" t="n">
        <v>45623</v>
      </c>
      <c r="M54" s="7" t="inlineStr">
        <is>
          <t>Oui</t>
        </is>
      </c>
      <c r="N54" s="7" t="inlineStr">
        <is>
          <t>Contrôle niveau ; relevé pressions ; contrôle flexibles ; fuites</t>
        </is>
      </c>
      <c r="O54" s="78">
        <f>IF($A54="","",MAX(N(L54),INT(_xlfn.MAXIFS('Ordres de travail'!$R$5:$R$3004,'Ordres de travail'!$I$5:$I$3004,$A54,'Ordres de travail'!$AC$5:$AC$3004,"Clôturé"))))</f>
        <v/>
      </c>
      <c r="P54" s="78">
        <f>IF(OR($A54="",N(O54)=0),"",O54+H54)</f>
        <v/>
      </c>
      <c r="Q54" s="79">
        <f>IF(P54="","",P54-TODAY())</f>
        <v/>
      </c>
      <c r="R54" s="9">
        <f>IF($A54="","",IF(M54="Non","INACTIF",IF(Q54="","À DÉFINIR",IF(Q54&lt;0,"EN RETARD",IF(Q54&lt;='Paramètres'!$AA$12,"À PLANIFIER","OK")))))</f>
        <v/>
      </c>
      <c r="S54" s="9">
        <f>IF($A54="","",IF(SUM(COUNTIFS('Ordres de travail'!$I$5:$I$3004,$A54,'Ordres de travail'!$AC$5:$AC$3004,{"Demandé","Planifié","En cours","En attente pièces"}))&gt;0,"Oui","Non"))</f>
        <v/>
      </c>
      <c r="T54" s="68">
        <f>IF($A54="","",COUNTIFS('Ordres de travail'!$I$5:$I$3004,$A54,'Ordres de travail'!$AC$5:$AC$3004,"Clôturé",'Ordres de travail'!$R$5:$R$3004,"&gt;="&amp;'Paramètres'!$AA$6,'Ordres de travail'!$R$5:$R$3004,"&lt;"&amp;('Paramètres'!$AA$7+1)))</f>
        <v/>
      </c>
      <c r="U54" s="69">
        <f>IF(OR($A54="",N(H54)=0),"",IF(M54="Non",0,365/H54*I54))</f>
        <v/>
      </c>
    </row>
    <row r="55">
      <c r="A55" s="7" t="inlineStr">
        <is>
          <t>GP-051</t>
        </is>
      </c>
      <c r="B55" s="7" t="inlineStr">
        <is>
          <t>EQ-TOL-005</t>
        </is>
      </c>
      <c r="C55" s="9">
        <f>IF(B55="","",IFERROR(INDEX('Équipements'!$B$5:$B$304,MATCH(B55,'Équipements'!$A$5:$A$304,0)),"Code inconnu"))</f>
        <v/>
      </c>
      <c r="D55" s="9">
        <f>IF(B55="","",IFERROR(INDEX('Équipements'!$D$5:$D$304,MATCH(B55,'Équipements'!$A$5:$A$304,0)),""))</f>
        <v/>
      </c>
      <c r="E55" s="7" t="inlineStr">
        <is>
          <t>Vidange huile hydraulique et filtres</t>
        </is>
      </c>
      <c r="F55" s="7" t="inlineStr">
        <is>
          <t>Préventif conditionnel</t>
        </is>
      </c>
      <c r="G55" s="7" t="inlineStr">
        <is>
          <t>Hydraulique</t>
        </is>
      </c>
      <c r="H55" s="67" t="n">
        <v>730</v>
      </c>
      <c r="I55" s="76" t="n">
        <v>4</v>
      </c>
      <c r="J55" s="7" t="inlineStr">
        <is>
          <t>Karim Benali</t>
        </is>
      </c>
      <c r="K55" s="7" t="n"/>
      <c r="L55" s="65" t="n">
        <v>45314</v>
      </c>
      <c r="M55" s="7" t="inlineStr">
        <is>
          <t>Oui</t>
        </is>
      </c>
      <c r="N55" s="7" t="inlineStr">
        <is>
          <t>Déclenchée sur analyse d'huile ; vidange ; filtres HP et retour</t>
        </is>
      </c>
      <c r="O55" s="78">
        <f>IF($A55="","",MAX(N(L55),INT(_xlfn.MAXIFS('Ordres de travail'!$R$5:$R$3004,'Ordres de travail'!$I$5:$I$3004,$A55,'Ordres de travail'!$AC$5:$AC$3004,"Clôturé"))))</f>
        <v/>
      </c>
      <c r="P55" s="78">
        <f>IF(OR($A55="",N(O55)=0),"",O55+H55)</f>
        <v/>
      </c>
      <c r="Q55" s="79">
        <f>IF(P55="","",P55-TODAY())</f>
        <v/>
      </c>
      <c r="R55" s="9">
        <f>IF($A55="","",IF(M55="Non","INACTIF",IF(Q55="","À DÉFINIR",IF(Q55&lt;0,"EN RETARD",IF(Q55&lt;='Paramètres'!$AA$12,"À PLANIFIER","OK")))))</f>
        <v/>
      </c>
      <c r="S55" s="9">
        <f>IF($A55="","",IF(SUM(COUNTIFS('Ordres de travail'!$I$5:$I$3004,$A55,'Ordres de travail'!$AC$5:$AC$3004,{"Demandé","Planifié","En cours","En attente pièces"}))&gt;0,"Oui","Non"))</f>
        <v/>
      </c>
      <c r="T55" s="68">
        <f>IF($A55="","",COUNTIFS('Ordres de travail'!$I$5:$I$3004,$A55,'Ordres de travail'!$AC$5:$AC$3004,"Clôturé",'Ordres de travail'!$R$5:$R$3004,"&gt;="&amp;'Paramètres'!$AA$6,'Ordres de travail'!$R$5:$R$3004,"&lt;"&amp;('Paramètres'!$AA$7+1)))</f>
        <v/>
      </c>
      <c r="U55" s="69">
        <f>IF(OR($A55="",N(H55)=0),"",IF(M55="Non",0,365/H55*I55))</f>
        <v/>
      </c>
    </row>
    <row r="56">
      <c r="A56" s="7" t="inlineStr">
        <is>
          <t>GP-052</t>
        </is>
      </c>
      <c r="B56" s="7" t="inlineStr">
        <is>
          <t>EQ-TOL-005</t>
        </is>
      </c>
      <c r="C56" s="9">
        <f>IF(B56="","",IFERROR(INDEX('Équipements'!$B$5:$B$304,MATCH(B56,'Équipements'!$A$5:$A$304,0)),"Code inconnu"))</f>
        <v/>
      </c>
      <c r="D56" s="9">
        <f>IF(B56="","",IFERROR(INDEX('Équipements'!$D$5:$D$304,MATCH(B56,'Équipements'!$A$5:$A$304,0)),""))</f>
        <v/>
      </c>
      <c r="E56" s="7" t="inlineStr">
        <is>
          <t>Contrôle des sécurités (barrages, AU, pédale)</t>
        </is>
      </c>
      <c r="F56" s="7" t="inlineStr">
        <is>
          <t>Préventif systématique</t>
        </is>
      </c>
      <c r="G56" s="7" t="inlineStr">
        <is>
          <t>Électrique</t>
        </is>
      </c>
      <c r="H56" s="67" t="n">
        <v>90</v>
      </c>
      <c r="I56" s="76" t="n">
        <v>1</v>
      </c>
      <c r="J56" s="7" t="inlineStr">
        <is>
          <t>Julien Moreau</t>
        </is>
      </c>
      <c r="K56" s="7" t="n"/>
      <c r="L56" s="65" t="n">
        <v>45625</v>
      </c>
      <c r="M56" s="7" t="inlineStr">
        <is>
          <t>Oui</t>
        </is>
      </c>
      <c r="N56" s="7" t="inlineStr">
        <is>
          <t>Test barrages immatériels ; test temps d'arrêt ; AU ; pédale 3 positions</t>
        </is>
      </c>
      <c r="O56" s="78">
        <f>IF($A56="","",MAX(N(L56),INT(_xlfn.MAXIFS('Ordres de travail'!$R$5:$R$3004,'Ordres de travail'!$I$5:$I$3004,$A56,'Ordres de travail'!$AC$5:$AC$3004,"Clôturé"))))</f>
        <v/>
      </c>
      <c r="P56" s="78">
        <f>IF(OR($A56="",N(O56)=0),"",O56+H56)</f>
        <v/>
      </c>
      <c r="Q56" s="79">
        <f>IF(P56="","",P56-TODAY())</f>
        <v/>
      </c>
      <c r="R56" s="9">
        <f>IF($A56="","",IF(M56="Non","INACTIF",IF(Q56="","À DÉFINIR",IF(Q56&lt;0,"EN RETARD",IF(Q56&lt;='Paramètres'!$AA$12,"À PLANIFIER","OK")))))</f>
        <v/>
      </c>
      <c r="S56" s="9">
        <f>IF($A56="","",IF(SUM(COUNTIFS('Ordres de travail'!$I$5:$I$3004,$A56,'Ordres de travail'!$AC$5:$AC$3004,{"Demandé","Planifié","En cours","En attente pièces"}))&gt;0,"Oui","Non"))</f>
        <v/>
      </c>
      <c r="T56" s="68">
        <f>IF($A56="","",COUNTIFS('Ordres de travail'!$I$5:$I$3004,$A56,'Ordres de travail'!$AC$5:$AC$3004,"Clôturé",'Ordres de travail'!$R$5:$R$3004,"&gt;="&amp;'Paramètres'!$AA$6,'Ordres de travail'!$R$5:$R$3004,"&lt;"&amp;('Paramètres'!$AA$7+1)))</f>
        <v/>
      </c>
      <c r="U56" s="69">
        <f>IF(OR($A56="",N(H56)=0),"",IF(M56="Non",0,365/H56*I56))</f>
        <v/>
      </c>
    </row>
    <row r="57">
      <c r="A57" s="7" t="inlineStr">
        <is>
          <t>GP-053</t>
        </is>
      </c>
      <c r="B57" s="7" t="inlineStr">
        <is>
          <t>EQ-TOL-006</t>
        </is>
      </c>
      <c r="C57" s="9">
        <f>IF(B57="","",IFERROR(INDEX('Équipements'!$B$5:$B$304,MATCH(B57,'Équipements'!$A$5:$A$304,0)),"Code inconnu"))</f>
        <v/>
      </c>
      <c r="D57" s="9">
        <f>IF(B57="","",IFERROR(INDEX('Équipements'!$D$5:$D$304,MATCH(B57,'Équipements'!$A$5:$A$304,0)),""))</f>
        <v/>
      </c>
      <c r="E57" s="7" t="inlineStr">
        <is>
          <t>Contrôle hydraulique : fuites, niveaux, pressions</t>
        </is>
      </c>
      <c r="F57" s="7" t="inlineStr">
        <is>
          <t>Préventif systématique</t>
        </is>
      </c>
      <c r="G57" s="7" t="inlineStr">
        <is>
          <t>Hydraulique</t>
        </is>
      </c>
      <c r="H57" s="67" t="n">
        <v>90</v>
      </c>
      <c r="I57" s="76" t="n">
        <v>1.5</v>
      </c>
      <c r="J57" s="7" t="inlineStr">
        <is>
          <t>Antoine Mercier</t>
        </is>
      </c>
      <c r="K57" s="7" t="n"/>
      <c r="L57" s="65" t="n">
        <v>45639</v>
      </c>
      <c r="M57" s="7" t="inlineStr">
        <is>
          <t>Oui</t>
        </is>
      </c>
      <c r="N57" s="7" t="inlineStr">
        <is>
          <t>Contrôle niveau ; relevé pressions ; contrôle flexibles ; fuites</t>
        </is>
      </c>
      <c r="O57" s="78">
        <f>IF($A57="","",MAX(N(L57),INT(_xlfn.MAXIFS('Ordres de travail'!$R$5:$R$3004,'Ordres de travail'!$I$5:$I$3004,$A57,'Ordres de travail'!$AC$5:$AC$3004,"Clôturé"))))</f>
        <v/>
      </c>
      <c r="P57" s="78">
        <f>IF(OR($A57="",N(O57)=0),"",O57+H57)</f>
        <v/>
      </c>
      <c r="Q57" s="79">
        <f>IF(P57="","",P57-TODAY())</f>
        <v/>
      </c>
      <c r="R57" s="9">
        <f>IF($A57="","",IF(M57="Non","INACTIF",IF(Q57="","À DÉFINIR",IF(Q57&lt;0,"EN RETARD",IF(Q57&lt;='Paramètres'!$AA$12,"À PLANIFIER","OK")))))</f>
        <v/>
      </c>
      <c r="S57" s="9">
        <f>IF($A57="","",IF(SUM(COUNTIFS('Ordres de travail'!$I$5:$I$3004,$A57,'Ordres de travail'!$AC$5:$AC$3004,{"Demandé","Planifié","En cours","En attente pièces"}))&gt;0,"Oui","Non"))</f>
        <v/>
      </c>
      <c r="T57" s="68">
        <f>IF($A57="","",COUNTIFS('Ordres de travail'!$I$5:$I$3004,$A57,'Ordres de travail'!$AC$5:$AC$3004,"Clôturé",'Ordres de travail'!$R$5:$R$3004,"&gt;="&amp;'Paramètres'!$AA$6,'Ordres de travail'!$R$5:$R$3004,"&lt;"&amp;('Paramètres'!$AA$7+1)))</f>
        <v/>
      </c>
      <c r="U57" s="69">
        <f>IF(OR($A57="",N(H57)=0),"",IF(M57="Non",0,365/H57*I57))</f>
        <v/>
      </c>
    </row>
    <row r="58">
      <c r="A58" s="7" t="inlineStr">
        <is>
          <t>GP-054</t>
        </is>
      </c>
      <c r="B58" s="7" t="inlineStr">
        <is>
          <t>EQ-TOL-006</t>
        </is>
      </c>
      <c r="C58" s="9">
        <f>IF(B58="","",IFERROR(INDEX('Équipements'!$B$5:$B$304,MATCH(B58,'Équipements'!$A$5:$A$304,0)),"Code inconnu"))</f>
        <v/>
      </c>
      <c r="D58" s="9">
        <f>IF(B58="","",IFERROR(INDEX('Équipements'!$D$5:$D$304,MATCH(B58,'Équipements'!$A$5:$A$304,0)),""))</f>
        <v/>
      </c>
      <c r="E58" s="7" t="inlineStr">
        <is>
          <t>Vidange huile hydraulique et filtres</t>
        </is>
      </c>
      <c r="F58" s="7" t="inlineStr">
        <is>
          <t>Préventif conditionnel</t>
        </is>
      </c>
      <c r="G58" s="7" t="inlineStr">
        <is>
          <t>Hydraulique</t>
        </is>
      </c>
      <c r="H58" s="67" t="n">
        <v>730</v>
      </c>
      <c r="I58" s="76" t="n">
        <v>4</v>
      </c>
      <c r="J58" s="7" t="inlineStr">
        <is>
          <t>Karim Benali</t>
        </is>
      </c>
      <c r="K58" s="7" t="n"/>
      <c r="L58" s="65" t="n">
        <v>45404</v>
      </c>
      <c r="M58" s="7" t="inlineStr">
        <is>
          <t>Oui</t>
        </is>
      </c>
      <c r="N58" s="7" t="inlineStr">
        <is>
          <t>Déclenchée sur analyse d'huile ; vidange ; filtres HP et retour</t>
        </is>
      </c>
      <c r="O58" s="78">
        <f>IF($A58="","",MAX(N(L58),INT(_xlfn.MAXIFS('Ordres de travail'!$R$5:$R$3004,'Ordres de travail'!$I$5:$I$3004,$A58,'Ordres de travail'!$AC$5:$AC$3004,"Clôturé"))))</f>
        <v/>
      </c>
      <c r="P58" s="78">
        <f>IF(OR($A58="",N(O58)=0),"",O58+H58)</f>
        <v/>
      </c>
      <c r="Q58" s="79">
        <f>IF(P58="","",P58-TODAY())</f>
        <v/>
      </c>
      <c r="R58" s="9">
        <f>IF($A58="","",IF(M58="Non","INACTIF",IF(Q58="","À DÉFINIR",IF(Q58&lt;0,"EN RETARD",IF(Q58&lt;='Paramètres'!$AA$12,"À PLANIFIER","OK")))))</f>
        <v/>
      </c>
      <c r="S58" s="9">
        <f>IF($A58="","",IF(SUM(COUNTIFS('Ordres de travail'!$I$5:$I$3004,$A58,'Ordres de travail'!$AC$5:$AC$3004,{"Demandé","Planifié","En cours","En attente pièces"}))&gt;0,"Oui","Non"))</f>
        <v/>
      </c>
      <c r="T58" s="68">
        <f>IF($A58="","",COUNTIFS('Ordres de travail'!$I$5:$I$3004,$A58,'Ordres de travail'!$AC$5:$AC$3004,"Clôturé",'Ordres de travail'!$R$5:$R$3004,"&gt;="&amp;'Paramètres'!$AA$6,'Ordres de travail'!$R$5:$R$3004,"&lt;"&amp;('Paramètres'!$AA$7+1)))</f>
        <v/>
      </c>
      <c r="U58" s="69">
        <f>IF(OR($A58="",N(H58)=0),"",IF(M58="Non",0,365/H58*I58))</f>
        <v/>
      </c>
    </row>
    <row r="59">
      <c r="A59" s="7" t="inlineStr">
        <is>
          <t>GP-055</t>
        </is>
      </c>
      <c r="B59" s="7" t="inlineStr">
        <is>
          <t>EQ-TOL-006</t>
        </is>
      </c>
      <c r="C59" s="9">
        <f>IF(B59="","",IFERROR(INDEX('Équipements'!$B$5:$B$304,MATCH(B59,'Équipements'!$A$5:$A$304,0)),"Code inconnu"))</f>
        <v/>
      </c>
      <c r="D59" s="9">
        <f>IF(B59="","",IFERROR(INDEX('Équipements'!$D$5:$D$304,MATCH(B59,'Équipements'!$A$5:$A$304,0)),""))</f>
        <v/>
      </c>
      <c r="E59" s="7" t="inlineStr">
        <is>
          <t>Contrôle des sécurités (barrages, AU, pédale)</t>
        </is>
      </c>
      <c r="F59" s="7" t="inlineStr">
        <is>
          <t>Préventif systématique</t>
        </is>
      </c>
      <c r="G59" s="7" t="inlineStr">
        <is>
          <t>Électrique</t>
        </is>
      </c>
      <c r="H59" s="67" t="n">
        <v>90</v>
      </c>
      <c r="I59" s="76" t="n">
        <v>1</v>
      </c>
      <c r="J59" s="7" t="inlineStr">
        <is>
          <t>Thomas Petit</t>
        </is>
      </c>
      <c r="K59" s="7" t="n"/>
      <c r="L59" s="65" t="n">
        <v>45589</v>
      </c>
      <c r="M59" s="7" t="inlineStr">
        <is>
          <t>Oui</t>
        </is>
      </c>
      <c r="N59" s="7" t="inlineStr">
        <is>
          <t>Test barrages immatériels ; test temps d'arrêt ; AU ; pédale 3 positions</t>
        </is>
      </c>
      <c r="O59" s="78">
        <f>IF($A59="","",MAX(N(L59),INT(_xlfn.MAXIFS('Ordres de travail'!$R$5:$R$3004,'Ordres de travail'!$I$5:$I$3004,$A59,'Ordres de travail'!$AC$5:$AC$3004,"Clôturé"))))</f>
        <v/>
      </c>
      <c r="P59" s="78">
        <f>IF(OR($A59="",N(O59)=0),"",O59+H59)</f>
        <v/>
      </c>
      <c r="Q59" s="79">
        <f>IF(P59="","",P59-TODAY())</f>
        <v/>
      </c>
      <c r="R59" s="9">
        <f>IF($A59="","",IF(M59="Non","INACTIF",IF(Q59="","À DÉFINIR",IF(Q59&lt;0,"EN RETARD",IF(Q59&lt;='Paramètres'!$AA$12,"À PLANIFIER","OK")))))</f>
        <v/>
      </c>
      <c r="S59" s="9">
        <f>IF($A59="","",IF(SUM(COUNTIFS('Ordres de travail'!$I$5:$I$3004,$A59,'Ordres de travail'!$AC$5:$AC$3004,{"Demandé","Planifié","En cours","En attente pièces"}))&gt;0,"Oui","Non"))</f>
        <v/>
      </c>
      <c r="T59" s="68">
        <f>IF($A59="","",COUNTIFS('Ordres de travail'!$I$5:$I$3004,$A59,'Ordres de travail'!$AC$5:$AC$3004,"Clôturé",'Ordres de travail'!$R$5:$R$3004,"&gt;="&amp;'Paramètres'!$AA$6,'Ordres de travail'!$R$5:$R$3004,"&lt;"&amp;('Paramètres'!$AA$7+1)))</f>
        <v/>
      </c>
      <c r="U59" s="69">
        <f>IF(OR($A59="",N(H59)=0),"",IF(M59="Non",0,365/H59*I59))</f>
        <v/>
      </c>
    </row>
    <row r="60">
      <c r="A60" s="7" t="inlineStr">
        <is>
          <t>GP-056</t>
        </is>
      </c>
      <c r="B60" s="7" t="inlineStr">
        <is>
          <t>EQ-TOL-007</t>
        </is>
      </c>
      <c r="C60" s="9">
        <f>IF(B60="","",IFERROR(INDEX('Équipements'!$B$5:$B$304,MATCH(B60,'Équipements'!$A$5:$A$304,0)),"Code inconnu"))</f>
        <v/>
      </c>
      <c r="D60" s="9">
        <f>IF(B60="","",IFERROR(INDEX('Équipements'!$D$5:$D$304,MATCH(B60,'Équipements'!$A$5:$A$304,0)),""))</f>
        <v/>
      </c>
      <c r="E60" s="7" t="inlineStr">
        <is>
          <t>Graissage chaîne / galets et contrôle tension</t>
        </is>
      </c>
      <c r="F60" s="7" t="inlineStr">
        <is>
          <t>Préventif systématique</t>
        </is>
      </c>
      <c r="G60" s="7" t="inlineStr">
        <is>
          <t>Mécanique</t>
        </is>
      </c>
      <c r="H60" s="67" t="n">
        <v>30</v>
      </c>
      <c r="I60" s="76" t="n">
        <v>1.5</v>
      </c>
      <c r="J60" s="7" t="inlineStr">
        <is>
          <t>Antoine Mercier</t>
        </is>
      </c>
      <c r="K60" s="7" t="n"/>
      <c r="L60" s="65" t="n">
        <v>45654</v>
      </c>
      <c r="M60" s="7" t="inlineStr">
        <is>
          <t>Oui</t>
        </is>
      </c>
      <c r="N60" s="7" t="inlineStr">
        <is>
          <t>Graissage ; contrôle allongement chaîne ; tension</t>
        </is>
      </c>
      <c r="O60" s="78">
        <f>IF($A60="","",MAX(N(L60),INT(_xlfn.MAXIFS('Ordres de travail'!$R$5:$R$3004,'Ordres de travail'!$I$5:$I$3004,$A60,'Ordres de travail'!$AC$5:$AC$3004,"Clôturé"))))</f>
        <v/>
      </c>
      <c r="P60" s="78">
        <f>IF(OR($A60="",N(O60)=0),"",O60+H60)</f>
        <v/>
      </c>
      <c r="Q60" s="79">
        <f>IF(P60="","",P60-TODAY())</f>
        <v/>
      </c>
      <c r="R60" s="9">
        <f>IF($A60="","",IF(M60="Non","INACTIF",IF(Q60="","À DÉFINIR",IF(Q60&lt;0,"EN RETARD",IF(Q60&lt;='Paramètres'!$AA$12,"À PLANIFIER","OK")))))</f>
        <v/>
      </c>
      <c r="S60" s="9">
        <f>IF($A60="","",IF(SUM(COUNTIFS('Ordres de travail'!$I$5:$I$3004,$A60,'Ordres de travail'!$AC$5:$AC$3004,{"Demandé","Planifié","En cours","En attente pièces"}))&gt;0,"Oui","Non"))</f>
        <v/>
      </c>
      <c r="T60" s="68">
        <f>IF($A60="","",COUNTIFS('Ordres de travail'!$I$5:$I$3004,$A60,'Ordres de travail'!$AC$5:$AC$3004,"Clôturé",'Ordres de travail'!$R$5:$R$3004,"&gt;="&amp;'Paramètres'!$AA$6,'Ordres de travail'!$R$5:$R$3004,"&lt;"&amp;('Paramètres'!$AA$7+1)))</f>
        <v/>
      </c>
      <c r="U60" s="69">
        <f>IF(OR($A60="",N(H60)=0),"",IF(M60="Non",0,365/H60*I60))</f>
        <v/>
      </c>
    </row>
    <row r="61">
      <c r="A61" s="7" t="inlineStr">
        <is>
          <t>GP-057</t>
        </is>
      </c>
      <c r="B61" s="7" t="inlineStr">
        <is>
          <t>EQ-TOL-007</t>
        </is>
      </c>
      <c r="C61" s="9">
        <f>IF(B61="","",IFERROR(INDEX('Équipements'!$B$5:$B$304,MATCH(B61,'Équipements'!$A$5:$A$304,0)),"Code inconnu"))</f>
        <v/>
      </c>
      <c r="D61" s="9">
        <f>IF(B61="","",IFERROR(INDEX('Équipements'!$D$5:$D$304,MATCH(B61,'Équipements'!$A$5:$A$304,0)),""))</f>
        <v/>
      </c>
      <c r="E61" s="7" t="inlineStr">
        <is>
          <t>Contrôle motoréducteurs et usure</t>
        </is>
      </c>
      <c r="F61" s="7" t="inlineStr">
        <is>
          <t>Préventif systématique</t>
        </is>
      </c>
      <c r="G61" s="7" t="inlineStr">
        <is>
          <t>Mécanique</t>
        </is>
      </c>
      <c r="H61" s="67" t="n">
        <v>180</v>
      </c>
      <c r="I61" s="76" t="n">
        <v>3</v>
      </c>
      <c r="J61" s="7" t="inlineStr">
        <is>
          <t>Karim Benali</t>
        </is>
      </c>
      <c r="K61" s="7" t="n"/>
      <c r="L61" s="65" t="n">
        <v>45599</v>
      </c>
      <c r="M61" s="7" t="inlineStr">
        <is>
          <t>Oui</t>
        </is>
      </c>
      <c r="N61" s="7" t="inlineStr">
        <is>
          <t>Niveau huile réducteurs ; usure galets/pignons ; roulements</t>
        </is>
      </c>
      <c r="O61" s="78">
        <f>IF($A61="","",MAX(N(L61),INT(_xlfn.MAXIFS('Ordres de travail'!$R$5:$R$3004,'Ordres de travail'!$I$5:$I$3004,$A61,'Ordres de travail'!$AC$5:$AC$3004,"Clôturé"))))</f>
        <v/>
      </c>
      <c r="P61" s="78">
        <f>IF(OR($A61="",N(O61)=0),"",O61+H61)</f>
        <v/>
      </c>
      <c r="Q61" s="79">
        <f>IF(P61="","",P61-TODAY())</f>
        <v/>
      </c>
      <c r="R61" s="9">
        <f>IF($A61="","",IF(M61="Non","INACTIF",IF(Q61="","À DÉFINIR",IF(Q61&lt;0,"EN RETARD",IF(Q61&lt;='Paramètres'!$AA$12,"À PLANIFIER","OK")))))</f>
        <v/>
      </c>
      <c r="S61" s="9">
        <f>IF($A61="","",IF(SUM(COUNTIFS('Ordres de travail'!$I$5:$I$3004,$A61,'Ordres de travail'!$AC$5:$AC$3004,{"Demandé","Planifié","En cours","En attente pièces"}))&gt;0,"Oui","Non"))</f>
        <v/>
      </c>
      <c r="T61" s="68">
        <f>IF($A61="","",COUNTIFS('Ordres de travail'!$I$5:$I$3004,$A61,'Ordres de travail'!$AC$5:$AC$3004,"Clôturé",'Ordres de travail'!$R$5:$R$3004,"&gt;="&amp;'Paramètres'!$AA$6,'Ordres de travail'!$R$5:$R$3004,"&lt;"&amp;('Paramètres'!$AA$7+1)))</f>
        <v/>
      </c>
      <c r="U61" s="69">
        <f>IF(OR($A61="",N(H61)=0),"",IF(M61="Non",0,365/H61*I61))</f>
        <v/>
      </c>
    </row>
    <row r="62">
      <c r="A62" s="7" t="inlineStr">
        <is>
          <t>GP-058</t>
        </is>
      </c>
      <c r="B62" s="7" t="inlineStr">
        <is>
          <t>EQ-SOU-001</t>
        </is>
      </c>
      <c r="C62" s="9">
        <f>IF(B62="","",IFERROR(INDEX('Équipements'!$B$5:$B$304,MATCH(B62,'Équipements'!$A$5:$A$304,0)),"Code inconnu"))</f>
        <v/>
      </c>
      <c r="D62" s="9">
        <f>IF(B62="","",IFERROR(INDEX('Équipements'!$D$5:$D$304,MATCH(B62,'Équipements'!$A$5:$A$304,0)),""))</f>
        <v/>
      </c>
      <c r="E62" s="7" t="inlineStr">
        <is>
          <t>Nettoyage torche et contrôle faisceau</t>
        </is>
      </c>
      <c r="F62" s="7" t="inlineStr">
        <is>
          <t>Préventif systématique</t>
        </is>
      </c>
      <c r="G62" s="7" t="inlineStr">
        <is>
          <t>Mécanique</t>
        </is>
      </c>
      <c r="H62" s="67" t="n">
        <v>30</v>
      </c>
      <c r="I62" s="76" t="n">
        <v>0.5</v>
      </c>
      <c r="J62" s="7" t="inlineStr">
        <is>
          <t>Lucas Fontaine</t>
        </is>
      </c>
      <c r="K62" s="7" t="n"/>
      <c r="L62" s="65" t="n">
        <v>45634</v>
      </c>
      <c r="M62" s="7" t="inlineStr">
        <is>
          <t>Oui</t>
        </is>
      </c>
      <c r="N62" s="7" t="inlineStr">
        <is>
          <t>Nettoyage torche ; remplacement tube contact ; contrôle faisceau</t>
        </is>
      </c>
      <c r="O62" s="78">
        <f>IF($A62="","",MAX(N(L62),INT(_xlfn.MAXIFS('Ordres de travail'!$R$5:$R$3004,'Ordres de travail'!$I$5:$I$3004,$A62,'Ordres de travail'!$AC$5:$AC$3004,"Clôturé"))))</f>
        <v/>
      </c>
      <c r="P62" s="78">
        <f>IF(OR($A62="",N(O62)=0),"",O62+H62)</f>
        <v/>
      </c>
      <c r="Q62" s="79">
        <f>IF(P62="","",P62-TODAY())</f>
        <v/>
      </c>
      <c r="R62" s="9">
        <f>IF($A62="","",IF(M62="Non","INACTIF",IF(Q62="","À DÉFINIR",IF(Q62&lt;0,"EN RETARD",IF(Q62&lt;='Paramètres'!$AA$12,"À PLANIFIER","OK")))))</f>
        <v/>
      </c>
      <c r="S62" s="9">
        <f>IF($A62="","",IF(SUM(COUNTIFS('Ordres de travail'!$I$5:$I$3004,$A62,'Ordres de travail'!$AC$5:$AC$3004,{"Demandé","Planifié","En cours","En attente pièces"}))&gt;0,"Oui","Non"))</f>
        <v/>
      </c>
      <c r="T62" s="68">
        <f>IF($A62="","",COUNTIFS('Ordres de travail'!$I$5:$I$3004,$A62,'Ordres de travail'!$AC$5:$AC$3004,"Clôturé",'Ordres de travail'!$R$5:$R$3004,"&gt;="&amp;'Paramètres'!$AA$6,'Ordres de travail'!$R$5:$R$3004,"&lt;"&amp;('Paramètres'!$AA$7+1)))</f>
        <v/>
      </c>
      <c r="U62" s="69">
        <f>IF(OR($A62="",N(H62)=0),"",IF(M62="Non",0,365/H62*I62))</f>
        <v/>
      </c>
    </row>
    <row r="63">
      <c r="A63" s="7" t="inlineStr">
        <is>
          <t>GP-059</t>
        </is>
      </c>
      <c r="B63" s="7" t="inlineStr">
        <is>
          <t>EQ-SOU-001</t>
        </is>
      </c>
      <c r="C63" s="9">
        <f>IF(B63="","",IFERROR(INDEX('Équipements'!$B$5:$B$304,MATCH(B63,'Équipements'!$A$5:$A$304,0)),"Code inconnu"))</f>
        <v/>
      </c>
      <c r="D63" s="9">
        <f>IF(B63="","",IFERROR(INDEX('Équipements'!$D$5:$D$304,MATCH(B63,'Équipements'!$A$5:$A$304,0)),""))</f>
        <v/>
      </c>
      <c r="E63" s="7" t="inlineStr">
        <is>
          <t>Graissage réducteurs et contrôle câblage</t>
        </is>
      </c>
      <c r="F63" s="7" t="inlineStr">
        <is>
          <t>Préventif systématique</t>
        </is>
      </c>
      <c r="G63" s="7" t="inlineStr">
        <is>
          <t>Mécanique</t>
        </is>
      </c>
      <c r="H63" s="67" t="n">
        <v>180</v>
      </c>
      <c r="I63" s="76" t="n">
        <v>3</v>
      </c>
      <c r="J63" s="7" t="inlineStr">
        <is>
          <t>Karim Benali</t>
        </is>
      </c>
      <c r="K63" s="7" t="n"/>
      <c r="L63" s="65" t="n">
        <v>45654</v>
      </c>
      <c r="M63" s="7" t="inlineStr">
        <is>
          <t>Oui</t>
        </is>
      </c>
      <c r="N63" s="7" t="inlineStr">
        <is>
          <t>Graissage axes J1-J6 ; contrôle câbles et connecteurs</t>
        </is>
      </c>
      <c r="O63" s="78">
        <f>IF($A63="","",MAX(N(L63),INT(_xlfn.MAXIFS('Ordres de travail'!$R$5:$R$3004,'Ordres de travail'!$I$5:$I$3004,$A63,'Ordres de travail'!$AC$5:$AC$3004,"Clôturé"))))</f>
        <v/>
      </c>
      <c r="P63" s="78">
        <f>IF(OR($A63="",N(O63)=0),"",O63+H63)</f>
        <v/>
      </c>
      <c r="Q63" s="79">
        <f>IF(P63="","",P63-TODAY())</f>
        <v/>
      </c>
      <c r="R63" s="9">
        <f>IF($A63="","",IF(M63="Non","INACTIF",IF(Q63="","À DÉFINIR",IF(Q63&lt;0,"EN RETARD",IF(Q63&lt;='Paramètres'!$AA$12,"À PLANIFIER","OK")))))</f>
        <v/>
      </c>
      <c r="S63" s="9">
        <f>IF($A63="","",IF(SUM(COUNTIFS('Ordres de travail'!$I$5:$I$3004,$A63,'Ordres de travail'!$AC$5:$AC$3004,{"Demandé","Planifié","En cours","En attente pièces"}))&gt;0,"Oui","Non"))</f>
        <v/>
      </c>
      <c r="T63" s="68">
        <f>IF($A63="","",COUNTIFS('Ordres de travail'!$I$5:$I$3004,$A63,'Ordres de travail'!$AC$5:$AC$3004,"Clôturé",'Ordres de travail'!$R$5:$R$3004,"&gt;="&amp;'Paramètres'!$AA$6,'Ordres de travail'!$R$5:$R$3004,"&lt;"&amp;('Paramètres'!$AA$7+1)))</f>
        <v/>
      </c>
      <c r="U63" s="69">
        <f>IF(OR($A63="",N(H63)=0),"",IF(M63="Non",0,365/H63*I63))</f>
        <v/>
      </c>
    </row>
    <row r="64">
      <c r="A64" s="7" t="inlineStr">
        <is>
          <t>GP-060</t>
        </is>
      </c>
      <c r="B64" s="7" t="inlineStr">
        <is>
          <t>EQ-SOU-001</t>
        </is>
      </c>
      <c r="C64" s="9">
        <f>IF(B64="","",IFERROR(INDEX('Équipements'!$B$5:$B$304,MATCH(B64,'Équipements'!$A$5:$A$304,0)),"Code inconnu"))</f>
        <v/>
      </c>
      <c r="D64" s="9">
        <f>IF(B64="","",IFERROR(INDEX('Équipements'!$D$5:$D$304,MATCH(B64,'Équipements'!$A$5:$A$304,0)),""))</f>
        <v/>
      </c>
      <c r="E64" s="7" t="inlineStr">
        <is>
          <t>Remplacement batteries codeurs et sauvegarde</t>
        </is>
      </c>
      <c r="F64" s="7" t="inlineStr">
        <is>
          <t>Préventif systématique</t>
        </is>
      </c>
      <c r="G64" s="7" t="inlineStr">
        <is>
          <t>Électrique</t>
        </is>
      </c>
      <c r="H64" s="67" t="n">
        <v>365</v>
      </c>
      <c r="I64" s="76" t="n">
        <v>1</v>
      </c>
      <c r="J64" s="7" t="inlineStr">
        <is>
          <t>Antoine Mercier</t>
        </is>
      </c>
      <c r="K64" s="7" t="n"/>
      <c r="L64" s="65" t="n">
        <v>45403</v>
      </c>
      <c r="M64" s="7" t="inlineStr">
        <is>
          <t>Oui</t>
        </is>
      </c>
      <c r="N64" s="7" t="inlineStr">
        <is>
          <t>Remplacement batteries sous tension ; sauvegarde complète</t>
        </is>
      </c>
      <c r="O64" s="78">
        <f>IF($A64="","",MAX(N(L64),INT(_xlfn.MAXIFS('Ordres de travail'!$R$5:$R$3004,'Ordres de travail'!$I$5:$I$3004,$A64,'Ordres de travail'!$AC$5:$AC$3004,"Clôturé"))))</f>
        <v/>
      </c>
      <c r="P64" s="78">
        <f>IF(OR($A64="",N(O64)=0),"",O64+H64)</f>
        <v/>
      </c>
      <c r="Q64" s="79">
        <f>IF(P64="","",P64-TODAY())</f>
        <v/>
      </c>
      <c r="R64" s="9">
        <f>IF($A64="","",IF(M64="Non","INACTIF",IF(Q64="","À DÉFINIR",IF(Q64&lt;0,"EN RETARD",IF(Q64&lt;='Paramètres'!$AA$12,"À PLANIFIER","OK")))))</f>
        <v/>
      </c>
      <c r="S64" s="9">
        <f>IF($A64="","",IF(SUM(COUNTIFS('Ordres de travail'!$I$5:$I$3004,$A64,'Ordres de travail'!$AC$5:$AC$3004,{"Demandé","Planifié","En cours","En attente pièces"}))&gt;0,"Oui","Non"))</f>
        <v/>
      </c>
      <c r="T64" s="68">
        <f>IF($A64="","",COUNTIFS('Ordres de travail'!$I$5:$I$3004,$A64,'Ordres de travail'!$AC$5:$AC$3004,"Clôturé",'Ordres de travail'!$R$5:$R$3004,"&gt;="&amp;'Paramètres'!$AA$6,'Ordres de travail'!$R$5:$R$3004,"&lt;"&amp;('Paramètres'!$AA$7+1)))</f>
        <v/>
      </c>
      <c r="U64" s="69">
        <f>IF(OR($A64="",N(H64)=0),"",IF(M64="Non",0,365/H64*I64))</f>
        <v/>
      </c>
    </row>
    <row r="65">
      <c r="A65" s="7" t="inlineStr">
        <is>
          <t>GP-061</t>
        </is>
      </c>
      <c r="B65" s="7" t="inlineStr">
        <is>
          <t>EQ-SOU-002</t>
        </is>
      </c>
      <c r="C65" s="9">
        <f>IF(B65="","",IFERROR(INDEX('Équipements'!$B$5:$B$304,MATCH(B65,'Équipements'!$A$5:$A$304,0)),"Code inconnu"))</f>
        <v/>
      </c>
      <c r="D65" s="9">
        <f>IF(B65="","",IFERROR(INDEX('Équipements'!$D$5:$D$304,MATCH(B65,'Équipements'!$A$5:$A$304,0)),""))</f>
        <v/>
      </c>
      <c r="E65" s="7" t="inlineStr">
        <is>
          <t>Contrôle et nettoyage poste, dévidoir, câbles</t>
        </is>
      </c>
      <c r="F65" s="7" t="inlineStr">
        <is>
          <t>Préventif systématique</t>
        </is>
      </c>
      <c r="G65" s="7" t="inlineStr">
        <is>
          <t>Électrique</t>
        </is>
      </c>
      <c r="H65" s="67" t="n">
        <v>180</v>
      </c>
      <c r="I65" s="76" t="n">
        <v>1</v>
      </c>
      <c r="J65" s="7" t="inlineStr">
        <is>
          <t>Julien Moreau</t>
        </is>
      </c>
      <c r="K65" s="7" t="n"/>
      <c r="L65" s="65" t="n">
        <v>45645</v>
      </c>
      <c r="M65" s="7" t="inlineStr">
        <is>
          <t>Oui</t>
        </is>
      </c>
      <c r="N65" s="7" t="inlineStr">
        <is>
          <t>Soufflage ; contrôle câbles de masse ; galets ; gaine</t>
        </is>
      </c>
      <c r="O65" s="78">
        <f>IF($A65="","",MAX(N(L65),INT(_xlfn.MAXIFS('Ordres de travail'!$R$5:$R$3004,'Ordres de travail'!$I$5:$I$3004,$A65,'Ordres de travail'!$AC$5:$AC$3004,"Clôturé"))))</f>
        <v/>
      </c>
      <c r="P65" s="78">
        <f>IF(OR($A65="",N(O65)=0),"",O65+H65)</f>
        <v/>
      </c>
      <c r="Q65" s="79">
        <f>IF(P65="","",P65-TODAY())</f>
        <v/>
      </c>
      <c r="R65" s="9">
        <f>IF($A65="","",IF(M65="Non","INACTIF",IF(Q65="","À DÉFINIR",IF(Q65&lt;0,"EN RETARD",IF(Q65&lt;='Paramètres'!$AA$12,"À PLANIFIER","OK")))))</f>
        <v/>
      </c>
      <c r="S65" s="9">
        <f>IF($A65="","",IF(SUM(COUNTIFS('Ordres de travail'!$I$5:$I$3004,$A65,'Ordres de travail'!$AC$5:$AC$3004,{"Demandé","Planifié","En cours","En attente pièces"}))&gt;0,"Oui","Non"))</f>
        <v/>
      </c>
      <c r="T65" s="68">
        <f>IF($A65="","",COUNTIFS('Ordres de travail'!$I$5:$I$3004,$A65,'Ordres de travail'!$AC$5:$AC$3004,"Clôturé",'Ordres de travail'!$R$5:$R$3004,"&gt;="&amp;'Paramètres'!$AA$6,'Ordres de travail'!$R$5:$R$3004,"&lt;"&amp;('Paramètres'!$AA$7+1)))</f>
        <v/>
      </c>
      <c r="U65" s="69">
        <f>IF(OR($A65="",N(H65)=0),"",IF(M65="Non",0,365/H65*I65))</f>
        <v/>
      </c>
    </row>
    <row r="66">
      <c r="A66" s="7" t="inlineStr">
        <is>
          <t>GP-062</t>
        </is>
      </c>
      <c r="B66" s="7" t="inlineStr">
        <is>
          <t>EQ-SOU-003</t>
        </is>
      </c>
      <c r="C66" s="9">
        <f>IF(B66="","",IFERROR(INDEX('Équipements'!$B$5:$B$304,MATCH(B66,'Équipements'!$A$5:$A$304,0)),"Code inconnu"))</f>
        <v/>
      </c>
      <c r="D66" s="9">
        <f>IF(B66="","",IFERROR(INDEX('Équipements'!$D$5:$D$304,MATCH(B66,'Équipements'!$A$5:$A$304,0)),""))</f>
        <v/>
      </c>
      <c r="E66" s="7" t="inlineStr">
        <is>
          <t>Contrôle et nettoyage poste, dévidoir, câbles</t>
        </is>
      </c>
      <c r="F66" s="7" t="inlineStr">
        <is>
          <t>Préventif systématique</t>
        </is>
      </c>
      <c r="G66" s="7" t="inlineStr">
        <is>
          <t>Électrique</t>
        </is>
      </c>
      <c r="H66" s="67" t="n">
        <v>180</v>
      </c>
      <c r="I66" s="76" t="n">
        <v>1</v>
      </c>
      <c r="J66" s="7" t="inlineStr">
        <is>
          <t>Julien Moreau</t>
        </is>
      </c>
      <c r="K66" s="7" t="n"/>
      <c r="L66" s="65" t="n">
        <v>45610</v>
      </c>
      <c r="M66" s="7" t="inlineStr">
        <is>
          <t>Oui</t>
        </is>
      </c>
      <c r="N66" s="7" t="inlineStr">
        <is>
          <t>Soufflage ; contrôle câbles de masse ; galets ; gaine</t>
        </is>
      </c>
      <c r="O66" s="78">
        <f>IF($A66="","",MAX(N(L66),INT(_xlfn.MAXIFS('Ordres de travail'!$R$5:$R$3004,'Ordres de travail'!$I$5:$I$3004,$A66,'Ordres de travail'!$AC$5:$AC$3004,"Clôturé"))))</f>
        <v/>
      </c>
      <c r="P66" s="78">
        <f>IF(OR($A66="",N(O66)=0),"",O66+H66)</f>
        <v/>
      </c>
      <c r="Q66" s="79">
        <f>IF(P66="","",P66-TODAY())</f>
        <v/>
      </c>
      <c r="R66" s="9">
        <f>IF($A66="","",IF(M66="Non","INACTIF",IF(Q66="","À DÉFINIR",IF(Q66&lt;0,"EN RETARD",IF(Q66&lt;='Paramètres'!$AA$12,"À PLANIFIER","OK")))))</f>
        <v/>
      </c>
      <c r="S66" s="9">
        <f>IF($A66="","",IF(SUM(COUNTIFS('Ordres de travail'!$I$5:$I$3004,$A66,'Ordres de travail'!$AC$5:$AC$3004,{"Demandé","Planifié","En cours","En attente pièces"}))&gt;0,"Oui","Non"))</f>
        <v/>
      </c>
      <c r="T66" s="68">
        <f>IF($A66="","",COUNTIFS('Ordres de travail'!$I$5:$I$3004,$A66,'Ordres de travail'!$AC$5:$AC$3004,"Clôturé",'Ordres de travail'!$R$5:$R$3004,"&gt;="&amp;'Paramètres'!$AA$6,'Ordres de travail'!$R$5:$R$3004,"&lt;"&amp;('Paramètres'!$AA$7+1)))</f>
        <v/>
      </c>
      <c r="U66" s="69">
        <f>IF(OR($A66="",N(H66)=0),"",IF(M66="Non",0,365/H66*I66))</f>
        <v/>
      </c>
    </row>
    <row r="67">
      <c r="A67" s="7" t="inlineStr">
        <is>
          <t>GP-063</t>
        </is>
      </c>
      <c r="B67" s="7" t="inlineStr">
        <is>
          <t>EQ-SOU-004</t>
        </is>
      </c>
      <c r="C67" s="9">
        <f>IF(B67="","",IFERROR(INDEX('Équipements'!$B$5:$B$304,MATCH(B67,'Équipements'!$A$5:$A$304,0)),"Code inconnu"))</f>
        <v/>
      </c>
      <c r="D67" s="9">
        <f>IF(B67="","",IFERROR(INDEX('Équipements'!$D$5:$D$304,MATCH(B67,'Équipements'!$A$5:$A$304,0)),""))</f>
        <v/>
      </c>
      <c r="E67" s="7" t="inlineStr">
        <is>
          <t>Contrôle et nettoyage poste, dévidoir, câbles</t>
        </is>
      </c>
      <c r="F67" s="7" t="inlineStr">
        <is>
          <t>Préventif systématique</t>
        </is>
      </c>
      <c r="G67" s="7" t="inlineStr">
        <is>
          <t>Électrique</t>
        </is>
      </c>
      <c r="H67" s="67" t="n">
        <v>180</v>
      </c>
      <c r="I67" s="76" t="n">
        <v>1</v>
      </c>
      <c r="J67" s="7" t="inlineStr">
        <is>
          <t>Antoine Mercier</t>
        </is>
      </c>
      <c r="K67" s="7" t="n"/>
      <c r="L67" s="65" t="n">
        <v>45621</v>
      </c>
      <c r="M67" s="7" t="inlineStr">
        <is>
          <t>Oui</t>
        </is>
      </c>
      <c r="N67" s="7" t="inlineStr">
        <is>
          <t>Soufflage ; contrôle câbles de masse ; galets ; gaine</t>
        </is>
      </c>
      <c r="O67" s="78">
        <f>IF($A67="","",MAX(N(L67),INT(_xlfn.MAXIFS('Ordres de travail'!$R$5:$R$3004,'Ordres de travail'!$I$5:$I$3004,$A67,'Ordres de travail'!$AC$5:$AC$3004,"Clôturé"))))</f>
        <v/>
      </c>
      <c r="P67" s="78">
        <f>IF(OR($A67="",N(O67)=0),"",O67+H67)</f>
        <v/>
      </c>
      <c r="Q67" s="79">
        <f>IF(P67="","",P67-TODAY())</f>
        <v/>
      </c>
      <c r="R67" s="9">
        <f>IF($A67="","",IF(M67="Non","INACTIF",IF(Q67="","À DÉFINIR",IF(Q67&lt;0,"EN RETARD",IF(Q67&lt;='Paramètres'!$AA$12,"À PLANIFIER","OK")))))</f>
        <v/>
      </c>
      <c r="S67" s="9">
        <f>IF($A67="","",IF(SUM(COUNTIFS('Ordres de travail'!$I$5:$I$3004,$A67,'Ordres de travail'!$AC$5:$AC$3004,{"Demandé","Planifié","En cours","En attente pièces"}))&gt;0,"Oui","Non"))</f>
        <v/>
      </c>
      <c r="T67" s="68">
        <f>IF($A67="","",COUNTIFS('Ordres de travail'!$I$5:$I$3004,$A67,'Ordres de travail'!$AC$5:$AC$3004,"Clôturé",'Ordres de travail'!$R$5:$R$3004,"&gt;="&amp;'Paramètres'!$AA$6,'Ordres de travail'!$R$5:$R$3004,"&lt;"&amp;('Paramètres'!$AA$7+1)))</f>
        <v/>
      </c>
      <c r="U67" s="69">
        <f>IF(OR($A67="",N(H67)=0),"",IF(M67="Non",0,365/H67*I67))</f>
        <v/>
      </c>
    </row>
    <row r="68">
      <c r="A68" s="7" t="inlineStr">
        <is>
          <t>GP-064</t>
        </is>
      </c>
      <c r="B68" s="7" t="inlineStr">
        <is>
          <t>EQ-SOU-005</t>
        </is>
      </c>
      <c r="C68" s="9">
        <f>IF(B68="","",IFERROR(INDEX('Équipements'!$B$5:$B$304,MATCH(B68,'Équipements'!$A$5:$A$304,0)),"Code inconnu"))</f>
        <v/>
      </c>
      <c r="D68" s="9">
        <f>IF(B68="","",IFERROR(INDEX('Équipements'!$D$5:$D$304,MATCH(B68,'Équipements'!$A$5:$A$304,0)),""))</f>
        <v/>
      </c>
      <c r="E68" s="7" t="inlineStr">
        <is>
          <t>Remplacement filtres et nettoyage batteries</t>
        </is>
      </c>
      <c r="F68" s="7" t="inlineStr">
        <is>
          <t>Préventif systématique</t>
        </is>
      </c>
      <c r="G68" s="7" t="inlineStr">
        <is>
          <t>Mécanique</t>
        </is>
      </c>
      <c r="H68" s="67" t="n">
        <v>90</v>
      </c>
      <c r="I68" s="76" t="n">
        <v>1.5</v>
      </c>
      <c r="J68" s="7" t="inlineStr">
        <is>
          <t>Antoine Mercier</t>
        </is>
      </c>
      <c r="K68" s="7" t="n"/>
      <c r="L68" s="65" t="n">
        <v>45608</v>
      </c>
      <c r="M68" s="7" t="inlineStr">
        <is>
          <t>Oui</t>
        </is>
      </c>
      <c r="N68" s="7" t="inlineStr">
        <is>
          <t>Filtres ; nettoyage batteries ; contrôle courroies</t>
        </is>
      </c>
      <c r="O68" s="78">
        <f>IF($A68="","",MAX(N(L68),INT(_xlfn.MAXIFS('Ordres de travail'!$R$5:$R$3004,'Ordres de travail'!$I$5:$I$3004,$A68,'Ordres de travail'!$AC$5:$AC$3004,"Clôturé"))))</f>
        <v/>
      </c>
      <c r="P68" s="78">
        <f>IF(OR($A68="",N(O68)=0),"",O68+H68)</f>
        <v/>
      </c>
      <c r="Q68" s="79">
        <f>IF(P68="","",P68-TODAY())</f>
        <v/>
      </c>
      <c r="R68" s="9">
        <f>IF($A68="","",IF(M68="Non","INACTIF",IF(Q68="","À DÉFINIR",IF(Q68&lt;0,"EN RETARD",IF(Q68&lt;='Paramètres'!$AA$12,"À PLANIFIER","OK")))))</f>
        <v/>
      </c>
      <c r="S68" s="9">
        <f>IF($A68="","",IF(SUM(COUNTIFS('Ordres de travail'!$I$5:$I$3004,$A68,'Ordres de travail'!$AC$5:$AC$3004,{"Demandé","Planifié","En cours","En attente pièces"}))&gt;0,"Oui","Non"))</f>
        <v/>
      </c>
      <c r="T68" s="68">
        <f>IF($A68="","",COUNTIFS('Ordres de travail'!$I$5:$I$3004,$A68,'Ordres de travail'!$AC$5:$AC$3004,"Clôturé",'Ordres de travail'!$R$5:$R$3004,"&gt;="&amp;'Paramètres'!$AA$6,'Ordres de travail'!$R$5:$R$3004,"&lt;"&amp;('Paramètres'!$AA$7+1)))</f>
        <v/>
      </c>
      <c r="U68" s="69">
        <f>IF(OR($A68="",N(H68)=0),"",IF(M68="Non",0,365/H68*I68))</f>
        <v/>
      </c>
    </row>
    <row r="69">
      <c r="A69" s="7" t="inlineStr">
        <is>
          <t>GP-065</t>
        </is>
      </c>
      <c r="B69" s="7" t="inlineStr">
        <is>
          <t>EQ-SOU-005</t>
        </is>
      </c>
      <c r="C69" s="9">
        <f>IF(B69="","",IFERROR(INDEX('Équipements'!$B$5:$B$304,MATCH(B69,'Équipements'!$A$5:$A$304,0)),"Code inconnu"))</f>
        <v/>
      </c>
      <c r="D69" s="9">
        <f>IF(B69="","",IFERROR(INDEX('Équipements'!$D$5:$D$304,MATCH(B69,'Équipements'!$A$5:$A$304,0)),""))</f>
        <v/>
      </c>
      <c r="E69" s="7" t="inlineStr">
        <is>
          <t>Entretien annuel complet</t>
        </is>
      </c>
      <c r="F69" s="7" t="inlineStr">
        <is>
          <t>Préventif systématique</t>
        </is>
      </c>
      <c r="G69" s="7" t="inlineStr">
        <is>
          <t>Multi-technique</t>
        </is>
      </c>
      <c r="H69" s="67" t="n">
        <v>365</v>
      </c>
      <c r="I69" s="76" t="n">
        <v>4</v>
      </c>
      <c r="J69" s="7" t="inlineStr">
        <is>
          <t>Antoine Mercier</t>
        </is>
      </c>
      <c r="K69" s="7" t="inlineStr">
        <is>
          <t>Thermique &amp; Clim Services</t>
        </is>
      </c>
      <c r="L69" s="65" t="n">
        <v>45612</v>
      </c>
      <c r="M69" s="7" t="inlineStr">
        <is>
          <t>Oui</t>
        </is>
      </c>
      <c r="N69" s="7" t="inlineStr">
        <is>
          <t>Entretien selon contrat</t>
        </is>
      </c>
      <c r="O69" s="78">
        <f>IF($A69="","",MAX(N(L69),INT(_xlfn.MAXIFS('Ordres de travail'!$R$5:$R$3004,'Ordres de travail'!$I$5:$I$3004,$A69,'Ordres de travail'!$AC$5:$AC$3004,"Clôturé"))))</f>
        <v/>
      </c>
      <c r="P69" s="78">
        <f>IF(OR($A69="",N(O69)=0),"",O69+H69)</f>
        <v/>
      </c>
      <c r="Q69" s="79">
        <f>IF(P69="","",P69-TODAY())</f>
        <v/>
      </c>
      <c r="R69" s="9">
        <f>IF($A69="","",IF(M69="Non","INACTIF",IF(Q69="","À DÉFINIR",IF(Q69&lt;0,"EN RETARD",IF(Q69&lt;='Paramètres'!$AA$12,"À PLANIFIER","OK")))))</f>
        <v/>
      </c>
      <c r="S69" s="9">
        <f>IF($A69="","",IF(SUM(COUNTIFS('Ordres de travail'!$I$5:$I$3004,$A69,'Ordres de travail'!$AC$5:$AC$3004,{"Demandé","Planifié","En cours","En attente pièces"}))&gt;0,"Oui","Non"))</f>
        <v/>
      </c>
      <c r="T69" s="68">
        <f>IF($A69="","",COUNTIFS('Ordres de travail'!$I$5:$I$3004,$A69,'Ordres de travail'!$AC$5:$AC$3004,"Clôturé",'Ordres de travail'!$R$5:$R$3004,"&gt;="&amp;'Paramètres'!$AA$6,'Ordres de travail'!$R$5:$R$3004,"&lt;"&amp;('Paramètres'!$AA$7+1)))</f>
        <v/>
      </c>
      <c r="U69" s="69">
        <f>IF(OR($A69="",N(H69)=0),"",IF(M69="Non",0,365/H69*I69))</f>
        <v/>
      </c>
    </row>
    <row r="70">
      <c r="A70" s="7" t="inlineStr">
        <is>
          <t>GP-066</t>
        </is>
      </c>
      <c r="B70" s="7" t="inlineStr">
        <is>
          <t>EQ-PEI-001</t>
        </is>
      </c>
      <c r="C70" s="9">
        <f>IF(B70="","",IFERROR(INDEX('Équipements'!$B$5:$B$304,MATCH(B70,'Équipements'!$A$5:$A$304,0)),"Code inconnu"))</f>
        <v/>
      </c>
      <c r="D70" s="9">
        <f>IF(B70="","",IFERROR(INDEX('Équipements'!$D$5:$D$304,MATCH(B70,'Équipements'!$A$5:$A$304,0)),""))</f>
        <v/>
      </c>
      <c r="E70" s="7" t="inlineStr">
        <is>
          <t>Nettoyage et remplacement des filtres</t>
        </is>
      </c>
      <c r="F70" s="7" t="inlineStr">
        <is>
          <t>Préventif systématique</t>
        </is>
      </c>
      <c r="G70" s="7" t="inlineStr">
        <is>
          <t>Mécanique</t>
        </is>
      </c>
      <c r="H70" s="67" t="n">
        <v>30</v>
      </c>
      <c r="I70" s="76" t="n">
        <v>2</v>
      </c>
      <c r="J70" s="7" t="inlineStr">
        <is>
          <t>Lucas Fontaine</t>
        </is>
      </c>
      <c r="K70" s="7" t="n"/>
      <c r="L70" s="65" t="n">
        <v>45630</v>
      </c>
      <c r="M70" s="7" t="inlineStr">
        <is>
          <t>Oui</t>
        </is>
      </c>
      <c r="N70" s="7" t="inlineStr">
        <is>
          <t>Remplacement filtres ; nettoyage parois ; contrôle débit d'air</t>
        </is>
      </c>
      <c r="O70" s="78">
        <f>IF($A70="","",MAX(N(L70),INT(_xlfn.MAXIFS('Ordres de travail'!$R$5:$R$3004,'Ordres de travail'!$I$5:$I$3004,$A70,'Ordres de travail'!$AC$5:$AC$3004,"Clôturé"))))</f>
        <v/>
      </c>
      <c r="P70" s="78">
        <f>IF(OR($A70="",N(O70)=0),"",O70+H70)</f>
        <v/>
      </c>
      <c r="Q70" s="79">
        <f>IF(P70="","",P70-TODAY())</f>
        <v/>
      </c>
      <c r="R70" s="9">
        <f>IF($A70="","",IF(M70="Non","INACTIF",IF(Q70="","À DÉFINIR",IF(Q70&lt;0,"EN RETARD",IF(Q70&lt;='Paramètres'!$AA$12,"À PLANIFIER","OK")))))</f>
        <v/>
      </c>
      <c r="S70" s="9">
        <f>IF($A70="","",IF(SUM(COUNTIFS('Ordres de travail'!$I$5:$I$3004,$A70,'Ordres de travail'!$AC$5:$AC$3004,{"Demandé","Planifié","En cours","En attente pièces"}))&gt;0,"Oui","Non"))</f>
        <v/>
      </c>
      <c r="T70" s="68">
        <f>IF($A70="","",COUNTIFS('Ordres de travail'!$I$5:$I$3004,$A70,'Ordres de travail'!$AC$5:$AC$3004,"Clôturé",'Ordres de travail'!$R$5:$R$3004,"&gt;="&amp;'Paramètres'!$AA$6,'Ordres de travail'!$R$5:$R$3004,"&lt;"&amp;('Paramètres'!$AA$7+1)))</f>
        <v/>
      </c>
      <c r="U70" s="69">
        <f>IF(OR($A70="",N(H70)=0),"",IF(M70="Non",0,365/H70*I70))</f>
        <v/>
      </c>
    </row>
    <row r="71">
      <c r="A71" s="7" t="inlineStr">
        <is>
          <t>GP-067</t>
        </is>
      </c>
      <c r="B71" s="7" t="inlineStr">
        <is>
          <t>EQ-PEI-001</t>
        </is>
      </c>
      <c r="C71" s="9">
        <f>IF(B71="","",IFERROR(INDEX('Équipements'!$B$5:$B$304,MATCH(B71,'Équipements'!$A$5:$A$304,0)),"Code inconnu"))</f>
        <v/>
      </c>
      <c r="D71" s="9">
        <f>IF(B71="","",IFERROR(INDEX('Équipements'!$D$5:$D$304,MATCH(B71,'Équipements'!$A$5:$A$304,0)),""))</f>
        <v/>
      </c>
      <c r="E71" s="7" t="inlineStr">
        <is>
          <t>Contrôle ventilation, brûleurs, pompes et sécurités</t>
        </is>
      </c>
      <c r="F71" s="7" t="inlineStr">
        <is>
          <t>Préventif systématique</t>
        </is>
      </c>
      <c r="G71" s="7" t="inlineStr">
        <is>
          <t>Multi-technique</t>
        </is>
      </c>
      <c r="H71" s="67" t="n">
        <v>180</v>
      </c>
      <c r="I71" s="76" t="n">
        <v>3</v>
      </c>
      <c r="J71" s="7" t="inlineStr">
        <is>
          <t>Antoine Mercier</t>
        </is>
      </c>
      <c r="K71" s="7" t="n"/>
      <c r="L71" s="65" t="n">
        <v>45649</v>
      </c>
      <c r="M71" s="7" t="inlineStr">
        <is>
          <t>Oui</t>
        </is>
      </c>
      <c r="N71" s="7" t="inlineStr">
        <is>
          <t>Contrôle combustion ; pompes ; buses ; sécurités ; sondes</t>
        </is>
      </c>
      <c r="O71" s="78">
        <f>IF($A71="","",MAX(N(L71),INT(_xlfn.MAXIFS('Ordres de travail'!$R$5:$R$3004,'Ordres de travail'!$I$5:$I$3004,$A71,'Ordres de travail'!$AC$5:$AC$3004,"Clôturé"))))</f>
        <v/>
      </c>
      <c r="P71" s="78">
        <f>IF(OR($A71="",N(O71)=0),"",O71+H71)</f>
        <v/>
      </c>
      <c r="Q71" s="79">
        <f>IF(P71="","",P71-TODAY())</f>
        <v/>
      </c>
      <c r="R71" s="9">
        <f>IF($A71="","",IF(M71="Non","INACTIF",IF(Q71="","À DÉFINIR",IF(Q71&lt;0,"EN RETARD",IF(Q71&lt;='Paramètres'!$AA$12,"À PLANIFIER","OK")))))</f>
        <v/>
      </c>
      <c r="S71" s="9">
        <f>IF($A71="","",IF(SUM(COUNTIFS('Ordres de travail'!$I$5:$I$3004,$A71,'Ordres de travail'!$AC$5:$AC$3004,{"Demandé","Planifié","En cours","En attente pièces"}))&gt;0,"Oui","Non"))</f>
        <v/>
      </c>
      <c r="T71" s="68">
        <f>IF($A71="","",COUNTIFS('Ordres de travail'!$I$5:$I$3004,$A71,'Ordres de travail'!$AC$5:$AC$3004,"Clôturé",'Ordres de travail'!$R$5:$R$3004,"&gt;="&amp;'Paramètres'!$AA$6,'Ordres de travail'!$R$5:$R$3004,"&lt;"&amp;('Paramètres'!$AA$7+1)))</f>
        <v/>
      </c>
      <c r="U71" s="69">
        <f>IF(OR($A71="",N(H71)=0),"",IF(M71="Non",0,365/H71*I71))</f>
        <v/>
      </c>
    </row>
    <row r="72">
      <c r="A72" s="7" t="inlineStr">
        <is>
          <t>GP-068</t>
        </is>
      </c>
      <c r="B72" s="7" t="inlineStr">
        <is>
          <t>EQ-PEI-002</t>
        </is>
      </c>
      <c r="C72" s="9">
        <f>IF(B72="","",IFERROR(INDEX('Équipements'!$B$5:$B$304,MATCH(B72,'Équipements'!$A$5:$A$304,0)),"Code inconnu"))</f>
        <v/>
      </c>
      <c r="D72" s="9">
        <f>IF(B72="","",IFERROR(INDEX('Équipements'!$D$5:$D$304,MATCH(B72,'Équipements'!$A$5:$A$304,0)),""))</f>
        <v/>
      </c>
      <c r="E72" s="7" t="inlineStr">
        <is>
          <t>Nettoyage et remplacement des filtres</t>
        </is>
      </c>
      <c r="F72" s="7" t="inlineStr">
        <is>
          <t>Préventif systématique</t>
        </is>
      </c>
      <c r="G72" s="7" t="inlineStr">
        <is>
          <t>Mécanique</t>
        </is>
      </c>
      <c r="H72" s="67" t="n">
        <v>30</v>
      </c>
      <c r="I72" s="76" t="n">
        <v>2</v>
      </c>
      <c r="J72" s="7" t="inlineStr">
        <is>
          <t>Karim Benali</t>
        </is>
      </c>
      <c r="K72" s="7" t="n"/>
      <c r="L72" s="65" t="n">
        <v>45643</v>
      </c>
      <c r="M72" s="7" t="inlineStr">
        <is>
          <t>Oui</t>
        </is>
      </c>
      <c r="N72" s="7" t="inlineStr">
        <is>
          <t>Remplacement filtres ; nettoyage parois ; contrôle débit d'air</t>
        </is>
      </c>
      <c r="O72" s="78">
        <f>IF($A72="","",MAX(N(L72),INT(_xlfn.MAXIFS('Ordres de travail'!$R$5:$R$3004,'Ordres de travail'!$I$5:$I$3004,$A72,'Ordres de travail'!$AC$5:$AC$3004,"Clôturé"))))</f>
        <v/>
      </c>
      <c r="P72" s="78">
        <f>IF(OR($A72="",N(O72)=0),"",O72+H72)</f>
        <v/>
      </c>
      <c r="Q72" s="79">
        <f>IF(P72="","",P72-TODAY())</f>
        <v/>
      </c>
      <c r="R72" s="9">
        <f>IF($A72="","",IF(M72="Non","INACTIF",IF(Q72="","À DÉFINIR",IF(Q72&lt;0,"EN RETARD",IF(Q72&lt;='Paramètres'!$AA$12,"À PLANIFIER","OK")))))</f>
        <v/>
      </c>
      <c r="S72" s="9">
        <f>IF($A72="","",IF(SUM(COUNTIFS('Ordres de travail'!$I$5:$I$3004,$A72,'Ordres de travail'!$AC$5:$AC$3004,{"Demandé","Planifié","En cours","En attente pièces"}))&gt;0,"Oui","Non"))</f>
        <v/>
      </c>
      <c r="T72" s="68">
        <f>IF($A72="","",COUNTIFS('Ordres de travail'!$I$5:$I$3004,$A72,'Ordres de travail'!$AC$5:$AC$3004,"Clôturé",'Ordres de travail'!$R$5:$R$3004,"&gt;="&amp;'Paramètres'!$AA$6,'Ordres de travail'!$R$5:$R$3004,"&lt;"&amp;('Paramètres'!$AA$7+1)))</f>
        <v/>
      </c>
      <c r="U72" s="69">
        <f>IF(OR($A72="",N(H72)=0),"",IF(M72="Non",0,365/H72*I72))</f>
        <v/>
      </c>
    </row>
    <row r="73">
      <c r="A73" s="7" t="inlineStr">
        <is>
          <t>GP-069</t>
        </is>
      </c>
      <c r="B73" s="7" t="inlineStr">
        <is>
          <t>EQ-PEI-002</t>
        </is>
      </c>
      <c r="C73" s="9">
        <f>IF(B73="","",IFERROR(INDEX('Équipements'!$B$5:$B$304,MATCH(B73,'Équipements'!$A$5:$A$304,0)),"Code inconnu"))</f>
        <v/>
      </c>
      <c r="D73" s="9">
        <f>IF(B73="","",IFERROR(INDEX('Équipements'!$D$5:$D$304,MATCH(B73,'Équipements'!$A$5:$A$304,0)),""))</f>
        <v/>
      </c>
      <c r="E73" s="7" t="inlineStr">
        <is>
          <t>Contrôle ventilation, brûleurs, pompes et sécurités</t>
        </is>
      </c>
      <c r="F73" s="7" t="inlineStr">
        <is>
          <t>Préventif systématique</t>
        </is>
      </c>
      <c r="G73" s="7" t="inlineStr">
        <is>
          <t>Multi-technique</t>
        </is>
      </c>
      <c r="H73" s="67" t="n">
        <v>180</v>
      </c>
      <c r="I73" s="76" t="n">
        <v>3</v>
      </c>
      <c r="J73" s="7" t="inlineStr">
        <is>
          <t>Antoine Mercier</t>
        </is>
      </c>
      <c r="K73" s="7" t="n"/>
      <c r="L73" s="65" t="n">
        <v>45656</v>
      </c>
      <c r="M73" s="7" t="inlineStr">
        <is>
          <t>Oui</t>
        </is>
      </c>
      <c r="N73" s="7" t="inlineStr">
        <is>
          <t>Contrôle combustion ; pompes ; buses ; sécurités ; sondes</t>
        </is>
      </c>
      <c r="O73" s="78">
        <f>IF($A73="","",MAX(N(L73),INT(_xlfn.MAXIFS('Ordres de travail'!$R$5:$R$3004,'Ordres de travail'!$I$5:$I$3004,$A73,'Ordres de travail'!$AC$5:$AC$3004,"Clôturé"))))</f>
        <v/>
      </c>
      <c r="P73" s="78">
        <f>IF(OR($A73="",N(O73)=0),"",O73+H73)</f>
        <v/>
      </c>
      <c r="Q73" s="79">
        <f>IF(P73="","",P73-TODAY())</f>
        <v/>
      </c>
      <c r="R73" s="9">
        <f>IF($A73="","",IF(M73="Non","INACTIF",IF(Q73="","À DÉFINIR",IF(Q73&lt;0,"EN RETARD",IF(Q73&lt;='Paramètres'!$AA$12,"À PLANIFIER","OK")))))</f>
        <v/>
      </c>
      <c r="S73" s="9">
        <f>IF($A73="","",IF(SUM(COUNTIFS('Ordres de travail'!$I$5:$I$3004,$A73,'Ordres de travail'!$AC$5:$AC$3004,{"Demandé","Planifié","En cours","En attente pièces"}))&gt;0,"Oui","Non"))</f>
        <v/>
      </c>
      <c r="T73" s="68">
        <f>IF($A73="","",COUNTIFS('Ordres de travail'!$I$5:$I$3004,$A73,'Ordres de travail'!$AC$5:$AC$3004,"Clôturé",'Ordres de travail'!$R$5:$R$3004,"&gt;="&amp;'Paramètres'!$AA$6,'Ordres de travail'!$R$5:$R$3004,"&lt;"&amp;('Paramètres'!$AA$7+1)))</f>
        <v/>
      </c>
      <c r="U73" s="69">
        <f>IF(OR($A73="",N(H73)=0),"",IF(M73="Non",0,365/H73*I73))</f>
        <v/>
      </c>
    </row>
    <row r="74">
      <c r="A74" s="7" t="inlineStr">
        <is>
          <t>GP-070</t>
        </is>
      </c>
      <c r="B74" s="7" t="inlineStr">
        <is>
          <t>EQ-PEI-003</t>
        </is>
      </c>
      <c r="C74" s="9">
        <f>IF(B74="","",IFERROR(INDEX('Équipements'!$B$5:$B$304,MATCH(B74,'Équipements'!$A$5:$A$304,0)),"Code inconnu"))</f>
        <v/>
      </c>
      <c r="D74" s="9">
        <f>IF(B74="","",IFERROR(INDEX('Équipements'!$D$5:$D$304,MATCH(B74,'Équipements'!$A$5:$A$304,0)),""))</f>
        <v/>
      </c>
      <c r="E74" s="7" t="inlineStr">
        <is>
          <t>Nettoyage et remplacement des filtres</t>
        </is>
      </c>
      <c r="F74" s="7" t="inlineStr">
        <is>
          <t>Préventif systématique</t>
        </is>
      </c>
      <c r="G74" s="7" t="inlineStr">
        <is>
          <t>Mécanique</t>
        </is>
      </c>
      <c r="H74" s="67" t="n">
        <v>30</v>
      </c>
      <c r="I74" s="76" t="n">
        <v>2</v>
      </c>
      <c r="J74" s="7" t="inlineStr">
        <is>
          <t>Antoine Mercier</t>
        </is>
      </c>
      <c r="K74" s="7" t="n"/>
      <c r="L74" s="65" t="n">
        <v>45652</v>
      </c>
      <c r="M74" s="7" t="inlineStr">
        <is>
          <t>Oui</t>
        </is>
      </c>
      <c r="N74" s="7" t="inlineStr">
        <is>
          <t>Remplacement filtres ; nettoyage parois ; contrôle débit d'air</t>
        </is>
      </c>
      <c r="O74" s="78">
        <f>IF($A74="","",MAX(N(L74),INT(_xlfn.MAXIFS('Ordres de travail'!$R$5:$R$3004,'Ordres de travail'!$I$5:$I$3004,$A74,'Ordres de travail'!$AC$5:$AC$3004,"Clôturé"))))</f>
        <v/>
      </c>
      <c r="P74" s="78">
        <f>IF(OR($A74="",N(O74)=0),"",O74+H74)</f>
        <v/>
      </c>
      <c r="Q74" s="79">
        <f>IF(P74="","",P74-TODAY())</f>
        <v/>
      </c>
      <c r="R74" s="9">
        <f>IF($A74="","",IF(M74="Non","INACTIF",IF(Q74="","À DÉFINIR",IF(Q74&lt;0,"EN RETARD",IF(Q74&lt;='Paramètres'!$AA$12,"À PLANIFIER","OK")))))</f>
        <v/>
      </c>
      <c r="S74" s="9">
        <f>IF($A74="","",IF(SUM(COUNTIFS('Ordres de travail'!$I$5:$I$3004,$A74,'Ordres de travail'!$AC$5:$AC$3004,{"Demandé","Planifié","En cours","En attente pièces"}))&gt;0,"Oui","Non"))</f>
        <v/>
      </c>
      <c r="T74" s="68">
        <f>IF($A74="","",COUNTIFS('Ordres de travail'!$I$5:$I$3004,$A74,'Ordres de travail'!$AC$5:$AC$3004,"Clôturé",'Ordres de travail'!$R$5:$R$3004,"&gt;="&amp;'Paramètres'!$AA$6,'Ordres de travail'!$R$5:$R$3004,"&lt;"&amp;('Paramètres'!$AA$7+1)))</f>
        <v/>
      </c>
      <c r="U74" s="69">
        <f>IF(OR($A74="",N(H74)=0),"",IF(M74="Non",0,365/H74*I74))</f>
        <v/>
      </c>
    </row>
    <row r="75">
      <c r="A75" s="7" t="inlineStr">
        <is>
          <t>GP-071</t>
        </is>
      </c>
      <c r="B75" s="7" t="inlineStr">
        <is>
          <t>EQ-PEI-003</t>
        </is>
      </c>
      <c r="C75" s="9">
        <f>IF(B75="","",IFERROR(INDEX('Équipements'!$B$5:$B$304,MATCH(B75,'Équipements'!$A$5:$A$304,0)),"Code inconnu"))</f>
        <v/>
      </c>
      <c r="D75" s="9">
        <f>IF(B75="","",IFERROR(INDEX('Équipements'!$D$5:$D$304,MATCH(B75,'Équipements'!$A$5:$A$304,0)),""))</f>
        <v/>
      </c>
      <c r="E75" s="7" t="inlineStr">
        <is>
          <t>Contrôle ventilation, brûleurs, pompes et sécurités</t>
        </is>
      </c>
      <c r="F75" s="7" t="inlineStr">
        <is>
          <t>Préventif systématique</t>
        </is>
      </c>
      <c r="G75" s="7" t="inlineStr">
        <is>
          <t>Multi-technique</t>
        </is>
      </c>
      <c r="H75" s="67" t="n">
        <v>180</v>
      </c>
      <c r="I75" s="76" t="n">
        <v>3</v>
      </c>
      <c r="J75" s="7" t="inlineStr">
        <is>
          <t>Antoine Mercier</t>
        </is>
      </c>
      <c r="K75" s="7" t="n"/>
      <c r="L75" s="65" t="n">
        <v>45636</v>
      </c>
      <c r="M75" s="7" t="inlineStr">
        <is>
          <t>Oui</t>
        </is>
      </c>
      <c r="N75" s="7" t="inlineStr">
        <is>
          <t>Contrôle combustion ; pompes ; buses ; sécurités ; sondes</t>
        </is>
      </c>
      <c r="O75" s="78">
        <f>IF($A75="","",MAX(N(L75),INT(_xlfn.MAXIFS('Ordres de travail'!$R$5:$R$3004,'Ordres de travail'!$I$5:$I$3004,$A75,'Ordres de travail'!$AC$5:$AC$3004,"Clôturé"))))</f>
        <v/>
      </c>
      <c r="P75" s="78">
        <f>IF(OR($A75="",N(O75)=0),"",O75+H75)</f>
        <v/>
      </c>
      <c r="Q75" s="79">
        <f>IF(P75="","",P75-TODAY())</f>
        <v/>
      </c>
      <c r="R75" s="9">
        <f>IF($A75="","",IF(M75="Non","INACTIF",IF(Q75="","À DÉFINIR",IF(Q75&lt;0,"EN RETARD",IF(Q75&lt;='Paramètres'!$AA$12,"À PLANIFIER","OK")))))</f>
        <v/>
      </c>
      <c r="S75" s="9">
        <f>IF($A75="","",IF(SUM(COUNTIFS('Ordres de travail'!$I$5:$I$3004,$A75,'Ordres de travail'!$AC$5:$AC$3004,{"Demandé","Planifié","En cours","En attente pièces"}))&gt;0,"Oui","Non"))</f>
        <v/>
      </c>
      <c r="T75" s="68">
        <f>IF($A75="","",COUNTIFS('Ordres de travail'!$I$5:$I$3004,$A75,'Ordres de travail'!$AC$5:$AC$3004,"Clôturé",'Ordres de travail'!$R$5:$R$3004,"&gt;="&amp;'Paramètres'!$AA$6,'Ordres de travail'!$R$5:$R$3004,"&lt;"&amp;('Paramètres'!$AA$7+1)))</f>
        <v/>
      </c>
      <c r="U75" s="69">
        <f>IF(OR($A75="",N(H75)=0),"",IF(M75="Non",0,365/H75*I75))</f>
        <v/>
      </c>
    </row>
    <row r="76">
      <c r="A76" s="7" t="inlineStr">
        <is>
          <t>GP-072</t>
        </is>
      </c>
      <c r="B76" s="7" t="inlineStr">
        <is>
          <t>EQ-PEI-004</t>
        </is>
      </c>
      <c r="C76" s="9">
        <f>IF(B76="","",IFERROR(INDEX('Équipements'!$B$5:$B$304,MATCH(B76,'Équipements'!$A$5:$A$304,0)),"Code inconnu"))</f>
        <v/>
      </c>
      <c r="D76" s="9">
        <f>IF(B76="","",IFERROR(INDEX('Équipements'!$D$5:$D$304,MATCH(B76,'Équipements'!$A$5:$A$304,0)),""))</f>
        <v/>
      </c>
      <c r="E76" s="7" t="inlineStr">
        <is>
          <t>Graissage chaîne / galets et contrôle tension</t>
        </is>
      </c>
      <c r="F76" s="7" t="inlineStr">
        <is>
          <t>Préventif systématique</t>
        </is>
      </c>
      <c r="G76" s="7" t="inlineStr">
        <is>
          <t>Mécanique</t>
        </is>
      </c>
      <c r="H76" s="67" t="n">
        <v>30</v>
      </c>
      <c r="I76" s="76" t="n">
        <v>1.5</v>
      </c>
      <c r="J76" s="7" t="inlineStr">
        <is>
          <t>Karim Benali</t>
        </is>
      </c>
      <c r="K76" s="7" t="n"/>
      <c r="L76" s="65" t="n">
        <v>45641</v>
      </c>
      <c r="M76" s="7" t="inlineStr">
        <is>
          <t>Oui</t>
        </is>
      </c>
      <c r="N76" s="7" t="inlineStr">
        <is>
          <t>Graissage ; contrôle allongement chaîne ; tension</t>
        </is>
      </c>
      <c r="O76" s="78">
        <f>IF($A76="","",MAX(N(L76),INT(_xlfn.MAXIFS('Ordres de travail'!$R$5:$R$3004,'Ordres de travail'!$I$5:$I$3004,$A76,'Ordres de travail'!$AC$5:$AC$3004,"Clôturé"))))</f>
        <v/>
      </c>
      <c r="P76" s="78">
        <f>IF(OR($A76="",N(O76)=0),"",O76+H76)</f>
        <v/>
      </c>
      <c r="Q76" s="79">
        <f>IF(P76="","",P76-TODAY())</f>
        <v/>
      </c>
      <c r="R76" s="9">
        <f>IF($A76="","",IF(M76="Non","INACTIF",IF(Q76="","À DÉFINIR",IF(Q76&lt;0,"EN RETARD",IF(Q76&lt;='Paramètres'!$AA$12,"À PLANIFIER","OK")))))</f>
        <v/>
      </c>
      <c r="S76" s="9">
        <f>IF($A76="","",IF(SUM(COUNTIFS('Ordres de travail'!$I$5:$I$3004,$A76,'Ordres de travail'!$AC$5:$AC$3004,{"Demandé","Planifié","En cours","En attente pièces"}))&gt;0,"Oui","Non"))</f>
        <v/>
      </c>
      <c r="T76" s="68">
        <f>IF($A76="","",COUNTIFS('Ordres de travail'!$I$5:$I$3004,$A76,'Ordres de travail'!$AC$5:$AC$3004,"Clôturé",'Ordres de travail'!$R$5:$R$3004,"&gt;="&amp;'Paramètres'!$AA$6,'Ordres de travail'!$R$5:$R$3004,"&lt;"&amp;('Paramètres'!$AA$7+1)))</f>
        <v/>
      </c>
      <c r="U76" s="69">
        <f>IF(OR($A76="",N(H76)=0),"",IF(M76="Non",0,365/H76*I76))</f>
        <v/>
      </c>
    </row>
    <row r="77">
      <c r="A77" s="7" t="inlineStr">
        <is>
          <t>GP-073</t>
        </is>
      </c>
      <c r="B77" s="7" t="inlineStr">
        <is>
          <t>EQ-PEI-004</t>
        </is>
      </c>
      <c r="C77" s="9">
        <f>IF(B77="","",IFERROR(INDEX('Équipements'!$B$5:$B$304,MATCH(B77,'Équipements'!$A$5:$A$304,0)),"Code inconnu"))</f>
        <v/>
      </c>
      <c r="D77" s="9">
        <f>IF(B77="","",IFERROR(INDEX('Équipements'!$D$5:$D$304,MATCH(B77,'Équipements'!$A$5:$A$304,0)),""))</f>
        <v/>
      </c>
      <c r="E77" s="7" t="inlineStr">
        <is>
          <t>Contrôle motoréducteurs et usure</t>
        </is>
      </c>
      <c r="F77" s="7" t="inlineStr">
        <is>
          <t>Préventif systématique</t>
        </is>
      </c>
      <c r="G77" s="7" t="inlineStr">
        <is>
          <t>Mécanique</t>
        </is>
      </c>
      <c r="H77" s="67" t="n">
        <v>180</v>
      </c>
      <c r="I77" s="76" t="n">
        <v>3</v>
      </c>
      <c r="J77" s="7" t="inlineStr">
        <is>
          <t>Antoine Mercier</t>
        </is>
      </c>
      <c r="K77" s="7" t="n"/>
      <c r="L77" s="65" t="n">
        <v>45656</v>
      </c>
      <c r="M77" s="7" t="inlineStr">
        <is>
          <t>Oui</t>
        </is>
      </c>
      <c r="N77" s="7" t="inlineStr">
        <is>
          <t>Niveau huile réducteurs ; usure galets/pignons ; roulements</t>
        </is>
      </c>
      <c r="O77" s="78">
        <f>IF($A77="","",MAX(N(L77),INT(_xlfn.MAXIFS('Ordres de travail'!$R$5:$R$3004,'Ordres de travail'!$I$5:$I$3004,$A77,'Ordres de travail'!$AC$5:$AC$3004,"Clôturé"))))</f>
        <v/>
      </c>
      <c r="P77" s="78">
        <f>IF(OR($A77="",N(O77)=0),"",O77+H77)</f>
        <v/>
      </c>
      <c r="Q77" s="79">
        <f>IF(P77="","",P77-TODAY())</f>
        <v/>
      </c>
      <c r="R77" s="9">
        <f>IF($A77="","",IF(M77="Non","INACTIF",IF(Q77="","À DÉFINIR",IF(Q77&lt;0,"EN RETARD",IF(Q77&lt;='Paramètres'!$AA$12,"À PLANIFIER","OK")))))</f>
        <v/>
      </c>
      <c r="S77" s="9">
        <f>IF($A77="","",IF(SUM(COUNTIFS('Ordres de travail'!$I$5:$I$3004,$A77,'Ordres de travail'!$AC$5:$AC$3004,{"Demandé","Planifié","En cours","En attente pièces"}))&gt;0,"Oui","Non"))</f>
        <v/>
      </c>
      <c r="T77" s="68">
        <f>IF($A77="","",COUNTIFS('Ordres de travail'!$I$5:$I$3004,$A77,'Ordres de travail'!$AC$5:$AC$3004,"Clôturé",'Ordres de travail'!$R$5:$R$3004,"&gt;="&amp;'Paramètres'!$AA$6,'Ordres de travail'!$R$5:$R$3004,"&lt;"&amp;('Paramètres'!$AA$7+1)))</f>
        <v/>
      </c>
      <c r="U77" s="69">
        <f>IF(OR($A77="",N(H77)=0),"",IF(M77="Non",0,365/H77*I77))</f>
        <v/>
      </c>
    </row>
    <row r="78">
      <c r="A78" s="7" t="inlineStr">
        <is>
          <t>GP-074</t>
        </is>
      </c>
      <c r="B78" s="7" t="inlineStr">
        <is>
          <t>EQ-PEI-005</t>
        </is>
      </c>
      <c r="C78" s="9">
        <f>IF(B78="","",IFERROR(INDEX('Équipements'!$B$5:$B$304,MATCH(B78,'Équipements'!$A$5:$A$304,0)),"Code inconnu"))</f>
        <v/>
      </c>
      <c r="D78" s="9">
        <f>IF(B78="","",IFERROR(INDEX('Équipements'!$D$5:$D$304,MATCH(B78,'Équipements'!$A$5:$A$304,0)),""))</f>
        <v/>
      </c>
      <c r="E78" s="7" t="inlineStr">
        <is>
          <t>Nettoyage et remplacement des filtres</t>
        </is>
      </c>
      <c r="F78" s="7" t="inlineStr">
        <is>
          <t>Préventif systématique</t>
        </is>
      </c>
      <c r="G78" s="7" t="inlineStr">
        <is>
          <t>Mécanique</t>
        </is>
      </c>
      <c r="H78" s="67" t="n">
        <v>30</v>
      </c>
      <c r="I78" s="76" t="n">
        <v>2</v>
      </c>
      <c r="J78" s="7" t="inlineStr">
        <is>
          <t>Lucas Fontaine</t>
        </is>
      </c>
      <c r="K78" s="7" t="n"/>
      <c r="L78" s="65" t="n">
        <v>45655</v>
      </c>
      <c r="M78" s="7" t="inlineStr">
        <is>
          <t>Oui</t>
        </is>
      </c>
      <c r="N78" s="7" t="inlineStr">
        <is>
          <t>Remplacement filtres ; nettoyage parois ; contrôle débit d'air</t>
        </is>
      </c>
      <c r="O78" s="78">
        <f>IF($A78="","",MAX(N(L78),INT(_xlfn.MAXIFS('Ordres de travail'!$R$5:$R$3004,'Ordres de travail'!$I$5:$I$3004,$A78,'Ordres de travail'!$AC$5:$AC$3004,"Clôturé"))))</f>
        <v/>
      </c>
      <c r="P78" s="78">
        <f>IF(OR($A78="",N(O78)=0),"",O78+H78)</f>
        <v/>
      </c>
      <c r="Q78" s="79">
        <f>IF(P78="","",P78-TODAY())</f>
        <v/>
      </c>
      <c r="R78" s="9">
        <f>IF($A78="","",IF(M78="Non","INACTIF",IF(Q78="","À DÉFINIR",IF(Q78&lt;0,"EN RETARD",IF(Q78&lt;='Paramètres'!$AA$12,"À PLANIFIER","OK")))))</f>
        <v/>
      </c>
      <c r="S78" s="9">
        <f>IF($A78="","",IF(SUM(COUNTIFS('Ordres de travail'!$I$5:$I$3004,$A78,'Ordres de travail'!$AC$5:$AC$3004,{"Demandé","Planifié","En cours","En attente pièces"}))&gt;0,"Oui","Non"))</f>
        <v/>
      </c>
      <c r="T78" s="68">
        <f>IF($A78="","",COUNTIFS('Ordres de travail'!$I$5:$I$3004,$A78,'Ordres de travail'!$AC$5:$AC$3004,"Clôturé",'Ordres de travail'!$R$5:$R$3004,"&gt;="&amp;'Paramètres'!$AA$6,'Ordres de travail'!$R$5:$R$3004,"&lt;"&amp;('Paramètres'!$AA$7+1)))</f>
        <v/>
      </c>
      <c r="U78" s="69">
        <f>IF(OR($A78="",N(H78)=0),"",IF(M78="Non",0,365/H78*I78))</f>
        <v/>
      </c>
    </row>
    <row r="79">
      <c r="A79" s="7" t="inlineStr">
        <is>
          <t>GP-075</t>
        </is>
      </c>
      <c r="B79" s="7" t="inlineStr">
        <is>
          <t>EQ-PEI-005</t>
        </is>
      </c>
      <c r="C79" s="9">
        <f>IF(B79="","",IFERROR(INDEX('Équipements'!$B$5:$B$304,MATCH(B79,'Équipements'!$A$5:$A$304,0)),"Code inconnu"))</f>
        <v/>
      </c>
      <c r="D79" s="9">
        <f>IF(B79="","",IFERROR(INDEX('Équipements'!$D$5:$D$304,MATCH(B79,'Équipements'!$A$5:$A$304,0)),""))</f>
        <v/>
      </c>
      <c r="E79" s="7" t="inlineStr">
        <is>
          <t>Contrôle ventilation, brûleurs, pompes et sécurités</t>
        </is>
      </c>
      <c r="F79" s="7" t="inlineStr">
        <is>
          <t>Préventif systématique</t>
        </is>
      </c>
      <c r="G79" s="7" t="inlineStr">
        <is>
          <t>Multi-technique</t>
        </is>
      </c>
      <c r="H79" s="67" t="n">
        <v>180</v>
      </c>
      <c r="I79" s="76" t="n">
        <v>3</v>
      </c>
      <c r="J79" s="7" t="inlineStr">
        <is>
          <t>Antoine Mercier</t>
        </is>
      </c>
      <c r="K79" s="7" t="n"/>
      <c r="L79" s="65" t="n">
        <v>45617</v>
      </c>
      <c r="M79" s="7" t="inlineStr">
        <is>
          <t>Oui</t>
        </is>
      </c>
      <c r="N79" s="7" t="inlineStr">
        <is>
          <t>Contrôle combustion ; pompes ; buses ; sécurités ; sondes</t>
        </is>
      </c>
      <c r="O79" s="78">
        <f>IF($A79="","",MAX(N(L79),INT(_xlfn.MAXIFS('Ordres de travail'!$R$5:$R$3004,'Ordres de travail'!$I$5:$I$3004,$A79,'Ordres de travail'!$AC$5:$AC$3004,"Clôturé"))))</f>
        <v/>
      </c>
      <c r="P79" s="78">
        <f>IF(OR($A79="",N(O79)=0),"",O79+H79)</f>
        <v/>
      </c>
      <c r="Q79" s="79">
        <f>IF(P79="","",P79-TODAY())</f>
        <v/>
      </c>
      <c r="R79" s="9">
        <f>IF($A79="","",IF(M79="Non","INACTIF",IF(Q79="","À DÉFINIR",IF(Q79&lt;0,"EN RETARD",IF(Q79&lt;='Paramètres'!$AA$12,"À PLANIFIER","OK")))))</f>
        <v/>
      </c>
      <c r="S79" s="9">
        <f>IF($A79="","",IF(SUM(COUNTIFS('Ordres de travail'!$I$5:$I$3004,$A79,'Ordres de travail'!$AC$5:$AC$3004,{"Demandé","Planifié","En cours","En attente pièces"}))&gt;0,"Oui","Non"))</f>
        <v/>
      </c>
      <c r="T79" s="68">
        <f>IF($A79="","",COUNTIFS('Ordres de travail'!$I$5:$I$3004,$A79,'Ordres de travail'!$AC$5:$AC$3004,"Clôturé",'Ordres de travail'!$R$5:$R$3004,"&gt;="&amp;'Paramètres'!$AA$6,'Ordres de travail'!$R$5:$R$3004,"&lt;"&amp;('Paramètres'!$AA$7+1)))</f>
        <v/>
      </c>
      <c r="U79" s="69">
        <f>IF(OR($A79="",N(H79)=0),"",IF(M79="Non",0,365/H79*I79))</f>
        <v/>
      </c>
    </row>
    <row r="80">
      <c r="A80" s="7" t="inlineStr">
        <is>
          <t>GP-076</t>
        </is>
      </c>
      <c r="B80" s="7" t="inlineStr">
        <is>
          <t>EQ-ASS-001</t>
        </is>
      </c>
      <c r="C80" s="9">
        <f>IF(B80="","",IFERROR(INDEX('Équipements'!$B$5:$B$304,MATCH(B80,'Équipements'!$A$5:$A$304,0)),"Code inconnu"))</f>
        <v/>
      </c>
      <c r="D80" s="9">
        <f>IF(B80="","",IFERROR(INDEX('Équipements'!$D$5:$D$304,MATCH(B80,'Équipements'!$A$5:$A$304,0)),""))</f>
        <v/>
      </c>
      <c r="E80" s="7" t="inlineStr">
        <is>
          <t>Graissage chaîne / galets et contrôle tension</t>
        </is>
      </c>
      <c r="F80" s="7" t="inlineStr">
        <is>
          <t>Préventif systématique</t>
        </is>
      </c>
      <c r="G80" s="7" t="inlineStr">
        <is>
          <t>Mécanique</t>
        </is>
      </c>
      <c r="H80" s="67" t="n">
        <v>30</v>
      </c>
      <c r="I80" s="76" t="n">
        <v>1.5</v>
      </c>
      <c r="J80" s="7" t="inlineStr">
        <is>
          <t>Lucas Fontaine</t>
        </is>
      </c>
      <c r="K80" s="7" t="n"/>
      <c r="L80" s="65" t="n">
        <v>45640</v>
      </c>
      <c r="M80" s="7" t="inlineStr">
        <is>
          <t>Oui</t>
        </is>
      </c>
      <c r="N80" s="7" t="inlineStr">
        <is>
          <t>Graissage ; contrôle allongement chaîne ; tension</t>
        </is>
      </c>
      <c r="O80" s="78">
        <f>IF($A80="","",MAX(N(L80),INT(_xlfn.MAXIFS('Ordres de travail'!$R$5:$R$3004,'Ordres de travail'!$I$5:$I$3004,$A80,'Ordres de travail'!$AC$5:$AC$3004,"Clôturé"))))</f>
        <v/>
      </c>
      <c r="P80" s="78">
        <f>IF(OR($A80="",N(O80)=0),"",O80+H80)</f>
        <v/>
      </c>
      <c r="Q80" s="79">
        <f>IF(P80="","",P80-TODAY())</f>
        <v/>
      </c>
      <c r="R80" s="9">
        <f>IF($A80="","",IF(M80="Non","INACTIF",IF(Q80="","À DÉFINIR",IF(Q80&lt;0,"EN RETARD",IF(Q80&lt;='Paramètres'!$AA$12,"À PLANIFIER","OK")))))</f>
        <v/>
      </c>
      <c r="S80" s="9">
        <f>IF($A80="","",IF(SUM(COUNTIFS('Ordres de travail'!$I$5:$I$3004,$A80,'Ordres de travail'!$AC$5:$AC$3004,{"Demandé","Planifié","En cours","En attente pièces"}))&gt;0,"Oui","Non"))</f>
        <v/>
      </c>
      <c r="T80" s="68">
        <f>IF($A80="","",COUNTIFS('Ordres de travail'!$I$5:$I$3004,$A80,'Ordres de travail'!$AC$5:$AC$3004,"Clôturé",'Ordres de travail'!$R$5:$R$3004,"&gt;="&amp;'Paramètres'!$AA$6,'Ordres de travail'!$R$5:$R$3004,"&lt;"&amp;('Paramètres'!$AA$7+1)))</f>
        <v/>
      </c>
      <c r="U80" s="69">
        <f>IF(OR($A80="",N(H80)=0),"",IF(M80="Non",0,365/H80*I80))</f>
        <v/>
      </c>
    </row>
    <row r="81">
      <c r="A81" s="7" t="inlineStr">
        <is>
          <t>GP-077</t>
        </is>
      </c>
      <c r="B81" s="7" t="inlineStr">
        <is>
          <t>EQ-ASS-001</t>
        </is>
      </c>
      <c r="C81" s="9">
        <f>IF(B81="","",IFERROR(INDEX('Équipements'!$B$5:$B$304,MATCH(B81,'Équipements'!$A$5:$A$304,0)),"Code inconnu"))</f>
        <v/>
      </c>
      <c r="D81" s="9">
        <f>IF(B81="","",IFERROR(INDEX('Équipements'!$D$5:$D$304,MATCH(B81,'Équipements'!$A$5:$A$304,0)),""))</f>
        <v/>
      </c>
      <c r="E81" s="7" t="inlineStr">
        <is>
          <t>Contrôle motoréducteurs et usure</t>
        </is>
      </c>
      <c r="F81" s="7" t="inlineStr">
        <is>
          <t>Préventif systématique</t>
        </is>
      </c>
      <c r="G81" s="7" t="inlineStr">
        <is>
          <t>Mécanique</t>
        </is>
      </c>
      <c r="H81" s="67" t="n">
        <v>180</v>
      </c>
      <c r="I81" s="76" t="n">
        <v>3</v>
      </c>
      <c r="J81" s="7" t="inlineStr">
        <is>
          <t>Karim Benali</t>
        </is>
      </c>
      <c r="K81" s="7" t="n"/>
      <c r="L81" s="65" t="n">
        <v>45611</v>
      </c>
      <c r="M81" s="7" t="inlineStr">
        <is>
          <t>Oui</t>
        </is>
      </c>
      <c r="N81" s="7" t="inlineStr">
        <is>
          <t>Niveau huile réducteurs ; usure galets/pignons ; roulements</t>
        </is>
      </c>
      <c r="O81" s="78">
        <f>IF($A81="","",MAX(N(L81),INT(_xlfn.MAXIFS('Ordres de travail'!$R$5:$R$3004,'Ordres de travail'!$I$5:$I$3004,$A81,'Ordres de travail'!$AC$5:$AC$3004,"Clôturé"))))</f>
        <v/>
      </c>
      <c r="P81" s="78">
        <f>IF(OR($A81="",N(O81)=0),"",O81+H81)</f>
        <v/>
      </c>
      <c r="Q81" s="79">
        <f>IF(P81="","",P81-TODAY())</f>
        <v/>
      </c>
      <c r="R81" s="9">
        <f>IF($A81="","",IF(M81="Non","INACTIF",IF(Q81="","À DÉFINIR",IF(Q81&lt;0,"EN RETARD",IF(Q81&lt;='Paramètres'!$AA$12,"À PLANIFIER","OK")))))</f>
        <v/>
      </c>
      <c r="S81" s="9">
        <f>IF($A81="","",IF(SUM(COUNTIFS('Ordres de travail'!$I$5:$I$3004,$A81,'Ordres de travail'!$AC$5:$AC$3004,{"Demandé","Planifié","En cours","En attente pièces"}))&gt;0,"Oui","Non"))</f>
        <v/>
      </c>
      <c r="T81" s="68">
        <f>IF($A81="","",COUNTIFS('Ordres de travail'!$I$5:$I$3004,$A81,'Ordres de travail'!$AC$5:$AC$3004,"Clôturé",'Ordres de travail'!$R$5:$R$3004,"&gt;="&amp;'Paramètres'!$AA$6,'Ordres de travail'!$R$5:$R$3004,"&lt;"&amp;('Paramètres'!$AA$7+1)))</f>
        <v/>
      </c>
      <c r="U81" s="69">
        <f>IF(OR($A81="",N(H81)=0),"",IF(M81="Non",0,365/H81*I81))</f>
        <v/>
      </c>
    </row>
    <row r="82">
      <c r="A82" s="7" t="inlineStr">
        <is>
          <t>GP-078</t>
        </is>
      </c>
      <c r="B82" s="7" t="inlineStr">
        <is>
          <t>EQ-ASS-002</t>
        </is>
      </c>
      <c r="C82" s="9">
        <f>IF(B82="","",IFERROR(INDEX('Équipements'!$B$5:$B$304,MATCH(B82,'Équipements'!$A$5:$A$304,0)),"Code inconnu"))</f>
        <v/>
      </c>
      <c r="D82" s="9">
        <f>IF(B82="","",IFERROR(INDEX('Équipements'!$D$5:$D$304,MATCH(B82,'Équipements'!$A$5:$A$304,0)),""))</f>
        <v/>
      </c>
      <c r="E82" s="7" t="inlineStr">
        <is>
          <t>Contrôle hydraulique : fuites, niveaux, pressions</t>
        </is>
      </c>
      <c r="F82" s="7" t="inlineStr">
        <is>
          <t>Préventif systématique</t>
        </is>
      </c>
      <c r="G82" s="7" t="inlineStr">
        <is>
          <t>Hydraulique</t>
        </is>
      </c>
      <c r="H82" s="67" t="n">
        <v>90</v>
      </c>
      <c r="I82" s="76" t="n">
        <v>1.5</v>
      </c>
      <c r="J82" s="7" t="inlineStr">
        <is>
          <t>Karim Benali</t>
        </is>
      </c>
      <c r="K82" s="7" t="n"/>
      <c r="L82" s="65" t="n">
        <v>45577</v>
      </c>
      <c r="M82" s="7" t="inlineStr">
        <is>
          <t>Oui</t>
        </is>
      </c>
      <c r="N82" s="7" t="inlineStr">
        <is>
          <t>Contrôle niveau ; relevé pressions ; contrôle flexibles ; fuites</t>
        </is>
      </c>
      <c r="O82" s="78">
        <f>IF($A82="","",MAX(N(L82),INT(_xlfn.MAXIFS('Ordres de travail'!$R$5:$R$3004,'Ordres de travail'!$I$5:$I$3004,$A82,'Ordres de travail'!$AC$5:$AC$3004,"Clôturé"))))</f>
        <v/>
      </c>
      <c r="P82" s="78">
        <f>IF(OR($A82="",N(O82)=0),"",O82+H82)</f>
        <v/>
      </c>
      <c r="Q82" s="79">
        <f>IF(P82="","",P82-TODAY())</f>
        <v/>
      </c>
      <c r="R82" s="9">
        <f>IF($A82="","",IF(M82="Non","INACTIF",IF(Q82="","À DÉFINIR",IF(Q82&lt;0,"EN RETARD",IF(Q82&lt;='Paramètres'!$AA$12,"À PLANIFIER","OK")))))</f>
        <v/>
      </c>
      <c r="S82" s="9">
        <f>IF($A82="","",IF(SUM(COUNTIFS('Ordres de travail'!$I$5:$I$3004,$A82,'Ordres de travail'!$AC$5:$AC$3004,{"Demandé","Planifié","En cours","En attente pièces"}))&gt;0,"Oui","Non"))</f>
        <v/>
      </c>
      <c r="T82" s="68">
        <f>IF($A82="","",COUNTIFS('Ordres de travail'!$I$5:$I$3004,$A82,'Ordres de travail'!$AC$5:$AC$3004,"Clôturé",'Ordres de travail'!$R$5:$R$3004,"&gt;="&amp;'Paramètres'!$AA$6,'Ordres de travail'!$R$5:$R$3004,"&lt;"&amp;('Paramètres'!$AA$7+1)))</f>
        <v/>
      </c>
      <c r="U82" s="69">
        <f>IF(OR($A82="",N(H82)=0),"",IF(M82="Non",0,365/H82*I82))</f>
        <v/>
      </c>
    </row>
    <row r="83">
      <c r="A83" s="7" t="inlineStr">
        <is>
          <t>GP-079</t>
        </is>
      </c>
      <c r="B83" s="7" t="inlineStr">
        <is>
          <t>EQ-ASS-002</t>
        </is>
      </c>
      <c r="C83" s="9">
        <f>IF(B83="","",IFERROR(INDEX('Équipements'!$B$5:$B$304,MATCH(B83,'Équipements'!$A$5:$A$304,0)),"Code inconnu"))</f>
        <v/>
      </c>
      <c r="D83" s="9">
        <f>IF(B83="","",IFERROR(INDEX('Équipements'!$D$5:$D$304,MATCH(B83,'Équipements'!$A$5:$A$304,0)),""))</f>
        <v/>
      </c>
      <c r="E83" s="7" t="inlineStr">
        <is>
          <t>Vidange huile hydraulique et filtres</t>
        </is>
      </c>
      <c r="F83" s="7" t="inlineStr">
        <is>
          <t>Préventif conditionnel</t>
        </is>
      </c>
      <c r="G83" s="7" t="inlineStr">
        <is>
          <t>Hydraulique</t>
        </is>
      </c>
      <c r="H83" s="67" t="n">
        <v>730</v>
      </c>
      <c r="I83" s="76" t="n">
        <v>4</v>
      </c>
      <c r="J83" s="7" t="inlineStr">
        <is>
          <t>Antoine Mercier</t>
        </is>
      </c>
      <c r="K83" s="7" t="n"/>
      <c r="L83" s="65" t="n">
        <v>45579</v>
      </c>
      <c r="M83" s="7" t="inlineStr">
        <is>
          <t>Oui</t>
        </is>
      </c>
      <c r="N83" s="7" t="inlineStr">
        <is>
          <t>Déclenchée sur analyse d'huile ; vidange ; filtres HP et retour</t>
        </is>
      </c>
      <c r="O83" s="78">
        <f>IF($A83="","",MAX(N(L83),INT(_xlfn.MAXIFS('Ordres de travail'!$R$5:$R$3004,'Ordres de travail'!$I$5:$I$3004,$A83,'Ordres de travail'!$AC$5:$AC$3004,"Clôturé"))))</f>
        <v/>
      </c>
      <c r="P83" s="78">
        <f>IF(OR($A83="",N(O83)=0),"",O83+H83)</f>
        <v/>
      </c>
      <c r="Q83" s="79">
        <f>IF(P83="","",P83-TODAY())</f>
        <v/>
      </c>
      <c r="R83" s="9">
        <f>IF($A83="","",IF(M83="Non","INACTIF",IF(Q83="","À DÉFINIR",IF(Q83&lt;0,"EN RETARD",IF(Q83&lt;='Paramètres'!$AA$12,"À PLANIFIER","OK")))))</f>
        <v/>
      </c>
      <c r="S83" s="9">
        <f>IF($A83="","",IF(SUM(COUNTIFS('Ordres de travail'!$I$5:$I$3004,$A83,'Ordres de travail'!$AC$5:$AC$3004,{"Demandé","Planifié","En cours","En attente pièces"}))&gt;0,"Oui","Non"))</f>
        <v/>
      </c>
      <c r="T83" s="68">
        <f>IF($A83="","",COUNTIFS('Ordres de travail'!$I$5:$I$3004,$A83,'Ordres de travail'!$AC$5:$AC$3004,"Clôturé",'Ordres de travail'!$R$5:$R$3004,"&gt;="&amp;'Paramètres'!$AA$6,'Ordres de travail'!$R$5:$R$3004,"&lt;"&amp;('Paramètres'!$AA$7+1)))</f>
        <v/>
      </c>
      <c r="U83" s="69">
        <f>IF(OR($A83="",N(H83)=0),"",IF(M83="Non",0,365/H83*I83))</f>
        <v/>
      </c>
    </row>
    <row r="84">
      <c r="A84" s="7" t="inlineStr">
        <is>
          <t>GP-080</t>
        </is>
      </c>
      <c r="B84" s="7" t="inlineStr">
        <is>
          <t>EQ-ASS-002</t>
        </is>
      </c>
      <c r="C84" s="9">
        <f>IF(B84="","",IFERROR(INDEX('Équipements'!$B$5:$B$304,MATCH(B84,'Équipements'!$A$5:$A$304,0)),"Code inconnu"))</f>
        <v/>
      </c>
      <c r="D84" s="9">
        <f>IF(B84="","",IFERROR(INDEX('Équipements'!$D$5:$D$304,MATCH(B84,'Équipements'!$A$5:$A$304,0)),""))</f>
        <v/>
      </c>
      <c r="E84" s="7" t="inlineStr">
        <is>
          <t>Contrôle des sécurités (barrages, AU, pédale)</t>
        </is>
      </c>
      <c r="F84" s="7" t="inlineStr">
        <is>
          <t>Préventif systématique</t>
        </is>
      </c>
      <c r="G84" s="7" t="inlineStr">
        <is>
          <t>Électrique</t>
        </is>
      </c>
      <c r="H84" s="67" t="n">
        <v>90</v>
      </c>
      <c r="I84" s="76" t="n">
        <v>1</v>
      </c>
      <c r="J84" s="7" t="inlineStr">
        <is>
          <t>Thomas Petit</t>
        </is>
      </c>
      <c r="K84" s="7" t="n"/>
      <c r="L84" s="65" t="n">
        <v>45643</v>
      </c>
      <c r="M84" s="7" t="inlineStr">
        <is>
          <t>Oui</t>
        </is>
      </c>
      <c r="N84" s="7" t="inlineStr">
        <is>
          <t>Test barrages immatériels ; test temps d'arrêt ; AU ; pédale 3 positions</t>
        </is>
      </c>
      <c r="O84" s="78">
        <f>IF($A84="","",MAX(N(L84),INT(_xlfn.MAXIFS('Ordres de travail'!$R$5:$R$3004,'Ordres de travail'!$I$5:$I$3004,$A84,'Ordres de travail'!$AC$5:$AC$3004,"Clôturé"))))</f>
        <v/>
      </c>
      <c r="P84" s="78">
        <f>IF(OR($A84="",N(O84)=0),"",O84+H84)</f>
        <v/>
      </c>
      <c r="Q84" s="79">
        <f>IF(P84="","",P84-TODAY())</f>
        <v/>
      </c>
      <c r="R84" s="9">
        <f>IF($A84="","",IF(M84="Non","INACTIF",IF(Q84="","À DÉFINIR",IF(Q84&lt;0,"EN RETARD",IF(Q84&lt;='Paramètres'!$AA$12,"À PLANIFIER","OK")))))</f>
        <v/>
      </c>
      <c r="S84" s="9">
        <f>IF($A84="","",IF(SUM(COUNTIFS('Ordres de travail'!$I$5:$I$3004,$A84,'Ordres de travail'!$AC$5:$AC$3004,{"Demandé","Planifié","En cours","En attente pièces"}))&gt;0,"Oui","Non"))</f>
        <v/>
      </c>
      <c r="T84" s="68">
        <f>IF($A84="","",COUNTIFS('Ordres de travail'!$I$5:$I$3004,$A84,'Ordres de travail'!$AC$5:$AC$3004,"Clôturé",'Ordres de travail'!$R$5:$R$3004,"&gt;="&amp;'Paramètres'!$AA$6,'Ordres de travail'!$R$5:$R$3004,"&lt;"&amp;('Paramètres'!$AA$7+1)))</f>
        <v/>
      </c>
      <c r="U84" s="69">
        <f>IF(OR($A84="",N(H84)=0),"",IF(M84="Non",0,365/H84*I84))</f>
        <v/>
      </c>
    </row>
    <row r="85">
      <c r="A85" s="7" t="inlineStr">
        <is>
          <t>GP-081</t>
        </is>
      </c>
      <c r="B85" s="7" t="inlineStr">
        <is>
          <t>EQ-ASS-003</t>
        </is>
      </c>
      <c r="C85" s="9">
        <f>IF(B85="","",IFERROR(INDEX('Équipements'!$B$5:$B$304,MATCH(B85,'Équipements'!$A$5:$A$304,0)),"Code inconnu"))</f>
        <v/>
      </c>
      <c r="D85" s="9">
        <f>IF(B85="","",IFERROR(INDEX('Équipements'!$D$5:$D$304,MATCH(B85,'Équipements'!$A$5:$A$304,0)),""))</f>
        <v/>
      </c>
      <c r="E85" s="7" t="inlineStr">
        <is>
          <t>Contrôle, nettoyage et sauvegarde programmes</t>
        </is>
      </c>
      <c r="F85" s="7" t="inlineStr">
        <is>
          <t>Préventif systématique</t>
        </is>
      </c>
      <c r="G85" s="7" t="inlineStr">
        <is>
          <t>Automatisme</t>
        </is>
      </c>
      <c r="H85" s="67" t="n">
        <v>180</v>
      </c>
      <c r="I85" s="76" t="n">
        <v>1</v>
      </c>
      <c r="J85" s="7" t="inlineStr">
        <is>
          <t>Julien Moreau</t>
        </is>
      </c>
      <c r="K85" s="7" t="n"/>
      <c r="L85" s="65" t="n">
        <v>45534</v>
      </c>
      <c r="M85" s="7" t="inlineStr">
        <is>
          <t>Oui</t>
        </is>
      </c>
      <c r="N85" s="7" t="inlineStr">
        <is>
          <t>Nettoyage ; capteurs ; sauvegarde automate</t>
        </is>
      </c>
      <c r="O85" s="78">
        <f>IF($A85="","",MAX(N(L85),INT(_xlfn.MAXIFS('Ordres de travail'!$R$5:$R$3004,'Ordres de travail'!$I$5:$I$3004,$A85,'Ordres de travail'!$AC$5:$AC$3004,"Clôturé"))))</f>
        <v/>
      </c>
      <c r="P85" s="78">
        <f>IF(OR($A85="",N(O85)=0),"",O85+H85)</f>
        <v/>
      </c>
      <c r="Q85" s="79">
        <f>IF(P85="","",P85-TODAY())</f>
        <v/>
      </c>
      <c r="R85" s="9">
        <f>IF($A85="","",IF(M85="Non","INACTIF",IF(Q85="","À DÉFINIR",IF(Q85&lt;0,"EN RETARD",IF(Q85&lt;='Paramètres'!$AA$12,"À PLANIFIER","OK")))))</f>
        <v/>
      </c>
      <c r="S85" s="9">
        <f>IF($A85="","",IF(SUM(COUNTIFS('Ordres de travail'!$I$5:$I$3004,$A85,'Ordres de travail'!$AC$5:$AC$3004,{"Demandé","Planifié","En cours","En attente pièces"}))&gt;0,"Oui","Non"))</f>
        <v/>
      </c>
      <c r="T85" s="68">
        <f>IF($A85="","",COUNTIFS('Ordres de travail'!$I$5:$I$3004,$A85,'Ordres de travail'!$AC$5:$AC$3004,"Clôturé",'Ordres de travail'!$R$5:$R$3004,"&gt;="&amp;'Paramètres'!$AA$6,'Ordres de travail'!$R$5:$R$3004,"&lt;"&amp;('Paramètres'!$AA$7+1)))</f>
        <v/>
      </c>
      <c r="U85" s="69">
        <f>IF(OR($A85="",N(H85)=0),"",IF(M85="Non",0,365/H85*I85))</f>
        <v/>
      </c>
    </row>
    <row r="86">
      <c r="A86" s="7" t="inlineStr">
        <is>
          <t>GP-082</t>
        </is>
      </c>
      <c r="B86" s="7" t="inlineStr">
        <is>
          <t>EQ-ASS-004</t>
        </is>
      </c>
      <c r="C86" s="9">
        <f>IF(B86="","",IFERROR(INDEX('Équipements'!$B$5:$B$304,MATCH(B86,'Équipements'!$A$5:$A$304,0)),"Code inconnu"))</f>
        <v/>
      </c>
      <c r="D86" s="9">
        <f>IF(B86="","",IFERROR(INDEX('Équipements'!$D$5:$D$304,MATCH(B86,'Équipements'!$A$5:$A$304,0)),""))</f>
        <v/>
      </c>
      <c r="E86" s="7" t="inlineStr">
        <is>
          <t>Étalonnage / vérification métrologique</t>
        </is>
      </c>
      <c r="F86" s="7" t="inlineStr">
        <is>
          <t>Préventif systématique</t>
        </is>
      </c>
      <c r="G86" s="7" t="inlineStr">
        <is>
          <t>Électrique</t>
        </is>
      </c>
      <c r="H86" s="67" t="n">
        <v>365</v>
      </c>
      <c r="I86" s="76" t="n">
        <v>2</v>
      </c>
      <c r="J86" s="7" t="inlineStr">
        <is>
          <t>Antoine Mercier</t>
        </is>
      </c>
      <c r="K86" s="7" t="inlineStr">
        <is>
          <t>Métrologie Contrôle Services</t>
        </is>
      </c>
      <c r="L86" s="65" t="n">
        <v>45555</v>
      </c>
      <c r="M86" s="7" t="inlineStr">
        <is>
          <t>Oui</t>
        </is>
      </c>
      <c r="N86" s="7" t="inlineStr">
        <is>
          <t>Étalonnage selon procédure ; certificat</t>
        </is>
      </c>
      <c r="O86" s="78">
        <f>IF($A86="","",MAX(N(L86),INT(_xlfn.MAXIFS('Ordres de travail'!$R$5:$R$3004,'Ordres de travail'!$I$5:$I$3004,$A86,'Ordres de travail'!$AC$5:$AC$3004,"Clôturé"))))</f>
        <v/>
      </c>
      <c r="P86" s="78">
        <f>IF(OR($A86="",N(O86)=0),"",O86+H86)</f>
        <v/>
      </c>
      <c r="Q86" s="79">
        <f>IF(P86="","",P86-TODAY())</f>
        <v/>
      </c>
      <c r="R86" s="9">
        <f>IF($A86="","",IF(M86="Non","INACTIF",IF(Q86="","À DÉFINIR",IF(Q86&lt;0,"EN RETARD",IF(Q86&lt;='Paramètres'!$AA$12,"À PLANIFIER","OK")))))</f>
        <v/>
      </c>
      <c r="S86" s="9">
        <f>IF($A86="","",IF(SUM(COUNTIFS('Ordres de travail'!$I$5:$I$3004,$A86,'Ordres de travail'!$AC$5:$AC$3004,{"Demandé","Planifié","En cours","En attente pièces"}))&gt;0,"Oui","Non"))</f>
        <v/>
      </c>
      <c r="T86" s="68">
        <f>IF($A86="","",COUNTIFS('Ordres de travail'!$I$5:$I$3004,$A86,'Ordres de travail'!$AC$5:$AC$3004,"Clôturé",'Ordres de travail'!$R$5:$R$3004,"&gt;="&amp;'Paramètres'!$AA$6,'Ordres de travail'!$R$5:$R$3004,"&lt;"&amp;('Paramètres'!$AA$7+1)))</f>
        <v/>
      </c>
      <c r="U86" s="69">
        <f>IF(OR($A86="",N(H86)=0),"",IF(M86="Non",0,365/H86*I86))</f>
        <v/>
      </c>
    </row>
    <row r="87">
      <c r="A87" s="7" t="inlineStr">
        <is>
          <t>GP-083</t>
        </is>
      </c>
      <c r="B87" s="7" t="inlineStr">
        <is>
          <t>EQ-ASS-004</t>
        </is>
      </c>
      <c r="C87" s="9">
        <f>IF(B87="","",IFERROR(INDEX('Équipements'!$B$5:$B$304,MATCH(B87,'Équipements'!$A$5:$A$304,0)),"Code inconnu"))</f>
        <v/>
      </c>
      <c r="D87" s="9">
        <f>IF(B87="","",IFERROR(INDEX('Équipements'!$D$5:$D$304,MATCH(B87,'Équipements'!$A$5:$A$304,0)),""))</f>
        <v/>
      </c>
      <c r="E87" s="7" t="inlineStr">
        <is>
          <t>Nettoyage et contrôle général</t>
        </is>
      </c>
      <c r="F87" s="7" t="inlineStr">
        <is>
          <t>Préventif systématique</t>
        </is>
      </c>
      <c r="G87" s="7" t="inlineStr">
        <is>
          <t>Mécanique</t>
        </is>
      </c>
      <c r="H87" s="67" t="n">
        <v>90</v>
      </c>
      <c r="I87" s="76" t="n">
        <v>0.5</v>
      </c>
      <c r="J87" s="7" t="inlineStr">
        <is>
          <t>Antoine Mercier</t>
        </is>
      </c>
      <c r="K87" s="7" t="n"/>
      <c r="L87" s="65" t="n">
        <v>45597</v>
      </c>
      <c r="M87" s="7" t="inlineStr">
        <is>
          <t>Oui</t>
        </is>
      </c>
      <c r="N87" s="7" t="inlineStr">
        <is>
          <t>Nettoyage ; contrôle air ; sauvegarde</t>
        </is>
      </c>
      <c r="O87" s="78">
        <f>IF($A87="","",MAX(N(L87),INT(_xlfn.MAXIFS('Ordres de travail'!$R$5:$R$3004,'Ordres de travail'!$I$5:$I$3004,$A87,'Ordres de travail'!$AC$5:$AC$3004,"Clôturé"))))</f>
        <v/>
      </c>
      <c r="P87" s="78">
        <f>IF(OR($A87="",N(O87)=0),"",O87+H87)</f>
        <v/>
      </c>
      <c r="Q87" s="79">
        <f>IF(P87="","",P87-TODAY())</f>
        <v/>
      </c>
      <c r="R87" s="9">
        <f>IF($A87="","",IF(M87="Non","INACTIF",IF(Q87="","À DÉFINIR",IF(Q87&lt;0,"EN RETARD",IF(Q87&lt;='Paramètres'!$AA$12,"À PLANIFIER","OK")))))</f>
        <v/>
      </c>
      <c r="S87" s="9">
        <f>IF($A87="","",IF(SUM(COUNTIFS('Ordres de travail'!$I$5:$I$3004,$A87,'Ordres de travail'!$AC$5:$AC$3004,{"Demandé","Planifié","En cours","En attente pièces"}))&gt;0,"Oui","Non"))</f>
        <v/>
      </c>
      <c r="T87" s="68">
        <f>IF($A87="","",COUNTIFS('Ordres de travail'!$I$5:$I$3004,$A87,'Ordres de travail'!$AC$5:$AC$3004,"Clôturé",'Ordres de travail'!$R$5:$R$3004,"&gt;="&amp;'Paramètres'!$AA$6,'Ordres de travail'!$R$5:$R$3004,"&lt;"&amp;('Paramètres'!$AA$7+1)))</f>
        <v/>
      </c>
      <c r="U87" s="69">
        <f>IF(OR($A87="",N(H87)=0),"",IF(M87="Non",0,365/H87*I87))</f>
        <v/>
      </c>
    </row>
    <row r="88">
      <c r="A88" s="7" t="inlineStr">
        <is>
          <t>GP-084</t>
        </is>
      </c>
      <c r="B88" s="7" t="inlineStr">
        <is>
          <t>EQ-ASS-005</t>
        </is>
      </c>
      <c r="C88" s="9">
        <f>IF(B88="","",IFERROR(INDEX('Équipements'!$B$5:$B$304,MATCH(B88,'Équipements'!$A$5:$A$304,0)),"Code inconnu"))</f>
        <v/>
      </c>
      <c r="D88" s="9">
        <f>IF(B88="","",IFERROR(INDEX('Équipements'!$D$5:$D$304,MATCH(B88,'Équipements'!$A$5:$A$304,0)),""))</f>
        <v/>
      </c>
      <c r="E88" s="7" t="inlineStr">
        <is>
          <t>Contrôle, nettoyage et sauvegarde programmes</t>
        </is>
      </c>
      <c r="F88" s="7" t="inlineStr">
        <is>
          <t>Préventif systématique</t>
        </is>
      </c>
      <c r="G88" s="7" t="inlineStr">
        <is>
          <t>Automatisme</t>
        </is>
      </c>
      <c r="H88" s="67" t="n">
        <v>180</v>
      </c>
      <c r="I88" s="76" t="n">
        <v>1</v>
      </c>
      <c r="J88" s="7" t="inlineStr">
        <is>
          <t>Sophie Garnier</t>
        </is>
      </c>
      <c r="K88" s="7" t="n"/>
      <c r="L88" s="65" t="n">
        <v>45586</v>
      </c>
      <c r="M88" s="7" t="inlineStr">
        <is>
          <t>Oui</t>
        </is>
      </c>
      <c r="N88" s="7" t="inlineStr">
        <is>
          <t>Nettoyage ; capteurs ; sauvegarde automate</t>
        </is>
      </c>
      <c r="O88" s="78">
        <f>IF($A88="","",MAX(N(L88),INT(_xlfn.MAXIFS('Ordres de travail'!$R$5:$R$3004,'Ordres de travail'!$I$5:$I$3004,$A88,'Ordres de travail'!$AC$5:$AC$3004,"Clôturé"))))</f>
        <v/>
      </c>
      <c r="P88" s="78">
        <f>IF(OR($A88="",N(O88)=0),"",O88+H88)</f>
        <v/>
      </c>
      <c r="Q88" s="79">
        <f>IF(P88="","",P88-TODAY())</f>
        <v/>
      </c>
      <c r="R88" s="9">
        <f>IF($A88="","",IF(M88="Non","INACTIF",IF(Q88="","À DÉFINIR",IF(Q88&lt;0,"EN RETARD",IF(Q88&lt;='Paramètres'!$AA$12,"À PLANIFIER","OK")))))</f>
        <v/>
      </c>
      <c r="S88" s="9">
        <f>IF($A88="","",IF(SUM(COUNTIFS('Ordres de travail'!$I$5:$I$3004,$A88,'Ordres de travail'!$AC$5:$AC$3004,{"Demandé","Planifié","En cours","En attente pièces"}))&gt;0,"Oui","Non"))</f>
        <v/>
      </c>
      <c r="T88" s="68">
        <f>IF($A88="","",COUNTIFS('Ordres de travail'!$I$5:$I$3004,$A88,'Ordres de travail'!$AC$5:$AC$3004,"Clôturé",'Ordres de travail'!$R$5:$R$3004,"&gt;="&amp;'Paramètres'!$AA$6,'Ordres de travail'!$R$5:$R$3004,"&lt;"&amp;('Paramètres'!$AA$7+1)))</f>
        <v/>
      </c>
      <c r="U88" s="69">
        <f>IF(OR($A88="",N(H88)=0),"",IF(M88="Non",0,365/H88*I88))</f>
        <v/>
      </c>
    </row>
    <row r="89">
      <c r="A89" s="7" t="inlineStr">
        <is>
          <t>GP-085</t>
        </is>
      </c>
      <c r="B89" s="7" t="inlineStr">
        <is>
          <t>EQ-ASS-006</t>
        </is>
      </c>
      <c r="C89" s="9">
        <f>IF(B89="","",IFERROR(INDEX('Équipements'!$B$5:$B$304,MATCH(B89,'Équipements'!$A$5:$A$304,0)),"Code inconnu"))</f>
        <v/>
      </c>
      <c r="D89" s="9">
        <f>IF(B89="","",IFERROR(INDEX('Équipements'!$D$5:$D$304,MATCH(B89,'Équipements'!$A$5:$A$304,0)),""))</f>
        <v/>
      </c>
      <c r="E89" s="7" t="inlineStr">
        <is>
          <t>Graissage chaîne / galets et contrôle tension</t>
        </is>
      </c>
      <c r="F89" s="7" t="inlineStr">
        <is>
          <t>Préventif systématique</t>
        </is>
      </c>
      <c r="G89" s="7" t="inlineStr">
        <is>
          <t>Mécanique</t>
        </is>
      </c>
      <c r="H89" s="67" t="n">
        <v>30</v>
      </c>
      <c r="I89" s="76" t="n">
        <v>1.5</v>
      </c>
      <c r="J89" s="7" t="inlineStr">
        <is>
          <t>Lucas Fontaine</t>
        </is>
      </c>
      <c r="K89" s="7" t="n"/>
      <c r="L89" s="65" t="n">
        <v>45653</v>
      </c>
      <c r="M89" s="7" t="inlineStr">
        <is>
          <t>Oui</t>
        </is>
      </c>
      <c r="N89" s="7" t="inlineStr">
        <is>
          <t>Graissage ; contrôle allongement chaîne ; tension</t>
        </is>
      </c>
      <c r="O89" s="78">
        <f>IF($A89="","",MAX(N(L89),INT(_xlfn.MAXIFS('Ordres de travail'!$R$5:$R$3004,'Ordres de travail'!$I$5:$I$3004,$A89,'Ordres de travail'!$AC$5:$AC$3004,"Clôturé"))))</f>
        <v/>
      </c>
      <c r="P89" s="78">
        <f>IF(OR($A89="",N(O89)=0),"",O89+H89)</f>
        <v/>
      </c>
      <c r="Q89" s="79">
        <f>IF(P89="","",P89-TODAY())</f>
        <v/>
      </c>
      <c r="R89" s="9">
        <f>IF($A89="","",IF(M89="Non","INACTIF",IF(Q89="","À DÉFINIR",IF(Q89&lt;0,"EN RETARD",IF(Q89&lt;='Paramètres'!$AA$12,"À PLANIFIER","OK")))))</f>
        <v/>
      </c>
      <c r="S89" s="9">
        <f>IF($A89="","",IF(SUM(COUNTIFS('Ordres de travail'!$I$5:$I$3004,$A89,'Ordres de travail'!$AC$5:$AC$3004,{"Demandé","Planifié","En cours","En attente pièces"}))&gt;0,"Oui","Non"))</f>
        <v/>
      </c>
      <c r="T89" s="68">
        <f>IF($A89="","",COUNTIFS('Ordres de travail'!$I$5:$I$3004,$A89,'Ordres de travail'!$AC$5:$AC$3004,"Clôturé",'Ordres de travail'!$R$5:$R$3004,"&gt;="&amp;'Paramètres'!$AA$6,'Ordres de travail'!$R$5:$R$3004,"&lt;"&amp;('Paramètres'!$AA$7+1)))</f>
        <v/>
      </c>
      <c r="U89" s="69">
        <f>IF(OR($A89="",N(H89)=0),"",IF(M89="Non",0,365/H89*I89))</f>
        <v/>
      </c>
    </row>
    <row r="90">
      <c r="A90" s="7" t="inlineStr">
        <is>
          <t>GP-086</t>
        </is>
      </c>
      <c r="B90" s="7" t="inlineStr">
        <is>
          <t>EQ-ASS-006</t>
        </is>
      </c>
      <c r="C90" s="9">
        <f>IF(B90="","",IFERROR(INDEX('Équipements'!$B$5:$B$304,MATCH(B90,'Équipements'!$A$5:$A$304,0)),"Code inconnu"))</f>
        <v/>
      </c>
      <c r="D90" s="9">
        <f>IF(B90="","",IFERROR(INDEX('Équipements'!$D$5:$D$304,MATCH(B90,'Équipements'!$A$5:$A$304,0)),""))</f>
        <v/>
      </c>
      <c r="E90" s="7" t="inlineStr">
        <is>
          <t>Contrôle motoréducteurs et usure</t>
        </is>
      </c>
      <c r="F90" s="7" t="inlineStr">
        <is>
          <t>Préventif systématique</t>
        </is>
      </c>
      <c r="G90" s="7" t="inlineStr">
        <is>
          <t>Mécanique</t>
        </is>
      </c>
      <c r="H90" s="67" t="n">
        <v>180</v>
      </c>
      <c r="I90" s="76" t="n">
        <v>3</v>
      </c>
      <c r="J90" s="7" t="inlineStr">
        <is>
          <t>Karim Benali</t>
        </is>
      </c>
      <c r="K90" s="7" t="n"/>
      <c r="L90" s="65" t="n">
        <v>45479</v>
      </c>
      <c r="M90" s="7" t="inlineStr">
        <is>
          <t>Oui</t>
        </is>
      </c>
      <c r="N90" s="7" t="inlineStr">
        <is>
          <t>Niveau huile réducteurs ; usure galets/pignons ; roulements</t>
        </is>
      </c>
      <c r="O90" s="78">
        <f>IF($A90="","",MAX(N(L90),INT(_xlfn.MAXIFS('Ordres de travail'!$R$5:$R$3004,'Ordres de travail'!$I$5:$I$3004,$A90,'Ordres de travail'!$AC$5:$AC$3004,"Clôturé"))))</f>
        <v/>
      </c>
      <c r="P90" s="78">
        <f>IF(OR($A90="",N(O90)=0),"",O90+H90)</f>
        <v/>
      </c>
      <c r="Q90" s="79">
        <f>IF(P90="","",P90-TODAY())</f>
        <v/>
      </c>
      <c r="R90" s="9">
        <f>IF($A90="","",IF(M90="Non","INACTIF",IF(Q90="","À DÉFINIR",IF(Q90&lt;0,"EN RETARD",IF(Q90&lt;='Paramètres'!$AA$12,"À PLANIFIER","OK")))))</f>
        <v/>
      </c>
      <c r="S90" s="9">
        <f>IF($A90="","",IF(SUM(COUNTIFS('Ordres de travail'!$I$5:$I$3004,$A90,'Ordres de travail'!$AC$5:$AC$3004,{"Demandé","Planifié","En cours","En attente pièces"}))&gt;0,"Oui","Non"))</f>
        <v/>
      </c>
      <c r="T90" s="68">
        <f>IF($A90="","",COUNTIFS('Ordres de travail'!$I$5:$I$3004,$A90,'Ordres de travail'!$AC$5:$AC$3004,"Clôturé",'Ordres de travail'!$R$5:$R$3004,"&gt;="&amp;'Paramètres'!$AA$6,'Ordres de travail'!$R$5:$R$3004,"&lt;"&amp;('Paramètres'!$AA$7+1)))</f>
        <v/>
      </c>
      <c r="U90" s="69">
        <f>IF(OR($A90="",N(H90)=0),"",IF(M90="Non",0,365/H90*I90))</f>
        <v/>
      </c>
    </row>
    <row r="91">
      <c r="A91" s="7" t="inlineStr">
        <is>
          <t>GP-087</t>
        </is>
      </c>
      <c r="B91" s="7" t="inlineStr">
        <is>
          <t>EQ-UTI-001</t>
        </is>
      </c>
      <c r="C91" s="9">
        <f>IF(B91="","",IFERROR(INDEX('Équipements'!$B$5:$B$304,MATCH(B91,'Équipements'!$A$5:$A$304,0)),"Code inconnu"))</f>
        <v/>
      </c>
      <c r="D91" s="9">
        <f>IF(B91="","",IFERROR(INDEX('Équipements'!$D$5:$D$304,MATCH(B91,'Équipements'!$A$5:$A$304,0)),""))</f>
        <v/>
      </c>
      <c r="E91" s="7" t="inlineStr">
        <is>
          <t>Entretien 2000 h : filtres air/huile, séparateur</t>
        </is>
      </c>
      <c r="F91" s="7" t="inlineStr">
        <is>
          <t>Préventif conditionnel</t>
        </is>
      </c>
      <c r="G91" s="7" t="inlineStr">
        <is>
          <t>Mécanique</t>
        </is>
      </c>
      <c r="H91" s="67" t="n">
        <v>120</v>
      </c>
      <c r="I91" s="76" t="n">
        <v>2.5</v>
      </c>
      <c r="J91" s="7" t="inlineStr">
        <is>
          <t>Lucas Fontaine</t>
        </is>
      </c>
      <c r="K91" s="7" t="n"/>
      <c r="L91" s="65" t="n">
        <v>45538</v>
      </c>
      <c r="M91" s="7" t="inlineStr">
        <is>
          <t>Oui</t>
        </is>
      </c>
      <c r="N91" s="7" t="inlineStr">
        <is>
          <t>Déclenché au compteur 2000 h ; filtres ; séparateur 4000 h ; huile</t>
        </is>
      </c>
      <c r="O91" s="78">
        <f>IF($A91="","",MAX(N(L91),INT(_xlfn.MAXIFS('Ordres de travail'!$R$5:$R$3004,'Ordres de travail'!$I$5:$I$3004,$A91,'Ordres de travail'!$AC$5:$AC$3004,"Clôturé"))))</f>
        <v/>
      </c>
      <c r="P91" s="78">
        <f>IF(OR($A91="",N(O91)=0),"",O91+H91)</f>
        <v/>
      </c>
      <c r="Q91" s="79">
        <f>IF(P91="","",P91-TODAY())</f>
        <v/>
      </c>
      <c r="R91" s="9">
        <f>IF($A91="","",IF(M91="Non","INACTIF",IF(Q91="","À DÉFINIR",IF(Q91&lt;0,"EN RETARD",IF(Q91&lt;='Paramètres'!$AA$12,"À PLANIFIER","OK")))))</f>
        <v/>
      </c>
      <c r="S91" s="9">
        <f>IF($A91="","",IF(SUM(COUNTIFS('Ordres de travail'!$I$5:$I$3004,$A91,'Ordres de travail'!$AC$5:$AC$3004,{"Demandé","Planifié","En cours","En attente pièces"}))&gt;0,"Oui","Non"))</f>
        <v/>
      </c>
      <c r="T91" s="68">
        <f>IF($A91="","",COUNTIFS('Ordres de travail'!$I$5:$I$3004,$A91,'Ordres de travail'!$AC$5:$AC$3004,"Clôturé",'Ordres de travail'!$R$5:$R$3004,"&gt;="&amp;'Paramètres'!$AA$6,'Ordres de travail'!$R$5:$R$3004,"&lt;"&amp;('Paramètres'!$AA$7+1)))</f>
        <v/>
      </c>
      <c r="U91" s="69">
        <f>IF(OR($A91="",N(H91)=0),"",IF(M91="Non",0,365/H91*I91))</f>
        <v/>
      </c>
    </row>
    <row r="92">
      <c r="A92" s="7" t="inlineStr">
        <is>
          <t>GP-088</t>
        </is>
      </c>
      <c r="B92" s="7" t="inlineStr">
        <is>
          <t>EQ-UTI-001</t>
        </is>
      </c>
      <c r="C92" s="9">
        <f>IF(B92="","",IFERROR(INDEX('Équipements'!$B$5:$B$304,MATCH(B92,'Équipements'!$A$5:$A$304,0)),"Code inconnu"))</f>
        <v/>
      </c>
      <c r="D92" s="9">
        <f>IF(B92="","",IFERROR(INDEX('Équipements'!$D$5:$D$304,MATCH(B92,'Équipements'!$A$5:$A$304,0)),""))</f>
        <v/>
      </c>
      <c r="E92" s="7" t="inlineStr">
        <is>
          <t>Purge, contrôle fuites et point de rosée</t>
        </is>
      </c>
      <c r="F92" s="7" t="inlineStr">
        <is>
          <t>Préventif systématique</t>
        </is>
      </c>
      <c r="G92" s="7" t="inlineStr">
        <is>
          <t>Pneumatique</t>
        </is>
      </c>
      <c r="H92" s="67" t="n">
        <v>30</v>
      </c>
      <c r="I92" s="76" t="n">
        <v>1</v>
      </c>
      <c r="J92" s="7" t="inlineStr">
        <is>
          <t>Julien Moreau</t>
        </is>
      </c>
      <c r="K92" s="7" t="n"/>
      <c r="L92" s="65" t="n">
        <v>45635</v>
      </c>
      <c r="M92" s="7" t="inlineStr">
        <is>
          <t>Oui</t>
        </is>
      </c>
      <c r="N92" s="7" t="inlineStr">
        <is>
          <t>Purgeurs ; recherche fuites ; relevé point de rosée</t>
        </is>
      </c>
      <c r="O92" s="78">
        <f>IF($A92="","",MAX(N(L92),INT(_xlfn.MAXIFS('Ordres de travail'!$R$5:$R$3004,'Ordres de travail'!$I$5:$I$3004,$A92,'Ordres de travail'!$AC$5:$AC$3004,"Clôturé"))))</f>
        <v/>
      </c>
      <c r="P92" s="78">
        <f>IF(OR($A92="",N(O92)=0),"",O92+H92)</f>
        <v/>
      </c>
      <c r="Q92" s="79">
        <f>IF(P92="","",P92-TODAY())</f>
        <v/>
      </c>
      <c r="R92" s="9">
        <f>IF($A92="","",IF(M92="Non","INACTIF",IF(Q92="","À DÉFINIR",IF(Q92&lt;0,"EN RETARD",IF(Q92&lt;='Paramètres'!$AA$12,"À PLANIFIER","OK")))))</f>
        <v/>
      </c>
      <c r="S92" s="9">
        <f>IF($A92="","",IF(SUM(COUNTIFS('Ordres de travail'!$I$5:$I$3004,$A92,'Ordres de travail'!$AC$5:$AC$3004,{"Demandé","Planifié","En cours","En attente pièces"}))&gt;0,"Oui","Non"))</f>
        <v/>
      </c>
      <c r="T92" s="68">
        <f>IF($A92="","",COUNTIFS('Ordres de travail'!$I$5:$I$3004,$A92,'Ordres de travail'!$AC$5:$AC$3004,"Clôturé",'Ordres de travail'!$R$5:$R$3004,"&gt;="&amp;'Paramètres'!$AA$6,'Ordres de travail'!$R$5:$R$3004,"&lt;"&amp;('Paramètres'!$AA$7+1)))</f>
        <v/>
      </c>
      <c r="U92" s="69">
        <f>IF(OR($A92="",N(H92)=0),"",IF(M92="Non",0,365/H92*I92))</f>
        <v/>
      </c>
    </row>
    <row r="93">
      <c r="A93" s="7" t="inlineStr">
        <is>
          <t>GP-089</t>
        </is>
      </c>
      <c r="B93" s="7" t="inlineStr">
        <is>
          <t>EQ-UTI-002</t>
        </is>
      </c>
      <c r="C93" s="9">
        <f>IF(B93="","",IFERROR(INDEX('Équipements'!$B$5:$B$304,MATCH(B93,'Équipements'!$A$5:$A$304,0)),"Code inconnu"))</f>
        <v/>
      </c>
      <c r="D93" s="9">
        <f>IF(B93="","",IFERROR(INDEX('Équipements'!$D$5:$D$304,MATCH(B93,'Équipements'!$A$5:$A$304,0)),""))</f>
        <v/>
      </c>
      <c r="E93" s="7" t="inlineStr">
        <is>
          <t>Entretien 2000 h : filtres air/huile, séparateur</t>
        </is>
      </c>
      <c r="F93" s="7" t="inlineStr">
        <is>
          <t>Préventif conditionnel</t>
        </is>
      </c>
      <c r="G93" s="7" t="inlineStr">
        <is>
          <t>Mécanique</t>
        </is>
      </c>
      <c r="H93" s="67" t="n">
        <v>120</v>
      </c>
      <c r="I93" s="76" t="n">
        <v>2.5</v>
      </c>
      <c r="J93" s="7" t="inlineStr">
        <is>
          <t>Antoine Mercier</t>
        </is>
      </c>
      <c r="K93" s="7" t="n"/>
      <c r="L93" s="65" t="n">
        <v>45608</v>
      </c>
      <c r="M93" s="7" t="inlineStr">
        <is>
          <t>Oui</t>
        </is>
      </c>
      <c r="N93" s="7" t="inlineStr">
        <is>
          <t>Déclenché au compteur 2000 h ; filtres ; séparateur 4000 h ; huile</t>
        </is>
      </c>
      <c r="O93" s="78">
        <f>IF($A93="","",MAX(N(L93),INT(_xlfn.MAXIFS('Ordres de travail'!$R$5:$R$3004,'Ordres de travail'!$I$5:$I$3004,$A93,'Ordres de travail'!$AC$5:$AC$3004,"Clôturé"))))</f>
        <v/>
      </c>
      <c r="P93" s="78">
        <f>IF(OR($A93="",N(O93)=0),"",O93+H93)</f>
        <v/>
      </c>
      <c r="Q93" s="79">
        <f>IF(P93="","",P93-TODAY())</f>
        <v/>
      </c>
      <c r="R93" s="9">
        <f>IF($A93="","",IF(M93="Non","INACTIF",IF(Q93="","À DÉFINIR",IF(Q93&lt;0,"EN RETARD",IF(Q93&lt;='Paramètres'!$AA$12,"À PLANIFIER","OK")))))</f>
        <v/>
      </c>
      <c r="S93" s="9">
        <f>IF($A93="","",IF(SUM(COUNTIFS('Ordres de travail'!$I$5:$I$3004,$A93,'Ordres de travail'!$AC$5:$AC$3004,{"Demandé","Planifié","En cours","En attente pièces"}))&gt;0,"Oui","Non"))</f>
        <v/>
      </c>
      <c r="T93" s="68">
        <f>IF($A93="","",COUNTIFS('Ordres de travail'!$I$5:$I$3004,$A93,'Ordres de travail'!$AC$5:$AC$3004,"Clôturé",'Ordres de travail'!$R$5:$R$3004,"&gt;="&amp;'Paramètres'!$AA$6,'Ordres de travail'!$R$5:$R$3004,"&lt;"&amp;('Paramètres'!$AA$7+1)))</f>
        <v/>
      </c>
      <c r="U93" s="69">
        <f>IF(OR($A93="",N(H93)=0),"",IF(M93="Non",0,365/H93*I93))</f>
        <v/>
      </c>
    </row>
    <row r="94">
      <c r="A94" s="7" t="inlineStr">
        <is>
          <t>GP-090</t>
        </is>
      </c>
      <c r="B94" s="7" t="inlineStr">
        <is>
          <t>EQ-UTI-002</t>
        </is>
      </c>
      <c r="C94" s="9">
        <f>IF(B94="","",IFERROR(INDEX('Équipements'!$B$5:$B$304,MATCH(B94,'Équipements'!$A$5:$A$304,0)),"Code inconnu"))</f>
        <v/>
      </c>
      <c r="D94" s="9">
        <f>IF(B94="","",IFERROR(INDEX('Équipements'!$D$5:$D$304,MATCH(B94,'Équipements'!$A$5:$A$304,0)),""))</f>
        <v/>
      </c>
      <c r="E94" s="7" t="inlineStr">
        <is>
          <t>Purge, contrôle fuites et point de rosée</t>
        </is>
      </c>
      <c r="F94" s="7" t="inlineStr">
        <is>
          <t>Préventif systématique</t>
        </is>
      </c>
      <c r="G94" s="7" t="inlineStr">
        <is>
          <t>Pneumatique</t>
        </is>
      </c>
      <c r="H94" s="67" t="n">
        <v>30</v>
      </c>
      <c r="I94" s="76" t="n">
        <v>1</v>
      </c>
      <c r="J94" s="7" t="inlineStr">
        <is>
          <t>Lucas Fontaine</t>
        </is>
      </c>
      <c r="K94" s="7" t="n"/>
      <c r="L94" s="65" t="n">
        <v>45648</v>
      </c>
      <c r="M94" s="7" t="inlineStr">
        <is>
          <t>Oui</t>
        </is>
      </c>
      <c r="N94" s="7" t="inlineStr">
        <is>
          <t>Purgeurs ; recherche fuites ; relevé point de rosée</t>
        </is>
      </c>
      <c r="O94" s="78">
        <f>IF($A94="","",MAX(N(L94),INT(_xlfn.MAXIFS('Ordres de travail'!$R$5:$R$3004,'Ordres de travail'!$I$5:$I$3004,$A94,'Ordres de travail'!$AC$5:$AC$3004,"Clôturé"))))</f>
        <v/>
      </c>
      <c r="P94" s="78">
        <f>IF(OR($A94="",N(O94)=0),"",O94+H94)</f>
        <v/>
      </c>
      <c r="Q94" s="79">
        <f>IF(P94="","",P94-TODAY())</f>
        <v/>
      </c>
      <c r="R94" s="9">
        <f>IF($A94="","",IF(M94="Non","INACTIF",IF(Q94="","À DÉFINIR",IF(Q94&lt;0,"EN RETARD",IF(Q94&lt;='Paramètres'!$AA$12,"À PLANIFIER","OK")))))</f>
        <v/>
      </c>
      <c r="S94" s="9">
        <f>IF($A94="","",IF(SUM(COUNTIFS('Ordres de travail'!$I$5:$I$3004,$A94,'Ordres de travail'!$AC$5:$AC$3004,{"Demandé","Planifié","En cours","En attente pièces"}))&gt;0,"Oui","Non"))</f>
        <v/>
      </c>
      <c r="T94" s="68">
        <f>IF($A94="","",COUNTIFS('Ordres de travail'!$I$5:$I$3004,$A94,'Ordres de travail'!$AC$5:$AC$3004,"Clôturé",'Ordres de travail'!$R$5:$R$3004,"&gt;="&amp;'Paramètres'!$AA$6,'Ordres de travail'!$R$5:$R$3004,"&lt;"&amp;('Paramètres'!$AA$7+1)))</f>
        <v/>
      </c>
      <c r="U94" s="69">
        <f>IF(OR($A94="",N(H94)=0),"",IF(M94="Non",0,365/H94*I94))</f>
        <v/>
      </c>
    </row>
    <row r="95">
      <c r="A95" s="7" t="inlineStr">
        <is>
          <t>GP-091</t>
        </is>
      </c>
      <c r="B95" s="7" t="inlineStr">
        <is>
          <t>EQ-UTI-003</t>
        </is>
      </c>
      <c r="C95" s="9">
        <f>IF(B95="","",IFERROR(INDEX('Équipements'!$B$5:$B$304,MATCH(B95,'Équipements'!$A$5:$A$304,0)),"Code inconnu"))</f>
        <v/>
      </c>
      <c r="D95" s="9">
        <f>IF(B95="","",IFERROR(INDEX('Équipements'!$D$5:$D$304,MATCH(B95,'Équipements'!$A$5:$A$304,0)),""))</f>
        <v/>
      </c>
      <c r="E95" s="7" t="inlineStr">
        <is>
          <t>Entretien 2000 h : filtres air/huile, séparateur</t>
        </is>
      </c>
      <c r="F95" s="7" t="inlineStr">
        <is>
          <t>Préventif conditionnel</t>
        </is>
      </c>
      <c r="G95" s="7" t="inlineStr">
        <is>
          <t>Mécanique</t>
        </is>
      </c>
      <c r="H95" s="67" t="n">
        <v>120</v>
      </c>
      <c r="I95" s="76" t="n">
        <v>2.5</v>
      </c>
      <c r="J95" s="7" t="inlineStr">
        <is>
          <t>Karim Benali</t>
        </is>
      </c>
      <c r="K95" s="7" t="n"/>
      <c r="L95" s="65" t="n">
        <v>45649</v>
      </c>
      <c r="M95" s="7" t="inlineStr">
        <is>
          <t>Oui</t>
        </is>
      </c>
      <c r="N95" s="7" t="inlineStr">
        <is>
          <t>Déclenché au compteur 2000 h ; filtres ; séparateur 4000 h ; huile</t>
        </is>
      </c>
      <c r="O95" s="78">
        <f>IF($A95="","",MAX(N(L95),INT(_xlfn.MAXIFS('Ordres de travail'!$R$5:$R$3004,'Ordres de travail'!$I$5:$I$3004,$A95,'Ordres de travail'!$AC$5:$AC$3004,"Clôturé"))))</f>
        <v/>
      </c>
      <c r="P95" s="78">
        <f>IF(OR($A95="",N(O95)=0),"",O95+H95)</f>
        <v/>
      </c>
      <c r="Q95" s="79">
        <f>IF(P95="","",P95-TODAY())</f>
        <v/>
      </c>
      <c r="R95" s="9">
        <f>IF($A95="","",IF(M95="Non","INACTIF",IF(Q95="","À DÉFINIR",IF(Q95&lt;0,"EN RETARD",IF(Q95&lt;='Paramètres'!$AA$12,"À PLANIFIER","OK")))))</f>
        <v/>
      </c>
      <c r="S95" s="9">
        <f>IF($A95="","",IF(SUM(COUNTIFS('Ordres de travail'!$I$5:$I$3004,$A95,'Ordres de travail'!$AC$5:$AC$3004,{"Demandé","Planifié","En cours","En attente pièces"}))&gt;0,"Oui","Non"))</f>
        <v/>
      </c>
      <c r="T95" s="68">
        <f>IF($A95="","",COUNTIFS('Ordres de travail'!$I$5:$I$3004,$A95,'Ordres de travail'!$AC$5:$AC$3004,"Clôturé",'Ordres de travail'!$R$5:$R$3004,"&gt;="&amp;'Paramètres'!$AA$6,'Ordres de travail'!$R$5:$R$3004,"&lt;"&amp;('Paramètres'!$AA$7+1)))</f>
        <v/>
      </c>
      <c r="U95" s="69">
        <f>IF(OR($A95="",N(H95)=0),"",IF(M95="Non",0,365/H95*I95))</f>
        <v/>
      </c>
    </row>
    <row r="96">
      <c r="A96" s="7" t="inlineStr">
        <is>
          <t>GP-092</t>
        </is>
      </c>
      <c r="B96" s="7" t="inlineStr">
        <is>
          <t>EQ-UTI-003</t>
        </is>
      </c>
      <c r="C96" s="9">
        <f>IF(B96="","",IFERROR(INDEX('Équipements'!$B$5:$B$304,MATCH(B96,'Équipements'!$A$5:$A$304,0)),"Code inconnu"))</f>
        <v/>
      </c>
      <c r="D96" s="9">
        <f>IF(B96="","",IFERROR(INDEX('Équipements'!$D$5:$D$304,MATCH(B96,'Équipements'!$A$5:$A$304,0)),""))</f>
        <v/>
      </c>
      <c r="E96" s="7" t="inlineStr">
        <is>
          <t>Purge, contrôle fuites et point de rosée</t>
        </is>
      </c>
      <c r="F96" s="7" t="inlineStr">
        <is>
          <t>Préventif systématique</t>
        </is>
      </c>
      <c r="G96" s="7" t="inlineStr">
        <is>
          <t>Pneumatique</t>
        </is>
      </c>
      <c r="H96" s="67" t="n">
        <v>30</v>
      </c>
      <c r="I96" s="76" t="n">
        <v>1</v>
      </c>
      <c r="J96" s="7" t="inlineStr">
        <is>
          <t>Julien Moreau</t>
        </is>
      </c>
      <c r="K96" s="7" t="n"/>
      <c r="L96" s="65" t="n">
        <v>45634</v>
      </c>
      <c r="M96" s="7" t="inlineStr">
        <is>
          <t>Oui</t>
        </is>
      </c>
      <c r="N96" s="7" t="inlineStr">
        <is>
          <t>Purgeurs ; recherche fuites ; relevé point de rosée</t>
        </is>
      </c>
      <c r="O96" s="78">
        <f>IF($A96="","",MAX(N(L96),INT(_xlfn.MAXIFS('Ordres de travail'!$R$5:$R$3004,'Ordres de travail'!$I$5:$I$3004,$A96,'Ordres de travail'!$AC$5:$AC$3004,"Clôturé"))))</f>
        <v/>
      </c>
      <c r="P96" s="78">
        <f>IF(OR($A96="",N(O96)=0),"",O96+H96)</f>
        <v/>
      </c>
      <c r="Q96" s="79">
        <f>IF(P96="","",P96-TODAY())</f>
        <v/>
      </c>
      <c r="R96" s="9">
        <f>IF($A96="","",IF(M96="Non","INACTIF",IF(Q96="","À DÉFINIR",IF(Q96&lt;0,"EN RETARD",IF(Q96&lt;='Paramètres'!$AA$12,"À PLANIFIER","OK")))))</f>
        <v/>
      </c>
      <c r="S96" s="9">
        <f>IF($A96="","",IF(SUM(COUNTIFS('Ordres de travail'!$I$5:$I$3004,$A96,'Ordres de travail'!$AC$5:$AC$3004,{"Demandé","Planifié","En cours","En attente pièces"}))&gt;0,"Oui","Non"))</f>
        <v/>
      </c>
      <c r="T96" s="68">
        <f>IF($A96="","",COUNTIFS('Ordres de travail'!$I$5:$I$3004,$A96,'Ordres de travail'!$AC$5:$AC$3004,"Clôturé",'Ordres de travail'!$R$5:$R$3004,"&gt;="&amp;'Paramètres'!$AA$6,'Ordres de travail'!$R$5:$R$3004,"&lt;"&amp;('Paramètres'!$AA$7+1)))</f>
        <v/>
      </c>
      <c r="U96" s="69">
        <f>IF(OR($A96="",N(H96)=0),"",IF(M96="Non",0,365/H96*I96))</f>
        <v/>
      </c>
    </row>
    <row r="97">
      <c r="A97" s="7" t="inlineStr">
        <is>
          <t>GP-093</t>
        </is>
      </c>
      <c r="B97" s="7" t="inlineStr">
        <is>
          <t>EQ-UTI-005</t>
        </is>
      </c>
      <c r="C97" s="9">
        <f>IF(B97="","",IFERROR(INDEX('Équipements'!$B$5:$B$304,MATCH(B97,'Équipements'!$A$5:$A$304,0)),"Code inconnu"))</f>
        <v/>
      </c>
      <c r="D97" s="9">
        <f>IF(B97="","",IFERROR(INDEX('Équipements'!$D$5:$D$304,MATCH(B97,'Équipements'!$A$5:$A$304,0)),""))</f>
        <v/>
      </c>
      <c r="E97" s="7" t="inlineStr">
        <is>
          <t>Remplacement filtres et nettoyage batteries</t>
        </is>
      </c>
      <c r="F97" s="7" t="inlineStr">
        <is>
          <t>Préventif systématique</t>
        </is>
      </c>
      <c r="G97" s="7" t="inlineStr">
        <is>
          <t>Mécanique</t>
        </is>
      </c>
      <c r="H97" s="67" t="n">
        <v>90</v>
      </c>
      <c r="I97" s="76" t="n">
        <v>1.5</v>
      </c>
      <c r="J97" s="7" t="inlineStr">
        <is>
          <t>Lucas Fontaine</t>
        </is>
      </c>
      <c r="K97" s="7" t="n"/>
      <c r="L97" s="65" t="n">
        <v>45592</v>
      </c>
      <c r="M97" s="7" t="inlineStr">
        <is>
          <t>Oui</t>
        </is>
      </c>
      <c r="N97" s="7" t="inlineStr">
        <is>
          <t>Filtres ; nettoyage batteries ; contrôle courroies</t>
        </is>
      </c>
      <c r="O97" s="78">
        <f>IF($A97="","",MAX(N(L97),INT(_xlfn.MAXIFS('Ordres de travail'!$R$5:$R$3004,'Ordres de travail'!$I$5:$I$3004,$A97,'Ordres de travail'!$AC$5:$AC$3004,"Clôturé"))))</f>
        <v/>
      </c>
      <c r="P97" s="78">
        <f>IF(OR($A97="",N(O97)=0),"",O97+H97)</f>
        <v/>
      </c>
      <c r="Q97" s="79">
        <f>IF(P97="","",P97-TODAY())</f>
        <v/>
      </c>
      <c r="R97" s="9">
        <f>IF($A97="","",IF(M97="Non","INACTIF",IF(Q97="","À DÉFINIR",IF(Q97&lt;0,"EN RETARD",IF(Q97&lt;='Paramètres'!$AA$12,"À PLANIFIER","OK")))))</f>
        <v/>
      </c>
      <c r="S97" s="9">
        <f>IF($A97="","",IF(SUM(COUNTIFS('Ordres de travail'!$I$5:$I$3004,$A97,'Ordres de travail'!$AC$5:$AC$3004,{"Demandé","Planifié","En cours","En attente pièces"}))&gt;0,"Oui","Non"))</f>
        <v/>
      </c>
      <c r="T97" s="68">
        <f>IF($A97="","",COUNTIFS('Ordres de travail'!$I$5:$I$3004,$A97,'Ordres de travail'!$AC$5:$AC$3004,"Clôturé",'Ordres de travail'!$R$5:$R$3004,"&gt;="&amp;'Paramètres'!$AA$6,'Ordres de travail'!$R$5:$R$3004,"&lt;"&amp;('Paramètres'!$AA$7+1)))</f>
        <v/>
      </c>
      <c r="U97" s="69">
        <f>IF(OR($A97="",N(H97)=0),"",IF(M97="Non",0,365/H97*I97))</f>
        <v/>
      </c>
    </row>
    <row r="98">
      <c r="A98" s="7" t="inlineStr">
        <is>
          <t>GP-094</t>
        </is>
      </c>
      <c r="B98" s="7" t="inlineStr">
        <is>
          <t>EQ-UTI-005</t>
        </is>
      </c>
      <c r="C98" s="9">
        <f>IF(B98="","",IFERROR(INDEX('Équipements'!$B$5:$B$304,MATCH(B98,'Équipements'!$A$5:$A$304,0)),"Code inconnu"))</f>
        <v/>
      </c>
      <c r="D98" s="9">
        <f>IF(B98="","",IFERROR(INDEX('Équipements'!$D$5:$D$304,MATCH(B98,'Équipements'!$A$5:$A$304,0)),""))</f>
        <v/>
      </c>
      <c r="E98" s="7" t="inlineStr">
        <is>
          <t>Entretien annuel complet</t>
        </is>
      </c>
      <c r="F98" s="7" t="inlineStr">
        <is>
          <t>Préventif systématique</t>
        </is>
      </c>
      <c r="G98" s="7" t="inlineStr">
        <is>
          <t>Multi-technique</t>
        </is>
      </c>
      <c r="H98" s="67" t="n">
        <v>365</v>
      </c>
      <c r="I98" s="76" t="n">
        <v>4</v>
      </c>
      <c r="J98" s="7" t="inlineStr">
        <is>
          <t>Antoine Mercier</t>
        </is>
      </c>
      <c r="K98" s="7" t="inlineStr">
        <is>
          <t>Thermique &amp; Clim Services</t>
        </is>
      </c>
      <c r="L98" s="65" t="n">
        <v>45495</v>
      </c>
      <c r="M98" s="7" t="inlineStr">
        <is>
          <t>Oui</t>
        </is>
      </c>
      <c r="N98" s="7" t="inlineStr">
        <is>
          <t>Entretien selon contrat</t>
        </is>
      </c>
      <c r="O98" s="78">
        <f>IF($A98="","",MAX(N(L98),INT(_xlfn.MAXIFS('Ordres de travail'!$R$5:$R$3004,'Ordres de travail'!$I$5:$I$3004,$A98,'Ordres de travail'!$AC$5:$AC$3004,"Clôturé"))))</f>
        <v/>
      </c>
      <c r="P98" s="78">
        <f>IF(OR($A98="",N(O98)=0),"",O98+H98)</f>
        <v/>
      </c>
      <c r="Q98" s="79">
        <f>IF(P98="","",P98-TODAY())</f>
        <v/>
      </c>
      <c r="R98" s="9">
        <f>IF($A98="","",IF(M98="Non","INACTIF",IF(Q98="","À DÉFINIR",IF(Q98&lt;0,"EN RETARD",IF(Q98&lt;='Paramètres'!$AA$12,"À PLANIFIER","OK")))))</f>
        <v/>
      </c>
      <c r="S98" s="9">
        <f>IF($A98="","",IF(SUM(COUNTIFS('Ordres de travail'!$I$5:$I$3004,$A98,'Ordres de travail'!$AC$5:$AC$3004,{"Demandé","Planifié","En cours","En attente pièces"}))&gt;0,"Oui","Non"))</f>
        <v/>
      </c>
      <c r="T98" s="68">
        <f>IF($A98="","",COUNTIFS('Ordres de travail'!$I$5:$I$3004,$A98,'Ordres de travail'!$AC$5:$AC$3004,"Clôturé",'Ordres de travail'!$R$5:$R$3004,"&gt;="&amp;'Paramètres'!$AA$6,'Ordres de travail'!$R$5:$R$3004,"&lt;"&amp;('Paramètres'!$AA$7+1)))</f>
        <v/>
      </c>
      <c r="U98" s="69">
        <f>IF(OR($A98="",N(H98)=0),"",IF(M98="Non",0,365/H98*I98))</f>
        <v/>
      </c>
    </row>
    <row r="99">
      <c r="A99" s="7" t="inlineStr">
        <is>
          <t>GP-095</t>
        </is>
      </c>
      <c r="B99" s="7" t="inlineStr">
        <is>
          <t>EQ-UTI-006</t>
        </is>
      </c>
      <c r="C99" s="9">
        <f>IF(B99="","",IFERROR(INDEX('Équipements'!$B$5:$B$304,MATCH(B99,'Équipements'!$A$5:$A$304,0)),"Code inconnu"))</f>
        <v/>
      </c>
      <c r="D99" s="9">
        <f>IF(B99="","",IFERROR(INDEX('Équipements'!$D$5:$D$304,MATCH(B99,'Équipements'!$A$5:$A$304,0)),""))</f>
        <v/>
      </c>
      <c r="E99" s="7" t="inlineStr">
        <is>
          <t>Remplacement filtres et nettoyage batteries</t>
        </is>
      </c>
      <c r="F99" s="7" t="inlineStr">
        <is>
          <t>Préventif systématique</t>
        </is>
      </c>
      <c r="G99" s="7" t="inlineStr">
        <is>
          <t>Mécanique</t>
        </is>
      </c>
      <c r="H99" s="67" t="n">
        <v>90</v>
      </c>
      <c r="I99" s="76" t="n">
        <v>1.5</v>
      </c>
      <c r="J99" s="7" t="inlineStr">
        <is>
          <t>Karim Benali</t>
        </is>
      </c>
      <c r="K99" s="7" t="n"/>
      <c r="L99" s="65" t="n">
        <v>45648</v>
      </c>
      <c r="M99" s="7" t="inlineStr">
        <is>
          <t>Oui</t>
        </is>
      </c>
      <c r="N99" s="7" t="inlineStr">
        <is>
          <t>Filtres ; nettoyage batteries ; contrôle courroies</t>
        </is>
      </c>
      <c r="O99" s="78">
        <f>IF($A99="","",MAX(N(L99),INT(_xlfn.MAXIFS('Ordres de travail'!$R$5:$R$3004,'Ordres de travail'!$I$5:$I$3004,$A99,'Ordres de travail'!$AC$5:$AC$3004,"Clôturé"))))</f>
        <v/>
      </c>
      <c r="P99" s="78">
        <f>IF(OR($A99="",N(O99)=0),"",O99+H99)</f>
        <v/>
      </c>
      <c r="Q99" s="79">
        <f>IF(P99="","",P99-TODAY())</f>
        <v/>
      </c>
      <c r="R99" s="9">
        <f>IF($A99="","",IF(M99="Non","INACTIF",IF(Q99="","À DÉFINIR",IF(Q99&lt;0,"EN RETARD",IF(Q99&lt;='Paramètres'!$AA$12,"À PLANIFIER","OK")))))</f>
        <v/>
      </c>
      <c r="S99" s="9">
        <f>IF($A99="","",IF(SUM(COUNTIFS('Ordres de travail'!$I$5:$I$3004,$A99,'Ordres de travail'!$AC$5:$AC$3004,{"Demandé","Planifié","En cours","En attente pièces"}))&gt;0,"Oui","Non"))</f>
        <v/>
      </c>
      <c r="T99" s="68">
        <f>IF($A99="","",COUNTIFS('Ordres de travail'!$I$5:$I$3004,$A99,'Ordres de travail'!$AC$5:$AC$3004,"Clôturé",'Ordres de travail'!$R$5:$R$3004,"&gt;="&amp;'Paramètres'!$AA$6,'Ordres de travail'!$R$5:$R$3004,"&lt;"&amp;('Paramètres'!$AA$7+1)))</f>
        <v/>
      </c>
      <c r="U99" s="69">
        <f>IF(OR($A99="",N(H99)=0),"",IF(M99="Non",0,365/H99*I99))</f>
        <v/>
      </c>
    </row>
    <row r="100">
      <c r="A100" s="7" t="inlineStr">
        <is>
          <t>GP-096</t>
        </is>
      </c>
      <c r="B100" s="7" t="inlineStr">
        <is>
          <t>EQ-UTI-006</t>
        </is>
      </c>
      <c r="C100" s="9">
        <f>IF(B100="","",IFERROR(INDEX('Équipements'!$B$5:$B$304,MATCH(B100,'Équipements'!$A$5:$A$304,0)),"Code inconnu"))</f>
        <v/>
      </c>
      <c r="D100" s="9">
        <f>IF(B100="","",IFERROR(INDEX('Équipements'!$D$5:$D$304,MATCH(B100,'Équipements'!$A$5:$A$304,0)),""))</f>
        <v/>
      </c>
      <c r="E100" s="7" t="inlineStr">
        <is>
          <t>Entretien annuel complet</t>
        </is>
      </c>
      <c r="F100" s="7" t="inlineStr">
        <is>
          <t>Préventif systématique</t>
        </is>
      </c>
      <c r="G100" s="7" t="inlineStr">
        <is>
          <t>Multi-technique</t>
        </is>
      </c>
      <c r="H100" s="67" t="n">
        <v>365</v>
      </c>
      <c r="I100" s="76" t="n">
        <v>4</v>
      </c>
      <c r="J100" s="7" t="inlineStr">
        <is>
          <t>Antoine Mercier</t>
        </is>
      </c>
      <c r="K100" s="7" t="inlineStr">
        <is>
          <t>Thermique &amp; Clim Services</t>
        </is>
      </c>
      <c r="L100" s="65" t="n">
        <v>45625</v>
      </c>
      <c r="M100" s="7" t="inlineStr">
        <is>
          <t>Oui</t>
        </is>
      </c>
      <c r="N100" s="7" t="inlineStr">
        <is>
          <t>Entretien selon contrat</t>
        </is>
      </c>
      <c r="O100" s="78">
        <f>IF($A100="","",MAX(N(L100),INT(_xlfn.MAXIFS('Ordres de travail'!$R$5:$R$3004,'Ordres de travail'!$I$5:$I$3004,$A100,'Ordres de travail'!$AC$5:$AC$3004,"Clôturé"))))</f>
        <v/>
      </c>
      <c r="P100" s="78">
        <f>IF(OR($A100="",N(O100)=0),"",O100+H100)</f>
        <v/>
      </c>
      <c r="Q100" s="79">
        <f>IF(P100="","",P100-TODAY())</f>
        <v/>
      </c>
      <c r="R100" s="9">
        <f>IF($A100="","",IF(M100="Non","INACTIF",IF(Q100="","À DÉFINIR",IF(Q100&lt;0,"EN RETARD",IF(Q100&lt;='Paramètres'!$AA$12,"À PLANIFIER","OK")))))</f>
        <v/>
      </c>
      <c r="S100" s="9">
        <f>IF($A100="","",IF(SUM(COUNTIFS('Ordres de travail'!$I$5:$I$3004,$A100,'Ordres de travail'!$AC$5:$AC$3004,{"Demandé","Planifié","En cours","En attente pièces"}))&gt;0,"Oui","Non"))</f>
        <v/>
      </c>
      <c r="T100" s="68">
        <f>IF($A100="","",COUNTIFS('Ordres de travail'!$I$5:$I$3004,$A100,'Ordres de travail'!$AC$5:$AC$3004,"Clôturé",'Ordres de travail'!$R$5:$R$3004,"&gt;="&amp;'Paramètres'!$AA$6,'Ordres de travail'!$R$5:$R$3004,"&lt;"&amp;('Paramètres'!$AA$7+1)))</f>
        <v/>
      </c>
      <c r="U100" s="69">
        <f>IF(OR($A100="",N(H100)=0),"",IF(M100="Non",0,365/H100*I100))</f>
        <v/>
      </c>
    </row>
    <row r="101">
      <c r="A101" s="7" t="inlineStr">
        <is>
          <t>GP-097</t>
        </is>
      </c>
      <c r="B101" s="7" t="inlineStr">
        <is>
          <t>EQ-UTI-007</t>
        </is>
      </c>
      <c r="C101" s="9">
        <f>IF(B101="","",IFERROR(INDEX('Équipements'!$B$5:$B$304,MATCH(B101,'Équipements'!$A$5:$A$304,0)),"Code inconnu"))</f>
        <v/>
      </c>
      <c r="D101" s="9">
        <f>IF(B101="","",IFERROR(INDEX('Équipements'!$D$5:$D$304,MATCH(B101,'Équipements'!$A$5:$A$304,0)),""))</f>
        <v/>
      </c>
      <c r="E101" s="7" t="inlineStr">
        <is>
          <t>Inspection, nettoyage et resserrage des connexions</t>
        </is>
      </c>
      <c r="F101" s="7" t="inlineStr">
        <is>
          <t>Préventif systématique</t>
        </is>
      </c>
      <c r="G101" s="7" t="inlineStr">
        <is>
          <t>Électrique</t>
        </is>
      </c>
      <c r="H101" s="67" t="n">
        <v>365</v>
      </c>
      <c r="I101" s="76" t="n">
        <v>4</v>
      </c>
      <c r="J101" s="7" t="inlineStr">
        <is>
          <t>Julien Moreau</t>
        </is>
      </c>
      <c r="K101" s="7" t="n"/>
      <c r="L101" s="65" t="n">
        <v>45621</v>
      </c>
      <c r="M101" s="7" t="inlineStr">
        <is>
          <t>Oui</t>
        </is>
      </c>
      <c r="N101" s="7" t="inlineStr">
        <is>
          <t>Consignation ; dépoussiérage ; resserrage ; contrôle visuel</t>
        </is>
      </c>
      <c r="O101" s="78">
        <f>IF($A101="","",MAX(N(L101),INT(_xlfn.MAXIFS('Ordres de travail'!$R$5:$R$3004,'Ordres de travail'!$I$5:$I$3004,$A101,'Ordres de travail'!$AC$5:$AC$3004,"Clôturé"))))</f>
        <v/>
      </c>
      <c r="P101" s="78">
        <f>IF(OR($A101="",N(O101)=0),"",O101+H101)</f>
        <v/>
      </c>
      <c r="Q101" s="79">
        <f>IF(P101="","",P101-TODAY())</f>
        <v/>
      </c>
      <c r="R101" s="9">
        <f>IF($A101="","",IF(M101="Non","INACTIF",IF(Q101="","À DÉFINIR",IF(Q101&lt;0,"EN RETARD",IF(Q101&lt;='Paramètres'!$AA$12,"À PLANIFIER","OK")))))</f>
        <v/>
      </c>
      <c r="S101" s="9">
        <f>IF($A101="","",IF(SUM(COUNTIFS('Ordres de travail'!$I$5:$I$3004,$A101,'Ordres de travail'!$AC$5:$AC$3004,{"Demandé","Planifié","En cours","En attente pièces"}))&gt;0,"Oui","Non"))</f>
        <v/>
      </c>
      <c r="T101" s="68">
        <f>IF($A101="","",COUNTIFS('Ordres de travail'!$I$5:$I$3004,$A101,'Ordres de travail'!$AC$5:$AC$3004,"Clôturé",'Ordres de travail'!$R$5:$R$3004,"&gt;="&amp;'Paramètres'!$AA$6,'Ordres de travail'!$R$5:$R$3004,"&lt;"&amp;('Paramètres'!$AA$7+1)))</f>
        <v/>
      </c>
      <c r="U101" s="69">
        <f>IF(OR($A101="",N(H101)=0),"",IF(M101="Non",0,365/H101*I101))</f>
        <v/>
      </c>
    </row>
    <row r="102">
      <c r="A102" s="7" t="inlineStr">
        <is>
          <t>GP-098</t>
        </is>
      </c>
      <c r="B102" s="7" t="inlineStr">
        <is>
          <t>EQ-UTI-007</t>
        </is>
      </c>
      <c r="C102" s="9">
        <f>IF(B102="","",IFERROR(INDEX('Équipements'!$B$5:$B$304,MATCH(B102,'Équipements'!$A$5:$A$304,0)),"Code inconnu"))</f>
        <v/>
      </c>
      <c r="D102" s="9">
        <f>IF(B102="","",IFERROR(INDEX('Équipements'!$D$5:$D$304,MATCH(B102,'Équipements'!$A$5:$A$304,0)),""))</f>
        <v/>
      </c>
      <c r="E102" s="7" t="inlineStr">
        <is>
          <t>Essai de fonctionnement / contrôle visuel</t>
        </is>
      </c>
      <c r="F102" s="7" t="inlineStr">
        <is>
          <t>Préventif systématique</t>
        </is>
      </c>
      <c r="G102" s="7" t="inlineStr">
        <is>
          <t>Électrique</t>
        </is>
      </c>
      <c r="H102" s="67" t="n">
        <v>90</v>
      </c>
      <c r="I102" s="76" t="n">
        <v>1</v>
      </c>
      <c r="J102" s="7" t="inlineStr">
        <is>
          <t>Antoine Mercier</t>
        </is>
      </c>
      <c r="K102" s="7" t="n"/>
      <c r="L102" s="65" t="n">
        <v>45624</v>
      </c>
      <c r="M102" s="7" t="inlineStr">
        <is>
          <t>Oui</t>
        </is>
      </c>
      <c r="N102" s="7" t="inlineStr">
        <is>
          <t>Essai ; relevé paramètres ; contrôle visuel</t>
        </is>
      </c>
      <c r="O102" s="78">
        <f>IF($A102="","",MAX(N(L102),INT(_xlfn.MAXIFS('Ordres de travail'!$R$5:$R$3004,'Ordres de travail'!$I$5:$I$3004,$A102,'Ordres de travail'!$AC$5:$AC$3004,"Clôturé"))))</f>
        <v/>
      </c>
      <c r="P102" s="78">
        <f>IF(OR($A102="",N(O102)=0),"",O102+H102)</f>
        <v/>
      </c>
      <c r="Q102" s="79">
        <f>IF(P102="","",P102-TODAY())</f>
        <v/>
      </c>
      <c r="R102" s="9">
        <f>IF($A102="","",IF(M102="Non","INACTIF",IF(Q102="","À DÉFINIR",IF(Q102&lt;0,"EN RETARD",IF(Q102&lt;='Paramètres'!$AA$12,"À PLANIFIER","OK")))))</f>
        <v/>
      </c>
      <c r="S102" s="9">
        <f>IF($A102="","",IF(SUM(COUNTIFS('Ordres de travail'!$I$5:$I$3004,$A102,'Ordres de travail'!$AC$5:$AC$3004,{"Demandé","Planifié","En cours","En attente pièces"}))&gt;0,"Oui","Non"))</f>
        <v/>
      </c>
      <c r="T102" s="68">
        <f>IF($A102="","",COUNTIFS('Ordres de travail'!$I$5:$I$3004,$A102,'Ordres de travail'!$AC$5:$AC$3004,"Clôturé",'Ordres de travail'!$R$5:$R$3004,"&gt;="&amp;'Paramètres'!$AA$6,'Ordres de travail'!$R$5:$R$3004,"&lt;"&amp;('Paramètres'!$AA$7+1)))</f>
        <v/>
      </c>
      <c r="U102" s="69">
        <f>IF(OR($A102="",N(H102)=0),"",IF(M102="Non",0,365/H102*I102))</f>
        <v/>
      </c>
    </row>
    <row r="103">
      <c r="A103" s="7" t="inlineStr">
        <is>
          <t>GP-099</t>
        </is>
      </c>
      <c r="B103" s="7" t="inlineStr">
        <is>
          <t>EQ-UTI-008</t>
        </is>
      </c>
      <c r="C103" s="9">
        <f>IF(B103="","",IFERROR(INDEX('Équipements'!$B$5:$B$304,MATCH(B103,'Équipements'!$A$5:$A$304,0)),"Code inconnu"))</f>
        <v/>
      </c>
      <c r="D103" s="9">
        <f>IF(B103="","",IFERROR(INDEX('Équipements'!$D$5:$D$304,MATCH(B103,'Équipements'!$A$5:$A$304,0)),""))</f>
        <v/>
      </c>
      <c r="E103" s="7" t="inlineStr">
        <is>
          <t>Inspection, nettoyage et resserrage des connexions</t>
        </is>
      </c>
      <c r="F103" s="7" t="inlineStr">
        <is>
          <t>Préventif systématique</t>
        </is>
      </c>
      <c r="G103" s="7" t="inlineStr">
        <is>
          <t>Électrique</t>
        </is>
      </c>
      <c r="H103" s="67" t="n">
        <v>365</v>
      </c>
      <c r="I103" s="76" t="n">
        <v>4</v>
      </c>
      <c r="J103" s="7" t="inlineStr">
        <is>
          <t>Thomas Petit</t>
        </is>
      </c>
      <c r="K103" s="7" t="n"/>
      <c r="L103" s="65" t="n">
        <v>45625</v>
      </c>
      <c r="M103" s="7" t="inlineStr">
        <is>
          <t>Oui</t>
        </is>
      </c>
      <c r="N103" s="7" t="inlineStr">
        <is>
          <t>Consignation ; dépoussiérage ; resserrage ; contrôle visuel</t>
        </is>
      </c>
      <c r="O103" s="78">
        <f>IF($A103="","",MAX(N(L103),INT(_xlfn.MAXIFS('Ordres de travail'!$R$5:$R$3004,'Ordres de travail'!$I$5:$I$3004,$A103,'Ordres de travail'!$AC$5:$AC$3004,"Clôturé"))))</f>
        <v/>
      </c>
      <c r="P103" s="78">
        <f>IF(OR($A103="",N(O103)=0),"",O103+H103)</f>
        <v/>
      </c>
      <c r="Q103" s="79">
        <f>IF(P103="","",P103-TODAY())</f>
        <v/>
      </c>
      <c r="R103" s="9">
        <f>IF($A103="","",IF(M103="Non","INACTIF",IF(Q103="","À DÉFINIR",IF(Q103&lt;0,"EN RETARD",IF(Q103&lt;='Paramètres'!$AA$12,"À PLANIFIER","OK")))))</f>
        <v/>
      </c>
      <c r="S103" s="9">
        <f>IF($A103="","",IF(SUM(COUNTIFS('Ordres de travail'!$I$5:$I$3004,$A103,'Ordres de travail'!$AC$5:$AC$3004,{"Demandé","Planifié","En cours","En attente pièces"}))&gt;0,"Oui","Non"))</f>
        <v/>
      </c>
      <c r="T103" s="68">
        <f>IF($A103="","",COUNTIFS('Ordres de travail'!$I$5:$I$3004,$A103,'Ordres de travail'!$AC$5:$AC$3004,"Clôturé",'Ordres de travail'!$R$5:$R$3004,"&gt;="&amp;'Paramètres'!$AA$6,'Ordres de travail'!$R$5:$R$3004,"&lt;"&amp;('Paramètres'!$AA$7+1)))</f>
        <v/>
      </c>
      <c r="U103" s="69">
        <f>IF(OR($A103="",N(H103)=0),"",IF(M103="Non",0,365/H103*I103))</f>
        <v/>
      </c>
    </row>
    <row r="104">
      <c r="A104" s="7" t="inlineStr">
        <is>
          <t>GP-100</t>
        </is>
      </c>
      <c r="B104" s="7" t="inlineStr">
        <is>
          <t>EQ-UTI-008</t>
        </is>
      </c>
      <c r="C104" s="9">
        <f>IF(B104="","",IFERROR(INDEX('Équipements'!$B$5:$B$304,MATCH(B104,'Équipements'!$A$5:$A$304,0)),"Code inconnu"))</f>
        <v/>
      </c>
      <c r="D104" s="9">
        <f>IF(B104="","",IFERROR(INDEX('Équipements'!$D$5:$D$304,MATCH(B104,'Équipements'!$A$5:$A$304,0)),""))</f>
        <v/>
      </c>
      <c r="E104" s="7" t="inlineStr">
        <is>
          <t>Essai de fonctionnement / contrôle visuel</t>
        </is>
      </c>
      <c r="F104" s="7" t="inlineStr">
        <is>
          <t>Préventif systématique</t>
        </is>
      </c>
      <c r="G104" s="7" t="inlineStr">
        <is>
          <t>Électrique</t>
        </is>
      </c>
      <c r="H104" s="67" t="n">
        <v>90</v>
      </c>
      <c r="I104" s="76" t="n">
        <v>1</v>
      </c>
      <c r="J104" s="7" t="inlineStr">
        <is>
          <t>Julien Moreau</t>
        </is>
      </c>
      <c r="K104" s="7" t="n"/>
      <c r="L104" s="65" t="n">
        <v>45625</v>
      </c>
      <c r="M104" s="7" t="inlineStr">
        <is>
          <t>Oui</t>
        </is>
      </c>
      <c r="N104" s="7" t="inlineStr">
        <is>
          <t>Essai ; relevé paramètres ; contrôle visuel</t>
        </is>
      </c>
      <c r="O104" s="78">
        <f>IF($A104="","",MAX(N(L104),INT(_xlfn.MAXIFS('Ordres de travail'!$R$5:$R$3004,'Ordres de travail'!$I$5:$I$3004,$A104,'Ordres de travail'!$AC$5:$AC$3004,"Clôturé"))))</f>
        <v/>
      </c>
      <c r="P104" s="78">
        <f>IF(OR($A104="",N(O104)=0),"",O104+H104)</f>
        <v/>
      </c>
      <c r="Q104" s="79">
        <f>IF(P104="","",P104-TODAY())</f>
        <v/>
      </c>
      <c r="R104" s="9">
        <f>IF($A104="","",IF(M104="Non","INACTIF",IF(Q104="","À DÉFINIR",IF(Q104&lt;0,"EN RETARD",IF(Q104&lt;='Paramètres'!$AA$12,"À PLANIFIER","OK")))))</f>
        <v/>
      </c>
      <c r="S104" s="9">
        <f>IF($A104="","",IF(SUM(COUNTIFS('Ordres de travail'!$I$5:$I$3004,$A104,'Ordres de travail'!$AC$5:$AC$3004,{"Demandé","Planifié","En cours","En attente pièces"}))&gt;0,"Oui","Non"))</f>
        <v/>
      </c>
      <c r="T104" s="68">
        <f>IF($A104="","",COUNTIFS('Ordres de travail'!$I$5:$I$3004,$A104,'Ordres de travail'!$AC$5:$AC$3004,"Clôturé",'Ordres de travail'!$R$5:$R$3004,"&gt;="&amp;'Paramètres'!$AA$6,'Ordres de travail'!$R$5:$R$3004,"&lt;"&amp;('Paramètres'!$AA$7+1)))</f>
        <v/>
      </c>
      <c r="U104" s="69">
        <f>IF(OR($A104="",N(H104)=0),"",IF(M104="Non",0,365/H104*I104))</f>
        <v/>
      </c>
    </row>
    <row r="105">
      <c r="A105" s="7" t="inlineStr">
        <is>
          <t>GP-101</t>
        </is>
      </c>
      <c r="B105" s="7" t="inlineStr">
        <is>
          <t>EQ-UTI-009</t>
        </is>
      </c>
      <c r="C105" s="9">
        <f>IF(B105="","",IFERROR(INDEX('Équipements'!$B$5:$B$304,MATCH(B105,'Équipements'!$A$5:$A$304,0)),"Code inconnu"))</f>
        <v/>
      </c>
      <c r="D105" s="9">
        <f>IF(B105="","",IFERROR(INDEX('Équipements'!$D$5:$D$304,MATCH(B105,'Équipements'!$A$5:$A$304,0)),""))</f>
        <v/>
      </c>
      <c r="E105" s="7" t="inlineStr">
        <is>
          <t>Étalonnage des sondes pH / redox</t>
        </is>
      </c>
      <c r="F105" s="7" t="inlineStr">
        <is>
          <t>Préventif systématique</t>
        </is>
      </c>
      <c r="G105" s="7" t="inlineStr">
        <is>
          <t>Électrique</t>
        </is>
      </c>
      <c r="H105" s="67" t="n">
        <v>30</v>
      </c>
      <c r="I105" s="76" t="n">
        <v>1</v>
      </c>
      <c r="J105" s="7" t="inlineStr">
        <is>
          <t>Thomas Petit</t>
        </is>
      </c>
      <c r="K105" s="7" t="n"/>
      <c r="L105" s="65" t="n">
        <v>45642</v>
      </c>
      <c r="M105" s="7" t="inlineStr">
        <is>
          <t>Oui</t>
        </is>
      </c>
      <c r="N105" s="7" t="inlineStr">
        <is>
          <t>Étalonnage 2 points ; nettoyage sondes</t>
        </is>
      </c>
      <c r="O105" s="78">
        <f>IF($A105="","",MAX(N(L105),INT(_xlfn.MAXIFS('Ordres de travail'!$R$5:$R$3004,'Ordres de travail'!$I$5:$I$3004,$A105,'Ordres de travail'!$AC$5:$AC$3004,"Clôturé"))))</f>
        <v/>
      </c>
      <c r="P105" s="78">
        <f>IF(OR($A105="",N(O105)=0),"",O105+H105)</f>
        <v/>
      </c>
      <c r="Q105" s="79">
        <f>IF(P105="","",P105-TODAY())</f>
        <v/>
      </c>
      <c r="R105" s="9">
        <f>IF($A105="","",IF(M105="Non","INACTIF",IF(Q105="","À DÉFINIR",IF(Q105&lt;0,"EN RETARD",IF(Q105&lt;='Paramètres'!$AA$12,"À PLANIFIER","OK")))))</f>
        <v/>
      </c>
      <c r="S105" s="9">
        <f>IF($A105="","",IF(SUM(COUNTIFS('Ordres de travail'!$I$5:$I$3004,$A105,'Ordres de travail'!$AC$5:$AC$3004,{"Demandé","Planifié","En cours","En attente pièces"}))&gt;0,"Oui","Non"))</f>
        <v/>
      </c>
      <c r="T105" s="68">
        <f>IF($A105="","",COUNTIFS('Ordres de travail'!$I$5:$I$3004,$A105,'Ordres de travail'!$AC$5:$AC$3004,"Clôturé",'Ordres de travail'!$R$5:$R$3004,"&gt;="&amp;'Paramètres'!$AA$6,'Ordres de travail'!$R$5:$R$3004,"&lt;"&amp;('Paramètres'!$AA$7+1)))</f>
        <v/>
      </c>
      <c r="U105" s="69">
        <f>IF(OR($A105="",N(H105)=0),"",IF(M105="Non",0,365/H105*I105))</f>
        <v/>
      </c>
    </row>
    <row r="106">
      <c r="A106" s="7" t="inlineStr">
        <is>
          <t>GP-102</t>
        </is>
      </c>
      <c r="B106" s="7" t="inlineStr">
        <is>
          <t>EQ-UTI-009</t>
        </is>
      </c>
      <c r="C106" s="9">
        <f>IF(B106="","",IFERROR(INDEX('Équipements'!$B$5:$B$304,MATCH(B106,'Équipements'!$A$5:$A$304,0)),"Code inconnu"))</f>
        <v/>
      </c>
      <c r="D106" s="9">
        <f>IF(B106="","",IFERROR(INDEX('Équipements'!$D$5:$D$304,MATCH(B106,'Équipements'!$A$5:$A$304,0)),""))</f>
        <v/>
      </c>
      <c r="E106" s="7" t="inlineStr">
        <is>
          <t>Nettoyage décanteur et filtre-presse</t>
        </is>
      </c>
      <c r="F106" s="7" t="inlineStr">
        <is>
          <t>Préventif systématique</t>
        </is>
      </c>
      <c r="G106" s="7" t="inlineStr">
        <is>
          <t>Mécanique</t>
        </is>
      </c>
      <c r="H106" s="67" t="n">
        <v>90</v>
      </c>
      <c r="I106" s="76" t="n">
        <v>3</v>
      </c>
      <c r="J106" s="7" t="inlineStr">
        <is>
          <t>Lucas Fontaine</t>
        </is>
      </c>
      <c r="K106" s="7" t="n"/>
      <c r="L106" s="65" t="n">
        <v>45622</v>
      </c>
      <c r="M106" s="7" t="inlineStr">
        <is>
          <t>Oui</t>
        </is>
      </c>
      <c r="N106" s="7" t="inlineStr">
        <is>
          <t>Vidange boues ; toiles ; pompes</t>
        </is>
      </c>
      <c r="O106" s="78">
        <f>IF($A106="","",MAX(N(L106),INT(_xlfn.MAXIFS('Ordres de travail'!$R$5:$R$3004,'Ordres de travail'!$I$5:$I$3004,$A106,'Ordres de travail'!$AC$5:$AC$3004,"Clôturé"))))</f>
        <v/>
      </c>
      <c r="P106" s="78">
        <f>IF(OR($A106="",N(O106)=0),"",O106+H106)</f>
        <v/>
      </c>
      <c r="Q106" s="79">
        <f>IF(P106="","",P106-TODAY())</f>
        <v/>
      </c>
      <c r="R106" s="9">
        <f>IF($A106="","",IF(M106="Non","INACTIF",IF(Q106="","À DÉFINIR",IF(Q106&lt;0,"EN RETARD",IF(Q106&lt;='Paramètres'!$AA$12,"À PLANIFIER","OK")))))</f>
        <v/>
      </c>
      <c r="S106" s="9">
        <f>IF($A106="","",IF(SUM(COUNTIFS('Ordres de travail'!$I$5:$I$3004,$A106,'Ordres de travail'!$AC$5:$AC$3004,{"Demandé","Planifié","En cours","En attente pièces"}))&gt;0,"Oui","Non"))</f>
        <v/>
      </c>
      <c r="T106" s="68">
        <f>IF($A106="","",COUNTIFS('Ordres de travail'!$I$5:$I$3004,$A106,'Ordres de travail'!$AC$5:$AC$3004,"Clôturé",'Ordres de travail'!$R$5:$R$3004,"&gt;="&amp;'Paramètres'!$AA$6,'Ordres de travail'!$R$5:$R$3004,"&lt;"&amp;('Paramètres'!$AA$7+1)))</f>
        <v/>
      </c>
      <c r="U106" s="69">
        <f>IF(OR($A106="",N(H106)=0),"",IF(M106="Non",0,365/H106*I106))</f>
        <v/>
      </c>
    </row>
    <row r="107">
      <c r="A107" s="7" t="inlineStr">
        <is>
          <t>GP-103</t>
        </is>
      </c>
      <c r="B107" s="7" t="inlineStr">
        <is>
          <t>EQ-UTI-010</t>
        </is>
      </c>
      <c r="C107" s="9">
        <f>IF(B107="","",IFERROR(INDEX('Équipements'!$B$5:$B$304,MATCH(B107,'Équipements'!$A$5:$A$304,0)),"Code inconnu"))</f>
        <v/>
      </c>
      <c r="D107" s="9">
        <f>IF(B107="","",IFERROR(INDEX('Équipements'!$D$5:$D$304,MATCH(B107,'Équipements'!$A$5:$A$304,0)),""))</f>
        <v/>
      </c>
      <c r="E107" s="7" t="inlineStr">
        <is>
          <t>Inspection, nettoyage et resserrage des connexions</t>
        </is>
      </c>
      <c r="F107" s="7" t="inlineStr">
        <is>
          <t>Préventif systématique</t>
        </is>
      </c>
      <c r="G107" s="7" t="inlineStr">
        <is>
          <t>Électrique</t>
        </is>
      </c>
      <c r="H107" s="67" t="n">
        <v>365</v>
      </c>
      <c r="I107" s="76" t="n">
        <v>4</v>
      </c>
      <c r="J107" s="7" t="inlineStr">
        <is>
          <t>Thomas Petit</t>
        </is>
      </c>
      <c r="K107" s="7" t="n"/>
      <c r="L107" s="65" t="n">
        <v>45643</v>
      </c>
      <c r="M107" s="7" t="inlineStr">
        <is>
          <t>Oui</t>
        </is>
      </c>
      <c r="N107" s="7" t="inlineStr">
        <is>
          <t>Consignation ; dépoussiérage ; resserrage ; contrôle visuel</t>
        </is>
      </c>
      <c r="O107" s="78">
        <f>IF($A107="","",MAX(N(L107),INT(_xlfn.MAXIFS('Ordres de travail'!$R$5:$R$3004,'Ordres de travail'!$I$5:$I$3004,$A107,'Ordres de travail'!$AC$5:$AC$3004,"Clôturé"))))</f>
        <v/>
      </c>
      <c r="P107" s="78">
        <f>IF(OR($A107="",N(O107)=0),"",O107+H107)</f>
        <v/>
      </c>
      <c r="Q107" s="79">
        <f>IF(P107="","",P107-TODAY())</f>
        <v/>
      </c>
      <c r="R107" s="9">
        <f>IF($A107="","",IF(M107="Non","INACTIF",IF(Q107="","À DÉFINIR",IF(Q107&lt;0,"EN RETARD",IF(Q107&lt;='Paramètres'!$AA$12,"À PLANIFIER","OK")))))</f>
        <v/>
      </c>
      <c r="S107" s="9">
        <f>IF($A107="","",IF(SUM(COUNTIFS('Ordres de travail'!$I$5:$I$3004,$A107,'Ordres de travail'!$AC$5:$AC$3004,{"Demandé","Planifié","En cours","En attente pièces"}))&gt;0,"Oui","Non"))</f>
        <v/>
      </c>
      <c r="T107" s="68">
        <f>IF($A107="","",COUNTIFS('Ordres de travail'!$I$5:$I$3004,$A107,'Ordres de travail'!$AC$5:$AC$3004,"Clôturé",'Ordres de travail'!$R$5:$R$3004,"&gt;="&amp;'Paramètres'!$AA$6,'Ordres de travail'!$R$5:$R$3004,"&lt;"&amp;('Paramètres'!$AA$7+1)))</f>
        <v/>
      </c>
      <c r="U107" s="69">
        <f>IF(OR($A107="",N(H107)=0),"",IF(M107="Non",0,365/H107*I107))</f>
        <v/>
      </c>
    </row>
    <row r="108">
      <c r="A108" s="7" t="inlineStr">
        <is>
          <t>GP-104</t>
        </is>
      </c>
      <c r="B108" s="7" t="inlineStr">
        <is>
          <t>EQ-UTI-010</t>
        </is>
      </c>
      <c r="C108" s="9">
        <f>IF(B108="","",IFERROR(INDEX('Équipements'!$B$5:$B$304,MATCH(B108,'Équipements'!$A$5:$A$304,0)),"Code inconnu"))</f>
        <v/>
      </c>
      <c r="D108" s="9">
        <f>IF(B108="","",IFERROR(INDEX('Équipements'!$D$5:$D$304,MATCH(B108,'Équipements'!$A$5:$A$304,0)),""))</f>
        <v/>
      </c>
      <c r="E108" s="7" t="inlineStr">
        <is>
          <t>Essai mensuel à charge du groupe électrogène</t>
        </is>
      </c>
      <c r="F108" s="7" t="inlineStr">
        <is>
          <t>Préventif systématique</t>
        </is>
      </c>
      <c r="G108" s="7" t="inlineStr">
        <is>
          <t>Électrique</t>
        </is>
      </c>
      <c r="H108" s="67" t="n">
        <v>30</v>
      </c>
      <c r="I108" s="76" t="n">
        <v>1</v>
      </c>
      <c r="J108" s="7" t="inlineStr">
        <is>
          <t>Julien Moreau</t>
        </is>
      </c>
      <c r="K108" s="7" t="n"/>
      <c r="L108" s="65" t="n">
        <v>45656</v>
      </c>
      <c r="M108" s="7" t="inlineStr">
        <is>
          <t>Oui</t>
        </is>
      </c>
      <c r="N108" s="7" t="inlineStr">
        <is>
          <t>Essai ; relevé paramètres ; contrôle visuel</t>
        </is>
      </c>
      <c r="O108" s="78">
        <f>IF($A108="","",MAX(N(L108),INT(_xlfn.MAXIFS('Ordres de travail'!$R$5:$R$3004,'Ordres de travail'!$I$5:$I$3004,$A108,'Ordres de travail'!$AC$5:$AC$3004,"Clôturé"))))</f>
        <v/>
      </c>
      <c r="P108" s="78">
        <f>IF(OR($A108="",N(O108)=0),"",O108+H108)</f>
        <v/>
      </c>
      <c r="Q108" s="79">
        <f>IF(P108="","",P108-TODAY())</f>
        <v/>
      </c>
      <c r="R108" s="9">
        <f>IF($A108="","",IF(M108="Non","INACTIF",IF(Q108="","À DÉFINIR",IF(Q108&lt;0,"EN RETARD",IF(Q108&lt;='Paramètres'!$AA$12,"À PLANIFIER","OK")))))</f>
        <v/>
      </c>
      <c r="S108" s="9">
        <f>IF($A108="","",IF(SUM(COUNTIFS('Ordres de travail'!$I$5:$I$3004,$A108,'Ordres de travail'!$AC$5:$AC$3004,{"Demandé","Planifié","En cours","En attente pièces"}))&gt;0,"Oui","Non"))</f>
        <v/>
      </c>
      <c r="T108" s="68">
        <f>IF($A108="","",COUNTIFS('Ordres de travail'!$I$5:$I$3004,$A108,'Ordres de travail'!$AC$5:$AC$3004,"Clôturé",'Ordres de travail'!$R$5:$R$3004,"&gt;="&amp;'Paramètres'!$AA$6,'Ordres de travail'!$R$5:$R$3004,"&lt;"&amp;('Paramètres'!$AA$7+1)))</f>
        <v/>
      </c>
      <c r="U108" s="69">
        <f>IF(OR($A108="",N(H108)=0),"",IF(M108="Non",0,365/H108*I108))</f>
        <v/>
      </c>
    </row>
    <row r="109">
      <c r="A109" s="7" t="inlineStr">
        <is>
          <t>GP-105</t>
        </is>
      </c>
      <c r="B109" s="7" t="inlineStr">
        <is>
          <t>EQ-LOG-001</t>
        </is>
      </c>
      <c r="C109" s="9">
        <f>IF(B109="","",IFERROR(INDEX('Équipements'!$B$5:$B$304,MATCH(B109,'Équipements'!$A$5:$A$304,0)),"Code inconnu"))</f>
        <v/>
      </c>
      <c r="D109" s="9">
        <f>IF(B109="","",IFERROR(INDEX('Équipements'!$D$5:$D$304,MATCH(B109,'Équipements'!$A$5:$A$304,0)),""))</f>
        <v/>
      </c>
      <c r="E109" s="7" t="inlineStr">
        <is>
          <t>Entretien périodique constructeur</t>
        </is>
      </c>
      <c r="F109" s="7" t="inlineStr">
        <is>
          <t>Préventif systématique</t>
        </is>
      </c>
      <c r="G109" s="7" t="inlineStr">
        <is>
          <t>Multi-technique</t>
        </is>
      </c>
      <c r="H109" s="67" t="n">
        <v>180</v>
      </c>
      <c r="I109" s="76" t="n">
        <v>2.5</v>
      </c>
      <c r="J109" s="7" t="inlineStr">
        <is>
          <t>Antoine Mercier</t>
        </is>
      </c>
      <c r="K109" s="7" t="inlineStr">
        <is>
          <t>Manutention Services 44</t>
        </is>
      </c>
      <c r="L109" s="65" t="n">
        <v>45654</v>
      </c>
      <c r="M109" s="7" t="inlineStr">
        <is>
          <t>Oui</t>
        </is>
      </c>
      <c r="N109" s="7" t="inlineStr">
        <is>
          <t>Entretien selon contrat ; vidange ; freins ; mât ; chaînes</t>
        </is>
      </c>
      <c r="O109" s="78">
        <f>IF($A109="","",MAX(N(L109),INT(_xlfn.MAXIFS('Ordres de travail'!$R$5:$R$3004,'Ordres de travail'!$I$5:$I$3004,$A109,'Ordres de travail'!$AC$5:$AC$3004,"Clôturé"))))</f>
        <v/>
      </c>
      <c r="P109" s="78">
        <f>IF(OR($A109="",N(O109)=0),"",O109+H109)</f>
        <v/>
      </c>
      <c r="Q109" s="79">
        <f>IF(P109="","",P109-TODAY())</f>
        <v/>
      </c>
      <c r="R109" s="9">
        <f>IF($A109="","",IF(M109="Non","INACTIF",IF(Q109="","À DÉFINIR",IF(Q109&lt;0,"EN RETARD",IF(Q109&lt;='Paramètres'!$AA$12,"À PLANIFIER","OK")))))</f>
        <v/>
      </c>
      <c r="S109" s="9">
        <f>IF($A109="","",IF(SUM(COUNTIFS('Ordres de travail'!$I$5:$I$3004,$A109,'Ordres de travail'!$AC$5:$AC$3004,{"Demandé","Planifié","En cours","En attente pièces"}))&gt;0,"Oui","Non"))</f>
        <v/>
      </c>
      <c r="T109" s="68">
        <f>IF($A109="","",COUNTIFS('Ordres de travail'!$I$5:$I$3004,$A109,'Ordres de travail'!$AC$5:$AC$3004,"Clôturé",'Ordres de travail'!$R$5:$R$3004,"&gt;="&amp;'Paramètres'!$AA$6,'Ordres de travail'!$R$5:$R$3004,"&lt;"&amp;('Paramètres'!$AA$7+1)))</f>
        <v/>
      </c>
      <c r="U109" s="69">
        <f>IF(OR($A109="",N(H109)=0),"",IF(M109="Non",0,365/H109*I109))</f>
        <v/>
      </c>
    </row>
    <row r="110">
      <c r="A110" s="7" t="inlineStr">
        <is>
          <t>GP-106</t>
        </is>
      </c>
      <c r="B110" s="7" t="inlineStr">
        <is>
          <t>EQ-LOG-001</t>
        </is>
      </c>
      <c r="C110" s="9">
        <f>IF(B110="","",IFERROR(INDEX('Équipements'!$B$5:$B$304,MATCH(B110,'Équipements'!$A$5:$A$304,0)),"Code inconnu"))</f>
        <v/>
      </c>
      <c r="D110" s="9">
        <f>IF(B110="","",IFERROR(INDEX('Équipements'!$D$5:$D$304,MATCH(B110,'Équipements'!$A$5:$A$304,0)),""))</f>
        <v/>
      </c>
      <c r="E110" s="7" t="inlineStr">
        <is>
          <t>Contrôle batterie, niveaux et bandages</t>
        </is>
      </c>
      <c r="F110" s="7" t="inlineStr">
        <is>
          <t>Préventif systématique</t>
        </is>
      </c>
      <c r="G110" s="7" t="inlineStr">
        <is>
          <t>Mécanique</t>
        </is>
      </c>
      <c r="H110" s="67" t="n">
        <v>90</v>
      </c>
      <c r="I110" s="76" t="n">
        <v>0.5</v>
      </c>
      <c r="J110" s="7" t="inlineStr">
        <is>
          <t>Lucas Fontaine</t>
        </is>
      </c>
      <c r="K110" s="7" t="n"/>
      <c r="L110" s="65" t="n">
        <v>45609</v>
      </c>
      <c r="M110" s="7" t="inlineStr">
        <is>
          <t>Oui</t>
        </is>
      </c>
      <c r="N110" s="7" t="inlineStr">
        <is>
          <t>Densité batterie ; niveau eau ; usure bandages</t>
        </is>
      </c>
      <c r="O110" s="78">
        <f>IF($A110="","",MAX(N(L110),INT(_xlfn.MAXIFS('Ordres de travail'!$R$5:$R$3004,'Ordres de travail'!$I$5:$I$3004,$A110,'Ordres de travail'!$AC$5:$AC$3004,"Clôturé"))))</f>
        <v/>
      </c>
      <c r="P110" s="78">
        <f>IF(OR($A110="",N(O110)=0),"",O110+H110)</f>
        <v/>
      </c>
      <c r="Q110" s="79">
        <f>IF(P110="","",P110-TODAY())</f>
        <v/>
      </c>
      <c r="R110" s="9">
        <f>IF($A110="","",IF(M110="Non","INACTIF",IF(Q110="","À DÉFINIR",IF(Q110&lt;0,"EN RETARD",IF(Q110&lt;='Paramètres'!$AA$12,"À PLANIFIER","OK")))))</f>
        <v/>
      </c>
      <c r="S110" s="9">
        <f>IF($A110="","",IF(SUM(COUNTIFS('Ordres de travail'!$I$5:$I$3004,$A110,'Ordres de travail'!$AC$5:$AC$3004,{"Demandé","Planifié","En cours","En attente pièces"}))&gt;0,"Oui","Non"))</f>
        <v/>
      </c>
      <c r="T110" s="68">
        <f>IF($A110="","",COUNTIFS('Ordres de travail'!$I$5:$I$3004,$A110,'Ordres de travail'!$AC$5:$AC$3004,"Clôturé",'Ordres de travail'!$R$5:$R$3004,"&gt;="&amp;'Paramètres'!$AA$6,'Ordres de travail'!$R$5:$R$3004,"&lt;"&amp;('Paramètres'!$AA$7+1)))</f>
        <v/>
      </c>
      <c r="U110" s="69">
        <f>IF(OR($A110="",N(H110)=0),"",IF(M110="Non",0,365/H110*I110))</f>
        <v/>
      </c>
    </row>
    <row r="111">
      <c r="A111" s="7" t="inlineStr">
        <is>
          <t>GP-107</t>
        </is>
      </c>
      <c r="B111" s="7" t="inlineStr">
        <is>
          <t>EQ-LOG-002</t>
        </is>
      </c>
      <c r="C111" s="9">
        <f>IF(B111="","",IFERROR(INDEX('Équipements'!$B$5:$B$304,MATCH(B111,'Équipements'!$A$5:$A$304,0)),"Code inconnu"))</f>
        <v/>
      </c>
      <c r="D111" s="9">
        <f>IF(B111="","",IFERROR(INDEX('Équipements'!$D$5:$D$304,MATCH(B111,'Équipements'!$A$5:$A$304,0)),""))</f>
        <v/>
      </c>
      <c r="E111" s="7" t="inlineStr">
        <is>
          <t>Entretien périodique constructeur</t>
        </is>
      </c>
      <c r="F111" s="7" t="inlineStr">
        <is>
          <t>Préventif systématique</t>
        </is>
      </c>
      <c r="G111" s="7" t="inlineStr">
        <is>
          <t>Multi-technique</t>
        </is>
      </c>
      <c r="H111" s="67" t="n">
        <v>180</v>
      </c>
      <c r="I111" s="76" t="n">
        <v>2.5</v>
      </c>
      <c r="J111" s="7" t="inlineStr">
        <is>
          <t>Antoine Mercier</t>
        </is>
      </c>
      <c r="K111" s="7" t="inlineStr">
        <is>
          <t>Manutention Services 44</t>
        </is>
      </c>
      <c r="L111" s="65" t="n">
        <v>45483</v>
      </c>
      <c r="M111" s="7" t="inlineStr">
        <is>
          <t>Oui</t>
        </is>
      </c>
      <c r="N111" s="7" t="inlineStr">
        <is>
          <t>Entretien selon contrat ; vidange ; freins ; mât ; chaînes</t>
        </is>
      </c>
      <c r="O111" s="78">
        <f>IF($A111="","",MAX(N(L111),INT(_xlfn.MAXIFS('Ordres de travail'!$R$5:$R$3004,'Ordres de travail'!$I$5:$I$3004,$A111,'Ordres de travail'!$AC$5:$AC$3004,"Clôturé"))))</f>
        <v/>
      </c>
      <c r="P111" s="78">
        <f>IF(OR($A111="",N(O111)=0),"",O111+H111)</f>
        <v/>
      </c>
      <c r="Q111" s="79">
        <f>IF(P111="","",P111-TODAY())</f>
        <v/>
      </c>
      <c r="R111" s="9">
        <f>IF($A111="","",IF(M111="Non","INACTIF",IF(Q111="","À DÉFINIR",IF(Q111&lt;0,"EN RETARD",IF(Q111&lt;='Paramètres'!$AA$12,"À PLANIFIER","OK")))))</f>
        <v/>
      </c>
      <c r="S111" s="9">
        <f>IF($A111="","",IF(SUM(COUNTIFS('Ordres de travail'!$I$5:$I$3004,$A111,'Ordres de travail'!$AC$5:$AC$3004,{"Demandé","Planifié","En cours","En attente pièces"}))&gt;0,"Oui","Non"))</f>
        <v/>
      </c>
      <c r="T111" s="68">
        <f>IF($A111="","",COUNTIFS('Ordres de travail'!$I$5:$I$3004,$A111,'Ordres de travail'!$AC$5:$AC$3004,"Clôturé",'Ordres de travail'!$R$5:$R$3004,"&gt;="&amp;'Paramètres'!$AA$6,'Ordres de travail'!$R$5:$R$3004,"&lt;"&amp;('Paramètres'!$AA$7+1)))</f>
        <v/>
      </c>
      <c r="U111" s="69">
        <f>IF(OR($A111="",N(H111)=0),"",IF(M111="Non",0,365/H111*I111))</f>
        <v/>
      </c>
    </row>
    <row r="112">
      <c r="A112" s="7" t="inlineStr">
        <is>
          <t>GP-108</t>
        </is>
      </c>
      <c r="B112" s="7" t="inlineStr">
        <is>
          <t>EQ-LOG-002</t>
        </is>
      </c>
      <c r="C112" s="9">
        <f>IF(B112="","",IFERROR(INDEX('Équipements'!$B$5:$B$304,MATCH(B112,'Équipements'!$A$5:$A$304,0)),"Code inconnu"))</f>
        <v/>
      </c>
      <c r="D112" s="9">
        <f>IF(B112="","",IFERROR(INDEX('Équipements'!$D$5:$D$304,MATCH(B112,'Équipements'!$A$5:$A$304,0)),""))</f>
        <v/>
      </c>
      <c r="E112" s="7" t="inlineStr">
        <is>
          <t>Contrôle batterie, niveaux et bandages</t>
        </is>
      </c>
      <c r="F112" s="7" t="inlineStr">
        <is>
          <t>Préventif systématique</t>
        </is>
      </c>
      <c r="G112" s="7" t="inlineStr">
        <is>
          <t>Mécanique</t>
        </is>
      </c>
      <c r="H112" s="67" t="n">
        <v>90</v>
      </c>
      <c r="I112" s="76" t="n">
        <v>0.5</v>
      </c>
      <c r="J112" s="7" t="inlineStr">
        <is>
          <t>Antoine Mercier</t>
        </is>
      </c>
      <c r="K112" s="7" t="n"/>
      <c r="L112" s="65" t="n">
        <v>45595</v>
      </c>
      <c r="M112" s="7" t="inlineStr">
        <is>
          <t>Oui</t>
        </is>
      </c>
      <c r="N112" s="7" t="inlineStr">
        <is>
          <t>Densité batterie ; niveau eau ; usure bandages</t>
        </is>
      </c>
      <c r="O112" s="78">
        <f>IF($A112="","",MAX(N(L112),INT(_xlfn.MAXIFS('Ordres de travail'!$R$5:$R$3004,'Ordres de travail'!$I$5:$I$3004,$A112,'Ordres de travail'!$AC$5:$AC$3004,"Clôturé"))))</f>
        <v/>
      </c>
      <c r="P112" s="78">
        <f>IF(OR($A112="",N(O112)=0),"",O112+H112)</f>
        <v/>
      </c>
      <c r="Q112" s="79">
        <f>IF(P112="","",P112-TODAY())</f>
        <v/>
      </c>
      <c r="R112" s="9">
        <f>IF($A112="","",IF(M112="Non","INACTIF",IF(Q112="","À DÉFINIR",IF(Q112&lt;0,"EN RETARD",IF(Q112&lt;='Paramètres'!$AA$12,"À PLANIFIER","OK")))))</f>
        <v/>
      </c>
      <c r="S112" s="9">
        <f>IF($A112="","",IF(SUM(COUNTIFS('Ordres de travail'!$I$5:$I$3004,$A112,'Ordres de travail'!$AC$5:$AC$3004,{"Demandé","Planifié","En cours","En attente pièces"}))&gt;0,"Oui","Non"))</f>
        <v/>
      </c>
      <c r="T112" s="68">
        <f>IF($A112="","",COUNTIFS('Ordres de travail'!$I$5:$I$3004,$A112,'Ordres de travail'!$AC$5:$AC$3004,"Clôturé",'Ordres de travail'!$R$5:$R$3004,"&gt;="&amp;'Paramètres'!$AA$6,'Ordres de travail'!$R$5:$R$3004,"&lt;"&amp;('Paramètres'!$AA$7+1)))</f>
        <v/>
      </c>
      <c r="U112" s="69">
        <f>IF(OR($A112="",N(H112)=0),"",IF(M112="Non",0,365/H112*I112))</f>
        <v/>
      </c>
    </row>
    <row r="113">
      <c r="A113" s="7" t="inlineStr">
        <is>
          <t>GP-109</t>
        </is>
      </c>
      <c r="B113" s="7" t="inlineStr">
        <is>
          <t>EQ-LOG-003</t>
        </is>
      </c>
      <c r="C113" s="9">
        <f>IF(B113="","",IFERROR(INDEX('Équipements'!$B$5:$B$304,MATCH(B113,'Équipements'!$A$5:$A$304,0)),"Code inconnu"))</f>
        <v/>
      </c>
      <c r="D113" s="9">
        <f>IF(B113="","",IFERROR(INDEX('Équipements'!$D$5:$D$304,MATCH(B113,'Équipements'!$A$5:$A$304,0)),""))</f>
        <v/>
      </c>
      <c r="E113" s="7" t="inlineStr">
        <is>
          <t>Entretien périodique constructeur</t>
        </is>
      </c>
      <c r="F113" s="7" t="inlineStr">
        <is>
          <t>Préventif systématique</t>
        </is>
      </c>
      <c r="G113" s="7" t="inlineStr">
        <is>
          <t>Multi-technique</t>
        </is>
      </c>
      <c r="H113" s="67" t="n">
        <v>180</v>
      </c>
      <c r="I113" s="76" t="n">
        <v>2.5</v>
      </c>
      <c r="J113" s="7" t="inlineStr">
        <is>
          <t>Antoine Mercier</t>
        </is>
      </c>
      <c r="K113" s="7" t="inlineStr">
        <is>
          <t>Manutention Services 44</t>
        </is>
      </c>
      <c r="L113" s="65" t="n">
        <v>45509</v>
      </c>
      <c r="M113" s="7" t="inlineStr">
        <is>
          <t>Oui</t>
        </is>
      </c>
      <c r="N113" s="7" t="inlineStr">
        <is>
          <t>Entretien selon contrat ; vidange ; freins ; mât ; chaînes</t>
        </is>
      </c>
      <c r="O113" s="78">
        <f>IF($A113="","",MAX(N(L113),INT(_xlfn.MAXIFS('Ordres de travail'!$R$5:$R$3004,'Ordres de travail'!$I$5:$I$3004,$A113,'Ordres de travail'!$AC$5:$AC$3004,"Clôturé"))))</f>
        <v/>
      </c>
      <c r="P113" s="78">
        <f>IF(OR($A113="",N(O113)=0),"",O113+H113)</f>
        <v/>
      </c>
      <c r="Q113" s="79">
        <f>IF(P113="","",P113-TODAY())</f>
        <v/>
      </c>
      <c r="R113" s="9">
        <f>IF($A113="","",IF(M113="Non","INACTIF",IF(Q113="","À DÉFINIR",IF(Q113&lt;0,"EN RETARD",IF(Q113&lt;='Paramètres'!$AA$12,"À PLANIFIER","OK")))))</f>
        <v/>
      </c>
      <c r="S113" s="9">
        <f>IF($A113="","",IF(SUM(COUNTIFS('Ordres de travail'!$I$5:$I$3004,$A113,'Ordres de travail'!$AC$5:$AC$3004,{"Demandé","Planifié","En cours","En attente pièces"}))&gt;0,"Oui","Non"))</f>
        <v/>
      </c>
      <c r="T113" s="68">
        <f>IF($A113="","",COUNTIFS('Ordres de travail'!$I$5:$I$3004,$A113,'Ordres de travail'!$AC$5:$AC$3004,"Clôturé",'Ordres de travail'!$R$5:$R$3004,"&gt;="&amp;'Paramètres'!$AA$6,'Ordres de travail'!$R$5:$R$3004,"&lt;"&amp;('Paramètres'!$AA$7+1)))</f>
        <v/>
      </c>
      <c r="U113" s="69">
        <f>IF(OR($A113="",N(H113)=0),"",IF(M113="Non",0,365/H113*I113))</f>
        <v/>
      </c>
    </row>
    <row r="114">
      <c r="A114" s="7" t="inlineStr">
        <is>
          <t>GP-110</t>
        </is>
      </c>
      <c r="B114" s="7" t="inlineStr">
        <is>
          <t>EQ-LOG-003</t>
        </is>
      </c>
      <c r="C114" s="9">
        <f>IF(B114="","",IFERROR(INDEX('Équipements'!$B$5:$B$304,MATCH(B114,'Équipements'!$A$5:$A$304,0)),"Code inconnu"))</f>
        <v/>
      </c>
      <c r="D114" s="9">
        <f>IF(B114="","",IFERROR(INDEX('Équipements'!$D$5:$D$304,MATCH(B114,'Équipements'!$A$5:$A$304,0)),""))</f>
        <v/>
      </c>
      <c r="E114" s="7" t="inlineStr">
        <is>
          <t>Contrôle batterie, niveaux et bandages</t>
        </is>
      </c>
      <c r="F114" s="7" t="inlineStr">
        <is>
          <t>Préventif systématique</t>
        </is>
      </c>
      <c r="G114" s="7" t="inlineStr">
        <is>
          <t>Mécanique</t>
        </is>
      </c>
      <c r="H114" s="67" t="n">
        <v>90</v>
      </c>
      <c r="I114" s="76" t="n">
        <v>0.5</v>
      </c>
      <c r="J114" s="7" t="inlineStr">
        <is>
          <t>Lucas Fontaine</t>
        </is>
      </c>
      <c r="K114" s="7" t="n"/>
      <c r="L114" s="65" t="n">
        <v>45600</v>
      </c>
      <c r="M114" s="7" t="inlineStr">
        <is>
          <t>Oui</t>
        </is>
      </c>
      <c r="N114" s="7" t="inlineStr">
        <is>
          <t>Densité batterie ; niveau eau ; usure bandages</t>
        </is>
      </c>
      <c r="O114" s="78">
        <f>IF($A114="","",MAX(N(L114),INT(_xlfn.MAXIFS('Ordres de travail'!$R$5:$R$3004,'Ordres de travail'!$I$5:$I$3004,$A114,'Ordres de travail'!$AC$5:$AC$3004,"Clôturé"))))</f>
        <v/>
      </c>
      <c r="P114" s="78">
        <f>IF(OR($A114="",N(O114)=0),"",O114+H114)</f>
        <v/>
      </c>
      <c r="Q114" s="79">
        <f>IF(P114="","",P114-TODAY())</f>
        <v/>
      </c>
      <c r="R114" s="9">
        <f>IF($A114="","",IF(M114="Non","INACTIF",IF(Q114="","À DÉFINIR",IF(Q114&lt;0,"EN RETARD",IF(Q114&lt;='Paramètres'!$AA$12,"À PLANIFIER","OK")))))</f>
        <v/>
      </c>
      <c r="S114" s="9">
        <f>IF($A114="","",IF(SUM(COUNTIFS('Ordres de travail'!$I$5:$I$3004,$A114,'Ordres de travail'!$AC$5:$AC$3004,{"Demandé","Planifié","En cours","En attente pièces"}))&gt;0,"Oui","Non"))</f>
        <v/>
      </c>
      <c r="T114" s="68">
        <f>IF($A114="","",COUNTIFS('Ordres de travail'!$I$5:$I$3004,$A114,'Ordres de travail'!$AC$5:$AC$3004,"Clôturé",'Ordres de travail'!$R$5:$R$3004,"&gt;="&amp;'Paramètres'!$AA$6,'Ordres de travail'!$R$5:$R$3004,"&lt;"&amp;('Paramètres'!$AA$7+1)))</f>
        <v/>
      </c>
      <c r="U114" s="69">
        <f>IF(OR($A114="",N(H114)=0),"",IF(M114="Non",0,365/H114*I114))</f>
        <v/>
      </c>
    </row>
    <row r="115">
      <c r="A115" s="7" t="inlineStr">
        <is>
          <t>GP-111</t>
        </is>
      </c>
      <c r="B115" s="7" t="inlineStr">
        <is>
          <t>EQ-LOG-004</t>
        </is>
      </c>
      <c r="C115" s="9">
        <f>IF(B115="","",IFERROR(INDEX('Équipements'!$B$5:$B$304,MATCH(B115,'Équipements'!$A$5:$A$304,0)),"Code inconnu"))</f>
        <v/>
      </c>
      <c r="D115" s="9">
        <f>IF(B115="","",IFERROR(INDEX('Équipements'!$D$5:$D$304,MATCH(B115,'Équipements'!$A$5:$A$304,0)),""))</f>
        <v/>
      </c>
      <c r="E115" s="7" t="inlineStr">
        <is>
          <t>Entretien périodique constructeur</t>
        </is>
      </c>
      <c r="F115" s="7" t="inlineStr">
        <is>
          <t>Préventif systématique</t>
        </is>
      </c>
      <c r="G115" s="7" t="inlineStr">
        <is>
          <t>Multi-technique</t>
        </is>
      </c>
      <c r="H115" s="67" t="n">
        <v>180</v>
      </c>
      <c r="I115" s="76" t="n">
        <v>2.5</v>
      </c>
      <c r="J115" s="7" t="inlineStr">
        <is>
          <t>Antoine Mercier</t>
        </is>
      </c>
      <c r="K115" s="7" t="inlineStr">
        <is>
          <t>Manutention Services 44</t>
        </is>
      </c>
      <c r="L115" s="65" t="n">
        <v>45629</v>
      </c>
      <c r="M115" s="7" t="inlineStr">
        <is>
          <t>Oui</t>
        </is>
      </c>
      <c r="N115" s="7" t="inlineStr">
        <is>
          <t>Entretien selon contrat ; vidange ; freins ; mât ; chaînes</t>
        </is>
      </c>
      <c r="O115" s="78">
        <f>IF($A115="","",MAX(N(L115),INT(_xlfn.MAXIFS('Ordres de travail'!$R$5:$R$3004,'Ordres de travail'!$I$5:$I$3004,$A115,'Ordres de travail'!$AC$5:$AC$3004,"Clôturé"))))</f>
        <v/>
      </c>
      <c r="P115" s="78">
        <f>IF(OR($A115="",N(O115)=0),"",O115+H115)</f>
        <v/>
      </c>
      <c r="Q115" s="79">
        <f>IF(P115="","",P115-TODAY())</f>
        <v/>
      </c>
      <c r="R115" s="9">
        <f>IF($A115="","",IF(M115="Non","INACTIF",IF(Q115="","À DÉFINIR",IF(Q115&lt;0,"EN RETARD",IF(Q115&lt;='Paramètres'!$AA$12,"À PLANIFIER","OK")))))</f>
        <v/>
      </c>
      <c r="S115" s="9">
        <f>IF($A115="","",IF(SUM(COUNTIFS('Ordres de travail'!$I$5:$I$3004,$A115,'Ordres de travail'!$AC$5:$AC$3004,{"Demandé","Planifié","En cours","En attente pièces"}))&gt;0,"Oui","Non"))</f>
        <v/>
      </c>
      <c r="T115" s="68">
        <f>IF($A115="","",COUNTIFS('Ordres de travail'!$I$5:$I$3004,$A115,'Ordres de travail'!$AC$5:$AC$3004,"Clôturé",'Ordres de travail'!$R$5:$R$3004,"&gt;="&amp;'Paramètres'!$AA$6,'Ordres de travail'!$R$5:$R$3004,"&lt;"&amp;('Paramètres'!$AA$7+1)))</f>
        <v/>
      </c>
      <c r="U115" s="69">
        <f>IF(OR($A115="",N(H115)=0),"",IF(M115="Non",0,365/H115*I115))</f>
        <v/>
      </c>
    </row>
    <row r="116">
      <c r="A116" s="7" t="inlineStr">
        <is>
          <t>GP-112</t>
        </is>
      </c>
      <c r="B116" s="7" t="inlineStr">
        <is>
          <t>EQ-LOG-004</t>
        </is>
      </c>
      <c r="C116" s="9">
        <f>IF(B116="","",IFERROR(INDEX('Équipements'!$B$5:$B$304,MATCH(B116,'Équipements'!$A$5:$A$304,0)),"Code inconnu"))</f>
        <v/>
      </c>
      <c r="D116" s="9">
        <f>IF(B116="","",IFERROR(INDEX('Équipements'!$D$5:$D$304,MATCH(B116,'Équipements'!$A$5:$A$304,0)),""))</f>
        <v/>
      </c>
      <c r="E116" s="7" t="inlineStr">
        <is>
          <t>Contrôle batterie, niveaux et bandages</t>
        </is>
      </c>
      <c r="F116" s="7" t="inlineStr">
        <is>
          <t>Préventif systématique</t>
        </is>
      </c>
      <c r="G116" s="7" t="inlineStr">
        <is>
          <t>Mécanique</t>
        </is>
      </c>
      <c r="H116" s="67" t="n">
        <v>90</v>
      </c>
      <c r="I116" s="76" t="n">
        <v>0.5</v>
      </c>
      <c r="J116" s="7" t="inlineStr">
        <is>
          <t>Karim Benali</t>
        </is>
      </c>
      <c r="K116" s="7" t="n"/>
      <c r="L116" s="65" t="n">
        <v>45573</v>
      </c>
      <c r="M116" s="7" t="inlineStr">
        <is>
          <t>Oui</t>
        </is>
      </c>
      <c r="N116" s="7" t="inlineStr">
        <is>
          <t>Densité batterie ; niveau eau ; usure bandages</t>
        </is>
      </c>
      <c r="O116" s="78">
        <f>IF($A116="","",MAX(N(L116),INT(_xlfn.MAXIFS('Ordres de travail'!$R$5:$R$3004,'Ordres de travail'!$I$5:$I$3004,$A116,'Ordres de travail'!$AC$5:$AC$3004,"Clôturé"))))</f>
        <v/>
      </c>
      <c r="P116" s="78">
        <f>IF(OR($A116="",N(O116)=0),"",O116+H116)</f>
        <v/>
      </c>
      <c r="Q116" s="79">
        <f>IF(P116="","",P116-TODAY())</f>
        <v/>
      </c>
      <c r="R116" s="9">
        <f>IF($A116="","",IF(M116="Non","INACTIF",IF(Q116="","À DÉFINIR",IF(Q116&lt;0,"EN RETARD",IF(Q116&lt;='Paramètres'!$AA$12,"À PLANIFIER","OK")))))</f>
        <v/>
      </c>
      <c r="S116" s="9">
        <f>IF($A116="","",IF(SUM(COUNTIFS('Ordres de travail'!$I$5:$I$3004,$A116,'Ordres de travail'!$AC$5:$AC$3004,{"Demandé","Planifié","En cours","En attente pièces"}))&gt;0,"Oui","Non"))</f>
        <v/>
      </c>
      <c r="T116" s="68">
        <f>IF($A116="","",COUNTIFS('Ordres de travail'!$I$5:$I$3004,$A116,'Ordres de travail'!$AC$5:$AC$3004,"Clôturé",'Ordres de travail'!$R$5:$R$3004,"&gt;="&amp;'Paramètres'!$AA$6,'Ordres de travail'!$R$5:$R$3004,"&lt;"&amp;('Paramètres'!$AA$7+1)))</f>
        <v/>
      </c>
      <c r="U116" s="69">
        <f>IF(OR($A116="",N(H116)=0),"",IF(M116="Non",0,365/H116*I116))</f>
        <v/>
      </c>
    </row>
    <row r="117">
      <c r="A117" s="7" t="inlineStr">
        <is>
          <t>GP-113</t>
        </is>
      </c>
      <c r="B117" s="7" t="inlineStr">
        <is>
          <t>EQ-LOG-005</t>
        </is>
      </c>
      <c r="C117" s="9">
        <f>IF(B117="","",IFERROR(INDEX('Équipements'!$B$5:$B$304,MATCH(B117,'Équipements'!$A$5:$A$304,0)),"Code inconnu"))</f>
        <v/>
      </c>
      <c r="D117" s="9">
        <f>IF(B117="","",IFERROR(INDEX('Équipements'!$D$5:$D$304,MATCH(B117,'Équipements'!$A$5:$A$304,0)),""))</f>
        <v/>
      </c>
      <c r="E117" s="7" t="inlineStr">
        <is>
          <t>Entretien périodique constructeur</t>
        </is>
      </c>
      <c r="F117" s="7" t="inlineStr">
        <is>
          <t>Préventif systématique</t>
        </is>
      </c>
      <c r="G117" s="7" t="inlineStr">
        <is>
          <t>Multi-technique</t>
        </is>
      </c>
      <c r="H117" s="67" t="n">
        <v>180</v>
      </c>
      <c r="I117" s="76" t="n">
        <v>2.5</v>
      </c>
      <c r="J117" s="7" t="inlineStr">
        <is>
          <t>Antoine Mercier</t>
        </is>
      </c>
      <c r="K117" s="7" t="inlineStr">
        <is>
          <t>Manutention Services 44</t>
        </is>
      </c>
      <c r="L117" s="65" t="n">
        <v>45574</v>
      </c>
      <c r="M117" s="7" t="inlineStr">
        <is>
          <t>Oui</t>
        </is>
      </c>
      <c r="N117" s="7" t="inlineStr">
        <is>
          <t>Entretien selon contrat ; vidange ; freins ; mât ; chaînes</t>
        </is>
      </c>
      <c r="O117" s="78">
        <f>IF($A117="","",MAX(N(L117),INT(_xlfn.MAXIFS('Ordres de travail'!$R$5:$R$3004,'Ordres de travail'!$I$5:$I$3004,$A117,'Ordres de travail'!$AC$5:$AC$3004,"Clôturé"))))</f>
        <v/>
      </c>
      <c r="P117" s="78">
        <f>IF(OR($A117="",N(O117)=0),"",O117+H117)</f>
        <v/>
      </c>
      <c r="Q117" s="79">
        <f>IF(P117="","",P117-TODAY())</f>
        <v/>
      </c>
      <c r="R117" s="9">
        <f>IF($A117="","",IF(M117="Non","INACTIF",IF(Q117="","À DÉFINIR",IF(Q117&lt;0,"EN RETARD",IF(Q117&lt;='Paramètres'!$AA$12,"À PLANIFIER","OK")))))</f>
        <v/>
      </c>
      <c r="S117" s="9">
        <f>IF($A117="","",IF(SUM(COUNTIFS('Ordres de travail'!$I$5:$I$3004,$A117,'Ordres de travail'!$AC$5:$AC$3004,{"Demandé","Planifié","En cours","En attente pièces"}))&gt;0,"Oui","Non"))</f>
        <v/>
      </c>
      <c r="T117" s="68">
        <f>IF($A117="","",COUNTIFS('Ordres de travail'!$I$5:$I$3004,$A117,'Ordres de travail'!$AC$5:$AC$3004,"Clôturé",'Ordres de travail'!$R$5:$R$3004,"&gt;="&amp;'Paramètres'!$AA$6,'Ordres de travail'!$R$5:$R$3004,"&lt;"&amp;('Paramètres'!$AA$7+1)))</f>
        <v/>
      </c>
      <c r="U117" s="69">
        <f>IF(OR($A117="",N(H117)=0),"",IF(M117="Non",0,365/H117*I117))</f>
        <v/>
      </c>
    </row>
    <row r="118">
      <c r="A118" s="7" t="inlineStr">
        <is>
          <t>GP-114</t>
        </is>
      </c>
      <c r="B118" s="7" t="inlineStr">
        <is>
          <t>EQ-LOG-005</t>
        </is>
      </c>
      <c r="C118" s="9">
        <f>IF(B118="","",IFERROR(INDEX('Équipements'!$B$5:$B$304,MATCH(B118,'Équipements'!$A$5:$A$304,0)),"Code inconnu"))</f>
        <v/>
      </c>
      <c r="D118" s="9">
        <f>IF(B118="","",IFERROR(INDEX('Équipements'!$D$5:$D$304,MATCH(B118,'Équipements'!$A$5:$A$304,0)),""))</f>
        <v/>
      </c>
      <c r="E118" s="7" t="inlineStr">
        <is>
          <t>Contrôle batterie, niveaux et bandages</t>
        </is>
      </c>
      <c r="F118" s="7" t="inlineStr">
        <is>
          <t>Préventif systématique</t>
        </is>
      </c>
      <c r="G118" s="7" t="inlineStr">
        <is>
          <t>Mécanique</t>
        </is>
      </c>
      <c r="H118" s="67" t="n">
        <v>90</v>
      </c>
      <c r="I118" s="76" t="n">
        <v>0.5</v>
      </c>
      <c r="J118" s="7" t="inlineStr">
        <is>
          <t>Antoine Mercier</t>
        </is>
      </c>
      <c r="K118" s="7" t="n"/>
      <c r="L118" s="65" t="n">
        <v>45594</v>
      </c>
      <c r="M118" s="7" t="inlineStr">
        <is>
          <t>Oui</t>
        </is>
      </c>
      <c r="N118" s="7" t="inlineStr">
        <is>
          <t>Densité batterie ; niveau eau ; usure bandages</t>
        </is>
      </c>
      <c r="O118" s="78">
        <f>IF($A118="","",MAX(N(L118),INT(_xlfn.MAXIFS('Ordres de travail'!$R$5:$R$3004,'Ordres de travail'!$I$5:$I$3004,$A118,'Ordres de travail'!$AC$5:$AC$3004,"Clôturé"))))</f>
        <v/>
      </c>
      <c r="P118" s="78">
        <f>IF(OR($A118="",N(O118)=0),"",O118+H118)</f>
        <v/>
      </c>
      <c r="Q118" s="79">
        <f>IF(P118="","",P118-TODAY())</f>
        <v/>
      </c>
      <c r="R118" s="9">
        <f>IF($A118="","",IF(M118="Non","INACTIF",IF(Q118="","À DÉFINIR",IF(Q118&lt;0,"EN RETARD",IF(Q118&lt;='Paramètres'!$AA$12,"À PLANIFIER","OK")))))</f>
        <v/>
      </c>
      <c r="S118" s="9">
        <f>IF($A118="","",IF(SUM(COUNTIFS('Ordres de travail'!$I$5:$I$3004,$A118,'Ordres de travail'!$AC$5:$AC$3004,{"Demandé","Planifié","En cours","En attente pièces"}))&gt;0,"Oui","Non"))</f>
        <v/>
      </c>
      <c r="T118" s="68">
        <f>IF($A118="","",COUNTIFS('Ordres de travail'!$I$5:$I$3004,$A118,'Ordres de travail'!$AC$5:$AC$3004,"Clôturé",'Ordres de travail'!$R$5:$R$3004,"&gt;="&amp;'Paramètres'!$AA$6,'Ordres de travail'!$R$5:$R$3004,"&lt;"&amp;('Paramètres'!$AA$7+1)))</f>
        <v/>
      </c>
      <c r="U118" s="69">
        <f>IF(OR($A118="",N(H118)=0),"",IF(M118="Non",0,365/H118*I118))</f>
        <v/>
      </c>
    </row>
    <row r="119">
      <c r="A119" s="7" t="inlineStr">
        <is>
          <t>GP-115</t>
        </is>
      </c>
      <c r="B119" s="7" t="inlineStr">
        <is>
          <t>EQ-LOG-006</t>
        </is>
      </c>
      <c r="C119" s="9">
        <f>IF(B119="","",IFERROR(INDEX('Équipements'!$B$5:$B$304,MATCH(B119,'Équipements'!$A$5:$A$304,0)),"Code inconnu"))</f>
        <v/>
      </c>
      <c r="D119" s="9">
        <f>IF(B119="","",IFERROR(INDEX('Équipements'!$D$5:$D$304,MATCH(B119,'Équipements'!$A$5:$A$304,0)),""))</f>
        <v/>
      </c>
      <c r="E119" s="7" t="inlineStr">
        <is>
          <t>Contrôle câbles, crochets, freins et fins de course</t>
        </is>
      </c>
      <c r="F119" s="7" t="inlineStr">
        <is>
          <t>Préventif systématique</t>
        </is>
      </c>
      <c r="G119" s="7" t="inlineStr">
        <is>
          <t>Mécanique</t>
        </is>
      </c>
      <c r="H119" s="67" t="n">
        <v>90</v>
      </c>
      <c r="I119" s="76" t="n">
        <v>2</v>
      </c>
      <c r="J119" s="7" t="inlineStr">
        <is>
          <t>Karim Benali</t>
        </is>
      </c>
      <c r="K119" s="7" t="n"/>
      <c r="L119" s="65" t="n">
        <v>45604</v>
      </c>
      <c r="M119" s="7" t="inlineStr">
        <is>
          <t>Oui</t>
        </is>
      </c>
      <c r="N119" s="7" t="inlineStr">
        <is>
          <t>Câble ; crochet et linguet ; frein ; fins de course ; boîte à boutons</t>
        </is>
      </c>
      <c r="O119" s="78">
        <f>IF($A119="","",MAX(N(L119),INT(_xlfn.MAXIFS('Ordres de travail'!$R$5:$R$3004,'Ordres de travail'!$I$5:$I$3004,$A119,'Ordres de travail'!$AC$5:$AC$3004,"Clôturé"))))</f>
        <v/>
      </c>
      <c r="P119" s="78">
        <f>IF(OR($A119="",N(O119)=0),"",O119+H119)</f>
        <v/>
      </c>
      <c r="Q119" s="79">
        <f>IF(P119="","",P119-TODAY())</f>
        <v/>
      </c>
      <c r="R119" s="9">
        <f>IF($A119="","",IF(M119="Non","INACTIF",IF(Q119="","À DÉFINIR",IF(Q119&lt;0,"EN RETARD",IF(Q119&lt;='Paramètres'!$AA$12,"À PLANIFIER","OK")))))</f>
        <v/>
      </c>
      <c r="S119" s="9">
        <f>IF($A119="","",IF(SUM(COUNTIFS('Ordres de travail'!$I$5:$I$3004,$A119,'Ordres de travail'!$AC$5:$AC$3004,{"Demandé","Planifié","En cours","En attente pièces"}))&gt;0,"Oui","Non"))</f>
        <v/>
      </c>
      <c r="T119" s="68">
        <f>IF($A119="","",COUNTIFS('Ordres de travail'!$I$5:$I$3004,$A119,'Ordres de travail'!$AC$5:$AC$3004,"Clôturé",'Ordres de travail'!$R$5:$R$3004,"&gt;="&amp;'Paramètres'!$AA$6,'Ordres de travail'!$R$5:$R$3004,"&lt;"&amp;('Paramètres'!$AA$7+1)))</f>
        <v/>
      </c>
      <c r="U119" s="69">
        <f>IF(OR($A119="",N(H119)=0),"",IF(M119="Non",0,365/H119*I119))</f>
        <v/>
      </c>
    </row>
    <row r="120">
      <c r="A120" s="7" t="inlineStr">
        <is>
          <t>GP-116</t>
        </is>
      </c>
      <c r="B120" s="7" t="inlineStr">
        <is>
          <t>EQ-LOG-006</t>
        </is>
      </c>
      <c r="C120" s="9">
        <f>IF(B120="","",IFERROR(INDEX('Équipements'!$B$5:$B$304,MATCH(B120,'Équipements'!$A$5:$A$304,0)),"Code inconnu"))</f>
        <v/>
      </c>
      <c r="D120" s="9">
        <f>IF(B120="","",IFERROR(INDEX('Équipements'!$D$5:$D$304,MATCH(B120,'Équipements'!$A$5:$A$304,0)),""))</f>
        <v/>
      </c>
      <c r="E120" s="7" t="inlineStr">
        <is>
          <t>Graissage et entretien annuel</t>
        </is>
      </c>
      <c r="F120" s="7" t="inlineStr">
        <is>
          <t>Préventif systématique</t>
        </is>
      </c>
      <c r="G120" s="7" t="inlineStr">
        <is>
          <t>Mécanique</t>
        </is>
      </c>
      <c r="H120" s="67" t="n">
        <v>365</v>
      </c>
      <c r="I120" s="76" t="n">
        <v>4</v>
      </c>
      <c r="J120" s="7" t="inlineStr">
        <is>
          <t>Lucas Fontaine</t>
        </is>
      </c>
      <c r="K120" s="7" t="inlineStr">
        <is>
          <t>Levage Expertise Ouest</t>
        </is>
      </c>
      <c r="L120" s="65" t="n">
        <v>45341</v>
      </c>
      <c r="M120" s="7" t="inlineStr">
        <is>
          <t>Oui</t>
        </is>
      </c>
      <c r="N120" s="7" t="inlineStr">
        <is>
          <t>Graissage ; vidange réducteur ; contrôle chemin de roulement</t>
        </is>
      </c>
      <c r="O120" s="78">
        <f>IF($A120="","",MAX(N(L120),INT(_xlfn.MAXIFS('Ordres de travail'!$R$5:$R$3004,'Ordres de travail'!$I$5:$I$3004,$A120,'Ordres de travail'!$AC$5:$AC$3004,"Clôturé"))))</f>
        <v/>
      </c>
      <c r="P120" s="78">
        <f>IF(OR($A120="",N(O120)=0),"",O120+H120)</f>
        <v/>
      </c>
      <c r="Q120" s="79">
        <f>IF(P120="","",P120-TODAY())</f>
        <v/>
      </c>
      <c r="R120" s="9">
        <f>IF($A120="","",IF(M120="Non","INACTIF",IF(Q120="","À DÉFINIR",IF(Q120&lt;0,"EN RETARD",IF(Q120&lt;='Paramètres'!$AA$12,"À PLANIFIER","OK")))))</f>
        <v/>
      </c>
      <c r="S120" s="9">
        <f>IF($A120="","",IF(SUM(COUNTIFS('Ordres de travail'!$I$5:$I$3004,$A120,'Ordres de travail'!$AC$5:$AC$3004,{"Demandé","Planifié","En cours","En attente pièces"}))&gt;0,"Oui","Non"))</f>
        <v/>
      </c>
      <c r="T120" s="68">
        <f>IF($A120="","",COUNTIFS('Ordres de travail'!$I$5:$I$3004,$A120,'Ordres de travail'!$AC$5:$AC$3004,"Clôturé",'Ordres de travail'!$R$5:$R$3004,"&gt;="&amp;'Paramètres'!$AA$6,'Ordres de travail'!$R$5:$R$3004,"&lt;"&amp;('Paramètres'!$AA$7+1)))</f>
        <v/>
      </c>
      <c r="U120" s="69">
        <f>IF(OR($A120="",N(H120)=0),"",IF(M120="Non",0,365/H120*I120))</f>
        <v/>
      </c>
    </row>
    <row r="121">
      <c r="A121" s="7" t="inlineStr">
        <is>
          <t>GP-117</t>
        </is>
      </c>
      <c r="B121" s="7" t="inlineStr">
        <is>
          <t>EQ-LOG-007</t>
        </is>
      </c>
      <c r="C121" s="9">
        <f>IF(B121="","",IFERROR(INDEX('Équipements'!$B$5:$B$304,MATCH(B121,'Équipements'!$A$5:$A$304,0)),"Code inconnu"))</f>
        <v/>
      </c>
      <c r="D121" s="9">
        <f>IF(B121="","",IFERROR(INDEX('Équipements'!$D$5:$D$304,MATCH(B121,'Équipements'!$A$5:$A$304,0)),""))</f>
        <v/>
      </c>
      <c r="E121" s="7" t="inlineStr">
        <is>
          <t>Contrôle câbles, crochets, freins et fins de course</t>
        </is>
      </c>
      <c r="F121" s="7" t="inlineStr">
        <is>
          <t>Préventif systématique</t>
        </is>
      </c>
      <c r="G121" s="7" t="inlineStr">
        <is>
          <t>Mécanique</t>
        </is>
      </c>
      <c r="H121" s="67" t="n">
        <v>90</v>
      </c>
      <c r="I121" s="76" t="n">
        <v>2</v>
      </c>
      <c r="J121" s="7" t="inlineStr">
        <is>
          <t>Karim Benali</t>
        </is>
      </c>
      <c r="K121" s="7" t="n"/>
      <c r="L121" s="65" t="n">
        <v>45600</v>
      </c>
      <c r="M121" s="7" t="inlineStr">
        <is>
          <t>Oui</t>
        </is>
      </c>
      <c r="N121" s="7" t="inlineStr">
        <is>
          <t>Câble ; crochet et linguet ; frein ; fins de course ; boîte à boutons</t>
        </is>
      </c>
      <c r="O121" s="78">
        <f>IF($A121="","",MAX(N(L121),INT(_xlfn.MAXIFS('Ordres de travail'!$R$5:$R$3004,'Ordres de travail'!$I$5:$I$3004,$A121,'Ordres de travail'!$AC$5:$AC$3004,"Clôturé"))))</f>
        <v/>
      </c>
      <c r="P121" s="78">
        <f>IF(OR($A121="",N(O121)=0),"",O121+H121)</f>
        <v/>
      </c>
      <c r="Q121" s="79">
        <f>IF(P121="","",P121-TODAY())</f>
        <v/>
      </c>
      <c r="R121" s="9">
        <f>IF($A121="","",IF(M121="Non","INACTIF",IF(Q121="","À DÉFINIR",IF(Q121&lt;0,"EN RETARD",IF(Q121&lt;='Paramètres'!$AA$12,"À PLANIFIER","OK")))))</f>
        <v/>
      </c>
      <c r="S121" s="9">
        <f>IF($A121="","",IF(SUM(COUNTIFS('Ordres de travail'!$I$5:$I$3004,$A121,'Ordres de travail'!$AC$5:$AC$3004,{"Demandé","Planifié","En cours","En attente pièces"}))&gt;0,"Oui","Non"))</f>
        <v/>
      </c>
      <c r="T121" s="68">
        <f>IF($A121="","",COUNTIFS('Ordres de travail'!$I$5:$I$3004,$A121,'Ordres de travail'!$AC$5:$AC$3004,"Clôturé",'Ordres de travail'!$R$5:$R$3004,"&gt;="&amp;'Paramètres'!$AA$6,'Ordres de travail'!$R$5:$R$3004,"&lt;"&amp;('Paramètres'!$AA$7+1)))</f>
        <v/>
      </c>
      <c r="U121" s="69">
        <f>IF(OR($A121="",N(H121)=0),"",IF(M121="Non",0,365/H121*I121))</f>
        <v/>
      </c>
    </row>
    <row r="122">
      <c r="A122" s="7" t="inlineStr">
        <is>
          <t>GP-118</t>
        </is>
      </c>
      <c r="B122" s="7" t="inlineStr">
        <is>
          <t>EQ-LOG-007</t>
        </is>
      </c>
      <c r="C122" s="9">
        <f>IF(B122="","",IFERROR(INDEX('Équipements'!$B$5:$B$304,MATCH(B122,'Équipements'!$A$5:$A$304,0)),"Code inconnu"))</f>
        <v/>
      </c>
      <c r="D122" s="9">
        <f>IF(B122="","",IFERROR(INDEX('Équipements'!$D$5:$D$304,MATCH(B122,'Équipements'!$A$5:$A$304,0)),""))</f>
        <v/>
      </c>
      <c r="E122" s="7" t="inlineStr">
        <is>
          <t>Graissage et entretien annuel</t>
        </is>
      </c>
      <c r="F122" s="7" t="inlineStr">
        <is>
          <t>Préventif systématique</t>
        </is>
      </c>
      <c r="G122" s="7" t="inlineStr">
        <is>
          <t>Mécanique</t>
        </is>
      </c>
      <c r="H122" s="67" t="n">
        <v>365</v>
      </c>
      <c r="I122" s="76" t="n">
        <v>4</v>
      </c>
      <c r="J122" s="7" t="inlineStr">
        <is>
          <t>Karim Benali</t>
        </is>
      </c>
      <c r="K122" s="7" t="inlineStr">
        <is>
          <t>Levage Expertise Ouest</t>
        </is>
      </c>
      <c r="L122" s="65" t="n">
        <v>45605</v>
      </c>
      <c r="M122" s="7" t="inlineStr">
        <is>
          <t>Oui</t>
        </is>
      </c>
      <c r="N122" s="7" t="inlineStr">
        <is>
          <t>Graissage ; vidange réducteur ; contrôle chemin de roulement</t>
        </is>
      </c>
      <c r="O122" s="78">
        <f>IF($A122="","",MAX(N(L122),INT(_xlfn.MAXIFS('Ordres de travail'!$R$5:$R$3004,'Ordres de travail'!$I$5:$I$3004,$A122,'Ordres de travail'!$AC$5:$AC$3004,"Clôturé"))))</f>
        <v/>
      </c>
      <c r="P122" s="78">
        <f>IF(OR($A122="",N(O122)=0),"",O122+H122)</f>
        <v/>
      </c>
      <c r="Q122" s="79">
        <f>IF(P122="","",P122-TODAY())</f>
        <v/>
      </c>
      <c r="R122" s="9">
        <f>IF($A122="","",IF(M122="Non","INACTIF",IF(Q122="","À DÉFINIR",IF(Q122&lt;0,"EN RETARD",IF(Q122&lt;='Paramètres'!$AA$12,"À PLANIFIER","OK")))))</f>
        <v/>
      </c>
      <c r="S122" s="9">
        <f>IF($A122="","",IF(SUM(COUNTIFS('Ordres de travail'!$I$5:$I$3004,$A122,'Ordres de travail'!$AC$5:$AC$3004,{"Demandé","Planifié","En cours","En attente pièces"}))&gt;0,"Oui","Non"))</f>
        <v/>
      </c>
      <c r="T122" s="68">
        <f>IF($A122="","",COUNTIFS('Ordres de travail'!$I$5:$I$3004,$A122,'Ordres de travail'!$AC$5:$AC$3004,"Clôturé",'Ordres de travail'!$R$5:$R$3004,"&gt;="&amp;'Paramètres'!$AA$6,'Ordres de travail'!$R$5:$R$3004,"&lt;"&amp;('Paramètres'!$AA$7+1)))</f>
        <v/>
      </c>
      <c r="U122" s="69">
        <f>IF(OR($A122="",N(H122)=0),"",IF(M122="Non",0,365/H122*I122))</f>
        <v/>
      </c>
    </row>
    <row r="123">
      <c r="A123" s="7" t="inlineStr">
        <is>
          <t>GP-119</t>
        </is>
      </c>
      <c r="B123" s="7" t="inlineStr">
        <is>
          <t>EQ-LOG-008</t>
        </is>
      </c>
      <c r="C123" s="9">
        <f>IF(B123="","",IFERROR(INDEX('Équipements'!$B$5:$B$304,MATCH(B123,'Équipements'!$A$5:$A$304,0)),"Code inconnu"))</f>
        <v/>
      </c>
      <c r="D123" s="9">
        <f>IF(B123="","",IFERROR(INDEX('Équipements'!$D$5:$D$304,MATCH(B123,'Équipements'!$A$5:$A$304,0)),""))</f>
        <v/>
      </c>
      <c r="E123" s="7" t="inlineStr">
        <is>
          <t>Contrôle câbles, crochets, freins et fins de course</t>
        </is>
      </c>
      <c r="F123" s="7" t="inlineStr">
        <is>
          <t>Préventif systématique</t>
        </is>
      </c>
      <c r="G123" s="7" t="inlineStr">
        <is>
          <t>Mécanique</t>
        </is>
      </c>
      <c r="H123" s="67" t="n">
        <v>90</v>
      </c>
      <c r="I123" s="76" t="n">
        <v>2</v>
      </c>
      <c r="J123" s="7" t="inlineStr">
        <is>
          <t>Karim Benali</t>
        </is>
      </c>
      <c r="K123" s="7" t="n"/>
      <c r="L123" s="65" t="n">
        <v>45585</v>
      </c>
      <c r="M123" s="7" t="inlineStr">
        <is>
          <t>Oui</t>
        </is>
      </c>
      <c r="N123" s="7" t="inlineStr">
        <is>
          <t>Câble ; crochet et linguet ; frein ; fins de course ; boîte à boutons</t>
        </is>
      </c>
      <c r="O123" s="78">
        <f>IF($A123="","",MAX(N(L123),INT(_xlfn.MAXIFS('Ordres de travail'!$R$5:$R$3004,'Ordres de travail'!$I$5:$I$3004,$A123,'Ordres de travail'!$AC$5:$AC$3004,"Clôturé"))))</f>
        <v/>
      </c>
      <c r="P123" s="78">
        <f>IF(OR($A123="",N(O123)=0),"",O123+H123)</f>
        <v/>
      </c>
      <c r="Q123" s="79">
        <f>IF(P123="","",P123-TODAY())</f>
        <v/>
      </c>
      <c r="R123" s="9">
        <f>IF($A123="","",IF(M123="Non","INACTIF",IF(Q123="","À DÉFINIR",IF(Q123&lt;0,"EN RETARD",IF(Q123&lt;='Paramètres'!$AA$12,"À PLANIFIER","OK")))))</f>
        <v/>
      </c>
      <c r="S123" s="9">
        <f>IF($A123="","",IF(SUM(COUNTIFS('Ordres de travail'!$I$5:$I$3004,$A123,'Ordres de travail'!$AC$5:$AC$3004,{"Demandé","Planifié","En cours","En attente pièces"}))&gt;0,"Oui","Non"))</f>
        <v/>
      </c>
      <c r="T123" s="68">
        <f>IF($A123="","",COUNTIFS('Ordres de travail'!$I$5:$I$3004,$A123,'Ordres de travail'!$AC$5:$AC$3004,"Clôturé",'Ordres de travail'!$R$5:$R$3004,"&gt;="&amp;'Paramètres'!$AA$6,'Ordres de travail'!$R$5:$R$3004,"&lt;"&amp;('Paramètres'!$AA$7+1)))</f>
        <v/>
      </c>
      <c r="U123" s="69">
        <f>IF(OR($A123="",N(H123)=0),"",IF(M123="Non",0,365/H123*I123))</f>
        <v/>
      </c>
    </row>
    <row r="124">
      <c r="A124" s="7" t="inlineStr">
        <is>
          <t>GP-120</t>
        </is>
      </c>
      <c r="B124" s="7" t="inlineStr">
        <is>
          <t>EQ-LOG-008</t>
        </is>
      </c>
      <c r="C124" s="9">
        <f>IF(B124="","",IFERROR(INDEX('Équipements'!$B$5:$B$304,MATCH(B124,'Équipements'!$A$5:$A$304,0)),"Code inconnu"))</f>
        <v/>
      </c>
      <c r="D124" s="9">
        <f>IF(B124="","",IFERROR(INDEX('Équipements'!$D$5:$D$304,MATCH(B124,'Équipements'!$A$5:$A$304,0)),""))</f>
        <v/>
      </c>
      <c r="E124" s="7" t="inlineStr">
        <is>
          <t>Graissage et entretien annuel</t>
        </is>
      </c>
      <c r="F124" s="7" t="inlineStr">
        <is>
          <t>Préventif systématique</t>
        </is>
      </c>
      <c r="G124" s="7" t="inlineStr">
        <is>
          <t>Mécanique</t>
        </is>
      </c>
      <c r="H124" s="67" t="n">
        <v>365</v>
      </c>
      <c r="I124" s="76" t="n">
        <v>4</v>
      </c>
      <c r="J124" s="7" t="inlineStr">
        <is>
          <t>Karim Benali</t>
        </is>
      </c>
      <c r="K124" s="7" t="inlineStr">
        <is>
          <t>Levage Expertise Ouest</t>
        </is>
      </c>
      <c r="L124" s="65" t="n">
        <v>45324</v>
      </c>
      <c r="M124" s="7" t="inlineStr">
        <is>
          <t>Oui</t>
        </is>
      </c>
      <c r="N124" s="7" t="inlineStr">
        <is>
          <t>Graissage ; vidange réducteur ; contrôle chemin de roulement</t>
        </is>
      </c>
      <c r="O124" s="78">
        <f>IF($A124="","",MAX(N(L124),INT(_xlfn.MAXIFS('Ordres de travail'!$R$5:$R$3004,'Ordres de travail'!$I$5:$I$3004,$A124,'Ordres de travail'!$AC$5:$AC$3004,"Clôturé"))))</f>
        <v/>
      </c>
      <c r="P124" s="78">
        <f>IF(OR($A124="",N(O124)=0),"",O124+H124)</f>
        <v/>
      </c>
      <c r="Q124" s="79">
        <f>IF(P124="","",P124-TODAY())</f>
        <v/>
      </c>
      <c r="R124" s="9">
        <f>IF($A124="","",IF(M124="Non","INACTIF",IF(Q124="","À DÉFINIR",IF(Q124&lt;0,"EN RETARD",IF(Q124&lt;='Paramètres'!$AA$12,"À PLANIFIER","OK")))))</f>
        <v/>
      </c>
      <c r="S124" s="9">
        <f>IF($A124="","",IF(SUM(COUNTIFS('Ordres de travail'!$I$5:$I$3004,$A124,'Ordres de travail'!$AC$5:$AC$3004,{"Demandé","Planifié","En cours","En attente pièces"}))&gt;0,"Oui","Non"))</f>
        <v/>
      </c>
      <c r="T124" s="68">
        <f>IF($A124="","",COUNTIFS('Ordres de travail'!$I$5:$I$3004,$A124,'Ordres de travail'!$AC$5:$AC$3004,"Clôturé",'Ordres de travail'!$R$5:$R$3004,"&gt;="&amp;'Paramètres'!$AA$6,'Ordres de travail'!$R$5:$R$3004,"&lt;"&amp;('Paramètres'!$AA$7+1)))</f>
        <v/>
      </c>
      <c r="U124" s="69">
        <f>IF(OR($A124="",N(H124)=0),"",IF(M124="Non",0,365/H124*I124))</f>
        <v/>
      </c>
    </row>
    <row r="125">
      <c r="A125" s="7" t="inlineStr">
        <is>
          <t>GP-121</t>
        </is>
      </c>
      <c r="B125" s="7" t="inlineStr">
        <is>
          <t>EQ-LOG-010</t>
        </is>
      </c>
      <c r="C125" s="9">
        <f>IF(B125="","",IFERROR(INDEX('Équipements'!$B$5:$B$304,MATCH(B125,'Équipements'!$A$5:$A$304,0)),"Code inconnu"))</f>
        <v/>
      </c>
      <c r="D125" s="9">
        <f>IF(B125="","",IFERROR(INDEX('Équipements'!$D$5:$D$304,MATCH(B125,'Équipements'!$A$5:$A$304,0)),""))</f>
        <v/>
      </c>
      <c r="E125" s="7" t="inlineStr">
        <is>
          <t>Graissage et contrôle des sécurités</t>
        </is>
      </c>
      <c r="F125" s="7" t="inlineStr">
        <is>
          <t>Préventif systématique</t>
        </is>
      </c>
      <c r="G125" s="7" t="inlineStr">
        <is>
          <t>Bâtiment</t>
        </is>
      </c>
      <c r="H125" s="67" t="n">
        <v>180</v>
      </c>
      <c r="I125" s="76" t="n">
        <v>1</v>
      </c>
      <c r="J125" s="7" t="inlineStr">
        <is>
          <t>Karim Benali</t>
        </is>
      </c>
      <c r="K125" s="7" t="n"/>
      <c r="L125" s="65" t="n">
        <v>45615</v>
      </c>
      <c r="M125" s="7" t="inlineStr">
        <is>
          <t>Oui</t>
        </is>
      </c>
      <c r="N125" s="7" t="inlineStr">
        <is>
          <t>Graissage ; test cellules ; ressorts ; câbles</t>
        </is>
      </c>
      <c r="O125" s="78">
        <f>IF($A125="","",MAX(N(L125),INT(_xlfn.MAXIFS('Ordres de travail'!$R$5:$R$3004,'Ordres de travail'!$I$5:$I$3004,$A125,'Ordres de travail'!$AC$5:$AC$3004,"Clôturé"))))</f>
        <v/>
      </c>
      <c r="P125" s="78">
        <f>IF(OR($A125="",N(O125)=0),"",O125+H125)</f>
        <v/>
      </c>
      <c r="Q125" s="79">
        <f>IF(P125="","",P125-TODAY())</f>
        <v/>
      </c>
      <c r="R125" s="9">
        <f>IF($A125="","",IF(M125="Non","INACTIF",IF(Q125="","À DÉFINIR",IF(Q125&lt;0,"EN RETARD",IF(Q125&lt;='Paramètres'!$AA$12,"À PLANIFIER","OK")))))</f>
        <v/>
      </c>
      <c r="S125" s="9">
        <f>IF($A125="","",IF(SUM(COUNTIFS('Ordres de travail'!$I$5:$I$3004,$A125,'Ordres de travail'!$AC$5:$AC$3004,{"Demandé","Planifié","En cours","En attente pièces"}))&gt;0,"Oui","Non"))</f>
        <v/>
      </c>
      <c r="T125" s="68">
        <f>IF($A125="","",COUNTIFS('Ordres de travail'!$I$5:$I$3004,$A125,'Ordres de travail'!$AC$5:$AC$3004,"Clôturé",'Ordres de travail'!$R$5:$R$3004,"&gt;="&amp;'Paramètres'!$AA$6,'Ordres de travail'!$R$5:$R$3004,"&lt;"&amp;('Paramètres'!$AA$7+1)))</f>
        <v/>
      </c>
      <c r="U125" s="69">
        <f>IF(OR($A125="",N(H125)=0),"",IF(M125="Non",0,365/H125*I125))</f>
        <v/>
      </c>
    </row>
    <row r="126">
      <c r="A126" s="7" t="inlineStr">
        <is>
          <t>GP-122</t>
        </is>
      </c>
      <c r="B126" s="7" t="inlineStr">
        <is>
          <t>EQ-BAT-001</t>
        </is>
      </c>
      <c r="C126" s="9">
        <f>IF(B126="","",IFERROR(INDEX('Équipements'!$B$5:$B$304,MATCH(B126,'Équipements'!$A$5:$A$304,0)),"Code inconnu"))</f>
        <v/>
      </c>
      <c r="D126" s="9">
        <f>IF(B126="","",IFERROR(INDEX('Équipements'!$D$5:$D$304,MATCH(B126,'Équipements'!$A$5:$A$304,0)),""))</f>
        <v/>
      </c>
      <c r="E126" s="7" t="inlineStr">
        <is>
          <t>Graissage et contrôle des sécurités</t>
        </is>
      </c>
      <c r="F126" s="7" t="inlineStr">
        <is>
          <t>Préventif systématique</t>
        </is>
      </c>
      <c r="G126" s="7" t="inlineStr">
        <is>
          <t>Bâtiment</t>
        </is>
      </c>
      <c r="H126" s="67" t="n">
        <v>180</v>
      </c>
      <c r="I126" s="76" t="n">
        <v>1</v>
      </c>
      <c r="J126" s="7" t="inlineStr">
        <is>
          <t>Karim Benali</t>
        </is>
      </c>
      <c r="K126" s="7" t="n"/>
      <c r="L126" s="65" t="n">
        <v>45514</v>
      </c>
      <c r="M126" s="7" t="inlineStr">
        <is>
          <t>Oui</t>
        </is>
      </c>
      <c r="N126" s="7" t="inlineStr">
        <is>
          <t>Graissage ; test cellules ; ressorts ; câbles</t>
        </is>
      </c>
      <c r="O126" s="78">
        <f>IF($A126="","",MAX(N(L126),INT(_xlfn.MAXIFS('Ordres de travail'!$R$5:$R$3004,'Ordres de travail'!$I$5:$I$3004,$A126,'Ordres de travail'!$AC$5:$AC$3004,"Clôturé"))))</f>
        <v/>
      </c>
      <c r="P126" s="78">
        <f>IF(OR($A126="",N(O126)=0),"",O126+H126)</f>
        <v/>
      </c>
      <c r="Q126" s="79">
        <f>IF(P126="","",P126-TODAY())</f>
        <v/>
      </c>
      <c r="R126" s="9">
        <f>IF($A126="","",IF(M126="Non","INACTIF",IF(Q126="","À DÉFINIR",IF(Q126&lt;0,"EN RETARD",IF(Q126&lt;='Paramètres'!$AA$12,"À PLANIFIER","OK")))))</f>
        <v/>
      </c>
      <c r="S126" s="9">
        <f>IF($A126="","",IF(SUM(COUNTIFS('Ordres de travail'!$I$5:$I$3004,$A126,'Ordres de travail'!$AC$5:$AC$3004,{"Demandé","Planifié","En cours","En attente pièces"}))&gt;0,"Oui","Non"))</f>
        <v/>
      </c>
      <c r="T126" s="68">
        <f>IF($A126="","",COUNTIFS('Ordres de travail'!$I$5:$I$3004,$A126,'Ordres de travail'!$AC$5:$AC$3004,"Clôturé",'Ordres de travail'!$R$5:$R$3004,"&gt;="&amp;'Paramètres'!$AA$6,'Ordres de travail'!$R$5:$R$3004,"&lt;"&amp;('Paramètres'!$AA$7+1)))</f>
        <v/>
      </c>
      <c r="U126" s="69">
        <f>IF(OR($A126="",N(H126)=0),"",IF(M126="Non",0,365/H126*I126))</f>
        <v/>
      </c>
    </row>
    <row r="127">
      <c r="A127" s="7" t="inlineStr">
        <is>
          <t>GP-123</t>
        </is>
      </c>
      <c r="B127" s="7" t="inlineStr">
        <is>
          <t>EQ-BAT-002</t>
        </is>
      </c>
      <c r="C127" s="9">
        <f>IF(B127="","",IFERROR(INDEX('Équipements'!$B$5:$B$304,MATCH(B127,'Équipements'!$A$5:$A$304,0)),"Code inconnu"))</f>
        <v/>
      </c>
      <c r="D127" s="9">
        <f>IF(B127="","",IFERROR(INDEX('Équipements'!$D$5:$D$304,MATCH(B127,'Équipements'!$A$5:$A$304,0)),""))</f>
        <v/>
      </c>
      <c r="E127" s="7" t="inlineStr">
        <is>
          <t>Graissage et contrôle des sécurités</t>
        </is>
      </c>
      <c r="F127" s="7" t="inlineStr">
        <is>
          <t>Préventif systématique</t>
        </is>
      </c>
      <c r="G127" s="7" t="inlineStr">
        <is>
          <t>Bâtiment</t>
        </is>
      </c>
      <c r="H127" s="67" t="n">
        <v>180</v>
      </c>
      <c r="I127" s="76" t="n">
        <v>1</v>
      </c>
      <c r="J127" s="7" t="inlineStr">
        <is>
          <t>Lucas Fontaine</t>
        </is>
      </c>
      <c r="K127" s="7" t="n"/>
      <c r="L127" s="65" t="n">
        <v>45504</v>
      </c>
      <c r="M127" s="7" t="inlineStr">
        <is>
          <t>Oui</t>
        </is>
      </c>
      <c r="N127" s="7" t="inlineStr">
        <is>
          <t>Graissage ; test cellules ; ressorts ; câbles</t>
        </is>
      </c>
      <c r="O127" s="78">
        <f>IF($A127="","",MAX(N(L127),INT(_xlfn.MAXIFS('Ordres de travail'!$R$5:$R$3004,'Ordres de travail'!$I$5:$I$3004,$A127,'Ordres de travail'!$AC$5:$AC$3004,"Clôturé"))))</f>
        <v/>
      </c>
      <c r="P127" s="78">
        <f>IF(OR($A127="",N(O127)=0),"",O127+H127)</f>
        <v/>
      </c>
      <c r="Q127" s="79">
        <f>IF(P127="","",P127-TODAY())</f>
        <v/>
      </c>
      <c r="R127" s="9">
        <f>IF($A127="","",IF(M127="Non","INACTIF",IF(Q127="","À DÉFINIR",IF(Q127&lt;0,"EN RETARD",IF(Q127&lt;='Paramètres'!$AA$12,"À PLANIFIER","OK")))))</f>
        <v/>
      </c>
      <c r="S127" s="9">
        <f>IF($A127="","",IF(SUM(COUNTIFS('Ordres de travail'!$I$5:$I$3004,$A127,'Ordres de travail'!$AC$5:$AC$3004,{"Demandé","Planifié","En cours","En attente pièces"}))&gt;0,"Oui","Non"))</f>
        <v/>
      </c>
      <c r="T127" s="68">
        <f>IF($A127="","",COUNTIFS('Ordres de travail'!$I$5:$I$3004,$A127,'Ordres de travail'!$AC$5:$AC$3004,"Clôturé",'Ordres de travail'!$R$5:$R$3004,"&gt;="&amp;'Paramètres'!$AA$6,'Ordres de travail'!$R$5:$R$3004,"&lt;"&amp;('Paramètres'!$AA$7+1)))</f>
        <v/>
      </c>
      <c r="U127" s="69">
        <f>IF(OR($A127="",N(H127)=0),"",IF(M127="Non",0,365/H127*I127))</f>
        <v/>
      </c>
    </row>
    <row r="128">
      <c r="A128" s="7" t="inlineStr">
        <is>
          <t>GP-124</t>
        </is>
      </c>
      <c r="B128" s="7" t="inlineStr">
        <is>
          <t>EQ-BAT-003</t>
        </is>
      </c>
      <c r="C128" s="9">
        <f>IF(B128="","",IFERROR(INDEX('Équipements'!$B$5:$B$304,MATCH(B128,'Équipements'!$A$5:$A$304,0)),"Code inconnu"))</f>
        <v/>
      </c>
      <c r="D128" s="9">
        <f>IF(B128="","",IFERROR(INDEX('Équipements'!$D$5:$D$304,MATCH(B128,'Équipements'!$A$5:$A$304,0)),""))</f>
        <v/>
      </c>
      <c r="E128" s="7" t="inlineStr">
        <is>
          <t>Remplacement filtres et nettoyage batteries</t>
        </is>
      </c>
      <c r="F128" s="7" t="inlineStr">
        <is>
          <t>Préventif systématique</t>
        </is>
      </c>
      <c r="G128" s="7" t="inlineStr">
        <is>
          <t>Mécanique</t>
        </is>
      </c>
      <c r="H128" s="67" t="n">
        <v>90</v>
      </c>
      <c r="I128" s="76" t="n">
        <v>1.5</v>
      </c>
      <c r="J128" s="7" t="inlineStr">
        <is>
          <t>Lucas Fontaine</t>
        </is>
      </c>
      <c r="K128" s="7" t="n"/>
      <c r="L128" s="65" t="n">
        <v>45578</v>
      </c>
      <c r="M128" s="7" t="inlineStr">
        <is>
          <t>Oui</t>
        </is>
      </c>
      <c r="N128" s="7" t="inlineStr">
        <is>
          <t>Filtres ; nettoyage batteries ; contrôle courroies</t>
        </is>
      </c>
      <c r="O128" s="78">
        <f>IF($A128="","",MAX(N(L128),INT(_xlfn.MAXIFS('Ordres de travail'!$R$5:$R$3004,'Ordres de travail'!$I$5:$I$3004,$A128,'Ordres de travail'!$AC$5:$AC$3004,"Clôturé"))))</f>
        <v/>
      </c>
      <c r="P128" s="78">
        <f>IF(OR($A128="",N(O128)=0),"",O128+H128)</f>
        <v/>
      </c>
      <c r="Q128" s="79">
        <f>IF(P128="","",P128-TODAY())</f>
        <v/>
      </c>
      <c r="R128" s="9">
        <f>IF($A128="","",IF(M128="Non","INACTIF",IF(Q128="","À DÉFINIR",IF(Q128&lt;0,"EN RETARD",IF(Q128&lt;='Paramètres'!$AA$12,"À PLANIFIER","OK")))))</f>
        <v/>
      </c>
      <c r="S128" s="9">
        <f>IF($A128="","",IF(SUM(COUNTIFS('Ordres de travail'!$I$5:$I$3004,$A128,'Ordres de travail'!$AC$5:$AC$3004,{"Demandé","Planifié","En cours","En attente pièces"}))&gt;0,"Oui","Non"))</f>
        <v/>
      </c>
      <c r="T128" s="68">
        <f>IF($A128="","",COUNTIFS('Ordres de travail'!$I$5:$I$3004,$A128,'Ordres de travail'!$AC$5:$AC$3004,"Clôturé",'Ordres de travail'!$R$5:$R$3004,"&gt;="&amp;'Paramètres'!$AA$6,'Ordres de travail'!$R$5:$R$3004,"&lt;"&amp;('Paramètres'!$AA$7+1)))</f>
        <v/>
      </c>
      <c r="U128" s="69">
        <f>IF(OR($A128="",N(H128)=0),"",IF(M128="Non",0,365/H128*I128))</f>
        <v/>
      </c>
    </row>
    <row r="129">
      <c r="A129" s="7" t="inlineStr">
        <is>
          <t>GP-125</t>
        </is>
      </c>
      <c r="B129" s="7" t="inlineStr">
        <is>
          <t>EQ-BAT-003</t>
        </is>
      </c>
      <c r="C129" s="9">
        <f>IF(B129="","",IFERROR(INDEX('Équipements'!$B$5:$B$304,MATCH(B129,'Équipements'!$A$5:$A$304,0)),"Code inconnu"))</f>
        <v/>
      </c>
      <c r="D129" s="9">
        <f>IF(B129="","",IFERROR(INDEX('Équipements'!$D$5:$D$304,MATCH(B129,'Équipements'!$A$5:$A$304,0)),""))</f>
        <v/>
      </c>
      <c r="E129" s="7" t="inlineStr">
        <is>
          <t>Entretien annuel complet</t>
        </is>
      </c>
      <c r="F129" s="7" t="inlineStr">
        <is>
          <t>Préventif systématique</t>
        </is>
      </c>
      <c r="G129" s="7" t="inlineStr">
        <is>
          <t>Multi-technique</t>
        </is>
      </c>
      <c r="H129" s="67" t="n">
        <v>365</v>
      </c>
      <c r="I129" s="76" t="n">
        <v>4</v>
      </c>
      <c r="J129" s="7" t="inlineStr">
        <is>
          <t>Antoine Mercier</t>
        </is>
      </c>
      <c r="K129" s="7" t="inlineStr">
        <is>
          <t>Thermique &amp; Clim Services</t>
        </is>
      </c>
      <c r="L129" s="65" t="n">
        <v>45450</v>
      </c>
      <c r="M129" s="7" t="inlineStr">
        <is>
          <t>Oui</t>
        </is>
      </c>
      <c r="N129" s="7" t="inlineStr">
        <is>
          <t>Entretien selon contrat</t>
        </is>
      </c>
      <c r="O129" s="78">
        <f>IF($A129="","",MAX(N(L129),INT(_xlfn.MAXIFS('Ordres de travail'!$R$5:$R$3004,'Ordres de travail'!$I$5:$I$3004,$A129,'Ordres de travail'!$AC$5:$AC$3004,"Clôturé"))))</f>
        <v/>
      </c>
      <c r="P129" s="78">
        <f>IF(OR($A129="",N(O129)=0),"",O129+H129)</f>
        <v/>
      </c>
      <c r="Q129" s="79">
        <f>IF(P129="","",P129-TODAY())</f>
        <v/>
      </c>
      <c r="R129" s="9">
        <f>IF($A129="","",IF(M129="Non","INACTIF",IF(Q129="","À DÉFINIR",IF(Q129&lt;0,"EN RETARD",IF(Q129&lt;='Paramètres'!$AA$12,"À PLANIFIER","OK")))))</f>
        <v/>
      </c>
      <c r="S129" s="9">
        <f>IF($A129="","",IF(SUM(COUNTIFS('Ordres de travail'!$I$5:$I$3004,$A129,'Ordres de travail'!$AC$5:$AC$3004,{"Demandé","Planifié","En cours","En attente pièces"}))&gt;0,"Oui","Non"))</f>
        <v/>
      </c>
      <c r="T129" s="68">
        <f>IF($A129="","",COUNTIFS('Ordres de travail'!$I$5:$I$3004,$A129,'Ordres de travail'!$AC$5:$AC$3004,"Clôturé",'Ordres de travail'!$R$5:$R$3004,"&gt;="&amp;'Paramètres'!$AA$6,'Ordres de travail'!$R$5:$R$3004,"&lt;"&amp;('Paramètres'!$AA$7+1)))</f>
        <v/>
      </c>
      <c r="U129" s="69">
        <f>IF(OR($A129="",N(H129)=0),"",IF(M129="Non",0,365/H129*I129))</f>
        <v/>
      </c>
    </row>
    <row r="130">
      <c r="A130" s="7" t="inlineStr">
        <is>
          <t>GP-126</t>
        </is>
      </c>
      <c r="B130" s="7" t="inlineStr">
        <is>
          <t>EQ-BAT-006</t>
        </is>
      </c>
      <c r="C130" s="9">
        <f>IF(B130="","",IFERROR(INDEX('Équipements'!$B$5:$B$304,MATCH(B130,'Équipements'!$A$5:$A$304,0)),"Code inconnu"))</f>
        <v/>
      </c>
      <c r="D130" s="9">
        <f>IF(B130="","",IFERROR(INDEX('Équipements'!$D$5:$D$304,MATCH(B130,'Équipements'!$A$5:$A$304,0)),""))</f>
        <v/>
      </c>
      <c r="E130" s="7" t="inlineStr">
        <is>
          <t>Inspection, nettoyage et resserrage des connexions</t>
        </is>
      </c>
      <c r="F130" s="7" t="inlineStr">
        <is>
          <t>Préventif systématique</t>
        </is>
      </c>
      <c r="G130" s="7" t="inlineStr">
        <is>
          <t>Électrique</t>
        </is>
      </c>
      <c r="H130" s="67" t="n">
        <v>365</v>
      </c>
      <c r="I130" s="76" t="n">
        <v>4</v>
      </c>
      <c r="J130" s="7" t="inlineStr">
        <is>
          <t>Antoine Mercier</t>
        </is>
      </c>
      <c r="K130" s="7" t="n"/>
      <c r="L130" s="65" t="n">
        <v>45558</v>
      </c>
      <c r="M130" s="7" t="inlineStr">
        <is>
          <t>Oui</t>
        </is>
      </c>
      <c r="N130" s="7" t="inlineStr">
        <is>
          <t>Consignation ; dépoussiérage ; resserrage ; contrôle visuel</t>
        </is>
      </c>
      <c r="O130" s="78">
        <f>IF($A130="","",MAX(N(L130),INT(_xlfn.MAXIFS('Ordres de travail'!$R$5:$R$3004,'Ordres de travail'!$I$5:$I$3004,$A130,'Ordres de travail'!$AC$5:$AC$3004,"Clôturé"))))</f>
        <v/>
      </c>
      <c r="P130" s="78">
        <f>IF(OR($A130="",N(O130)=0),"",O130+H130)</f>
        <v/>
      </c>
      <c r="Q130" s="79">
        <f>IF(P130="","",P130-TODAY())</f>
        <v/>
      </c>
      <c r="R130" s="9">
        <f>IF($A130="","",IF(M130="Non","INACTIF",IF(Q130="","À DÉFINIR",IF(Q130&lt;0,"EN RETARD",IF(Q130&lt;='Paramètres'!$AA$12,"À PLANIFIER","OK")))))</f>
        <v/>
      </c>
      <c r="S130" s="9">
        <f>IF($A130="","",IF(SUM(COUNTIFS('Ordres de travail'!$I$5:$I$3004,$A130,'Ordres de travail'!$AC$5:$AC$3004,{"Demandé","Planifié","En cours","En attente pièces"}))&gt;0,"Oui","Non"))</f>
        <v/>
      </c>
      <c r="T130" s="68">
        <f>IF($A130="","",COUNTIFS('Ordres de travail'!$I$5:$I$3004,$A130,'Ordres de travail'!$AC$5:$AC$3004,"Clôturé",'Ordres de travail'!$R$5:$R$3004,"&gt;="&amp;'Paramètres'!$AA$6,'Ordres de travail'!$R$5:$R$3004,"&lt;"&amp;('Paramètres'!$AA$7+1)))</f>
        <v/>
      </c>
      <c r="U130" s="69">
        <f>IF(OR($A130="",N(H130)=0),"",IF(M130="Non",0,365/H130*I130))</f>
        <v/>
      </c>
    </row>
    <row r="131">
      <c r="A131" s="7" t="inlineStr">
        <is>
          <t>GP-127</t>
        </is>
      </c>
      <c r="B131" s="7" t="inlineStr">
        <is>
          <t>EQ-BAT-006</t>
        </is>
      </c>
      <c r="C131" s="9">
        <f>IF(B131="","",IFERROR(INDEX('Équipements'!$B$5:$B$304,MATCH(B131,'Équipements'!$A$5:$A$304,0)),"Code inconnu"))</f>
        <v/>
      </c>
      <c r="D131" s="9">
        <f>IF(B131="","",IFERROR(INDEX('Équipements'!$D$5:$D$304,MATCH(B131,'Équipements'!$A$5:$A$304,0)),""))</f>
        <v/>
      </c>
      <c r="E131" s="7" t="inlineStr">
        <is>
          <t>Essai de fonctionnement / contrôle visuel</t>
        </is>
      </c>
      <c r="F131" s="7" t="inlineStr">
        <is>
          <t>Préventif systématique</t>
        </is>
      </c>
      <c r="G131" s="7" t="inlineStr">
        <is>
          <t>Électrique</t>
        </is>
      </c>
      <c r="H131" s="67" t="n">
        <v>90</v>
      </c>
      <c r="I131" s="76" t="n">
        <v>1</v>
      </c>
      <c r="J131" s="7" t="inlineStr">
        <is>
          <t>Julien Moreau</t>
        </is>
      </c>
      <c r="K131" s="7" t="n"/>
      <c r="L131" s="65" t="n">
        <v>45595</v>
      </c>
      <c r="M131" s="7" t="inlineStr">
        <is>
          <t>Oui</t>
        </is>
      </c>
      <c r="N131" s="7" t="inlineStr">
        <is>
          <t>Essai ; relevé paramètres ; contrôle visuel</t>
        </is>
      </c>
      <c r="O131" s="78">
        <f>IF($A131="","",MAX(N(L131),INT(_xlfn.MAXIFS('Ordres de travail'!$R$5:$R$3004,'Ordres de travail'!$I$5:$I$3004,$A131,'Ordres de travail'!$AC$5:$AC$3004,"Clôturé"))))</f>
        <v/>
      </c>
      <c r="P131" s="78">
        <f>IF(OR($A131="",N(O131)=0),"",O131+H131)</f>
        <v/>
      </c>
      <c r="Q131" s="79">
        <f>IF(P131="","",P131-TODAY())</f>
        <v/>
      </c>
      <c r="R131" s="9">
        <f>IF($A131="","",IF(M131="Non","INACTIF",IF(Q131="","À DÉFINIR",IF(Q131&lt;0,"EN RETARD",IF(Q131&lt;='Paramètres'!$AA$12,"À PLANIFIER","OK")))))</f>
        <v/>
      </c>
      <c r="S131" s="9">
        <f>IF($A131="","",IF(SUM(COUNTIFS('Ordres de travail'!$I$5:$I$3004,$A131,'Ordres de travail'!$AC$5:$AC$3004,{"Demandé","Planifié","En cours","En attente pièces"}))&gt;0,"Oui","Non"))</f>
        <v/>
      </c>
      <c r="T131" s="68">
        <f>IF($A131="","",COUNTIFS('Ordres de travail'!$I$5:$I$3004,$A131,'Ordres de travail'!$AC$5:$AC$3004,"Clôturé",'Ordres de travail'!$R$5:$R$3004,"&gt;="&amp;'Paramètres'!$AA$6,'Ordres de travail'!$R$5:$R$3004,"&lt;"&amp;('Paramètres'!$AA$7+1)))</f>
        <v/>
      </c>
      <c r="U131" s="69">
        <f>IF(OR($A131="",N(H131)=0),"",IF(M131="Non",0,365/H131*I131))</f>
        <v/>
      </c>
    </row>
    <row r="132">
      <c r="A132" s="7" t="n"/>
      <c r="B132" s="7" t="n"/>
      <c r="C132" s="9">
        <f>IF(B132="","",IFERROR(INDEX('Équipements'!$B$5:$B$304,MATCH(B132,'Équipements'!$A$5:$A$304,0)),"Code inconnu"))</f>
        <v/>
      </c>
      <c r="D132" s="9">
        <f>IF(B132="","",IFERROR(INDEX('Équipements'!$D$5:$D$304,MATCH(B132,'Équipements'!$A$5:$A$304,0)),""))</f>
        <v/>
      </c>
      <c r="E132" s="7" t="n"/>
      <c r="F132" s="7" t="n"/>
      <c r="G132" s="7" t="n"/>
      <c r="H132" s="67" t="n"/>
      <c r="I132" s="76" t="n"/>
      <c r="J132" s="7" t="n"/>
      <c r="K132" s="7" t="n"/>
      <c r="L132" s="65" t="n"/>
      <c r="M132" s="7" t="n"/>
      <c r="N132" s="7" t="n"/>
      <c r="O132" s="78">
        <f>IF($A132="","",MAX(N(L132),INT(_xlfn.MAXIFS('Ordres de travail'!$R$5:$R$3004,'Ordres de travail'!$I$5:$I$3004,$A132,'Ordres de travail'!$AC$5:$AC$3004,"Clôturé"))))</f>
        <v/>
      </c>
      <c r="P132" s="78">
        <f>IF(OR($A132="",N(O132)=0),"",O132+H132)</f>
        <v/>
      </c>
      <c r="Q132" s="79">
        <f>IF(P132="","",P132-TODAY())</f>
        <v/>
      </c>
      <c r="R132" s="9">
        <f>IF($A132="","",IF(M132="Non","INACTIF",IF(Q132="","À DÉFINIR",IF(Q132&lt;0,"EN RETARD",IF(Q132&lt;='Paramètres'!$AA$12,"À PLANIFIER","OK")))))</f>
        <v/>
      </c>
      <c r="S132" s="9">
        <f>IF($A132="","",IF(SUM(COUNTIFS('Ordres de travail'!$I$5:$I$3004,$A132,'Ordres de travail'!$AC$5:$AC$3004,{"Demandé","Planifié","En cours","En attente pièces"}))&gt;0,"Oui","Non"))</f>
        <v/>
      </c>
      <c r="T132" s="68">
        <f>IF($A132="","",COUNTIFS('Ordres de travail'!$I$5:$I$3004,$A132,'Ordres de travail'!$AC$5:$AC$3004,"Clôturé",'Ordres de travail'!$R$5:$R$3004,"&gt;="&amp;'Paramètres'!$AA$6,'Ordres de travail'!$R$5:$R$3004,"&lt;"&amp;('Paramètres'!$AA$7+1)))</f>
        <v/>
      </c>
      <c r="U132" s="69">
        <f>IF(OR($A132="",N(H132)=0),"",IF(M132="Non",0,365/H132*I132))</f>
        <v/>
      </c>
    </row>
    <row r="133">
      <c r="A133" s="7" t="n"/>
      <c r="B133" s="7" t="n"/>
      <c r="C133" s="9">
        <f>IF(B133="","",IFERROR(INDEX('Équipements'!$B$5:$B$304,MATCH(B133,'Équipements'!$A$5:$A$304,0)),"Code inconnu"))</f>
        <v/>
      </c>
      <c r="D133" s="9">
        <f>IF(B133="","",IFERROR(INDEX('Équipements'!$D$5:$D$304,MATCH(B133,'Équipements'!$A$5:$A$304,0)),""))</f>
        <v/>
      </c>
      <c r="E133" s="7" t="n"/>
      <c r="F133" s="7" t="n"/>
      <c r="G133" s="7" t="n"/>
      <c r="H133" s="67" t="n"/>
      <c r="I133" s="76" t="n"/>
      <c r="J133" s="7" t="n"/>
      <c r="K133" s="7" t="n"/>
      <c r="L133" s="65" t="n"/>
      <c r="M133" s="7" t="n"/>
      <c r="N133" s="7" t="n"/>
      <c r="O133" s="78">
        <f>IF($A133="","",MAX(N(L133),INT(_xlfn.MAXIFS('Ordres de travail'!$R$5:$R$3004,'Ordres de travail'!$I$5:$I$3004,$A133,'Ordres de travail'!$AC$5:$AC$3004,"Clôturé"))))</f>
        <v/>
      </c>
      <c r="P133" s="78">
        <f>IF(OR($A133="",N(O133)=0),"",O133+H133)</f>
        <v/>
      </c>
      <c r="Q133" s="79">
        <f>IF(P133="","",P133-TODAY())</f>
        <v/>
      </c>
      <c r="R133" s="9">
        <f>IF($A133="","",IF(M133="Non","INACTIF",IF(Q133="","À DÉFINIR",IF(Q133&lt;0,"EN RETARD",IF(Q133&lt;='Paramètres'!$AA$12,"À PLANIFIER","OK")))))</f>
        <v/>
      </c>
      <c r="S133" s="9">
        <f>IF($A133="","",IF(SUM(COUNTIFS('Ordres de travail'!$I$5:$I$3004,$A133,'Ordres de travail'!$AC$5:$AC$3004,{"Demandé","Planifié","En cours","En attente pièces"}))&gt;0,"Oui","Non"))</f>
        <v/>
      </c>
      <c r="T133" s="68">
        <f>IF($A133="","",COUNTIFS('Ordres de travail'!$I$5:$I$3004,$A133,'Ordres de travail'!$AC$5:$AC$3004,"Clôturé",'Ordres de travail'!$R$5:$R$3004,"&gt;="&amp;'Paramètres'!$AA$6,'Ordres de travail'!$R$5:$R$3004,"&lt;"&amp;('Paramètres'!$AA$7+1)))</f>
        <v/>
      </c>
      <c r="U133" s="69">
        <f>IF(OR($A133="",N(H133)=0),"",IF(M133="Non",0,365/H133*I133))</f>
        <v/>
      </c>
    </row>
    <row r="134">
      <c r="A134" s="7" t="n"/>
      <c r="B134" s="7" t="n"/>
      <c r="C134" s="9">
        <f>IF(B134="","",IFERROR(INDEX('Équipements'!$B$5:$B$304,MATCH(B134,'Équipements'!$A$5:$A$304,0)),"Code inconnu"))</f>
        <v/>
      </c>
      <c r="D134" s="9">
        <f>IF(B134="","",IFERROR(INDEX('Équipements'!$D$5:$D$304,MATCH(B134,'Équipements'!$A$5:$A$304,0)),""))</f>
        <v/>
      </c>
      <c r="E134" s="7" t="n"/>
      <c r="F134" s="7" t="n"/>
      <c r="G134" s="7" t="n"/>
      <c r="H134" s="67" t="n"/>
      <c r="I134" s="76" t="n"/>
      <c r="J134" s="7" t="n"/>
      <c r="K134" s="7" t="n"/>
      <c r="L134" s="65" t="n"/>
      <c r="M134" s="7" t="n"/>
      <c r="N134" s="7" t="n"/>
      <c r="O134" s="78">
        <f>IF($A134="","",MAX(N(L134),INT(_xlfn.MAXIFS('Ordres de travail'!$R$5:$R$3004,'Ordres de travail'!$I$5:$I$3004,$A134,'Ordres de travail'!$AC$5:$AC$3004,"Clôturé"))))</f>
        <v/>
      </c>
      <c r="P134" s="78">
        <f>IF(OR($A134="",N(O134)=0),"",O134+H134)</f>
        <v/>
      </c>
      <c r="Q134" s="79">
        <f>IF(P134="","",P134-TODAY())</f>
        <v/>
      </c>
      <c r="R134" s="9">
        <f>IF($A134="","",IF(M134="Non","INACTIF",IF(Q134="","À DÉFINIR",IF(Q134&lt;0,"EN RETARD",IF(Q134&lt;='Paramètres'!$AA$12,"À PLANIFIER","OK")))))</f>
        <v/>
      </c>
      <c r="S134" s="9">
        <f>IF($A134="","",IF(SUM(COUNTIFS('Ordres de travail'!$I$5:$I$3004,$A134,'Ordres de travail'!$AC$5:$AC$3004,{"Demandé","Planifié","En cours","En attente pièces"}))&gt;0,"Oui","Non"))</f>
        <v/>
      </c>
      <c r="T134" s="68">
        <f>IF($A134="","",COUNTIFS('Ordres de travail'!$I$5:$I$3004,$A134,'Ordres de travail'!$AC$5:$AC$3004,"Clôturé",'Ordres de travail'!$R$5:$R$3004,"&gt;="&amp;'Paramètres'!$AA$6,'Ordres de travail'!$R$5:$R$3004,"&lt;"&amp;('Paramètres'!$AA$7+1)))</f>
        <v/>
      </c>
      <c r="U134" s="69">
        <f>IF(OR($A134="",N(H134)=0),"",IF(M134="Non",0,365/H134*I134))</f>
        <v/>
      </c>
    </row>
    <row r="135">
      <c r="A135" s="7" t="n"/>
      <c r="B135" s="7" t="n"/>
      <c r="C135" s="9">
        <f>IF(B135="","",IFERROR(INDEX('Équipements'!$B$5:$B$304,MATCH(B135,'Équipements'!$A$5:$A$304,0)),"Code inconnu"))</f>
        <v/>
      </c>
      <c r="D135" s="9">
        <f>IF(B135="","",IFERROR(INDEX('Équipements'!$D$5:$D$304,MATCH(B135,'Équipements'!$A$5:$A$304,0)),""))</f>
        <v/>
      </c>
      <c r="E135" s="7" t="n"/>
      <c r="F135" s="7" t="n"/>
      <c r="G135" s="7" t="n"/>
      <c r="H135" s="67" t="n"/>
      <c r="I135" s="76" t="n"/>
      <c r="J135" s="7" t="n"/>
      <c r="K135" s="7" t="n"/>
      <c r="L135" s="65" t="n"/>
      <c r="M135" s="7" t="n"/>
      <c r="N135" s="7" t="n"/>
      <c r="O135" s="78">
        <f>IF($A135="","",MAX(N(L135),INT(_xlfn.MAXIFS('Ordres de travail'!$R$5:$R$3004,'Ordres de travail'!$I$5:$I$3004,$A135,'Ordres de travail'!$AC$5:$AC$3004,"Clôturé"))))</f>
        <v/>
      </c>
      <c r="P135" s="78">
        <f>IF(OR($A135="",N(O135)=0),"",O135+H135)</f>
        <v/>
      </c>
      <c r="Q135" s="79">
        <f>IF(P135="","",P135-TODAY())</f>
        <v/>
      </c>
      <c r="R135" s="9">
        <f>IF($A135="","",IF(M135="Non","INACTIF",IF(Q135="","À DÉFINIR",IF(Q135&lt;0,"EN RETARD",IF(Q135&lt;='Paramètres'!$AA$12,"À PLANIFIER","OK")))))</f>
        <v/>
      </c>
      <c r="S135" s="9">
        <f>IF($A135="","",IF(SUM(COUNTIFS('Ordres de travail'!$I$5:$I$3004,$A135,'Ordres de travail'!$AC$5:$AC$3004,{"Demandé","Planifié","En cours","En attente pièces"}))&gt;0,"Oui","Non"))</f>
        <v/>
      </c>
      <c r="T135" s="68">
        <f>IF($A135="","",COUNTIFS('Ordres de travail'!$I$5:$I$3004,$A135,'Ordres de travail'!$AC$5:$AC$3004,"Clôturé",'Ordres de travail'!$R$5:$R$3004,"&gt;="&amp;'Paramètres'!$AA$6,'Ordres de travail'!$R$5:$R$3004,"&lt;"&amp;('Paramètres'!$AA$7+1)))</f>
        <v/>
      </c>
      <c r="U135" s="69">
        <f>IF(OR($A135="",N(H135)=0),"",IF(M135="Non",0,365/H135*I135))</f>
        <v/>
      </c>
    </row>
    <row r="136">
      <c r="A136" s="7" t="n"/>
      <c r="B136" s="7" t="n"/>
      <c r="C136" s="9">
        <f>IF(B136="","",IFERROR(INDEX('Équipements'!$B$5:$B$304,MATCH(B136,'Équipements'!$A$5:$A$304,0)),"Code inconnu"))</f>
        <v/>
      </c>
      <c r="D136" s="9">
        <f>IF(B136="","",IFERROR(INDEX('Équipements'!$D$5:$D$304,MATCH(B136,'Équipements'!$A$5:$A$304,0)),""))</f>
        <v/>
      </c>
      <c r="E136" s="7" t="n"/>
      <c r="F136" s="7" t="n"/>
      <c r="G136" s="7" t="n"/>
      <c r="H136" s="67" t="n"/>
      <c r="I136" s="76" t="n"/>
      <c r="J136" s="7" t="n"/>
      <c r="K136" s="7" t="n"/>
      <c r="L136" s="65" t="n"/>
      <c r="M136" s="7" t="n"/>
      <c r="N136" s="7" t="n"/>
      <c r="O136" s="78">
        <f>IF($A136="","",MAX(N(L136),INT(_xlfn.MAXIFS('Ordres de travail'!$R$5:$R$3004,'Ordres de travail'!$I$5:$I$3004,$A136,'Ordres de travail'!$AC$5:$AC$3004,"Clôturé"))))</f>
        <v/>
      </c>
      <c r="P136" s="78">
        <f>IF(OR($A136="",N(O136)=0),"",O136+H136)</f>
        <v/>
      </c>
      <c r="Q136" s="79">
        <f>IF(P136="","",P136-TODAY())</f>
        <v/>
      </c>
      <c r="R136" s="9">
        <f>IF($A136="","",IF(M136="Non","INACTIF",IF(Q136="","À DÉFINIR",IF(Q136&lt;0,"EN RETARD",IF(Q136&lt;='Paramètres'!$AA$12,"À PLANIFIER","OK")))))</f>
        <v/>
      </c>
      <c r="S136" s="9">
        <f>IF($A136="","",IF(SUM(COUNTIFS('Ordres de travail'!$I$5:$I$3004,$A136,'Ordres de travail'!$AC$5:$AC$3004,{"Demandé","Planifié","En cours","En attente pièces"}))&gt;0,"Oui","Non"))</f>
        <v/>
      </c>
      <c r="T136" s="68">
        <f>IF($A136="","",COUNTIFS('Ordres de travail'!$I$5:$I$3004,$A136,'Ordres de travail'!$AC$5:$AC$3004,"Clôturé",'Ordres de travail'!$R$5:$R$3004,"&gt;="&amp;'Paramètres'!$AA$6,'Ordres de travail'!$R$5:$R$3004,"&lt;"&amp;('Paramètres'!$AA$7+1)))</f>
        <v/>
      </c>
      <c r="U136" s="69">
        <f>IF(OR($A136="",N(H136)=0),"",IF(M136="Non",0,365/H136*I136))</f>
        <v/>
      </c>
    </row>
    <row r="137">
      <c r="A137" s="7" t="n"/>
      <c r="B137" s="7" t="n"/>
      <c r="C137" s="9">
        <f>IF(B137="","",IFERROR(INDEX('Équipements'!$B$5:$B$304,MATCH(B137,'Équipements'!$A$5:$A$304,0)),"Code inconnu"))</f>
        <v/>
      </c>
      <c r="D137" s="9">
        <f>IF(B137="","",IFERROR(INDEX('Équipements'!$D$5:$D$304,MATCH(B137,'Équipements'!$A$5:$A$304,0)),""))</f>
        <v/>
      </c>
      <c r="E137" s="7" t="n"/>
      <c r="F137" s="7" t="n"/>
      <c r="G137" s="7" t="n"/>
      <c r="H137" s="67" t="n"/>
      <c r="I137" s="76" t="n"/>
      <c r="J137" s="7" t="n"/>
      <c r="K137" s="7" t="n"/>
      <c r="L137" s="65" t="n"/>
      <c r="M137" s="7" t="n"/>
      <c r="N137" s="7" t="n"/>
      <c r="O137" s="78">
        <f>IF($A137="","",MAX(N(L137),INT(_xlfn.MAXIFS('Ordres de travail'!$R$5:$R$3004,'Ordres de travail'!$I$5:$I$3004,$A137,'Ordres de travail'!$AC$5:$AC$3004,"Clôturé"))))</f>
        <v/>
      </c>
      <c r="P137" s="78">
        <f>IF(OR($A137="",N(O137)=0),"",O137+H137)</f>
        <v/>
      </c>
      <c r="Q137" s="79">
        <f>IF(P137="","",P137-TODAY())</f>
        <v/>
      </c>
      <c r="R137" s="9">
        <f>IF($A137="","",IF(M137="Non","INACTIF",IF(Q137="","À DÉFINIR",IF(Q137&lt;0,"EN RETARD",IF(Q137&lt;='Paramètres'!$AA$12,"À PLANIFIER","OK")))))</f>
        <v/>
      </c>
      <c r="S137" s="9">
        <f>IF($A137="","",IF(SUM(COUNTIFS('Ordres de travail'!$I$5:$I$3004,$A137,'Ordres de travail'!$AC$5:$AC$3004,{"Demandé","Planifié","En cours","En attente pièces"}))&gt;0,"Oui","Non"))</f>
        <v/>
      </c>
      <c r="T137" s="68">
        <f>IF($A137="","",COUNTIFS('Ordres de travail'!$I$5:$I$3004,$A137,'Ordres de travail'!$AC$5:$AC$3004,"Clôturé",'Ordres de travail'!$R$5:$R$3004,"&gt;="&amp;'Paramètres'!$AA$6,'Ordres de travail'!$R$5:$R$3004,"&lt;"&amp;('Paramètres'!$AA$7+1)))</f>
        <v/>
      </c>
      <c r="U137" s="69">
        <f>IF(OR($A137="",N(H137)=0),"",IF(M137="Non",0,365/H137*I137))</f>
        <v/>
      </c>
    </row>
    <row r="138">
      <c r="A138" s="7" t="n"/>
      <c r="B138" s="7" t="n"/>
      <c r="C138" s="9">
        <f>IF(B138="","",IFERROR(INDEX('Équipements'!$B$5:$B$304,MATCH(B138,'Équipements'!$A$5:$A$304,0)),"Code inconnu"))</f>
        <v/>
      </c>
      <c r="D138" s="9">
        <f>IF(B138="","",IFERROR(INDEX('Équipements'!$D$5:$D$304,MATCH(B138,'Équipements'!$A$5:$A$304,0)),""))</f>
        <v/>
      </c>
      <c r="E138" s="7" t="n"/>
      <c r="F138" s="7" t="n"/>
      <c r="G138" s="7" t="n"/>
      <c r="H138" s="67" t="n"/>
      <c r="I138" s="76" t="n"/>
      <c r="J138" s="7" t="n"/>
      <c r="K138" s="7" t="n"/>
      <c r="L138" s="65" t="n"/>
      <c r="M138" s="7" t="n"/>
      <c r="N138" s="7" t="n"/>
      <c r="O138" s="78">
        <f>IF($A138="","",MAX(N(L138),INT(_xlfn.MAXIFS('Ordres de travail'!$R$5:$R$3004,'Ordres de travail'!$I$5:$I$3004,$A138,'Ordres de travail'!$AC$5:$AC$3004,"Clôturé"))))</f>
        <v/>
      </c>
      <c r="P138" s="78">
        <f>IF(OR($A138="",N(O138)=0),"",O138+H138)</f>
        <v/>
      </c>
      <c r="Q138" s="79">
        <f>IF(P138="","",P138-TODAY())</f>
        <v/>
      </c>
      <c r="R138" s="9">
        <f>IF($A138="","",IF(M138="Non","INACTIF",IF(Q138="","À DÉFINIR",IF(Q138&lt;0,"EN RETARD",IF(Q138&lt;='Paramètres'!$AA$12,"À PLANIFIER","OK")))))</f>
        <v/>
      </c>
      <c r="S138" s="9">
        <f>IF($A138="","",IF(SUM(COUNTIFS('Ordres de travail'!$I$5:$I$3004,$A138,'Ordres de travail'!$AC$5:$AC$3004,{"Demandé","Planifié","En cours","En attente pièces"}))&gt;0,"Oui","Non"))</f>
        <v/>
      </c>
      <c r="T138" s="68">
        <f>IF($A138="","",COUNTIFS('Ordres de travail'!$I$5:$I$3004,$A138,'Ordres de travail'!$AC$5:$AC$3004,"Clôturé",'Ordres de travail'!$R$5:$R$3004,"&gt;="&amp;'Paramètres'!$AA$6,'Ordres de travail'!$R$5:$R$3004,"&lt;"&amp;('Paramètres'!$AA$7+1)))</f>
        <v/>
      </c>
      <c r="U138" s="69">
        <f>IF(OR($A138="",N(H138)=0),"",IF(M138="Non",0,365/H138*I138))</f>
        <v/>
      </c>
    </row>
    <row r="139">
      <c r="A139" s="7" t="n"/>
      <c r="B139" s="7" t="n"/>
      <c r="C139" s="9">
        <f>IF(B139="","",IFERROR(INDEX('Équipements'!$B$5:$B$304,MATCH(B139,'Équipements'!$A$5:$A$304,0)),"Code inconnu"))</f>
        <v/>
      </c>
      <c r="D139" s="9">
        <f>IF(B139="","",IFERROR(INDEX('Équipements'!$D$5:$D$304,MATCH(B139,'Équipements'!$A$5:$A$304,0)),""))</f>
        <v/>
      </c>
      <c r="E139" s="7" t="n"/>
      <c r="F139" s="7" t="n"/>
      <c r="G139" s="7" t="n"/>
      <c r="H139" s="67" t="n"/>
      <c r="I139" s="76" t="n"/>
      <c r="J139" s="7" t="n"/>
      <c r="K139" s="7" t="n"/>
      <c r="L139" s="65" t="n"/>
      <c r="M139" s="7" t="n"/>
      <c r="N139" s="7" t="n"/>
      <c r="O139" s="78">
        <f>IF($A139="","",MAX(N(L139),INT(_xlfn.MAXIFS('Ordres de travail'!$R$5:$R$3004,'Ordres de travail'!$I$5:$I$3004,$A139,'Ordres de travail'!$AC$5:$AC$3004,"Clôturé"))))</f>
        <v/>
      </c>
      <c r="P139" s="78">
        <f>IF(OR($A139="",N(O139)=0),"",O139+H139)</f>
        <v/>
      </c>
      <c r="Q139" s="79">
        <f>IF(P139="","",P139-TODAY())</f>
        <v/>
      </c>
      <c r="R139" s="9">
        <f>IF($A139="","",IF(M139="Non","INACTIF",IF(Q139="","À DÉFINIR",IF(Q139&lt;0,"EN RETARD",IF(Q139&lt;='Paramètres'!$AA$12,"À PLANIFIER","OK")))))</f>
        <v/>
      </c>
      <c r="S139" s="9">
        <f>IF($A139="","",IF(SUM(COUNTIFS('Ordres de travail'!$I$5:$I$3004,$A139,'Ordres de travail'!$AC$5:$AC$3004,{"Demandé","Planifié","En cours","En attente pièces"}))&gt;0,"Oui","Non"))</f>
        <v/>
      </c>
      <c r="T139" s="68">
        <f>IF($A139="","",COUNTIFS('Ordres de travail'!$I$5:$I$3004,$A139,'Ordres de travail'!$AC$5:$AC$3004,"Clôturé",'Ordres de travail'!$R$5:$R$3004,"&gt;="&amp;'Paramètres'!$AA$6,'Ordres de travail'!$R$5:$R$3004,"&lt;"&amp;('Paramètres'!$AA$7+1)))</f>
        <v/>
      </c>
      <c r="U139" s="69">
        <f>IF(OR($A139="",N(H139)=0),"",IF(M139="Non",0,365/H139*I139))</f>
        <v/>
      </c>
    </row>
    <row r="140">
      <c r="A140" s="7" t="n"/>
      <c r="B140" s="7" t="n"/>
      <c r="C140" s="9">
        <f>IF(B140="","",IFERROR(INDEX('Équipements'!$B$5:$B$304,MATCH(B140,'Équipements'!$A$5:$A$304,0)),"Code inconnu"))</f>
        <v/>
      </c>
      <c r="D140" s="9">
        <f>IF(B140="","",IFERROR(INDEX('Équipements'!$D$5:$D$304,MATCH(B140,'Équipements'!$A$5:$A$304,0)),""))</f>
        <v/>
      </c>
      <c r="E140" s="7" t="n"/>
      <c r="F140" s="7" t="n"/>
      <c r="G140" s="7" t="n"/>
      <c r="H140" s="67" t="n"/>
      <c r="I140" s="76" t="n"/>
      <c r="J140" s="7" t="n"/>
      <c r="K140" s="7" t="n"/>
      <c r="L140" s="65" t="n"/>
      <c r="M140" s="7" t="n"/>
      <c r="N140" s="7" t="n"/>
      <c r="O140" s="78">
        <f>IF($A140="","",MAX(N(L140),INT(_xlfn.MAXIFS('Ordres de travail'!$R$5:$R$3004,'Ordres de travail'!$I$5:$I$3004,$A140,'Ordres de travail'!$AC$5:$AC$3004,"Clôturé"))))</f>
        <v/>
      </c>
      <c r="P140" s="78">
        <f>IF(OR($A140="",N(O140)=0),"",O140+H140)</f>
        <v/>
      </c>
      <c r="Q140" s="79">
        <f>IF(P140="","",P140-TODAY())</f>
        <v/>
      </c>
      <c r="R140" s="9">
        <f>IF($A140="","",IF(M140="Non","INACTIF",IF(Q140="","À DÉFINIR",IF(Q140&lt;0,"EN RETARD",IF(Q140&lt;='Paramètres'!$AA$12,"À PLANIFIER","OK")))))</f>
        <v/>
      </c>
      <c r="S140" s="9">
        <f>IF($A140="","",IF(SUM(COUNTIFS('Ordres de travail'!$I$5:$I$3004,$A140,'Ordres de travail'!$AC$5:$AC$3004,{"Demandé","Planifié","En cours","En attente pièces"}))&gt;0,"Oui","Non"))</f>
        <v/>
      </c>
      <c r="T140" s="68">
        <f>IF($A140="","",COUNTIFS('Ordres de travail'!$I$5:$I$3004,$A140,'Ordres de travail'!$AC$5:$AC$3004,"Clôturé",'Ordres de travail'!$R$5:$R$3004,"&gt;="&amp;'Paramètres'!$AA$6,'Ordres de travail'!$R$5:$R$3004,"&lt;"&amp;('Paramètres'!$AA$7+1)))</f>
        <v/>
      </c>
      <c r="U140" s="69">
        <f>IF(OR($A140="",N(H140)=0),"",IF(M140="Non",0,365/H140*I140))</f>
        <v/>
      </c>
    </row>
    <row r="141">
      <c r="A141" s="7" t="n"/>
      <c r="B141" s="7" t="n"/>
      <c r="C141" s="9">
        <f>IF(B141="","",IFERROR(INDEX('Équipements'!$B$5:$B$304,MATCH(B141,'Équipements'!$A$5:$A$304,0)),"Code inconnu"))</f>
        <v/>
      </c>
      <c r="D141" s="9">
        <f>IF(B141="","",IFERROR(INDEX('Équipements'!$D$5:$D$304,MATCH(B141,'Équipements'!$A$5:$A$304,0)),""))</f>
        <v/>
      </c>
      <c r="E141" s="7" t="n"/>
      <c r="F141" s="7" t="n"/>
      <c r="G141" s="7" t="n"/>
      <c r="H141" s="67" t="n"/>
      <c r="I141" s="76" t="n"/>
      <c r="J141" s="7" t="n"/>
      <c r="K141" s="7" t="n"/>
      <c r="L141" s="65" t="n"/>
      <c r="M141" s="7" t="n"/>
      <c r="N141" s="7" t="n"/>
      <c r="O141" s="78">
        <f>IF($A141="","",MAX(N(L141),INT(_xlfn.MAXIFS('Ordres de travail'!$R$5:$R$3004,'Ordres de travail'!$I$5:$I$3004,$A141,'Ordres de travail'!$AC$5:$AC$3004,"Clôturé"))))</f>
        <v/>
      </c>
      <c r="P141" s="78">
        <f>IF(OR($A141="",N(O141)=0),"",O141+H141)</f>
        <v/>
      </c>
      <c r="Q141" s="79">
        <f>IF(P141="","",P141-TODAY())</f>
        <v/>
      </c>
      <c r="R141" s="9">
        <f>IF($A141="","",IF(M141="Non","INACTIF",IF(Q141="","À DÉFINIR",IF(Q141&lt;0,"EN RETARD",IF(Q141&lt;='Paramètres'!$AA$12,"À PLANIFIER","OK")))))</f>
        <v/>
      </c>
      <c r="S141" s="9">
        <f>IF($A141="","",IF(SUM(COUNTIFS('Ordres de travail'!$I$5:$I$3004,$A141,'Ordres de travail'!$AC$5:$AC$3004,{"Demandé","Planifié","En cours","En attente pièces"}))&gt;0,"Oui","Non"))</f>
        <v/>
      </c>
      <c r="T141" s="68">
        <f>IF($A141="","",COUNTIFS('Ordres de travail'!$I$5:$I$3004,$A141,'Ordres de travail'!$AC$5:$AC$3004,"Clôturé",'Ordres de travail'!$R$5:$R$3004,"&gt;="&amp;'Paramètres'!$AA$6,'Ordres de travail'!$R$5:$R$3004,"&lt;"&amp;('Paramètres'!$AA$7+1)))</f>
        <v/>
      </c>
      <c r="U141" s="69">
        <f>IF(OR($A141="",N(H141)=0),"",IF(M141="Non",0,365/H141*I141))</f>
        <v/>
      </c>
    </row>
    <row r="142">
      <c r="A142" s="7" t="n"/>
      <c r="B142" s="7" t="n"/>
      <c r="C142" s="9">
        <f>IF(B142="","",IFERROR(INDEX('Équipements'!$B$5:$B$304,MATCH(B142,'Équipements'!$A$5:$A$304,0)),"Code inconnu"))</f>
        <v/>
      </c>
      <c r="D142" s="9">
        <f>IF(B142="","",IFERROR(INDEX('Équipements'!$D$5:$D$304,MATCH(B142,'Équipements'!$A$5:$A$304,0)),""))</f>
        <v/>
      </c>
      <c r="E142" s="7" t="n"/>
      <c r="F142" s="7" t="n"/>
      <c r="G142" s="7" t="n"/>
      <c r="H142" s="67" t="n"/>
      <c r="I142" s="76" t="n"/>
      <c r="J142" s="7" t="n"/>
      <c r="K142" s="7" t="n"/>
      <c r="L142" s="65" t="n"/>
      <c r="M142" s="7" t="n"/>
      <c r="N142" s="7" t="n"/>
      <c r="O142" s="78">
        <f>IF($A142="","",MAX(N(L142),INT(_xlfn.MAXIFS('Ordres de travail'!$R$5:$R$3004,'Ordres de travail'!$I$5:$I$3004,$A142,'Ordres de travail'!$AC$5:$AC$3004,"Clôturé"))))</f>
        <v/>
      </c>
      <c r="P142" s="78">
        <f>IF(OR($A142="",N(O142)=0),"",O142+H142)</f>
        <v/>
      </c>
      <c r="Q142" s="79">
        <f>IF(P142="","",P142-TODAY())</f>
        <v/>
      </c>
      <c r="R142" s="9">
        <f>IF($A142="","",IF(M142="Non","INACTIF",IF(Q142="","À DÉFINIR",IF(Q142&lt;0,"EN RETARD",IF(Q142&lt;='Paramètres'!$AA$12,"À PLANIFIER","OK")))))</f>
        <v/>
      </c>
      <c r="S142" s="9">
        <f>IF($A142="","",IF(SUM(COUNTIFS('Ordres de travail'!$I$5:$I$3004,$A142,'Ordres de travail'!$AC$5:$AC$3004,{"Demandé","Planifié","En cours","En attente pièces"}))&gt;0,"Oui","Non"))</f>
        <v/>
      </c>
      <c r="T142" s="68">
        <f>IF($A142="","",COUNTIFS('Ordres de travail'!$I$5:$I$3004,$A142,'Ordres de travail'!$AC$5:$AC$3004,"Clôturé",'Ordres de travail'!$R$5:$R$3004,"&gt;="&amp;'Paramètres'!$AA$6,'Ordres de travail'!$R$5:$R$3004,"&lt;"&amp;('Paramètres'!$AA$7+1)))</f>
        <v/>
      </c>
      <c r="U142" s="69">
        <f>IF(OR($A142="",N(H142)=0),"",IF(M142="Non",0,365/H142*I142))</f>
        <v/>
      </c>
    </row>
    <row r="143">
      <c r="A143" s="7" t="n"/>
      <c r="B143" s="7" t="n"/>
      <c r="C143" s="9">
        <f>IF(B143="","",IFERROR(INDEX('Équipements'!$B$5:$B$304,MATCH(B143,'Équipements'!$A$5:$A$304,0)),"Code inconnu"))</f>
        <v/>
      </c>
      <c r="D143" s="9">
        <f>IF(B143="","",IFERROR(INDEX('Équipements'!$D$5:$D$304,MATCH(B143,'Équipements'!$A$5:$A$304,0)),""))</f>
        <v/>
      </c>
      <c r="E143" s="7" t="n"/>
      <c r="F143" s="7" t="n"/>
      <c r="G143" s="7" t="n"/>
      <c r="H143" s="67" t="n"/>
      <c r="I143" s="76" t="n"/>
      <c r="J143" s="7" t="n"/>
      <c r="K143" s="7" t="n"/>
      <c r="L143" s="65" t="n"/>
      <c r="M143" s="7" t="n"/>
      <c r="N143" s="7" t="n"/>
      <c r="O143" s="78">
        <f>IF($A143="","",MAX(N(L143),INT(_xlfn.MAXIFS('Ordres de travail'!$R$5:$R$3004,'Ordres de travail'!$I$5:$I$3004,$A143,'Ordres de travail'!$AC$5:$AC$3004,"Clôturé"))))</f>
        <v/>
      </c>
      <c r="P143" s="78">
        <f>IF(OR($A143="",N(O143)=0),"",O143+H143)</f>
        <v/>
      </c>
      <c r="Q143" s="79">
        <f>IF(P143="","",P143-TODAY())</f>
        <v/>
      </c>
      <c r="R143" s="9">
        <f>IF($A143="","",IF(M143="Non","INACTIF",IF(Q143="","À DÉFINIR",IF(Q143&lt;0,"EN RETARD",IF(Q143&lt;='Paramètres'!$AA$12,"À PLANIFIER","OK")))))</f>
        <v/>
      </c>
      <c r="S143" s="9">
        <f>IF($A143="","",IF(SUM(COUNTIFS('Ordres de travail'!$I$5:$I$3004,$A143,'Ordres de travail'!$AC$5:$AC$3004,{"Demandé","Planifié","En cours","En attente pièces"}))&gt;0,"Oui","Non"))</f>
        <v/>
      </c>
      <c r="T143" s="68">
        <f>IF($A143="","",COUNTIFS('Ordres de travail'!$I$5:$I$3004,$A143,'Ordres de travail'!$AC$5:$AC$3004,"Clôturé",'Ordres de travail'!$R$5:$R$3004,"&gt;="&amp;'Paramètres'!$AA$6,'Ordres de travail'!$R$5:$R$3004,"&lt;"&amp;('Paramètres'!$AA$7+1)))</f>
        <v/>
      </c>
      <c r="U143" s="69">
        <f>IF(OR($A143="",N(H143)=0),"",IF(M143="Non",0,365/H143*I143))</f>
        <v/>
      </c>
    </row>
    <row r="144">
      <c r="A144" s="7" t="n"/>
      <c r="B144" s="7" t="n"/>
      <c r="C144" s="9">
        <f>IF(B144="","",IFERROR(INDEX('Équipements'!$B$5:$B$304,MATCH(B144,'Équipements'!$A$5:$A$304,0)),"Code inconnu"))</f>
        <v/>
      </c>
      <c r="D144" s="9">
        <f>IF(B144="","",IFERROR(INDEX('Équipements'!$D$5:$D$304,MATCH(B144,'Équipements'!$A$5:$A$304,0)),""))</f>
        <v/>
      </c>
      <c r="E144" s="7" t="n"/>
      <c r="F144" s="7" t="n"/>
      <c r="G144" s="7" t="n"/>
      <c r="H144" s="67" t="n"/>
      <c r="I144" s="76" t="n"/>
      <c r="J144" s="7" t="n"/>
      <c r="K144" s="7" t="n"/>
      <c r="L144" s="65" t="n"/>
      <c r="M144" s="7" t="n"/>
      <c r="N144" s="7" t="n"/>
      <c r="O144" s="78">
        <f>IF($A144="","",MAX(N(L144),INT(_xlfn.MAXIFS('Ordres de travail'!$R$5:$R$3004,'Ordres de travail'!$I$5:$I$3004,$A144,'Ordres de travail'!$AC$5:$AC$3004,"Clôturé"))))</f>
        <v/>
      </c>
      <c r="P144" s="78">
        <f>IF(OR($A144="",N(O144)=0),"",O144+H144)</f>
        <v/>
      </c>
      <c r="Q144" s="79">
        <f>IF(P144="","",P144-TODAY())</f>
        <v/>
      </c>
      <c r="R144" s="9">
        <f>IF($A144="","",IF(M144="Non","INACTIF",IF(Q144="","À DÉFINIR",IF(Q144&lt;0,"EN RETARD",IF(Q144&lt;='Paramètres'!$AA$12,"À PLANIFIER","OK")))))</f>
        <v/>
      </c>
      <c r="S144" s="9">
        <f>IF($A144="","",IF(SUM(COUNTIFS('Ordres de travail'!$I$5:$I$3004,$A144,'Ordres de travail'!$AC$5:$AC$3004,{"Demandé","Planifié","En cours","En attente pièces"}))&gt;0,"Oui","Non"))</f>
        <v/>
      </c>
      <c r="T144" s="68">
        <f>IF($A144="","",COUNTIFS('Ordres de travail'!$I$5:$I$3004,$A144,'Ordres de travail'!$AC$5:$AC$3004,"Clôturé",'Ordres de travail'!$R$5:$R$3004,"&gt;="&amp;'Paramètres'!$AA$6,'Ordres de travail'!$R$5:$R$3004,"&lt;"&amp;('Paramètres'!$AA$7+1)))</f>
        <v/>
      </c>
      <c r="U144" s="69">
        <f>IF(OR($A144="",N(H144)=0),"",IF(M144="Non",0,365/H144*I144))</f>
        <v/>
      </c>
    </row>
    <row r="145">
      <c r="A145" s="7" t="n"/>
      <c r="B145" s="7" t="n"/>
      <c r="C145" s="9">
        <f>IF(B145="","",IFERROR(INDEX('Équipements'!$B$5:$B$304,MATCH(B145,'Équipements'!$A$5:$A$304,0)),"Code inconnu"))</f>
        <v/>
      </c>
      <c r="D145" s="9">
        <f>IF(B145="","",IFERROR(INDEX('Équipements'!$D$5:$D$304,MATCH(B145,'Équipements'!$A$5:$A$304,0)),""))</f>
        <v/>
      </c>
      <c r="E145" s="7" t="n"/>
      <c r="F145" s="7" t="n"/>
      <c r="G145" s="7" t="n"/>
      <c r="H145" s="67" t="n"/>
      <c r="I145" s="76" t="n"/>
      <c r="J145" s="7" t="n"/>
      <c r="K145" s="7" t="n"/>
      <c r="L145" s="65" t="n"/>
      <c r="M145" s="7" t="n"/>
      <c r="N145" s="7" t="n"/>
      <c r="O145" s="78">
        <f>IF($A145="","",MAX(N(L145),INT(_xlfn.MAXIFS('Ordres de travail'!$R$5:$R$3004,'Ordres de travail'!$I$5:$I$3004,$A145,'Ordres de travail'!$AC$5:$AC$3004,"Clôturé"))))</f>
        <v/>
      </c>
      <c r="P145" s="78">
        <f>IF(OR($A145="",N(O145)=0),"",O145+H145)</f>
        <v/>
      </c>
      <c r="Q145" s="79">
        <f>IF(P145="","",P145-TODAY())</f>
        <v/>
      </c>
      <c r="R145" s="9">
        <f>IF($A145="","",IF(M145="Non","INACTIF",IF(Q145="","À DÉFINIR",IF(Q145&lt;0,"EN RETARD",IF(Q145&lt;='Paramètres'!$AA$12,"À PLANIFIER","OK")))))</f>
        <v/>
      </c>
      <c r="S145" s="9">
        <f>IF($A145="","",IF(SUM(COUNTIFS('Ordres de travail'!$I$5:$I$3004,$A145,'Ordres de travail'!$AC$5:$AC$3004,{"Demandé","Planifié","En cours","En attente pièces"}))&gt;0,"Oui","Non"))</f>
        <v/>
      </c>
      <c r="T145" s="68">
        <f>IF($A145="","",COUNTIFS('Ordres de travail'!$I$5:$I$3004,$A145,'Ordres de travail'!$AC$5:$AC$3004,"Clôturé",'Ordres de travail'!$R$5:$R$3004,"&gt;="&amp;'Paramètres'!$AA$6,'Ordres de travail'!$R$5:$R$3004,"&lt;"&amp;('Paramètres'!$AA$7+1)))</f>
        <v/>
      </c>
      <c r="U145" s="69">
        <f>IF(OR($A145="",N(H145)=0),"",IF(M145="Non",0,365/H145*I145))</f>
        <v/>
      </c>
    </row>
    <row r="146">
      <c r="A146" s="7" t="n"/>
      <c r="B146" s="7" t="n"/>
      <c r="C146" s="9">
        <f>IF(B146="","",IFERROR(INDEX('Équipements'!$B$5:$B$304,MATCH(B146,'Équipements'!$A$5:$A$304,0)),"Code inconnu"))</f>
        <v/>
      </c>
      <c r="D146" s="9">
        <f>IF(B146="","",IFERROR(INDEX('Équipements'!$D$5:$D$304,MATCH(B146,'Équipements'!$A$5:$A$304,0)),""))</f>
        <v/>
      </c>
      <c r="E146" s="7" t="n"/>
      <c r="F146" s="7" t="n"/>
      <c r="G146" s="7" t="n"/>
      <c r="H146" s="67" t="n"/>
      <c r="I146" s="76" t="n"/>
      <c r="J146" s="7" t="n"/>
      <c r="K146" s="7" t="n"/>
      <c r="L146" s="65" t="n"/>
      <c r="M146" s="7" t="n"/>
      <c r="N146" s="7" t="n"/>
      <c r="O146" s="78">
        <f>IF($A146="","",MAX(N(L146),INT(_xlfn.MAXIFS('Ordres de travail'!$R$5:$R$3004,'Ordres de travail'!$I$5:$I$3004,$A146,'Ordres de travail'!$AC$5:$AC$3004,"Clôturé"))))</f>
        <v/>
      </c>
      <c r="P146" s="78">
        <f>IF(OR($A146="",N(O146)=0),"",O146+H146)</f>
        <v/>
      </c>
      <c r="Q146" s="79">
        <f>IF(P146="","",P146-TODAY())</f>
        <v/>
      </c>
      <c r="R146" s="9">
        <f>IF($A146="","",IF(M146="Non","INACTIF",IF(Q146="","À DÉFINIR",IF(Q146&lt;0,"EN RETARD",IF(Q146&lt;='Paramètres'!$AA$12,"À PLANIFIER","OK")))))</f>
        <v/>
      </c>
      <c r="S146" s="9">
        <f>IF($A146="","",IF(SUM(COUNTIFS('Ordres de travail'!$I$5:$I$3004,$A146,'Ordres de travail'!$AC$5:$AC$3004,{"Demandé","Planifié","En cours","En attente pièces"}))&gt;0,"Oui","Non"))</f>
        <v/>
      </c>
      <c r="T146" s="68">
        <f>IF($A146="","",COUNTIFS('Ordres de travail'!$I$5:$I$3004,$A146,'Ordres de travail'!$AC$5:$AC$3004,"Clôturé",'Ordres de travail'!$R$5:$R$3004,"&gt;="&amp;'Paramètres'!$AA$6,'Ordres de travail'!$R$5:$R$3004,"&lt;"&amp;('Paramètres'!$AA$7+1)))</f>
        <v/>
      </c>
      <c r="U146" s="69">
        <f>IF(OR($A146="",N(H146)=0),"",IF(M146="Non",0,365/H146*I146))</f>
        <v/>
      </c>
    </row>
    <row r="147">
      <c r="A147" s="7" t="n"/>
      <c r="B147" s="7" t="n"/>
      <c r="C147" s="9">
        <f>IF(B147="","",IFERROR(INDEX('Équipements'!$B$5:$B$304,MATCH(B147,'Équipements'!$A$5:$A$304,0)),"Code inconnu"))</f>
        <v/>
      </c>
      <c r="D147" s="9">
        <f>IF(B147="","",IFERROR(INDEX('Équipements'!$D$5:$D$304,MATCH(B147,'Équipements'!$A$5:$A$304,0)),""))</f>
        <v/>
      </c>
      <c r="E147" s="7" t="n"/>
      <c r="F147" s="7" t="n"/>
      <c r="G147" s="7" t="n"/>
      <c r="H147" s="67" t="n"/>
      <c r="I147" s="76" t="n"/>
      <c r="J147" s="7" t="n"/>
      <c r="K147" s="7" t="n"/>
      <c r="L147" s="65" t="n"/>
      <c r="M147" s="7" t="n"/>
      <c r="N147" s="7" t="n"/>
      <c r="O147" s="78">
        <f>IF($A147="","",MAX(N(L147),INT(_xlfn.MAXIFS('Ordres de travail'!$R$5:$R$3004,'Ordres de travail'!$I$5:$I$3004,$A147,'Ordres de travail'!$AC$5:$AC$3004,"Clôturé"))))</f>
        <v/>
      </c>
      <c r="P147" s="78">
        <f>IF(OR($A147="",N(O147)=0),"",O147+H147)</f>
        <v/>
      </c>
      <c r="Q147" s="79">
        <f>IF(P147="","",P147-TODAY())</f>
        <v/>
      </c>
      <c r="R147" s="9">
        <f>IF($A147="","",IF(M147="Non","INACTIF",IF(Q147="","À DÉFINIR",IF(Q147&lt;0,"EN RETARD",IF(Q147&lt;='Paramètres'!$AA$12,"À PLANIFIER","OK")))))</f>
        <v/>
      </c>
      <c r="S147" s="9">
        <f>IF($A147="","",IF(SUM(COUNTIFS('Ordres de travail'!$I$5:$I$3004,$A147,'Ordres de travail'!$AC$5:$AC$3004,{"Demandé","Planifié","En cours","En attente pièces"}))&gt;0,"Oui","Non"))</f>
        <v/>
      </c>
      <c r="T147" s="68">
        <f>IF($A147="","",COUNTIFS('Ordres de travail'!$I$5:$I$3004,$A147,'Ordres de travail'!$AC$5:$AC$3004,"Clôturé",'Ordres de travail'!$R$5:$R$3004,"&gt;="&amp;'Paramètres'!$AA$6,'Ordres de travail'!$R$5:$R$3004,"&lt;"&amp;('Paramètres'!$AA$7+1)))</f>
        <v/>
      </c>
      <c r="U147" s="69">
        <f>IF(OR($A147="",N(H147)=0),"",IF(M147="Non",0,365/H147*I147))</f>
        <v/>
      </c>
    </row>
    <row r="148">
      <c r="A148" s="7" t="n"/>
      <c r="B148" s="7" t="n"/>
      <c r="C148" s="9">
        <f>IF(B148="","",IFERROR(INDEX('Équipements'!$B$5:$B$304,MATCH(B148,'Équipements'!$A$5:$A$304,0)),"Code inconnu"))</f>
        <v/>
      </c>
      <c r="D148" s="9">
        <f>IF(B148="","",IFERROR(INDEX('Équipements'!$D$5:$D$304,MATCH(B148,'Équipements'!$A$5:$A$304,0)),""))</f>
        <v/>
      </c>
      <c r="E148" s="7" t="n"/>
      <c r="F148" s="7" t="n"/>
      <c r="G148" s="7" t="n"/>
      <c r="H148" s="67" t="n"/>
      <c r="I148" s="76" t="n"/>
      <c r="J148" s="7" t="n"/>
      <c r="K148" s="7" t="n"/>
      <c r="L148" s="65" t="n"/>
      <c r="M148" s="7" t="n"/>
      <c r="N148" s="7" t="n"/>
      <c r="O148" s="78">
        <f>IF($A148="","",MAX(N(L148),INT(_xlfn.MAXIFS('Ordres de travail'!$R$5:$R$3004,'Ordres de travail'!$I$5:$I$3004,$A148,'Ordres de travail'!$AC$5:$AC$3004,"Clôturé"))))</f>
        <v/>
      </c>
      <c r="P148" s="78">
        <f>IF(OR($A148="",N(O148)=0),"",O148+H148)</f>
        <v/>
      </c>
      <c r="Q148" s="79">
        <f>IF(P148="","",P148-TODAY())</f>
        <v/>
      </c>
      <c r="R148" s="9">
        <f>IF($A148="","",IF(M148="Non","INACTIF",IF(Q148="","À DÉFINIR",IF(Q148&lt;0,"EN RETARD",IF(Q148&lt;='Paramètres'!$AA$12,"À PLANIFIER","OK")))))</f>
        <v/>
      </c>
      <c r="S148" s="9">
        <f>IF($A148="","",IF(SUM(COUNTIFS('Ordres de travail'!$I$5:$I$3004,$A148,'Ordres de travail'!$AC$5:$AC$3004,{"Demandé","Planifié","En cours","En attente pièces"}))&gt;0,"Oui","Non"))</f>
        <v/>
      </c>
      <c r="T148" s="68">
        <f>IF($A148="","",COUNTIFS('Ordres de travail'!$I$5:$I$3004,$A148,'Ordres de travail'!$AC$5:$AC$3004,"Clôturé",'Ordres de travail'!$R$5:$R$3004,"&gt;="&amp;'Paramètres'!$AA$6,'Ordres de travail'!$R$5:$R$3004,"&lt;"&amp;('Paramètres'!$AA$7+1)))</f>
        <v/>
      </c>
      <c r="U148" s="69">
        <f>IF(OR($A148="",N(H148)=0),"",IF(M148="Non",0,365/H148*I148))</f>
        <v/>
      </c>
    </row>
    <row r="149">
      <c r="A149" s="7" t="n"/>
      <c r="B149" s="7" t="n"/>
      <c r="C149" s="9">
        <f>IF(B149="","",IFERROR(INDEX('Équipements'!$B$5:$B$304,MATCH(B149,'Équipements'!$A$5:$A$304,0)),"Code inconnu"))</f>
        <v/>
      </c>
      <c r="D149" s="9">
        <f>IF(B149="","",IFERROR(INDEX('Équipements'!$D$5:$D$304,MATCH(B149,'Équipements'!$A$5:$A$304,0)),""))</f>
        <v/>
      </c>
      <c r="E149" s="7" t="n"/>
      <c r="F149" s="7" t="n"/>
      <c r="G149" s="7" t="n"/>
      <c r="H149" s="67" t="n"/>
      <c r="I149" s="76" t="n"/>
      <c r="J149" s="7" t="n"/>
      <c r="K149" s="7" t="n"/>
      <c r="L149" s="65" t="n"/>
      <c r="M149" s="7" t="n"/>
      <c r="N149" s="7" t="n"/>
      <c r="O149" s="78">
        <f>IF($A149="","",MAX(N(L149),INT(_xlfn.MAXIFS('Ordres de travail'!$R$5:$R$3004,'Ordres de travail'!$I$5:$I$3004,$A149,'Ordres de travail'!$AC$5:$AC$3004,"Clôturé"))))</f>
        <v/>
      </c>
      <c r="P149" s="78">
        <f>IF(OR($A149="",N(O149)=0),"",O149+H149)</f>
        <v/>
      </c>
      <c r="Q149" s="79">
        <f>IF(P149="","",P149-TODAY())</f>
        <v/>
      </c>
      <c r="R149" s="9">
        <f>IF($A149="","",IF(M149="Non","INACTIF",IF(Q149="","À DÉFINIR",IF(Q149&lt;0,"EN RETARD",IF(Q149&lt;='Paramètres'!$AA$12,"À PLANIFIER","OK")))))</f>
        <v/>
      </c>
      <c r="S149" s="9">
        <f>IF($A149="","",IF(SUM(COUNTIFS('Ordres de travail'!$I$5:$I$3004,$A149,'Ordres de travail'!$AC$5:$AC$3004,{"Demandé","Planifié","En cours","En attente pièces"}))&gt;0,"Oui","Non"))</f>
        <v/>
      </c>
      <c r="T149" s="68">
        <f>IF($A149="","",COUNTIFS('Ordres de travail'!$I$5:$I$3004,$A149,'Ordres de travail'!$AC$5:$AC$3004,"Clôturé",'Ordres de travail'!$R$5:$R$3004,"&gt;="&amp;'Paramètres'!$AA$6,'Ordres de travail'!$R$5:$R$3004,"&lt;"&amp;('Paramètres'!$AA$7+1)))</f>
        <v/>
      </c>
      <c r="U149" s="69">
        <f>IF(OR($A149="",N(H149)=0),"",IF(M149="Non",0,365/H149*I149))</f>
        <v/>
      </c>
    </row>
    <row r="150">
      <c r="A150" s="7" t="n"/>
      <c r="B150" s="7" t="n"/>
      <c r="C150" s="9">
        <f>IF(B150="","",IFERROR(INDEX('Équipements'!$B$5:$B$304,MATCH(B150,'Équipements'!$A$5:$A$304,0)),"Code inconnu"))</f>
        <v/>
      </c>
      <c r="D150" s="9">
        <f>IF(B150="","",IFERROR(INDEX('Équipements'!$D$5:$D$304,MATCH(B150,'Équipements'!$A$5:$A$304,0)),""))</f>
        <v/>
      </c>
      <c r="E150" s="7" t="n"/>
      <c r="F150" s="7" t="n"/>
      <c r="G150" s="7" t="n"/>
      <c r="H150" s="67" t="n"/>
      <c r="I150" s="76" t="n"/>
      <c r="J150" s="7" t="n"/>
      <c r="K150" s="7" t="n"/>
      <c r="L150" s="65" t="n"/>
      <c r="M150" s="7" t="n"/>
      <c r="N150" s="7" t="n"/>
      <c r="O150" s="78">
        <f>IF($A150="","",MAX(N(L150),INT(_xlfn.MAXIFS('Ordres de travail'!$R$5:$R$3004,'Ordres de travail'!$I$5:$I$3004,$A150,'Ordres de travail'!$AC$5:$AC$3004,"Clôturé"))))</f>
        <v/>
      </c>
      <c r="P150" s="78">
        <f>IF(OR($A150="",N(O150)=0),"",O150+H150)</f>
        <v/>
      </c>
      <c r="Q150" s="79">
        <f>IF(P150="","",P150-TODAY())</f>
        <v/>
      </c>
      <c r="R150" s="9">
        <f>IF($A150="","",IF(M150="Non","INACTIF",IF(Q150="","À DÉFINIR",IF(Q150&lt;0,"EN RETARD",IF(Q150&lt;='Paramètres'!$AA$12,"À PLANIFIER","OK")))))</f>
        <v/>
      </c>
      <c r="S150" s="9">
        <f>IF($A150="","",IF(SUM(COUNTIFS('Ordres de travail'!$I$5:$I$3004,$A150,'Ordres de travail'!$AC$5:$AC$3004,{"Demandé","Planifié","En cours","En attente pièces"}))&gt;0,"Oui","Non"))</f>
        <v/>
      </c>
      <c r="T150" s="68">
        <f>IF($A150="","",COUNTIFS('Ordres de travail'!$I$5:$I$3004,$A150,'Ordres de travail'!$AC$5:$AC$3004,"Clôturé",'Ordres de travail'!$R$5:$R$3004,"&gt;="&amp;'Paramètres'!$AA$6,'Ordres de travail'!$R$5:$R$3004,"&lt;"&amp;('Paramètres'!$AA$7+1)))</f>
        <v/>
      </c>
      <c r="U150" s="69">
        <f>IF(OR($A150="",N(H150)=0),"",IF(M150="Non",0,365/H150*I150))</f>
        <v/>
      </c>
    </row>
    <row r="151">
      <c r="A151" s="7" t="n"/>
      <c r="B151" s="7" t="n"/>
      <c r="C151" s="9">
        <f>IF(B151="","",IFERROR(INDEX('Équipements'!$B$5:$B$304,MATCH(B151,'Équipements'!$A$5:$A$304,0)),"Code inconnu"))</f>
        <v/>
      </c>
      <c r="D151" s="9">
        <f>IF(B151="","",IFERROR(INDEX('Équipements'!$D$5:$D$304,MATCH(B151,'Équipements'!$A$5:$A$304,0)),""))</f>
        <v/>
      </c>
      <c r="E151" s="7" t="n"/>
      <c r="F151" s="7" t="n"/>
      <c r="G151" s="7" t="n"/>
      <c r="H151" s="67" t="n"/>
      <c r="I151" s="76" t="n"/>
      <c r="J151" s="7" t="n"/>
      <c r="K151" s="7" t="n"/>
      <c r="L151" s="65" t="n"/>
      <c r="M151" s="7" t="n"/>
      <c r="N151" s="7" t="n"/>
      <c r="O151" s="78">
        <f>IF($A151="","",MAX(N(L151),INT(_xlfn.MAXIFS('Ordres de travail'!$R$5:$R$3004,'Ordres de travail'!$I$5:$I$3004,$A151,'Ordres de travail'!$AC$5:$AC$3004,"Clôturé"))))</f>
        <v/>
      </c>
      <c r="P151" s="78">
        <f>IF(OR($A151="",N(O151)=0),"",O151+H151)</f>
        <v/>
      </c>
      <c r="Q151" s="79">
        <f>IF(P151="","",P151-TODAY())</f>
        <v/>
      </c>
      <c r="R151" s="9">
        <f>IF($A151="","",IF(M151="Non","INACTIF",IF(Q151="","À DÉFINIR",IF(Q151&lt;0,"EN RETARD",IF(Q151&lt;='Paramètres'!$AA$12,"À PLANIFIER","OK")))))</f>
        <v/>
      </c>
      <c r="S151" s="9">
        <f>IF($A151="","",IF(SUM(COUNTIFS('Ordres de travail'!$I$5:$I$3004,$A151,'Ordres de travail'!$AC$5:$AC$3004,{"Demandé","Planifié","En cours","En attente pièces"}))&gt;0,"Oui","Non"))</f>
        <v/>
      </c>
      <c r="T151" s="68">
        <f>IF($A151="","",COUNTIFS('Ordres de travail'!$I$5:$I$3004,$A151,'Ordres de travail'!$AC$5:$AC$3004,"Clôturé",'Ordres de travail'!$R$5:$R$3004,"&gt;="&amp;'Paramètres'!$AA$6,'Ordres de travail'!$R$5:$R$3004,"&lt;"&amp;('Paramètres'!$AA$7+1)))</f>
        <v/>
      </c>
      <c r="U151" s="69">
        <f>IF(OR($A151="",N(H151)=0),"",IF(M151="Non",0,365/H151*I151))</f>
        <v/>
      </c>
    </row>
    <row r="152">
      <c r="A152" s="7" t="n"/>
      <c r="B152" s="7" t="n"/>
      <c r="C152" s="9">
        <f>IF(B152="","",IFERROR(INDEX('Équipements'!$B$5:$B$304,MATCH(B152,'Équipements'!$A$5:$A$304,0)),"Code inconnu"))</f>
        <v/>
      </c>
      <c r="D152" s="9">
        <f>IF(B152="","",IFERROR(INDEX('Équipements'!$D$5:$D$304,MATCH(B152,'Équipements'!$A$5:$A$304,0)),""))</f>
        <v/>
      </c>
      <c r="E152" s="7" t="n"/>
      <c r="F152" s="7" t="n"/>
      <c r="G152" s="7" t="n"/>
      <c r="H152" s="67" t="n"/>
      <c r="I152" s="76" t="n"/>
      <c r="J152" s="7" t="n"/>
      <c r="K152" s="7" t="n"/>
      <c r="L152" s="65" t="n"/>
      <c r="M152" s="7" t="n"/>
      <c r="N152" s="7" t="n"/>
      <c r="O152" s="78">
        <f>IF($A152="","",MAX(N(L152),INT(_xlfn.MAXIFS('Ordres de travail'!$R$5:$R$3004,'Ordres de travail'!$I$5:$I$3004,$A152,'Ordres de travail'!$AC$5:$AC$3004,"Clôturé"))))</f>
        <v/>
      </c>
      <c r="P152" s="78">
        <f>IF(OR($A152="",N(O152)=0),"",O152+H152)</f>
        <v/>
      </c>
      <c r="Q152" s="79">
        <f>IF(P152="","",P152-TODAY())</f>
        <v/>
      </c>
      <c r="R152" s="9">
        <f>IF($A152="","",IF(M152="Non","INACTIF",IF(Q152="","À DÉFINIR",IF(Q152&lt;0,"EN RETARD",IF(Q152&lt;='Paramètres'!$AA$12,"À PLANIFIER","OK")))))</f>
        <v/>
      </c>
      <c r="S152" s="9">
        <f>IF($A152="","",IF(SUM(COUNTIFS('Ordres de travail'!$I$5:$I$3004,$A152,'Ordres de travail'!$AC$5:$AC$3004,{"Demandé","Planifié","En cours","En attente pièces"}))&gt;0,"Oui","Non"))</f>
        <v/>
      </c>
      <c r="T152" s="68">
        <f>IF($A152="","",COUNTIFS('Ordres de travail'!$I$5:$I$3004,$A152,'Ordres de travail'!$AC$5:$AC$3004,"Clôturé",'Ordres de travail'!$R$5:$R$3004,"&gt;="&amp;'Paramètres'!$AA$6,'Ordres de travail'!$R$5:$R$3004,"&lt;"&amp;('Paramètres'!$AA$7+1)))</f>
        <v/>
      </c>
      <c r="U152" s="69">
        <f>IF(OR($A152="",N(H152)=0),"",IF(M152="Non",0,365/H152*I152))</f>
        <v/>
      </c>
    </row>
    <row r="153">
      <c r="A153" s="7" t="n"/>
      <c r="B153" s="7" t="n"/>
      <c r="C153" s="9">
        <f>IF(B153="","",IFERROR(INDEX('Équipements'!$B$5:$B$304,MATCH(B153,'Équipements'!$A$5:$A$304,0)),"Code inconnu"))</f>
        <v/>
      </c>
      <c r="D153" s="9">
        <f>IF(B153="","",IFERROR(INDEX('Équipements'!$D$5:$D$304,MATCH(B153,'Équipements'!$A$5:$A$304,0)),""))</f>
        <v/>
      </c>
      <c r="E153" s="7" t="n"/>
      <c r="F153" s="7" t="n"/>
      <c r="G153" s="7" t="n"/>
      <c r="H153" s="67" t="n"/>
      <c r="I153" s="76" t="n"/>
      <c r="J153" s="7" t="n"/>
      <c r="K153" s="7" t="n"/>
      <c r="L153" s="65" t="n"/>
      <c r="M153" s="7" t="n"/>
      <c r="N153" s="7" t="n"/>
      <c r="O153" s="78">
        <f>IF($A153="","",MAX(N(L153),INT(_xlfn.MAXIFS('Ordres de travail'!$R$5:$R$3004,'Ordres de travail'!$I$5:$I$3004,$A153,'Ordres de travail'!$AC$5:$AC$3004,"Clôturé"))))</f>
        <v/>
      </c>
      <c r="P153" s="78">
        <f>IF(OR($A153="",N(O153)=0),"",O153+H153)</f>
        <v/>
      </c>
      <c r="Q153" s="79">
        <f>IF(P153="","",P153-TODAY())</f>
        <v/>
      </c>
      <c r="R153" s="9">
        <f>IF($A153="","",IF(M153="Non","INACTIF",IF(Q153="","À DÉFINIR",IF(Q153&lt;0,"EN RETARD",IF(Q153&lt;='Paramètres'!$AA$12,"À PLANIFIER","OK")))))</f>
        <v/>
      </c>
      <c r="S153" s="9">
        <f>IF($A153="","",IF(SUM(COUNTIFS('Ordres de travail'!$I$5:$I$3004,$A153,'Ordres de travail'!$AC$5:$AC$3004,{"Demandé","Planifié","En cours","En attente pièces"}))&gt;0,"Oui","Non"))</f>
        <v/>
      </c>
      <c r="T153" s="68">
        <f>IF($A153="","",COUNTIFS('Ordres de travail'!$I$5:$I$3004,$A153,'Ordres de travail'!$AC$5:$AC$3004,"Clôturé",'Ordres de travail'!$R$5:$R$3004,"&gt;="&amp;'Paramètres'!$AA$6,'Ordres de travail'!$R$5:$R$3004,"&lt;"&amp;('Paramètres'!$AA$7+1)))</f>
        <v/>
      </c>
      <c r="U153" s="69">
        <f>IF(OR($A153="",N(H153)=0),"",IF(M153="Non",0,365/H153*I153))</f>
        <v/>
      </c>
    </row>
    <row r="154">
      <c r="A154" s="7" t="n"/>
      <c r="B154" s="7" t="n"/>
      <c r="C154" s="9">
        <f>IF(B154="","",IFERROR(INDEX('Équipements'!$B$5:$B$304,MATCH(B154,'Équipements'!$A$5:$A$304,0)),"Code inconnu"))</f>
        <v/>
      </c>
      <c r="D154" s="9">
        <f>IF(B154="","",IFERROR(INDEX('Équipements'!$D$5:$D$304,MATCH(B154,'Équipements'!$A$5:$A$304,0)),""))</f>
        <v/>
      </c>
      <c r="E154" s="7" t="n"/>
      <c r="F154" s="7" t="n"/>
      <c r="G154" s="7" t="n"/>
      <c r="H154" s="67" t="n"/>
      <c r="I154" s="76" t="n"/>
      <c r="J154" s="7" t="n"/>
      <c r="K154" s="7" t="n"/>
      <c r="L154" s="65" t="n"/>
      <c r="M154" s="7" t="n"/>
      <c r="N154" s="7" t="n"/>
      <c r="O154" s="78">
        <f>IF($A154="","",MAX(N(L154),INT(_xlfn.MAXIFS('Ordres de travail'!$R$5:$R$3004,'Ordres de travail'!$I$5:$I$3004,$A154,'Ordres de travail'!$AC$5:$AC$3004,"Clôturé"))))</f>
        <v/>
      </c>
      <c r="P154" s="78">
        <f>IF(OR($A154="",N(O154)=0),"",O154+H154)</f>
        <v/>
      </c>
      <c r="Q154" s="79">
        <f>IF(P154="","",P154-TODAY())</f>
        <v/>
      </c>
      <c r="R154" s="9">
        <f>IF($A154="","",IF(M154="Non","INACTIF",IF(Q154="","À DÉFINIR",IF(Q154&lt;0,"EN RETARD",IF(Q154&lt;='Paramètres'!$AA$12,"À PLANIFIER","OK")))))</f>
        <v/>
      </c>
      <c r="S154" s="9">
        <f>IF($A154="","",IF(SUM(COUNTIFS('Ordres de travail'!$I$5:$I$3004,$A154,'Ordres de travail'!$AC$5:$AC$3004,{"Demandé","Planifié","En cours","En attente pièces"}))&gt;0,"Oui","Non"))</f>
        <v/>
      </c>
      <c r="T154" s="68">
        <f>IF($A154="","",COUNTIFS('Ordres de travail'!$I$5:$I$3004,$A154,'Ordres de travail'!$AC$5:$AC$3004,"Clôturé",'Ordres de travail'!$R$5:$R$3004,"&gt;="&amp;'Paramètres'!$AA$6,'Ordres de travail'!$R$5:$R$3004,"&lt;"&amp;('Paramètres'!$AA$7+1)))</f>
        <v/>
      </c>
      <c r="U154" s="69">
        <f>IF(OR($A154="",N(H154)=0),"",IF(M154="Non",0,365/H154*I154))</f>
        <v/>
      </c>
    </row>
    <row r="155">
      <c r="A155" s="7" t="n"/>
      <c r="B155" s="7" t="n"/>
      <c r="C155" s="9">
        <f>IF(B155="","",IFERROR(INDEX('Équipements'!$B$5:$B$304,MATCH(B155,'Équipements'!$A$5:$A$304,0)),"Code inconnu"))</f>
        <v/>
      </c>
      <c r="D155" s="9">
        <f>IF(B155="","",IFERROR(INDEX('Équipements'!$D$5:$D$304,MATCH(B155,'Équipements'!$A$5:$A$304,0)),""))</f>
        <v/>
      </c>
      <c r="E155" s="7" t="n"/>
      <c r="F155" s="7" t="n"/>
      <c r="G155" s="7" t="n"/>
      <c r="H155" s="67" t="n"/>
      <c r="I155" s="76" t="n"/>
      <c r="J155" s="7" t="n"/>
      <c r="K155" s="7" t="n"/>
      <c r="L155" s="65" t="n"/>
      <c r="M155" s="7" t="n"/>
      <c r="N155" s="7" t="n"/>
      <c r="O155" s="78">
        <f>IF($A155="","",MAX(N(L155),INT(_xlfn.MAXIFS('Ordres de travail'!$R$5:$R$3004,'Ordres de travail'!$I$5:$I$3004,$A155,'Ordres de travail'!$AC$5:$AC$3004,"Clôturé"))))</f>
        <v/>
      </c>
      <c r="P155" s="78">
        <f>IF(OR($A155="",N(O155)=0),"",O155+H155)</f>
        <v/>
      </c>
      <c r="Q155" s="79">
        <f>IF(P155="","",P155-TODAY())</f>
        <v/>
      </c>
      <c r="R155" s="9">
        <f>IF($A155="","",IF(M155="Non","INACTIF",IF(Q155="","À DÉFINIR",IF(Q155&lt;0,"EN RETARD",IF(Q155&lt;='Paramètres'!$AA$12,"À PLANIFIER","OK")))))</f>
        <v/>
      </c>
      <c r="S155" s="9">
        <f>IF($A155="","",IF(SUM(COUNTIFS('Ordres de travail'!$I$5:$I$3004,$A155,'Ordres de travail'!$AC$5:$AC$3004,{"Demandé","Planifié","En cours","En attente pièces"}))&gt;0,"Oui","Non"))</f>
        <v/>
      </c>
      <c r="T155" s="68">
        <f>IF($A155="","",COUNTIFS('Ordres de travail'!$I$5:$I$3004,$A155,'Ordres de travail'!$AC$5:$AC$3004,"Clôturé",'Ordres de travail'!$R$5:$R$3004,"&gt;="&amp;'Paramètres'!$AA$6,'Ordres de travail'!$R$5:$R$3004,"&lt;"&amp;('Paramètres'!$AA$7+1)))</f>
        <v/>
      </c>
      <c r="U155" s="69">
        <f>IF(OR($A155="",N(H155)=0),"",IF(M155="Non",0,365/H155*I155))</f>
        <v/>
      </c>
    </row>
    <row r="156">
      <c r="A156" s="7" t="n"/>
      <c r="B156" s="7" t="n"/>
      <c r="C156" s="9">
        <f>IF(B156="","",IFERROR(INDEX('Équipements'!$B$5:$B$304,MATCH(B156,'Équipements'!$A$5:$A$304,0)),"Code inconnu"))</f>
        <v/>
      </c>
      <c r="D156" s="9">
        <f>IF(B156="","",IFERROR(INDEX('Équipements'!$D$5:$D$304,MATCH(B156,'Équipements'!$A$5:$A$304,0)),""))</f>
        <v/>
      </c>
      <c r="E156" s="7" t="n"/>
      <c r="F156" s="7" t="n"/>
      <c r="G156" s="7" t="n"/>
      <c r="H156" s="67" t="n"/>
      <c r="I156" s="76" t="n"/>
      <c r="J156" s="7" t="n"/>
      <c r="K156" s="7" t="n"/>
      <c r="L156" s="65" t="n"/>
      <c r="M156" s="7" t="n"/>
      <c r="N156" s="7" t="n"/>
      <c r="O156" s="78">
        <f>IF($A156="","",MAX(N(L156),INT(_xlfn.MAXIFS('Ordres de travail'!$R$5:$R$3004,'Ordres de travail'!$I$5:$I$3004,$A156,'Ordres de travail'!$AC$5:$AC$3004,"Clôturé"))))</f>
        <v/>
      </c>
      <c r="P156" s="78">
        <f>IF(OR($A156="",N(O156)=0),"",O156+H156)</f>
        <v/>
      </c>
      <c r="Q156" s="79">
        <f>IF(P156="","",P156-TODAY())</f>
        <v/>
      </c>
      <c r="R156" s="9">
        <f>IF($A156="","",IF(M156="Non","INACTIF",IF(Q156="","À DÉFINIR",IF(Q156&lt;0,"EN RETARD",IF(Q156&lt;='Paramètres'!$AA$12,"À PLANIFIER","OK")))))</f>
        <v/>
      </c>
      <c r="S156" s="9">
        <f>IF($A156="","",IF(SUM(COUNTIFS('Ordres de travail'!$I$5:$I$3004,$A156,'Ordres de travail'!$AC$5:$AC$3004,{"Demandé","Planifié","En cours","En attente pièces"}))&gt;0,"Oui","Non"))</f>
        <v/>
      </c>
      <c r="T156" s="68">
        <f>IF($A156="","",COUNTIFS('Ordres de travail'!$I$5:$I$3004,$A156,'Ordres de travail'!$AC$5:$AC$3004,"Clôturé",'Ordres de travail'!$R$5:$R$3004,"&gt;="&amp;'Paramètres'!$AA$6,'Ordres de travail'!$R$5:$R$3004,"&lt;"&amp;('Paramètres'!$AA$7+1)))</f>
        <v/>
      </c>
      <c r="U156" s="69">
        <f>IF(OR($A156="",N(H156)=0),"",IF(M156="Non",0,365/H156*I156))</f>
        <v/>
      </c>
    </row>
    <row r="157">
      <c r="A157" s="7" t="n"/>
      <c r="B157" s="7" t="n"/>
      <c r="C157" s="9">
        <f>IF(B157="","",IFERROR(INDEX('Équipements'!$B$5:$B$304,MATCH(B157,'Équipements'!$A$5:$A$304,0)),"Code inconnu"))</f>
        <v/>
      </c>
      <c r="D157" s="9">
        <f>IF(B157="","",IFERROR(INDEX('Équipements'!$D$5:$D$304,MATCH(B157,'Équipements'!$A$5:$A$304,0)),""))</f>
        <v/>
      </c>
      <c r="E157" s="7" t="n"/>
      <c r="F157" s="7" t="n"/>
      <c r="G157" s="7" t="n"/>
      <c r="H157" s="67" t="n"/>
      <c r="I157" s="76" t="n"/>
      <c r="J157" s="7" t="n"/>
      <c r="K157" s="7" t="n"/>
      <c r="L157" s="65" t="n"/>
      <c r="M157" s="7" t="n"/>
      <c r="N157" s="7" t="n"/>
      <c r="O157" s="78">
        <f>IF($A157="","",MAX(N(L157),INT(_xlfn.MAXIFS('Ordres de travail'!$R$5:$R$3004,'Ordres de travail'!$I$5:$I$3004,$A157,'Ordres de travail'!$AC$5:$AC$3004,"Clôturé"))))</f>
        <v/>
      </c>
      <c r="P157" s="78">
        <f>IF(OR($A157="",N(O157)=0),"",O157+H157)</f>
        <v/>
      </c>
      <c r="Q157" s="79">
        <f>IF(P157="","",P157-TODAY())</f>
        <v/>
      </c>
      <c r="R157" s="9">
        <f>IF($A157="","",IF(M157="Non","INACTIF",IF(Q157="","À DÉFINIR",IF(Q157&lt;0,"EN RETARD",IF(Q157&lt;='Paramètres'!$AA$12,"À PLANIFIER","OK")))))</f>
        <v/>
      </c>
      <c r="S157" s="9">
        <f>IF($A157="","",IF(SUM(COUNTIFS('Ordres de travail'!$I$5:$I$3004,$A157,'Ordres de travail'!$AC$5:$AC$3004,{"Demandé","Planifié","En cours","En attente pièces"}))&gt;0,"Oui","Non"))</f>
        <v/>
      </c>
      <c r="T157" s="68">
        <f>IF($A157="","",COUNTIFS('Ordres de travail'!$I$5:$I$3004,$A157,'Ordres de travail'!$AC$5:$AC$3004,"Clôturé",'Ordres de travail'!$R$5:$R$3004,"&gt;="&amp;'Paramètres'!$AA$6,'Ordres de travail'!$R$5:$R$3004,"&lt;"&amp;('Paramètres'!$AA$7+1)))</f>
        <v/>
      </c>
      <c r="U157" s="69">
        <f>IF(OR($A157="",N(H157)=0),"",IF(M157="Non",0,365/H157*I157))</f>
        <v/>
      </c>
    </row>
    <row r="158">
      <c r="A158" s="7" t="n"/>
      <c r="B158" s="7" t="n"/>
      <c r="C158" s="9">
        <f>IF(B158="","",IFERROR(INDEX('Équipements'!$B$5:$B$304,MATCH(B158,'Équipements'!$A$5:$A$304,0)),"Code inconnu"))</f>
        <v/>
      </c>
      <c r="D158" s="9">
        <f>IF(B158="","",IFERROR(INDEX('Équipements'!$D$5:$D$304,MATCH(B158,'Équipements'!$A$5:$A$304,0)),""))</f>
        <v/>
      </c>
      <c r="E158" s="7" t="n"/>
      <c r="F158" s="7" t="n"/>
      <c r="G158" s="7" t="n"/>
      <c r="H158" s="67" t="n"/>
      <c r="I158" s="76" t="n"/>
      <c r="J158" s="7" t="n"/>
      <c r="K158" s="7" t="n"/>
      <c r="L158" s="65" t="n"/>
      <c r="M158" s="7" t="n"/>
      <c r="N158" s="7" t="n"/>
      <c r="O158" s="78">
        <f>IF($A158="","",MAX(N(L158),INT(_xlfn.MAXIFS('Ordres de travail'!$R$5:$R$3004,'Ordres de travail'!$I$5:$I$3004,$A158,'Ordres de travail'!$AC$5:$AC$3004,"Clôturé"))))</f>
        <v/>
      </c>
      <c r="P158" s="78">
        <f>IF(OR($A158="",N(O158)=0),"",O158+H158)</f>
        <v/>
      </c>
      <c r="Q158" s="79">
        <f>IF(P158="","",P158-TODAY())</f>
        <v/>
      </c>
      <c r="R158" s="9">
        <f>IF($A158="","",IF(M158="Non","INACTIF",IF(Q158="","À DÉFINIR",IF(Q158&lt;0,"EN RETARD",IF(Q158&lt;='Paramètres'!$AA$12,"À PLANIFIER","OK")))))</f>
        <v/>
      </c>
      <c r="S158" s="9">
        <f>IF($A158="","",IF(SUM(COUNTIFS('Ordres de travail'!$I$5:$I$3004,$A158,'Ordres de travail'!$AC$5:$AC$3004,{"Demandé","Planifié","En cours","En attente pièces"}))&gt;0,"Oui","Non"))</f>
        <v/>
      </c>
      <c r="T158" s="68">
        <f>IF($A158="","",COUNTIFS('Ordres de travail'!$I$5:$I$3004,$A158,'Ordres de travail'!$AC$5:$AC$3004,"Clôturé",'Ordres de travail'!$R$5:$R$3004,"&gt;="&amp;'Paramètres'!$AA$6,'Ordres de travail'!$R$5:$R$3004,"&lt;"&amp;('Paramètres'!$AA$7+1)))</f>
        <v/>
      </c>
      <c r="U158" s="69">
        <f>IF(OR($A158="",N(H158)=0),"",IF(M158="Non",0,365/H158*I158))</f>
        <v/>
      </c>
    </row>
    <row r="159">
      <c r="A159" s="7" t="n"/>
      <c r="B159" s="7" t="n"/>
      <c r="C159" s="9">
        <f>IF(B159="","",IFERROR(INDEX('Équipements'!$B$5:$B$304,MATCH(B159,'Équipements'!$A$5:$A$304,0)),"Code inconnu"))</f>
        <v/>
      </c>
      <c r="D159" s="9">
        <f>IF(B159="","",IFERROR(INDEX('Équipements'!$D$5:$D$304,MATCH(B159,'Équipements'!$A$5:$A$304,0)),""))</f>
        <v/>
      </c>
      <c r="E159" s="7" t="n"/>
      <c r="F159" s="7" t="n"/>
      <c r="G159" s="7" t="n"/>
      <c r="H159" s="67" t="n"/>
      <c r="I159" s="76" t="n"/>
      <c r="J159" s="7" t="n"/>
      <c r="K159" s="7" t="n"/>
      <c r="L159" s="65" t="n"/>
      <c r="M159" s="7" t="n"/>
      <c r="N159" s="7" t="n"/>
      <c r="O159" s="78">
        <f>IF($A159="","",MAX(N(L159),INT(_xlfn.MAXIFS('Ordres de travail'!$R$5:$R$3004,'Ordres de travail'!$I$5:$I$3004,$A159,'Ordres de travail'!$AC$5:$AC$3004,"Clôturé"))))</f>
        <v/>
      </c>
      <c r="P159" s="78">
        <f>IF(OR($A159="",N(O159)=0),"",O159+H159)</f>
        <v/>
      </c>
      <c r="Q159" s="79">
        <f>IF(P159="","",P159-TODAY())</f>
        <v/>
      </c>
      <c r="R159" s="9">
        <f>IF($A159="","",IF(M159="Non","INACTIF",IF(Q159="","À DÉFINIR",IF(Q159&lt;0,"EN RETARD",IF(Q159&lt;='Paramètres'!$AA$12,"À PLANIFIER","OK")))))</f>
        <v/>
      </c>
      <c r="S159" s="9">
        <f>IF($A159="","",IF(SUM(COUNTIFS('Ordres de travail'!$I$5:$I$3004,$A159,'Ordres de travail'!$AC$5:$AC$3004,{"Demandé","Planifié","En cours","En attente pièces"}))&gt;0,"Oui","Non"))</f>
        <v/>
      </c>
      <c r="T159" s="68">
        <f>IF($A159="","",COUNTIFS('Ordres de travail'!$I$5:$I$3004,$A159,'Ordres de travail'!$AC$5:$AC$3004,"Clôturé",'Ordres de travail'!$R$5:$R$3004,"&gt;="&amp;'Paramètres'!$AA$6,'Ordres de travail'!$R$5:$R$3004,"&lt;"&amp;('Paramètres'!$AA$7+1)))</f>
        <v/>
      </c>
      <c r="U159" s="69">
        <f>IF(OR($A159="",N(H159)=0),"",IF(M159="Non",0,365/H159*I159))</f>
        <v/>
      </c>
    </row>
    <row r="160">
      <c r="A160" s="7" t="n"/>
      <c r="B160" s="7" t="n"/>
      <c r="C160" s="9">
        <f>IF(B160="","",IFERROR(INDEX('Équipements'!$B$5:$B$304,MATCH(B160,'Équipements'!$A$5:$A$304,0)),"Code inconnu"))</f>
        <v/>
      </c>
      <c r="D160" s="9">
        <f>IF(B160="","",IFERROR(INDEX('Équipements'!$D$5:$D$304,MATCH(B160,'Équipements'!$A$5:$A$304,0)),""))</f>
        <v/>
      </c>
      <c r="E160" s="7" t="n"/>
      <c r="F160" s="7" t="n"/>
      <c r="G160" s="7" t="n"/>
      <c r="H160" s="67" t="n"/>
      <c r="I160" s="76" t="n"/>
      <c r="J160" s="7" t="n"/>
      <c r="K160" s="7" t="n"/>
      <c r="L160" s="65" t="n"/>
      <c r="M160" s="7" t="n"/>
      <c r="N160" s="7" t="n"/>
      <c r="O160" s="78">
        <f>IF($A160="","",MAX(N(L160),INT(_xlfn.MAXIFS('Ordres de travail'!$R$5:$R$3004,'Ordres de travail'!$I$5:$I$3004,$A160,'Ordres de travail'!$AC$5:$AC$3004,"Clôturé"))))</f>
        <v/>
      </c>
      <c r="P160" s="78">
        <f>IF(OR($A160="",N(O160)=0),"",O160+H160)</f>
        <v/>
      </c>
      <c r="Q160" s="79">
        <f>IF(P160="","",P160-TODAY())</f>
        <v/>
      </c>
      <c r="R160" s="9">
        <f>IF($A160="","",IF(M160="Non","INACTIF",IF(Q160="","À DÉFINIR",IF(Q160&lt;0,"EN RETARD",IF(Q160&lt;='Paramètres'!$AA$12,"À PLANIFIER","OK")))))</f>
        <v/>
      </c>
      <c r="S160" s="9">
        <f>IF($A160="","",IF(SUM(COUNTIFS('Ordres de travail'!$I$5:$I$3004,$A160,'Ordres de travail'!$AC$5:$AC$3004,{"Demandé","Planifié","En cours","En attente pièces"}))&gt;0,"Oui","Non"))</f>
        <v/>
      </c>
      <c r="T160" s="68">
        <f>IF($A160="","",COUNTIFS('Ordres de travail'!$I$5:$I$3004,$A160,'Ordres de travail'!$AC$5:$AC$3004,"Clôturé",'Ordres de travail'!$R$5:$R$3004,"&gt;="&amp;'Paramètres'!$AA$6,'Ordres de travail'!$R$5:$R$3004,"&lt;"&amp;('Paramètres'!$AA$7+1)))</f>
        <v/>
      </c>
      <c r="U160" s="69">
        <f>IF(OR($A160="",N(H160)=0),"",IF(M160="Non",0,365/H160*I160))</f>
        <v/>
      </c>
    </row>
    <row r="161">
      <c r="A161" s="7" t="n"/>
      <c r="B161" s="7" t="n"/>
      <c r="C161" s="9">
        <f>IF(B161="","",IFERROR(INDEX('Équipements'!$B$5:$B$304,MATCH(B161,'Équipements'!$A$5:$A$304,0)),"Code inconnu"))</f>
        <v/>
      </c>
      <c r="D161" s="9">
        <f>IF(B161="","",IFERROR(INDEX('Équipements'!$D$5:$D$304,MATCH(B161,'Équipements'!$A$5:$A$304,0)),""))</f>
        <v/>
      </c>
      <c r="E161" s="7" t="n"/>
      <c r="F161" s="7" t="n"/>
      <c r="G161" s="7" t="n"/>
      <c r="H161" s="67" t="n"/>
      <c r="I161" s="76" t="n"/>
      <c r="J161" s="7" t="n"/>
      <c r="K161" s="7" t="n"/>
      <c r="L161" s="65" t="n"/>
      <c r="M161" s="7" t="n"/>
      <c r="N161" s="7" t="n"/>
      <c r="O161" s="78">
        <f>IF($A161="","",MAX(N(L161),INT(_xlfn.MAXIFS('Ordres de travail'!$R$5:$R$3004,'Ordres de travail'!$I$5:$I$3004,$A161,'Ordres de travail'!$AC$5:$AC$3004,"Clôturé"))))</f>
        <v/>
      </c>
      <c r="P161" s="78">
        <f>IF(OR($A161="",N(O161)=0),"",O161+H161)</f>
        <v/>
      </c>
      <c r="Q161" s="79">
        <f>IF(P161="","",P161-TODAY())</f>
        <v/>
      </c>
      <c r="R161" s="9">
        <f>IF($A161="","",IF(M161="Non","INACTIF",IF(Q161="","À DÉFINIR",IF(Q161&lt;0,"EN RETARD",IF(Q161&lt;='Paramètres'!$AA$12,"À PLANIFIER","OK")))))</f>
        <v/>
      </c>
      <c r="S161" s="9">
        <f>IF($A161="","",IF(SUM(COUNTIFS('Ordres de travail'!$I$5:$I$3004,$A161,'Ordres de travail'!$AC$5:$AC$3004,{"Demandé","Planifié","En cours","En attente pièces"}))&gt;0,"Oui","Non"))</f>
        <v/>
      </c>
      <c r="T161" s="68">
        <f>IF($A161="","",COUNTIFS('Ordres de travail'!$I$5:$I$3004,$A161,'Ordres de travail'!$AC$5:$AC$3004,"Clôturé",'Ordres de travail'!$R$5:$R$3004,"&gt;="&amp;'Paramètres'!$AA$6,'Ordres de travail'!$R$5:$R$3004,"&lt;"&amp;('Paramètres'!$AA$7+1)))</f>
        <v/>
      </c>
      <c r="U161" s="69">
        <f>IF(OR($A161="",N(H161)=0),"",IF(M161="Non",0,365/H161*I161))</f>
        <v/>
      </c>
    </row>
    <row r="162">
      <c r="A162" s="7" t="n"/>
      <c r="B162" s="7" t="n"/>
      <c r="C162" s="9">
        <f>IF(B162="","",IFERROR(INDEX('Équipements'!$B$5:$B$304,MATCH(B162,'Équipements'!$A$5:$A$304,0)),"Code inconnu"))</f>
        <v/>
      </c>
      <c r="D162" s="9">
        <f>IF(B162="","",IFERROR(INDEX('Équipements'!$D$5:$D$304,MATCH(B162,'Équipements'!$A$5:$A$304,0)),""))</f>
        <v/>
      </c>
      <c r="E162" s="7" t="n"/>
      <c r="F162" s="7" t="n"/>
      <c r="G162" s="7" t="n"/>
      <c r="H162" s="67" t="n"/>
      <c r="I162" s="76" t="n"/>
      <c r="J162" s="7" t="n"/>
      <c r="K162" s="7" t="n"/>
      <c r="L162" s="65" t="n"/>
      <c r="M162" s="7" t="n"/>
      <c r="N162" s="7" t="n"/>
      <c r="O162" s="78">
        <f>IF($A162="","",MAX(N(L162),INT(_xlfn.MAXIFS('Ordres de travail'!$R$5:$R$3004,'Ordres de travail'!$I$5:$I$3004,$A162,'Ordres de travail'!$AC$5:$AC$3004,"Clôturé"))))</f>
        <v/>
      </c>
      <c r="P162" s="78">
        <f>IF(OR($A162="",N(O162)=0),"",O162+H162)</f>
        <v/>
      </c>
      <c r="Q162" s="79">
        <f>IF(P162="","",P162-TODAY())</f>
        <v/>
      </c>
      <c r="R162" s="9">
        <f>IF($A162="","",IF(M162="Non","INACTIF",IF(Q162="","À DÉFINIR",IF(Q162&lt;0,"EN RETARD",IF(Q162&lt;='Paramètres'!$AA$12,"À PLANIFIER","OK")))))</f>
        <v/>
      </c>
      <c r="S162" s="9">
        <f>IF($A162="","",IF(SUM(COUNTIFS('Ordres de travail'!$I$5:$I$3004,$A162,'Ordres de travail'!$AC$5:$AC$3004,{"Demandé","Planifié","En cours","En attente pièces"}))&gt;0,"Oui","Non"))</f>
        <v/>
      </c>
      <c r="T162" s="68">
        <f>IF($A162="","",COUNTIFS('Ordres de travail'!$I$5:$I$3004,$A162,'Ordres de travail'!$AC$5:$AC$3004,"Clôturé",'Ordres de travail'!$R$5:$R$3004,"&gt;="&amp;'Paramètres'!$AA$6,'Ordres de travail'!$R$5:$R$3004,"&lt;"&amp;('Paramètres'!$AA$7+1)))</f>
        <v/>
      </c>
      <c r="U162" s="69">
        <f>IF(OR($A162="",N(H162)=0),"",IF(M162="Non",0,365/H162*I162))</f>
        <v/>
      </c>
    </row>
    <row r="163">
      <c r="A163" s="7" t="n"/>
      <c r="B163" s="7" t="n"/>
      <c r="C163" s="9">
        <f>IF(B163="","",IFERROR(INDEX('Équipements'!$B$5:$B$304,MATCH(B163,'Équipements'!$A$5:$A$304,0)),"Code inconnu"))</f>
        <v/>
      </c>
      <c r="D163" s="9">
        <f>IF(B163="","",IFERROR(INDEX('Équipements'!$D$5:$D$304,MATCH(B163,'Équipements'!$A$5:$A$304,0)),""))</f>
        <v/>
      </c>
      <c r="E163" s="7" t="n"/>
      <c r="F163" s="7" t="n"/>
      <c r="G163" s="7" t="n"/>
      <c r="H163" s="67" t="n"/>
      <c r="I163" s="76" t="n"/>
      <c r="J163" s="7" t="n"/>
      <c r="K163" s="7" t="n"/>
      <c r="L163" s="65" t="n"/>
      <c r="M163" s="7" t="n"/>
      <c r="N163" s="7" t="n"/>
      <c r="O163" s="78">
        <f>IF($A163="","",MAX(N(L163),INT(_xlfn.MAXIFS('Ordres de travail'!$R$5:$R$3004,'Ordres de travail'!$I$5:$I$3004,$A163,'Ordres de travail'!$AC$5:$AC$3004,"Clôturé"))))</f>
        <v/>
      </c>
      <c r="P163" s="78">
        <f>IF(OR($A163="",N(O163)=0),"",O163+H163)</f>
        <v/>
      </c>
      <c r="Q163" s="79">
        <f>IF(P163="","",P163-TODAY())</f>
        <v/>
      </c>
      <c r="R163" s="9">
        <f>IF($A163="","",IF(M163="Non","INACTIF",IF(Q163="","À DÉFINIR",IF(Q163&lt;0,"EN RETARD",IF(Q163&lt;='Paramètres'!$AA$12,"À PLANIFIER","OK")))))</f>
        <v/>
      </c>
      <c r="S163" s="9">
        <f>IF($A163="","",IF(SUM(COUNTIFS('Ordres de travail'!$I$5:$I$3004,$A163,'Ordres de travail'!$AC$5:$AC$3004,{"Demandé","Planifié","En cours","En attente pièces"}))&gt;0,"Oui","Non"))</f>
        <v/>
      </c>
      <c r="T163" s="68">
        <f>IF($A163="","",COUNTIFS('Ordres de travail'!$I$5:$I$3004,$A163,'Ordres de travail'!$AC$5:$AC$3004,"Clôturé",'Ordres de travail'!$R$5:$R$3004,"&gt;="&amp;'Paramètres'!$AA$6,'Ordres de travail'!$R$5:$R$3004,"&lt;"&amp;('Paramètres'!$AA$7+1)))</f>
        <v/>
      </c>
      <c r="U163" s="69">
        <f>IF(OR($A163="",N(H163)=0),"",IF(M163="Non",0,365/H163*I163))</f>
        <v/>
      </c>
    </row>
    <row r="164">
      <c r="A164" s="7" t="n"/>
      <c r="B164" s="7" t="n"/>
      <c r="C164" s="9">
        <f>IF(B164="","",IFERROR(INDEX('Équipements'!$B$5:$B$304,MATCH(B164,'Équipements'!$A$5:$A$304,0)),"Code inconnu"))</f>
        <v/>
      </c>
      <c r="D164" s="9">
        <f>IF(B164="","",IFERROR(INDEX('Équipements'!$D$5:$D$304,MATCH(B164,'Équipements'!$A$5:$A$304,0)),""))</f>
        <v/>
      </c>
      <c r="E164" s="7" t="n"/>
      <c r="F164" s="7" t="n"/>
      <c r="G164" s="7" t="n"/>
      <c r="H164" s="67" t="n"/>
      <c r="I164" s="76" t="n"/>
      <c r="J164" s="7" t="n"/>
      <c r="K164" s="7" t="n"/>
      <c r="L164" s="65" t="n"/>
      <c r="M164" s="7" t="n"/>
      <c r="N164" s="7" t="n"/>
      <c r="O164" s="78">
        <f>IF($A164="","",MAX(N(L164),INT(_xlfn.MAXIFS('Ordres de travail'!$R$5:$R$3004,'Ordres de travail'!$I$5:$I$3004,$A164,'Ordres de travail'!$AC$5:$AC$3004,"Clôturé"))))</f>
        <v/>
      </c>
      <c r="P164" s="78">
        <f>IF(OR($A164="",N(O164)=0),"",O164+H164)</f>
        <v/>
      </c>
      <c r="Q164" s="79">
        <f>IF(P164="","",P164-TODAY())</f>
        <v/>
      </c>
      <c r="R164" s="9">
        <f>IF($A164="","",IF(M164="Non","INACTIF",IF(Q164="","À DÉFINIR",IF(Q164&lt;0,"EN RETARD",IF(Q164&lt;='Paramètres'!$AA$12,"À PLANIFIER","OK")))))</f>
        <v/>
      </c>
      <c r="S164" s="9">
        <f>IF($A164="","",IF(SUM(COUNTIFS('Ordres de travail'!$I$5:$I$3004,$A164,'Ordres de travail'!$AC$5:$AC$3004,{"Demandé","Planifié","En cours","En attente pièces"}))&gt;0,"Oui","Non"))</f>
        <v/>
      </c>
      <c r="T164" s="68">
        <f>IF($A164="","",COUNTIFS('Ordres de travail'!$I$5:$I$3004,$A164,'Ordres de travail'!$AC$5:$AC$3004,"Clôturé",'Ordres de travail'!$R$5:$R$3004,"&gt;="&amp;'Paramètres'!$AA$6,'Ordres de travail'!$R$5:$R$3004,"&lt;"&amp;('Paramètres'!$AA$7+1)))</f>
        <v/>
      </c>
      <c r="U164" s="69">
        <f>IF(OR($A164="",N(H164)=0),"",IF(M164="Non",0,365/H164*I164))</f>
        <v/>
      </c>
    </row>
    <row r="165">
      <c r="A165" s="7" t="n"/>
      <c r="B165" s="7" t="n"/>
      <c r="C165" s="9">
        <f>IF(B165="","",IFERROR(INDEX('Équipements'!$B$5:$B$304,MATCH(B165,'Équipements'!$A$5:$A$304,0)),"Code inconnu"))</f>
        <v/>
      </c>
      <c r="D165" s="9">
        <f>IF(B165="","",IFERROR(INDEX('Équipements'!$D$5:$D$304,MATCH(B165,'Équipements'!$A$5:$A$304,0)),""))</f>
        <v/>
      </c>
      <c r="E165" s="7" t="n"/>
      <c r="F165" s="7" t="n"/>
      <c r="G165" s="7" t="n"/>
      <c r="H165" s="67" t="n"/>
      <c r="I165" s="76" t="n"/>
      <c r="J165" s="7" t="n"/>
      <c r="K165" s="7" t="n"/>
      <c r="L165" s="65" t="n"/>
      <c r="M165" s="7" t="n"/>
      <c r="N165" s="7" t="n"/>
      <c r="O165" s="78">
        <f>IF($A165="","",MAX(N(L165),INT(_xlfn.MAXIFS('Ordres de travail'!$R$5:$R$3004,'Ordres de travail'!$I$5:$I$3004,$A165,'Ordres de travail'!$AC$5:$AC$3004,"Clôturé"))))</f>
        <v/>
      </c>
      <c r="P165" s="78">
        <f>IF(OR($A165="",N(O165)=0),"",O165+H165)</f>
        <v/>
      </c>
      <c r="Q165" s="79">
        <f>IF(P165="","",P165-TODAY())</f>
        <v/>
      </c>
      <c r="R165" s="9">
        <f>IF($A165="","",IF(M165="Non","INACTIF",IF(Q165="","À DÉFINIR",IF(Q165&lt;0,"EN RETARD",IF(Q165&lt;='Paramètres'!$AA$12,"À PLANIFIER","OK")))))</f>
        <v/>
      </c>
      <c r="S165" s="9">
        <f>IF($A165="","",IF(SUM(COUNTIFS('Ordres de travail'!$I$5:$I$3004,$A165,'Ordres de travail'!$AC$5:$AC$3004,{"Demandé","Planifié","En cours","En attente pièces"}))&gt;0,"Oui","Non"))</f>
        <v/>
      </c>
      <c r="T165" s="68">
        <f>IF($A165="","",COUNTIFS('Ordres de travail'!$I$5:$I$3004,$A165,'Ordres de travail'!$AC$5:$AC$3004,"Clôturé",'Ordres de travail'!$R$5:$R$3004,"&gt;="&amp;'Paramètres'!$AA$6,'Ordres de travail'!$R$5:$R$3004,"&lt;"&amp;('Paramètres'!$AA$7+1)))</f>
        <v/>
      </c>
      <c r="U165" s="69">
        <f>IF(OR($A165="",N(H165)=0),"",IF(M165="Non",0,365/H165*I165))</f>
        <v/>
      </c>
    </row>
    <row r="166">
      <c r="A166" s="7" t="n"/>
      <c r="B166" s="7" t="n"/>
      <c r="C166" s="9">
        <f>IF(B166="","",IFERROR(INDEX('Équipements'!$B$5:$B$304,MATCH(B166,'Équipements'!$A$5:$A$304,0)),"Code inconnu"))</f>
        <v/>
      </c>
      <c r="D166" s="9">
        <f>IF(B166="","",IFERROR(INDEX('Équipements'!$D$5:$D$304,MATCH(B166,'Équipements'!$A$5:$A$304,0)),""))</f>
        <v/>
      </c>
      <c r="E166" s="7" t="n"/>
      <c r="F166" s="7" t="n"/>
      <c r="G166" s="7" t="n"/>
      <c r="H166" s="67" t="n"/>
      <c r="I166" s="76" t="n"/>
      <c r="J166" s="7" t="n"/>
      <c r="K166" s="7" t="n"/>
      <c r="L166" s="65" t="n"/>
      <c r="M166" s="7" t="n"/>
      <c r="N166" s="7" t="n"/>
      <c r="O166" s="78">
        <f>IF($A166="","",MAX(N(L166),INT(_xlfn.MAXIFS('Ordres de travail'!$R$5:$R$3004,'Ordres de travail'!$I$5:$I$3004,$A166,'Ordres de travail'!$AC$5:$AC$3004,"Clôturé"))))</f>
        <v/>
      </c>
      <c r="P166" s="78">
        <f>IF(OR($A166="",N(O166)=0),"",O166+H166)</f>
        <v/>
      </c>
      <c r="Q166" s="79">
        <f>IF(P166="","",P166-TODAY())</f>
        <v/>
      </c>
      <c r="R166" s="9">
        <f>IF($A166="","",IF(M166="Non","INACTIF",IF(Q166="","À DÉFINIR",IF(Q166&lt;0,"EN RETARD",IF(Q166&lt;='Paramètres'!$AA$12,"À PLANIFIER","OK")))))</f>
        <v/>
      </c>
      <c r="S166" s="9">
        <f>IF($A166="","",IF(SUM(COUNTIFS('Ordres de travail'!$I$5:$I$3004,$A166,'Ordres de travail'!$AC$5:$AC$3004,{"Demandé","Planifié","En cours","En attente pièces"}))&gt;0,"Oui","Non"))</f>
        <v/>
      </c>
      <c r="T166" s="68">
        <f>IF($A166="","",COUNTIFS('Ordres de travail'!$I$5:$I$3004,$A166,'Ordres de travail'!$AC$5:$AC$3004,"Clôturé",'Ordres de travail'!$R$5:$R$3004,"&gt;="&amp;'Paramètres'!$AA$6,'Ordres de travail'!$R$5:$R$3004,"&lt;"&amp;('Paramètres'!$AA$7+1)))</f>
        <v/>
      </c>
      <c r="U166" s="69">
        <f>IF(OR($A166="",N(H166)=0),"",IF(M166="Non",0,365/H166*I166))</f>
        <v/>
      </c>
    </row>
    <row r="167">
      <c r="A167" s="7" t="n"/>
      <c r="B167" s="7" t="n"/>
      <c r="C167" s="9">
        <f>IF(B167="","",IFERROR(INDEX('Équipements'!$B$5:$B$304,MATCH(B167,'Équipements'!$A$5:$A$304,0)),"Code inconnu"))</f>
        <v/>
      </c>
      <c r="D167" s="9">
        <f>IF(B167="","",IFERROR(INDEX('Équipements'!$D$5:$D$304,MATCH(B167,'Équipements'!$A$5:$A$304,0)),""))</f>
        <v/>
      </c>
      <c r="E167" s="7" t="n"/>
      <c r="F167" s="7" t="n"/>
      <c r="G167" s="7" t="n"/>
      <c r="H167" s="67" t="n"/>
      <c r="I167" s="76" t="n"/>
      <c r="J167" s="7" t="n"/>
      <c r="K167" s="7" t="n"/>
      <c r="L167" s="65" t="n"/>
      <c r="M167" s="7" t="n"/>
      <c r="N167" s="7" t="n"/>
      <c r="O167" s="78">
        <f>IF($A167="","",MAX(N(L167),INT(_xlfn.MAXIFS('Ordres de travail'!$R$5:$R$3004,'Ordres de travail'!$I$5:$I$3004,$A167,'Ordres de travail'!$AC$5:$AC$3004,"Clôturé"))))</f>
        <v/>
      </c>
      <c r="P167" s="78">
        <f>IF(OR($A167="",N(O167)=0),"",O167+H167)</f>
        <v/>
      </c>
      <c r="Q167" s="79">
        <f>IF(P167="","",P167-TODAY())</f>
        <v/>
      </c>
      <c r="R167" s="9">
        <f>IF($A167="","",IF(M167="Non","INACTIF",IF(Q167="","À DÉFINIR",IF(Q167&lt;0,"EN RETARD",IF(Q167&lt;='Paramètres'!$AA$12,"À PLANIFIER","OK")))))</f>
        <v/>
      </c>
      <c r="S167" s="9">
        <f>IF($A167="","",IF(SUM(COUNTIFS('Ordres de travail'!$I$5:$I$3004,$A167,'Ordres de travail'!$AC$5:$AC$3004,{"Demandé","Planifié","En cours","En attente pièces"}))&gt;0,"Oui","Non"))</f>
        <v/>
      </c>
      <c r="T167" s="68">
        <f>IF($A167="","",COUNTIFS('Ordres de travail'!$I$5:$I$3004,$A167,'Ordres de travail'!$AC$5:$AC$3004,"Clôturé",'Ordres de travail'!$R$5:$R$3004,"&gt;="&amp;'Paramètres'!$AA$6,'Ordres de travail'!$R$5:$R$3004,"&lt;"&amp;('Paramètres'!$AA$7+1)))</f>
        <v/>
      </c>
      <c r="U167" s="69">
        <f>IF(OR($A167="",N(H167)=0),"",IF(M167="Non",0,365/H167*I167))</f>
        <v/>
      </c>
    </row>
    <row r="168">
      <c r="A168" s="7" t="n"/>
      <c r="B168" s="7" t="n"/>
      <c r="C168" s="9">
        <f>IF(B168="","",IFERROR(INDEX('Équipements'!$B$5:$B$304,MATCH(B168,'Équipements'!$A$5:$A$304,0)),"Code inconnu"))</f>
        <v/>
      </c>
      <c r="D168" s="9">
        <f>IF(B168="","",IFERROR(INDEX('Équipements'!$D$5:$D$304,MATCH(B168,'Équipements'!$A$5:$A$304,0)),""))</f>
        <v/>
      </c>
      <c r="E168" s="7" t="n"/>
      <c r="F168" s="7" t="n"/>
      <c r="G168" s="7" t="n"/>
      <c r="H168" s="67" t="n"/>
      <c r="I168" s="76" t="n"/>
      <c r="J168" s="7" t="n"/>
      <c r="K168" s="7" t="n"/>
      <c r="L168" s="65" t="n"/>
      <c r="M168" s="7" t="n"/>
      <c r="N168" s="7" t="n"/>
      <c r="O168" s="78">
        <f>IF($A168="","",MAX(N(L168),INT(_xlfn.MAXIFS('Ordres de travail'!$R$5:$R$3004,'Ordres de travail'!$I$5:$I$3004,$A168,'Ordres de travail'!$AC$5:$AC$3004,"Clôturé"))))</f>
        <v/>
      </c>
      <c r="P168" s="78">
        <f>IF(OR($A168="",N(O168)=0),"",O168+H168)</f>
        <v/>
      </c>
      <c r="Q168" s="79">
        <f>IF(P168="","",P168-TODAY())</f>
        <v/>
      </c>
      <c r="R168" s="9">
        <f>IF($A168="","",IF(M168="Non","INACTIF",IF(Q168="","À DÉFINIR",IF(Q168&lt;0,"EN RETARD",IF(Q168&lt;='Paramètres'!$AA$12,"À PLANIFIER","OK")))))</f>
        <v/>
      </c>
      <c r="S168" s="9">
        <f>IF($A168="","",IF(SUM(COUNTIFS('Ordres de travail'!$I$5:$I$3004,$A168,'Ordres de travail'!$AC$5:$AC$3004,{"Demandé","Planifié","En cours","En attente pièces"}))&gt;0,"Oui","Non"))</f>
        <v/>
      </c>
      <c r="T168" s="68">
        <f>IF($A168="","",COUNTIFS('Ordres de travail'!$I$5:$I$3004,$A168,'Ordres de travail'!$AC$5:$AC$3004,"Clôturé",'Ordres de travail'!$R$5:$R$3004,"&gt;="&amp;'Paramètres'!$AA$6,'Ordres de travail'!$R$5:$R$3004,"&lt;"&amp;('Paramètres'!$AA$7+1)))</f>
        <v/>
      </c>
      <c r="U168" s="69">
        <f>IF(OR($A168="",N(H168)=0),"",IF(M168="Non",0,365/H168*I168))</f>
        <v/>
      </c>
    </row>
    <row r="169">
      <c r="A169" s="7" t="n"/>
      <c r="B169" s="7" t="n"/>
      <c r="C169" s="9">
        <f>IF(B169="","",IFERROR(INDEX('Équipements'!$B$5:$B$304,MATCH(B169,'Équipements'!$A$5:$A$304,0)),"Code inconnu"))</f>
        <v/>
      </c>
      <c r="D169" s="9">
        <f>IF(B169="","",IFERROR(INDEX('Équipements'!$D$5:$D$304,MATCH(B169,'Équipements'!$A$5:$A$304,0)),""))</f>
        <v/>
      </c>
      <c r="E169" s="7" t="n"/>
      <c r="F169" s="7" t="n"/>
      <c r="G169" s="7" t="n"/>
      <c r="H169" s="67" t="n"/>
      <c r="I169" s="76" t="n"/>
      <c r="J169" s="7" t="n"/>
      <c r="K169" s="7" t="n"/>
      <c r="L169" s="65" t="n"/>
      <c r="M169" s="7" t="n"/>
      <c r="N169" s="7" t="n"/>
      <c r="O169" s="78">
        <f>IF($A169="","",MAX(N(L169),INT(_xlfn.MAXIFS('Ordres de travail'!$R$5:$R$3004,'Ordres de travail'!$I$5:$I$3004,$A169,'Ordres de travail'!$AC$5:$AC$3004,"Clôturé"))))</f>
        <v/>
      </c>
      <c r="P169" s="78">
        <f>IF(OR($A169="",N(O169)=0),"",O169+H169)</f>
        <v/>
      </c>
      <c r="Q169" s="79">
        <f>IF(P169="","",P169-TODAY())</f>
        <v/>
      </c>
      <c r="R169" s="9">
        <f>IF($A169="","",IF(M169="Non","INACTIF",IF(Q169="","À DÉFINIR",IF(Q169&lt;0,"EN RETARD",IF(Q169&lt;='Paramètres'!$AA$12,"À PLANIFIER","OK")))))</f>
        <v/>
      </c>
      <c r="S169" s="9">
        <f>IF($A169="","",IF(SUM(COUNTIFS('Ordres de travail'!$I$5:$I$3004,$A169,'Ordres de travail'!$AC$5:$AC$3004,{"Demandé","Planifié","En cours","En attente pièces"}))&gt;0,"Oui","Non"))</f>
        <v/>
      </c>
      <c r="T169" s="68">
        <f>IF($A169="","",COUNTIFS('Ordres de travail'!$I$5:$I$3004,$A169,'Ordres de travail'!$AC$5:$AC$3004,"Clôturé",'Ordres de travail'!$R$5:$R$3004,"&gt;="&amp;'Paramètres'!$AA$6,'Ordres de travail'!$R$5:$R$3004,"&lt;"&amp;('Paramètres'!$AA$7+1)))</f>
        <v/>
      </c>
      <c r="U169" s="69">
        <f>IF(OR($A169="",N(H169)=0),"",IF(M169="Non",0,365/H169*I169))</f>
        <v/>
      </c>
    </row>
    <row r="170">
      <c r="A170" s="7" t="n"/>
      <c r="B170" s="7" t="n"/>
      <c r="C170" s="9">
        <f>IF(B170="","",IFERROR(INDEX('Équipements'!$B$5:$B$304,MATCH(B170,'Équipements'!$A$5:$A$304,0)),"Code inconnu"))</f>
        <v/>
      </c>
      <c r="D170" s="9">
        <f>IF(B170="","",IFERROR(INDEX('Équipements'!$D$5:$D$304,MATCH(B170,'Équipements'!$A$5:$A$304,0)),""))</f>
        <v/>
      </c>
      <c r="E170" s="7" t="n"/>
      <c r="F170" s="7" t="n"/>
      <c r="G170" s="7" t="n"/>
      <c r="H170" s="67" t="n"/>
      <c r="I170" s="76" t="n"/>
      <c r="J170" s="7" t="n"/>
      <c r="K170" s="7" t="n"/>
      <c r="L170" s="65" t="n"/>
      <c r="M170" s="7" t="n"/>
      <c r="N170" s="7" t="n"/>
      <c r="O170" s="78">
        <f>IF($A170="","",MAX(N(L170),INT(_xlfn.MAXIFS('Ordres de travail'!$R$5:$R$3004,'Ordres de travail'!$I$5:$I$3004,$A170,'Ordres de travail'!$AC$5:$AC$3004,"Clôturé"))))</f>
        <v/>
      </c>
      <c r="P170" s="78">
        <f>IF(OR($A170="",N(O170)=0),"",O170+H170)</f>
        <v/>
      </c>
      <c r="Q170" s="79">
        <f>IF(P170="","",P170-TODAY())</f>
        <v/>
      </c>
      <c r="R170" s="9">
        <f>IF($A170="","",IF(M170="Non","INACTIF",IF(Q170="","À DÉFINIR",IF(Q170&lt;0,"EN RETARD",IF(Q170&lt;='Paramètres'!$AA$12,"À PLANIFIER","OK")))))</f>
        <v/>
      </c>
      <c r="S170" s="9">
        <f>IF($A170="","",IF(SUM(COUNTIFS('Ordres de travail'!$I$5:$I$3004,$A170,'Ordres de travail'!$AC$5:$AC$3004,{"Demandé","Planifié","En cours","En attente pièces"}))&gt;0,"Oui","Non"))</f>
        <v/>
      </c>
      <c r="T170" s="68">
        <f>IF($A170="","",COUNTIFS('Ordres de travail'!$I$5:$I$3004,$A170,'Ordres de travail'!$AC$5:$AC$3004,"Clôturé",'Ordres de travail'!$R$5:$R$3004,"&gt;="&amp;'Paramètres'!$AA$6,'Ordres de travail'!$R$5:$R$3004,"&lt;"&amp;('Paramètres'!$AA$7+1)))</f>
        <v/>
      </c>
      <c r="U170" s="69">
        <f>IF(OR($A170="",N(H170)=0),"",IF(M170="Non",0,365/H170*I170))</f>
        <v/>
      </c>
    </row>
    <row r="171">
      <c r="A171" s="7" t="n"/>
      <c r="B171" s="7" t="n"/>
      <c r="C171" s="9">
        <f>IF(B171="","",IFERROR(INDEX('Équipements'!$B$5:$B$304,MATCH(B171,'Équipements'!$A$5:$A$304,0)),"Code inconnu"))</f>
        <v/>
      </c>
      <c r="D171" s="9">
        <f>IF(B171="","",IFERROR(INDEX('Équipements'!$D$5:$D$304,MATCH(B171,'Équipements'!$A$5:$A$304,0)),""))</f>
        <v/>
      </c>
      <c r="E171" s="7" t="n"/>
      <c r="F171" s="7" t="n"/>
      <c r="G171" s="7" t="n"/>
      <c r="H171" s="67" t="n"/>
      <c r="I171" s="76" t="n"/>
      <c r="J171" s="7" t="n"/>
      <c r="K171" s="7" t="n"/>
      <c r="L171" s="65" t="n"/>
      <c r="M171" s="7" t="n"/>
      <c r="N171" s="7" t="n"/>
      <c r="O171" s="78">
        <f>IF($A171="","",MAX(N(L171),INT(_xlfn.MAXIFS('Ordres de travail'!$R$5:$R$3004,'Ordres de travail'!$I$5:$I$3004,$A171,'Ordres de travail'!$AC$5:$AC$3004,"Clôturé"))))</f>
        <v/>
      </c>
      <c r="P171" s="78">
        <f>IF(OR($A171="",N(O171)=0),"",O171+H171)</f>
        <v/>
      </c>
      <c r="Q171" s="79">
        <f>IF(P171="","",P171-TODAY())</f>
        <v/>
      </c>
      <c r="R171" s="9">
        <f>IF($A171="","",IF(M171="Non","INACTIF",IF(Q171="","À DÉFINIR",IF(Q171&lt;0,"EN RETARD",IF(Q171&lt;='Paramètres'!$AA$12,"À PLANIFIER","OK")))))</f>
        <v/>
      </c>
      <c r="S171" s="9">
        <f>IF($A171="","",IF(SUM(COUNTIFS('Ordres de travail'!$I$5:$I$3004,$A171,'Ordres de travail'!$AC$5:$AC$3004,{"Demandé","Planifié","En cours","En attente pièces"}))&gt;0,"Oui","Non"))</f>
        <v/>
      </c>
      <c r="T171" s="68">
        <f>IF($A171="","",COUNTIFS('Ordres de travail'!$I$5:$I$3004,$A171,'Ordres de travail'!$AC$5:$AC$3004,"Clôturé",'Ordres de travail'!$R$5:$R$3004,"&gt;="&amp;'Paramètres'!$AA$6,'Ordres de travail'!$R$5:$R$3004,"&lt;"&amp;('Paramètres'!$AA$7+1)))</f>
        <v/>
      </c>
      <c r="U171" s="69">
        <f>IF(OR($A171="",N(H171)=0),"",IF(M171="Non",0,365/H171*I171))</f>
        <v/>
      </c>
    </row>
    <row r="172">
      <c r="A172" s="7" t="n"/>
      <c r="B172" s="7" t="n"/>
      <c r="C172" s="9">
        <f>IF(B172="","",IFERROR(INDEX('Équipements'!$B$5:$B$304,MATCH(B172,'Équipements'!$A$5:$A$304,0)),"Code inconnu"))</f>
        <v/>
      </c>
      <c r="D172" s="9">
        <f>IF(B172="","",IFERROR(INDEX('Équipements'!$D$5:$D$304,MATCH(B172,'Équipements'!$A$5:$A$304,0)),""))</f>
        <v/>
      </c>
      <c r="E172" s="7" t="n"/>
      <c r="F172" s="7" t="n"/>
      <c r="G172" s="7" t="n"/>
      <c r="H172" s="67" t="n"/>
      <c r="I172" s="76" t="n"/>
      <c r="J172" s="7" t="n"/>
      <c r="K172" s="7" t="n"/>
      <c r="L172" s="65" t="n"/>
      <c r="M172" s="7" t="n"/>
      <c r="N172" s="7" t="n"/>
      <c r="O172" s="78">
        <f>IF($A172="","",MAX(N(L172),INT(_xlfn.MAXIFS('Ordres de travail'!$R$5:$R$3004,'Ordres de travail'!$I$5:$I$3004,$A172,'Ordres de travail'!$AC$5:$AC$3004,"Clôturé"))))</f>
        <v/>
      </c>
      <c r="P172" s="78">
        <f>IF(OR($A172="",N(O172)=0),"",O172+H172)</f>
        <v/>
      </c>
      <c r="Q172" s="79">
        <f>IF(P172="","",P172-TODAY())</f>
        <v/>
      </c>
      <c r="R172" s="9">
        <f>IF($A172="","",IF(M172="Non","INACTIF",IF(Q172="","À DÉFINIR",IF(Q172&lt;0,"EN RETARD",IF(Q172&lt;='Paramètres'!$AA$12,"À PLANIFIER","OK")))))</f>
        <v/>
      </c>
      <c r="S172" s="9">
        <f>IF($A172="","",IF(SUM(COUNTIFS('Ordres de travail'!$I$5:$I$3004,$A172,'Ordres de travail'!$AC$5:$AC$3004,{"Demandé","Planifié","En cours","En attente pièces"}))&gt;0,"Oui","Non"))</f>
        <v/>
      </c>
      <c r="T172" s="68">
        <f>IF($A172="","",COUNTIFS('Ordres de travail'!$I$5:$I$3004,$A172,'Ordres de travail'!$AC$5:$AC$3004,"Clôturé",'Ordres de travail'!$R$5:$R$3004,"&gt;="&amp;'Paramètres'!$AA$6,'Ordres de travail'!$R$5:$R$3004,"&lt;"&amp;('Paramètres'!$AA$7+1)))</f>
        <v/>
      </c>
      <c r="U172" s="69">
        <f>IF(OR($A172="",N(H172)=0),"",IF(M172="Non",0,365/H172*I172))</f>
        <v/>
      </c>
    </row>
    <row r="173">
      <c r="A173" s="7" t="n"/>
      <c r="B173" s="7" t="n"/>
      <c r="C173" s="9">
        <f>IF(B173="","",IFERROR(INDEX('Équipements'!$B$5:$B$304,MATCH(B173,'Équipements'!$A$5:$A$304,0)),"Code inconnu"))</f>
        <v/>
      </c>
      <c r="D173" s="9">
        <f>IF(B173="","",IFERROR(INDEX('Équipements'!$D$5:$D$304,MATCH(B173,'Équipements'!$A$5:$A$304,0)),""))</f>
        <v/>
      </c>
      <c r="E173" s="7" t="n"/>
      <c r="F173" s="7" t="n"/>
      <c r="G173" s="7" t="n"/>
      <c r="H173" s="67" t="n"/>
      <c r="I173" s="76" t="n"/>
      <c r="J173" s="7" t="n"/>
      <c r="K173" s="7" t="n"/>
      <c r="L173" s="65" t="n"/>
      <c r="M173" s="7" t="n"/>
      <c r="N173" s="7" t="n"/>
      <c r="O173" s="78">
        <f>IF($A173="","",MAX(N(L173),INT(_xlfn.MAXIFS('Ordres de travail'!$R$5:$R$3004,'Ordres de travail'!$I$5:$I$3004,$A173,'Ordres de travail'!$AC$5:$AC$3004,"Clôturé"))))</f>
        <v/>
      </c>
      <c r="P173" s="78">
        <f>IF(OR($A173="",N(O173)=0),"",O173+H173)</f>
        <v/>
      </c>
      <c r="Q173" s="79">
        <f>IF(P173="","",P173-TODAY())</f>
        <v/>
      </c>
      <c r="R173" s="9">
        <f>IF($A173="","",IF(M173="Non","INACTIF",IF(Q173="","À DÉFINIR",IF(Q173&lt;0,"EN RETARD",IF(Q173&lt;='Paramètres'!$AA$12,"À PLANIFIER","OK")))))</f>
        <v/>
      </c>
      <c r="S173" s="9">
        <f>IF($A173="","",IF(SUM(COUNTIFS('Ordres de travail'!$I$5:$I$3004,$A173,'Ordres de travail'!$AC$5:$AC$3004,{"Demandé","Planifié","En cours","En attente pièces"}))&gt;0,"Oui","Non"))</f>
        <v/>
      </c>
      <c r="T173" s="68">
        <f>IF($A173="","",COUNTIFS('Ordres de travail'!$I$5:$I$3004,$A173,'Ordres de travail'!$AC$5:$AC$3004,"Clôturé",'Ordres de travail'!$R$5:$R$3004,"&gt;="&amp;'Paramètres'!$AA$6,'Ordres de travail'!$R$5:$R$3004,"&lt;"&amp;('Paramètres'!$AA$7+1)))</f>
        <v/>
      </c>
      <c r="U173" s="69">
        <f>IF(OR($A173="",N(H173)=0),"",IF(M173="Non",0,365/H173*I173))</f>
        <v/>
      </c>
    </row>
    <row r="174">
      <c r="A174" s="7" t="n"/>
      <c r="B174" s="7" t="n"/>
      <c r="C174" s="9">
        <f>IF(B174="","",IFERROR(INDEX('Équipements'!$B$5:$B$304,MATCH(B174,'Équipements'!$A$5:$A$304,0)),"Code inconnu"))</f>
        <v/>
      </c>
      <c r="D174" s="9">
        <f>IF(B174="","",IFERROR(INDEX('Équipements'!$D$5:$D$304,MATCH(B174,'Équipements'!$A$5:$A$304,0)),""))</f>
        <v/>
      </c>
      <c r="E174" s="7" t="n"/>
      <c r="F174" s="7" t="n"/>
      <c r="G174" s="7" t="n"/>
      <c r="H174" s="67" t="n"/>
      <c r="I174" s="76" t="n"/>
      <c r="J174" s="7" t="n"/>
      <c r="K174" s="7" t="n"/>
      <c r="L174" s="65" t="n"/>
      <c r="M174" s="7" t="n"/>
      <c r="N174" s="7" t="n"/>
      <c r="O174" s="78">
        <f>IF($A174="","",MAX(N(L174),INT(_xlfn.MAXIFS('Ordres de travail'!$R$5:$R$3004,'Ordres de travail'!$I$5:$I$3004,$A174,'Ordres de travail'!$AC$5:$AC$3004,"Clôturé"))))</f>
        <v/>
      </c>
      <c r="P174" s="78">
        <f>IF(OR($A174="",N(O174)=0),"",O174+H174)</f>
        <v/>
      </c>
      <c r="Q174" s="79">
        <f>IF(P174="","",P174-TODAY())</f>
        <v/>
      </c>
      <c r="R174" s="9">
        <f>IF($A174="","",IF(M174="Non","INACTIF",IF(Q174="","À DÉFINIR",IF(Q174&lt;0,"EN RETARD",IF(Q174&lt;='Paramètres'!$AA$12,"À PLANIFIER","OK")))))</f>
        <v/>
      </c>
      <c r="S174" s="9">
        <f>IF($A174="","",IF(SUM(COUNTIFS('Ordres de travail'!$I$5:$I$3004,$A174,'Ordres de travail'!$AC$5:$AC$3004,{"Demandé","Planifié","En cours","En attente pièces"}))&gt;0,"Oui","Non"))</f>
        <v/>
      </c>
      <c r="T174" s="68">
        <f>IF($A174="","",COUNTIFS('Ordres de travail'!$I$5:$I$3004,$A174,'Ordres de travail'!$AC$5:$AC$3004,"Clôturé",'Ordres de travail'!$R$5:$R$3004,"&gt;="&amp;'Paramètres'!$AA$6,'Ordres de travail'!$R$5:$R$3004,"&lt;"&amp;('Paramètres'!$AA$7+1)))</f>
        <v/>
      </c>
      <c r="U174" s="69">
        <f>IF(OR($A174="",N(H174)=0),"",IF(M174="Non",0,365/H174*I174))</f>
        <v/>
      </c>
    </row>
    <row r="175">
      <c r="A175" s="7" t="n"/>
      <c r="B175" s="7" t="n"/>
      <c r="C175" s="9">
        <f>IF(B175="","",IFERROR(INDEX('Équipements'!$B$5:$B$304,MATCH(B175,'Équipements'!$A$5:$A$304,0)),"Code inconnu"))</f>
        <v/>
      </c>
      <c r="D175" s="9">
        <f>IF(B175="","",IFERROR(INDEX('Équipements'!$D$5:$D$304,MATCH(B175,'Équipements'!$A$5:$A$304,0)),""))</f>
        <v/>
      </c>
      <c r="E175" s="7" t="n"/>
      <c r="F175" s="7" t="n"/>
      <c r="G175" s="7" t="n"/>
      <c r="H175" s="67" t="n"/>
      <c r="I175" s="76" t="n"/>
      <c r="J175" s="7" t="n"/>
      <c r="K175" s="7" t="n"/>
      <c r="L175" s="65" t="n"/>
      <c r="M175" s="7" t="n"/>
      <c r="N175" s="7" t="n"/>
      <c r="O175" s="78">
        <f>IF($A175="","",MAX(N(L175),INT(_xlfn.MAXIFS('Ordres de travail'!$R$5:$R$3004,'Ordres de travail'!$I$5:$I$3004,$A175,'Ordres de travail'!$AC$5:$AC$3004,"Clôturé"))))</f>
        <v/>
      </c>
      <c r="P175" s="78">
        <f>IF(OR($A175="",N(O175)=0),"",O175+H175)</f>
        <v/>
      </c>
      <c r="Q175" s="79">
        <f>IF(P175="","",P175-TODAY())</f>
        <v/>
      </c>
      <c r="R175" s="9">
        <f>IF($A175="","",IF(M175="Non","INACTIF",IF(Q175="","À DÉFINIR",IF(Q175&lt;0,"EN RETARD",IF(Q175&lt;='Paramètres'!$AA$12,"À PLANIFIER","OK")))))</f>
        <v/>
      </c>
      <c r="S175" s="9">
        <f>IF($A175="","",IF(SUM(COUNTIFS('Ordres de travail'!$I$5:$I$3004,$A175,'Ordres de travail'!$AC$5:$AC$3004,{"Demandé","Planifié","En cours","En attente pièces"}))&gt;0,"Oui","Non"))</f>
        <v/>
      </c>
      <c r="T175" s="68">
        <f>IF($A175="","",COUNTIFS('Ordres de travail'!$I$5:$I$3004,$A175,'Ordres de travail'!$AC$5:$AC$3004,"Clôturé",'Ordres de travail'!$R$5:$R$3004,"&gt;="&amp;'Paramètres'!$AA$6,'Ordres de travail'!$R$5:$R$3004,"&lt;"&amp;('Paramètres'!$AA$7+1)))</f>
        <v/>
      </c>
      <c r="U175" s="69">
        <f>IF(OR($A175="",N(H175)=0),"",IF(M175="Non",0,365/H175*I175))</f>
        <v/>
      </c>
    </row>
    <row r="176">
      <c r="A176" s="7" t="n"/>
      <c r="B176" s="7" t="n"/>
      <c r="C176" s="9">
        <f>IF(B176="","",IFERROR(INDEX('Équipements'!$B$5:$B$304,MATCH(B176,'Équipements'!$A$5:$A$304,0)),"Code inconnu"))</f>
        <v/>
      </c>
      <c r="D176" s="9">
        <f>IF(B176="","",IFERROR(INDEX('Équipements'!$D$5:$D$304,MATCH(B176,'Équipements'!$A$5:$A$304,0)),""))</f>
        <v/>
      </c>
      <c r="E176" s="7" t="n"/>
      <c r="F176" s="7" t="n"/>
      <c r="G176" s="7" t="n"/>
      <c r="H176" s="67" t="n"/>
      <c r="I176" s="76" t="n"/>
      <c r="J176" s="7" t="n"/>
      <c r="K176" s="7" t="n"/>
      <c r="L176" s="65" t="n"/>
      <c r="M176" s="7" t="n"/>
      <c r="N176" s="7" t="n"/>
      <c r="O176" s="78">
        <f>IF($A176="","",MAX(N(L176),INT(_xlfn.MAXIFS('Ordres de travail'!$R$5:$R$3004,'Ordres de travail'!$I$5:$I$3004,$A176,'Ordres de travail'!$AC$5:$AC$3004,"Clôturé"))))</f>
        <v/>
      </c>
      <c r="P176" s="78">
        <f>IF(OR($A176="",N(O176)=0),"",O176+H176)</f>
        <v/>
      </c>
      <c r="Q176" s="79">
        <f>IF(P176="","",P176-TODAY())</f>
        <v/>
      </c>
      <c r="R176" s="9">
        <f>IF($A176="","",IF(M176="Non","INACTIF",IF(Q176="","À DÉFINIR",IF(Q176&lt;0,"EN RETARD",IF(Q176&lt;='Paramètres'!$AA$12,"À PLANIFIER","OK")))))</f>
        <v/>
      </c>
      <c r="S176" s="9">
        <f>IF($A176="","",IF(SUM(COUNTIFS('Ordres de travail'!$I$5:$I$3004,$A176,'Ordres de travail'!$AC$5:$AC$3004,{"Demandé","Planifié","En cours","En attente pièces"}))&gt;0,"Oui","Non"))</f>
        <v/>
      </c>
      <c r="T176" s="68">
        <f>IF($A176="","",COUNTIFS('Ordres de travail'!$I$5:$I$3004,$A176,'Ordres de travail'!$AC$5:$AC$3004,"Clôturé",'Ordres de travail'!$R$5:$R$3004,"&gt;="&amp;'Paramètres'!$AA$6,'Ordres de travail'!$R$5:$R$3004,"&lt;"&amp;('Paramètres'!$AA$7+1)))</f>
        <v/>
      </c>
      <c r="U176" s="69">
        <f>IF(OR($A176="",N(H176)=0),"",IF(M176="Non",0,365/H176*I176))</f>
        <v/>
      </c>
    </row>
    <row r="177">
      <c r="A177" s="7" t="n"/>
      <c r="B177" s="7" t="n"/>
      <c r="C177" s="9">
        <f>IF(B177="","",IFERROR(INDEX('Équipements'!$B$5:$B$304,MATCH(B177,'Équipements'!$A$5:$A$304,0)),"Code inconnu"))</f>
        <v/>
      </c>
      <c r="D177" s="9">
        <f>IF(B177="","",IFERROR(INDEX('Équipements'!$D$5:$D$304,MATCH(B177,'Équipements'!$A$5:$A$304,0)),""))</f>
        <v/>
      </c>
      <c r="E177" s="7" t="n"/>
      <c r="F177" s="7" t="n"/>
      <c r="G177" s="7" t="n"/>
      <c r="H177" s="67" t="n"/>
      <c r="I177" s="76" t="n"/>
      <c r="J177" s="7" t="n"/>
      <c r="K177" s="7" t="n"/>
      <c r="L177" s="65" t="n"/>
      <c r="M177" s="7" t="n"/>
      <c r="N177" s="7" t="n"/>
      <c r="O177" s="78">
        <f>IF($A177="","",MAX(N(L177),INT(_xlfn.MAXIFS('Ordres de travail'!$R$5:$R$3004,'Ordres de travail'!$I$5:$I$3004,$A177,'Ordres de travail'!$AC$5:$AC$3004,"Clôturé"))))</f>
        <v/>
      </c>
      <c r="P177" s="78">
        <f>IF(OR($A177="",N(O177)=0),"",O177+H177)</f>
        <v/>
      </c>
      <c r="Q177" s="79">
        <f>IF(P177="","",P177-TODAY())</f>
        <v/>
      </c>
      <c r="R177" s="9">
        <f>IF($A177="","",IF(M177="Non","INACTIF",IF(Q177="","À DÉFINIR",IF(Q177&lt;0,"EN RETARD",IF(Q177&lt;='Paramètres'!$AA$12,"À PLANIFIER","OK")))))</f>
        <v/>
      </c>
      <c r="S177" s="9">
        <f>IF($A177="","",IF(SUM(COUNTIFS('Ordres de travail'!$I$5:$I$3004,$A177,'Ordres de travail'!$AC$5:$AC$3004,{"Demandé","Planifié","En cours","En attente pièces"}))&gt;0,"Oui","Non"))</f>
        <v/>
      </c>
      <c r="T177" s="68">
        <f>IF($A177="","",COUNTIFS('Ordres de travail'!$I$5:$I$3004,$A177,'Ordres de travail'!$AC$5:$AC$3004,"Clôturé",'Ordres de travail'!$R$5:$R$3004,"&gt;="&amp;'Paramètres'!$AA$6,'Ordres de travail'!$R$5:$R$3004,"&lt;"&amp;('Paramètres'!$AA$7+1)))</f>
        <v/>
      </c>
      <c r="U177" s="69">
        <f>IF(OR($A177="",N(H177)=0),"",IF(M177="Non",0,365/H177*I177))</f>
        <v/>
      </c>
    </row>
    <row r="178">
      <c r="A178" s="7" t="n"/>
      <c r="B178" s="7" t="n"/>
      <c r="C178" s="9">
        <f>IF(B178="","",IFERROR(INDEX('Équipements'!$B$5:$B$304,MATCH(B178,'Équipements'!$A$5:$A$304,0)),"Code inconnu"))</f>
        <v/>
      </c>
      <c r="D178" s="9">
        <f>IF(B178="","",IFERROR(INDEX('Équipements'!$D$5:$D$304,MATCH(B178,'Équipements'!$A$5:$A$304,0)),""))</f>
        <v/>
      </c>
      <c r="E178" s="7" t="n"/>
      <c r="F178" s="7" t="n"/>
      <c r="G178" s="7" t="n"/>
      <c r="H178" s="67" t="n"/>
      <c r="I178" s="76" t="n"/>
      <c r="J178" s="7" t="n"/>
      <c r="K178" s="7" t="n"/>
      <c r="L178" s="65" t="n"/>
      <c r="M178" s="7" t="n"/>
      <c r="N178" s="7" t="n"/>
      <c r="O178" s="78">
        <f>IF($A178="","",MAX(N(L178),INT(_xlfn.MAXIFS('Ordres de travail'!$R$5:$R$3004,'Ordres de travail'!$I$5:$I$3004,$A178,'Ordres de travail'!$AC$5:$AC$3004,"Clôturé"))))</f>
        <v/>
      </c>
      <c r="P178" s="78">
        <f>IF(OR($A178="",N(O178)=0),"",O178+H178)</f>
        <v/>
      </c>
      <c r="Q178" s="79">
        <f>IF(P178="","",P178-TODAY())</f>
        <v/>
      </c>
      <c r="R178" s="9">
        <f>IF($A178="","",IF(M178="Non","INACTIF",IF(Q178="","À DÉFINIR",IF(Q178&lt;0,"EN RETARD",IF(Q178&lt;='Paramètres'!$AA$12,"À PLANIFIER","OK")))))</f>
        <v/>
      </c>
      <c r="S178" s="9">
        <f>IF($A178="","",IF(SUM(COUNTIFS('Ordres de travail'!$I$5:$I$3004,$A178,'Ordres de travail'!$AC$5:$AC$3004,{"Demandé","Planifié","En cours","En attente pièces"}))&gt;0,"Oui","Non"))</f>
        <v/>
      </c>
      <c r="T178" s="68">
        <f>IF($A178="","",COUNTIFS('Ordres de travail'!$I$5:$I$3004,$A178,'Ordres de travail'!$AC$5:$AC$3004,"Clôturé",'Ordres de travail'!$R$5:$R$3004,"&gt;="&amp;'Paramètres'!$AA$6,'Ordres de travail'!$R$5:$R$3004,"&lt;"&amp;('Paramètres'!$AA$7+1)))</f>
        <v/>
      </c>
      <c r="U178" s="69">
        <f>IF(OR($A178="",N(H178)=0),"",IF(M178="Non",0,365/H178*I178))</f>
        <v/>
      </c>
    </row>
    <row r="179">
      <c r="A179" s="7" t="n"/>
      <c r="B179" s="7" t="n"/>
      <c r="C179" s="9">
        <f>IF(B179="","",IFERROR(INDEX('Équipements'!$B$5:$B$304,MATCH(B179,'Équipements'!$A$5:$A$304,0)),"Code inconnu"))</f>
        <v/>
      </c>
      <c r="D179" s="9">
        <f>IF(B179="","",IFERROR(INDEX('Équipements'!$D$5:$D$304,MATCH(B179,'Équipements'!$A$5:$A$304,0)),""))</f>
        <v/>
      </c>
      <c r="E179" s="7" t="n"/>
      <c r="F179" s="7" t="n"/>
      <c r="G179" s="7" t="n"/>
      <c r="H179" s="67" t="n"/>
      <c r="I179" s="76" t="n"/>
      <c r="J179" s="7" t="n"/>
      <c r="K179" s="7" t="n"/>
      <c r="L179" s="65" t="n"/>
      <c r="M179" s="7" t="n"/>
      <c r="N179" s="7" t="n"/>
      <c r="O179" s="78">
        <f>IF($A179="","",MAX(N(L179),INT(_xlfn.MAXIFS('Ordres de travail'!$R$5:$R$3004,'Ordres de travail'!$I$5:$I$3004,$A179,'Ordres de travail'!$AC$5:$AC$3004,"Clôturé"))))</f>
        <v/>
      </c>
      <c r="P179" s="78">
        <f>IF(OR($A179="",N(O179)=0),"",O179+H179)</f>
        <v/>
      </c>
      <c r="Q179" s="79">
        <f>IF(P179="","",P179-TODAY())</f>
        <v/>
      </c>
      <c r="R179" s="9">
        <f>IF($A179="","",IF(M179="Non","INACTIF",IF(Q179="","À DÉFINIR",IF(Q179&lt;0,"EN RETARD",IF(Q179&lt;='Paramètres'!$AA$12,"À PLANIFIER","OK")))))</f>
        <v/>
      </c>
      <c r="S179" s="9">
        <f>IF($A179="","",IF(SUM(COUNTIFS('Ordres de travail'!$I$5:$I$3004,$A179,'Ordres de travail'!$AC$5:$AC$3004,{"Demandé","Planifié","En cours","En attente pièces"}))&gt;0,"Oui","Non"))</f>
        <v/>
      </c>
      <c r="T179" s="68">
        <f>IF($A179="","",COUNTIFS('Ordres de travail'!$I$5:$I$3004,$A179,'Ordres de travail'!$AC$5:$AC$3004,"Clôturé",'Ordres de travail'!$R$5:$R$3004,"&gt;="&amp;'Paramètres'!$AA$6,'Ordres de travail'!$R$5:$R$3004,"&lt;"&amp;('Paramètres'!$AA$7+1)))</f>
        <v/>
      </c>
      <c r="U179" s="69">
        <f>IF(OR($A179="",N(H179)=0),"",IF(M179="Non",0,365/H179*I179))</f>
        <v/>
      </c>
    </row>
    <row r="180">
      <c r="A180" s="7" t="n"/>
      <c r="B180" s="7" t="n"/>
      <c r="C180" s="9">
        <f>IF(B180="","",IFERROR(INDEX('Équipements'!$B$5:$B$304,MATCH(B180,'Équipements'!$A$5:$A$304,0)),"Code inconnu"))</f>
        <v/>
      </c>
      <c r="D180" s="9">
        <f>IF(B180="","",IFERROR(INDEX('Équipements'!$D$5:$D$304,MATCH(B180,'Équipements'!$A$5:$A$304,0)),""))</f>
        <v/>
      </c>
      <c r="E180" s="7" t="n"/>
      <c r="F180" s="7" t="n"/>
      <c r="G180" s="7" t="n"/>
      <c r="H180" s="67" t="n"/>
      <c r="I180" s="76" t="n"/>
      <c r="J180" s="7" t="n"/>
      <c r="K180" s="7" t="n"/>
      <c r="L180" s="65" t="n"/>
      <c r="M180" s="7" t="n"/>
      <c r="N180" s="7" t="n"/>
      <c r="O180" s="78">
        <f>IF($A180="","",MAX(N(L180),INT(_xlfn.MAXIFS('Ordres de travail'!$R$5:$R$3004,'Ordres de travail'!$I$5:$I$3004,$A180,'Ordres de travail'!$AC$5:$AC$3004,"Clôturé"))))</f>
        <v/>
      </c>
      <c r="P180" s="78">
        <f>IF(OR($A180="",N(O180)=0),"",O180+H180)</f>
        <v/>
      </c>
      <c r="Q180" s="79">
        <f>IF(P180="","",P180-TODAY())</f>
        <v/>
      </c>
      <c r="R180" s="9">
        <f>IF($A180="","",IF(M180="Non","INACTIF",IF(Q180="","À DÉFINIR",IF(Q180&lt;0,"EN RETARD",IF(Q180&lt;='Paramètres'!$AA$12,"À PLANIFIER","OK")))))</f>
        <v/>
      </c>
      <c r="S180" s="9">
        <f>IF($A180="","",IF(SUM(COUNTIFS('Ordres de travail'!$I$5:$I$3004,$A180,'Ordres de travail'!$AC$5:$AC$3004,{"Demandé","Planifié","En cours","En attente pièces"}))&gt;0,"Oui","Non"))</f>
        <v/>
      </c>
      <c r="T180" s="68">
        <f>IF($A180="","",COUNTIFS('Ordres de travail'!$I$5:$I$3004,$A180,'Ordres de travail'!$AC$5:$AC$3004,"Clôturé",'Ordres de travail'!$R$5:$R$3004,"&gt;="&amp;'Paramètres'!$AA$6,'Ordres de travail'!$R$5:$R$3004,"&lt;"&amp;('Paramètres'!$AA$7+1)))</f>
        <v/>
      </c>
      <c r="U180" s="69">
        <f>IF(OR($A180="",N(H180)=0),"",IF(M180="Non",0,365/H180*I180))</f>
        <v/>
      </c>
    </row>
    <row r="181">
      <c r="A181" s="7" t="n"/>
      <c r="B181" s="7" t="n"/>
      <c r="C181" s="9">
        <f>IF(B181="","",IFERROR(INDEX('Équipements'!$B$5:$B$304,MATCH(B181,'Équipements'!$A$5:$A$304,0)),"Code inconnu"))</f>
        <v/>
      </c>
      <c r="D181" s="9">
        <f>IF(B181="","",IFERROR(INDEX('Équipements'!$D$5:$D$304,MATCH(B181,'Équipements'!$A$5:$A$304,0)),""))</f>
        <v/>
      </c>
      <c r="E181" s="7" t="n"/>
      <c r="F181" s="7" t="n"/>
      <c r="G181" s="7" t="n"/>
      <c r="H181" s="67" t="n"/>
      <c r="I181" s="76" t="n"/>
      <c r="J181" s="7" t="n"/>
      <c r="K181" s="7" t="n"/>
      <c r="L181" s="65" t="n"/>
      <c r="M181" s="7" t="n"/>
      <c r="N181" s="7" t="n"/>
      <c r="O181" s="78">
        <f>IF($A181="","",MAX(N(L181),INT(_xlfn.MAXIFS('Ordres de travail'!$R$5:$R$3004,'Ordres de travail'!$I$5:$I$3004,$A181,'Ordres de travail'!$AC$5:$AC$3004,"Clôturé"))))</f>
        <v/>
      </c>
      <c r="P181" s="78">
        <f>IF(OR($A181="",N(O181)=0),"",O181+H181)</f>
        <v/>
      </c>
      <c r="Q181" s="79">
        <f>IF(P181="","",P181-TODAY())</f>
        <v/>
      </c>
      <c r="R181" s="9">
        <f>IF($A181="","",IF(M181="Non","INACTIF",IF(Q181="","À DÉFINIR",IF(Q181&lt;0,"EN RETARD",IF(Q181&lt;='Paramètres'!$AA$12,"À PLANIFIER","OK")))))</f>
        <v/>
      </c>
      <c r="S181" s="9">
        <f>IF($A181="","",IF(SUM(COUNTIFS('Ordres de travail'!$I$5:$I$3004,$A181,'Ordres de travail'!$AC$5:$AC$3004,{"Demandé","Planifié","En cours","En attente pièces"}))&gt;0,"Oui","Non"))</f>
        <v/>
      </c>
      <c r="T181" s="68">
        <f>IF($A181="","",COUNTIFS('Ordres de travail'!$I$5:$I$3004,$A181,'Ordres de travail'!$AC$5:$AC$3004,"Clôturé",'Ordres de travail'!$R$5:$R$3004,"&gt;="&amp;'Paramètres'!$AA$6,'Ordres de travail'!$R$5:$R$3004,"&lt;"&amp;('Paramètres'!$AA$7+1)))</f>
        <v/>
      </c>
      <c r="U181" s="69">
        <f>IF(OR($A181="",N(H181)=0),"",IF(M181="Non",0,365/H181*I181))</f>
        <v/>
      </c>
    </row>
    <row r="182">
      <c r="A182" s="7" t="n"/>
      <c r="B182" s="7" t="n"/>
      <c r="C182" s="9">
        <f>IF(B182="","",IFERROR(INDEX('Équipements'!$B$5:$B$304,MATCH(B182,'Équipements'!$A$5:$A$304,0)),"Code inconnu"))</f>
        <v/>
      </c>
      <c r="D182" s="9">
        <f>IF(B182="","",IFERROR(INDEX('Équipements'!$D$5:$D$304,MATCH(B182,'Équipements'!$A$5:$A$304,0)),""))</f>
        <v/>
      </c>
      <c r="E182" s="7" t="n"/>
      <c r="F182" s="7" t="n"/>
      <c r="G182" s="7" t="n"/>
      <c r="H182" s="67" t="n"/>
      <c r="I182" s="76" t="n"/>
      <c r="J182" s="7" t="n"/>
      <c r="K182" s="7" t="n"/>
      <c r="L182" s="65" t="n"/>
      <c r="M182" s="7" t="n"/>
      <c r="N182" s="7" t="n"/>
      <c r="O182" s="78">
        <f>IF($A182="","",MAX(N(L182),INT(_xlfn.MAXIFS('Ordres de travail'!$R$5:$R$3004,'Ordres de travail'!$I$5:$I$3004,$A182,'Ordres de travail'!$AC$5:$AC$3004,"Clôturé"))))</f>
        <v/>
      </c>
      <c r="P182" s="78">
        <f>IF(OR($A182="",N(O182)=0),"",O182+H182)</f>
        <v/>
      </c>
      <c r="Q182" s="79">
        <f>IF(P182="","",P182-TODAY())</f>
        <v/>
      </c>
      <c r="R182" s="9">
        <f>IF($A182="","",IF(M182="Non","INACTIF",IF(Q182="","À DÉFINIR",IF(Q182&lt;0,"EN RETARD",IF(Q182&lt;='Paramètres'!$AA$12,"À PLANIFIER","OK")))))</f>
        <v/>
      </c>
      <c r="S182" s="9">
        <f>IF($A182="","",IF(SUM(COUNTIFS('Ordres de travail'!$I$5:$I$3004,$A182,'Ordres de travail'!$AC$5:$AC$3004,{"Demandé","Planifié","En cours","En attente pièces"}))&gt;0,"Oui","Non"))</f>
        <v/>
      </c>
      <c r="T182" s="68">
        <f>IF($A182="","",COUNTIFS('Ordres de travail'!$I$5:$I$3004,$A182,'Ordres de travail'!$AC$5:$AC$3004,"Clôturé",'Ordres de travail'!$R$5:$R$3004,"&gt;="&amp;'Paramètres'!$AA$6,'Ordres de travail'!$R$5:$R$3004,"&lt;"&amp;('Paramètres'!$AA$7+1)))</f>
        <v/>
      </c>
      <c r="U182" s="69">
        <f>IF(OR($A182="",N(H182)=0),"",IF(M182="Non",0,365/H182*I182))</f>
        <v/>
      </c>
    </row>
    <row r="183">
      <c r="A183" s="7" t="n"/>
      <c r="B183" s="7" t="n"/>
      <c r="C183" s="9">
        <f>IF(B183="","",IFERROR(INDEX('Équipements'!$B$5:$B$304,MATCH(B183,'Équipements'!$A$5:$A$304,0)),"Code inconnu"))</f>
        <v/>
      </c>
      <c r="D183" s="9">
        <f>IF(B183="","",IFERROR(INDEX('Équipements'!$D$5:$D$304,MATCH(B183,'Équipements'!$A$5:$A$304,0)),""))</f>
        <v/>
      </c>
      <c r="E183" s="7" t="n"/>
      <c r="F183" s="7" t="n"/>
      <c r="G183" s="7" t="n"/>
      <c r="H183" s="67" t="n"/>
      <c r="I183" s="76" t="n"/>
      <c r="J183" s="7" t="n"/>
      <c r="K183" s="7" t="n"/>
      <c r="L183" s="65" t="n"/>
      <c r="M183" s="7" t="n"/>
      <c r="N183" s="7" t="n"/>
      <c r="O183" s="78">
        <f>IF($A183="","",MAX(N(L183),INT(_xlfn.MAXIFS('Ordres de travail'!$R$5:$R$3004,'Ordres de travail'!$I$5:$I$3004,$A183,'Ordres de travail'!$AC$5:$AC$3004,"Clôturé"))))</f>
        <v/>
      </c>
      <c r="P183" s="78">
        <f>IF(OR($A183="",N(O183)=0),"",O183+H183)</f>
        <v/>
      </c>
      <c r="Q183" s="79">
        <f>IF(P183="","",P183-TODAY())</f>
        <v/>
      </c>
      <c r="R183" s="9">
        <f>IF($A183="","",IF(M183="Non","INACTIF",IF(Q183="","À DÉFINIR",IF(Q183&lt;0,"EN RETARD",IF(Q183&lt;='Paramètres'!$AA$12,"À PLANIFIER","OK")))))</f>
        <v/>
      </c>
      <c r="S183" s="9">
        <f>IF($A183="","",IF(SUM(COUNTIFS('Ordres de travail'!$I$5:$I$3004,$A183,'Ordres de travail'!$AC$5:$AC$3004,{"Demandé","Planifié","En cours","En attente pièces"}))&gt;0,"Oui","Non"))</f>
        <v/>
      </c>
      <c r="T183" s="68">
        <f>IF($A183="","",COUNTIFS('Ordres de travail'!$I$5:$I$3004,$A183,'Ordres de travail'!$AC$5:$AC$3004,"Clôturé",'Ordres de travail'!$R$5:$R$3004,"&gt;="&amp;'Paramètres'!$AA$6,'Ordres de travail'!$R$5:$R$3004,"&lt;"&amp;('Paramètres'!$AA$7+1)))</f>
        <v/>
      </c>
      <c r="U183" s="69">
        <f>IF(OR($A183="",N(H183)=0),"",IF(M183="Non",0,365/H183*I183))</f>
        <v/>
      </c>
    </row>
    <row r="184">
      <c r="A184" s="7" t="n"/>
      <c r="B184" s="7" t="n"/>
      <c r="C184" s="9">
        <f>IF(B184="","",IFERROR(INDEX('Équipements'!$B$5:$B$304,MATCH(B184,'Équipements'!$A$5:$A$304,0)),"Code inconnu"))</f>
        <v/>
      </c>
      <c r="D184" s="9">
        <f>IF(B184="","",IFERROR(INDEX('Équipements'!$D$5:$D$304,MATCH(B184,'Équipements'!$A$5:$A$304,0)),""))</f>
        <v/>
      </c>
      <c r="E184" s="7" t="n"/>
      <c r="F184" s="7" t="n"/>
      <c r="G184" s="7" t="n"/>
      <c r="H184" s="67" t="n"/>
      <c r="I184" s="76" t="n"/>
      <c r="J184" s="7" t="n"/>
      <c r="K184" s="7" t="n"/>
      <c r="L184" s="65" t="n"/>
      <c r="M184" s="7" t="n"/>
      <c r="N184" s="7" t="n"/>
      <c r="O184" s="78">
        <f>IF($A184="","",MAX(N(L184),INT(_xlfn.MAXIFS('Ordres de travail'!$R$5:$R$3004,'Ordres de travail'!$I$5:$I$3004,$A184,'Ordres de travail'!$AC$5:$AC$3004,"Clôturé"))))</f>
        <v/>
      </c>
      <c r="P184" s="78">
        <f>IF(OR($A184="",N(O184)=0),"",O184+H184)</f>
        <v/>
      </c>
      <c r="Q184" s="79">
        <f>IF(P184="","",P184-TODAY())</f>
        <v/>
      </c>
      <c r="R184" s="9">
        <f>IF($A184="","",IF(M184="Non","INACTIF",IF(Q184="","À DÉFINIR",IF(Q184&lt;0,"EN RETARD",IF(Q184&lt;='Paramètres'!$AA$12,"À PLANIFIER","OK")))))</f>
        <v/>
      </c>
      <c r="S184" s="9">
        <f>IF($A184="","",IF(SUM(COUNTIFS('Ordres de travail'!$I$5:$I$3004,$A184,'Ordres de travail'!$AC$5:$AC$3004,{"Demandé","Planifié","En cours","En attente pièces"}))&gt;0,"Oui","Non"))</f>
        <v/>
      </c>
      <c r="T184" s="68">
        <f>IF($A184="","",COUNTIFS('Ordres de travail'!$I$5:$I$3004,$A184,'Ordres de travail'!$AC$5:$AC$3004,"Clôturé",'Ordres de travail'!$R$5:$R$3004,"&gt;="&amp;'Paramètres'!$AA$6,'Ordres de travail'!$R$5:$R$3004,"&lt;"&amp;('Paramètres'!$AA$7+1)))</f>
        <v/>
      </c>
      <c r="U184" s="69">
        <f>IF(OR($A184="",N(H184)=0),"",IF(M184="Non",0,365/H184*I184))</f>
        <v/>
      </c>
    </row>
    <row r="185">
      <c r="A185" s="7" t="n"/>
      <c r="B185" s="7" t="n"/>
      <c r="C185" s="9">
        <f>IF(B185="","",IFERROR(INDEX('Équipements'!$B$5:$B$304,MATCH(B185,'Équipements'!$A$5:$A$304,0)),"Code inconnu"))</f>
        <v/>
      </c>
      <c r="D185" s="9">
        <f>IF(B185="","",IFERROR(INDEX('Équipements'!$D$5:$D$304,MATCH(B185,'Équipements'!$A$5:$A$304,0)),""))</f>
        <v/>
      </c>
      <c r="E185" s="7" t="n"/>
      <c r="F185" s="7" t="n"/>
      <c r="G185" s="7" t="n"/>
      <c r="H185" s="67" t="n"/>
      <c r="I185" s="76" t="n"/>
      <c r="J185" s="7" t="n"/>
      <c r="K185" s="7" t="n"/>
      <c r="L185" s="65" t="n"/>
      <c r="M185" s="7" t="n"/>
      <c r="N185" s="7" t="n"/>
      <c r="O185" s="78">
        <f>IF($A185="","",MAX(N(L185),INT(_xlfn.MAXIFS('Ordres de travail'!$R$5:$R$3004,'Ordres de travail'!$I$5:$I$3004,$A185,'Ordres de travail'!$AC$5:$AC$3004,"Clôturé"))))</f>
        <v/>
      </c>
      <c r="P185" s="78">
        <f>IF(OR($A185="",N(O185)=0),"",O185+H185)</f>
        <v/>
      </c>
      <c r="Q185" s="79">
        <f>IF(P185="","",P185-TODAY())</f>
        <v/>
      </c>
      <c r="R185" s="9">
        <f>IF($A185="","",IF(M185="Non","INACTIF",IF(Q185="","À DÉFINIR",IF(Q185&lt;0,"EN RETARD",IF(Q185&lt;='Paramètres'!$AA$12,"À PLANIFIER","OK")))))</f>
        <v/>
      </c>
      <c r="S185" s="9">
        <f>IF($A185="","",IF(SUM(COUNTIFS('Ordres de travail'!$I$5:$I$3004,$A185,'Ordres de travail'!$AC$5:$AC$3004,{"Demandé","Planifié","En cours","En attente pièces"}))&gt;0,"Oui","Non"))</f>
        <v/>
      </c>
      <c r="T185" s="68">
        <f>IF($A185="","",COUNTIFS('Ordres de travail'!$I$5:$I$3004,$A185,'Ordres de travail'!$AC$5:$AC$3004,"Clôturé",'Ordres de travail'!$R$5:$R$3004,"&gt;="&amp;'Paramètres'!$AA$6,'Ordres de travail'!$R$5:$R$3004,"&lt;"&amp;('Paramètres'!$AA$7+1)))</f>
        <v/>
      </c>
      <c r="U185" s="69">
        <f>IF(OR($A185="",N(H185)=0),"",IF(M185="Non",0,365/H185*I185))</f>
        <v/>
      </c>
    </row>
    <row r="186">
      <c r="A186" s="7" t="n"/>
      <c r="B186" s="7" t="n"/>
      <c r="C186" s="9">
        <f>IF(B186="","",IFERROR(INDEX('Équipements'!$B$5:$B$304,MATCH(B186,'Équipements'!$A$5:$A$304,0)),"Code inconnu"))</f>
        <v/>
      </c>
      <c r="D186" s="9">
        <f>IF(B186="","",IFERROR(INDEX('Équipements'!$D$5:$D$304,MATCH(B186,'Équipements'!$A$5:$A$304,0)),""))</f>
        <v/>
      </c>
      <c r="E186" s="7" t="n"/>
      <c r="F186" s="7" t="n"/>
      <c r="G186" s="7" t="n"/>
      <c r="H186" s="67" t="n"/>
      <c r="I186" s="76" t="n"/>
      <c r="J186" s="7" t="n"/>
      <c r="K186" s="7" t="n"/>
      <c r="L186" s="65" t="n"/>
      <c r="M186" s="7" t="n"/>
      <c r="N186" s="7" t="n"/>
      <c r="O186" s="78">
        <f>IF($A186="","",MAX(N(L186),INT(_xlfn.MAXIFS('Ordres de travail'!$R$5:$R$3004,'Ordres de travail'!$I$5:$I$3004,$A186,'Ordres de travail'!$AC$5:$AC$3004,"Clôturé"))))</f>
        <v/>
      </c>
      <c r="P186" s="78">
        <f>IF(OR($A186="",N(O186)=0),"",O186+H186)</f>
        <v/>
      </c>
      <c r="Q186" s="79">
        <f>IF(P186="","",P186-TODAY())</f>
        <v/>
      </c>
      <c r="R186" s="9">
        <f>IF($A186="","",IF(M186="Non","INACTIF",IF(Q186="","À DÉFINIR",IF(Q186&lt;0,"EN RETARD",IF(Q186&lt;='Paramètres'!$AA$12,"À PLANIFIER","OK")))))</f>
        <v/>
      </c>
      <c r="S186" s="9">
        <f>IF($A186="","",IF(SUM(COUNTIFS('Ordres de travail'!$I$5:$I$3004,$A186,'Ordres de travail'!$AC$5:$AC$3004,{"Demandé","Planifié","En cours","En attente pièces"}))&gt;0,"Oui","Non"))</f>
        <v/>
      </c>
      <c r="T186" s="68">
        <f>IF($A186="","",COUNTIFS('Ordres de travail'!$I$5:$I$3004,$A186,'Ordres de travail'!$AC$5:$AC$3004,"Clôturé",'Ordres de travail'!$R$5:$R$3004,"&gt;="&amp;'Paramètres'!$AA$6,'Ordres de travail'!$R$5:$R$3004,"&lt;"&amp;('Paramètres'!$AA$7+1)))</f>
        <v/>
      </c>
      <c r="U186" s="69">
        <f>IF(OR($A186="",N(H186)=0),"",IF(M186="Non",0,365/H186*I186))</f>
        <v/>
      </c>
    </row>
    <row r="187">
      <c r="A187" s="7" t="n"/>
      <c r="B187" s="7" t="n"/>
      <c r="C187" s="9">
        <f>IF(B187="","",IFERROR(INDEX('Équipements'!$B$5:$B$304,MATCH(B187,'Équipements'!$A$5:$A$304,0)),"Code inconnu"))</f>
        <v/>
      </c>
      <c r="D187" s="9">
        <f>IF(B187="","",IFERROR(INDEX('Équipements'!$D$5:$D$304,MATCH(B187,'Équipements'!$A$5:$A$304,0)),""))</f>
        <v/>
      </c>
      <c r="E187" s="7" t="n"/>
      <c r="F187" s="7" t="n"/>
      <c r="G187" s="7" t="n"/>
      <c r="H187" s="67" t="n"/>
      <c r="I187" s="76" t="n"/>
      <c r="J187" s="7" t="n"/>
      <c r="K187" s="7" t="n"/>
      <c r="L187" s="65" t="n"/>
      <c r="M187" s="7" t="n"/>
      <c r="N187" s="7" t="n"/>
      <c r="O187" s="78">
        <f>IF($A187="","",MAX(N(L187),INT(_xlfn.MAXIFS('Ordres de travail'!$R$5:$R$3004,'Ordres de travail'!$I$5:$I$3004,$A187,'Ordres de travail'!$AC$5:$AC$3004,"Clôturé"))))</f>
        <v/>
      </c>
      <c r="P187" s="78">
        <f>IF(OR($A187="",N(O187)=0),"",O187+H187)</f>
        <v/>
      </c>
      <c r="Q187" s="79">
        <f>IF(P187="","",P187-TODAY())</f>
        <v/>
      </c>
      <c r="R187" s="9">
        <f>IF($A187="","",IF(M187="Non","INACTIF",IF(Q187="","À DÉFINIR",IF(Q187&lt;0,"EN RETARD",IF(Q187&lt;='Paramètres'!$AA$12,"À PLANIFIER","OK")))))</f>
        <v/>
      </c>
      <c r="S187" s="9">
        <f>IF($A187="","",IF(SUM(COUNTIFS('Ordres de travail'!$I$5:$I$3004,$A187,'Ordres de travail'!$AC$5:$AC$3004,{"Demandé","Planifié","En cours","En attente pièces"}))&gt;0,"Oui","Non"))</f>
        <v/>
      </c>
      <c r="T187" s="68">
        <f>IF($A187="","",COUNTIFS('Ordres de travail'!$I$5:$I$3004,$A187,'Ordres de travail'!$AC$5:$AC$3004,"Clôturé",'Ordres de travail'!$R$5:$R$3004,"&gt;="&amp;'Paramètres'!$AA$6,'Ordres de travail'!$R$5:$R$3004,"&lt;"&amp;('Paramètres'!$AA$7+1)))</f>
        <v/>
      </c>
      <c r="U187" s="69">
        <f>IF(OR($A187="",N(H187)=0),"",IF(M187="Non",0,365/H187*I187))</f>
        <v/>
      </c>
    </row>
    <row r="188">
      <c r="A188" s="7" t="n"/>
      <c r="B188" s="7" t="n"/>
      <c r="C188" s="9">
        <f>IF(B188="","",IFERROR(INDEX('Équipements'!$B$5:$B$304,MATCH(B188,'Équipements'!$A$5:$A$304,0)),"Code inconnu"))</f>
        <v/>
      </c>
      <c r="D188" s="9">
        <f>IF(B188="","",IFERROR(INDEX('Équipements'!$D$5:$D$304,MATCH(B188,'Équipements'!$A$5:$A$304,0)),""))</f>
        <v/>
      </c>
      <c r="E188" s="7" t="n"/>
      <c r="F188" s="7" t="n"/>
      <c r="G188" s="7" t="n"/>
      <c r="H188" s="67" t="n"/>
      <c r="I188" s="76" t="n"/>
      <c r="J188" s="7" t="n"/>
      <c r="K188" s="7" t="n"/>
      <c r="L188" s="65" t="n"/>
      <c r="M188" s="7" t="n"/>
      <c r="N188" s="7" t="n"/>
      <c r="O188" s="78">
        <f>IF($A188="","",MAX(N(L188),INT(_xlfn.MAXIFS('Ordres de travail'!$R$5:$R$3004,'Ordres de travail'!$I$5:$I$3004,$A188,'Ordres de travail'!$AC$5:$AC$3004,"Clôturé"))))</f>
        <v/>
      </c>
      <c r="P188" s="78">
        <f>IF(OR($A188="",N(O188)=0),"",O188+H188)</f>
        <v/>
      </c>
      <c r="Q188" s="79">
        <f>IF(P188="","",P188-TODAY())</f>
        <v/>
      </c>
      <c r="R188" s="9">
        <f>IF($A188="","",IF(M188="Non","INACTIF",IF(Q188="","À DÉFINIR",IF(Q188&lt;0,"EN RETARD",IF(Q188&lt;='Paramètres'!$AA$12,"À PLANIFIER","OK")))))</f>
        <v/>
      </c>
      <c r="S188" s="9">
        <f>IF($A188="","",IF(SUM(COUNTIFS('Ordres de travail'!$I$5:$I$3004,$A188,'Ordres de travail'!$AC$5:$AC$3004,{"Demandé","Planifié","En cours","En attente pièces"}))&gt;0,"Oui","Non"))</f>
        <v/>
      </c>
      <c r="T188" s="68">
        <f>IF($A188="","",COUNTIFS('Ordres de travail'!$I$5:$I$3004,$A188,'Ordres de travail'!$AC$5:$AC$3004,"Clôturé",'Ordres de travail'!$R$5:$R$3004,"&gt;="&amp;'Paramètres'!$AA$6,'Ordres de travail'!$R$5:$R$3004,"&lt;"&amp;('Paramètres'!$AA$7+1)))</f>
        <v/>
      </c>
      <c r="U188" s="69">
        <f>IF(OR($A188="",N(H188)=0),"",IF(M188="Non",0,365/H188*I188))</f>
        <v/>
      </c>
    </row>
    <row r="189">
      <c r="A189" s="7" t="n"/>
      <c r="B189" s="7" t="n"/>
      <c r="C189" s="9">
        <f>IF(B189="","",IFERROR(INDEX('Équipements'!$B$5:$B$304,MATCH(B189,'Équipements'!$A$5:$A$304,0)),"Code inconnu"))</f>
        <v/>
      </c>
      <c r="D189" s="9">
        <f>IF(B189="","",IFERROR(INDEX('Équipements'!$D$5:$D$304,MATCH(B189,'Équipements'!$A$5:$A$304,0)),""))</f>
        <v/>
      </c>
      <c r="E189" s="7" t="n"/>
      <c r="F189" s="7" t="n"/>
      <c r="G189" s="7" t="n"/>
      <c r="H189" s="67" t="n"/>
      <c r="I189" s="76" t="n"/>
      <c r="J189" s="7" t="n"/>
      <c r="K189" s="7" t="n"/>
      <c r="L189" s="65" t="n"/>
      <c r="M189" s="7" t="n"/>
      <c r="N189" s="7" t="n"/>
      <c r="O189" s="78">
        <f>IF($A189="","",MAX(N(L189),INT(_xlfn.MAXIFS('Ordres de travail'!$R$5:$R$3004,'Ordres de travail'!$I$5:$I$3004,$A189,'Ordres de travail'!$AC$5:$AC$3004,"Clôturé"))))</f>
        <v/>
      </c>
      <c r="P189" s="78">
        <f>IF(OR($A189="",N(O189)=0),"",O189+H189)</f>
        <v/>
      </c>
      <c r="Q189" s="79">
        <f>IF(P189="","",P189-TODAY())</f>
        <v/>
      </c>
      <c r="R189" s="9">
        <f>IF($A189="","",IF(M189="Non","INACTIF",IF(Q189="","À DÉFINIR",IF(Q189&lt;0,"EN RETARD",IF(Q189&lt;='Paramètres'!$AA$12,"À PLANIFIER","OK")))))</f>
        <v/>
      </c>
      <c r="S189" s="9">
        <f>IF($A189="","",IF(SUM(COUNTIFS('Ordres de travail'!$I$5:$I$3004,$A189,'Ordres de travail'!$AC$5:$AC$3004,{"Demandé","Planifié","En cours","En attente pièces"}))&gt;0,"Oui","Non"))</f>
        <v/>
      </c>
      <c r="T189" s="68">
        <f>IF($A189="","",COUNTIFS('Ordres de travail'!$I$5:$I$3004,$A189,'Ordres de travail'!$AC$5:$AC$3004,"Clôturé",'Ordres de travail'!$R$5:$R$3004,"&gt;="&amp;'Paramètres'!$AA$6,'Ordres de travail'!$R$5:$R$3004,"&lt;"&amp;('Paramètres'!$AA$7+1)))</f>
        <v/>
      </c>
      <c r="U189" s="69">
        <f>IF(OR($A189="",N(H189)=0),"",IF(M189="Non",0,365/H189*I189))</f>
        <v/>
      </c>
    </row>
    <row r="190">
      <c r="A190" s="7" t="n"/>
      <c r="B190" s="7" t="n"/>
      <c r="C190" s="9">
        <f>IF(B190="","",IFERROR(INDEX('Équipements'!$B$5:$B$304,MATCH(B190,'Équipements'!$A$5:$A$304,0)),"Code inconnu"))</f>
        <v/>
      </c>
      <c r="D190" s="9">
        <f>IF(B190="","",IFERROR(INDEX('Équipements'!$D$5:$D$304,MATCH(B190,'Équipements'!$A$5:$A$304,0)),""))</f>
        <v/>
      </c>
      <c r="E190" s="7" t="n"/>
      <c r="F190" s="7" t="n"/>
      <c r="G190" s="7" t="n"/>
      <c r="H190" s="67" t="n"/>
      <c r="I190" s="76" t="n"/>
      <c r="J190" s="7" t="n"/>
      <c r="K190" s="7" t="n"/>
      <c r="L190" s="65" t="n"/>
      <c r="M190" s="7" t="n"/>
      <c r="N190" s="7" t="n"/>
      <c r="O190" s="78">
        <f>IF($A190="","",MAX(N(L190),INT(_xlfn.MAXIFS('Ordres de travail'!$R$5:$R$3004,'Ordres de travail'!$I$5:$I$3004,$A190,'Ordres de travail'!$AC$5:$AC$3004,"Clôturé"))))</f>
        <v/>
      </c>
      <c r="P190" s="78">
        <f>IF(OR($A190="",N(O190)=0),"",O190+H190)</f>
        <v/>
      </c>
      <c r="Q190" s="79">
        <f>IF(P190="","",P190-TODAY())</f>
        <v/>
      </c>
      <c r="R190" s="9">
        <f>IF($A190="","",IF(M190="Non","INACTIF",IF(Q190="","À DÉFINIR",IF(Q190&lt;0,"EN RETARD",IF(Q190&lt;='Paramètres'!$AA$12,"À PLANIFIER","OK")))))</f>
        <v/>
      </c>
      <c r="S190" s="9">
        <f>IF($A190="","",IF(SUM(COUNTIFS('Ordres de travail'!$I$5:$I$3004,$A190,'Ordres de travail'!$AC$5:$AC$3004,{"Demandé","Planifié","En cours","En attente pièces"}))&gt;0,"Oui","Non"))</f>
        <v/>
      </c>
      <c r="T190" s="68">
        <f>IF($A190="","",COUNTIFS('Ordres de travail'!$I$5:$I$3004,$A190,'Ordres de travail'!$AC$5:$AC$3004,"Clôturé",'Ordres de travail'!$R$5:$R$3004,"&gt;="&amp;'Paramètres'!$AA$6,'Ordres de travail'!$R$5:$R$3004,"&lt;"&amp;('Paramètres'!$AA$7+1)))</f>
        <v/>
      </c>
      <c r="U190" s="69">
        <f>IF(OR($A190="",N(H190)=0),"",IF(M190="Non",0,365/H190*I190))</f>
        <v/>
      </c>
    </row>
    <row r="191">
      <c r="A191" s="7" t="n"/>
      <c r="B191" s="7" t="n"/>
      <c r="C191" s="9">
        <f>IF(B191="","",IFERROR(INDEX('Équipements'!$B$5:$B$304,MATCH(B191,'Équipements'!$A$5:$A$304,0)),"Code inconnu"))</f>
        <v/>
      </c>
      <c r="D191" s="9">
        <f>IF(B191="","",IFERROR(INDEX('Équipements'!$D$5:$D$304,MATCH(B191,'Équipements'!$A$5:$A$304,0)),""))</f>
        <v/>
      </c>
      <c r="E191" s="7" t="n"/>
      <c r="F191" s="7" t="n"/>
      <c r="G191" s="7" t="n"/>
      <c r="H191" s="67" t="n"/>
      <c r="I191" s="76" t="n"/>
      <c r="J191" s="7" t="n"/>
      <c r="K191" s="7" t="n"/>
      <c r="L191" s="65" t="n"/>
      <c r="M191" s="7" t="n"/>
      <c r="N191" s="7" t="n"/>
      <c r="O191" s="78">
        <f>IF($A191="","",MAX(N(L191),INT(_xlfn.MAXIFS('Ordres de travail'!$R$5:$R$3004,'Ordres de travail'!$I$5:$I$3004,$A191,'Ordres de travail'!$AC$5:$AC$3004,"Clôturé"))))</f>
        <v/>
      </c>
      <c r="P191" s="78">
        <f>IF(OR($A191="",N(O191)=0),"",O191+H191)</f>
        <v/>
      </c>
      <c r="Q191" s="79">
        <f>IF(P191="","",P191-TODAY())</f>
        <v/>
      </c>
      <c r="R191" s="9">
        <f>IF($A191="","",IF(M191="Non","INACTIF",IF(Q191="","À DÉFINIR",IF(Q191&lt;0,"EN RETARD",IF(Q191&lt;='Paramètres'!$AA$12,"À PLANIFIER","OK")))))</f>
        <v/>
      </c>
      <c r="S191" s="9">
        <f>IF($A191="","",IF(SUM(COUNTIFS('Ordres de travail'!$I$5:$I$3004,$A191,'Ordres de travail'!$AC$5:$AC$3004,{"Demandé","Planifié","En cours","En attente pièces"}))&gt;0,"Oui","Non"))</f>
        <v/>
      </c>
      <c r="T191" s="68">
        <f>IF($A191="","",COUNTIFS('Ordres de travail'!$I$5:$I$3004,$A191,'Ordres de travail'!$AC$5:$AC$3004,"Clôturé",'Ordres de travail'!$R$5:$R$3004,"&gt;="&amp;'Paramètres'!$AA$6,'Ordres de travail'!$R$5:$R$3004,"&lt;"&amp;('Paramètres'!$AA$7+1)))</f>
        <v/>
      </c>
      <c r="U191" s="69">
        <f>IF(OR($A191="",N(H191)=0),"",IF(M191="Non",0,365/H191*I191))</f>
        <v/>
      </c>
    </row>
    <row r="192">
      <c r="A192" s="7" t="n"/>
      <c r="B192" s="7" t="n"/>
      <c r="C192" s="9">
        <f>IF(B192="","",IFERROR(INDEX('Équipements'!$B$5:$B$304,MATCH(B192,'Équipements'!$A$5:$A$304,0)),"Code inconnu"))</f>
        <v/>
      </c>
      <c r="D192" s="9">
        <f>IF(B192="","",IFERROR(INDEX('Équipements'!$D$5:$D$304,MATCH(B192,'Équipements'!$A$5:$A$304,0)),""))</f>
        <v/>
      </c>
      <c r="E192" s="7" t="n"/>
      <c r="F192" s="7" t="n"/>
      <c r="G192" s="7" t="n"/>
      <c r="H192" s="67" t="n"/>
      <c r="I192" s="76" t="n"/>
      <c r="J192" s="7" t="n"/>
      <c r="K192" s="7" t="n"/>
      <c r="L192" s="65" t="n"/>
      <c r="M192" s="7" t="n"/>
      <c r="N192" s="7" t="n"/>
      <c r="O192" s="78">
        <f>IF($A192="","",MAX(N(L192),INT(_xlfn.MAXIFS('Ordres de travail'!$R$5:$R$3004,'Ordres de travail'!$I$5:$I$3004,$A192,'Ordres de travail'!$AC$5:$AC$3004,"Clôturé"))))</f>
        <v/>
      </c>
      <c r="P192" s="78">
        <f>IF(OR($A192="",N(O192)=0),"",O192+H192)</f>
        <v/>
      </c>
      <c r="Q192" s="79">
        <f>IF(P192="","",P192-TODAY())</f>
        <v/>
      </c>
      <c r="R192" s="9">
        <f>IF($A192="","",IF(M192="Non","INACTIF",IF(Q192="","À DÉFINIR",IF(Q192&lt;0,"EN RETARD",IF(Q192&lt;='Paramètres'!$AA$12,"À PLANIFIER","OK")))))</f>
        <v/>
      </c>
      <c r="S192" s="9">
        <f>IF($A192="","",IF(SUM(COUNTIFS('Ordres de travail'!$I$5:$I$3004,$A192,'Ordres de travail'!$AC$5:$AC$3004,{"Demandé","Planifié","En cours","En attente pièces"}))&gt;0,"Oui","Non"))</f>
        <v/>
      </c>
      <c r="T192" s="68">
        <f>IF($A192="","",COUNTIFS('Ordres de travail'!$I$5:$I$3004,$A192,'Ordres de travail'!$AC$5:$AC$3004,"Clôturé",'Ordres de travail'!$R$5:$R$3004,"&gt;="&amp;'Paramètres'!$AA$6,'Ordres de travail'!$R$5:$R$3004,"&lt;"&amp;('Paramètres'!$AA$7+1)))</f>
        <v/>
      </c>
      <c r="U192" s="69">
        <f>IF(OR($A192="",N(H192)=0),"",IF(M192="Non",0,365/H192*I192))</f>
        <v/>
      </c>
    </row>
    <row r="193">
      <c r="A193" s="7" t="n"/>
      <c r="B193" s="7" t="n"/>
      <c r="C193" s="9">
        <f>IF(B193="","",IFERROR(INDEX('Équipements'!$B$5:$B$304,MATCH(B193,'Équipements'!$A$5:$A$304,0)),"Code inconnu"))</f>
        <v/>
      </c>
      <c r="D193" s="9">
        <f>IF(B193="","",IFERROR(INDEX('Équipements'!$D$5:$D$304,MATCH(B193,'Équipements'!$A$5:$A$304,0)),""))</f>
        <v/>
      </c>
      <c r="E193" s="7" t="n"/>
      <c r="F193" s="7" t="n"/>
      <c r="G193" s="7" t="n"/>
      <c r="H193" s="67" t="n"/>
      <c r="I193" s="76" t="n"/>
      <c r="J193" s="7" t="n"/>
      <c r="K193" s="7" t="n"/>
      <c r="L193" s="65" t="n"/>
      <c r="M193" s="7" t="n"/>
      <c r="N193" s="7" t="n"/>
      <c r="O193" s="78">
        <f>IF($A193="","",MAX(N(L193),INT(_xlfn.MAXIFS('Ordres de travail'!$R$5:$R$3004,'Ordres de travail'!$I$5:$I$3004,$A193,'Ordres de travail'!$AC$5:$AC$3004,"Clôturé"))))</f>
        <v/>
      </c>
      <c r="P193" s="78">
        <f>IF(OR($A193="",N(O193)=0),"",O193+H193)</f>
        <v/>
      </c>
      <c r="Q193" s="79">
        <f>IF(P193="","",P193-TODAY())</f>
        <v/>
      </c>
      <c r="R193" s="9">
        <f>IF($A193="","",IF(M193="Non","INACTIF",IF(Q193="","À DÉFINIR",IF(Q193&lt;0,"EN RETARD",IF(Q193&lt;='Paramètres'!$AA$12,"À PLANIFIER","OK")))))</f>
        <v/>
      </c>
      <c r="S193" s="9">
        <f>IF($A193="","",IF(SUM(COUNTIFS('Ordres de travail'!$I$5:$I$3004,$A193,'Ordres de travail'!$AC$5:$AC$3004,{"Demandé","Planifié","En cours","En attente pièces"}))&gt;0,"Oui","Non"))</f>
        <v/>
      </c>
      <c r="T193" s="68">
        <f>IF($A193="","",COUNTIFS('Ordres de travail'!$I$5:$I$3004,$A193,'Ordres de travail'!$AC$5:$AC$3004,"Clôturé",'Ordres de travail'!$R$5:$R$3004,"&gt;="&amp;'Paramètres'!$AA$6,'Ordres de travail'!$R$5:$R$3004,"&lt;"&amp;('Paramètres'!$AA$7+1)))</f>
        <v/>
      </c>
      <c r="U193" s="69">
        <f>IF(OR($A193="",N(H193)=0),"",IF(M193="Non",0,365/H193*I193))</f>
        <v/>
      </c>
    </row>
    <row r="194">
      <c r="A194" s="7" t="n"/>
      <c r="B194" s="7" t="n"/>
      <c r="C194" s="9">
        <f>IF(B194="","",IFERROR(INDEX('Équipements'!$B$5:$B$304,MATCH(B194,'Équipements'!$A$5:$A$304,0)),"Code inconnu"))</f>
        <v/>
      </c>
      <c r="D194" s="9">
        <f>IF(B194="","",IFERROR(INDEX('Équipements'!$D$5:$D$304,MATCH(B194,'Équipements'!$A$5:$A$304,0)),""))</f>
        <v/>
      </c>
      <c r="E194" s="7" t="n"/>
      <c r="F194" s="7" t="n"/>
      <c r="G194" s="7" t="n"/>
      <c r="H194" s="67" t="n"/>
      <c r="I194" s="76" t="n"/>
      <c r="J194" s="7" t="n"/>
      <c r="K194" s="7" t="n"/>
      <c r="L194" s="65" t="n"/>
      <c r="M194" s="7" t="n"/>
      <c r="N194" s="7" t="n"/>
      <c r="O194" s="78">
        <f>IF($A194="","",MAX(N(L194),INT(_xlfn.MAXIFS('Ordres de travail'!$R$5:$R$3004,'Ordres de travail'!$I$5:$I$3004,$A194,'Ordres de travail'!$AC$5:$AC$3004,"Clôturé"))))</f>
        <v/>
      </c>
      <c r="P194" s="78">
        <f>IF(OR($A194="",N(O194)=0),"",O194+H194)</f>
        <v/>
      </c>
      <c r="Q194" s="79">
        <f>IF(P194="","",P194-TODAY())</f>
        <v/>
      </c>
      <c r="R194" s="9">
        <f>IF($A194="","",IF(M194="Non","INACTIF",IF(Q194="","À DÉFINIR",IF(Q194&lt;0,"EN RETARD",IF(Q194&lt;='Paramètres'!$AA$12,"À PLANIFIER","OK")))))</f>
        <v/>
      </c>
      <c r="S194" s="9">
        <f>IF($A194="","",IF(SUM(COUNTIFS('Ordres de travail'!$I$5:$I$3004,$A194,'Ordres de travail'!$AC$5:$AC$3004,{"Demandé","Planifié","En cours","En attente pièces"}))&gt;0,"Oui","Non"))</f>
        <v/>
      </c>
      <c r="T194" s="68">
        <f>IF($A194="","",COUNTIFS('Ordres de travail'!$I$5:$I$3004,$A194,'Ordres de travail'!$AC$5:$AC$3004,"Clôturé",'Ordres de travail'!$R$5:$R$3004,"&gt;="&amp;'Paramètres'!$AA$6,'Ordres de travail'!$R$5:$R$3004,"&lt;"&amp;('Paramètres'!$AA$7+1)))</f>
        <v/>
      </c>
      <c r="U194" s="69">
        <f>IF(OR($A194="",N(H194)=0),"",IF(M194="Non",0,365/H194*I194))</f>
        <v/>
      </c>
    </row>
    <row r="195">
      <c r="A195" s="7" t="n"/>
      <c r="B195" s="7" t="n"/>
      <c r="C195" s="9">
        <f>IF(B195="","",IFERROR(INDEX('Équipements'!$B$5:$B$304,MATCH(B195,'Équipements'!$A$5:$A$304,0)),"Code inconnu"))</f>
        <v/>
      </c>
      <c r="D195" s="9">
        <f>IF(B195="","",IFERROR(INDEX('Équipements'!$D$5:$D$304,MATCH(B195,'Équipements'!$A$5:$A$304,0)),""))</f>
        <v/>
      </c>
      <c r="E195" s="7" t="n"/>
      <c r="F195" s="7" t="n"/>
      <c r="G195" s="7" t="n"/>
      <c r="H195" s="67" t="n"/>
      <c r="I195" s="76" t="n"/>
      <c r="J195" s="7" t="n"/>
      <c r="K195" s="7" t="n"/>
      <c r="L195" s="65" t="n"/>
      <c r="M195" s="7" t="n"/>
      <c r="N195" s="7" t="n"/>
      <c r="O195" s="78">
        <f>IF($A195="","",MAX(N(L195),INT(_xlfn.MAXIFS('Ordres de travail'!$R$5:$R$3004,'Ordres de travail'!$I$5:$I$3004,$A195,'Ordres de travail'!$AC$5:$AC$3004,"Clôturé"))))</f>
        <v/>
      </c>
      <c r="P195" s="78">
        <f>IF(OR($A195="",N(O195)=0),"",O195+H195)</f>
        <v/>
      </c>
      <c r="Q195" s="79">
        <f>IF(P195="","",P195-TODAY())</f>
        <v/>
      </c>
      <c r="R195" s="9">
        <f>IF($A195="","",IF(M195="Non","INACTIF",IF(Q195="","À DÉFINIR",IF(Q195&lt;0,"EN RETARD",IF(Q195&lt;='Paramètres'!$AA$12,"À PLANIFIER","OK")))))</f>
        <v/>
      </c>
      <c r="S195" s="9">
        <f>IF($A195="","",IF(SUM(COUNTIFS('Ordres de travail'!$I$5:$I$3004,$A195,'Ordres de travail'!$AC$5:$AC$3004,{"Demandé","Planifié","En cours","En attente pièces"}))&gt;0,"Oui","Non"))</f>
        <v/>
      </c>
      <c r="T195" s="68">
        <f>IF($A195="","",COUNTIFS('Ordres de travail'!$I$5:$I$3004,$A195,'Ordres de travail'!$AC$5:$AC$3004,"Clôturé",'Ordres de travail'!$R$5:$R$3004,"&gt;="&amp;'Paramètres'!$AA$6,'Ordres de travail'!$R$5:$R$3004,"&lt;"&amp;('Paramètres'!$AA$7+1)))</f>
        <v/>
      </c>
      <c r="U195" s="69">
        <f>IF(OR($A195="",N(H195)=0),"",IF(M195="Non",0,365/H195*I195))</f>
        <v/>
      </c>
    </row>
    <row r="196">
      <c r="A196" s="7" t="n"/>
      <c r="B196" s="7" t="n"/>
      <c r="C196" s="9">
        <f>IF(B196="","",IFERROR(INDEX('Équipements'!$B$5:$B$304,MATCH(B196,'Équipements'!$A$5:$A$304,0)),"Code inconnu"))</f>
        <v/>
      </c>
      <c r="D196" s="9">
        <f>IF(B196="","",IFERROR(INDEX('Équipements'!$D$5:$D$304,MATCH(B196,'Équipements'!$A$5:$A$304,0)),""))</f>
        <v/>
      </c>
      <c r="E196" s="7" t="n"/>
      <c r="F196" s="7" t="n"/>
      <c r="G196" s="7" t="n"/>
      <c r="H196" s="67" t="n"/>
      <c r="I196" s="76" t="n"/>
      <c r="J196" s="7" t="n"/>
      <c r="K196" s="7" t="n"/>
      <c r="L196" s="65" t="n"/>
      <c r="M196" s="7" t="n"/>
      <c r="N196" s="7" t="n"/>
      <c r="O196" s="78">
        <f>IF($A196="","",MAX(N(L196),INT(_xlfn.MAXIFS('Ordres de travail'!$R$5:$R$3004,'Ordres de travail'!$I$5:$I$3004,$A196,'Ordres de travail'!$AC$5:$AC$3004,"Clôturé"))))</f>
        <v/>
      </c>
      <c r="P196" s="78">
        <f>IF(OR($A196="",N(O196)=0),"",O196+H196)</f>
        <v/>
      </c>
      <c r="Q196" s="79">
        <f>IF(P196="","",P196-TODAY())</f>
        <v/>
      </c>
      <c r="R196" s="9">
        <f>IF($A196="","",IF(M196="Non","INACTIF",IF(Q196="","À DÉFINIR",IF(Q196&lt;0,"EN RETARD",IF(Q196&lt;='Paramètres'!$AA$12,"À PLANIFIER","OK")))))</f>
        <v/>
      </c>
      <c r="S196" s="9">
        <f>IF($A196="","",IF(SUM(COUNTIFS('Ordres de travail'!$I$5:$I$3004,$A196,'Ordres de travail'!$AC$5:$AC$3004,{"Demandé","Planifié","En cours","En attente pièces"}))&gt;0,"Oui","Non"))</f>
        <v/>
      </c>
      <c r="T196" s="68">
        <f>IF($A196="","",COUNTIFS('Ordres de travail'!$I$5:$I$3004,$A196,'Ordres de travail'!$AC$5:$AC$3004,"Clôturé",'Ordres de travail'!$R$5:$R$3004,"&gt;="&amp;'Paramètres'!$AA$6,'Ordres de travail'!$R$5:$R$3004,"&lt;"&amp;('Paramètres'!$AA$7+1)))</f>
        <v/>
      </c>
      <c r="U196" s="69">
        <f>IF(OR($A196="",N(H196)=0),"",IF(M196="Non",0,365/H196*I196))</f>
        <v/>
      </c>
    </row>
    <row r="197">
      <c r="A197" s="7" t="n"/>
      <c r="B197" s="7" t="n"/>
      <c r="C197" s="9">
        <f>IF(B197="","",IFERROR(INDEX('Équipements'!$B$5:$B$304,MATCH(B197,'Équipements'!$A$5:$A$304,0)),"Code inconnu"))</f>
        <v/>
      </c>
      <c r="D197" s="9">
        <f>IF(B197="","",IFERROR(INDEX('Équipements'!$D$5:$D$304,MATCH(B197,'Équipements'!$A$5:$A$304,0)),""))</f>
        <v/>
      </c>
      <c r="E197" s="7" t="n"/>
      <c r="F197" s="7" t="n"/>
      <c r="G197" s="7" t="n"/>
      <c r="H197" s="67" t="n"/>
      <c r="I197" s="76" t="n"/>
      <c r="J197" s="7" t="n"/>
      <c r="K197" s="7" t="n"/>
      <c r="L197" s="65" t="n"/>
      <c r="M197" s="7" t="n"/>
      <c r="N197" s="7" t="n"/>
      <c r="O197" s="78">
        <f>IF($A197="","",MAX(N(L197),INT(_xlfn.MAXIFS('Ordres de travail'!$R$5:$R$3004,'Ordres de travail'!$I$5:$I$3004,$A197,'Ordres de travail'!$AC$5:$AC$3004,"Clôturé"))))</f>
        <v/>
      </c>
      <c r="P197" s="78">
        <f>IF(OR($A197="",N(O197)=0),"",O197+H197)</f>
        <v/>
      </c>
      <c r="Q197" s="79">
        <f>IF(P197="","",P197-TODAY())</f>
        <v/>
      </c>
      <c r="R197" s="9">
        <f>IF($A197="","",IF(M197="Non","INACTIF",IF(Q197="","À DÉFINIR",IF(Q197&lt;0,"EN RETARD",IF(Q197&lt;='Paramètres'!$AA$12,"À PLANIFIER","OK")))))</f>
        <v/>
      </c>
      <c r="S197" s="9">
        <f>IF($A197="","",IF(SUM(COUNTIFS('Ordres de travail'!$I$5:$I$3004,$A197,'Ordres de travail'!$AC$5:$AC$3004,{"Demandé","Planifié","En cours","En attente pièces"}))&gt;0,"Oui","Non"))</f>
        <v/>
      </c>
      <c r="T197" s="68">
        <f>IF($A197="","",COUNTIFS('Ordres de travail'!$I$5:$I$3004,$A197,'Ordres de travail'!$AC$5:$AC$3004,"Clôturé",'Ordres de travail'!$R$5:$R$3004,"&gt;="&amp;'Paramètres'!$AA$6,'Ordres de travail'!$R$5:$R$3004,"&lt;"&amp;('Paramètres'!$AA$7+1)))</f>
        <v/>
      </c>
      <c r="U197" s="69">
        <f>IF(OR($A197="",N(H197)=0),"",IF(M197="Non",0,365/H197*I197))</f>
        <v/>
      </c>
    </row>
    <row r="198">
      <c r="A198" s="7" t="n"/>
      <c r="B198" s="7" t="n"/>
      <c r="C198" s="9">
        <f>IF(B198="","",IFERROR(INDEX('Équipements'!$B$5:$B$304,MATCH(B198,'Équipements'!$A$5:$A$304,0)),"Code inconnu"))</f>
        <v/>
      </c>
      <c r="D198" s="9">
        <f>IF(B198="","",IFERROR(INDEX('Équipements'!$D$5:$D$304,MATCH(B198,'Équipements'!$A$5:$A$304,0)),""))</f>
        <v/>
      </c>
      <c r="E198" s="7" t="n"/>
      <c r="F198" s="7" t="n"/>
      <c r="G198" s="7" t="n"/>
      <c r="H198" s="67" t="n"/>
      <c r="I198" s="76" t="n"/>
      <c r="J198" s="7" t="n"/>
      <c r="K198" s="7" t="n"/>
      <c r="L198" s="65" t="n"/>
      <c r="M198" s="7" t="n"/>
      <c r="N198" s="7" t="n"/>
      <c r="O198" s="78">
        <f>IF($A198="","",MAX(N(L198),INT(_xlfn.MAXIFS('Ordres de travail'!$R$5:$R$3004,'Ordres de travail'!$I$5:$I$3004,$A198,'Ordres de travail'!$AC$5:$AC$3004,"Clôturé"))))</f>
        <v/>
      </c>
      <c r="P198" s="78">
        <f>IF(OR($A198="",N(O198)=0),"",O198+H198)</f>
        <v/>
      </c>
      <c r="Q198" s="79">
        <f>IF(P198="","",P198-TODAY())</f>
        <v/>
      </c>
      <c r="R198" s="9">
        <f>IF($A198="","",IF(M198="Non","INACTIF",IF(Q198="","À DÉFINIR",IF(Q198&lt;0,"EN RETARD",IF(Q198&lt;='Paramètres'!$AA$12,"À PLANIFIER","OK")))))</f>
        <v/>
      </c>
      <c r="S198" s="9">
        <f>IF($A198="","",IF(SUM(COUNTIFS('Ordres de travail'!$I$5:$I$3004,$A198,'Ordres de travail'!$AC$5:$AC$3004,{"Demandé","Planifié","En cours","En attente pièces"}))&gt;0,"Oui","Non"))</f>
        <v/>
      </c>
      <c r="T198" s="68">
        <f>IF($A198="","",COUNTIFS('Ordres de travail'!$I$5:$I$3004,$A198,'Ordres de travail'!$AC$5:$AC$3004,"Clôturé",'Ordres de travail'!$R$5:$R$3004,"&gt;="&amp;'Paramètres'!$AA$6,'Ordres de travail'!$R$5:$R$3004,"&lt;"&amp;('Paramètres'!$AA$7+1)))</f>
        <v/>
      </c>
      <c r="U198" s="69">
        <f>IF(OR($A198="",N(H198)=0),"",IF(M198="Non",0,365/H198*I198))</f>
        <v/>
      </c>
    </row>
    <row r="199">
      <c r="A199" s="7" t="n"/>
      <c r="B199" s="7" t="n"/>
      <c r="C199" s="9">
        <f>IF(B199="","",IFERROR(INDEX('Équipements'!$B$5:$B$304,MATCH(B199,'Équipements'!$A$5:$A$304,0)),"Code inconnu"))</f>
        <v/>
      </c>
      <c r="D199" s="9">
        <f>IF(B199="","",IFERROR(INDEX('Équipements'!$D$5:$D$304,MATCH(B199,'Équipements'!$A$5:$A$304,0)),""))</f>
        <v/>
      </c>
      <c r="E199" s="7" t="n"/>
      <c r="F199" s="7" t="n"/>
      <c r="G199" s="7" t="n"/>
      <c r="H199" s="67" t="n"/>
      <c r="I199" s="76" t="n"/>
      <c r="J199" s="7" t="n"/>
      <c r="K199" s="7" t="n"/>
      <c r="L199" s="65" t="n"/>
      <c r="M199" s="7" t="n"/>
      <c r="N199" s="7" t="n"/>
      <c r="O199" s="78">
        <f>IF($A199="","",MAX(N(L199),INT(_xlfn.MAXIFS('Ordres de travail'!$R$5:$R$3004,'Ordres de travail'!$I$5:$I$3004,$A199,'Ordres de travail'!$AC$5:$AC$3004,"Clôturé"))))</f>
        <v/>
      </c>
      <c r="P199" s="78">
        <f>IF(OR($A199="",N(O199)=0),"",O199+H199)</f>
        <v/>
      </c>
      <c r="Q199" s="79">
        <f>IF(P199="","",P199-TODAY())</f>
        <v/>
      </c>
      <c r="R199" s="9">
        <f>IF($A199="","",IF(M199="Non","INACTIF",IF(Q199="","À DÉFINIR",IF(Q199&lt;0,"EN RETARD",IF(Q199&lt;='Paramètres'!$AA$12,"À PLANIFIER","OK")))))</f>
        <v/>
      </c>
      <c r="S199" s="9">
        <f>IF($A199="","",IF(SUM(COUNTIFS('Ordres de travail'!$I$5:$I$3004,$A199,'Ordres de travail'!$AC$5:$AC$3004,{"Demandé","Planifié","En cours","En attente pièces"}))&gt;0,"Oui","Non"))</f>
        <v/>
      </c>
      <c r="T199" s="68">
        <f>IF($A199="","",COUNTIFS('Ordres de travail'!$I$5:$I$3004,$A199,'Ordres de travail'!$AC$5:$AC$3004,"Clôturé",'Ordres de travail'!$R$5:$R$3004,"&gt;="&amp;'Paramètres'!$AA$6,'Ordres de travail'!$R$5:$R$3004,"&lt;"&amp;('Paramètres'!$AA$7+1)))</f>
        <v/>
      </c>
      <c r="U199" s="69">
        <f>IF(OR($A199="",N(H199)=0),"",IF(M199="Non",0,365/H199*I199))</f>
        <v/>
      </c>
    </row>
    <row r="200">
      <c r="A200" s="7" t="n"/>
      <c r="B200" s="7" t="n"/>
      <c r="C200" s="9">
        <f>IF(B200="","",IFERROR(INDEX('Équipements'!$B$5:$B$304,MATCH(B200,'Équipements'!$A$5:$A$304,0)),"Code inconnu"))</f>
        <v/>
      </c>
      <c r="D200" s="9">
        <f>IF(B200="","",IFERROR(INDEX('Équipements'!$D$5:$D$304,MATCH(B200,'Équipements'!$A$5:$A$304,0)),""))</f>
        <v/>
      </c>
      <c r="E200" s="7" t="n"/>
      <c r="F200" s="7" t="n"/>
      <c r="G200" s="7" t="n"/>
      <c r="H200" s="67" t="n"/>
      <c r="I200" s="76" t="n"/>
      <c r="J200" s="7" t="n"/>
      <c r="K200" s="7" t="n"/>
      <c r="L200" s="65" t="n"/>
      <c r="M200" s="7" t="n"/>
      <c r="N200" s="7" t="n"/>
      <c r="O200" s="78">
        <f>IF($A200="","",MAX(N(L200),INT(_xlfn.MAXIFS('Ordres de travail'!$R$5:$R$3004,'Ordres de travail'!$I$5:$I$3004,$A200,'Ordres de travail'!$AC$5:$AC$3004,"Clôturé"))))</f>
        <v/>
      </c>
      <c r="P200" s="78">
        <f>IF(OR($A200="",N(O200)=0),"",O200+H200)</f>
        <v/>
      </c>
      <c r="Q200" s="79">
        <f>IF(P200="","",P200-TODAY())</f>
        <v/>
      </c>
      <c r="R200" s="9">
        <f>IF($A200="","",IF(M200="Non","INACTIF",IF(Q200="","À DÉFINIR",IF(Q200&lt;0,"EN RETARD",IF(Q200&lt;='Paramètres'!$AA$12,"À PLANIFIER","OK")))))</f>
        <v/>
      </c>
      <c r="S200" s="9">
        <f>IF($A200="","",IF(SUM(COUNTIFS('Ordres de travail'!$I$5:$I$3004,$A200,'Ordres de travail'!$AC$5:$AC$3004,{"Demandé","Planifié","En cours","En attente pièces"}))&gt;0,"Oui","Non"))</f>
        <v/>
      </c>
      <c r="T200" s="68">
        <f>IF($A200="","",COUNTIFS('Ordres de travail'!$I$5:$I$3004,$A200,'Ordres de travail'!$AC$5:$AC$3004,"Clôturé",'Ordres de travail'!$R$5:$R$3004,"&gt;="&amp;'Paramètres'!$AA$6,'Ordres de travail'!$R$5:$R$3004,"&lt;"&amp;('Paramètres'!$AA$7+1)))</f>
        <v/>
      </c>
      <c r="U200" s="69">
        <f>IF(OR($A200="",N(H200)=0),"",IF(M200="Non",0,365/H200*I200))</f>
        <v/>
      </c>
    </row>
    <row r="201">
      <c r="A201" s="7" t="n"/>
      <c r="B201" s="7" t="n"/>
      <c r="C201" s="9">
        <f>IF(B201="","",IFERROR(INDEX('Équipements'!$B$5:$B$304,MATCH(B201,'Équipements'!$A$5:$A$304,0)),"Code inconnu"))</f>
        <v/>
      </c>
      <c r="D201" s="9">
        <f>IF(B201="","",IFERROR(INDEX('Équipements'!$D$5:$D$304,MATCH(B201,'Équipements'!$A$5:$A$304,0)),""))</f>
        <v/>
      </c>
      <c r="E201" s="7" t="n"/>
      <c r="F201" s="7" t="n"/>
      <c r="G201" s="7" t="n"/>
      <c r="H201" s="67" t="n"/>
      <c r="I201" s="76" t="n"/>
      <c r="J201" s="7" t="n"/>
      <c r="K201" s="7" t="n"/>
      <c r="L201" s="65" t="n"/>
      <c r="M201" s="7" t="n"/>
      <c r="N201" s="7" t="n"/>
      <c r="O201" s="78">
        <f>IF($A201="","",MAX(N(L201),INT(_xlfn.MAXIFS('Ordres de travail'!$R$5:$R$3004,'Ordres de travail'!$I$5:$I$3004,$A201,'Ordres de travail'!$AC$5:$AC$3004,"Clôturé"))))</f>
        <v/>
      </c>
      <c r="P201" s="78">
        <f>IF(OR($A201="",N(O201)=0),"",O201+H201)</f>
        <v/>
      </c>
      <c r="Q201" s="79">
        <f>IF(P201="","",P201-TODAY())</f>
        <v/>
      </c>
      <c r="R201" s="9">
        <f>IF($A201="","",IF(M201="Non","INACTIF",IF(Q201="","À DÉFINIR",IF(Q201&lt;0,"EN RETARD",IF(Q201&lt;='Paramètres'!$AA$12,"À PLANIFIER","OK")))))</f>
        <v/>
      </c>
      <c r="S201" s="9">
        <f>IF($A201="","",IF(SUM(COUNTIFS('Ordres de travail'!$I$5:$I$3004,$A201,'Ordres de travail'!$AC$5:$AC$3004,{"Demandé","Planifié","En cours","En attente pièces"}))&gt;0,"Oui","Non"))</f>
        <v/>
      </c>
      <c r="T201" s="68">
        <f>IF($A201="","",COUNTIFS('Ordres de travail'!$I$5:$I$3004,$A201,'Ordres de travail'!$AC$5:$AC$3004,"Clôturé",'Ordres de travail'!$R$5:$R$3004,"&gt;="&amp;'Paramètres'!$AA$6,'Ordres de travail'!$R$5:$R$3004,"&lt;"&amp;('Paramètres'!$AA$7+1)))</f>
        <v/>
      </c>
      <c r="U201" s="69">
        <f>IF(OR($A201="",N(H201)=0),"",IF(M201="Non",0,365/H201*I201))</f>
        <v/>
      </c>
    </row>
    <row r="202">
      <c r="A202" s="7" t="n"/>
      <c r="B202" s="7" t="n"/>
      <c r="C202" s="9">
        <f>IF(B202="","",IFERROR(INDEX('Équipements'!$B$5:$B$304,MATCH(B202,'Équipements'!$A$5:$A$304,0)),"Code inconnu"))</f>
        <v/>
      </c>
      <c r="D202" s="9">
        <f>IF(B202="","",IFERROR(INDEX('Équipements'!$D$5:$D$304,MATCH(B202,'Équipements'!$A$5:$A$304,0)),""))</f>
        <v/>
      </c>
      <c r="E202" s="7" t="n"/>
      <c r="F202" s="7" t="n"/>
      <c r="G202" s="7" t="n"/>
      <c r="H202" s="67" t="n"/>
      <c r="I202" s="76" t="n"/>
      <c r="J202" s="7" t="n"/>
      <c r="K202" s="7" t="n"/>
      <c r="L202" s="65" t="n"/>
      <c r="M202" s="7" t="n"/>
      <c r="N202" s="7" t="n"/>
      <c r="O202" s="78">
        <f>IF($A202="","",MAX(N(L202),INT(_xlfn.MAXIFS('Ordres de travail'!$R$5:$R$3004,'Ordres de travail'!$I$5:$I$3004,$A202,'Ordres de travail'!$AC$5:$AC$3004,"Clôturé"))))</f>
        <v/>
      </c>
      <c r="P202" s="78">
        <f>IF(OR($A202="",N(O202)=0),"",O202+H202)</f>
        <v/>
      </c>
      <c r="Q202" s="79">
        <f>IF(P202="","",P202-TODAY())</f>
        <v/>
      </c>
      <c r="R202" s="9">
        <f>IF($A202="","",IF(M202="Non","INACTIF",IF(Q202="","À DÉFINIR",IF(Q202&lt;0,"EN RETARD",IF(Q202&lt;='Paramètres'!$AA$12,"À PLANIFIER","OK")))))</f>
        <v/>
      </c>
      <c r="S202" s="9">
        <f>IF($A202="","",IF(SUM(COUNTIFS('Ordres de travail'!$I$5:$I$3004,$A202,'Ordres de travail'!$AC$5:$AC$3004,{"Demandé","Planifié","En cours","En attente pièces"}))&gt;0,"Oui","Non"))</f>
        <v/>
      </c>
      <c r="T202" s="68">
        <f>IF($A202="","",COUNTIFS('Ordres de travail'!$I$5:$I$3004,$A202,'Ordres de travail'!$AC$5:$AC$3004,"Clôturé",'Ordres de travail'!$R$5:$R$3004,"&gt;="&amp;'Paramètres'!$AA$6,'Ordres de travail'!$R$5:$R$3004,"&lt;"&amp;('Paramètres'!$AA$7+1)))</f>
        <v/>
      </c>
      <c r="U202" s="69">
        <f>IF(OR($A202="",N(H202)=0),"",IF(M202="Non",0,365/H202*I202))</f>
        <v/>
      </c>
    </row>
    <row r="203">
      <c r="A203" s="7" t="n"/>
      <c r="B203" s="7" t="n"/>
      <c r="C203" s="9">
        <f>IF(B203="","",IFERROR(INDEX('Équipements'!$B$5:$B$304,MATCH(B203,'Équipements'!$A$5:$A$304,0)),"Code inconnu"))</f>
        <v/>
      </c>
      <c r="D203" s="9">
        <f>IF(B203="","",IFERROR(INDEX('Équipements'!$D$5:$D$304,MATCH(B203,'Équipements'!$A$5:$A$304,0)),""))</f>
        <v/>
      </c>
      <c r="E203" s="7" t="n"/>
      <c r="F203" s="7" t="n"/>
      <c r="G203" s="7" t="n"/>
      <c r="H203" s="67" t="n"/>
      <c r="I203" s="76" t="n"/>
      <c r="J203" s="7" t="n"/>
      <c r="K203" s="7" t="n"/>
      <c r="L203" s="65" t="n"/>
      <c r="M203" s="7" t="n"/>
      <c r="N203" s="7" t="n"/>
      <c r="O203" s="78">
        <f>IF($A203="","",MAX(N(L203),INT(_xlfn.MAXIFS('Ordres de travail'!$R$5:$R$3004,'Ordres de travail'!$I$5:$I$3004,$A203,'Ordres de travail'!$AC$5:$AC$3004,"Clôturé"))))</f>
        <v/>
      </c>
      <c r="P203" s="78">
        <f>IF(OR($A203="",N(O203)=0),"",O203+H203)</f>
        <v/>
      </c>
      <c r="Q203" s="79">
        <f>IF(P203="","",P203-TODAY())</f>
        <v/>
      </c>
      <c r="R203" s="9">
        <f>IF($A203="","",IF(M203="Non","INACTIF",IF(Q203="","À DÉFINIR",IF(Q203&lt;0,"EN RETARD",IF(Q203&lt;='Paramètres'!$AA$12,"À PLANIFIER","OK")))))</f>
        <v/>
      </c>
      <c r="S203" s="9">
        <f>IF($A203="","",IF(SUM(COUNTIFS('Ordres de travail'!$I$5:$I$3004,$A203,'Ordres de travail'!$AC$5:$AC$3004,{"Demandé","Planifié","En cours","En attente pièces"}))&gt;0,"Oui","Non"))</f>
        <v/>
      </c>
      <c r="T203" s="68">
        <f>IF($A203="","",COUNTIFS('Ordres de travail'!$I$5:$I$3004,$A203,'Ordres de travail'!$AC$5:$AC$3004,"Clôturé",'Ordres de travail'!$R$5:$R$3004,"&gt;="&amp;'Paramètres'!$AA$6,'Ordres de travail'!$R$5:$R$3004,"&lt;"&amp;('Paramètres'!$AA$7+1)))</f>
        <v/>
      </c>
      <c r="U203" s="69">
        <f>IF(OR($A203="",N(H203)=0),"",IF(M203="Non",0,365/H203*I203))</f>
        <v/>
      </c>
    </row>
    <row r="204">
      <c r="A204" s="7" t="n"/>
      <c r="B204" s="7" t="n"/>
      <c r="C204" s="9">
        <f>IF(B204="","",IFERROR(INDEX('Équipements'!$B$5:$B$304,MATCH(B204,'Équipements'!$A$5:$A$304,0)),"Code inconnu"))</f>
        <v/>
      </c>
      <c r="D204" s="9">
        <f>IF(B204="","",IFERROR(INDEX('Équipements'!$D$5:$D$304,MATCH(B204,'Équipements'!$A$5:$A$304,0)),""))</f>
        <v/>
      </c>
      <c r="E204" s="7" t="n"/>
      <c r="F204" s="7" t="n"/>
      <c r="G204" s="7" t="n"/>
      <c r="H204" s="67" t="n"/>
      <c r="I204" s="76" t="n"/>
      <c r="J204" s="7" t="n"/>
      <c r="K204" s="7" t="n"/>
      <c r="L204" s="65" t="n"/>
      <c r="M204" s="7" t="n"/>
      <c r="N204" s="7" t="n"/>
      <c r="O204" s="78">
        <f>IF($A204="","",MAX(N(L204),INT(_xlfn.MAXIFS('Ordres de travail'!$R$5:$R$3004,'Ordres de travail'!$I$5:$I$3004,$A204,'Ordres de travail'!$AC$5:$AC$3004,"Clôturé"))))</f>
        <v/>
      </c>
      <c r="P204" s="78">
        <f>IF(OR($A204="",N(O204)=0),"",O204+H204)</f>
        <v/>
      </c>
      <c r="Q204" s="79">
        <f>IF(P204="","",P204-TODAY())</f>
        <v/>
      </c>
      <c r="R204" s="9">
        <f>IF($A204="","",IF(M204="Non","INACTIF",IF(Q204="","À DÉFINIR",IF(Q204&lt;0,"EN RETARD",IF(Q204&lt;='Paramètres'!$AA$12,"À PLANIFIER","OK")))))</f>
        <v/>
      </c>
      <c r="S204" s="9">
        <f>IF($A204="","",IF(SUM(COUNTIFS('Ordres de travail'!$I$5:$I$3004,$A204,'Ordres de travail'!$AC$5:$AC$3004,{"Demandé","Planifié","En cours","En attente pièces"}))&gt;0,"Oui","Non"))</f>
        <v/>
      </c>
      <c r="T204" s="68">
        <f>IF($A204="","",COUNTIFS('Ordres de travail'!$I$5:$I$3004,$A204,'Ordres de travail'!$AC$5:$AC$3004,"Clôturé",'Ordres de travail'!$R$5:$R$3004,"&gt;="&amp;'Paramètres'!$AA$6,'Ordres de travail'!$R$5:$R$3004,"&lt;"&amp;('Paramètres'!$AA$7+1)))</f>
        <v/>
      </c>
      <c r="U204" s="69">
        <f>IF(OR($A204="",N(H204)=0),"",IF(M204="Non",0,365/H204*I204))</f>
        <v/>
      </c>
    </row>
    <row r="205">
      <c r="A205" s="7" t="n"/>
      <c r="B205" s="7" t="n"/>
      <c r="C205" s="9">
        <f>IF(B205="","",IFERROR(INDEX('Équipements'!$B$5:$B$304,MATCH(B205,'Équipements'!$A$5:$A$304,0)),"Code inconnu"))</f>
        <v/>
      </c>
      <c r="D205" s="9">
        <f>IF(B205="","",IFERROR(INDEX('Équipements'!$D$5:$D$304,MATCH(B205,'Équipements'!$A$5:$A$304,0)),""))</f>
        <v/>
      </c>
      <c r="E205" s="7" t="n"/>
      <c r="F205" s="7" t="n"/>
      <c r="G205" s="7" t="n"/>
      <c r="H205" s="67" t="n"/>
      <c r="I205" s="76" t="n"/>
      <c r="J205" s="7" t="n"/>
      <c r="K205" s="7" t="n"/>
      <c r="L205" s="65" t="n"/>
      <c r="M205" s="7" t="n"/>
      <c r="N205" s="7" t="n"/>
      <c r="O205" s="78">
        <f>IF($A205="","",MAX(N(L205),INT(_xlfn.MAXIFS('Ordres de travail'!$R$5:$R$3004,'Ordres de travail'!$I$5:$I$3004,$A205,'Ordres de travail'!$AC$5:$AC$3004,"Clôturé"))))</f>
        <v/>
      </c>
      <c r="P205" s="78">
        <f>IF(OR($A205="",N(O205)=0),"",O205+H205)</f>
        <v/>
      </c>
      <c r="Q205" s="79">
        <f>IF(P205="","",P205-TODAY())</f>
        <v/>
      </c>
      <c r="R205" s="9">
        <f>IF($A205="","",IF(M205="Non","INACTIF",IF(Q205="","À DÉFINIR",IF(Q205&lt;0,"EN RETARD",IF(Q205&lt;='Paramètres'!$AA$12,"À PLANIFIER","OK")))))</f>
        <v/>
      </c>
      <c r="S205" s="9">
        <f>IF($A205="","",IF(SUM(COUNTIFS('Ordres de travail'!$I$5:$I$3004,$A205,'Ordres de travail'!$AC$5:$AC$3004,{"Demandé","Planifié","En cours","En attente pièces"}))&gt;0,"Oui","Non"))</f>
        <v/>
      </c>
      <c r="T205" s="68">
        <f>IF($A205="","",COUNTIFS('Ordres de travail'!$I$5:$I$3004,$A205,'Ordres de travail'!$AC$5:$AC$3004,"Clôturé",'Ordres de travail'!$R$5:$R$3004,"&gt;="&amp;'Paramètres'!$AA$6,'Ordres de travail'!$R$5:$R$3004,"&lt;"&amp;('Paramètres'!$AA$7+1)))</f>
        <v/>
      </c>
      <c r="U205" s="69">
        <f>IF(OR($A205="",N(H205)=0),"",IF(M205="Non",0,365/H205*I205))</f>
        <v/>
      </c>
    </row>
    <row r="206">
      <c r="A206" s="7" t="n"/>
      <c r="B206" s="7" t="n"/>
      <c r="C206" s="9">
        <f>IF(B206="","",IFERROR(INDEX('Équipements'!$B$5:$B$304,MATCH(B206,'Équipements'!$A$5:$A$304,0)),"Code inconnu"))</f>
        <v/>
      </c>
      <c r="D206" s="9">
        <f>IF(B206="","",IFERROR(INDEX('Équipements'!$D$5:$D$304,MATCH(B206,'Équipements'!$A$5:$A$304,0)),""))</f>
        <v/>
      </c>
      <c r="E206" s="7" t="n"/>
      <c r="F206" s="7" t="n"/>
      <c r="G206" s="7" t="n"/>
      <c r="H206" s="67" t="n"/>
      <c r="I206" s="76" t="n"/>
      <c r="J206" s="7" t="n"/>
      <c r="K206" s="7" t="n"/>
      <c r="L206" s="65" t="n"/>
      <c r="M206" s="7" t="n"/>
      <c r="N206" s="7" t="n"/>
      <c r="O206" s="78">
        <f>IF($A206="","",MAX(N(L206),INT(_xlfn.MAXIFS('Ordres de travail'!$R$5:$R$3004,'Ordres de travail'!$I$5:$I$3004,$A206,'Ordres de travail'!$AC$5:$AC$3004,"Clôturé"))))</f>
        <v/>
      </c>
      <c r="P206" s="78">
        <f>IF(OR($A206="",N(O206)=0),"",O206+H206)</f>
        <v/>
      </c>
      <c r="Q206" s="79">
        <f>IF(P206="","",P206-TODAY())</f>
        <v/>
      </c>
      <c r="R206" s="9">
        <f>IF($A206="","",IF(M206="Non","INACTIF",IF(Q206="","À DÉFINIR",IF(Q206&lt;0,"EN RETARD",IF(Q206&lt;='Paramètres'!$AA$12,"À PLANIFIER","OK")))))</f>
        <v/>
      </c>
      <c r="S206" s="9">
        <f>IF($A206="","",IF(SUM(COUNTIFS('Ordres de travail'!$I$5:$I$3004,$A206,'Ordres de travail'!$AC$5:$AC$3004,{"Demandé","Planifié","En cours","En attente pièces"}))&gt;0,"Oui","Non"))</f>
        <v/>
      </c>
      <c r="T206" s="68">
        <f>IF($A206="","",COUNTIFS('Ordres de travail'!$I$5:$I$3004,$A206,'Ordres de travail'!$AC$5:$AC$3004,"Clôturé",'Ordres de travail'!$R$5:$R$3004,"&gt;="&amp;'Paramètres'!$AA$6,'Ordres de travail'!$R$5:$R$3004,"&lt;"&amp;('Paramètres'!$AA$7+1)))</f>
        <v/>
      </c>
      <c r="U206" s="69">
        <f>IF(OR($A206="",N(H206)=0),"",IF(M206="Non",0,365/H206*I206))</f>
        <v/>
      </c>
    </row>
    <row r="207">
      <c r="A207" s="7" t="n"/>
      <c r="B207" s="7" t="n"/>
      <c r="C207" s="9">
        <f>IF(B207="","",IFERROR(INDEX('Équipements'!$B$5:$B$304,MATCH(B207,'Équipements'!$A$5:$A$304,0)),"Code inconnu"))</f>
        <v/>
      </c>
      <c r="D207" s="9">
        <f>IF(B207="","",IFERROR(INDEX('Équipements'!$D$5:$D$304,MATCH(B207,'Équipements'!$A$5:$A$304,0)),""))</f>
        <v/>
      </c>
      <c r="E207" s="7" t="n"/>
      <c r="F207" s="7" t="n"/>
      <c r="G207" s="7" t="n"/>
      <c r="H207" s="67" t="n"/>
      <c r="I207" s="76" t="n"/>
      <c r="J207" s="7" t="n"/>
      <c r="K207" s="7" t="n"/>
      <c r="L207" s="65" t="n"/>
      <c r="M207" s="7" t="n"/>
      <c r="N207" s="7" t="n"/>
      <c r="O207" s="78">
        <f>IF($A207="","",MAX(N(L207),INT(_xlfn.MAXIFS('Ordres de travail'!$R$5:$R$3004,'Ordres de travail'!$I$5:$I$3004,$A207,'Ordres de travail'!$AC$5:$AC$3004,"Clôturé"))))</f>
        <v/>
      </c>
      <c r="P207" s="78">
        <f>IF(OR($A207="",N(O207)=0),"",O207+H207)</f>
        <v/>
      </c>
      <c r="Q207" s="79">
        <f>IF(P207="","",P207-TODAY())</f>
        <v/>
      </c>
      <c r="R207" s="9">
        <f>IF($A207="","",IF(M207="Non","INACTIF",IF(Q207="","À DÉFINIR",IF(Q207&lt;0,"EN RETARD",IF(Q207&lt;='Paramètres'!$AA$12,"À PLANIFIER","OK")))))</f>
        <v/>
      </c>
      <c r="S207" s="9">
        <f>IF($A207="","",IF(SUM(COUNTIFS('Ordres de travail'!$I$5:$I$3004,$A207,'Ordres de travail'!$AC$5:$AC$3004,{"Demandé","Planifié","En cours","En attente pièces"}))&gt;0,"Oui","Non"))</f>
        <v/>
      </c>
      <c r="T207" s="68">
        <f>IF($A207="","",COUNTIFS('Ordres de travail'!$I$5:$I$3004,$A207,'Ordres de travail'!$AC$5:$AC$3004,"Clôturé",'Ordres de travail'!$R$5:$R$3004,"&gt;="&amp;'Paramètres'!$AA$6,'Ordres de travail'!$R$5:$R$3004,"&lt;"&amp;('Paramètres'!$AA$7+1)))</f>
        <v/>
      </c>
      <c r="U207" s="69">
        <f>IF(OR($A207="",N(H207)=0),"",IF(M207="Non",0,365/H207*I207))</f>
        <v/>
      </c>
    </row>
    <row r="208">
      <c r="A208" s="7" t="n"/>
      <c r="B208" s="7" t="n"/>
      <c r="C208" s="9">
        <f>IF(B208="","",IFERROR(INDEX('Équipements'!$B$5:$B$304,MATCH(B208,'Équipements'!$A$5:$A$304,0)),"Code inconnu"))</f>
        <v/>
      </c>
      <c r="D208" s="9">
        <f>IF(B208="","",IFERROR(INDEX('Équipements'!$D$5:$D$304,MATCH(B208,'Équipements'!$A$5:$A$304,0)),""))</f>
        <v/>
      </c>
      <c r="E208" s="7" t="n"/>
      <c r="F208" s="7" t="n"/>
      <c r="G208" s="7" t="n"/>
      <c r="H208" s="67" t="n"/>
      <c r="I208" s="76" t="n"/>
      <c r="J208" s="7" t="n"/>
      <c r="K208" s="7" t="n"/>
      <c r="L208" s="65" t="n"/>
      <c r="M208" s="7" t="n"/>
      <c r="N208" s="7" t="n"/>
      <c r="O208" s="78">
        <f>IF($A208="","",MAX(N(L208),INT(_xlfn.MAXIFS('Ordres de travail'!$R$5:$R$3004,'Ordres de travail'!$I$5:$I$3004,$A208,'Ordres de travail'!$AC$5:$AC$3004,"Clôturé"))))</f>
        <v/>
      </c>
      <c r="P208" s="78">
        <f>IF(OR($A208="",N(O208)=0),"",O208+H208)</f>
        <v/>
      </c>
      <c r="Q208" s="79">
        <f>IF(P208="","",P208-TODAY())</f>
        <v/>
      </c>
      <c r="R208" s="9">
        <f>IF($A208="","",IF(M208="Non","INACTIF",IF(Q208="","À DÉFINIR",IF(Q208&lt;0,"EN RETARD",IF(Q208&lt;='Paramètres'!$AA$12,"À PLANIFIER","OK")))))</f>
        <v/>
      </c>
      <c r="S208" s="9">
        <f>IF($A208="","",IF(SUM(COUNTIFS('Ordres de travail'!$I$5:$I$3004,$A208,'Ordres de travail'!$AC$5:$AC$3004,{"Demandé","Planifié","En cours","En attente pièces"}))&gt;0,"Oui","Non"))</f>
        <v/>
      </c>
      <c r="T208" s="68">
        <f>IF($A208="","",COUNTIFS('Ordres de travail'!$I$5:$I$3004,$A208,'Ordres de travail'!$AC$5:$AC$3004,"Clôturé",'Ordres de travail'!$R$5:$R$3004,"&gt;="&amp;'Paramètres'!$AA$6,'Ordres de travail'!$R$5:$R$3004,"&lt;"&amp;('Paramètres'!$AA$7+1)))</f>
        <v/>
      </c>
      <c r="U208" s="69">
        <f>IF(OR($A208="",N(H208)=0),"",IF(M208="Non",0,365/H208*I208))</f>
        <v/>
      </c>
    </row>
    <row r="209">
      <c r="A209" s="7" t="n"/>
      <c r="B209" s="7" t="n"/>
      <c r="C209" s="9">
        <f>IF(B209="","",IFERROR(INDEX('Équipements'!$B$5:$B$304,MATCH(B209,'Équipements'!$A$5:$A$304,0)),"Code inconnu"))</f>
        <v/>
      </c>
      <c r="D209" s="9">
        <f>IF(B209="","",IFERROR(INDEX('Équipements'!$D$5:$D$304,MATCH(B209,'Équipements'!$A$5:$A$304,0)),""))</f>
        <v/>
      </c>
      <c r="E209" s="7" t="n"/>
      <c r="F209" s="7" t="n"/>
      <c r="G209" s="7" t="n"/>
      <c r="H209" s="67" t="n"/>
      <c r="I209" s="76" t="n"/>
      <c r="J209" s="7" t="n"/>
      <c r="K209" s="7" t="n"/>
      <c r="L209" s="65" t="n"/>
      <c r="M209" s="7" t="n"/>
      <c r="N209" s="7" t="n"/>
      <c r="O209" s="78">
        <f>IF($A209="","",MAX(N(L209),INT(_xlfn.MAXIFS('Ordres de travail'!$R$5:$R$3004,'Ordres de travail'!$I$5:$I$3004,$A209,'Ordres de travail'!$AC$5:$AC$3004,"Clôturé"))))</f>
        <v/>
      </c>
      <c r="P209" s="78">
        <f>IF(OR($A209="",N(O209)=0),"",O209+H209)</f>
        <v/>
      </c>
      <c r="Q209" s="79">
        <f>IF(P209="","",P209-TODAY())</f>
        <v/>
      </c>
      <c r="R209" s="9">
        <f>IF($A209="","",IF(M209="Non","INACTIF",IF(Q209="","À DÉFINIR",IF(Q209&lt;0,"EN RETARD",IF(Q209&lt;='Paramètres'!$AA$12,"À PLANIFIER","OK")))))</f>
        <v/>
      </c>
      <c r="S209" s="9">
        <f>IF($A209="","",IF(SUM(COUNTIFS('Ordres de travail'!$I$5:$I$3004,$A209,'Ordres de travail'!$AC$5:$AC$3004,{"Demandé","Planifié","En cours","En attente pièces"}))&gt;0,"Oui","Non"))</f>
        <v/>
      </c>
      <c r="T209" s="68">
        <f>IF($A209="","",COUNTIFS('Ordres de travail'!$I$5:$I$3004,$A209,'Ordres de travail'!$AC$5:$AC$3004,"Clôturé",'Ordres de travail'!$R$5:$R$3004,"&gt;="&amp;'Paramètres'!$AA$6,'Ordres de travail'!$R$5:$R$3004,"&lt;"&amp;('Paramètres'!$AA$7+1)))</f>
        <v/>
      </c>
      <c r="U209" s="69">
        <f>IF(OR($A209="",N(H209)=0),"",IF(M209="Non",0,365/H209*I209))</f>
        <v/>
      </c>
    </row>
    <row r="210">
      <c r="A210" s="7" t="n"/>
      <c r="B210" s="7" t="n"/>
      <c r="C210" s="9">
        <f>IF(B210="","",IFERROR(INDEX('Équipements'!$B$5:$B$304,MATCH(B210,'Équipements'!$A$5:$A$304,0)),"Code inconnu"))</f>
        <v/>
      </c>
      <c r="D210" s="9">
        <f>IF(B210="","",IFERROR(INDEX('Équipements'!$D$5:$D$304,MATCH(B210,'Équipements'!$A$5:$A$304,0)),""))</f>
        <v/>
      </c>
      <c r="E210" s="7" t="n"/>
      <c r="F210" s="7" t="n"/>
      <c r="G210" s="7" t="n"/>
      <c r="H210" s="67" t="n"/>
      <c r="I210" s="76" t="n"/>
      <c r="J210" s="7" t="n"/>
      <c r="K210" s="7" t="n"/>
      <c r="L210" s="65" t="n"/>
      <c r="M210" s="7" t="n"/>
      <c r="N210" s="7" t="n"/>
      <c r="O210" s="78">
        <f>IF($A210="","",MAX(N(L210),INT(_xlfn.MAXIFS('Ordres de travail'!$R$5:$R$3004,'Ordres de travail'!$I$5:$I$3004,$A210,'Ordres de travail'!$AC$5:$AC$3004,"Clôturé"))))</f>
        <v/>
      </c>
      <c r="P210" s="78">
        <f>IF(OR($A210="",N(O210)=0),"",O210+H210)</f>
        <v/>
      </c>
      <c r="Q210" s="79">
        <f>IF(P210="","",P210-TODAY())</f>
        <v/>
      </c>
      <c r="R210" s="9">
        <f>IF($A210="","",IF(M210="Non","INACTIF",IF(Q210="","À DÉFINIR",IF(Q210&lt;0,"EN RETARD",IF(Q210&lt;='Paramètres'!$AA$12,"À PLANIFIER","OK")))))</f>
        <v/>
      </c>
      <c r="S210" s="9">
        <f>IF($A210="","",IF(SUM(COUNTIFS('Ordres de travail'!$I$5:$I$3004,$A210,'Ordres de travail'!$AC$5:$AC$3004,{"Demandé","Planifié","En cours","En attente pièces"}))&gt;0,"Oui","Non"))</f>
        <v/>
      </c>
      <c r="T210" s="68">
        <f>IF($A210="","",COUNTIFS('Ordres de travail'!$I$5:$I$3004,$A210,'Ordres de travail'!$AC$5:$AC$3004,"Clôturé",'Ordres de travail'!$R$5:$R$3004,"&gt;="&amp;'Paramètres'!$AA$6,'Ordres de travail'!$R$5:$R$3004,"&lt;"&amp;('Paramètres'!$AA$7+1)))</f>
        <v/>
      </c>
      <c r="U210" s="69">
        <f>IF(OR($A210="",N(H210)=0),"",IF(M210="Non",0,365/H210*I210))</f>
        <v/>
      </c>
    </row>
    <row r="211">
      <c r="A211" s="7" t="n"/>
      <c r="B211" s="7" t="n"/>
      <c r="C211" s="9">
        <f>IF(B211="","",IFERROR(INDEX('Équipements'!$B$5:$B$304,MATCH(B211,'Équipements'!$A$5:$A$304,0)),"Code inconnu"))</f>
        <v/>
      </c>
      <c r="D211" s="9">
        <f>IF(B211="","",IFERROR(INDEX('Équipements'!$D$5:$D$304,MATCH(B211,'Équipements'!$A$5:$A$304,0)),""))</f>
        <v/>
      </c>
      <c r="E211" s="7" t="n"/>
      <c r="F211" s="7" t="n"/>
      <c r="G211" s="7" t="n"/>
      <c r="H211" s="67" t="n"/>
      <c r="I211" s="76" t="n"/>
      <c r="J211" s="7" t="n"/>
      <c r="K211" s="7" t="n"/>
      <c r="L211" s="65" t="n"/>
      <c r="M211" s="7" t="n"/>
      <c r="N211" s="7" t="n"/>
      <c r="O211" s="78">
        <f>IF($A211="","",MAX(N(L211),INT(_xlfn.MAXIFS('Ordres de travail'!$R$5:$R$3004,'Ordres de travail'!$I$5:$I$3004,$A211,'Ordres de travail'!$AC$5:$AC$3004,"Clôturé"))))</f>
        <v/>
      </c>
      <c r="P211" s="78">
        <f>IF(OR($A211="",N(O211)=0),"",O211+H211)</f>
        <v/>
      </c>
      <c r="Q211" s="79">
        <f>IF(P211="","",P211-TODAY())</f>
        <v/>
      </c>
      <c r="R211" s="9">
        <f>IF($A211="","",IF(M211="Non","INACTIF",IF(Q211="","À DÉFINIR",IF(Q211&lt;0,"EN RETARD",IF(Q211&lt;='Paramètres'!$AA$12,"À PLANIFIER","OK")))))</f>
        <v/>
      </c>
      <c r="S211" s="9">
        <f>IF($A211="","",IF(SUM(COUNTIFS('Ordres de travail'!$I$5:$I$3004,$A211,'Ordres de travail'!$AC$5:$AC$3004,{"Demandé","Planifié","En cours","En attente pièces"}))&gt;0,"Oui","Non"))</f>
        <v/>
      </c>
      <c r="T211" s="68">
        <f>IF($A211="","",COUNTIFS('Ordres de travail'!$I$5:$I$3004,$A211,'Ordres de travail'!$AC$5:$AC$3004,"Clôturé",'Ordres de travail'!$R$5:$R$3004,"&gt;="&amp;'Paramètres'!$AA$6,'Ordres de travail'!$R$5:$R$3004,"&lt;"&amp;('Paramètres'!$AA$7+1)))</f>
        <v/>
      </c>
      <c r="U211" s="69">
        <f>IF(OR($A211="",N(H211)=0),"",IF(M211="Non",0,365/H211*I211))</f>
        <v/>
      </c>
    </row>
    <row r="212">
      <c r="A212" s="7" t="n"/>
      <c r="B212" s="7" t="n"/>
      <c r="C212" s="9">
        <f>IF(B212="","",IFERROR(INDEX('Équipements'!$B$5:$B$304,MATCH(B212,'Équipements'!$A$5:$A$304,0)),"Code inconnu"))</f>
        <v/>
      </c>
      <c r="D212" s="9">
        <f>IF(B212="","",IFERROR(INDEX('Équipements'!$D$5:$D$304,MATCH(B212,'Équipements'!$A$5:$A$304,0)),""))</f>
        <v/>
      </c>
      <c r="E212" s="7" t="n"/>
      <c r="F212" s="7" t="n"/>
      <c r="G212" s="7" t="n"/>
      <c r="H212" s="67" t="n"/>
      <c r="I212" s="76" t="n"/>
      <c r="J212" s="7" t="n"/>
      <c r="K212" s="7" t="n"/>
      <c r="L212" s="65" t="n"/>
      <c r="M212" s="7" t="n"/>
      <c r="N212" s="7" t="n"/>
      <c r="O212" s="78">
        <f>IF($A212="","",MAX(N(L212),INT(_xlfn.MAXIFS('Ordres de travail'!$R$5:$R$3004,'Ordres de travail'!$I$5:$I$3004,$A212,'Ordres de travail'!$AC$5:$AC$3004,"Clôturé"))))</f>
        <v/>
      </c>
      <c r="P212" s="78">
        <f>IF(OR($A212="",N(O212)=0),"",O212+H212)</f>
        <v/>
      </c>
      <c r="Q212" s="79">
        <f>IF(P212="","",P212-TODAY())</f>
        <v/>
      </c>
      <c r="R212" s="9">
        <f>IF($A212="","",IF(M212="Non","INACTIF",IF(Q212="","À DÉFINIR",IF(Q212&lt;0,"EN RETARD",IF(Q212&lt;='Paramètres'!$AA$12,"À PLANIFIER","OK")))))</f>
        <v/>
      </c>
      <c r="S212" s="9">
        <f>IF($A212="","",IF(SUM(COUNTIFS('Ordres de travail'!$I$5:$I$3004,$A212,'Ordres de travail'!$AC$5:$AC$3004,{"Demandé","Planifié","En cours","En attente pièces"}))&gt;0,"Oui","Non"))</f>
        <v/>
      </c>
      <c r="T212" s="68">
        <f>IF($A212="","",COUNTIFS('Ordres de travail'!$I$5:$I$3004,$A212,'Ordres de travail'!$AC$5:$AC$3004,"Clôturé",'Ordres de travail'!$R$5:$R$3004,"&gt;="&amp;'Paramètres'!$AA$6,'Ordres de travail'!$R$5:$R$3004,"&lt;"&amp;('Paramètres'!$AA$7+1)))</f>
        <v/>
      </c>
      <c r="U212" s="69">
        <f>IF(OR($A212="",N(H212)=0),"",IF(M212="Non",0,365/H212*I212))</f>
        <v/>
      </c>
    </row>
    <row r="213">
      <c r="A213" s="7" t="n"/>
      <c r="B213" s="7" t="n"/>
      <c r="C213" s="9">
        <f>IF(B213="","",IFERROR(INDEX('Équipements'!$B$5:$B$304,MATCH(B213,'Équipements'!$A$5:$A$304,0)),"Code inconnu"))</f>
        <v/>
      </c>
      <c r="D213" s="9">
        <f>IF(B213="","",IFERROR(INDEX('Équipements'!$D$5:$D$304,MATCH(B213,'Équipements'!$A$5:$A$304,0)),""))</f>
        <v/>
      </c>
      <c r="E213" s="7" t="n"/>
      <c r="F213" s="7" t="n"/>
      <c r="G213" s="7" t="n"/>
      <c r="H213" s="67" t="n"/>
      <c r="I213" s="76" t="n"/>
      <c r="J213" s="7" t="n"/>
      <c r="K213" s="7" t="n"/>
      <c r="L213" s="65" t="n"/>
      <c r="M213" s="7" t="n"/>
      <c r="N213" s="7" t="n"/>
      <c r="O213" s="78">
        <f>IF($A213="","",MAX(N(L213),INT(_xlfn.MAXIFS('Ordres de travail'!$R$5:$R$3004,'Ordres de travail'!$I$5:$I$3004,$A213,'Ordres de travail'!$AC$5:$AC$3004,"Clôturé"))))</f>
        <v/>
      </c>
      <c r="P213" s="78">
        <f>IF(OR($A213="",N(O213)=0),"",O213+H213)</f>
        <v/>
      </c>
      <c r="Q213" s="79">
        <f>IF(P213="","",P213-TODAY())</f>
        <v/>
      </c>
      <c r="R213" s="9">
        <f>IF($A213="","",IF(M213="Non","INACTIF",IF(Q213="","À DÉFINIR",IF(Q213&lt;0,"EN RETARD",IF(Q213&lt;='Paramètres'!$AA$12,"À PLANIFIER","OK")))))</f>
        <v/>
      </c>
      <c r="S213" s="9">
        <f>IF($A213="","",IF(SUM(COUNTIFS('Ordres de travail'!$I$5:$I$3004,$A213,'Ordres de travail'!$AC$5:$AC$3004,{"Demandé","Planifié","En cours","En attente pièces"}))&gt;0,"Oui","Non"))</f>
        <v/>
      </c>
      <c r="T213" s="68">
        <f>IF($A213="","",COUNTIFS('Ordres de travail'!$I$5:$I$3004,$A213,'Ordres de travail'!$AC$5:$AC$3004,"Clôturé",'Ordres de travail'!$R$5:$R$3004,"&gt;="&amp;'Paramètres'!$AA$6,'Ordres de travail'!$R$5:$R$3004,"&lt;"&amp;('Paramètres'!$AA$7+1)))</f>
        <v/>
      </c>
      <c r="U213" s="69">
        <f>IF(OR($A213="",N(H213)=0),"",IF(M213="Non",0,365/H213*I213))</f>
        <v/>
      </c>
    </row>
    <row r="214">
      <c r="A214" s="7" t="n"/>
      <c r="B214" s="7" t="n"/>
      <c r="C214" s="9">
        <f>IF(B214="","",IFERROR(INDEX('Équipements'!$B$5:$B$304,MATCH(B214,'Équipements'!$A$5:$A$304,0)),"Code inconnu"))</f>
        <v/>
      </c>
      <c r="D214" s="9">
        <f>IF(B214="","",IFERROR(INDEX('Équipements'!$D$5:$D$304,MATCH(B214,'Équipements'!$A$5:$A$304,0)),""))</f>
        <v/>
      </c>
      <c r="E214" s="7" t="n"/>
      <c r="F214" s="7" t="n"/>
      <c r="G214" s="7" t="n"/>
      <c r="H214" s="67" t="n"/>
      <c r="I214" s="76" t="n"/>
      <c r="J214" s="7" t="n"/>
      <c r="K214" s="7" t="n"/>
      <c r="L214" s="65" t="n"/>
      <c r="M214" s="7" t="n"/>
      <c r="N214" s="7" t="n"/>
      <c r="O214" s="78">
        <f>IF($A214="","",MAX(N(L214),INT(_xlfn.MAXIFS('Ordres de travail'!$R$5:$R$3004,'Ordres de travail'!$I$5:$I$3004,$A214,'Ordres de travail'!$AC$5:$AC$3004,"Clôturé"))))</f>
        <v/>
      </c>
      <c r="P214" s="78">
        <f>IF(OR($A214="",N(O214)=0),"",O214+H214)</f>
        <v/>
      </c>
      <c r="Q214" s="79">
        <f>IF(P214="","",P214-TODAY())</f>
        <v/>
      </c>
      <c r="R214" s="9">
        <f>IF($A214="","",IF(M214="Non","INACTIF",IF(Q214="","À DÉFINIR",IF(Q214&lt;0,"EN RETARD",IF(Q214&lt;='Paramètres'!$AA$12,"À PLANIFIER","OK")))))</f>
        <v/>
      </c>
      <c r="S214" s="9">
        <f>IF($A214="","",IF(SUM(COUNTIFS('Ordres de travail'!$I$5:$I$3004,$A214,'Ordres de travail'!$AC$5:$AC$3004,{"Demandé","Planifié","En cours","En attente pièces"}))&gt;0,"Oui","Non"))</f>
        <v/>
      </c>
      <c r="T214" s="68">
        <f>IF($A214="","",COUNTIFS('Ordres de travail'!$I$5:$I$3004,$A214,'Ordres de travail'!$AC$5:$AC$3004,"Clôturé",'Ordres de travail'!$R$5:$R$3004,"&gt;="&amp;'Paramètres'!$AA$6,'Ordres de travail'!$R$5:$R$3004,"&lt;"&amp;('Paramètres'!$AA$7+1)))</f>
        <v/>
      </c>
      <c r="U214" s="69">
        <f>IF(OR($A214="",N(H214)=0),"",IF(M214="Non",0,365/H214*I214))</f>
        <v/>
      </c>
    </row>
    <row r="215">
      <c r="A215" s="7" t="n"/>
      <c r="B215" s="7" t="n"/>
      <c r="C215" s="9">
        <f>IF(B215="","",IFERROR(INDEX('Équipements'!$B$5:$B$304,MATCH(B215,'Équipements'!$A$5:$A$304,0)),"Code inconnu"))</f>
        <v/>
      </c>
      <c r="D215" s="9">
        <f>IF(B215="","",IFERROR(INDEX('Équipements'!$D$5:$D$304,MATCH(B215,'Équipements'!$A$5:$A$304,0)),""))</f>
        <v/>
      </c>
      <c r="E215" s="7" t="n"/>
      <c r="F215" s="7" t="n"/>
      <c r="G215" s="7" t="n"/>
      <c r="H215" s="67" t="n"/>
      <c r="I215" s="76" t="n"/>
      <c r="J215" s="7" t="n"/>
      <c r="K215" s="7" t="n"/>
      <c r="L215" s="65" t="n"/>
      <c r="M215" s="7" t="n"/>
      <c r="N215" s="7" t="n"/>
      <c r="O215" s="78">
        <f>IF($A215="","",MAX(N(L215),INT(_xlfn.MAXIFS('Ordres de travail'!$R$5:$R$3004,'Ordres de travail'!$I$5:$I$3004,$A215,'Ordres de travail'!$AC$5:$AC$3004,"Clôturé"))))</f>
        <v/>
      </c>
      <c r="P215" s="78">
        <f>IF(OR($A215="",N(O215)=0),"",O215+H215)</f>
        <v/>
      </c>
      <c r="Q215" s="79">
        <f>IF(P215="","",P215-TODAY())</f>
        <v/>
      </c>
      <c r="R215" s="9">
        <f>IF($A215="","",IF(M215="Non","INACTIF",IF(Q215="","À DÉFINIR",IF(Q215&lt;0,"EN RETARD",IF(Q215&lt;='Paramètres'!$AA$12,"À PLANIFIER","OK")))))</f>
        <v/>
      </c>
      <c r="S215" s="9">
        <f>IF($A215="","",IF(SUM(COUNTIFS('Ordres de travail'!$I$5:$I$3004,$A215,'Ordres de travail'!$AC$5:$AC$3004,{"Demandé","Planifié","En cours","En attente pièces"}))&gt;0,"Oui","Non"))</f>
        <v/>
      </c>
      <c r="T215" s="68">
        <f>IF($A215="","",COUNTIFS('Ordres de travail'!$I$5:$I$3004,$A215,'Ordres de travail'!$AC$5:$AC$3004,"Clôturé",'Ordres de travail'!$R$5:$R$3004,"&gt;="&amp;'Paramètres'!$AA$6,'Ordres de travail'!$R$5:$R$3004,"&lt;"&amp;('Paramètres'!$AA$7+1)))</f>
        <v/>
      </c>
      <c r="U215" s="69">
        <f>IF(OR($A215="",N(H215)=0),"",IF(M215="Non",0,365/H215*I215))</f>
        <v/>
      </c>
    </row>
    <row r="216">
      <c r="A216" s="7" t="n"/>
      <c r="B216" s="7" t="n"/>
      <c r="C216" s="9">
        <f>IF(B216="","",IFERROR(INDEX('Équipements'!$B$5:$B$304,MATCH(B216,'Équipements'!$A$5:$A$304,0)),"Code inconnu"))</f>
        <v/>
      </c>
      <c r="D216" s="9">
        <f>IF(B216="","",IFERROR(INDEX('Équipements'!$D$5:$D$304,MATCH(B216,'Équipements'!$A$5:$A$304,0)),""))</f>
        <v/>
      </c>
      <c r="E216" s="7" t="n"/>
      <c r="F216" s="7" t="n"/>
      <c r="G216" s="7" t="n"/>
      <c r="H216" s="67" t="n"/>
      <c r="I216" s="76" t="n"/>
      <c r="J216" s="7" t="n"/>
      <c r="K216" s="7" t="n"/>
      <c r="L216" s="65" t="n"/>
      <c r="M216" s="7" t="n"/>
      <c r="N216" s="7" t="n"/>
      <c r="O216" s="78">
        <f>IF($A216="","",MAX(N(L216),INT(_xlfn.MAXIFS('Ordres de travail'!$R$5:$R$3004,'Ordres de travail'!$I$5:$I$3004,$A216,'Ordres de travail'!$AC$5:$AC$3004,"Clôturé"))))</f>
        <v/>
      </c>
      <c r="P216" s="78">
        <f>IF(OR($A216="",N(O216)=0),"",O216+H216)</f>
        <v/>
      </c>
      <c r="Q216" s="79">
        <f>IF(P216="","",P216-TODAY())</f>
        <v/>
      </c>
      <c r="R216" s="9">
        <f>IF($A216="","",IF(M216="Non","INACTIF",IF(Q216="","À DÉFINIR",IF(Q216&lt;0,"EN RETARD",IF(Q216&lt;='Paramètres'!$AA$12,"À PLANIFIER","OK")))))</f>
        <v/>
      </c>
      <c r="S216" s="9">
        <f>IF($A216="","",IF(SUM(COUNTIFS('Ordres de travail'!$I$5:$I$3004,$A216,'Ordres de travail'!$AC$5:$AC$3004,{"Demandé","Planifié","En cours","En attente pièces"}))&gt;0,"Oui","Non"))</f>
        <v/>
      </c>
      <c r="T216" s="68">
        <f>IF($A216="","",COUNTIFS('Ordres de travail'!$I$5:$I$3004,$A216,'Ordres de travail'!$AC$5:$AC$3004,"Clôturé",'Ordres de travail'!$R$5:$R$3004,"&gt;="&amp;'Paramètres'!$AA$6,'Ordres de travail'!$R$5:$R$3004,"&lt;"&amp;('Paramètres'!$AA$7+1)))</f>
        <v/>
      </c>
      <c r="U216" s="69">
        <f>IF(OR($A216="",N(H216)=0),"",IF(M216="Non",0,365/H216*I216))</f>
        <v/>
      </c>
    </row>
    <row r="217">
      <c r="A217" s="7" t="n"/>
      <c r="B217" s="7" t="n"/>
      <c r="C217" s="9">
        <f>IF(B217="","",IFERROR(INDEX('Équipements'!$B$5:$B$304,MATCH(B217,'Équipements'!$A$5:$A$304,0)),"Code inconnu"))</f>
        <v/>
      </c>
      <c r="D217" s="9">
        <f>IF(B217="","",IFERROR(INDEX('Équipements'!$D$5:$D$304,MATCH(B217,'Équipements'!$A$5:$A$304,0)),""))</f>
        <v/>
      </c>
      <c r="E217" s="7" t="n"/>
      <c r="F217" s="7" t="n"/>
      <c r="G217" s="7" t="n"/>
      <c r="H217" s="67" t="n"/>
      <c r="I217" s="76" t="n"/>
      <c r="J217" s="7" t="n"/>
      <c r="K217" s="7" t="n"/>
      <c r="L217" s="65" t="n"/>
      <c r="M217" s="7" t="n"/>
      <c r="N217" s="7" t="n"/>
      <c r="O217" s="78">
        <f>IF($A217="","",MAX(N(L217),INT(_xlfn.MAXIFS('Ordres de travail'!$R$5:$R$3004,'Ordres de travail'!$I$5:$I$3004,$A217,'Ordres de travail'!$AC$5:$AC$3004,"Clôturé"))))</f>
        <v/>
      </c>
      <c r="P217" s="78">
        <f>IF(OR($A217="",N(O217)=0),"",O217+H217)</f>
        <v/>
      </c>
      <c r="Q217" s="79">
        <f>IF(P217="","",P217-TODAY())</f>
        <v/>
      </c>
      <c r="R217" s="9">
        <f>IF($A217="","",IF(M217="Non","INACTIF",IF(Q217="","À DÉFINIR",IF(Q217&lt;0,"EN RETARD",IF(Q217&lt;='Paramètres'!$AA$12,"À PLANIFIER","OK")))))</f>
        <v/>
      </c>
      <c r="S217" s="9">
        <f>IF($A217="","",IF(SUM(COUNTIFS('Ordres de travail'!$I$5:$I$3004,$A217,'Ordres de travail'!$AC$5:$AC$3004,{"Demandé","Planifié","En cours","En attente pièces"}))&gt;0,"Oui","Non"))</f>
        <v/>
      </c>
      <c r="T217" s="68">
        <f>IF($A217="","",COUNTIFS('Ordres de travail'!$I$5:$I$3004,$A217,'Ordres de travail'!$AC$5:$AC$3004,"Clôturé",'Ordres de travail'!$R$5:$R$3004,"&gt;="&amp;'Paramètres'!$AA$6,'Ordres de travail'!$R$5:$R$3004,"&lt;"&amp;('Paramètres'!$AA$7+1)))</f>
        <v/>
      </c>
      <c r="U217" s="69">
        <f>IF(OR($A217="",N(H217)=0),"",IF(M217="Non",0,365/H217*I217))</f>
        <v/>
      </c>
    </row>
    <row r="218">
      <c r="A218" s="7" t="n"/>
      <c r="B218" s="7" t="n"/>
      <c r="C218" s="9">
        <f>IF(B218="","",IFERROR(INDEX('Équipements'!$B$5:$B$304,MATCH(B218,'Équipements'!$A$5:$A$304,0)),"Code inconnu"))</f>
        <v/>
      </c>
      <c r="D218" s="9">
        <f>IF(B218="","",IFERROR(INDEX('Équipements'!$D$5:$D$304,MATCH(B218,'Équipements'!$A$5:$A$304,0)),""))</f>
        <v/>
      </c>
      <c r="E218" s="7" t="n"/>
      <c r="F218" s="7" t="n"/>
      <c r="G218" s="7" t="n"/>
      <c r="H218" s="67" t="n"/>
      <c r="I218" s="76" t="n"/>
      <c r="J218" s="7" t="n"/>
      <c r="K218" s="7" t="n"/>
      <c r="L218" s="65" t="n"/>
      <c r="M218" s="7" t="n"/>
      <c r="N218" s="7" t="n"/>
      <c r="O218" s="78">
        <f>IF($A218="","",MAX(N(L218),INT(_xlfn.MAXIFS('Ordres de travail'!$R$5:$R$3004,'Ordres de travail'!$I$5:$I$3004,$A218,'Ordres de travail'!$AC$5:$AC$3004,"Clôturé"))))</f>
        <v/>
      </c>
      <c r="P218" s="78">
        <f>IF(OR($A218="",N(O218)=0),"",O218+H218)</f>
        <v/>
      </c>
      <c r="Q218" s="79">
        <f>IF(P218="","",P218-TODAY())</f>
        <v/>
      </c>
      <c r="R218" s="9">
        <f>IF($A218="","",IF(M218="Non","INACTIF",IF(Q218="","À DÉFINIR",IF(Q218&lt;0,"EN RETARD",IF(Q218&lt;='Paramètres'!$AA$12,"À PLANIFIER","OK")))))</f>
        <v/>
      </c>
      <c r="S218" s="9">
        <f>IF($A218="","",IF(SUM(COUNTIFS('Ordres de travail'!$I$5:$I$3004,$A218,'Ordres de travail'!$AC$5:$AC$3004,{"Demandé","Planifié","En cours","En attente pièces"}))&gt;0,"Oui","Non"))</f>
        <v/>
      </c>
      <c r="T218" s="68">
        <f>IF($A218="","",COUNTIFS('Ordres de travail'!$I$5:$I$3004,$A218,'Ordres de travail'!$AC$5:$AC$3004,"Clôturé",'Ordres de travail'!$R$5:$R$3004,"&gt;="&amp;'Paramètres'!$AA$6,'Ordres de travail'!$R$5:$R$3004,"&lt;"&amp;('Paramètres'!$AA$7+1)))</f>
        <v/>
      </c>
      <c r="U218" s="69">
        <f>IF(OR($A218="",N(H218)=0),"",IF(M218="Non",0,365/H218*I218))</f>
        <v/>
      </c>
    </row>
    <row r="219">
      <c r="A219" s="7" t="n"/>
      <c r="B219" s="7" t="n"/>
      <c r="C219" s="9">
        <f>IF(B219="","",IFERROR(INDEX('Équipements'!$B$5:$B$304,MATCH(B219,'Équipements'!$A$5:$A$304,0)),"Code inconnu"))</f>
        <v/>
      </c>
      <c r="D219" s="9">
        <f>IF(B219="","",IFERROR(INDEX('Équipements'!$D$5:$D$304,MATCH(B219,'Équipements'!$A$5:$A$304,0)),""))</f>
        <v/>
      </c>
      <c r="E219" s="7" t="n"/>
      <c r="F219" s="7" t="n"/>
      <c r="G219" s="7" t="n"/>
      <c r="H219" s="67" t="n"/>
      <c r="I219" s="76" t="n"/>
      <c r="J219" s="7" t="n"/>
      <c r="K219" s="7" t="n"/>
      <c r="L219" s="65" t="n"/>
      <c r="M219" s="7" t="n"/>
      <c r="N219" s="7" t="n"/>
      <c r="O219" s="78">
        <f>IF($A219="","",MAX(N(L219),INT(_xlfn.MAXIFS('Ordres de travail'!$R$5:$R$3004,'Ordres de travail'!$I$5:$I$3004,$A219,'Ordres de travail'!$AC$5:$AC$3004,"Clôturé"))))</f>
        <v/>
      </c>
      <c r="P219" s="78">
        <f>IF(OR($A219="",N(O219)=0),"",O219+H219)</f>
        <v/>
      </c>
      <c r="Q219" s="79">
        <f>IF(P219="","",P219-TODAY())</f>
        <v/>
      </c>
      <c r="R219" s="9">
        <f>IF($A219="","",IF(M219="Non","INACTIF",IF(Q219="","À DÉFINIR",IF(Q219&lt;0,"EN RETARD",IF(Q219&lt;='Paramètres'!$AA$12,"À PLANIFIER","OK")))))</f>
        <v/>
      </c>
      <c r="S219" s="9">
        <f>IF($A219="","",IF(SUM(COUNTIFS('Ordres de travail'!$I$5:$I$3004,$A219,'Ordres de travail'!$AC$5:$AC$3004,{"Demandé","Planifié","En cours","En attente pièces"}))&gt;0,"Oui","Non"))</f>
        <v/>
      </c>
      <c r="T219" s="68">
        <f>IF($A219="","",COUNTIFS('Ordres de travail'!$I$5:$I$3004,$A219,'Ordres de travail'!$AC$5:$AC$3004,"Clôturé",'Ordres de travail'!$R$5:$R$3004,"&gt;="&amp;'Paramètres'!$AA$6,'Ordres de travail'!$R$5:$R$3004,"&lt;"&amp;('Paramètres'!$AA$7+1)))</f>
        <v/>
      </c>
      <c r="U219" s="69">
        <f>IF(OR($A219="",N(H219)=0),"",IF(M219="Non",0,365/H219*I219))</f>
        <v/>
      </c>
    </row>
    <row r="220">
      <c r="A220" s="7" t="n"/>
      <c r="B220" s="7" t="n"/>
      <c r="C220" s="9">
        <f>IF(B220="","",IFERROR(INDEX('Équipements'!$B$5:$B$304,MATCH(B220,'Équipements'!$A$5:$A$304,0)),"Code inconnu"))</f>
        <v/>
      </c>
      <c r="D220" s="9">
        <f>IF(B220="","",IFERROR(INDEX('Équipements'!$D$5:$D$304,MATCH(B220,'Équipements'!$A$5:$A$304,0)),""))</f>
        <v/>
      </c>
      <c r="E220" s="7" t="n"/>
      <c r="F220" s="7" t="n"/>
      <c r="G220" s="7" t="n"/>
      <c r="H220" s="67" t="n"/>
      <c r="I220" s="76" t="n"/>
      <c r="J220" s="7" t="n"/>
      <c r="K220" s="7" t="n"/>
      <c r="L220" s="65" t="n"/>
      <c r="M220" s="7" t="n"/>
      <c r="N220" s="7" t="n"/>
      <c r="O220" s="78">
        <f>IF($A220="","",MAX(N(L220),INT(_xlfn.MAXIFS('Ordres de travail'!$R$5:$R$3004,'Ordres de travail'!$I$5:$I$3004,$A220,'Ordres de travail'!$AC$5:$AC$3004,"Clôturé"))))</f>
        <v/>
      </c>
      <c r="P220" s="78">
        <f>IF(OR($A220="",N(O220)=0),"",O220+H220)</f>
        <v/>
      </c>
      <c r="Q220" s="79">
        <f>IF(P220="","",P220-TODAY())</f>
        <v/>
      </c>
      <c r="R220" s="9">
        <f>IF($A220="","",IF(M220="Non","INACTIF",IF(Q220="","À DÉFINIR",IF(Q220&lt;0,"EN RETARD",IF(Q220&lt;='Paramètres'!$AA$12,"À PLANIFIER","OK")))))</f>
        <v/>
      </c>
      <c r="S220" s="9">
        <f>IF($A220="","",IF(SUM(COUNTIFS('Ordres de travail'!$I$5:$I$3004,$A220,'Ordres de travail'!$AC$5:$AC$3004,{"Demandé","Planifié","En cours","En attente pièces"}))&gt;0,"Oui","Non"))</f>
        <v/>
      </c>
      <c r="T220" s="68">
        <f>IF($A220="","",COUNTIFS('Ordres de travail'!$I$5:$I$3004,$A220,'Ordres de travail'!$AC$5:$AC$3004,"Clôturé",'Ordres de travail'!$R$5:$R$3004,"&gt;="&amp;'Paramètres'!$AA$6,'Ordres de travail'!$R$5:$R$3004,"&lt;"&amp;('Paramètres'!$AA$7+1)))</f>
        <v/>
      </c>
      <c r="U220" s="69">
        <f>IF(OR($A220="",N(H220)=0),"",IF(M220="Non",0,365/H220*I220))</f>
        <v/>
      </c>
    </row>
    <row r="221">
      <c r="A221" s="7" t="n"/>
      <c r="B221" s="7" t="n"/>
      <c r="C221" s="9">
        <f>IF(B221="","",IFERROR(INDEX('Équipements'!$B$5:$B$304,MATCH(B221,'Équipements'!$A$5:$A$304,0)),"Code inconnu"))</f>
        <v/>
      </c>
      <c r="D221" s="9">
        <f>IF(B221="","",IFERROR(INDEX('Équipements'!$D$5:$D$304,MATCH(B221,'Équipements'!$A$5:$A$304,0)),""))</f>
        <v/>
      </c>
      <c r="E221" s="7" t="n"/>
      <c r="F221" s="7" t="n"/>
      <c r="G221" s="7" t="n"/>
      <c r="H221" s="67" t="n"/>
      <c r="I221" s="76" t="n"/>
      <c r="J221" s="7" t="n"/>
      <c r="K221" s="7" t="n"/>
      <c r="L221" s="65" t="n"/>
      <c r="M221" s="7" t="n"/>
      <c r="N221" s="7" t="n"/>
      <c r="O221" s="78">
        <f>IF($A221="","",MAX(N(L221),INT(_xlfn.MAXIFS('Ordres de travail'!$R$5:$R$3004,'Ordres de travail'!$I$5:$I$3004,$A221,'Ordres de travail'!$AC$5:$AC$3004,"Clôturé"))))</f>
        <v/>
      </c>
      <c r="P221" s="78">
        <f>IF(OR($A221="",N(O221)=0),"",O221+H221)</f>
        <v/>
      </c>
      <c r="Q221" s="79">
        <f>IF(P221="","",P221-TODAY())</f>
        <v/>
      </c>
      <c r="R221" s="9">
        <f>IF($A221="","",IF(M221="Non","INACTIF",IF(Q221="","À DÉFINIR",IF(Q221&lt;0,"EN RETARD",IF(Q221&lt;='Paramètres'!$AA$12,"À PLANIFIER","OK")))))</f>
        <v/>
      </c>
      <c r="S221" s="9">
        <f>IF($A221="","",IF(SUM(COUNTIFS('Ordres de travail'!$I$5:$I$3004,$A221,'Ordres de travail'!$AC$5:$AC$3004,{"Demandé","Planifié","En cours","En attente pièces"}))&gt;0,"Oui","Non"))</f>
        <v/>
      </c>
      <c r="T221" s="68">
        <f>IF($A221="","",COUNTIFS('Ordres de travail'!$I$5:$I$3004,$A221,'Ordres de travail'!$AC$5:$AC$3004,"Clôturé",'Ordres de travail'!$R$5:$R$3004,"&gt;="&amp;'Paramètres'!$AA$6,'Ordres de travail'!$R$5:$R$3004,"&lt;"&amp;('Paramètres'!$AA$7+1)))</f>
        <v/>
      </c>
      <c r="U221" s="69">
        <f>IF(OR($A221="",N(H221)=0),"",IF(M221="Non",0,365/H221*I221))</f>
        <v/>
      </c>
    </row>
    <row r="222">
      <c r="A222" s="7" t="n"/>
      <c r="B222" s="7" t="n"/>
      <c r="C222" s="9">
        <f>IF(B222="","",IFERROR(INDEX('Équipements'!$B$5:$B$304,MATCH(B222,'Équipements'!$A$5:$A$304,0)),"Code inconnu"))</f>
        <v/>
      </c>
      <c r="D222" s="9">
        <f>IF(B222="","",IFERROR(INDEX('Équipements'!$D$5:$D$304,MATCH(B222,'Équipements'!$A$5:$A$304,0)),""))</f>
        <v/>
      </c>
      <c r="E222" s="7" t="n"/>
      <c r="F222" s="7" t="n"/>
      <c r="G222" s="7" t="n"/>
      <c r="H222" s="67" t="n"/>
      <c r="I222" s="76" t="n"/>
      <c r="J222" s="7" t="n"/>
      <c r="K222" s="7" t="n"/>
      <c r="L222" s="65" t="n"/>
      <c r="M222" s="7" t="n"/>
      <c r="N222" s="7" t="n"/>
      <c r="O222" s="78">
        <f>IF($A222="","",MAX(N(L222),INT(_xlfn.MAXIFS('Ordres de travail'!$R$5:$R$3004,'Ordres de travail'!$I$5:$I$3004,$A222,'Ordres de travail'!$AC$5:$AC$3004,"Clôturé"))))</f>
        <v/>
      </c>
      <c r="P222" s="78">
        <f>IF(OR($A222="",N(O222)=0),"",O222+H222)</f>
        <v/>
      </c>
      <c r="Q222" s="79">
        <f>IF(P222="","",P222-TODAY())</f>
        <v/>
      </c>
      <c r="R222" s="9">
        <f>IF($A222="","",IF(M222="Non","INACTIF",IF(Q222="","À DÉFINIR",IF(Q222&lt;0,"EN RETARD",IF(Q222&lt;='Paramètres'!$AA$12,"À PLANIFIER","OK")))))</f>
        <v/>
      </c>
      <c r="S222" s="9">
        <f>IF($A222="","",IF(SUM(COUNTIFS('Ordres de travail'!$I$5:$I$3004,$A222,'Ordres de travail'!$AC$5:$AC$3004,{"Demandé","Planifié","En cours","En attente pièces"}))&gt;0,"Oui","Non"))</f>
        <v/>
      </c>
      <c r="T222" s="68">
        <f>IF($A222="","",COUNTIFS('Ordres de travail'!$I$5:$I$3004,$A222,'Ordres de travail'!$AC$5:$AC$3004,"Clôturé",'Ordres de travail'!$R$5:$R$3004,"&gt;="&amp;'Paramètres'!$AA$6,'Ordres de travail'!$R$5:$R$3004,"&lt;"&amp;('Paramètres'!$AA$7+1)))</f>
        <v/>
      </c>
      <c r="U222" s="69">
        <f>IF(OR($A222="",N(H222)=0),"",IF(M222="Non",0,365/H222*I222))</f>
        <v/>
      </c>
    </row>
    <row r="223">
      <c r="A223" s="7" t="n"/>
      <c r="B223" s="7" t="n"/>
      <c r="C223" s="9">
        <f>IF(B223="","",IFERROR(INDEX('Équipements'!$B$5:$B$304,MATCH(B223,'Équipements'!$A$5:$A$304,0)),"Code inconnu"))</f>
        <v/>
      </c>
      <c r="D223" s="9">
        <f>IF(B223="","",IFERROR(INDEX('Équipements'!$D$5:$D$304,MATCH(B223,'Équipements'!$A$5:$A$304,0)),""))</f>
        <v/>
      </c>
      <c r="E223" s="7" t="n"/>
      <c r="F223" s="7" t="n"/>
      <c r="G223" s="7" t="n"/>
      <c r="H223" s="67" t="n"/>
      <c r="I223" s="76" t="n"/>
      <c r="J223" s="7" t="n"/>
      <c r="K223" s="7" t="n"/>
      <c r="L223" s="65" t="n"/>
      <c r="M223" s="7" t="n"/>
      <c r="N223" s="7" t="n"/>
      <c r="O223" s="78">
        <f>IF($A223="","",MAX(N(L223),INT(_xlfn.MAXIFS('Ordres de travail'!$R$5:$R$3004,'Ordres de travail'!$I$5:$I$3004,$A223,'Ordres de travail'!$AC$5:$AC$3004,"Clôturé"))))</f>
        <v/>
      </c>
      <c r="P223" s="78">
        <f>IF(OR($A223="",N(O223)=0),"",O223+H223)</f>
        <v/>
      </c>
      <c r="Q223" s="79">
        <f>IF(P223="","",P223-TODAY())</f>
        <v/>
      </c>
      <c r="R223" s="9">
        <f>IF($A223="","",IF(M223="Non","INACTIF",IF(Q223="","À DÉFINIR",IF(Q223&lt;0,"EN RETARD",IF(Q223&lt;='Paramètres'!$AA$12,"À PLANIFIER","OK")))))</f>
        <v/>
      </c>
      <c r="S223" s="9">
        <f>IF($A223="","",IF(SUM(COUNTIFS('Ordres de travail'!$I$5:$I$3004,$A223,'Ordres de travail'!$AC$5:$AC$3004,{"Demandé","Planifié","En cours","En attente pièces"}))&gt;0,"Oui","Non"))</f>
        <v/>
      </c>
      <c r="T223" s="68">
        <f>IF($A223="","",COUNTIFS('Ordres de travail'!$I$5:$I$3004,$A223,'Ordres de travail'!$AC$5:$AC$3004,"Clôturé",'Ordres de travail'!$R$5:$R$3004,"&gt;="&amp;'Paramètres'!$AA$6,'Ordres de travail'!$R$5:$R$3004,"&lt;"&amp;('Paramètres'!$AA$7+1)))</f>
        <v/>
      </c>
      <c r="U223" s="69">
        <f>IF(OR($A223="",N(H223)=0),"",IF(M223="Non",0,365/H223*I223))</f>
        <v/>
      </c>
    </row>
    <row r="224">
      <c r="A224" s="7" t="n"/>
      <c r="B224" s="7" t="n"/>
      <c r="C224" s="9">
        <f>IF(B224="","",IFERROR(INDEX('Équipements'!$B$5:$B$304,MATCH(B224,'Équipements'!$A$5:$A$304,0)),"Code inconnu"))</f>
        <v/>
      </c>
      <c r="D224" s="9">
        <f>IF(B224="","",IFERROR(INDEX('Équipements'!$D$5:$D$304,MATCH(B224,'Équipements'!$A$5:$A$304,0)),""))</f>
        <v/>
      </c>
      <c r="E224" s="7" t="n"/>
      <c r="F224" s="7" t="n"/>
      <c r="G224" s="7" t="n"/>
      <c r="H224" s="67" t="n"/>
      <c r="I224" s="76" t="n"/>
      <c r="J224" s="7" t="n"/>
      <c r="K224" s="7" t="n"/>
      <c r="L224" s="65" t="n"/>
      <c r="M224" s="7" t="n"/>
      <c r="N224" s="7" t="n"/>
      <c r="O224" s="78">
        <f>IF($A224="","",MAX(N(L224),INT(_xlfn.MAXIFS('Ordres de travail'!$R$5:$R$3004,'Ordres de travail'!$I$5:$I$3004,$A224,'Ordres de travail'!$AC$5:$AC$3004,"Clôturé"))))</f>
        <v/>
      </c>
      <c r="P224" s="78">
        <f>IF(OR($A224="",N(O224)=0),"",O224+H224)</f>
        <v/>
      </c>
      <c r="Q224" s="79">
        <f>IF(P224="","",P224-TODAY())</f>
        <v/>
      </c>
      <c r="R224" s="9">
        <f>IF($A224="","",IF(M224="Non","INACTIF",IF(Q224="","À DÉFINIR",IF(Q224&lt;0,"EN RETARD",IF(Q224&lt;='Paramètres'!$AA$12,"À PLANIFIER","OK")))))</f>
        <v/>
      </c>
      <c r="S224" s="9">
        <f>IF($A224="","",IF(SUM(COUNTIFS('Ordres de travail'!$I$5:$I$3004,$A224,'Ordres de travail'!$AC$5:$AC$3004,{"Demandé","Planifié","En cours","En attente pièces"}))&gt;0,"Oui","Non"))</f>
        <v/>
      </c>
      <c r="T224" s="68">
        <f>IF($A224="","",COUNTIFS('Ordres de travail'!$I$5:$I$3004,$A224,'Ordres de travail'!$AC$5:$AC$3004,"Clôturé",'Ordres de travail'!$R$5:$R$3004,"&gt;="&amp;'Paramètres'!$AA$6,'Ordres de travail'!$R$5:$R$3004,"&lt;"&amp;('Paramètres'!$AA$7+1)))</f>
        <v/>
      </c>
      <c r="U224" s="69">
        <f>IF(OR($A224="",N(H224)=0),"",IF(M224="Non",0,365/H224*I224))</f>
        <v/>
      </c>
    </row>
    <row r="225">
      <c r="A225" s="7" t="n"/>
      <c r="B225" s="7" t="n"/>
      <c r="C225" s="9">
        <f>IF(B225="","",IFERROR(INDEX('Équipements'!$B$5:$B$304,MATCH(B225,'Équipements'!$A$5:$A$304,0)),"Code inconnu"))</f>
        <v/>
      </c>
      <c r="D225" s="9">
        <f>IF(B225="","",IFERROR(INDEX('Équipements'!$D$5:$D$304,MATCH(B225,'Équipements'!$A$5:$A$304,0)),""))</f>
        <v/>
      </c>
      <c r="E225" s="7" t="n"/>
      <c r="F225" s="7" t="n"/>
      <c r="G225" s="7" t="n"/>
      <c r="H225" s="67" t="n"/>
      <c r="I225" s="76" t="n"/>
      <c r="J225" s="7" t="n"/>
      <c r="K225" s="7" t="n"/>
      <c r="L225" s="65" t="n"/>
      <c r="M225" s="7" t="n"/>
      <c r="N225" s="7" t="n"/>
      <c r="O225" s="78">
        <f>IF($A225="","",MAX(N(L225),INT(_xlfn.MAXIFS('Ordres de travail'!$R$5:$R$3004,'Ordres de travail'!$I$5:$I$3004,$A225,'Ordres de travail'!$AC$5:$AC$3004,"Clôturé"))))</f>
        <v/>
      </c>
      <c r="P225" s="78">
        <f>IF(OR($A225="",N(O225)=0),"",O225+H225)</f>
        <v/>
      </c>
      <c r="Q225" s="79">
        <f>IF(P225="","",P225-TODAY())</f>
        <v/>
      </c>
      <c r="R225" s="9">
        <f>IF($A225="","",IF(M225="Non","INACTIF",IF(Q225="","À DÉFINIR",IF(Q225&lt;0,"EN RETARD",IF(Q225&lt;='Paramètres'!$AA$12,"À PLANIFIER","OK")))))</f>
        <v/>
      </c>
      <c r="S225" s="9">
        <f>IF($A225="","",IF(SUM(COUNTIFS('Ordres de travail'!$I$5:$I$3004,$A225,'Ordres de travail'!$AC$5:$AC$3004,{"Demandé","Planifié","En cours","En attente pièces"}))&gt;0,"Oui","Non"))</f>
        <v/>
      </c>
      <c r="T225" s="68">
        <f>IF($A225="","",COUNTIFS('Ordres de travail'!$I$5:$I$3004,$A225,'Ordres de travail'!$AC$5:$AC$3004,"Clôturé",'Ordres de travail'!$R$5:$R$3004,"&gt;="&amp;'Paramètres'!$AA$6,'Ordres de travail'!$R$5:$R$3004,"&lt;"&amp;('Paramètres'!$AA$7+1)))</f>
        <v/>
      </c>
      <c r="U225" s="69">
        <f>IF(OR($A225="",N(H225)=0),"",IF(M225="Non",0,365/H225*I225))</f>
        <v/>
      </c>
    </row>
    <row r="226">
      <c r="A226" s="7" t="n"/>
      <c r="B226" s="7" t="n"/>
      <c r="C226" s="9">
        <f>IF(B226="","",IFERROR(INDEX('Équipements'!$B$5:$B$304,MATCH(B226,'Équipements'!$A$5:$A$304,0)),"Code inconnu"))</f>
        <v/>
      </c>
      <c r="D226" s="9">
        <f>IF(B226="","",IFERROR(INDEX('Équipements'!$D$5:$D$304,MATCH(B226,'Équipements'!$A$5:$A$304,0)),""))</f>
        <v/>
      </c>
      <c r="E226" s="7" t="n"/>
      <c r="F226" s="7" t="n"/>
      <c r="G226" s="7" t="n"/>
      <c r="H226" s="67" t="n"/>
      <c r="I226" s="76" t="n"/>
      <c r="J226" s="7" t="n"/>
      <c r="K226" s="7" t="n"/>
      <c r="L226" s="65" t="n"/>
      <c r="M226" s="7" t="n"/>
      <c r="N226" s="7" t="n"/>
      <c r="O226" s="78">
        <f>IF($A226="","",MAX(N(L226),INT(_xlfn.MAXIFS('Ordres de travail'!$R$5:$R$3004,'Ordres de travail'!$I$5:$I$3004,$A226,'Ordres de travail'!$AC$5:$AC$3004,"Clôturé"))))</f>
        <v/>
      </c>
      <c r="P226" s="78">
        <f>IF(OR($A226="",N(O226)=0),"",O226+H226)</f>
        <v/>
      </c>
      <c r="Q226" s="79">
        <f>IF(P226="","",P226-TODAY())</f>
        <v/>
      </c>
      <c r="R226" s="9">
        <f>IF($A226="","",IF(M226="Non","INACTIF",IF(Q226="","À DÉFINIR",IF(Q226&lt;0,"EN RETARD",IF(Q226&lt;='Paramètres'!$AA$12,"À PLANIFIER","OK")))))</f>
        <v/>
      </c>
      <c r="S226" s="9">
        <f>IF($A226="","",IF(SUM(COUNTIFS('Ordres de travail'!$I$5:$I$3004,$A226,'Ordres de travail'!$AC$5:$AC$3004,{"Demandé","Planifié","En cours","En attente pièces"}))&gt;0,"Oui","Non"))</f>
        <v/>
      </c>
      <c r="T226" s="68">
        <f>IF($A226="","",COUNTIFS('Ordres de travail'!$I$5:$I$3004,$A226,'Ordres de travail'!$AC$5:$AC$3004,"Clôturé",'Ordres de travail'!$R$5:$R$3004,"&gt;="&amp;'Paramètres'!$AA$6,'Ordres de travail'!$R$5:$R$3004,"&lt;"&amp;('Paramètres'!$AA$7+1)))</f>
        <v/>
      </c>
      <c r="U226" s="69">
        <f>IF(OR($A226="",N(H226)=0),"",IF(M226="Non",0,365/H226*I226))</f>
        <v/>
      </c>
    </row>
    <row r="227">
      <c r="A227" s="7" t="n"/>
      <c r="B227" s="7" t="n"/>
      <c r="C227" s="9">
        <f>IF(B227="","",IFERROR(INDEX('Équipements'!$B$5:$B$304,MATCH(B227,'Équipements'!$A$5:$A$304,0)),"Code inconnu"))</f>
        <v/>
      </c>
      <c r="D227" s="9">
        <f>IF(B227="","",IFERROR(INDEX('Équipements'!$D$5:$D$304,MATCH(B227,'Équipements'!$A$5:$A$304,0)),""))</f>
        <v/>
      </c>
      <c r="E227" s="7" t="n"/>
      <c r="F227" s="7" t="n"/>
      <c r="G227" s="7" t="n"/>
      <c r="H227" s="67" t="n"/>
      <c r="I227" s="76" t="n"/>
      <c r="J227" s="7" t="n"/>
      <c r="K227" s="7" t="n"/>
      <c r="L227" s="65" t="n"/>
      <c r="M227" s="7" t="n"/>
      <c r="N227" s="7" t="n"/>
      <c r="O227" s="78">
        <f>IF($A227="","",MAX(N(L227),INT(_xlfn.MAXIFS('Ordres de travail'!$R$5:$R$3004,'Ordres de travail'!$I$5:$I$3004,$A227,'Ordres de travail'!$AC$5:$AC$3004,"Clôturé"))))</f>
        <v/>
      </c>
      <c r="P227" s="78">
        <f>IF(OR($A227="",N(O227)=0),"",O227+H227)</f>
        <v/>
      </c>
      <c r="Q227" s="79">
        <f>IF(P227="","",P227-TODAY())</f>
        <v/>
      </c>
      <c r="R227" s="9">
        <f>IF($A227="","",IF(M227="Non","INACTIF",IF(Q227="","À DÉFINIR",IF(Q227&lt;0,"EN RETARD",IF(Q227&lt;='Paramètres'!$AA$12,"À PLANIFIER","OK")))))</f>
        <v/>
      </c>
      <c r="S227" s="9">
        <f>IF($A227="","",IF(SUM(COUNTIFS('Ordres de travail'!$I$5:$I$3004,$A227,'Ordres de travail'!$AC$5:$AC$3004,{"Demandé","Planifié","En cours","En attente pièces"}))&gt;0,"Oui","Non"))</f>
        <v/>
      </c>
      <c r="T227" s="68">
        <f>IF($A227="","",COUNTIFS('Ordres de travail'!$I$5:$I$3004,$A227,'Ordres de travail'!$AC$5:$AC$3004,"Clôturé",'Ordres de travail'!$R$5:$R$3004,"&gt;="&amp;'Paramètres'!$AA$6,'Ordres de travail'!$R$5:$R$3004,"&lt;"&amp;('Paramètres'!$AA$7+1)))</f>
        <v/>
      </c>
      <c r="U227" s="69">
        <f>IF(OR($A227="",N(H227)=0),"",IF(M227="Non",0,365/H227*I227))</f>
        <v/>
      </c>
    </row>
    <row r="228">
      <c r="A228" s="7" t="n"/>
      <c r="B228" s="7" t="n"/>
      <c r="C228" s="9">
        <f>IF(B228="","",IFERROR(INDEX('Équipements'!$B$5:$B$304,MATCH(B228,'Équipements'!$A$5:$A$304,0)),"Code inconnu"))</f>
        <v/>
      </c>
      <c r="D228" s="9">
        <f>IF(B228="","",IFERROR(INDEX('Équipements'!$D$5:$D$304,MATCH(B228,'Équipements'!$A$5:$A$304,0)),""))</f>
        <v/>
      </c>
      <c r="E228" s="7" t="n"/>
      <c r="F228" s="7" t="n"/>
      <c r="G228" s="7" t="n"/>
      <c r="H228" s="67" t="n"/>
      <c r="I228" s="76" t="n"/>
      <c r="J228" s="7" t="n"/>
      <c r="K228" s="7" t="n"/>
      <c r="L228" s="65" t="n"/>
      <c r="M228" s="7" t="n"/>
      <c r="N228" s="7" t="n"/>
      <c r="O228" s="78">
        <f>IF($A228="","",MAX(N(L228),INT(_xlfn.MAXIFS('Ordres de travail'!$R$5:$R$3004,'Ordres de travail'!$I$5:$I$3004,$A228,'Ordres de travail'!$AC$5:$AC$3004,"Clôturé"))))</f>
        <v/>
      </c>
      <c r="P228" s="78">
        <f>IF(OR($A228="",N(O228)=0),"",O228+H228)</f>
        <v/>
      </c>
      <c r="Q228" s="79">
        <f>IF(P228="","",P228-TODAY())</f>
        <v/>
      </c>
      <c r="R228" s="9">
        <f>IF($A228="","",IF(M228="Non","INACTIF",IF(Q228="","À DÉFINIR",IF(Q228&lt;0,"EN RETARD",IF(Q228&lt;='Paramètres'!$AA$12,"À PLANIFIER","OK")))))</f>
        <v/>
      </c>
      <c r="S228" s="9">
        <f>IF($A228="","",IF(SUM(COUNTIFS('Ordres de travail'!$I$5:$I$3004,$A228,'Ordres de travail'!$AC$5:$AC$3004,{"Demandé","Planifié","En cours","En attente pièces"}))&gt;0,"Oui","Non"))</f>
        <v/>
      </c>
      <c r="T228" s="68">
        <f>IF($A228="","",COUNTIFS('Ordres de travail'!$I$5:$I$3004,$A228,'Ordres de travail'!$AC$5:$AC$3004,"Clôturé",'Ordres de travail'!$R$5:$R$3004,"&gt;="&amp;'Paramètres'!$AA$6,'Ordres de travail'!$R$5:$R$3004,"&lt;"&amp;('Paramètres'!$AA$7+1)))</f>
        <v/>
      </c>
      <c r="U228" s="69">
        <f>IF(OR($A228="",N(H228)=0),"",IF(M228="Non",0,365/H228*I228))</f>
        <v/>
      </c>
    </row>
    <row r="229">
      <c r="A229" s="7" t="n"/>
      <c r="B229" s="7" t="n"/>
      <c r="C229" s="9">
        <f>IF(B229="","",IFERROR(INDEX('Équipements'!$B$5:$B$304,MATCH(B229,'Équipements'!$A$5:$A$304,0)),"Code inconnu"))</f>
        <v/>
      </c>
      <c r="D229" s="9">
        <f>IF(B229="","",IFERROR(INDEX('Équipements'!$D$5:$D$304,MATCH(B229,'Équipements'!$A$5:$A$304,0)),""))</f>
        <v/>
      </c>
      <c r="E229" s="7" t="n"/>
      <c r="F229" s="7" t="n"/>
      <c r="G229" s="7" t="n"/>
      <c r="H229" s="67" t="n"/>
      <c r="I229" s="76" t="n"/>
      <c r="J229" s="7" t="n"/>
      <c r="K229" s="7" t="n"/>
      <c r="L229" s="65" t="n"/>
      <c r="M229" s="7" t="n"/>
      <c r="N229" s="7" t="n"/>
      <c r="O229" s="78">
        <f>IF($A229="","",MAX(N(L229),INT(_xlfn.MAXIFS('Ordres de travail'!$R$5:$R$3004,'Ordres de travail'!$I$5:$I$3004,$A229,'Ordres de travail'!$AC$5:$AC$3004,"Clôturé"))))</f>
        <v/>
      </c>
      <c r="P229" s="78">
        <f>IF(OR($A229="",N(O229)=0),"",O229+H229)</f>
        <v/>
      </c>
      <c r="Q229" s="79">
        <f>IF(P229="","",P229-TODAY())</f>
        <v/>
      </c>
      <c r="R229" s="9">
        <f>IF($A229="","",IF(M229="Non","INACTIF",IF(Q229="","À DÉFINIR",IF(Q229&lt;0,"EN RETARD",IF(Q229&lt;='Paramètres'!$AA$12,"À PLANIFIER","OK")))))</f>
        <v/>
      </c>
      <c r="S229" s="9">
        <f>IF($A229="","",IF(SUM(COUNTIFS('Ordres de travail'!$I$5:$I$3004,$A229,'Ordres de travail'!$AC$5:$AC$3004,{"Demandé","Planifié","En cours","En attente pièces"}))&gt;0,"Oui","Non"))</f>
        <v/>
      </c>
      <c r="T229" s="68">
        <f>IF($A229="","",COUNTIFS('Ordres de travail'!$I$5:$I$3004,$A229,'Ordres de travail'!$AC$5:$AC$3004,"Clôturé",'Ordres de travail'!$R$5:$R$3004,"&gt;="&amp;'Paramètres'!$AA$6,'Ordres de travail'!$R$5:$R$3004,"&lt;"&amp;('Paramètres'!$AA$7+1)))</f>
        <v/>
      </c>
      <c r="U229" s="69">
        <f>IF(OR($A229="",N(H229)=0),"",IF(M229="Non",0,365/H229*I229))</f>
        <v/>
      </c>
    </row>
    <row r="230">
      <c r="A230" s="7" t="n"/>
      <c r="B230" s="7" t="n"/>
      <c r="C230" s="9">
        <f>IF(B230="","",IFERROR(INDEX('Équipements'!$B$5:$B$304,MATCH(B230,'Équipements'!$A$5:$A$304,0)),"Code inconnu"))</f>
        <v/>
      </c>
      <c r="D230" s="9">
        <f>IF(B230="","",IFERROR(INDEX('Équipements'!$D$5:$D$304,MATCH(B230,'Équipements'!$A$5:$A$304,0)),""))</f>
        <v/>
      </c>
      <c r="E230" s="7" t="n"/>
      <c r="F230" s="7" t="n"/>
      <c r="G230" s="7" t="n"/>
      <c r="H230" s="67" t="n"/>
      <c r="I230" s="76" t="n"/>
      <c r="J230" s="7" t="n"/>
      <c r="K230" s="7" t="n"/>
      <c r="L230" s="65" t="n"/>
      <c r="M230" s="7" t="n"/>
      <c r="N230" s="7" t="n"/>
      <c r="O230" s="78">
        <f>IF($A230="","",MAX(N(L230),INT(_xlfn.MAXIFS('Ordres de travail'!$R$5:$R$3004,'Ordres de travail'!$I$5:$I$3004,$A230,'Ordres de travail'!$AC$5:$AC$3004,"Clôturé"))))</f>
        <v/>
      </c>
      <c r="P230" s="78">
        <f>IF(OR($A230="",N(O230)=0),"",O230+H230)</f>
        <v/>
      </c>
      <c r="Q230" s="79">
        <f>IF(P230="","",P230-TODAY())</f>
        <v/>
      </c>
      <c r="R230" s="9">
        <f>IF($A230="","",IF(M230="Non","INACTIF",IF(Q230="","À DÉFINIR",IF(Q230&lt;0,"EN RETARD",IF(Q230&lt;='Paramètres'!$AA$12,"À PLANIFIER","OK")))))</f>
        <v/>
      </c>
      <c r="S230" s="9">
        <f>IF($A230="","",IF(SUM(COUNTIFS('Ordres de travail'!$I$5:$I$3004,$A230,'Ordres de travail'!$AC$5:$AC$3004,{"Demandé","Planifié","En cours","En attente pièces"}))&gt;0,"Oui","Non"))</f>
        <v/>
      </c>
      <c r="T230" s="68">
        <f>IF($A230="","",COUNTIFS('Ordres de travail'!$I$5:$I$3004,$A230,'Ordres de travail'!$AC$5:$AC$3004,"Clôturé",'Ordres de travail'!$R$5:$R$3004,"&gt;="&amp;'Paramètres'!$AA$6,'Ordres de travail'!$R$5:$R$3004,"&lt;"&amp;('Paramètres'!$AA$7+1)))</f>
        <v/>
      </c>
      <c r="U230" s="69">
        <f>IF(OR($A230="",N(H230)=0),"",IF(M230="Non",0,365/H230*I230))</f>
        <v/>
      </c>
    </row>
    <row r="231">
      <c r="A231" s="7" t="n"/>
      <c r="B231" s="7" t="n"/>
      <c r="C231" s="9">
        <f>IF(B231="","",IFERROR(INDEX('Équipements'!$B$5:$B$304,MATCH(B231,'Équipements'!$A$5:$A$304,0)),"Code inconnu"))</f>
        <v/>
      </c>
      <c r="D231" s="9">
        <f>IF(B231="","",IFERROR(INDEX('Équipements'!$D$5:$D$304,MATCH(B231,'Équipements'!$A$5:$A$304,0)),""))</f>
        <v/>
      </c>
      <c r="E231" s="7" t="n"/>
      <c r="F231" s="7" t="n"/>
      <c r="G231" s="7" t="n"/>
      <c r="H231" s="67" t="n"/>
      <c r="I231" s="76" t="n"/>
      <c r="J231" s="7" t="n"/>
      <c r="K231" s="7" t="n"/>
      <c r="L231" s="65" t="n"/>
      <c r="M231" s="7" t="n"/>
      <c r="N231" s="7" t="n"/>
      <c r="O231" s="78">
        <f>IF($A231="","",MAX(N(L231),INT(_xlfn.MAXIFS('Ordres de travail'!$R$5:$R$3004,'Ordres de travail'!$I$5:$I$3004,$A231,'Ordres de travail'!$AC$5:$AC$3004,"Clôturé"))))</f>
        <v/>
      </c>
      <c r="P231" s="78">
        <f>IF(OR($A231="",N(O231)=0),"",O231+H231)</f>
        <v/>
      </c>
      <c r="Q231" s="79">
        <f>IF(P231="","",P231-TODAY())</f>
        <v/>
      </c>
      <c r="R231" s="9">
        <f>IF($A231="","",IF(M231="Non","INACTIF",IF(Q231="","À DÉFINIR",IF(Q231&lt;0,"EN RETARD",IF(Q231&lt;='Paramètres'!$AA$12,"À PLANIFIER","OK")))))</f>
        <v/>
      </c>
      <c r="S231" s="9">
        <f>IF($A231="","",IF(SUM(COUNTIFS('Ordres de travail'!$I$5:$I$3004,$A231,'Ordres de travail'!$AC$5:$AC$3004,{"Demandé","Planifié","En cours","En attente pièces"}))&gt;0,"Oui","Non"))</f>
        <v/>
      </c>
      <c r="T231" s="68">
        <f>IF($A231="","",COUNTIFS('Ordres de travail'!$I$5:$I$3004,$A231,'Ordres de travail'!$AC$5:$AC$3004,"Clôturé",'Ordres de travail'!$R$5:$R$3004,"&gt;="&amp;'Paramètres'!$AA$6,'Ordres de travail'!$R$5:$R$3004,"&lt;"&amp;('Paramètres'!$AA$7+1)))</f>
        <v/>
      </c>
      <c r="U231" s="69">
        <f>IF(OR($A231="",N(H231)=0),"",IF(M231="Non",0,365/H231*I231))</f>
        <v/>
      </c>
    </row>
    <row r="232">
      <c r="A232" s="7" t="n"/>
      <c r="B232" s="7" t="n"/>
      <c r="C232" s="9">
        <f>IF(B232="","",IFERROR(INDEX('Équipements'!$B$5:$B$304,MATCH(B232,'Équipements'!$A$5:$A$304,0)),"Code inconnu"))</f>
        <v/>
      </c>
      <c r="D232" s="9">
        <f>IF(B232="","",IFERROR(INDEX('Équipements'!$D$5:$D$304,MATCH(B232,'Équipements'!$A$5:$A$304,0)),""))</f>
        <v/>
      </c>
      <c r="E232" s="7" t="n"/>
      <c r="F232" s="7" t="n"/>
      <c r="G232" s="7" t="n"/>
      <c r="H232" s="67" t="n"/>
      <c r="I232" s="76" t="n"/>
      <c r="J232" s="7" t="n"/>
      <c r="K232" s="7" t="n"/>
      <c r="L232" s="65" t="n"/>
      <c r="M232" s="7" t="n"/>
      <c r="N232" s="7" t="n"/>
      <c r="O232" s="78">
        <f>IF($A232="","",MAX(N(L232),INT(_xlfn.MAXIFS('Ordres de travail'!$R$5:$R$3004,'Ordres de travail'!$I$5:$I$3004,$A232,'Ordres de travail'!$AC$5:$AC$3004,"Clôturé"))))</f>
        <v/>
      </c>
      <c r="P232" s="78">
        <f>IF(OR($A232="",N(O232)=0),"",O232+H232)</f>
        <v/>
      </c>
      <c r="Q232" s="79">
        <f>IF(P232="","",P232-TODAY())</f>
        <v/>
      </c>
      <c r="R232" s="9">
        <f>IF($A232="","",IF(M232="Non","INACTIF",IF(Q232="","À DÉFINIR",IF(Q232&lt;0,"EN RETARD",IF(Q232&lt;='Paramètres'!$AA$12,"À PLANIFIER","OK")))))</f>
        <v/>
      </c>
      <c r="S232" s="9">
        <f>IF($A232="","",IF(SUM(COUNTIFS('Ordres de travail'!$I$5:$I$3004,$A232,'Ordres de travail'!$AC$5:$AC$3004,{"Demandé","Planifié","En cours","En attente pièces"}))&gt;0,"Oui","Non"))</f>
        <v/>
      </c>
      <c r="T232" s="68">
        <f>IF($A232="","",COUNTIFS('Ordres de travail'!$I$5:$I$3004,$A232,'Ordres de travail'!$AC$5:$AC$3004,"Clôturé",'Ordres de travail'!$R$5:$R$3004,"&gt;="&amp;'Paramètres'!$AA$6,'Ordres de travail'!$R$5:$R$3004,"&lt;"&amp;('Paramètres'!$AA$7+1)))</f>
        <v/>
      </c>
      <c r="U232" s="69">
        <f>IF(OR($A232="",N(H232)=0),"",IF(M232="Non",0,365/H232*I232))</f>
        <v/>
      </c>
    </row>
    <row r="233">
      <c r="A233" s="7" t="n"/>
      <c r="B233" s="7" t="n"/>
      <c r="C233" s="9">
        <f>IF(B233="","",IFERROR(INDEX('Équipements'!$B$5:$B$304,MATCH(B233,'Équipements'!$A$5:$A$304,0)),"Code inconnu"))</f>
        <v/>
      </c>
      <c r="D233" s="9">
        <f>IF(B233="","",IFERROR(INDEX('Équipements'!$D$5:$D$304,MATCH(B233,'Équipements'!$A$5:$A$304,0)),""))</f>
        <v/>
      </c>
      <c r="E233" s="7" t="n"/>
      <c r="F233" s="7" t="n"/>
      <c r="G233" s="7" t="n"/>
      <c r="H233" s="67" t="n"/>
      <c r="I233" s="76" t="n"/>
      <c r="J233" s="7" t="n"/>
      <c r="K233" s="7" t="n"/>
      <c r="L233" s="65" t="n"/>
      <c r="M233" s="7" t="n"/>
      <c r="N233" s="7" t="n"/>
      <c r="O233" s="78">
        <f>IF($A233="","",MAX(N(L233),INT(_xlfn.MAXIFS('Ordres de travail'!$R$5:$R$3004,'Ordres de travail'!$I$5:$I$3004,$A233,'Ordres de travail'!$AC$5:$AC$3004,"Clôturé"))))</f>
        <v/>
      </c>
      <c r="P233" s="78">
        <f>IF(OR($A233="",N(O233)=0),"",O233+H233)</f>
        <v/>
      </c>
      <c r="Q233" s="79">
        <f>IF(P233="","",P233-TODAY())</f>
        <v/>
      </c>
      <c r="R233" s="9">
        <f>IF($A233="","",IF(M233="Non","INACTIF",IF(Q233="","À DÉFINIR",IF(Q233&lt;0,"EN RETARD",IF(Q233&lt;='Paramètres'!$AA$12,"À PLANIFIER","OK")))))</f>
        <v/>
      </c>
      <c r="S233" s="9">
        <f>IF($A233="","",IF(SUM(COUNTIFS('Ordres de travail'!$I$5:$I$3004,$A233,'Ordres de travail'!$AC$5:$AC$3004,{"Demandé","Planifié","En cours","En attente pièces"}))&gt;0,"Oui","Non"))</f>
        <v/>
      </c>
      <c r="T233" s="68">
        <f>IF($A233="","",COUNTIFS('Ordres de travail'!$I$5:$I$3004,$A233,'Ordres de travail'!$AC$5:$AC$3004,"Clôturé",'Ordres de travail'!$R$5:$R$3004,"&gt;="&amp;'Paramètres'!$AA$6,'Ordres de travail'!$R$5:$R$3004,"&lt;"&amp;('Paramètres'!$AA$7+1)))</f>
        <v/>
      </c>
      <c r="U233" s="69">
        <f>IF(OR($A233="",N(H233)=0),"",IF(M233="Non",0,365/H233*I233))</f>
        <v/>
      </c>
    </row>
    <row r="234">
      <c r="A234" s="7" t="n"/>
      <c r="B234" s="7" t="n"/>
      <c r="C234" s="9">
        <f>IF(B234="","",IFERROR(INDEX('Équipements'!$B$5:$B$304,MATCH(B234,'Équipements'!$A$5:$A$304,0)),"Code inconnu"))</f>
        <v/>
      </c>
      <c r="D234" s="9">
        <f>IF(B234="","",IFERROR(INDEX('Équipements'!$D$5:$D$304,MATCH(B234,'Équipements'!$A$5:$A$304,0)),""))</f>
        <v/>
      </c>
      <c r="E234" s="7" t="n"/>
      <c r="F234" s="7" t="n"/>
      <c r="G234" s="7" t="n"/>
      <c r="H234" s="67" t="n"/>
      <c r="I234" s="76" t="n"/>
      <c r="J234" s="7" t="n"/>
      <c r="K234" s="7" t="n"/>
      <c r="L234" s="65" t="n"/>
      <c r="M234" s="7" t="n"/>
      <c r="N234" s="7" t="n"/>
      <c r="O234" s="78">
        <f>IF($A234="","",MAX(N(L234),INT(_xlfn.MAXIFS('Ordres de travail'!$R$5:$R$3004,'Ordres de travail'!$I$5:$I$3004,$A234,'Ordres de travail'!$AC$5:$AC$3004,"Clôturé"))))</f>
        <v/>
      </c>
      <c r="P234" s="78">
        <f>IF(OR($A234="",N(O234)=0),"",O234+H234)</f>
        <v/>
      </c>
      <c r="Q234" s="79">
        <f>IF(P234="","",P234-TODAY())</f>
        <v/>
      </c>
      <c r="R234" s="9">
        <f>IF($A234="","",IF(M234="Non","INACTIF",IF(Q234="","À DÉFINIR",IF(Q234&lt;0,"EN RETARD",IF(Q234&lt;='Paramètres'!$AA$12,"À PLANIFIER","OK")))))</f>
        <v/>
      </c>
      <c r="S234" s="9">
        <f>IF($A234="","",IF(SUM(COUNTIFS('Ordres de travail'!$I$5:$I$3004,$A234,'Ordres de travail'!$AC$5:$AC$3004,{"Demandé","Planifié","En cours","En attente pièces"}))&gt;0,"Oui","Non"))</f>
        <v/>
      </c>
      <c r="T234" s="68">
        <f>IF($A234="","",COUNTIFS('Ordres de travail'!$I$5:$I$3004,$A234,'Ordres de travail'!$AC$5:$AC$3004,"Clôturé",'Ordres de travail'!$R$5:$R$3004,"&gt;="&amp;'Paramètres'!$AA$6,'Ordres de travail'!$R$5:$R$3004,"&lt;"&amp;('Paramètres'!$AA$7+1)))</f>
        <v/>
      </c>
      <c r="U234" s="69">
        <f>IF(OR($A234="",N(H234)=0),"",IF(M234="Non",0,365/H234*I234))</f>
        <v/>
      </c>
    </row>
    <row r="235">
      <c r="A235" s="7" t="n"/>
      <c r="B235" s="7" t="n"/>
      <c r="C235" s="9">
        <f>IF(B235="","",IFERROR(INDEX('Équipements'!$B$5:$B$304,MATCH(B235,'Équipements'!$A$5:$A$304,0)),"Code inconnu"))</f>
        <v/>
      </c>
      <c r="D235" s="9">
        <f>IF(B235="","",IFERROR(INDEX('Équipements'!$D$5:$D$304,MATCH(B235,'Équipements'!$A$5:$A$304,0)),""))</f>
        <v/>
      </c>
      <c r="E235" s="7" t="n"/>
      <c r="F235" s="7" t="n"/>
      <c r="G235" s="7" t="n"/>
      <c r="H235" s="67" t="n"/>
      <c r="I235" s="76" t="n"/>
      <c r="J235" s="7" t="n"/>
      <c r="K235" s="7" t="n"/>
      <c r="L235" s="65" t="n"/>
      <c r="M235" s="7" t="n"/>
      <c r="N235" s="7" t="n"/>
      <c r="O235" s="78">
        <f>IF($A235="","",MAX(N(L235),INT(_xlfn.MAXIFS('Ordres de travail'!$R$5:$R$3004,'Ordres de travail'!$I$5:$I$3004,$A235,'Ordres de travail'!$AC$5:$AC$3004,"Clôturé"))))</f>
        <v/>
      </c>
      <c r="P235" s="78">
        <f>IF(OR($A235="",N(O235)=0),"",O235+H235)</f>
        <v/>
      </c>
      <c r="Q235" s="79">
        <f>IF(P235="","",P235-TODAY())</f>
        <v/>
      </c>
      <c r="R235" s="9">
        <f>IF($A235="","",IF(M235="Non","INACTIF",IF(Q235="","À DÉFINIR",IF(Q235&lt;0,"EN RETARD",IF(Q235&lt;='Paramètres'!$AA$12,"À PLANIFIER","OK")))))</f>
        <v/>
      </c>
      <c r="S235" s="9">
        <f>IF($A235="","",IF(SUM(COUNTIFS('Ordres de travail'!$I$5:$I$3004,$A235,'Ordres de travail'!$AC$5:$AC$3004,{"Demandé","Planifié","En cours","En attente pièces"}))&gt;0,"Oui","Non"))</f>
        <v/>
      </c>
      <c r="T235" s="68">
        <f>IF($A235="","",COUNTIFS('Ordres de travail'!$I$5:$I$3004,$A235,'Ordres de travail'!$AC$5:$AC$3004,"Clôturé",'Ordres de travail'!$R$5:$R$3004,"&gt;="&amp;'Paramètres'!$AA$6,'Ordres de travail'!$R$5:$R$3004,"&lt;"&amp;('Paramètres'!$AA$7+1)))</f>
        <v/>
      </c>
      <c r="U235" s="69">
        <f>IF(OR($A235="",N(H235)=0),"",IF(M235="Non",0,365/H235*I235))</f>
        <v/>
      </c>
    </row>
    <row r="236">
      <c r="A236" s="7" t="n"/>
      <c r="B236" s="7" t="n"/>
      <c r="C236" s="9">
        <f>IF(B236="","",IFERROR(INDEX('Équipements'!$B$5:$B$304,MATCH(B236,'Équipements'!$A$5:$A$304,0)),"Code inconnu"))</f>
        <v/>
      </c>
      <c r="D236" s="9">
        <f>IF(B236="","",IFERROR(INDEX('Équipements'!$D$5:$D$304,MATCH(B236,'Équipements'!$A$5:$A$304,0)),""))</f>
        <v/>
      </c>
      <c r="E236" s="7" t="n"/>
      <c r="F236" s="7" t="n"/>
      <c r="G236" s="7" t="n"/>
      <c r="H236" s="67" t="n"/>
      <c r="I236" s="76" t="n"/>
      <c r="J236" s="7" t="n"/>
      <c r="K236" s="7" t="n"/>
      <c r="L236" s="65" t="n"/>
      <c r="M236" s="7" t="n"/>
      <c r="N236" s="7" t="n"/>
      <c r="O236" s="78">
        <f>IF($A236="","",MAX(N(L236),INT(_xlfn.MAXIFS('Ordres de travail'!$R$5:$R$3004,'Ordres de travail'!$I$5:$I$3004,$A236,'Ordres de travail'!$AC$5:$AC$3004,"Clôturé"))))</f>
        <v/>
      </c>
      <c r="P236" s="78">
        <f>IF(OR($A236="",N(O236)=0),"",O236+H236)</f>
        <v/>
      </c>
      <c r="Q236" s="79">
        <f>IF(P236="","",P236-TODAY())</f>
        <v/>
      </c>
      <c r="R236" s="9">
        <f>IF($A236="","",IF(M236="Non","INACTIF",IF(Q236="","À DÉFINIR",IF(Q236&lt;0,"EN RETARD",IF(Q236&lt;='Paramètres'!$AA$12,"À PLANIFIER","OK")))))</f>
        <v/>
      </c>
      <c r="S236" s="9">
        <f>IF($A236="","",IF(SUM(COUNTIFS('Ordres de travail'!$I$5:$I$3004,$A236,'Ordres de travail'!$AC$5:$AC$3004,{"Demandé","Planifié","En cours","En attente pièces"}))&gt;0,"Oui","Non"))</f>
        <v/>
      </c>
      <c r="T236" s="68">
        <f>IF($A236="","",COUNTIFS('Ordres de travail'!$I$5:$I$3004,$A236,'Ordres de travail'!$AC$5:$AC$3004,"Clôturé",'Ordres de travail'!$R$5:$R$3004,"&gt;="&amp;'Paramètres'!$AA$6,'Ordres de travail'!$R$5:$R$3004,"&lt;"&amp;('Paramètres'!$AA$7+1)))</f>
        <v/>
      </c>
      <c r="U236" s="69">
        <f>IF(OR($A236="",N(H236)=0),"",IF(M236="Non",0,365/H236*I236))</f>
        <v/>
      </c>
    </row>
    <row r="237">
      <c r="A237" s="7" t="n"/>
      <c r="B237" s="7" t="n"/>
      <c r="C237" s="9">
        <f>IF(B237="","",IFERROR(INDEX('Équipements'!$B$5:$B$304,MATCH(B237,'Équipements'!$A$5:$A$304,0)),"Code inconnu"))</f>
        <v/>
      </c>
      <c r="D237" s="9">
        <f>IF(B237="","",IFERROR(INDEX('Équipements'!$D$5:$D$304,MATCH(B237,'Équipements'!$A$5:$A$304,0)),""))</f>
        <v/>
      </c>
      <c r="E237" s="7" t="n"/>
      <c r="F237" s="7" t="n"/>
      <c r="G237" s="7" t="n"/>
      <c r="H237" s="67" t="n"/>
      <c r="I237" s="76" t="n"/>
      <c r="J237" s="7" t="n"/>
      <c r="K237" s="7" t="n"/>
      <c r="L237" s="65" t="n"/>
      <c r="M237" s="7" t="n"/>
      <c r="N237" s="7" t="n"/>
      <c r="O237" s="78">
        <f>IF($A237="","",MAX(N(L237),INT(_xlfn.MAXIFS('Ordres de travail'!$R$5:$R$3004,'Ordres de travail'!$I$5:$I$3004,$A237,'Ordres de travail'!$AC$5:$AC$3004,"Clôturé"))))</f>
        <v/>
      </c>
      <c r="P237" s="78">
        <f>IF(OR($A237="",N(O237)=0),"",O237+H237)</f>
        <v/>
      </c>
      <c r="Q237" s="79">
        <f>IF(P237="","",P237-TODAY())</f>
        <v/>
      </c>
      <c r="R237" s="9">
        <f>IF($A237="","",IF(M237="Non","INACTIF",IF(Q237="","À DÉFINIR",IF(Q237&lt;0,"EN RETARD",IF(Q237&lt;='Paramètres'!$AA$12,"À PLANIFIER","OK")))))</f>
        <v/>
      </c>
      <c r="S237" s="9">
        <f>IF($A237="","",IF(SUM(COUNTIFS('Ordres de travail'!$I$5:$I$3004,$A237,'Ordres de travail'!$AC$5:$AC$3004,{"Demandé","Planifié","En cours","En attente pièces"}))&gt;0,"Oui","Non"))</f>
        <v/>
      </c>
      <c r="T237" s="68">
        <f>IF($A237="","",COUNTIFS('Ordres de travail'!$I$5:$I$3004,$A237,'Ordres de travail'!$AC$5:$AC$3004,"Clôturé",'Ordres de travail'!$R$5:$R$3004,"&gt;="&amp;'Paramètres'!$AA$6,'Ordres de travail'!$R$5:$R$3004,"&lt;"&amp;('Paramètres'!$AA$7+1)))</f>
        <v/>
      </c>
      <c r="U237" s="69">
        <f>IF(OR($A237="",N(H237)=0),"",IF(M237="Non",0,365/H237*I237))</f>
        <v/>
      </c>
    </row>
    <row r="238">
      <c r="A238" s="7" t="n"/>
      <c r="B238" s="7" t="n"/>
      <c r="C238" s="9">
        <f>IF(B238="","",IFERROR(INDEX('Équipements'!$B$5:$B$304,MATCH(B238,'Équipements'!$A$5:$A$304,0)),"Code inconnu"))</f>
        <v/>
      </c>
      <c r="D238" s="9">
        <f>IF(B238="","",IFERROR(INDEX('Équipements'!$D$5:$D$304,MATCH(B238,'Équipements'!$A$5:$A$304,0)),""))</f>
        <v/>
      </c>
      <c r="E238" s="7" t="n"/>
      <c r="F238" s="7" t="n"/>
      <c r="G238" s="7" t="n"/>
      <c r="H238" s="67" t="n"/>
      <c r="I238" s="76" t="n"/>
      <c r="J238" s="7" t="n"/>
      <c r="K238" s="7" t="n"/>
      <c r="L238" s="65" t="n"/>
      <c r="M238" s="7" t="n"/>
      <c r="N238" s="7" t="n"/>
      <c r="O238" s="78">
        <f>IF($A238="","",MAX(N(L238),INT(_xlfn.MAXIFS('Ordres de travail'!$R$5:$R$3004,'Ordres de travail'!$I$5:$I$3004,$A238,'Ordres de travail'!$AC$5:$AC$3004,"Clôturé"))))</f>
        <v/>
      </c>
      <c r="P238" s="78">
        <f>IF(OR($A238="",N(O238)=0),"",O238+H238)</f>
        <v/>
      </c>
      <c r="Q238" s="79">
        <f>IF(P238="","",P238-TODAY())</f>
        <v/>
      </c>
      <c r="R238" s="9">
        <f>IF($A238="","",IF(M238="Non","INACTIF",IF(Q238="","À DÉFINIR",IF(Q238&lt;0,"EN RETARD",IF(Q238&lt;='Paramètres'!$AA$12,"À PLANIFIER","OK")))))</f>
        <v/>
      </c>
      <c r="S238" s="9">
        <f>IF($A238="","",IF(SUM(COUNTIFS('Ordres de travail'!$I$5:$I$3004,$A238,'Ordres de travail'!$AC$5:$AC$3004,{"Demandé","Planifié","En cours","En attente pièces"}))&gt;0,"Oui","Non"))</f>
        <v/>
      </c>
      <c r="T238" s="68">
        <f>IF($A238="","",COUNTIFS('Ordres de travail'!$I$5:$I$3004,$A238,'Ordres de travail'!$AC$5:$AC$3004,"Clôturé",'Ordres de travail'!$R$5:$R$3004,"&gt;="&amp;'Paramètres'!$AA$6,'Ordres de travail'!$R$5:$R$3004,"&lt;"&amp;('Paramètres'!$AA$7+1)))</f>
        <v/>
      </c>
      <c r="U238" s="69">
        <f>IF(OR($A238="",N(H238)=0),"",IF(M238="Non",0,365/H238*I238))</f>
        <v/>
      </c>
    </row>
    <row r="239">
      <c r="A239" s="7" t="n"/>
      <c r="B239" s="7" t="n"/>
      <c r="C239" s="9">
        <f>IF(B239="","",IFERROR(INDEX('Équipements'!$B$5:$B$304,MATCH(B239,'Équipements'!$A$5:$A$304,0)),"Code inconnu"))</f>
        <v/>
      </c>
      <c r="D239" s="9">
        <f>IF(B239="","",IFERROR(INDEX('Équipements'!$D$5:$D$304,MATCH(B239,'Équipements'!$A$5:$A$304,0)),""))</f>
        <v/>
      </c>
      <c r="E239" s="7" t="n"/>
      <c r="F239" s="7" t="n"/>
      <c r="G239" s="7" t="n"/>
      <c r="H239" s="67" t="n"/>
      <c r="I239" s="76" t="n"/>
      <c r="J239" s="7" t="n"/>
      <c r="K239" s="7" t="n"/>
      <c r="L239" s="65" t="n"/>
      <c r="M239" s="7" t="n"/>
      <c r="N239" s="7" t="n"/>
      <c r="O239" s="78">
        <f>IF($A239="","",MAX(N(L239),INT(_xlfn.MAXIFS('Ordres de travail'!$R$5:$R$3004,'Ordres de travail'!$I$5:$I$3004,$A239,'Ordres de travail'!$AC$5:$AC$3004,"Clôturé"))))</f>
        <v/>
      </c>
      <c r="P239" s="78">
        <f>IF(OR($A239="",N(O239)=0),"",O239+H239)</f>
        <v/>
      </c>
      <c r="Q239" s="79">
        <f>IF(P239="","",P239-TODAY())</f>
        <v/>
      </c>
      <c r="R239" s="9">
        <f>IF($A239="","",IF(M239="Non","INACTIF",IF(Q239="","À DÉFINIR",IF(Q239&lt;0,"EN RETARD",IF(Q239&lt;='Paramètres'!$AA$12,"À PLANIFIER","OK")))))</f>
        <v/>
      </c>
      <c r="S239" s="9">
        <f>IF($A239="","",IF(SUM(COUNTIFS('Ordres de travail'!$I$5:$I$3004,$A239,'Ordres de travail'!$AC$5:$AC$3004,{"Demandé","Planifié","En cours","En attente pièces"}))&gt;0,"Oui","Non"))</f>
        <v/>
      </c>
      <c r="T239" s="68">
        <f>IF($A239="","",COUNTIFS('Ordres de travail'!$I$5:$I$3004,$A239,'Ordres de travail'!$AC$5:$AC$3004,"Clôturé",'Ordres de travail'!$R$5:$R$3004,"&gt;="&amp;'Paramètres'!$AA$6,'Ordres de travail'!$R$5:$R$3004,"&lt;"&amp;('Paramètres'!$AA$7+1)))</f>
        <v/>
      </c>
      <c r="U239" s="69">
        <f>IF(OR($A239="",N(H239)=0),"",IF(M239="Non",0,365/H239*I239))</f>
        <v/>
      </c>
    </row>
    <row r="240">
      <c r="A240" s="7" t="n"/>
      <c r="B240" s="7" t="n"/>
      <c r="C240" s="9">
        <f>IF(B240="","",IFERROR(INDEX('Équipements'!$B$5:$B$304,MATCH(B240,'Équipements'!$A$5:$A$304,0)),"Code inconnu"))</f>
        <v/>
      </c>
      <c r="D240" s="9">
        <f>IF(B240="","",IFERROR(INDEX('Équipements'!$D$5:$D$304,MATCH(B240,'Équipements'!$A$5:$A$304,0)),""))</f>
        <v/>
      </c>
      <c r="E240" s="7" t="n"/>
      <c r="F240" s="7" t="n"/>
      <c r="G240" s="7" t="n"/>
      <c r="H240" s="67" t="n"/>
      <c r="I240" s="76" t="n"/>
      <c r="J240" s="7" t="n"/>
      <c r="K240" s="7" t="n"/>
      <c r="L240" s="65" t="n"/>
      <c r="M240" s="7" t="n"/>
      <c r="N240" s="7" t="n"/>
      <c r="O240" s="78">
        <f>IF($A240="","",MAX(N(L240),INT(_xlfn.MAXIFS('Ordres de travail'!$R$5:$R$3004,'Ordres de travail'!$I$5:$I$3004,$A240,'Ordres de travail'!$AC$5:$AC$3004,"Clôturé"))))</f>
        <v/>
      </c>
      <c r="P240" s="78">
        <f>IF(OR($A240="",N(O240)=0),"",O240+H240)</f>
        <v/>
      </c>
      <c r="Q240" s="79">
        <f>IF(P240="","",P240-TODAY())</f>
        <v/>
      </c>
      <c r="R240" s="9">
        <f>IF($A240="","",IF(M240="Non","INACTIF",IF(Q240="","À DÉFINIR",IF(Q240&lt;0,"EN RETARD",IF(Q240&lt;='Paramètres'!$AA$12,"À PLANIFIER","OK")))))</f>
        <v/>
      </c>
      <c r="S240" s="9">
        <f>IF($A240="","",IF(SUM(COUNTIFS('Ordres de travail'!$I$5:$I$3004,$A240,'Ordres de travail'!$AC$5:$AC$3004,{"Demandé","Planifié","En cours","En attente pièces"}))&gt;0,"Oui","Non"))</f>
        <v/>
      </c>
      <c r="T240" s="68">
        <f>IF($A240="","",COUNTIFS('Ordres de travail'!$I$5:$I$3004,$A240,'Ordres de travail'!$AC$5:$AC$3004,"Clôturé",'Ordres de travail'!$R$5:$R$3004,"&gt;="&amp;'Paramètres'!$AA$6,'Ordres de travail'!$R$5:$R$3004,"&lt;"&amp;('Paramètres'!$AA$7+1)))</f>
        <v/>
      </c>
      <c r="U240" s="69">
        <f>IF(OR($A240="",N(H240)=0),"",IF(M240="Non",0,365/H240*I240))</f>
        <v/>
      </c>
    </row>
    <row r="241">
      <c r="A241" s="7" t="n"/>
      <c r="B241" s="7" t="n"/>
      <c r="C241" s="9">
        <f>IF(B241="","",IFERROR(INDEX('Équipements'!$B$5:$B$304,MATCH(B241,'Équipements'!$A$5:$A$304,0)),"Code inconnu"))</f>
        <v/>
      </c>
      <c r="D241" s="9">
        <f>IF(B241="","",IFERROR(INDEX('Équipements'!$D$5:$D$304,MATCH(B241,'Équipements'!$A$5:$A$304,0)),""))</f>
        <v/>
      </c>
      <c r="E241" s="7" t="n"/>
      <c r="F241" s="7" t="n"/>
      <c r="G241" s="7" t="n"/>
      <c r="H241" s="67" t="n"/>
      <c r="I241" s="76" t="n"/>
      <c r="J241" s="7" t="n"/>
      <c r="K241" s="7" t="n"/>
      <c r="L241" s="65" t="n"/>
      <c r="M241" s="7" t="n"/>
      <c r="N241" s="7" t="n"/>
      <c r="O241" s="78">
        <f>IF($A241="","",MAX(N(L241),INT(_xlfn.MAXIFS('Ordres de travail'!$R$5:$R$3004,'Ordres de travail'!$I$5:$I$3004,$A241,'Ordres de travail'!$AC$5:$AC$3004,"Clôturé"))))</f>
        <v/>
      </c>
      <c r="P241" s="78">
        <f>IF(OR($A241="",N(O241)=0),"",O241+H241)</f>
        <v/>
      </c>
      <c r="Q241" s="79">
        <f>IF(P241="","",P241-TODAY())</f>
        <v/>
      </c>
      <c r="R241" s="9">
        <f>IF($A241="","",IF(M241="Non","INACTIF",IF(Q241="","À DÉFINIR",IF(Q241&lt;0,"EN RETARD",IF(Q241&lt;='Paramètres'!$AA$12,"À PLANIFIER","OK")))))</f>
        <v/>
      </c>
      <c r="S241" s="9">
        <f>IF($A241="","",IF(SUM(COUNTIFS('Ordres de travail'!$I$5:$I$3004,$A241,'Ordres de travail'!$AC$5:$AC$3004,{"Demandé","Planifié","En cours","En attente pièces"}))&gt;0,"Oui","Non"))</f>
        <v/>
      </c>
      <c r="T241" s="68">
        <f>IF($A241="","",COUNTIFS('Ordres de travail'!$I$5:$I$3004,$A241,'Ordres de travail'!$AC$5:$AC$3004,"Clôturé",'Ordres de travail'!$R$5:$R$3004,"&gt;="&amp;'Paramètres'!$AA$6,'Ordres de travail'!$R$5:$R$3004,"&lt;"&amp;('Paramètres'!$AA$7+1)))</f>
        <v/>
      </c>
      <c r="U241" s="69">
        <f>IF(OR($A241="",N(H241)=0),"",IF(M241="Non",0,365/H241*I241))</f>
        <v/>
      </c>
    </row>
    <row r="242">
      <c r="A242" s="7" t="n"/>
      <c r="B242" s="7" t="n"/>
      <c r="C242" s="9">
        <f>IF(B242="","",IFERROR(INDEX('Équipements'!$B$5:$B$304,MATCH(B242,'Équipements'!$A$5:$A$304,0)),"Code inconnu"))</f>
        <v/>
      </c>
      <c r="D242" s="9">
        <f>IF(B242="","",IFERROR(INDEX('Équipements'!$D$5:$D$304,MATCH(B242,'Équipements'!$A$5:$A$304,0)),""))</f>
        <v/>
      </c>
      <c r="E242" s="7" t="n"/>
      <c r="F242" s="7" t="n"/>
      <c r="G242" s="7" t="n"/>
      <c r="H242" s="67" t="n"/>
      <c r="I242" s="76" t="n"/>
      <c r="J242" s="7" t="n"/>
      <c r="K242" s="7" t="n"/>
      <c r="L242" s="65" t="n"/>
      <c r="M242" s="7" t="n"/>
      <c r="N242" s="7" t="n"/>
      <c r="O242" s="78">
        <f>IF($A242="","",MAX(N(L242),INT(_xlfn.MAXIFS('Ordres de travail'!$R$5:$R$3004,'Ordres de travail'!$I$5:$I$3004,$A242,'Ordres de travail'!$AC$5:$AC$3004,"Clôturé"))))</f>
        <v/>
      </c>
      <c r="P242" s="78">
        <f>IF(OR($A242="",N(O242)=0),"",O242+H242)</f>
        <v/>
      </c>
      <c r="Q242" s="79">
        <f>IF(P242="","",P242-TODAY())</f>
        <v/>
      </c>
      <c r="R242" s="9">
        <f>IF($A242="","",IF(M242="Non","INACTIF",IF(Q242="","À DÉFINIR",IF(Q242&lt;0,"EN RETARD",IF(Q242&lt;='Paramètres'!$AA$12,"À PLANIFIER","OK")))))</f>
        <v/>
      </c>
      <c r="S242" s="9">
        <f>IF($A242="","",IF(SUM(COUNTIFS('Ordres de travail'!$I$5:$I$3004,$A242,'Ordres de travail'!$AC$5:$AC$3004,{"Demandé","Planifié","En cours","En attente pièces"}))&gt;0,"Oui","Non"))</f>
        <v/>
      </c>
      <c r="T242" s="68">
        <f>IF($A242="","",COUNTIFS('Ordres de travail'!$I$5:$I$3004,$A242,'Ordres de travail'!$AC$5:$AC$3004,"Clôturé",'Ordres de travail'!$R$5:$R$3004,"&gt;="&amp;'Paramètres'!$AA$6,'Ordres de travail'!$R$5:$R$3004,"&lt;"&amp;('Paramètres'!$AA$7+1)))</f>
        <v/>
      </c>
      <c r="U242" s="69">
        <f>IF(OR($A242="",N(H242)=0),"",IF(M242="Non",0,365/H242*I242))</f>
        <v/>
      </c>
    </row>
    <row r="243">
      <c r="A243" s="7" t="n"/>
      <c r="B243" s="7" t="n"/>
      <c r="C243" s="9">
        <f>IF(B243="","",IFERROR(INDEX('Équipements'!$B$5:$B$304,MATCH(B243,'Équipements'!$A$5:$A$304,0)),"Code inconnu"))</f>
        <v/>
      </c>
      <c r="D243" s="9">
        <f>IF(B243="","",IFERROR(INDEX('Équipements'!$D$5:$D$304,MATCH(B243,'Équipements'!$A$5:$A$304,0)),""))</f>
        <v/>
      </c>
      <c r="E243" s="7" t="n"/>
      <c r="F243" s="7" t="n"/>
      <c r="G243" s="7" t="n"/>
      <c r="H243" s="67" t="n"/>
      <c r="I243" s="76" t="n"/>
      <c r="J243" s="7" t="n"/>
      <c r="K243" s="7" t="n"/>
      <c r="L243" s="65" t="n"/>
      <c r="M243" s="7" t="n"/>
      <c r="N243" s="7" t="n"/>
      <c r="O243" s="78">
        <f>IF($A243="","",MAX(N(L243),INT(_xlfn.MAXIFS('Ordres de travail'!$R$5:$R$3004,'Ordres de travail'!$I$5:$I$3004,$A243,'Ordres de travail'!$AC$5:$AC$3004,"Clôturé"))))</f>
        <v/>
      </c>
      <c r="P243" s="78">
        <f>IF(OR($A243="",N(O243)=0),"",O243+H243)</f>
        <v/>
      </c>
      <c r="Q243" s="79">
        <f>IF(P243="","",P243-TODAY())</f>
        <v/>
      </c>
      <c r="R243" s="9">
        <f>IF($A243="","",IF(M243="Non","INACTIF",IF(Q243="","À DÉFINIR",IF(Q243&lt;0,"EN RETARD",IF(Q243&lt;='Paramètres'!$AA$12,"À PLANIFIER","OK")))))</f>
        <v/>
      </c>
      <c r="S243" s="9">
        <f>IF($A243="","",IF(SUM(COUNTIFS('Ordres de travail'!$I$5:$I$3004,$A243,'Ordres de travail'!$AC$5:$AC$3004,{"Demandé","Planifié","En cours","En attente pièces"}))&gt;0,"Oui","Non"))</f>
        <v/>
      </c>
      <c r="T243" s="68">
        <f>IF($A243="","",COUNTIFS('Ordres de travail'!$I$5:$I$3004,$A243,'Ordres de travail'!$AC$5:$AC$3004,"Clôturé",'Ordres de travail'!$R$5:$R$3004,"&gt;="&amp;'Paramètres'!$AA$6,'Ordres de travail'!$R$5:$R$3004,"&lt;"&amp;('Paramètres'!$AA$7+1)))</f>
        <v/>
      </c>
      <c r="U243" s="69">
        <f>IF(OR($A243="",N(H243)=0),"",IF(M243="Non",0,365/H243*I243))</f>
        <v/>
      </c>
    </row>
    <row r="244">
      <c r="A244" s="7" t="n"/>
      <c r="B244" s="7" t="n"/>
      <c r="C244" s="9">
        <f>IF(B244="","",IFERROR(INDEX('Équipements'!$B$5:$B$304,MATCH(B244,'Équipements'!$A$5:$A$304,0)),"Code inconnu"))</f>
        <v/>
      </c>
      <c r="D244" s="9">
        <f>IF(B244="","",IFERROR(INDEX('Équipements'!$D$5:$D$304,MATCH(B244,'Équipements'!$A$5:$A$304,0)),""))</f>
        <v/>
      </c>
      <c r="E244" s="7" t="n"/>
      <c r="F244" s="7" t="n"/>
      <c r="G244" s="7" t="n"/>
      <c r="H244" s="67" t="n"/>
      <c r="I244" s="76" t="n"/>
      <c r="J244" s="7" t="n"/>
      <c r="K244" s="7" t="n"/>
      <c r="L244" s="65" t="n"/>
      <c r="M244" s="7" t="n"/>
      <c r="N244" s="7" t="n"/>
      <c r="O244" s="78">
        <f>IF($A244="","",MAX(N(L244),INT(_xlfn.MAXIFS('Ordres de travail'!$R$5:$R$3004,'Ordres de travail'!$I$5:$I$3004,$A244,'Ordres de travail'!$AC$5:$AC$3004,"Clôturé"))))</f>
        <v/>
      </c>
      <c r="P244" s="78">
        <f>IF(OR($A244="",N(O244)=0),"",O244+H244)</f>
        <v/>
      </c>
      <c r="Q244" s="79">
        <f>IF(P244="","",P244-TODAY())</f>
        <v/>
      </c>
      <c r="R244" s="9">
        <f>IF($A244="","",IF(M244="Non","INACTIF",IF(Q244="","À DÉFINIR",IF(Q244&lt;0,"EN RETARD",IF(Q244&lt;='Paramètres'!$AA$12,"À PLANIFIER","OK")))))</f>
        <v/>
      </c>
      <c r="S244" s="9">
        <f>IF($A244="","",IF(SUM(COUNTIFS('Ordres de travail'!$I$5:$I$3004,$A244,'Ordres de travail'!$AC$5:$AC$3004,{"Demandé","Planifié","En cours","En attente pièces"}))&gt;0,"Oui","Non"))</f>
        <v/>
      </c>
      <c r="T244" s="68">
        <f>IF($A244="","",COUNTIFS('Ordres de travail'!$I$5:$I$3004,$A244,'Ordres de travail'!$AC$5:$AC$3004,"Clôturé",'Ordres de travail'!$R$5:$R$3004,"&gt;="&amp;'Paramètres'!$AA$6,'Ordres de travail'!$R$5:$R$3004,"&lt;"&amp;('Paramètres'!$AA$7+1)))</f>
        <v/>
      </c>
      <c r="U244" s="69">
        <f>IF(OR($A244="",N(H244)=0),"",IF(M244="Non",0,365/H244*I244))</f>
        <v/>
      </c>
    </row>
    <row r="245">
      <c r="A245" s="7" t="n"/>
      <c r="B245" s="7" t="n"/>
      <c r="C245" s="9">
        <f>IF(B245="","",IFERROR(INDEX('Équipements'!$B$5:$B$304,MATCH(B245,'Équipements'!$A$5:$A$304,0)),"Code inconnu"))</f>
        <v/>
      </c>
      <c r="D245" s="9">
        <f>IF(B245="","",IFERROR(INDEX('Équipements'!$D$5:$D$304,MATCH(B245,'Équipements'!$A$5:$A$304,0)),""))</f>
        <v/>
      </c>
      <c r="E245" s="7" t="n"/>
      <c r="F245" s="7" t="n"/>
      <c r="G245" s="7" t="n"/>
      <c r="H245" s="67" t="n"/>
      <c r="I245" s="76" t="n"/>
      <c r="J245" s="7" t="n"/>
      <c r="K245" s="7" t="n"/>
      <c r="L245" s="65" t="n"/>
      <c r="M245" s="7" t="n"/>
      <c r="N245" s="7" t="n"/>
      <c r="O245" s="78">
        <f>IF($A245="","",MAX(N(L245),INT(_xlfn.MAXIFS('Ordres de travail'!$R$5:$R$3004,'Ordres de travail'!$I$5:$I$3004,$A245,'Ordres de travail'!$AC$5:$AC$3004,"Clôturé"))))</f>
        <v/>
      </c>
      <c r="P245" s="78">
        <f>IF(OR($A245="",N(O245)=0),"",O245+H245)</f>
        <v/>
      </c>
      <c r="Q245" s="79">
        <f>IF(P245="","",P245-TODAY())</f>
        <v/>
      </c>
      <c r="R245" s="9">
        <f>IF($A245="","",IF(M245="Non","INACTIF",IF(Q245="","À DÉFINIR",IF(Q245&lt;0,"EN RETARD",IF(Q245&lt;='Paramètres'!$AA$12,"À PLANIFIER","OK")))))</f>
        <v/>
      </c>
      <c r="S245" s="9">
        <f>IF($A245="","",IF(SUM(COUNTIFS('Ordres de travail'!$I$5:$I$3004,$A245,'Ordres de travail'!$AC$5:$AC$3004,{"Demandé","Planifié","En cours","En attente pièces"}))&gt;0,"Oui","Non"))</f>
        <v/>
      </c>
      <c r="T245" s="68">
        <f>IF($A245="","",COUNTIFS('Ordres de travail'!$I$5:$I$3004,$A245,'Ordres de travail'!$AC$5:$AC$3004,"Clôturé",'Ordres de travail'!$R$5:$R$3004,"&gt;="&amp;'Paramètres'!$AA$6,'Ordres de travail'!$R$5:$R$3004,"&lt;"&amp;('Paramètres'!$AA$7+1)))</f>
        <v/>
      </c>
      <c r="U245" s="69">
        <f>IF(OR($A245="",N(H245)=0),"",IF(M245="Non",0,365/H245*I245))</f>
        <v/>
      </c>
    </row>
    <row r="246">
      <c r="A246" s="7" t="n"/>
      <c r="B246" s="7" t="n"/>
      <c r="C246" s="9">
        <f>IF(B246="","",IFERROR(INDEX('Équipements'!$B$5:$B$304,MATCH(B246,'Équipements'!$A$5:$A$304,0)),"Code inconnu"))</f>
        <v/>
      </c>
      <c r="D246" s="9">
        <f>IF(B246="","",IFERROR(INDEX('Équipements'!$D$5:$D$304,MATCH(B246,'Équipements'!$A$5:$A$304,0)),""))</f>
        <v/>
      </c>
      <c r="E246" s="7" t="n"/>
      <c r="F246" s="7" t="n"/>
      <c r="G246" s="7" t="n"/>
      <c r="H246" s="67" t="n"/>
      <c r="I246" s="76" t="n"/>
      <c r="J246" s="7" t="n"/>
      <c r="K246" s="7" t="n"/>
      <c r="L246" s="65" t="n"/>
      <c r="M246" s="7" t="n"/>
      <c r="N246" s="7" t="n"/>
      <c r="O246" s="78">
        <f>IF($A246="","",MAX(N(L246),INT(_xlfn.MAXIFS('Ordres de travail'!$R$5:$R$3004,'Ordres de travail'!$I$5:$I$3004,$A246,'Ordres de travail'!$AC$5:$AC$3004,"Clôturé"))))</f>
        <v/>
      </c>
      <c r="P246" s="78">
        <f>IF(OR($A246="",N(O246)=0),"",O246+H246)</f>
        <v/>
      </c>
      <c r="Q246" s="79">
        <f>IF(P246="","",P246-TODAY())</f>
        <v/>
      </c>
      <c r="R246" s="9">
        <f>IF($A246="","",IF(M246="Non","INACTIF",IF(Q246="","À DÉFINIR",IF(Q246&lt;0,"EN RETARD",IF(Q246&lt;='Paramètres'!$AA$12,"À PLANIFIER","OK")))))</f>
        <v/>
      </c>
      <c r="S246" s="9">
        <f>IF($A246="","",IF(SUM(COUNTIFS('Ordres de travail'!$I$5:$I$3004,$A246,'Ordres de travail'!$AC$5:$AC$3004,{"Demandé","Planifié","En cours","En attente pièces"}))&gt;0,"Oui","Non"))</f>
        <v/>
      </c>
      <c r="T246" s="68">
        <f>IF($A246="","",COUNTIFS('Ordres de travail'!$I$5:$I$3004,$A246,'Ordres de travail'!$AC$5:$AC$3004,"Clôturé",'Ordres de travail'!$R$5:$R$3004,"&gt;="&amp;'Paramètres'!$AA$6,'Ordres de travail'!$R$5:$R$3004,"&lt;"&amp;('Paramètres'!$AA$7+1)))</f>
        <v/>
      </c>
      <c r="U246" s="69">
        <f>IF(OR($A246="",N(H246)=0),"",IF(M246="Non",0,365/H246*I246))</f>
        <v/>
      </c>
    </row>
    <row r="247">
      <c r="A247" s="7" t="n"/>
      <c r="B247" s="7" t="n"/>
      <c r="C247" s="9">
        <f>IF(B247="","",IFERROR(INDEX('Équipements'!$B$5:$B$304,MATCH(B247,'Équipements'!$A$5:$A$304,0)),"Code inconnu"))</f>
        <v/>
      </c>
      <c r="D247" s="9">
        <f>IF(B247="","",IFERROR(INDEX('Équipements'!$D$5:$D$304,MATCH(B247,'Équipements'!$A$5:$A$304,0)),""))</f>
        <v/>
      </c>
      <c r="E247" s="7" t="n"/>
      <c r="F247" s="7" t="n"/>
      <c r="G247" s="7" t="n"/>
      <c r="H247" s="67" t="n"/>
      <c r="I247" s="76" t="n"/>
      <c r="J247" s="7" t="n"/>
      <c r="K247" s="7" t="n"/>
      <c r="L247" s="65" t="n"/>
      <c r="M247" s="7" t="n"/>
      <c r="N247" s="7" t="n"/>
      <c r="O247" s="78">
        <f>IF($A247="","",MAX(N(L247),INT(_xlfn.MAXIFS('Ordres de travail'!$R$5:$R$3004,'Ordres de travail'!$I$5:$I$3004,$A247,'Ordres de travail'!$AC$5:$AC$3004,"Clôturé"))))</f>
        <v/>
      </c>
      <c r="P247" s="78">
        <f>IF(OR($A247="",N(O247)=0),"",O247+H247)</f>
        <v/>
      </c>
      <c r="Q247" s="79">
        <f>IF(P247="","",P247-TODAY())</f>
        <v/>
      </c>
      <c r="R247" s="9">
        <f>IF($A247="","",IF(M247="Non","INACTIF",IF(Q247="","À DÉFINIR",IF(Q247&lt;0,"EN RETARD",IF(Q247&lt;='Paramètres'!$AA$12,"À PLANIFIER","OK")))))</f>
        <v/>
      </c>
      <c r="S247" s="9">
        <f>IF($A247="","",IF(SUM(COUNTIFS('Ordres de travail'!$I$5:$I$3004,$A247,'Ordres de travail'!$AC$5:$AC$3004,{"Demandé","Planifié","En cours","En attente pièces"}))&gt;0,"Oui","Non"))</f>
        <v/>
      </c>
      <c r="T247" s="68">
        <f>IF($A247="","",COUNTIFS('Ordres de travail'!$I$5:$I$3004,$A247,'Ordres de travail'!$AC$5:$AC$3004,"Clôturé",'Ordres de travail'!$R$5:$R$3004,"&gt;="&amp;'Paramètres'!$AA$6,'Ordres de travail'!$R$5:$R$3004,"&lt;"&amp;('Paramètres'!$AA$7+1)))</f>
        <v/>
      </c>
      <c r="U247" s="69">
        <f>IF(OR($A247="",N(H247)=0),"",IF(M247="Non",0,365/H247*I247))</f>
        <v/>
      </c>
    </row>
    <row r="248">
      <c r="A248" s="7" t="n"/>
      <c r="B248" s="7" t="n"/>
      <c r="C248" s="9">
        <f>IF(B248="","",IFERROR(INDEX('Équipements'!$B$5:$B$304,MATCH(B248,'Équipements'!$A$5:$A$304,0)),"Code inconnu"))</f>
        <v/>
      </c>
      <c r="D248" s="9">
        <f>IF(B248="","",IFERROR(INDEX('Équipements'!$D$5:$D$304,MATCH(B248,'Équipements'!$A$5:$A$304,0)),""))</f>
        <v/>
      </c>
      <c r="E248" s="7" t="n"/>
      <c r="F248" s="7" t="n"/>
      <c r="G248" s="7" t="n"/>
      <c r="H248" s="67" t="n"/>
      <c r="I248" s="76" t="n"/>
      <c r="J248" s="7" t="n"/>
      <c r="K248" s="7" t="n"/>
      <c r="L248" s="65" t="n"/>
      <c r="M248" s="7" t="n"/>
      <c r="N248" s="7" t="n"/>
      <c r="O248" s="78">
        <f>IF($A248="","",MAX(N(L248),INT(_xlfn.MAXIFS('Ordres de travail'!$R$5:$R$3004,'Ordres de travail'!$I$5:$I$3004,$A248,'Ordres de travail'!$AC$5:$AC$3004,"Clôturé"))))</f>
        <v/>
      </c>
      <c r="P248" s="78">
        <f>IF(OR($A248="",N(O248)=0),"",O248+H248)</f>
        <v/>
      </c>
      <c r="Q248" s="79">
        <f>IF(P248="","",P248-TODAY())</f>
        <v/>
      </c>
      <c r="R248" s="9">
        <f>IF($A248="","",IF(M248="Non","INACTIF",IF(Q248="","À DÉFINIR",IF(Q248&lt;0,"EN RETARD",IF(Q248&lt;='Paramètres'!$AA$12,"À PLANIFIER","OK")))))</f>
        <v/>
      </c>
      <c r="S248" s="9">
        <f>IF($A248="","",IF(SUM(COUNTIFS('Ordres de travail'!$I$5:$I$3004,$A248,'Ordres de travail'!$AC$5:$AC$3004,{"Demandé","Planifié","En cours","En attente pièces"}))&gt;0,"Oui","Non"))</f>
        <v/>
      </c>
      <c r="T248" s="68">
        <f>IF($A248="","",COUNTIFS('Ordres de travail'!$I$5:$I$3004,$A248,'Ordres de travail'!$AC$5:$AC$3004,"Clôturé",'Ordres de travail'!$R$5:$R$3004,"&gt;="&amp;'Paramètres'!$AA$6,'Ordres de travail'!$R$5:$R$3004,"&lt;"&amp;('Paramètres'!$AA$7+1)))</f>
        <v/>
      </c>
      <c r="U248" s="69">
        <f>IF(OR($A248="",N(H248)=0),"",IF(M248="Non",0,365/H248*I248))</f>
        <v/>
      </c>
    </row>
    <row r="249">
      <c r="A249" s="7" t="n"/>
      <c r="B249" s="7" t="n"/>
      <c r="C249" s="9">
        <f>IF(B249="","",IFERROR(INDEX('Équipements'!$B$5:$B$304,MATCH(B249,'Équipements'!$A$5:$A$304,0)),"Code inconnu"))</f>
        <v/>
      </c>
      <c r="D249" s="9">
        <f>IF(B249="","",IFERROR(INDEX('Équipements'!$D$5:$D$304,MATCH(B249,'Équipements'!$A$5:$A$304,0)),""))</f>
        <v/>
      </c>
      <c r="E249" s="7" t="n"/>
      <c r="F249" s="7" t="n"/>
      <c r="G249" s="7" t="n"/>
      <c r="H249" s="67" t="n"/>
      <c r="I249" s="76" t="n"/>
      <c r="J249" s="7" t="n"/>
      <c r="K249" s="7" t="n"/>
      <c r="L249" s="65" t="n"/>
      <c r="M249" s="7" t="n"/>
      <c r="N249" s="7" t="n"/>
      <c r="O249" s="78">
        <f>IF($A249="","",MAX(N(L249),INT(_xlfn.MAXIFS('Ordres de travail'!$R$5:$R$3004,'Ordres de travail'!$I$5:$I$3004,$A249,'Ordres de travail'!$AC$5:$AC$3004,"Clôturé"))))</f>
        <v/>
      </c>
      <c r="P249" s="78">
        <f>IF(OR($A249="",N(O249)=0),"",O249+H249)</f>
        <v/>
      </c>
      <c r="Q249" s="79">
        <f>IF(P249="","",P249-TODAY())</f>
        <v/>
      </c>
      <c r="R249" s="9">
        <f>IF($A249="","",IF(M249="Non","INACTIF",IF(Q249="","À DÉFINIR",IF(Q249&lt;0,"EN RETARD",IF(Q249&lt;='Paramètres'!$AA$12,"À PLANIFIER","OK")))))</f>
        <v/>
      </c>
      <c r="S249" s="9">
        <f>IF($A249="","",IF(SUM(COUNTIFS('Ordres de travail'!$I$5:$I$3004,$A249,'Ordres de travail'!$AC$5:$AC$3004,{"Demandé","Planifié","En cours","En attente pièces"}))&gt;0,"Oui","Non"))</f>
        <v/>
      </c>
      <c r="T249" s="68">
        <f>IF($A249="","",COUNTIFS('Ordres de travail'!$I$5:$I$3004,$A249,'Ordres de travail'!$AC$5:$AC$3004,"Clôturé",'Ordres de travail'!$R$5:$R$3004,"&gt;="&amp;'Paramètres'!$AA$6,'Ordres de travail'!$R$5:$R$3004,"&lt;"&amp;('Paramètres'!$AA$7+1)))</f>
        <v/>
      </c>
      <c r="U249" s="69">
        <f>IF(OR($A249="",N(H249)=0),"",IF(M249="Non",0,365/H249*I249))</f>
        <v/>
      </c>
    </row>
    <row r="250">
      <c r="A250" s="7" t="n"/>
      <c r="B250" s="7" t="n"/>
      <c r="C250" s="9">
        <f>IF(B250="","",IFERROR(INDEX('Équipements'!$B$5:$B$304,MATCH(B250,'Équipements'!$A$5:$A$304,0)),"Code inconnu"))</f>
        <v/>
      </c>
      <c r="D250" s="9">
        <f>IF(B250="","",IFERROR(INDEX('Équipements'!$D$5:$D$304,MATCH(B250,'Équipements'!$A$5:$A$304,0)),""))</f>
        <v/>
      </c>
      <c r="E250" s="7" t="n"/>
      <c r="F250" s="7" t="n"/>
      <c r="G250" s="7" t="n"/>
      <c r="H250" s="67" t="n"/>
      <c r="I250" s="76" t="n"/>
      <c r="J250" s="7" t="n"/>
      <c r="K250" s="7" t="n"/>
      <c r="L250" s="65" t="n"/>
      <c r="M250" s="7" t="n"/>
      <c r="N250" s="7" t="n"/>
      <c r="O250" s="78">
        <f>IF($A250="","",MAX(N(L250),INT(_xlfn.MAXIFS('Ordres de travail'!$R$5:$R$3004,'Ordres de travail'!$I$5:$I$3004,$A250,'Ordres de travail'!$AC$5:$AC$3004,"Clôturé"))))</f>
        <v/>
      </c>
      <c r="P250" s="78">
        <f>IF(OR($A250="",N(O250)=0),"",O250+H250)</f>
        <v/>
      </c>
      <c r="Q250" s="79">
        <f>IF(P250="","",P250-TODAY())</f>
        <v/>
      </c>
      <c r="R250" s="9">
        <f>IF($A250="","",IF(M250="Non","INACTIF",IF(Q250="","À DÉFINIR",IF(Q250&lt;0,"EN RETARD",IF(Q250&lt;='Paramètres'!$AA$12,"À PLANIFIER","OK")))))</f>
        <v/>
      </c>
      <c r="S250" s="9">
        <f>IF($A250="","",IF(SUM(COUNTIFS('Ordres de travail'!$I$5:$I$3004,$A250,'Ordres de travail'!$AC$5:$AC$3004,{"Demandé","Planifié","En cours","En attente pièces"}))&gt;0,"Oui","Non"))</f>
        <v/>
      </c>
      <c r="T250" s="68">
        <f>IF($A250="","",COUNTIFS('Ordres de travail'!$I$5:$I$3004,$A250,'Ordres de travail'!$AC$5:$AC$3004,"Clôturé",'Ordres de travail'!$R$5:$R$3004,"&gt;="&amp;'Paramètres'!$AA$6,'Ordres de travail'!$R$5:$R$3004,"&lt;"&amp;('Paramètres'!$AA$7+1)))</f>
        <v/>
      </c>
      <c r="U250" s="69">
        <f>IF(OR($A250="",N(H250)=0),"",IF(M250="Non",0,365/H250*I250))</f>
        <v/>
      </c>
    </row>
    <row r="251">
      <c r="A251" s="7" t="n"/>
      <c r="B251" s="7" t="n"/>
      <c r="C251" s="9">
        <f>IF(B251="","",IFERROR(INDEX('Équipements'!$B$5:$B$304,MATCH(B251,'Équipements'!$A$5:$A$304,0)),"Code inconnu"))</f>
        <v/>
      </c>
      <c r="D251" s="9">
        <f>IF(B251="","",IFERROR(INDEX('Équipements'!$D$5:$D$304,MATCH(B251,'Équipements'!$A$5:$A$304,0)),""))</f>
        <v/>
      </c>
      <c r="E251" s="7" t="n"/>
      <c r="F251" s="7" t="n"/>
      <c r="G251" s="7" t="n"/>
      <c r="H251" s="67" t="n"/>
      <c r="I251" s="76" t="n"/>
      <c r="J251" s="7" t="n"/>
      <c r="K251" s="7" t="n"/>
      <c r="L251" s="65" t="n"/>
      <c r="M251" s="7" t="n"/>
      <c r="N251" s="7" t="n"/>
      <c r="O251" s="78">
        <f>IF($A251="","",MAX(N(L251),INT(_xlfn.MAXIFS('Ordres de travail'!$R$5:$R$3004,'Ordres de travail'!$I$5:$I$3004,$A251,'Ordres de travail'!$AC$5:$AC$3004,"Clôturé"))))</f>
        <v/>
      </c>
      <c r="P251" s="78">
        <f>IF(OR($A251="",N(O251)=0),"",O251+H251)</f>
        <v/>
      </c>
      <c r="Q251" s="79">
        <f>IF(P251="","",P251-TODAY())</f>
        <v/>
      </c>
      <c r="R251" s="9">
        <f>IF($A251="","",IF(M251="Non","INACTIF",IF(Q251="","À DÉFINIR",IF(Q251&lt;0,"EN RETARD",IF(Q251&lt;='Paramètres'!$AA$12,"À PLANIFIER","OK")))))</f>
        <v/>
      </c>
      <c r="S251" s="9">
        <f>IF($A251="","",IF(SUM(COUNTIFS('Ordres de travail'!$I$5:$I$3004,$A251,'Ordres de travail'!$AC$5:$AC$3004,{"Demandé","Planifié","En cours","En attente pièces"}))&gt;0,"Oui","Non"))</f>
        <v/>
      </c>
      <c r="T251" s="68">
        <f>IF($A251="","",COUNTIFS('Ordres de travail'!$I$5:$I$3004,$A251,'Ordres de travail'!$AC$5:$AC$3004,"Clôturé",'Ordres de travail'!$R$5:$R$3004,"&gt;="&amp;'Paramètres'!$AA$6,'Ordres de travail'!$R$5:$R$3004,"&lt;"&amp;('Paramètres'!$AA$7+1)))</f>
        <v/>
      </c>
      <c r="U251" s="69">
        <f>IF(OR($A251="",N(H251)=0),"",IF(M251="Non",0,365/H251*I251))</f>
        <v/>
      </c>
    </row>
    <row r="252">
      <c r="A252" s="7" t="n"/>
      <c r="B252" s="7" t="n"/>
      <c r="C252" s="9">
        <f>IF(B252="","",IFERROR(INDEX('Équipements'!$B$5:$B$304,MATCH(B252,'Équipements'!$A$5:$A$304,0)),"Code inconnu"))</f>
        <v/>
      </c>
      <c r="D252" s="9">
        <f>IF(B252="","",IFERROR(INDEX('Équipements'!$D$5:$D$304,MATCH(B252,'Équipements'!$A$5:$A$304,0)),""))</f>
        <v/>
      </c>
      <c r="E252" s="7" t="n"/>
      <c r="F252" s="7" t="n"/>
      <c r="G252" s="7" t="n"/>
      <c r="H252" s="67" t="n"/>
      <c r="I252" s="76" t="n"/>
      <c r="J252" s="7" t="n"/>
      <c r="K252" s="7" t="n"/>
      <c r="L252" s="65" t="n"/>
      <c r="M252" s="7" t="n"/>
      <c r="N252" s="7" t="n"/>
      <c r="O252" s="78">
        <f>IF($A252="","",MAX(N(L252),INT(_xlfn.MAXIFS('Ordres de travail'!$R$5:$R$3004,'Ordres de travail'!$I$5:$I$3004,$A252,'Ordres de travail'!$AC$5:$AC$3004,"Clôturé"))))</f>
        <v/>
      </c>
      <c r="P252" s="78">
        <f>IF(OR($A252="",N(O252)=0),"",O252+H252)</f>
        <v/>
      </c>
      <c r="Q252" s="79">
        <f>IF(P252="","",P252-TODAY())</f>
        <v/>
      </c>
      <c r="R252" s="9">
        <f>IF($A252="","",IF(M252="Non","INACTIF",IF(Q252="","À DÉFINIR",IF(Q252&lt;0,"EN RETARD",IF(Q252&lt;='Paramètres'!$AA$12,"À PLANIFIER","OK")))))</f>
        <v/>
      </c>
      <c r="S252" s="9">
        <f>IF($A252="","",IF(SUM(COUNTIFS('Ordres de travail'!$I$5:$I$3004,$A252,'Ordres de travail'!$AC$5:$AC$3004,{"Demandé","Planifié","En cours","En attente pièces"}))&gt;0,"Oui","Non"))</f>
        <v/>
      </c>
      <c r="T252" s="68">
        <f>IF($A252="","",COUNTIFS('Ordres de travail'!$I$5:$I$3004,$A252,'Ordres de travail'!$AC$5:$AC$3004,"Clôturé",'Ordres de travail'!$R$5:$R$3004,"&gt;="&amp;'Paramètres'!$AA$6,'Ordres de travail'!$R$5:$R$3004,"&lt;"&amp;('Paramètres'!$AA$7+1)))</f>
        <v/>
      </c>
      <c r="U252" s="69">
        <f>IF(OR($A252="",N(H252)=0),"",IF(M252="Non",0,365/H252*I252))</f>
        <v/>
      </c>
    </row>
    <row r="253">
      <c r="A253" s="7" t="n"/>
      <c r="B253" s="7" t="n"/>
      <c r="C253" s="9">
        <f>IF(B253="","",IFERROR(INDEX('Équipements'!$B$5:$B$304,MATCH(B253,'Équipements'!$A$5:$A$304,0)),"Code inconnu"))</f>
        <v/>
      </c>
      <c r="D253" s="9">
        <f>IF(B253="","",IFERROR(INDEX('Équipements'!$D$5:$D$304,MATCH(B253,'Équipements'!$A$5:$A$304,0)),""))</f>
        <v/>
      </c>
      <c r="E253" s="7" t="n"/>
      <c r="F253" s="7" t="n"/>
      <c r="G253" s="7" t="n"/>
      <c r="H253" s="67" t="n"/>
      <c r="I253" s="76" t="n"/>
      <c r="J253" s="7" t="n"/>
      <c r="K253" s="7" t="n"/>
      <c r="L253" s="65" t="n"/>
      <c r="M253" s="7" t="n"/>
      <c r="N253" s="7" t="n"/>
      <c r="O253" s="78">
        <f>IF($A253="","",MAX(N(L253),INT(_xlfn.MAXIFS('Ordres de travail'!$R$5:$R$3004,'Ordres de travail'!$I$5:$I$3004,$A253,'Ordres de travail'!$AC$5:$AC$3004,"Clôturé"))))</f>
        <v/>
      </c>
      <c r="P253" s="78">
        <f>IF(OR($A253="",N(O253)=0),"",O253+H253)</f>
        <v/>
      </c>
      <c r="Q253" s="79">
        <f>IF(P253="","",P253-TODAY())</f>
        <v/>
      </c>
      <c r="R253" s="9">
        <f>IF($A253="","",IF(M253="Non","INACTIF",IF(Q253="","À DÉFINIR",IF(Q253&lt;0,"EN RETARD",IF(Q253&lt;='Paramètres'!$AA$12,"À PLANIFIER","OK")))))</f>
        <v/>
      </c>
      <c r="S253" s="9">
        <f>IF($A253="","",IF(SUM(COUNTIFS('Ordres de travail'!$I$5:$I$3004,$A253,'Ordres de travail'!$AC$5:$AC$3004,{"Demandé","Planifié","En cours","En attente pièces"}))&gt;0,"Oui","Non"))</f>
        <v/>
      </c>
      <c r="T253" s="68">
        <f>IF($A253="","",COUNTIFS('Ordres de travail'!$I$5:$I$3004,$A253,'Ordres de travail'!$AC$5:$AC$3004,"Clôturé",'Ordres de travail'!$R$5:$R$3004,"&gt;="&amp;'Paramètres'!$AA$6,'Ordres de travail'!$R$5:$R$3004,"&lt;"&amp;('Paramètres'!$AA$7+1)))</f>
        <v/>
      </c>
      <c r="U253" s="69">
        <f>IF(OR($A253="",N(H253)=0),"",IF(M253="Non",0,365/H253*I253))</f>
        <v/>
      </c>
    </row>
    <row r="254">
      <c r="A254" s="7" t="n"/>
      <c r="B254" s="7" t="n"/>
      <c r="C254" s="9">
        <f>IF(B254="","",IFERROR(INDEX('Équipements'!$B$5:$B$304,MATCH(B254,'Équipements'!$A$5:$A$304,0)),"Code inconnu"))</f>
        <v/>
      </c>
      <c r="D254" s="9">
        <f>IF(B254="","",IFERROR(INDEX('Équipements'!$D$5:$D$304,MATCH(B254,'Équipements'!$A$5:$A$304,0)),""))</f>
        <v/>
      </c>
      <c r="E254" s="7" t="n"/>
      <c r="F254" s="7" t="n"/>
      <c r="G254" s="7" t="n"/>
      <c r="H254" s="67" t="n"/>
      <c r="I254" s="76" t="n"/>
      <c r="J254" s="7" t="n"/>
      <c r="K254" s="7" t="n"/>
      <c r="L254" s="65" t="n"/>
      <c r="M254" s="7" t="n"/>
      <c r="N254" s="7" t="n"/>
      <c r="O254" s="78">
        <f>IF($A254="","",MAX(N(L254),INT(_xlfn.MAXIFS('Ordres de travail'!$R$5:$R$3004,'Ordres de travail'!$I$5:$I$3004,$A254,'Ordres de travail'!$AC$5:$AC$3004,"Clôturé"))))</f>
        <v/>
      </c>
      <c r="P254" s="78">
        <f>IF(OR($A254="",N(O254)=0),"",O254+H254)</f>
        <v/>
      </c>
      <c r="Q254" s="79">
        <f>IF(P254="","",P254-TODAY())</f>
        <v/>
      </c>
      <c r="R254" s="9">
        <f>IF($A254="","",IF(M254="Non","INACTIF",IF(Q254="","À DÉFINIR",IF(Q254&lt;0,"EN RETARD",IF(Q254&lt;='Paramètres'!$AA$12,"À PLANIFIER","OK")))))</f>
        <v/>
      </c>
      <c r="S254" s="9">
        <f>IF($A254="","",IF(SUM(COUNTIFS('Ordres de travail'!$I$5:$I$3004,$A254,'Ordres de travail'!$AC$5:$AC$3004,{"Demandé","Planifié","En cours","En attente pièces"}))&gt;0,"Oui","Non"))</f>
        <v/>
      </c>
      <c r="T254" s="68">
        <f>IF($A254="","",COUNTIFS('Ordres de travail'!$I$5:$I$3004,$A254,'Ordres de travail'!$AC$5:$AC$3004,"Clôturé",'Ordres de travail'!$R$5:$R$3004,"&gt;="&amp;'Paramètres'!$AA$6,'Ordres de travail'!$R$5:$R$3004,"&lt;"&amp;('Paramètres'!$AA$7+1)))</f>
        <v/>
      </c>
      <c r="U254" s="69">
        <f>IF(OR($A254="",N(H254)=0),"",IF(M254="Non",0,365/H254*I254))</f>
        <v/>
      </c>
    </row>
    <row r="255">
      <c r="A255" s="7" t="n"/>
      <c r="B255" s="7" t="n"/>
      <c r="C255" s="9">
        <f>IF(B255="","",IFERROR(INDEX('Équipements'!$B$5:$B$304,MATCH(B255,'Équipements'!$A$5:$A$304,0)),"Code inconnu"))</f>
        <v/>
      </c>
      <c r="D255" s="9">
        <f>IF(B255="","",IFERROR(INDEX('Équipements'!$D$5:$D$304,MATCH(B255,'Équipements'!$A$5:$A$304,0)),""))</f>
        <v/>
      </c>
      <c r="E255" s="7" t="n"/>
      <c r="F255" s="7" t="n"/>
      <c r="G255" s="7" t="n"/>
      <c r="H255" s="67" t="n"/>
      <c r="I255" s="76" t="n"/>
      <c r="J255" s="7" t="n"/>
      <c r="K255" s="7" t="n"/>
      <c r="L255" s="65" t="n"/>
      <c r="M255" s="7" t="n"/>
      <c r="N255" s="7" t="n"/>
      <c r="O255" s="78">
        <f>IF($A255="","",MAX(N(L255),INT(_xlfn.MAXIFS('Ordres de travail'!$R$5:$R$3004,'Ordres de travail'!$I$5:$I$3004,$A255,'Ordres de travail'!$AC$5:$AC$3004,"Clôturé"))))</f>
        <v/>
      </c>
      <c r="P255" s="78">
        <f>IF(OR($A255="",N(O255)=0),"",O255+H255)</f>
        <v/>
      </c>
      <c r="Q255" s="79">
        <f>IF(P255="","",P255-TODAY())</f>
        <v/>
      </c>
      <c r="R255" s="9">
        <f>IF($A255="","",IF(M255="Non","INACTIF",IF(Q255="","À DÉFINIR",IF(Q255&lt;0,"EN RETARD",IF(Q255&lt;='Paramètres'!$AA$12,"À PLANIFIER","OK")))))</f>
        <v/>
      </c>
      <c r="S255" s="9">
        <f>IF($A255="","",IF(SUM(COUNTIFS('Ordres de travail'!$I$5:$I$3004,$A255,'Ordres de travail'!$AC$5:$AC$3004,{"Demandé","Planifié","En cours","En attente pièces"}))&gt;0,"Oui","Non"))</f>
        <v/>
      </c>
      <c r="T255" s="68">
        <f>IF($A255="","",COUNTIFS('Ordres de travail'!$I$5:$I$3004,$A255,'Ordres de travail'!$AC$5:$AC$3004,"Clôturé",'Ordres de travail'!$R$5:$R$3004,"&gt;="&amp;'Paramètres'!$AA$6,'Ordres de travail'!$R$5:$R$3004,"&lt;"&amp;('Paramètres'!$AA$7+1)))</f>
        <v/>
      </c>
      <c r="U255" s="69">
        <f>IF(OR($A255="",N(H255)=0),"",IF(M255="Non",0,365/H255*I255))</f>
        <v/>
      </c>
    </row>
    <row r="256">
      <c r="A256" s="7" t="n"/>
      <c r="B256" s="7" t="n"/>
      <c r="C256" s="9">
        <f>IF(B256="","",IFERROR(INDEX('Équipements'!$B$5:$B$304,MATCH(B256,'Équipements'!$A$5:$A$304,0)),"Code inconnu"))</f>
        <v/>
      </c>
      <c r="D256" s="9">
        <f>IF(B256="","",IFERROR(INDEX('Équipements'!$D$5:$D$304,MATCH(B256,'Équipements'!$A$5:$A$304,0)),""))</f>
        <v/>
      </c>
      <c r="E256" s="7" t="n"/>
      <c r="F256" s="7" t="n"/>
      <c r="G256" s="7" t="n"/>
      <c r="H256" s="67" t="n"/>
      <c r="I256" s="76" t="n"/>
      <c r="J256" s="7" t="n"/>
      <c r="K256" s="7" t="n"/>
      <c r="L256" s="65" t="n"/>
      <c r="M256" s="7" t="n"/>
      <c r="N256" s="7" t="n"/>
      <c r="O256" s="78">
        <f>IF($A256="","",MAX(N(L256),INT(_xlfn.MAXIFS('Ordres de travail'!$R$5:$R$3004,'Ordres de travail'!$I$5:$I$3004,$A256,'Ordres de travail'!$AC$5:$AC$3004,"Clôturé"))))</f>
        <v/>
      </c>
      <c r="P256" s="78">
        <f>IF(OR($A256="",N(O256)=0),"",O256+H256)</f>
        <v/>
      </c>
      <c r="Q256" s="79">
        <f>IF(P256="","",P256-TODAY())</f>
        <v/>
      </c>
      <c r="R256" s="9">
        <f>IF($A256="","",IF(M256="Non","INACTIF",IF(Q256="","À DÉFINIR",IF(Q256&lt;0,"EN RETARD",IF(Q256&lt;='Paramètres'!$AA$12,"À PLANIFIER","OK")))))</f>
        <v/>
      </c>
      <c r="S256" s="9">
        <f>IF($A256="","",IF(SUM(COUNTIFS('Ordres de travail'!$I$5:$I$3004,$A256,'Ordres de travail'!$AC$5:$AC$3004,{"Demandé","Planifié","En cours","En attente pièces"}))&gt;0,"Oui","Non"))</f>
        <v/>
      </c>
      <c r="T256" s="68">
        <f>IF($A256="","",COUNTIFS('Ordres de travail'!$I$5:$I$3004,$A256,'Ordres de travail'!$AC$5:$AC$3004,"Clôturé",'Ordres de travail'!$R$5:$R$3004,"&gt;="&amp;'Paramètres'!$AA$6,'Ordres de travail'!$R$5:$R$3004,"&lt;"&amp;('Paramètres'!$AA$7+1)))</f>
        <v/>
      </c>
      <c r="U256" s="69">
        <f>IF(OR($A256="",N(H256)=0),"",IF(M256="Non",0,365/H256*I256))</f>
        <v/>
      </c>
    </row>
    <row r="257">
      <c r="A257" s="7" t="n"/>
      <c r="B257" s="7" t="n"/>
      <c r="C257" s="9">
        <f>IF(B257="","",IFERROR(INDEX('Équipements'!$B$5:$B$304,MATCH(B257,'Équipements'!$A$5:$A$304,0)),"Code inconnu"))</f>
        <v/>
      </c>
      <c r="D257" s="9">
        <f>IF(B257="","",IFERROR(INDEX('Équipements'!$D$5:$D$304,MATCH(B257,'Équipements'!$A$5:$A$304,0)),""))</f>
        <v/>
      </c>
      <c r="E257" s="7" t="n"/>
      <c r="F257" s="7" t="n"/>
      <c r="G257" s="7" t="n"/>
      <c r="H257" s="67" t="n"/>
      <c r="I257" s="76" t="n"/>
      <c r="J257" s="7" t="n"/>
      <c r="K257" s="7" t="n"/>
      <c r="L257" s="65" t="n"/>
      <c r="M257" s="7" t="n"/>
      <c r="N257" s="7" t="n"/>
      <c r="O257" s="78">
        <f>IF($A257="","",MAX(N(L257),INT(_xlfn.MAXIFS('Ordres de travail'!$R$5:$R$3004,'Ordres de travail'!$I$5:$I$3004,$A257,'Ordres de travail'!$AC$5:$AC$3004,"Clôturé"))))</f>
        <v/>
      </c>
      <c r="P257" s="78">
        <f>IF(OR($A257="",N(O257)=0),"",O257+H257)</f>
        <v/>
      </c>
      <c r="Q257" s="79">
        <f>IF(P257="","",P257-TODAY())</f>
        <v/>
      </c>
      <c r="R257" s="9">
        <f>IF($A257="","",IF(M257="Non","INACTIF",IF(Q257="","À DÉFINIR",IF(Q257&lt;0,"EN RETARD",IF(Q257&lt;='Paramètres'!$AA$12,"À PLANIFIER","OK")))))</f>
        <v/>
      </c>
      <c r="S257" s="9">
        <f>IF($A257="","",IF(SUM(COUNTIFS('Ordres de travail'!$I$5:$I$3004,$A257,'Ordres de travail'!$AC$5:$AC$3004,{"Demandé","Planifié","En cours","En attente pièces"}))&gt;0,"Oui","Non"))</f>
        <v/>
      </c>
      <c r="T257" s="68">
        <f>IF($A257="","",COUNTIFS('Ordres de travail'!$I$5:$I$3004,$A257,'Ordres de travail'!$AC$5:$AC$3004,"Clôturé",'Ordres de travail'!$R$5:$R$3004,"&gt;="&amp;'Paramètres'!$AA$6,'Ordres de travail'!$R$5:$R$3004,"&lt;"&amp;('Paramètres'!$AA$7+1)))</f>
        <v/>
      </c>
      <c r="U257" s="69">
        <f>IF(OR($A257="",N(H257)=0),"",IF(M257="Non",0,365/H257*I257))</f>
        <v/>
      </c>
    </row>
    <row r="258">
      <c r="A258" s="7" t="n"/>
      <c r="B258" s="7" t="n"/>
      <c r="C258" s="9">
        <f>IF(B258="","",IFERROR(INDEX('Équipements'!$B$5:$B$304,MATCH(B258,'Équipements'!$A$5:$A$304,0)),"Code inconnu"))</f>
        <v/>
      </c>
      <c r="D258" s="9">
        <f>IF(B258="","",IFERROR(INDEX('Équipements'!$D$5:$D$304,MATCH(B258,'Équipements'!$A$5:$A$304,0)),""))</f>
        <v/>
      </c>
      <c r="E258" s="7" t="n"/>
      <c r="F258" s="7" t="n"/>
      <c r="G258" s="7" t="n"/>
      <c r="H258" s="67" t="n"/>
      <c r="I258" s="76" t="n"/>
      <c r="J258" s="7" t="n"/>
      <c r="K258" s="7" t="n"/>
      <c r="L258" s="65" t="n"/>
      <c r="M258" s="7" t="n"/>
      <c r="N258" s="7" t="n"/>
      <c r="O258" s="78">
        <f>IF($A258="","",MAX(N(L258),INT(_xlfn.MAXIFS('Ordres de travail'!$R$5:$R$3004,'Ordres de travail'!$I$5:$I$3004,$A258,'Ordres de travail'!$AC$5:$AC$3004,"Clôturé"))))</f>
        <v/>
      </c>
      <c r="P258" s="78">
        <f>IF(OR($A258="",N(O258)=0),"",O258+H258)</f>
        <v/>
      </c>
      <c r="Q258" s="79">
        <f>IF(P258="","",P258-TODAY())</f>
        <v/>
      </c>
      <c r="R258" s="9">
        <f>IF($A258="","",IF(M258="Non","INACTIF",IF(Q258="","À DÉFINIR",IF(Q258&lt;0,"EN RETARD",IF(Q258&lt;='Paramètres'!$AA$12,"À PLANIFIER","OK")))))</f>
        <v/>
      </c>
      <c r="S258" s="9">
        <f>IF($A258="","",IF(SUM(COUNTIFS('Ordres de travail'!$I$5:$I$3004,$A258,'Ordres de travail'!$AC$5:$AC$3004,{"Demandé","Planifié","En cours","En attente pièces"}))&gt;0,"Oui","Non"))</f>
        <v/>
      </c>
      <c r="T258" s="68">
        <f>IF($A258="","",COUNTIFS('Ordres de travail'!$I$5:$I$3004,$A258,'Ordres de travail'!$AC$5:$AC$3004,"Clôturé",'Ordres de travail'!$R$5:$R$3004,"&gt;="&amp;'Paramètres'!$AA$6,'Ordres de travail'!$R$5:$R$3004,"&lt;"&amp;('Paramètres'!$AA$7+1)))</f>
        <v/>
      </c>
      <c r="U258" s="69">
        <f>IF(OR($A258="",N(H258)=0),"",IF(M258="Non",0,365/H258*I258))</f>
        <v/>
      </c>
    </row>
    <row r="259">
      <c r="A259" s="7" t="n"/>
      <c r="B259" s="7" t="n"/>
      <c r="C259" s="9">
        <f>IF(B259="","",IFERROR(INDEX('Équipements'!$B$5:$B$304,MATCH(B259,'Équipements'!$A$5:$A$304,0)),"Code inconnu"))</f>
        <v/>
      </c>
      <c r="D259" s="9">
        <f>IF(B259="","",IFERROR(INDEX('Équipements'!$D$5:$D$304,MATCH(B259,'Équipements'!$A$5:$A$304,0)),""))</f>
        <v/>
      </c>
      <c r="E259" s="7" t="n"/>
      <c r="F259" s="7" t="n"/>
      <c r="G259" s="7" t="n"/>
      <c r="H259" s="67" t="n"/>
      <c r="I259" s="76" t="n"/>
      <c r="J259" s="7" t="n"/>
      <c r="K259" s="7" t="n"/>
      <c r="L259" s="65" t="n"/>
      <c r="M259" s="7" t="n"/>
      <c r="N259" s="7" t="n"/>
      <c r="O259" s="78">
        <f>IF($A259="","",MAX(N(L259),INT(_xlfn.MAXIFS('Ordres de travail'!$R$5:$R$3004,'Ordres de travail'!$I$5:$I$3004,$A259,'Ordres de travail'!$AC$5:$AC$3004,"Clôturé"))))</f>
        <v/>
      </c>
      <c r="P259" s="78">
        <f>IF(OR($A259="",N(O259)=0),"",O259+H259)</f>
        <v/>
      </c>
      <c r="Q259" s="79">
        <f>IF(P259="","",P259-TODAY())</f>
        <v/>
      </c>
      <c r="R259" s="9">
        <f>IF($A259="","",IF(M259="Non","INACTIF",IF(Q259="","À DÉFINIR",IF(Q259&lt;0,"EN RETARD",IF(Q259&lt;='Paramètres'!$AA$12,"À PLANIFIER","OK")))))</f>
        <v/>
      </c>
      <c r="S259" s="9">
        <f>IF($A259="","",IF(SUM(COUNTIFS('Ordres de travail'!$I$5:$I$3004,$A259,'Ordres de travail'!$AC$5:$AC$3004,{"Demandé","Planifié","En cours","En attente pièces"}))&gt;0,"Oui","Non"))</f>
        <v/>
      </c>
      <c r="T259" s="68">
        <f>IF($A259="","",COUNTIFS('Ordres de travail'!$I$5:$I$3004,$A259,'Ordres de travail'!$AC$5:$AC$3004,"Clôturé",'Ordres de travail'!$R$5:$R$3004,"&gt;="&amp;'Paramètres'!$AA$6,'Ordres de travail'!$R$5:$R$3004,"&lt;"&amp;('Paramètres'!$AA$7+1)))</f>
        <v/>
      </c>
      <c r="U259" s="69">
        <f>IF(OR($A259="",N(H259)=0),"",IF(M259="Non",0,365/H259*I259))</f>
        <v/>
      </c>
    </row>
    <row r="260">
      <c r="A260" s="7" t="n"/>
      <c r="B260" s="7" t="n"/>
      <c r="C260" s="9">
        <f>IF(B260="","",IFERROR(INDEX('Équipements'!$B$5:$B$304,MATCH(B260,'Équipements'!$A$5:$A$304,0)),"Code inconnu"))</f>
        <v/>
      </c>
      <c r="D260" s="9">
        <f>IF(B260="","",IFERROR(INDEX('Équipements'!$D$5:$D$304,MATCH(B260,'Équipements'!$A$5:$A$304,0)),""))</f>
        <v/>
      </c>
      <c r="E260" s="7" t="n"/>
      <c r="F260" s="7" t="n"/>
      <c r="G260" s="7" t="n"/>
      <c r="H260" s="67" t="n"/>
      <c r="I260" s="76" t="n"/>
      <c r="J260" s="7" t="n"/>
      <c r="K260" s="7" t="n"/>
      <c r="L260" s="65" t="n"/>
      <c r="M260" s="7" t="n"/>
      <c r="N260" s="7" t="n"/>
      <c r="O260" s="78">
        <f>IF($A260="","",MAX(N(L260),INT(_xlfn.MAXIFS('Ordres de travail'!$R$5:$R$3004,'Ordres de travail'!$I$5:$I$3004,$A260,'Ordres de travail'!$AC$5:$AC$3004,"Clôturé"))))</f>
        <v/>
      </c>
      <c r="P260" s="78">
        <f>IF(OR($A260="",N(O260)=0),"",O260+H260)</f>
        <v/>
      </c>
      <c r="Q260" s="79">
        <f>IF(P260="","",P260-TODAY())</f>
        <v/>
      </c>
      <c r="R260" s="9">
        <f>IF($A260="","",IF(M260="Non","INACTIF",IF(Q260="","À DÉFINIR",IF(Q260&lt;0,"EN RETARD",IF(Q260&lt;='Paramètres'!$AA$12,"À PLANIFIER","OK")))))</f>
        <v/>
      </c>
      <c r="S260" s="9">
        <f>IF($A260="","",IF(SUM(COUNTIFS('Ordres de travail'!$I$5:$I$3004,$A260,'Ordres de travail'!$AC$5:$AC$3004,{"Demandé","Planifié","En cours","En attente pièces"}))&gt;0,"Oui","Non"))</f>
        <v/>
      </c>
      <c r="T260" s="68">
        <f>IF($A260="","",COUNTIFS('Ordres de travail'!$I$5:$I$3004,$A260,'Ordres de travail'!$AC$5:$AC$3004,"Clôturé",'Ordres de travail'!$R$5:$R$3004,"&gt;="&amp;'Paramètres'!$AA$6,'Ordres de travail'!$R$5:$R$3004,"&lt;"&amp;('Paramètres'!$AA$7+1)))</f>
        <v/>
      </c>
      <c r="U260" s="69">
        <f>IF(OR($A260="",N(H260)=0),"",IF(M260="Non",0,365/H260*I260))</f>
        <v/>
      </c>
    </row>
    <row r="261">
      <c r="A261" s="7" t="n"/>
      <c r="B261" s="7" t="n"/>
      <c r="C261" s="9">
        <f>IF(B261="","",IFERROR(INDEX('Équipements'!$B$5:$B$304,MATCH(B261,'Équipements'!$A$5:$A$304,0)),"Code inconnu"))</f>
        <v/>
      </c>
      <c r="D261" s="9">
        <f>IF(B261="","",IFERROR(INDEX('Équipements'!$D$5:$D$304,MATCH(B261,'Équipements'!$A$5:$A$304,0)),""))</f>
        <v/>
      </c>
      <c r="E261" s="7" t="n"/>
      <c r="F261" s="7" t="n"/>
      <c r="G261" s="7" t="n"/>
      <c r="H261" s="67" t="n"/>
      <c r="I261" s="76" t="n"/>
      <c r="J261" s="7" t="n"/>
      <c r="K261" s="7" t="n"/>
      <c r="L261" s="65" t="n"/>
      <c r="M261" s="7" t="n"/>
      <c r="N261" s="7" t="n"/>
      <c r="O261" s="78">
        <f>IF($A261="","",MAX(N(L261),INT(_xlfn.MAXIFS('Ordres de travail'!$R$5:$R$3004,'Ordres de travail'!$I$5:$I$3004,$A261,'Ordres de travail'!$AC$5:$AC$3004,"Clôturé"))))</f>
        <v/>
      </c>
      <c r="P261" s="78">
        <f>IF(OR($A261="",N(O261)=0),"",O261+H261)</f>
        <v/>
      </c>
      <c r="Q261" s="79">
        <f>IF(P261="","",P261-TODAY())</f>
        <v/>
      </c>
      <c r="R261" s="9">
        <f>IF($A261="","",IF(M261="Non","INACTIF",IF(Q261="","À DÉFINIR",IF(Q261&lt;0,"EN RETARD",IF(Q261&lt;='Paramètres'!$AA$12,"À PLANIFIER","OK")))))</f>
        <v/>
      </c>
      <c r="S261" s="9">
        <f>IF($A261="","",IF(SUM(COUNTIFS('Ordres de travail'!$I$5:$I$3004,$A261,'Ordres de travail'!$AC$5:$AC$3004,{"Demandé","Planifié","En cours","En attente pièces"}))&gt;0,"Oui","Non"))</f>
        <v/>
      </c>
      <c r="T261" s="68">
        <f>IF($A261="","",COUNTIFS('Ordres de travail'!$I$5:$I$3004,$A261,'Ordres de travail'!$AC$5:$AC$3004,"Clôturé",'Ordres de travail'!$R$5:$R$3004,"&gt;="&amp;'Paramètres'!$AA$6,'Ordres de travail'!$R$5:$R$3004,"&lt;"&amp;('Paramètres'!$AA$7+1)))</f>
        <v/>
      </c>
      <c r="U261" s="69">
        <f>IF(OR($A261="",N(H261)=0),"",IF(M261="Non",0,365/H261*I261))</f>
        <v/>
      </c>
    </row>
    <row r="262">
      <c r="A262" s="7" t="n"/>
      <c r="B262" s="7" t="n"/>
      <c r="C262" s="9">
        <f>IF(B262="","",IFERROR(INDEX('Équipements'!$B$5:$B$304,MATCH(B262,'Équipements'!$A$5:$A$304,0)),"Code inconnu"))</f>
        <v/>
      </c>
      <c r="D262" s="9">
        <f>IF(B262="","",IFERROR(INDEX('Équipements'!$D$5:$D$304,MATCH(B262,'Équipements'!$A$5:$A$304,0)),""))</f>
        <v/>
      </c>
      <c r="E262" s="7" t="n"/>
      <c r="F262" s="7" t="n"/>
      <c r="G262" s="7" t="n"/>
      <c r="H262" s="67" t="n"/>
      <c r="I262" s="76" t="n"/>
      <c r="J262" s="7" t="n"/>
      <c r="K262" s="7" t="n"/>
      <c r="L262" s="65" t="n"/>
      <c r="M262" s="7" t="n"/>
      <c r="N262" s="7" t="n"/>
      <c r="O262" s="78">
        <f>IF($A262="","",MAX(N(L262),INT(_xlfn.MAXIFS('Ordres de travail'!$R$5:$R$3004,'Ordres de travail'!$I$5:$I$3004,$A262,'Ordres de travail'!$AC$5:$AC$3004,"Clôturé"))))</f>
        <v/>
      </c>
      <c r="P262" s="78">
        <f>IF(OR($A262="",N(O262)=0),"",O262+H262)</f>
        <v/>
      </c>
      <c r="Q262" s="79">
        <f>IF(P262="","",P262-TODAY())</f>
        <v/>
      </c>
      <c r="R262" s="9">
        <f>IF($A262="","",IF(M262="Non","INACTIF",IF(Q262="","À DÉFINIR",IF(Q262&lt;0,"EN RETARD",IF(Q262&lt;='Paramètres'!$AA$12,"À PLANIFIER","OK")))))</f>
        <v/>
      </c>
      <c r="S262" s="9">
        <f>IF($A262="","",IF(SUM(COUNTIFS('Ordres de travail'!$I$5:$I$3004,$A262,'Ordres de travail'!$AC$5:$AC$3004,{"Demandé","Planifié","En cours","En attente pièces"}))&gt;0,"Oui","Non"))</f>
        <v/>
      </c>
      <c r="T262" s="68">
        <f>IF($A262="","",COUNTIFS('Ordres de travail'!$I$5:$I$3004,$A262,'Ordres de travail'!$AC$5:$AC$3004,"Clôturé",'Ordres de travail'!$R$5:$R$3004,"&gt;="&amp;'Paramètres'!$AA$6,'Ordres de travail'!$R$5:$R$3004,"&lt;"&amp;('Paramètres'!$AA$7+1)))</f>
        <v/>
      </c>
      <c r="U262" s="69">
        <f>IF(OR($A262="",N(H262)=0),"",IF(M262="Non",0,365/H262*I262))</f>
        <v/>
      </c>
    </row>
    <row r="263">
      <c r="A263" s="7" t="n"/>
      <c r="B263" s="7" t="n"/>
      <c r="C263" s="9">
        <f>IF(B263="","",IFERROR(INDEX('Équipements'!$B$5:$B$304,MATCH(B263,'Équipements'!$A$5:$A$304,0)),"Code inconnu"))</f>
        <v/>
      </c>
      <c r="D263" s="9">
        <f>IF(B263="","",IFERROR(INDEX('Équipements'!$D$5:$D$304,MATCH(B263,'Équipements'!$A$5:$A$304,0)),""))</f>
        <v/>
      </c>
      <c r="E263" s="7" t="n"/>
      <c r="F263" s="7" t="n"/>
      <c r="G263" s="7" t="n"/>
      <c r="H263" s="67" t="n"/>
      <c r="I263" s="76" t="n"/>
      <c r="J263" s="7" t="n"/>
      <c r="K263" s="7" t="n"/>
      <c r="L263" s="65" t="n"/>
      <c r="M263" s="7" t="n"/>
      <c r="N263" s="7" t="n"/>
      <c r="O263" s="78">
        <f>IF($A263="","",MAX(N(L263),INT(_xlfn.MAXIFS('Ordres de travail'!$R$5:$R$3004,'Ordres de travail'!$I$5:$I$3004,$A263,'Ordres de travail'!$AC$5:$AC$3004,"Clôturé"))))</f>
        <v/>
      </c>
      <c r="P263" s="78">
        <f>IF(OR($A263="",N(O263)=0),"",O263+H263)</f>
        <v/>
      </c>
      <c r="Q263" s="79">
        <f>IF(P263="","",P263-TODAY())</f>
        <v/>
      </c>
      <c r="R263" s="9">
        <f>IF($A263="","",IF(M263="Non","INACTIF",IF(Q263="","À DÉFINIR",IF(Q263&lt;0,"EN RETARD",IF(Q263&lt;='Paramètres'!$AA$12,"À PLANIFIER","OK")))))</f>
        <v/>
      </c>
      <c r="S263" s="9">
        <f>IF($A263="","",IF(SUM(COUNTIFS('Ordres de travail'!$I$5:$I$3004,$A263,'Ordres de travail'!$AC$5:$AC$3004,{"Demandé","Planifié","En cours","En attente pièces"}))&gt;0,"Oui","Non"))</f>
        <v/>
      </c>
      <c r="T263" s="68">
        <f>IF($A263="","",COUNTIFS('Ordres de travail'!$I$5:$I$3004,$A263,'Ordres de travail'!$AC$5:$AC$3004,"Clôturé",'Ordres de travail'!$R$5:$R$3004,"&gt;="&amp;'Paramètres'!$AA$6,'Ordres de travail'!$R$5:$R$3004,"&lt;"&amp;('Paramètres'!$AA$7+1)))</f>
        <v/>
      </c>
      <c r="U263" s="69">
        <f>IF(OR($A263="",N(H263)=0),"",IF(M263="Non",0,365/H263*I263))</f>
        <v/>
      </c>
    </row>
    <row r="264">
      <c r="A264" s="7" t="n"/>
      <c r="B264" s="7" t="n"/>
      <c r="C264" s="9">
        <f>IF(B264="","",IFERROR(INDEX('Équipements'!$B$5:$B$304,MATCH(B264,'Équipements'!$A$5:$A$304,0)),"Code inconnu"))</f>
        <v/>
      </c>
      <c r="D264" s="9">
        <f>IF(B264="","",IFERROR(INDEX('Équipements'!$D$5:$D$304,MATCH(B264,'Équipements'!$A$5:$A$304,0)),""))</f>
        <v/>
      </c>
      <c r="E264" s="7" t="n"/>
      <c r="F264" s="7" t="n"/>
      <c r="G264" s="7" t="n"/>
      <c r="H264" s="67" t="n"/>
      <c r="I264" s="76" t="n"/>
      <c r="J264" s="7" t="n"/>
      <c r="K264" s="7" t="n"/>
      <c r="L264" s="65" t="n"/>
      <c r="M264" s="7" t="n"/>
      <c r="N264" s="7" t="n"/>
      <c r="O264" s="78">
        <f>IF($A264="","",MAX(N(L264),INT(_xlfn.MAXIFS('Ordres de travail'!$R$5:$R$3004,'Ordres de travail'!$I$5:$I$3004,$A264,'Ordres de travail'!$AC$5:$AC$3004,"Clôturé"))))</f>
        <v/>
      </c>
      <c r="P264" s="78">
        <f>IF(OR($A264="",N(O264)=0),"",O264+H264)</f>
        <v/>
      </c>
      <c r="Q264" s="79">
        <f>IF(P264="","",P264-TODAY())</f>
        <v/>
      </c>
      <c r="R264" s="9">
        <f>IF($A264="","",IF(M264="Non","INACTIF",IF(Q264="","À DÉFINIR",IF(Q264&lt;0,"EN RETARD",IF(Q264&lt;='Paramètres'!$AA$12,"À PLANIFIER","OK")))))</f>
        <v/>
      </c>
      <c r="S264" s="9">
        <f>IF($A264="","",IF(SUM(COUNTIFS('Ordres de travail'!$I$5:$I$3004,$A264,'Ordres de travail'!$AC$5:$AC$3004,{"Demandé","Planifié","En cours","En attente pièces"}))&gt;0,"Oui","Non"))</f>
        <v/>
      </c>
      <c r="T264" s="68">
        <f>IF($A264="","",COUNTIFS('Ordres de travail'!$I$5:$I$3004,$A264,'Ordres de travail'!$AC$5:$AC$3004,"Clôturé",'Ordres de travail'!$R$5:$R$3004,"&gt;="&amp;'Paramètres'!$AA$6,'Ordres de travail'!$R$5:$R$3004,"&lt;"&amp;('Paramètres'!$AA$7+1)))</f>
        <v/>
      </c>
      <c r="U264" s="69">
        <f>IF(OR($A264="",N(H264)=0),"",IF(M264="Non",0,365/H264*I264))</f>
        <v/>
      </c>
    </row>
    <row r="265">
      <c r="A265" s="7" t="n"/>
      <c r="B265" s="7" t="n"/>
      <c r="C265" s="9">
        <f>IF(B265="","",IFERROR(INDEX('Équipements'!$B$5:$B$304,MATCH(B265,'Équipements'!$A$5:$A$304,0)),"Code inconnu"))</f>
        <v/>
      </c>
      <c r="D265" s="9">
        <f>IF(B265="","",IFERROR(INDEX('Équipements'!$D$5:$D$304,MATCH(B265,'Équipements'!$A$5:$A$304,0)),""))</f>
        <v/>
      </c>
      <c r="E265" s="7" t="n"/>
      <c r="F265" s="7" t="n"/>
      <c r="G265" s="7" t="n"/>
      <c r="H265" s="67" t="n"/>
      <c r="I265" s="76" t="n"/>
      <c r="J265" s="7" t="n"/>
      <c r="K265" s="7" t="n"/>
      <c r="L265" s="65" t="n"/>
      <c r="M265" s="7" t="n"/>
      <c r="N265" s="7" t="n"/>
      <c r="O265" s="78">
        <f>IF($A265="","",MAX(N(L265),INT(_xlfn.MAXIFS('Ordres de travail'!$R$5:$R$3004,'Ordres de travail'!$I$5:$I$3004,$A265,'Ordres de travail'!$AC$5:$AC$3004,"Clôturé"))))</f>
        <v/>
      </c>
      <c r="P265" s="78">
        <f>IF(OR($A265="",N(O265)=0),"",O265+H265)</f>
        <v/>
      </c>
      <c r="Q265" s="79">
        <f>IF(P265="","",P265-TODAY())</f>
        <v/>
      </c>
      <c r="R265" s="9">
        <f>IF($A265="","",IF(M265="Non","INACTIF",IF(Q265="","À DÉFINIR",IF(Q265&lt;0,"EN RETARD",IF(Q265&lt;='Paramètres'!$AA$12,"À PLANIFIER","OK")))))</f>
        <v/>
      </c>
      <c r="S265" s="9">
        <f>IF($A265="","",IF(SUM(COUNTIFS('Ordres de travail'!$I$5:$I$3004,$A265,'Ordres de travail'!$AC$5:$AC$3004,{"Demandé","Planifié","En cours","En attente pièces"}))&gt;0,"Oui","Non"))</f>
        <v/>
      </c>
      <c r="T265" s="68">
        <f>IF($A265="","",COUNTIFS('Ordres de travail'!$I$5:$I$3004,$A265,'Ordres de travail'!$AC$5:$AC$3004,"Clôturé",'Ordres de travail'!$R$5:$R$3004,"&gt;="&amp;'Paramètres'!$AA$6,'Ordres de travail'!$R$5:$R$3004,"&lt;"&amp;('Paramètres'!$AA$7+1)))</f>
        <v/>
      </c>
      <c r="U265" s="69">
        <f>IF(OR($A265="",N(H265)=0),"",IF(M265="Non",0,365/H265*I265))</f>
        <v/>
      </c>
    </row>
    <row r="266">
      <c r="A266" s="7" t="n"/>
      <c r="B266" s="7" t="n"/>
      <c r="C266" s="9">
        <f>IF(B266="","",IFERROR(INDEX('Équipements'!$B$5:$B$304,MATCH(B266,'Équipements'!$A$5:$A$304,0)),"Code inconnu"))</f>
        <v/>
      </c>
      <c r="D266" s="9">
        <f>IF(B266="","",IFERROR(INDEX('Équipements'!$D$5:$D$304,MATCH(B266,'Équipements'!$A$5:$A$304,0)),""))</f>
        <v/>
      </c>
      <c r="E266" s="7" t="n"/>
      <c r="F266" s="7" t="n"/>
      <c r="G266" s="7" t="n"/>
      <c r="H266" s="67" t="n"/>
      <c r="I266" s="76" t="n"/>
      <c r="J266" s="7" t="n"/>
      <c r="K266" s="7" t="n"/>
      <c r="L266" s="65" t="n"/>
      <c r="M266" s="7" t="n"/>
      <c r="N266" s="7" t="n"/>
      <c r="O266" s="78">
        <f>IF($A266="","",MAX(N(L266),INT(_xlfn.MAXIFS('Ordres de travail'!$R$5:$R$3004,'Ordres de travail'!$I$5:$I$3004,$A266,'Ordres de travail'!$AC$5:$AC$3004,"Clôturé"))))</f>
        <v/>
      </c>
      <c r="P266" s="78">
        <f>IF(OR($A266="",N(O266)=0),"",O266+H266)</f>
        <v/>
      </c>
      <c r="Q266" s="79">
        <f>IF(P266="","",P266-TODAY())</f>
        <v/>
      </c>
      <c r="R266" s="9">
        <f>IF($A266="","",IF(M266="Non","INACTIF",IF(Q266="","À DÉFINIR",IF(Q266&lt;0,"EN RETARD",IF(Q266&lt;='Paramètres'!$AA$12,"À PLANIFIER","OK")))))</f>
        <v/>
      </c>
      <c r="S266" s="9">
        <f>IF($A266="","",IF(SUM(COUNTIFS('Ordres de travail'!$I$5:$I$3004,$A266,'Ordres de travail'!$AC$5:$AC$3004,{"Demandé","Planifié","En cours","En attente pièces"}))&gt;0,"Oui","Non"))</f>
        <v/>
      </c>
      <c r="T266" s="68">
        <f>IF($A266="","",COUNTIFS('Ordres de travail'!$I$5:$I$3004,$A266,'Ordres de travail'!$AC$5:$AC$3004,"Clôturé",'Ordres de travail'!$R$5:$R$3004,"&gt;="&amp;'Paramètres'!$AA$6,'Ordres de travail'!$R$5:$R$3004,"&lt;"&amp;('Paramètres'!$AA$7+1)))</f>
        <v/>
      </c>
      <c r="U266" s="69">
        <f>IF(OR($A266="",N(H266)=0),"",IF(M266="Non",0,365/H266*I266))</f>
        <v/>
      </c>
    </row>
    <row r="267">
      <c r="A267" s="7" t="n"/>
      <c r="B267" s="7" t="n"/>
      <c r="C267" s="9">
        <f>IF(B267="","",IFERROR(INDEX('Équipements'!$B$5:$B$304,MATCH(B267,'Équipements'!$A$5:$A$304,0)),"Code inconnu"))</f>
        <v/>
      </c>
      <c r="D267" s="9">
        <f>IF(B267="","",IFERROR(INDEX('Équipements'!$D$5:$D$304,MATCH(B267,'Équipements'!$A$5:$A$304,0)),""))</f>
        <v/>
      </c>
      <c r="E267" s="7" t="n"/>
      <c r="F267" s="7" t="n"/>
      <c r="G267" s="7" t="n"/>
      <c r="H267" s="67" t="n"/>
      <c r="I267" s="76" t="n"/>
      <c r="J267" s="7" t="n"/>
      <c r="K267" s="7" t="n"/>
      <c r="L267" s="65" t="n"/>
      <c r="M267" s="7" t="n"/>
      <c r="N267" s="7" t="n"/>
      <c r="O267" s="78">
        <f>IF($A267="","",MAX(N(L267),INT(_xlfn.MAXIFS('Ordres de travail'!$R$5:$R$3004,'Ordres de travail'!$I$5:$I$3004,$A267,'Ordres de travail'!$AC$5:$AC$3004,"Clôturé"))))</f>
        <v/>
      </c>
      <c r="P267" s="78">
        <f>IF(OR($A267="",N(O267)=0),"",O267+H267)</f>
        <v/>
      </c>
      <c r="Q267" s="79">
        <f>IF(P267="","",P267-TODAY())</f>
        <v/>
      </c>
      <c r="R267" s="9">
        <f>IF($A267="","",IF(M267="Non","INACTIF",IF(Q267="","À DÉFINIR",IF(Q267&lt;0,"EN RETARD",IF(Q267&lt;='Paramètres'!$AA$12,"À PLANIFIER","OK")))))</f>
        <v/>
      </c>
      <c r="S267" s="9">
        <f>IF($A267="","",IF(SUM(COUNTIFS('Ordres de travail'!$I$5:$I$3004,$A267,'Ordres de travail'!$AC$5:$AC$3004,{"Demandé","Planifié","En cours","En attente pièces"}))&gt;0,"Oui","Non"))</f>
        <v/>
      </c>
      <c r="T267" s="68">
        <f>IF($A267="","",COUNTIFS('Ordres de travail'!$I$5:$I$3004,$A267,'Ordres de travail'!$AC$5:$AC$3004,"Clôturé",'Ordres de travail'!$R$5:$R$3004,"&gt;="&amp;'Paramètres'!$AA$6,'Ordres de travail'!$R$5:$R$3004,"&lt;"&amp;('Paramètres'!$AA$7+1)))</f>
        <v/>
      </c>
      <c r="U267" s="69">
        <f>IF(OR($A267="",N(H267)=0),"",IF(M267="Non",0,365/H267*I267))</f>
        <v/>
      </c>
    </row>
    <row r="268">
      <c r="A268" s="7" t="n"/>
      <c r="B268" s="7" t="n"/>
      <c r="C268" s="9">
        <f>IF(B268="","",IFERROR(INDEX('Équipements'!$B$5:$B$304,MATCH(B268,'Équipements'!$A$5:$A$304,0)),"Code inconnu"))</f>
        <v/>
      </c>
      <c r="D268" s="9">
        <f>IF(B268="","",IFERROR(INDEX('Équipements'!$D$5:$D$304,MATCH(B268,'Équipements'!$A$5:$A$304,0)),""))</f>
        <v/>
      </c>
      <c r="E268" s="7" t="n"/>
      <c r="F268" s="7" t="n"/>
      <c r="G268" s="7" t="n"/>
      <c r="H268" s="67" t="n"/>
      <c r="I268" s="76" t="n"/>
      <c r="J268" s="7" t="n"/>
      <c r="K268" s="7" t="n"/>
      <c r="L268" s="65" t="n"/>
      <c r="M268" s="7" t="n"/>
      <c r="N268" s="7" t="n"/>
      <c r="O268" s="78">
        <f>IF($A268="","",MAX(N(L268),INT(_xlfn.MAXIFS('Ordres de travail'!$R$5:$R$3004,'Ordres de travail'!$I$5:$I$3004,$A268,'Ordres de travail'!$AC$5:$AC$3004,"Clôturé"))))</f>
        <v/>
      </c>
      <c r="P268" s="78">
        <f>IF(OR($A268="",N(O268)=0),"",O268+H268)</f>
        <v/>
      </c>
      <c r="Q268" s="79">
        <f>IF(P268="","",P268-TODAY())</f>
        <v/>
      </c>
      <c r="R268" s="9">
        <f>IF($A268="","",IF(M268="Non","INACTIF",IF(Q268="","À DÉFINIR",IF(Q268&lt;0,"EN RETARD",IF(Q268&lt;='Paramètres'!$AA$12,"À PLANIFIER","OK")))))</f>
        <v/>
      </c>
      <c r="S268" s="9">
        <f>IF($A268="","",IF(SUM(COUNTIFS('Ordres de travail'!$I$5:$I$3004,$A268,'Ordres de travail'!$AC$5:$AC$3004,{"Demandé","Planifié","En cours","En attente pièces"}))&gt;0,"Oui","Non"))</f>
        <v/>
      </c>
      <c r="T268" s="68">
        <f>IF($A268="","",COUNTIFS('Ordres de travail'!$I$5:$I$3004,$A268,'Ordres de travail'!$AC$5:$AC$3004,"Clôturé",'Ordres de travail'!$R$5:$R$3004,"&gt;="&amp;'Paramètres'!$AA$6,'Ordres de travail'!$R$5:$R$3004,"&lt;"&amp;('Paramètres'!$AA$7+1)))</f>
        <v/>
      </c>
      <c r="U268" s="69">
        <f>IF(OR($A268="",N(H268)=0),"",IF(M268="Non",0,365/H268*I268))</f>
        <v/>
      </c>
    </row>
    <row r="269">
      <c r="A269" s="7" t="n"/>
      <c r="B269" s="7" t="n"/>
      <c r="C269" s="9">
        <f>IF(B269="","",IFERROR(INDEX('Équipements'!$B$5:$B$304,MATCH(B269,'Équipements'!$A$5:$A$304,0)),"Code inconnu"))</f>
        <v/>
      </c>
      <c r="D269" s="9">
        <f>IF(B269="","",IFERROR(INDEX('Équipements'!$D$5:$D$304,MATCH(B269,'Équipements'!$A$5:$A$304,0)),""))</f>
        <v/>
      </c>
      <c r="E269" s="7" t="n"/>
      <c r="F269" s="7" t="n"/>
      <c r="G269" s="7" t="n"/>
      <c r="H269" s="67" t="n"/>
      <c r="I269" s="76" t="n"/>
      <c r="J269" s="7" t="n"/>
      <c r="K269" s="7" t="n"/>
      <c r="L269" s="65" t="n"/>
      <c r="M269" s="7" t="n"/>
      <c r="N269" s="7" t="n"/>
      <c r="O269" s="78">
        <f>IF($A269="","",MAX(N(L269),INT(_xlfn.MAXIFS('Ordres de travail'!$R$5:$R$3004,'Ordres de travail'!$I$5:$I$3004,$A269,'Ordres de travail'!$AC$5:$AC$3004,"Clôturé"))))</f>
        <v/>
      </c>
      <c r="P269" s="78">
        <f>IF(OR($A269="",N(O269)=0),"",O269+H269)</f>
        <v/>
      </c>
      <c r="Q269" s="79">
        <f>IF(P269="","",P269-TODAY())</f>
        <v/>
      </c>
      <c r="R269" s="9">
        <f>IF($A269="","",IF(M269="Non","INACTIF",IF(Q269="","À DÉFINIR",IF(Q269&lt;0,"EN RETARD",IF(Q269&lt;='Paramètres'!$AA$12,"À PLANIFIER","OK")))))</f>
        <v/>
      </c>
      <c r="S269" s="9">
        <f>IF($A269="","",IF(SUM(COUNTIFS('Ordres de travail'!$I$5:$I$3004,$A269,'Ordres de travail'!$AC$5:$AC$3004,{"Demandé","Planifié","En cours","En attente pièces"}))&gt;0,"Oui","Non"))</f>
        <v/>
      </c>
      <c r="T269" s="68">
        <f>IF($A269="","",COUNTIFS('Ordres de travail'!$I$5:$I$3004,$A269,'Ordres de travail'!$AC$5:$AC$3004,"Clôturé",'Ordres de travail'!$R$5:$R$3004,"&gt;="&amp;'Paramètres'!$AA$6,'Ordres de travail'!$R$5:$R$3004,"&lt;"&amp;('Paramètres'!$AA$7+1)))</f>
        <v/>
      </c>
      <c r="U269" s="69">
        <f>IF(OR($A269="",N(H269)=0),"",IF(M269="Non",0,365/H269*I269))</f>
        <v/>
      </c>
    </row>
    <row r="270">
      <c r="A270" s="7" t="n"/>
      <c r="B270" s="7" t="n"/>
      <c r="C270" s="9">
        <f>IF(B270="","",IFERROR(INDEX('Équipements'!$B$5:$B$304,MATCH(B270,'Équipements'!$A$5:$A$304,0)),"Code inconnu"))</f>
        <v/>
      </c>
      <c r="D270" s="9">
        <f>IF(B270="","",IFERROR(INDEX('Équipements'!$D$5:$D$304,MATCH(B270,'Équipements'!$A$5:$A$304,0)),""))</f>
        <v/>
      </c>
      <c r="E270" s="7" t="n"/>
      <c r="F270" s="7" t="n"/>
      <c r="G270" s="7" t="n"/>
      <c r="H270" s="67" t="n"/>
      <c r="I270" s="76" t="n"/>
      <c r="J270" s="7" t="n"/>
      <c r="K270" s="7" t="n"/>
      <c r="L270" s="65" t="n"/>
      <c r="M270" s="7" t="n"/>
      <c r="N270" s="7" t="n"/>
      <c r="O270" s="78">
        <f>IF($A270="","",MAX(N(L270),INT(_xlfn.MAXIFS('Ordres de travail'!$R$5:$R$3004,'Ordres de travail'!$I$5:$I$3004,$A270,'Ordres de travail'!$AC$5:$AC$3004,"Clôturé"))))</f>
        <v/>
      </c>
      <c r="P270" s="78">
        <f>IF(OR($A270="",N(O270)=0),"",O270+H270)</f>
        <v/>
      </c>
      <c r="Q270" s="79">
        <f>IF(P270="","",P270-TODAY())</f>
        <v/>
      </c>
      <c r="R270" s="9">
        <f>IF($A270="","",IF(M270="Non","INACTIF",IF(Q270="","À DÉFINIR",IF(Q270&lt;0,"EN RETARD",IF(Q270&lt;='Paramètres'!$AA$12,"À PLANIFIER","OK")))))</f>
        <v/>
      </c>
      <c r="S270" s="9">
        <f>IF($A270="","",IF(SUM(COUNTIFS('Ordres de travail'!$I$5:$I$3004,$A270,'Ordres de travail'!$AC$5:$AC$3004,{"Demandé","Planifié","En cours","En attente pièces"}))&gt;0,"Oui","Non"))</f>
        <v/>
      </c>
      <c r="T270" s="68">
        <f>IF($A270="","",COUNTIFS('Ordres de travail'!$I$5:$I$3004,$A270,'Ordres de travail'!$AC$5:$AC$3004,"Clôturé",'Ordres de travail'!$R$5:$R$3004,"&gt;="&amp;'Paramètres'!$AA$6,'Ordres de travail'!$R$5:$R$3004,"&lt;"&amp;('Paramètres'!$AA$7+1)))</f>
        <v/>
      </c>
      <c r="U270" s="69">
        <f>IF(OR($A270="",N(H270)=0),"",IF(M270="Non",0,365/H270*I270))</f>
        <v/>
      </c>
    </row>
    <row r="271">
      <c r="A271" s="7" t="n"/>
      <c r="B271" s="7" t="n"/>
      <c r="C271" s="9">
        <f>IF(B271="","",IFERROR(INDEX('Équipements'!$B$5:$B$304,MATCH(B271,'Équipements'!$A$5:$A$304,0)),"Code inconnu"))</f>
        <v/>
      </c>
      <c r="D271" s="9">
        <f>IF(B271="","",IFERROR(INDEX('Équipements'!$D$5:$D$304,MATCH(B271,'Équipements'!$A$5:$A$304,0)),""))</f>
        <v/>
      </c>
      <c r="E271" s="7" t="n"/>
      <c r="F271" s="7" t="n"/>
      <c r="G271" s="7" t="n"/>
      <c r="H271" s="67" t="n"/>
      <c r="I271" s="76" t="n"/>
      <c r="J271" s="7" t="n"/>
      <c r="K271" s="7" t="n"/>
      <c r="L271" s="65" t="n"/>
      <c r="M271" s="7" t="n"/>
      <c r="N271" s="7" t="n"/>
      <c r="O271" s="78">
        <f>IF($A271="","",MAX(N(L271),INT(_xlfn.MAXIFS('Ordres de travail'!$R$5:$R$3004,'Ordres de travail'!$I$5:$I$3004,$A271,'Ordres de travail'!$AC$5:$AC$3004,"Clôturé"))))</f>
        <v/>
      </c>
      <c r="P271" s="78">
        <f>IF(OR($A271="",N(O271)=0),"",O271+H271)</f>
        <v/>
      </c>
      <c r="Q271" s="79">
        <f>IF(P271="","",P271-TODAY())</f>
        <v/>
      </c>
      <c r="R271" s="9">
        <f>IF($A271="","",IF(M271="Non","INACTIF",IF(Q271="","À DÉFINIR",IF(Q271&lt;0,"EN RETARD",IF(Q271&lt;='Paramètres'!$AA$12,"À PLANIFIER","OK")))))</f>
        <v/>
      </c>
      <c r="S271" s="9">
        <f>IF($A271="","",IF(SUM(COUNTIFS('Ordres de travail'!$I$5:$I$3004,$A271,'Ordres de travail'!$AC$5:$AC$3004,{"Demandé","Planifié","En cours","En attente pièces"}))&gt;0,"Oui","Non"))</f>
        <v/>
      </c>
      <c r="T271" s="68">
        <f>IF($A271="","",COUNTIFS('Ordres de travail'!$I$5:$I$3004,$A271,'Ordres de travail'!$AC$5:$AC$3004,"Clôturé",'Ordres de travail'!$R$5:$R$3004,"&gt;="&amp;'Paramètres'!$AA$6,'Ordres de travail'!$R$5:$R$3004,"&lt;"&amp;('Paramètres'!$AA$7+1)))</f>
        <v/>
      </c>
      <c r="U271" s="69">
        <f>IF(OR($A271="",N(H271)=0),"",IF(M271="Non",0,365/H271*I271))</f>
        <v/>
      </c>
    </row>
    <row r="272">
      <c r="A272" s="7" t="n"/>
      <c r="B272" s="7" t="n"/>
      <c r="C272" s="9">
        <f>IF(B272="","",IFERROR(INDEX('Équipements'!$B$5:$B$304,MATCH(B272,'Équipements'!$A$5:$A$304,0)),"Code inconnu"))</f>
        <v/>
      </c>
      <c r="D272" s="9">
        <f>IF(B272="","",IFERROR(INDEX('Équipements'!$D$5:$D$304,MATCH(B272,'Équipements'!$A$5:$A$304,0)),""))</f>
        <v/>
      </c>
      <c r="E272" s="7" t="n"/>
      <c r="F272" s="7" t="n"/>
      <c r="G272" s="7" t="n"/>
      <c r="H272" s="67" t="n"/>
      <c r="I272" s="76" t="n"/>
      <c r="J272" s="7" t="n"/>
      <c r="K272" s="7" t="n"/>
      <c r="L272" s="65" t="n"/>
      <c r="M272" s="7" t="n"/>
      <c r="N272" s="7" t="n"/>
      <c r="O272" s="78">
        <f>IF($A272="","",MAX(N(L272),INT(_xlfn.MAXIFS('Ordres de travail'!$R$5:$R$3004,'Ordres de travail'!$I$5:$I$3004,$A272,'Ordres de travail'!$AC$5:$AC$3004,"Clôturé"))))</f>
        <v/>
      </c>
      <c r="P272" s="78">
        <f>IF(OR($A272="",N(O272)=0),"",O272+H272)</f>
        <v/>
      </c>
      <c r="Q272" s="79">
        <f>IF(P272="","",P272-TODAY())</f>
        <v/>
      </c>
      <c r="R272" s="9">
        <f>IF($A272="","",IF(M272="Non","INACTIF",IF(Q272="","À DÉFINIR",IF(Q272&lt;0,"EN RETARD",IF(Q272&lt;='Paramètres'!$AA$12,"À PLANIFIER","OK")))))</f>
        <v/>
      </c>
      <c r="S272" s="9">
        <f>IF($A272="","",IF(SUM(COUNTIFS('Ordres de travail'!$I$5:$I$3004,$A272,'Ordres de travail'!$AC$5:$AC$3004,{"Demandé","Planifié","En cours","En attente pièces"}))&gt;0,"Oui","Non"))</f>
        <v/>
      </c>
      <c r="T272" s="68">
        <f>IF($A272="","",COUNTIFS('Ordres de travail'!$I$5:$I$3004,$A272,'Ordres de travail'!$AC$5:$AC$3004,"Clôturé",'Ordres de travail'!$R$5:$R$3004,"&gt;="&amp;'Paramètres'!$AA$6,'Ordres de travail'!$R$5:$R$3004,"&lt;"&amp;('Paramètres'!$AA$7+1)))</f>
        <v/>
      </c>
      <c r="U272" s="69">
        <f>IF(OR($A272="",N(H272)=0),"",IF(M272="Non",0,365/H272*I272))</f>
        <v/>
      </c>
    </row>
    <row r="273">
      <c r="A273" s="7" t="n"/>
      <c r="B273" s="7" t="n"/>
      <c r="C273" s="9">
        <f>IF(B273="","",IFERROR(INDEX('Équipements'!$B$5:$B$304,MATCH(B273,'Équipements'!$A$5:$A$304,0)),"Code inconnu"))</f>
        <v/>
      </c>
      <c r="D273" s="9">
        <f>IF(B273="","",IFERROR(INDEX('Équipements'!$D$5:$D$304,MATCH(B273,'Équipements'!$A$5:$A$304,0)),""))</f>
        <v/>
      </c>
      <c r="E273" s="7" t="n"/>
      <c r="F273" s="7" t="n"/>
      <c r="G273" s="7" t="n"/>
      <c r="H273" s="67" t="n"/>
      <c r="I273" s="76" t="n"/>
      <c r="J273" s="7" t="n"/>
      <c r="K273" s="7" t="n"/>
      <c r="L273" s="65" t="n"/>
      <c r="M273" s="7" t="n"/>
      <c r="N273" s="7" t="n"/>
      <c r="O273" s="78">
        <f>IF($A273="","",MAX(N(L273),INT(_xlfn.MAXIFS('Ordres de travail'!$R$5:$R$3004,'Ordres de travail'!$I$5:$I$3004,$A273,'Ordres de travail'!$AC$5:$AC$3004,"Clôturé"))))</f>
        <v/>
      </c>
      <c r="P273" s="78">
        <f>IF(OR($A273="",N(O273)=0),"",O273+H273)</f>
        <v/>
      </c>
      <c r="Q273" s="79">
        <f>IF(P273="","",P273-TODAY())</f>
        <v/>
      </c>
      <c r="R273" s="9">
        <f>IF($A273="","",IF(M273="Non","INACTIF",IF(Q273="","À DÉFINIR",IF(Q273&lt;0,"EN RETARD",IF(Q273&lt;='Paramètres'!$AA$12,"À PLANIFIER","OK")))))</f>
        <v/>
      </c>
      <c r="S273" s="9">
        <f>IF($A273="","",IF(SUM(COUNTIFS('Ordres de travail'!$I$5:$I$3004,$A273,'Ordres de travail'!$AC$5:$AC$3004,{"Demandé","Planifié","En cours","En attente pièces"}))&gt;0,"Oui","Non"))</f>
        <v/>
      </c>
      <c r="T273" s="68">
        <f>IF($A273="","",COUNTIFS('Ordres de travail'!$I$5:$I$3004,$A273,'Ordres de travail'!$AC$5:$AC$3004,"Clôturé",'Ordres de travail'!$R$5:$R$3004,"&gt;="&amp;'Paramètres'!$AA$6,'Ordres de travail'!$R$5:$R$3004,"&lt;"&amp;('Paramètres'!$AA$7+1)))</f>
        <v/>
      </c>
      <c r="U273" s="69">
        <f>IF(OR($A273="",N(H273)=0),"",IF(M273="Non",0,365/H273*I273))</f>
        <v/>
      </c>
    </row>
    <row r="274">
      <c r="A274" s="7" t="n"/>
      <c r="B274" s="7" t="n"/>
      <c r="C274" s="9">
        <f>IF(B274="","",IFERROR(INDEX('Équipements'!$B$5:$B$304,MATCH(B274,'Équipements'!$A$5:$A$304,0)),"Code inconnu"))</f>
        <v/>
      </c>
      <c r="D274" s="9">
        <f>IF(B274="","",IFERROR(INDEX('Équipements'!$D$5:$D$304,MATCH(B274,'Équipements'!$A$5:$A$304,0)),""))</f>
        <v/>
      </c>
      <c r="E274" s="7" t="n"/>
      <c r="F274" s="7" t="n"/>
      <c r="G274" s="7" t="n"/>
      <c r="H274" s="67" t="n"/>
      <c r="I274" s="76" t="n"/>
      <c r="J274" s="7" t="n"/>
      <c r="K274" s="7" t="n"/>
      <c r="L274" s="65" t="n"/>
      <c r="M274" s="7" t="n"/>
      <c r="N274" s="7" t="n"/>
      <c r="O274" s="78">
        <f>IF($A274="","",MAX(N(L274),INT(_xlfn.MAXIFS('Ordres de travail'!$R$5:$R$3004,'Ordres de travail'!$I$5:$I$3004,$A274,'Ordres de travail'!$AC$5:$AC$3004,"Clôturé"))))</f>
        <v/>
      </c>
      <c r="P274" s="78">
        <f>IF(OR($A274="",N(O274)=0),"",O274+H274)</f>
        <v/>
      </c>
      <c r="Q274" s="79">
        <f>IF(P274="","",P274-TODAY())</f>
        <v/>
      </c>
      <c r="R274" s="9">
        <f>IF($A274="","",IF(M274="Non","INACTIF",IF(Q274="","À DÉFINIR",IF(Q274&lt;0,"EN RETARD",IF(Q274&lt;='Paramètres'!$AA$12,"À PLANIFIER","OK")))))</f>
        <v/>
      </c>
      <c r="S274" s="9">
        <f>IF($A274="","",IF(SUM(COUNTIFS('Ordres de travail'!$I$5:$I$3004,$A274,'Ordres de travail'!$AC$5:$AC$3004,{"Demandé","Planifié","En cours","En attente pièces"}))&gt;0,"Oui","Non"))</f>
        <v/>
      </c>
      <c r="T274" s="68">
        <f>IF($A274="","",COUNTIFS('Ordres de travail'!$I$5:$I$3004,$A274,'Ordres de travail'!$AC$5:$AC$3004,"Clôturé",'Ordres de travail'!$R$5:$R$3004,"&gt;="&amp;'Paramètres'!$AA$6,'Ordres de travail'!$R$5:$R$3004,"&lt;"&amp;('Paramètres'!$AA$7+1)))</f>
        <v/>
      </c>
      <c r="U274" s="69">
        <f>IF(OR($A274="",N(H274)=0),"",IF(M274="Non",0,365/H274*I274))</f>
        <v/>
      </c>
    </row>
    <row r="275">
      <c r="A275" s="7" t="n"/>
      <c r="B275" s="7" t="n"/>
      <c r="C275" s="9">
        <f>IF(B275="","",IFERROR(INDEX('Équipements'!$B$5:$B$304,MATCH(B275,'Équipements'!$A$5:$A$304,0)),"Code inconnu"))</f>
        <v/>
      </c>
      <c r="D275" s="9">
        <f>IF(B275="","",IFERROR(INDEX('Équipements'!$D$5:$D$304,MATCH(B275,'Équipements'!$A$5:$A$304,0)),""))</f>
        <v/>
      </c>
      <c r="E275" s="7" t="n"/>
      <c r="F275" s="7" t="n"/>
      <c r="G275" s="7" t="n"/>
      <c r="H275" s="67" t="n"/>
      <c r="I275" s="76" t="n"/>
      <c r="J275" s="7" t="n"/>
      <c r="K275" s="7" t="n"/>
      <c r="L275" s="65" t="n"/>
      <c r="M275" s="7" t="n"/>
      <c r="N275" s="7" t="n"/>
      <c r="O275" s="78">
        <f>IF($A275="","",MAX(N(L275),INT(_xlfn.MAXIFS('Ordres de travail'!$R$5:$R$3004,'Ordres de travail'!$I$5:$I$3004,$A275,'Ordres de travail'!$AC$5:$AC$3004,"Clôturé"))))</f>
        <v/>
      </c>
      <c r="P275" s="78">
        <f>IF(OR($A275="",N(O275)=0),"",O275+H275)</f>
        <v/>
      </c>
      <c r="Q275" s="79">
        <f>IF(P275="","",P275-TODAY())</f>
        <v/>
      </c>
      <c r="R275" s="9">
        <f>IF($A275="","",IF(M275="Non","INACTIF",IF(Q275="","À DÉFINIR",IF(Q275&lt;0,"EN RETARD",IF(Q275&lt;='Paramètres'!$AA$12,"À PLANIFIER","OK")))))</f>
        <v/>
      </c>
      <c r="S275" s="9">
        <f>IF($A275="","",IF(SUM(COUNTIFS('Ordres de travail'!$I$5:$I$3004,$A275,'Ordres de travail'!$AC$5:$AC$3004,{"Demandé","Planifié","En cours","En attente pièces"}))&gt;0,"Oui","Non"))</f>
        <v/>
      </c>
      <c r="T275" s="68">
        <f>IF($A275="","",COUNTIFS('Ordres de travail'!$I$5:$I$3004,$A275,'Ordres de travail'!$AC$5:$AC$3004,"Clôturé",'Ordres de travail'!$R$5:$R$3004,"&gt;="&amp;'Paramètres'!$AA$6,'Ordres de travail'!$R$5:$R$3004,"&lt;"&amp;('Paramètres'!$AA$7+1)))</f>
        <v/>
      </c>
      <c r="U275" s="69">
        <f>IF(OR($A275="",N(H275)=0),"",IF(M275="Non",0,365/H275*I275))</f>
        <v/>
      </c>
    </row>
    <row r="276">
      <c r="A276" s="7" t="n"/>
      <c r="B276" s="7" t="n"/>
      <c r="C276" s="9">
        <f>IF(B276="","",IFERROR(INDEX('Équipements'!$B$5:$B$304,MATCH(B276,'Équipements'!$A$5:$A$304,0)),"Code inconnu"))</f>
        <v/>
      </c>
      <c r="D276" s="9">
        <f>IF(B276="","",IFERROR(INDEX('Équipements'!$D$5:$D$304,MATCH(B276,'Équipements'!$A$5:$A$304,0)),""))</f>
        <v/>
      </c>
      <c r="E276" s="7" t="n"/>
      <c r="F276" s="7" t="n"/>
      <c r="G276" s="7" t="n"/>
      <c r="H276" s="67" t="n"/>
      <c r="I276" s="76" t="n"/>
      <c r="J276" s="7" t="n"/>
      <c r="K276" s="7" t="n"/>
      <c r="L276" s="65" t="n"/>
      <c r="M276" s="7" t="n"/>
      <c r="N276" s="7" t="n"/>
      <c r="O276" s="78">
        <f>IF($A276="","",MAX(N(L276),INT(_xlfn.MAXIFS('Ordres de travail'!$R$5:$R$3004,'Ordres de travail'!$I$5:$I$3004,$A276,'Ordres de travail'!$AC$5:$AC$3004,"Clôturé"))))</f>
        <v/>
      </c>
      <c r="P276" s="78">
        <f>IF(OR($A276="",N(O276)=0),"",O276+H276)</f>
        <v/>
      </c>
      <c r="Q276" s="79">
        <f>IF(P276="","",P276-TODAY())</f>
        <v/>
      </c>
      <c r="R276" s="9">
        <f>IF($A276="","",IF(M276="Non","INACTIF",IF(Q276="","À DÉFINIR",IF(Q276&lt;0,"EN RETARD",IF(Q276&lt;='Paramètres'!$AA$12,"À PLANIFIER","OK")))))</f>
        <v/>
      </c>
      <c r="S276" s="9">
        <f>IF($A276="","",IF(SUM(COUNTIFS('Ordres de travail'!$I$5:$I$3004,$A276,'Ordres de travail'!$AC$5:$AC$3004,{"Demandé","Planifié","En cours","En attente pièces"}))&gt;0,"Oui","Non"))</f>
        <v/>
      </c>
      <c r="T276" s="68">
        <f>IF($A276="","",COUNTIFS('Ordres de travail'!$I$5:$I$3004,$A276,'Ordres de travail'!$AC$5:$AC$3004,"Clôturé",'Ordres de travail'!$R$5:$R$3004,"&gt;="&amp;'Paramètres'!$AA$6,'Ordres de travail'!$R$5:$R$3004,"&lt;"&amp;('Paramètres'!$AA$7+1)))</f>
        <v/>
      </c>
      <c r="U276" s="69">
        <f>IF(OR($A276="",N(H276)=0),"",IF(M276="Non",0,365/H276*I276))</f>
        <v/>
      </c>
    </row>
    <row r="277">
      <c r="A277" s="7" t="n"/>
      <c r="B277" s="7" t="n"/>
      <c r="C277" s="9">
        <f>IF(B277="","",IFERROR(INDEX('Équipements'!$B$5:$B$304,MATCH(B277,'Équipements'!$A$5:$A$304,0)),"Code inconnu"))</f>
        <v/>
      </c>
      <c r="D277" s="9">
        <f>IF(B277="","",IFERROR(INDEX('Équipements'!$D$5:$D$304,MATCH(B277,'Équipements'!$A$5:$A$304,0)),""))</f>
        <v/>
      </c>
      <c r="E277" s="7" t="n"/>
      <c r="F277" s="7" t="n"/>
      <c r="G277" s="7" t="n"/>
      <c r="H277" s="67" t="n"/>
      <c r="I277" s="76" t="n"/>
      <c r="J277" s="7" t="n"/>
      <c r="K277" s="7" t="n"/>
      <c r="L277" s="65" t="n"/>
      <c r="M277" s="7" t="n"/>
      <c r="N277" s="7" t="n"/>
      <c r="O277" s="78">
        <f>IF($A277="","",MAX(N(L277),INT(_xlfn.MAXIFS('Ordres de travail'!$R$5:$R$3004,'Ordres de travail'!$I$5:$I$3004,$A277,'Ordres de travail'!$AC$5:$AC$3004,"Clôturé"))))</f>
        <v/>
      </c>
      <c r="P277" s="78">
        <f>IF(OR($A277="",N(O277)=0),"",O277+H277)</f>
        <v/>
      </c>
      <c r="Q277" s="79">
        <f>IF(P277="","",P277-TODAY())</f>
        <v/>
      </c>
      <c r="R277" s="9">
        <f>IF($A277="","",IF(M277="Non","INACTIF",IF(Q277="","À DÉFINIR",IF(Q277&lt;0,"EN RETARD",IF(Q277&lt;='Paramètres'!$AA$12,"À PLANIFIER","OK")))))</f>
        <v/>
      </c>
      <c r="S277" s="9">
        <f>IF($A277="","",IF(SUM(COUNTIFS('Ordres de travail'!$I$5:$I$3004,$A277,'Ordres de travail'!$AC$5:$AC$3004,{"Demandé","Planifié","En cours","En attente pièces"}))&gt;0,"Oui","Non"))</f>
        <v/>
      </c>
      <c r="T277" s="68">
        <f>IF($A277="","",COUNTIFS('Ordres de travail'!$I$5:$I$3004,$A277,'Ordres de travail'!$AC$5:$AC$3004,"Clôturé",'Ordres de travail'!$R$5:$R$3004,"&gt;="&amp;'Paramètres'!$AA$6,'Ordres de travail'!$R$5:$R$3004,"&lt;"&amp;('Paramètres'!$AA$7+1)))</f>
        <v/>
      </c>
      <c r="U277" s="69">
        <f>IF(OR($A277="",N(H277)=0),"",IF(M277="Non",0,365/H277*I277))</f>
        <v/>
      </c>
    </row>
    <row r="278">
      <c r="A278" s="7" t="n"/>
      <c r="B278" s="7" t="n"/>
      <c r="C278" s="9">
        <f>IF(B278="","",IFERROR(INDEX('Équipements'!$B$5:$B$304,MATCH(B278,'Équipements'!$A$5:$A$304,0)),"Code inconnu"))</f>
        <v/>
      </c>
      <c r="D278" s="9">
        <f>IF(B278="","",IFERROR(INDEX('Équipements'!$D$5:$D$304,MATCH(B278,'Équipements'!$A$5:$A$304,0)),""))</f>
        <v/>
      </c>
      <c r="E278" s="7" t="n"/>
      <c r="F278" s="7" t="n"/>
      <c r="G278" s="7" t="n"/>
      <c r="H278" s="67" t="n"/>
      <c r="I278" s="76" t="n"/>
      <c r="J278" s="7" t="n"/>
      <c r="K278" s="7" t="n"/>
      <c r="L278" s="65" t="n"/>
      <c r="M278" s="7" t="n"/>
      <c r="N278" s="7" t="n"/>
      <c r="O278" s="78">
        <f>IF($A278="","",MAX(N(L278),INT(_xlfn.MAXIFS('Ordres de travail'!$R$5:$R$3004,'Ordres de travail'!$I$5:$I$3004,$A278,'Ordres de travail'!$AC$5:$AC$3004,"Clôturé"))))</f>
        <v/>
      </c>
      <c r="P278" s="78">
        <f>IF(OR($A278="",N(O278)=0),"",O278+H278)</f>
        <v/>
      </c>
      <c r="Q278" s="79">
        <f>IF(P278="","",P278-TODAY())</f>
        <v/>
      </c>
      <c r="R278" s="9">
        <f>IF($A278="","",IF(M278="Non","INACTIF",IF(Q278="","À DÉFINIR",IF(Q278&lt;0,"EN RETARD",IF(Q278&lt;='Paramètres'!$AA$12,"À PLANIFIER","OK")))))</f>
        <v/>
      </c>
      <c r="S278" s="9">
        <f>IF($A278="","",IF(SUM(COUNTIFS('Ordres de travail'!$I$5:$I$3004,$A278,'Ordres de travail'!$AC$5:$AC$3004,{"Demandé","Planifié","En cours","En attente pièces"}))&gt;0,"Oui","Non"))</f>
        <v/>
      </c>
      <c r="T278" s="68">
        <f>IF($A278="","",COUNTIFS('Ordres de travail'!$I$5:$I$3004,$A278,'Ordres de travail'!$AC$5:$AC$3004,"Clôturé",'Ordres de travail'!$R$5:$R$3004,"&gt;="&amp;'Paramètres'!$AA$6,'Ordres de travail'!$R$5:$R$3004,"&lt;"&amp;('Paramètres'!$AA$7+1)))</f>
        <v/>
      </c>
      <c r="U278" s="69">
        <f>IF(OR($A278="",N(H278)=0),"",IF(M278="Non",0,365/H278*I278))</f>
        <v/>
      </c>
    </row>
    <row r="279">
      <c r="A279" s="7" t="n"/>
      <c r="B279" s="7" t="n"/>
      <c r="C279" s="9">
        <f>IF(B279="","",IFERROR(INDEX('Équipements'!$B$5:$B$304,MATCH(B279,'Équipements'!$A$5:$A$304,0)),"Code inconnu"))</f>
        <v/>
      </c>
      <c r="D279" s="9">
        <f>IF(B279="","",IFERROR(INDEX('Équipements'!$D$5:$D$304,MATCH(B279,'Équipements'!$A$5:$A$304,0)),""))</f>
        <v/>
      </c>
      <c r="E279" s="7" t="n"/>
      <c r="F279" s="7" t="n"/>
      <c r="G279" s="7" t="n"/>
      <c r="H279" s="67" t="n"/>
      <c r="I279" s="76" t="n"/>
      <c r="J279" s="7" t="n"/>
      <c r="K279" s="7" t="n"/>
      <c r="L279" s="65" t="n"/>
      <c r="M279" s="7" t="n"/>
      <c r="N279" s="7" t="n"/>
      <c r="O279" s="78">
        <f>IF($A279="","",MAX(N(L279),INT(_xlfn.MAXIFS('Ordres de travail'!$R$5:$R$3004,'Ordres de travail'!$I$5:$I$3004,$A279,'Ordres de travail'!$AC$5:$AC$3004,"Clôturé"))))</f>
        <v/>
      </c>
      <c r="P279" s="78">
        <f>IF(OR($A279="",N(O279)=0),"",O279+H279)</f>
        <v/>
      </c>
      <c r="Q279" s="79">
        <f>IF(P279="","",P279-TODAY())</f>
        <v/>
      </c>
      <c r="R279" s="9">
        <f>IF($A279="","",IF(M279="Non","INACTIF",IF(Q279="","À DÉFINIR",IF(Q279&lt;0,"EN RETARD",IF(Q279&lt;='Paramètres'!$AA$12,"À PLANIFIER","OK")))))</f>
        <v/>
      </c>
      <c r="S279" s="9">
        <f>IF($A279="","",IF(SUM(COUNTIFS('Ordres de travail'!$I$5:$I$3004,$A279,'Ordres de travail'!$AC$5:$AC$3004,{"Demandé","Planifié","En cours","En attente pièces"}))&gt;0,"Oui","Non"))</f>
        <v/>
      </c>
      <c r="T279" s="68">
        <f>IF($A279="","",COUNTIFS('Ordres de travail'!$I$5:$I$3004,$A279,'Ordres de travail'!$AC$5:$AC$3004,"Clôturé",'Ordres de travail'!$R$5:$R$3004,"&gt;="&amp;'Paramètres'!$AA$6,'Ordres de travail'!$R$5:$R$3004,"&lt;"&amp;('Paramètres'!$AA$7+1)))</f>
        <v/>
      </c>
      <c r="U279" s="69">
        <f>IF(OR($A279="",N(H279)=0),"",IF(M279="Non",0,365/H279*I279))</f>
        <v/>
      </c>
    </row>
    <row r="280">
      <c r="A280" s="7" t="n"/>
      <c r="B280" s="7" t="n"/>
      <c r="C280" s="9">
        <f>IF(B280="","",IFERROR(INDEX('Équipements'!$B$5:$B$304,MATCH(B280,'Équipements'!$A$5:$A$304,0)),"Code inconnu"))</f>
        <v/>
      </c>
      <c r="D280" s="9">
        <f>IF(B280="","",IFERROR(INDEX('Équipements'!$D$5:$D$304,MATCH(B280,'Équipements'!$A$5:$A$304,0)),""))</f>
        <v/>
      </c>
      <c r="E280" s="7" t="n"/>
      <c r="F280" s="7" t="n"/>
      <c r="G280" s="7" t="n"/>
      <c r="H280" s="67" t="n"/>
      <c r="I280" s="76" t="n"/>
      <c r="J280" s="7" t="n"/>
      <c r="K280" s="7" t="n"/>
      <c r="L280" s="65" t="n"/>
      <c r="M280" s="7" t="n"/>
      <c r="N280" s="7" t="n"/>
      <c r="O280" s="78">
        <f>IF($A280="","",MAX(N(L280),INT(_xlfn.MAXIFS('Ordres de travail'!$R$5:$R$3004,'Ordres de travail'!$I$5:$I$3004,$A280,'Ordres de travail'!$AC$5:$AC$3004,"Clôturé"))))</f>
        <v/>
      </c>
      <c r="P280" s="78">
        <f>IF(OR($A280="",N(O280)=0),"",O280+H280)</f>
        <v/>
      </c>
      <c r="Q280" s="79">
        <f>IF(P280="","",P280-TODAY())</f>
        <v/>
      </c>
      <c r="R280" s="9">
        <f>IF($A280="","",IF(M280="Non","INACTIF",IF(Q280="","À DÉFINIR",IF(Q280&lt;0,"EN RETARD",IF(Q280&lt;='Paramètres'!$AA$12,"À PLANIFIER","OK")))))</f>
        <v/>
      </c>
      <c r="S280" s="9">
        <f>IF($A280="","",IF(SUM(COUNTIFS('Ordres de travail'!$I$5:$I$3004,$A280,'Ordres de travail'!$AC$5:$AC$3004,{"Demandé","Planifié","En cours","En attente pièces"}))&gt;0,"Oui","Non"))</f>
        <v/>
      </c>
      <c r="T280" s="68">
        <f>IF($A280="","",COUNTIFS('Ordres de travail'!$I$5:$I$3004,$A280,'Ordres de travail'!$AC$5:$AC$3004,"Clôturé",'Ordres de travail'!$R$5:$R$3004,"&gt;="&amp;'Paramètres'!$AA$6,'Ordres de travail'!$R$5:$R$3004,"&lt;"&amp;('Paramètres'!$AA$7+1)))</f>
        <v/>
      </c>
      <c r="U280" s="69">
        <f>IF(OR($A280="",N(H280)=0),"",IF(M280="Non",0,365/H280*I280))</f>
        <v/>
      </c>
    </row>
    <row r="281">
      <c r="A281" s="7" t="n"/>
      <c r="B281" s="7" t="n"/>
      <c r="C281" s="9">
        <f>IF(B281="","",IFERROR(INDEX('Équipements'!$B$5:$B$304,MATCH(B281,'Équipements'!$A$5:$A$304,0)),"Code inconnu"))</f>
        <v/>
      </c>
      <c r="D281" s="9">
        <f>IF(B281="","",IFERROR(INDEX('Équipements'!$D$5:$D$304,MATCH(B281,'Équipements'!$A$5:$A$304,0)),""))</f>
        <v/>
      </c>
      <c r="E281" s="7" t="n"/>
      <c r="F281" s="7" t="n"/>
      <c r="G281" s="7" t="n"/>
      <c r="H281" s="67" t="n"/>
      <c r="I281" s="76" t="n"/>
      <c r="J281" s="7" t="n"/>
      <c r="K281" s="7" t="n"/>
      <c r="L281" s="65" t="n"/>
      <c r="M281" s="7" t="n"/>
      <c r="N281" s="7" t="n"/>
      <c r="O281" s="78">
        <f>IF($A281="","",MAX(N(L281),INT(_xlfn.MAXIFS('Ordres de travail'!$R$5:$R$3004,'Ordres de travail'!$I$5:$I$3004,$A281,'Ordres de travail'!$AC$5:$AC$3004,"Clôturé"))))</f>
        <v/>
      </c>
      <c r="P281" s="78">
        <f>IF(OR($A281="",N(O281)=0),"",O281+H281)</f>
        <v/>
      </c>
      <c r="Q281" s="79">
        <f>IF(P281="","",P281-TODAY())</f>
        <v/>
      </c>
      <c r="R281" s="9">
        <f>IF($A281="","",IF(M281="Non","INACTIF",IF(Q281="","À DÉFINIR",IF(Q281&lt;0,"EN RETARD",IF(Q281&lt;='Paramètres'!$AA$12,"À PLANIFIER","OK")))))</f>
        <v/>
      </c>
      <c r="S281" s="9">
        <f>IF($A281="","",IF(SUM(COUNTIFS('Ordres de travail'!$I$5:$I$3004,$A281,'Ordres de travail'!$AC$5:$AC$3004,{"Demandé","Planifié","En cours","En attente pièces"}))&gt;0,"Oui","Non"))</f>
        <v/>
      </c>
      <c r="T281" s="68">
        <f>IF($A281="","",COUNTIFS('Ordres de travail'!$I$5:$I$3004,$A281,'Ordres de travail'!$AC$5:$AC$3004,"Clôturé",'Ordres de travail'!$R$5:$R$3004,"&gt;="&amp;'Paramètres'!$AA$6,'Ordres de travail'!$R$5:$R$3004,"&lt;"&amp;('Paramètres'!$AA$7+1)))</f>
        <v/>
      </c>
      <c r="U281" s="69">
        <f>IF(OR($A281="",N(H281)=0),"",IF(M281="Non",0,365/H281*I281))</f>
        <v/>
      </c>
    </row>
    <row r="282">
      <c r="A282" s="7" t="n"/>
      <c r="B282" s="7" t="n"/>
      <c r="C282" s="9">
        <f>IF(B282="","",IFERROR(INDEX('Équipements'!$B$5:$B$304,MATCH(B282,'Équipements'!$A$5:$A$304,0)),"Code inconnu"))</f>
        <v/>
      </c>
      <c r="D282" s="9">
        <f>IF(B282="","",IFERROR(INDEX('Équipements'!$D$5:$D$304,MATCH(B282,'Équipements'!$A$5:$A$304,0)),""))</f>
        <v/>
      </c>
      <c r="E282" s="7" t="n"/>
      <c r="F282" s="7" t="n"/>
      <c r="G282" s="7" t="n"/>
      <c r="H282" s="67" t="n"/>
      <c r="I282" s="76" t="n"/>
      <c r="J282" s="7" t="n"/>
      <c r="K282" s="7" t="n"/>
      <c r="L282" s="65" t="n"/>
      <c r="M282" s="7" t="n"/>
      <c r="N282" s="7" t="n"/>
      <c r="O282" s="78">
        <f>IF($A282="","",MAX(N(L282),INT(_xlfn.MAXIFS('Ordres de travail'!$R$5:$R$3004,'Ordres de travail'!$I$5:$I$3004,$A282,'Ordres de travail'!$AC$5:$AC$3004,"Clôturé"))))</f>
        <v/>
      </c>
      <c r="P282" s="78">
        <f>IF(OR($A282="",N(O282)=0),"",O282+H282)</f>
        <v/>
      </c>
      <c r="Q282" s="79">
        <f>IF(P282="","",P282-TODAY())</f>
        <v/>
      </c>
      <c r="R282" s="9">
        <f>IF($A282="","",IF(M282="Non","INACTIF",IF(Q282="","À DÉFINIR",IF(Q282&lt;0,"EN RETARD",IF(Q282&lt;='Paramètres'!$AA$12,"À PLANIFIER","OK")))))</f>
        <v/>
      </c>
      <c r="S282" s="9">
        <f>IF($A282="","",IF(SUM(COUNTIFS('Ordres de travail'!$I$5:$I$3004,$A282,'Ordres de travail'!$AC$5:$AC$3004,{"Demandé","Planifié","En cours","En attente pièces"}))&gt;0,"Oui","Non"))</f>
        <v/>
      </c>
      <c r="T282" s="68">
        <f>IF($A282="","",COUNTIFS('Ordres de travail'!$I$5:$I$3004,$A282,'Ordres de travail'!$AC$5:$AC$3004,"Clôturé",'Ordres de travail'!$R$5:$R$3004,"&gt;="&amp;'Paramètres'!$AA$6,'Ordres de travail'!$R$5:$R$3004,"&lt;"&amp;('Paramètres'!$AA$7+1)))</f>
        <v/>
      </c>
      <c r="U282" s="69">
        <f>IF(OR($A282="",N(H282)=0),"",IF(M282="Non",0,365/H282*I282))</f>
        <v/>
      </c>
    </row>
    <row r="283">
      <c r="A283" s="7" t="n"/>
      <c r="B283" s="7" t="n"/>
      <c r="C283" s="9">
        <f>IF(B283="","",IFERROR(INDEX('Équipements'!$B$5:$B$304,MATCH(B283,'Équipements'!$A$5:$A$304,0)),"Code inconnu"))</f>
        <v/>
      </c>
      <c r="D283" s="9">
        <f>IF(B283="","",IFERROR(INDEX('Équipements'!$D$5:$D$304,MATCH(B283,'Équipements'!$A$5:$A$304,0)),""))</f>
        <v/>
      </c>
      <c r="E283" s="7" t="n"/>
      <c r="F283" s="7" t="n"/>
      <c r="G283" s="7" t="n"/>
      <c r="H283" s="67" t="n"/>
      <c r="I283" s="76" t="n"/>
      <c r="J283" s="7" t="n"/>
      <c r="K283" s="7" t="n"/>
      <c r="L283" s="65" t="n"/>
      <c r="M283" s="7" t="n"/>
      <c r="N283" s="7" t="n"/>
      <c r="O283" s="78">
        <f>IF($A283="","",MAX(N(L283),INT(_xlfn.MAXIFS('Ordres de travail'!$R$5:$R$3004,'Ordres de travail'!$I$5:$I$3004,$A283,'Ordres de travail'!$AC$5:$AC$3004,"Clôturé"))))</f>
        <v/>
      </c>
      <c r="P283" s="78">
        <f>IF(OR($A283="",N(O283)=0),"",O283+H283)</f>
        <v/>
      </c>
      <c r="Q283" s="79">
        <f>IF(P283="","",P283-TODAY())</f>
        <v/>
      </c>
      <c r="R283" s="9">
        <f>IF($A283="","",IF(M283="Non","INACTIF",IF(Q283="","À DÉFINIR",IF(Q283&lt;0,"EN RETARD",IF(Q283&lt;='Paramètres'!$AA$12,"À PLANIFIER","OK")))))</f>
        <v/>
      </c>
      <c r="S283" s="9">
        <f>IF($A283="","",IF(SUM(COUNTIFS('Ordres de travail'!$I$5:$I$3004,$A283,'Ordres de travail'!$AC$5:$AC$3004,{"Demandé","Planifié","En cours","En attente pièces"}))&gt;0,"Oui","Non"))</f>
        <v/>
      </c>
      <c r="T283" s="68">
        <f>IF($A283="","",COUNTIFS('Ordres de travail'!$I$5:$I$3004,$A283,'Ordres de travail'!$AC$5:$AC$3004,"Clôturé",'Ordres de travail'!$R$5:$R$3004,"&gt;="&amp;'Paramètres'!$AA$6,'Ordres de travail'!$R$5:$R$3004,"&lt;"&amp;('Paramètres'!$AA$7+1)))</f>
        <v/>
      </c>
      <c r="U283" s="69">
        <f>IF(OR($A283="",N(H283)=0),"",IF(M283="Non",0,365/H283*I283))</f>
        <v/>
      </c>
    </row>
    <row r="284">
      <c r="A284" s="7" t="n"/>
      <c r="B284" s="7" t="n"/>
      <c r="C284" s="9">
        <f>IF(B284="","",IFERROR(INDEX('Équipements'!$B$5:$B$304,MATCH(B284,'Équipements'!$A$5:$A$304,0)),"Code inconnu"))</f>
        <v/>
      </c>
      <c r="D284" s="9">
        <f>IF(B284="","",IFERROR(INDEX('Équipements'!$D$5:$D$304,MATCH(B284,'Équipements'!$A$5:$A$304,0)),""))</f>
        <v/>
      </c>
      <c r="E284" s="7" t="n"/>
      <c r="F284" s="7" t="n"/>
      <c r="G284" s="7" t="n"/>
      <c r="H284" s="67" t="n"/>
      <c r="I284" s="76" t="n"/>
      <c r="J284" s="7" t="n"/>
      <c r="K284" s="7" t="n"/>
      <c r="L284" s="65" t="n"/>
      <c r="M284" s="7" t="n"/>
      <c r="N284" s="7" t="n"/>
      <c r="O284" s="78">
        <f>IF($A284="","",MAX(N(L284),INT(_xlfn.MAXIFS('Ordres de travail'!$R$5:$R$3004,'Ordres de travail'!$I$5:$I$3004,$A284,'Ordres de travail'!$AC$5:$AC$3004,"Clôturé"))))</f>
        <v/>
      </c>
      <c r="P284" s="78">
        <f>IF(OR($A284="",N(O284)=0),"",O284+H284)</f>
        <v/>
      </c>
      <c r="Q284" s="79">
        <f>IF(P284="","",P284-TODAY())</f>
        <v/>
      </c>
      <c r="R284" s="9">
        <f>IF($A284="","",IF(M284="Non","INACTIF",IF(Q284="","À DÉFINIR",IF(Q284&lt;0,"EN RETARD",IF(Q284&lt;='Paramètres'!$AA$12,"À PLANIFIER","OK")))))</f>
        <v/>
      </c>
      <c r="S284" s="9">
        <f>IF($A284="","",IF(SUM(COUNTIFS('Ordres de travail'!$I$5:$I$3004,$A284,'Ordres de travail'!$AC$5:$AC$3004,{"Demandé","Planifié","En cours","En attente pièces"}))&gt;0,"Oui","Non"))</f>
        <v/>
      </c>
      <c r="T284" s="68">
        <f>IF($A284="","",COUNTIFS('Ordres de travail'!$I$5:$I$3004,$A284,'Ordres de travail'!$AC$5:$AC$3004,"Clôturé",'Ordres de travail'!$R$5:$R$3004,"&gt;="&amp;'Paramètres'!$AA$6,'Ordres de travail'!$R$5:$R$3004,"&lt;"&amp;('Paramètres'!$AA$7+1)))</f>
        <v/>
      </c>
      <c r="U284" s="69">
        <f>IF(OR($A284="",N(H284)=0),"",IF(M284="Non",0,365/H284*I284))</f>
        <v/>
      </c>
    </row>
    <row r="285">
      <c r="A285" s="7" t="n"/>
      <c r="B285" s="7" t="n"/>
      <c r="C285" s="9">
        <f>IF(B285="","",IFERROR(INDEX('Équipements'!$B$5:$B$304,MATCH(B285,'Équipements'!$A$5:$A$304,0)),"Code inconnu"))</f>
        <v/>
      </c>
      <c r="D285" s="9">
        <f>IF(B285="","",IFERROR(INDEX('Équipements'!$D$5:$D$304,MATCH(B285,'Équipements'!$A$5:$A$304,0)),""))</f>
        <v/>
      </c>
      <c r="E285" s="7" t="n"/>
      <c r="F285" s="7" t="n"/>
      <c r="G285" s="7" t="n"/>
      <c r="H285" s="67" t="n"/>
      <c r="I285" s="76" t="n"/>
      <c r="J285" s="7" t="n"/>
      <c r="K285" s="7" t="n"/>
      <c r="L285" s="65" t="n"/>
      <c r="M285" s="7" t="n"/>
      <c r="N285" s="7" t="n"/>
      <c r="O285" s="78">
        <f>IF($A285="","",MAX(N(L285),INT(_xlfn.MAXIFS('Ordres de travail'!$R$5:$R$3004,'Ordres de travail'!$I$5:$I$3004,$A285,'Ordres de travail'!$AC$5:$AC$3004,"Clôturé"))))</f>
        <v/>
      </c>
      <c r="P285" s="78">
        <f>IF(OR($A285="",N(O285)=0),"",O285+H285)</f>
        <v/>
      </c>
      <c r="Q285" s="79">
        <f>IF(P285="","",P285-TODAY())</f>
        <v/>
      </c>
      <c r="R285" s="9">
        <f>IF($A285="","",IF(M285="Non","INACTIF",IF(Q285="","À DÉFINIR",IF(Q285&lt;0,"EN RETARD",IF(Q285&lt;='Paramètres'!$AA$12,"À PLANIFIER","OK")))))</f>
        <v/>
      </c>
      <c r="S285" s="9">
        <f>IF($A285="","",IF(SUM(COUNTIFS('Ordres de travail'!$I$5:$I$3004,$A285,'Ordres de travail'!$AC$5:$AC$3004,{"Demandé","Planifié","En cours","En attente pièces"}))&gt;0,"Oui","Non"))</f>
        <v/>
      </c>
      <c r="T285" s="68">
        <f>IF($A285="","",COUNTIFS('Ordres de travail'!$I$5:$I$3004,$A285,'Ordres de travail'!$AC$5:$AC$3004,"Clôturé",'Ordres de travail'!$R$5:$R$3004,"&gt;="&amp;'Paramètres'!$AA$6,'Ordres de travail'!$R$5:$R$3004,"&lt;"&amp;('Paramètres'!$AA$7+1)))</f>
        <v/>
      </c>
      <c r="U285" s="69">
        <f>IF(OR($A285="",N(H285)=0),"",IF(M285="Non",0,365/H285*I285))</f>
        <v/>
      </c>
    </row>
    <row r="286">
      <c r="A286" s="7" t="n"/>
      <c r="B286" s="7" t="n"/>
      <c r="C286" s="9">
        <f>IF(B286="","",IFERROR(INDEX('Équipements'!$B$5:$B$304,MATCH(B286,'Équipements'!$A$5:$A$304,0)),"Code inconnu"))</f>
        <v/>
      </c>
      <c r="D286" s="9">
        <f>IF(B286="","",IFERROR(INDEX('Équipements'!$D$5:$D$304,MATCH(B286,'Équipements'!$A$5:$A$304,0)),""))</f>
        <v/>
      </c>
      <c r="E286" s="7" t="n"/>
      <c r="F286" s="7" t="n"/>
      <c r="G286" s="7" t="n"/>
      <c r="H286" s="67" t="n"/>
      <c r="I286" s="76" t="n"/>
      <c r="J286" s="7" t="n"/>
      <c r="K286" s="7" t="n"/>
      <c r="L286" s="65" t="n"/>
      <c r="M286" s="7" t="n"/>
      <c r="N286" s="7" t="n"/>
      <c r="O286" s="78">
        <f>IF($A286="","",MAX(N(L286),INT(_xlfn.MAXIFS('Ordres de travail'!$R$5:$R$3004,'Ordres de travail'!$I$5:$I$3004,$A286,'Ordres de travail'!$AC$5:$AC$3004,"Clôturé"))))</f>
        <v/>
      </c>
      <c r="P286" s="78">
        <f>IF(OR($A286="",N(O286)=0),"",O286+H286)</f>
        <v/>
      </c>
      <c r="Q286" s="79">
        <f>IF(P286="","",P286-TODAY())</f>
        <v/>
      </c>
      <c r="R286" s="9">
        <f>IF($A286="","",IF(M286="Non","INACTIF",IF(Q286="","À DÉFINIR",IF(Q286&lt;0,"EN RETARD",IF(Q286&lt;='Paramètres'!$AA$12,"À PLANIFIER","OK")))))</f>
        <v/>
      </c>
      <c r="S286" s="9">
        <f>IF($A286="","",IF(SUM(COUNTIFS('Ordres de travail'!$I$5:$I$3004,$A286,'Ordres de travail'!$AC$5:$AC$3004,{"Demandé","Planifié","En cours","En attente pièces"}))&gt;0,"Oui","Non"))</f>
        <v/>
      </c>
      <c r="T286" s="68">
        <f>IF($A286="","",COUNTIFS('Ordres de travail'!$I$5:$I$3004,$A286,'Ordres de travail'!$AC$5:$AC$3004,"Clôturé",'Ordres de travail'!$R$5:$R$3004,"&gt;="&amp;'Paramètres'!$AA$6,'Ordres de travail'!$R$5:$R$3004,"&lt;"&amp;('Paramètres'!$AA$7+1)))</f>
        <v/>
      </c>
      <c r="U286" s="69">
        <f>IF(OR($A286="",N(H286)=0),"",IF(M286="Non",0,365/H286*I286))</f>
        <v/>
      </c>
    </row>
    <row r="287">
      <c r="A287" s="7" t="n"/>
      <c r="B287" s="7" t="n"/>
      <c r="C287" s="9">
        <f>IF(B287="","",IFERROR(INDEX('Équipements'!$B$5:$B$304,MATCH(B287,'Équipements'!$A$5:$A$304,0)),"Code inconnu"))</f>
        <v/>
      </c>
      <c r="D287" s="9">
        <f>IF(B287="","",IFERROR(INDEX('Équipements'!$D$5:$D$304,MATCH(B287,'Équipements'!$A$5:$A$304,0)),""))</f>
        <v/>
      </c>
      <c r="E287" s="7" t="n"/>
      <c r="F287" s="7" t="n"/>
      <c r="G287" s="7" t="n"/>
      <c r="H287" s="67" t="n"/>
      <c r="I287" s="76" t="n"/>
      <c r="J287" s="7" t="n"/>
      <c r="K287" s="7" t="n"/>
      <c r="L287" s="65" t="n"/>
      <c r="M287" s="7" t="n"/>
      <c r="N287" s="7" t="n"/>
      <c r="O287" s="78">
        <f>IF($A287="","",MAX(N(L287),INT(_xlfn.MAXIFS('Ordres de travail'!$R$5:$R$3004,'Ordres de travail'!$I$5:$I$3004,$A287,'Ordres de travail'!$AC$5:$AC$3004,"Clôturé"))))</f>
        <v/>
      </c>
      <c r="P287" s="78">
        <f>IF(OR($A287="",N(O287)=0),"",O287+H287)</f>
        <v/>
      </c>
      <c r="Q287" s="79">
        <f>IF(P287="","",P287-TODAY())</f>
        <v/>
      </c>
      <c r="R287" s="9">
        <f>IF($A287="","",IF(M287="Non","INACTIF",IF(Q287="","À DÉFINIR",IF(Q287&lt;0,"EN RETARD",IF(Q287&lt;='Paramètres'!$AA$12,"À PLANIFIER","OK")))))</f>
        <v/>
      </c>
      <c r="S287" s="9">
        <f>IF($A287="","",IF(SUM(COUNTIFS('Ordres de travail'!$I$5:$I$3004,$A287,'Ordres de travail'!$AC$5:$AC$3004,{"Demandé","Planifié","En cours","En attente pièces"}))&gt;0,"Oui","Non"))</f>
        <v/>
      </c>
      <c r="T287" s="68">
        <f>IF($A287="","",COUNTIFS('Ordres de travail'!$I$5:$I$3004,$A287,'Ordres de travail'!$AC$5:$AC$3004,"Clôturé",'Ordres de travail'!$R$5:$R$3004,"&gt;="&amp;'Paramètres'!$AA$6,'Ordres de travail'!$R$5:$R$3004,"&lt;"&amp;('Paramètres'!$AA$7+1)))</f>
        <v/>
      </c>
      <c r="U287" s="69">
        <f>IF(OR($A287="",N(H287)=0),"",IF(M287="Non",0,365/H287*I287))</f>
        <v/>
      </c>
    </row>
    <row r="288">
      <c r="A288" s="7" t="n"/>
      <c r="B288" s="7" t="n"/>
      <c r="C288" s="9">
        <f>IF(B288="","",IFERROR(INDEX('Équipements'!$B$5:$B$304,MATCH(B288,'Équipements'!$A$5:$A$304,0)),"Code inconnu"))</f>
        <v/>
      </c>
      <c r="D288" s="9">
        <f>IF(B288="","",IFERROR(INDEX('Équipements'!$D$5:$D$304,MATCH(B288,'Équipements'!$A$5:$A$304,0)),""))</f>
        <v/>
      </c>
      <c r="E288" s="7" t="n"/>
      <c r="F288" s="7" t="n"/>
      <c r="G288" s="7" t="n"/>
      <c r="H288" s="67" t="n"/>
      <c r="I288" s="76" t="n"/>
      <c r="J288" s="7" t="n"/>
      <c r="K288" s="7" t="n"/>
      <c r="L288" s="65" t="n"/>
      <c r="M288" s="7" t="n"/>
      <c r="N288" s="7" t="n"/>
      <c r="O288" s="78">
        <f>IF($A288="","",MAX(N(L288),INT(_xlfn.MAXIFS('Ordres de travail'!$R$5:$R$3004,'Ordres de travail'!$I$5:$I$3004,$A288,'Ordres de travail'!$AC$5:$AC$3004,"Clôturé"))))</f>
        <v/>
      </c>
      <c r="P288" s="78">
        <f>IF(OR($A288="",N(O288)=0),"",O288+H288)</f>
        <v/>
      </c>
      <c r="Q288" s="79">
        <f>IF(P288="","",P288-TODAY())</f>
        <v/>
      </c>
      <c r="R288" s="9">
        <f>IF($A288="","",IF(M288="Non","INACTIF",IF(Q288="","À DÉFINIR",IF(Q288&lt;0,"EN RETARD",IF(Q288&lt;='Paramètres'!$AA$12,"À PLANIFIER","OK")))))</f>
        <v/>
      </c>
      <c r="S288" s="9">
        <f>IF($A288="","",IF(SUM(COUNTIFS('Ordres de travail'!$I$5:$I$3004,$A288,'Ordres de travail'!$AC$5:$AC$3004,{"Demandé","Planifié","En cours","En attente pièces"}))&gt;0,"Oui","Non"))</f>
        <v/>
      </c>
      <c r="T288" s="68">
        <f>IF($A288="","",COUNTIFS('Ordres de travail'!$I$5:$I$3004,$A288,'Ordres de travail'!$AC$5:$AC$3004,"Clôturé",'Ordres de travail'!$R$5:$R$3004,"&gt;="&amp;'Paramètres'!$AA$6,'Ordres de travail'!$R$5:$R$3004,"&lt;"&amp;('Paramètres'!$AA$7+1)))</f>
        <v/>
      </c>
      <c r="U288" s="69">
        <f>IF(OR($A288="",N(H288)=0),"",IF(M288="Non",0,365/H288*I288))</f>
        <v/>
      </c>
    </row>
    <row r="289">
      <c r="A289" s="7" t="n"/>
      <c r="B289" s="7" t="n"/>
      <c r="C289" s="9">
        <f>IF(B289="","",IFERROR(INDEX('Équipements'!$B$5:$B$304,MATCH(B289,'Équipements'!$A$5:$A$304,0)),"Code inconnu"))</f>
        <v/>
      </c>
      <c r="D289" s="9">
        <f>IF(B289="","",IFERROR(INDEX('Équipements'!$D$5:$D$304,MATCH(B289,'Équipements'!$A$5:$A$304,0)),""))</f>
        <v/>
      </c>
      <c r="E289" s="7" t="n"/>
      <c r="F289" s="7" t="n"/>
      <c r="G289" s="7" t="n"/>
      <c r="H289" s="67" t="n"/>
      <c r="I289" s="76" t="n"/>
      <c r="J289" s="7" t="n"/>
      <c r="K289" s="7" t="n"/>
      <c r="L289" s="65" t="n"/>
      <c r="M289" s="7" t="n"/>
      <c r="N289" s="7" t="n"/>
      <c r="O289" s="78">
        <f>IF($A289="","",MAX(N(L289),INT(_xlfn.MAXIFS('Ordres de travail'!$R$5:$R$3004,'Ordres de travail'!$I$5:$I$3004,$A289,'Ordres de travail'!$AC$5:$AC$3004,"Clôturé"))))</f>
        <v/>
      </c>
      <c r="P289" s="78">
        <f>IF(OR($A289="",N(O289)=0),"",O289+H289)</f>
        <v/>
      </c>
      <c r="Q289" s="79">
        <f>IF(P289="","",P289-TODAY())</f>
        <v/>
      </c>
      <c r="R289" s="9">
        <f>IF($A289="","",IF(M289="Non","INACTIF",IF(Q289="","À DÉFINIR",IF(Q289&lt;0,"EN RETARD",IF(Q289&lt;='Paramètres'!$AA$12,"À PLANIFIER","OK")))))</f>
        <v/>
      </c>
      <c r="S289" s="9">
        <f>IF($A289="","",IF(SUM(COUNTIFS('Ordres de travail'!$I$5:$I$3004,$A289,'Ordres de travail'!$AC$5:$AC$3004,{"Demandé","Planifié","En cours","En attente pièces"}))&gt;0,"Oui","Non"))</f>
        <v/>
      </c>
      <c r="T289" s="68">
        <f>IF($A289="","",COUNTIFS('Ordres de travail'!$I$5:$I$3004,$A289,'Ordres de travail'!$AC$5:$AC$3004,"Clôturé",'Ordres de travail'!$R$5:$R$3004,"&gt;="&amp;'Paramètres'!$AA$6,'Ordres de travail'!$R$5:$R$3004,"&lt;"&amp;('Paramètres'!$AA$7+1)))</f>
        <v/>
      </c>
      <c r="U289" s="69">
        <f>IF(OR($A289="",N(H289)=0),"",IF(M289="Non",0,365/H289*I289))</f>
        <v/>
      </c>
    </row>
    <row r="290">
      <c r="A290" s="7" t="n"/>
      <c r="B290" s="7" t="n"/>
      <c r="C290" s="9">
        <f>IF(B290="","",IFERROR(INDEX('Équipements'!$B$5:$B$304,MATCH(B290,'Équipements'!$A$5:$A$304,0)),"Code inconnu"))</f>
        <v/>
      </c>
      <c r="D290" s="9">
        <f>IF(B290="","",IFERROR(INDEX('Équipements'!$D$5:$D$304,MATCH(B290,'Équipements'!$A$5:$A$304,0)),""))</f>
        <v/>
      </c>
      <c r="E290" s="7" t="n"/>
      <c r="F290" s="7" t="n"/>
      <c r="G290" s="7" t="n"/>
      <c r="H290" s="67" t="n"/>
      <c r="I290" s="76" t="n"/>
      <c r="J290" s="7" t="n"/>
      <c r="K290" s="7" t="n"/>
      <c r="L290" s="65" t="n"/>
      <c r="M290" s="7" t="n"/>
      <c r="N290" s="7" t="n"/>
      <c r="O290" s="78">
        <f>IF($A290="","",MAX(N(L290),INT(_xlfn.MAXIFS('Ordres de travail'!$R$5:$R$3004,'Ordres de travail'!$I$5:$I$3004,$A290,'Ordres de travail'!$AC$5:$AC$3004,"Clôturé"))))</f>
        <v/>
      </c>
      <c r="P290" s="78">
        <f>IF(OR($A290="",N(O290)=0),"",O290+H290)</f>
        <v/>
      </c>
      <c r="Q290" s="79">
        <f>IF(P290="","",P290-TODAY())</f>
        <v/>
      </c>
      <c r="R290" s="9">
        <f>IF($A290="","",IF(M290="Non","INACTIF",IF(Q290="","À DÉFINIR",IF(Q290&lt;0,"EN RETARD",IF(Q290&lt;='Paramètres'!$AA$12,"À PLANIFIER","OK")))))</f>
        <v/>
      </c>
      <c r="S290" s="9">
        <f>IF($A290="","",IF(SUM(COUNTIFS('Ordres de travail'!$I$5:$I$3004,$A290,'Ordres de travail'!$AC$5:$AC$3004,{"Demandé","Planifié","En cours","En attente pièces"}))&gt;0,"Oui","Non"))</f>
        <v/>
      </c>
      <c r="T290" s="68">
        <f>IF($A290="","",COUNTIFS('Ordres de travail'!$I$5:$I$3004,$A290,'Ordres de travail'!$AC$5:$AC$3004,"Clôturé",'Ordres de travail'!$R$5:$R$3004,"&gt;="&amp;'Paramètres'!$AA$6,'Ordres de travail'!$R$5:$R$3004,"&lt;"&amp;('Paramètres'!$AA$7+1)))</f>
        <v/>
      </c>
      <c r="U290" s="69">
        <f>IF(OR($A290="",N(H290)=0),"",IF(M290="Non",0,365/H290*I290))</f>
        <v/>
      </c>
    </row>
    <row r="291">
      <c r="A291" s="7" t="n"/>
      <c r="B291" s="7" t="n"/>
      <c r="C291" s="9">
        <f>IF(B291="","",IFERROR(INDEX('Équipements'!$B$5:$B$304,MATCH(B291,'Équipements'!$A$5:$A$304,0)),"Code inconnu"))</f>
        <v/>
      </c>
      <c r="D291" s="9">
        <f>IF(B291="","",IFERROR(INDEX('Équipements'!$D$5:$D$304,MATCH(B291,'Équipements'!$A$5:$A$304,0)),""))</f>
        <v/>
      </c>
      <c r="E291" s="7" t="n"/>
      <c r="F291" s="7" t="n"/>
      <c r="G291" s="7" t="n"/>
      <c r="H291" s="67" t="n"/>
      <c r="I291" s="76" t="n"/>
      <c r="J291" s="7" t="n"/>
      <c r="K291" s="7" t="n"/>
      <c r="L291" s="65" t="n"/>
      <c r="M291" s="7" t="n"/>
      <c r="N291" s="7" t="n"/>
      <c r="O291" s="78">
        <f>IF($A291="","",MAX(N(L291),INT(_xlfn.MAXIFS('Ordres de travail'!$R$5:$R$3004,'Ordres de travail'!$I$5:$I$3004,$A291,'Ordres de travail'!$AC$5:$AC$3004,"Clôturé"))))</f>
        <v/>
      </c>
      <c r="P291" s="78">
        <f>IF(OR($A291="",N(O291)=0),"",O291+H291)</f>
        <v/>
      </c>
      <c r="Q291" s="79">
        <f>IF(P291="","",P291-TODAY())</f>
        <v/>
      </c>
      <c r="R291" s="9">
        <f>IF($A291="","",IF(M291="Non","INACTIF",IF(Q291="","À DÉFINIR",IF(Q291&lt;0,"EN RETARD",IF(Q291&lt;='Paramètres'!$AA$12,"À PLANIFIER","OK")))))</f>
        <v/>
      </c>
      <c r="S291" s="9">
        <f>IF($A291="","",IF(SUM(COUNTIFS('Ordres de travail'!$I$5:$I$3004,$A291,'Ordres de travail'!$AC$5:$AC$3004,{"Demandé","Planifié","En cours","En attente pièces"}))&gt;0,"Oui","Non"))</f>
        <v/>
      </c>
      <c r="T291" s="68">
        <f>IF($A291="","",COUNTIFS('Ordres de travail'!$I$5:$I$3004,$A291,'Ordres de travail'!$AC$5:$AC$3004,"Clôturé",'Ordres de travail'!$R$5:$R$3004,"&gt;="&amp;'Paramètres'!$AA$6,'Ordres de travail'!$R$5:$R$3004,"&lt;"&amp;('Paramètres'!$AA$7+1)))</f>
        <v/>
      </c>
      <c r="U291" s="69">
        <f>IF(OR($A291="",N(H291)=0),"",IF(M291="Non",0,365/H291*I291))</f>
        <v/>
      </c>
    </row>
    <row r="292">
      <c r="A292" s="7" t="n"/>
      <c r="B292" s="7" t="n"/>
      <c r="C292" s="9">
        <f>IF(B292="","",IFERROR(INDEX('Équipements'!$B$5:$B$304,MATCH(B292,'Équipements'!$A$5:$A$304,0)),"Code inconnu"))</f>
        <v/>
      </c>
      <c r="D292" s="9">
        <f>IF(B292="","",IFERROR(INDEX('Équipements'!$D$5:$D$304,MATCH(B292,'Équipements'!$A$5:$A$304,0)),""))</f>
        <v/>
      </c>
      <c r="E292" s="7" t="n"/>
      <c r="F292" s="7" t="n"/>
      <c r="G292" s="7" t="n"/>
      <c r="H292" s="67" t="n"/>
      <c r="I292" s="76" t="n"/>
      <c r="J292" s="7" t="n"/>
      <c r="K292" s="7" t="n"/>
      <c r="L292" s="65" t="n"/>
      <c r="M292" s="7" t="n"/>
      <c r="N292" s="7" t="n"/>
      <c r="O292" s="78">
        <f>IF($A292="","",MAX(N(L292),INT(_xlfn.MAXIFS('Ordres de travail'!$R$5:$R$3004,'Ordres de travail'!$I$5:$I$3004,$A292,'Ordres de travail'!$AC$5:$AC$3004,"Clôturé"))))</f>
        <v/>
      </c>
      <c r="P292" s="78">
        <f>IF(OR($A292="",N(O292)=0),"",O292+H292)</f>
        <v/>
      </c>
      <c r="Q292" s="79">
        <f>IF(P292="","",P292-TODAY())</f>
        <v/>
      </c>
      <c r="R292" s="9">
        <f>IF($A292="","",IF(M292="Non","INACTIF",IF(Q292="","À DÉFINIR",IF(Q292&lt;0,"EN RETARD",IF(Q292&lt;='Paramètres'!$AA$12,"À PLANIFIER","OK")))))</f>
        <v/>
      </c>
      <c r="S292" s="9">
        <f>IF($A292="","",IF(SUM(COUNTIFS('Ordres de travail'!$I$5:$I$3004,$A292,'Ordres de travail'!$AC$5:$AC$3004,{"Demandé","Planifié","En cours","En attente pièces"}))&gt;0,"Oui","Non"))</f>
        <v/>
      </c>
      <c r="T292" s="68">
        <f>IF($A292="","",COUNTIFS('Ordres de travail'!$I$5:$I$3004,$A292,'Ordres de travail'!$AC$5:$AC$3004,"Clôturé",'Ordres de travail'!$R$5:$R$3004,"&gt;="&amp;'Paramètres'!$AA$6,'Ordres de travail'!$R$5:$R$3004,"&lt;"&amp;('Paramètres'!$AA$7+1)))</f>
        <v/>
      </c>
      <c r="U292" s="69">
        <f>IF(OR($A292="",N(H292)=0),"",IF(M292="Non",0,365/H292*I292))</f>
        <v/>
      </c>
    </row>
    <row r="293">
      <c r="A293" s="7" t="n"/>
      <c r="B293" s="7" t="n"/>
      <c r="C293" s="9">
        <f>IF(B293="","",IFERROR(INDEX('Équipements'!$B$5:$B$304,MATCH(B293,'Équipements'!$A$5:$A$304,0)),"Code inconnu"))</f>
        <v/>
      </c>
      <c r="D293" s="9">
        <f>IF(B293="","",IFERROR(INDEX('Équipements'!$D$5:$D$304,MATCH(B293,'Équipements'!$A$5:$A$304,0)),""))</f>
        <v/>
      </c>
      <c r="E293" s="7" t="n"/>
      <c r="F293" s="7" t="n"/>
      <c r="G293" s="7" t="n"/>
      <c r="H293" s="67" t="n"/>
      <c r="I293" s="76" t="n"/>
      <c r="J293" s="7" t="n"/>
      <c r="K293" s="7" t="n"/>
      <c r="L293" s="65" t="n"/>
      <c r="M293" s="7" t="n"/>
      <c r="N293" s="7" t="n"/>
      <c r="O293" s="78">
        <f>IF($A293="","",MAX(N(L293),INT(_xlfn.MAXIFS('Ordres de travail'!$R$5:$R$3004,'Ordres de travail'!$I$5:$I$3004,$A293,'Ordres de travail'!$AC$5:$AC$3004,"Clôturé"))))</f>
        <v/>
      </c>
      <c r="P293" s="78">
        <f>IF(OR($A293="",N(O293)=0),"",O293+H293)</f>
        <v/>
      </c>
      <c r="Q293" s="79">
        <f>IF(P293="","",P293-TODAY())</f>
        <v/>
      </c>
      <c r="R293" s="9">
        <f>IF($A293="","",IF(M293="Non","INACTIF",IF(Q293="","À DÉFINIR",IF(Q293&lt;0,"EN RETARD",IF(Q293&lt;='Paramètres'!$AA$12,"À PLANIFIER","OK")))))</f>
        <v/>
      </c>
      <c r="S293" s="9">
        <f>IF($A293="","",IF(SUM(COUNTIFS('Ordres de travail'!$I$5:$I$3004,$A293,'Ordres de travail'!$AC$5:$AC$3004,{"Demandé","Planifié","En cours","En attente pièces"}))&gt;0,"Oui","Non"))</f>
        <v/>
      </c>
      <c r="T293" s="68">
        <f>IF($A293="","",COUNTIFS('Ordres de travail'!$I$5:$I$3004,$A293,'Ordres de travail'!$AC$5:$AC$3004,"Clôturé",'Ordres de travail'!$R$5:$R$3004,"&gt;="&amp;'Paramètres'!$AA$6,'Ordres de travail'!$R$5:$R$3004,"&lt;"&amp;('Paramètres'!$AA$7+1)))</f>
        <v/>
      </c>
      <c r="U293" s="69">
        <f>IF(OR($A293="",N(H293)=0),"",IF(M293="Non",0,365/H293*I293))</f>
        <v/>
      </c>
    </row>
    <row r="294">
      <c r="A294" s="7" t="n"/>
      <c r="B294" s="7" t="n"/>
      <c r="C294" s="9">
        <f>IF(B294="","",IFERROR(INDEX('Équipements'!$B$5:$B$304,MATCH(B294,'Équipements'!$A$5:$A$304,0)),"Code inconnu"))</f>
        <v/>
      </c>
      <c r="D294" s="9">
        <f>IF(B294="","",IFERROR(INDEX('Équipements'!$D$5:$D$304,MATCH(B294,'Équipements'!$A$5:$A$304,0)),""))</f>
        <v/>
      </c>
      <c r="E294" s="7" t="n"/>
      <c r="F294" s="7" t="n"/>
      <c r="G294" s="7" t="n"/>
      <c r="H294" s="67" t="n"/>
      <c r="I294" s="76" t="n"/>
      <c r="J294" s="7" t="n"/>
      <c r="K294" s="7" t="n"/>
      <c r="L294" s="65" t="n"/>
      <c r="M294" s="7" t="n"/>
      <c r="N294" s="7" t="n"/>
      <c r="O294" s="78">
        <f>IF($A294="","",MAX(N(L294),INT(_xlfn.MAXIFS('Ordres de travail'!$R$5:$R$3004,'Ordres de travail'!$I$5:$I$3004,$A294,'Ordres de travail'!$AC$5:$AC$3004,"Clôturé"))))</f>
        <v/>
      </c>
      <c r="P294" s="78">
        <f>IF(OR($A294="",N(O294)=0),"",O294+H294)</f>
        <v/>
      </c>
      <c r="Q294" s="79">
        <f>IF(P294="","",P294-TODAY())</f>
        <v/>
      </c>
      <c r="R294" s="9">
        <f>IF($A294="","",IF(M294="Non","INACTIF",IF(Q294="","À DÉFINIR",IF(Q294&lt;0,"EN RETARD",IF(Q294&lt;='Paramètres'!$AA$12,"À PLANIFIER","OK")))))</f>
        <v/>
      </c>
      <c r="S294" s="9">
        <f>IF($A294="","",IF(SUM(COUNTIFS('Ordres de travail'!$I$5:$I$3004,$A294,'Ordres de travail'!$AC$5:$AC$3004,{"Demandé","Planifié","En cours","En attente pièces"}))&gt;0,"Oui","Non"))</f>
        <v/>
      </c>
      <c r="T294" s="68">
        <f>IF($A294="","",COUNTIFS('Ordres de travail'!$I$5:$I$3004,$A294,'Ordres de travail'!$AC$5:$AC$3004,"Clôturé",'Ordres de travail'!$R$5:$R$3004,"&gt;="&amp;'Paramètres'!$AA$6,'Ordres de travail'!$R$5:$R$3004,"&lt;"&amp;('Paramètres'!$AA$7+1)))</f>
        <v/>
      </c>
      <c r="U294" s="69">
        <f>IF(OR($A294="",N(H294)=0),"",IF(M294="Non",0,365/H294*I294))</f>
        <v/>
      </c>
    </row>
    <row r="295">
      <c r="A295" s="7" t="n"/>
      <c r="B295" s="7" t="n"/>
      <c r="C295" s="9">
        <f>IF(B295="","",IFERROR(INDEX('Équipements'!$B$5:$B$304,MATCH(B295,'Équipements'!$A$5:$A$304,0)),"Code inconnu"))</f>
        <v/>
      </c>
      <c r="D295" s="9">
        <f>IF(B295="","",IFERROR(INDEX('Équipements'!$D$5:$D$304,MATCH(B295,'Équipements'!$A$5:$A$304,0)),""))</f>
        <v/>
      </c>
      <c r="E295" s="7" t="n"/>
      <c r="F295" s="7" t="n"/>
      <c r="G295" s="7" t="n"/>
      <c r="H295" s="67" t="n"/>
      <c r="I295" s="76" t="n"/>
      <c r="J295" s="7" t="n"/>
      <c r="K295" s="7" t="n"/>
      <c r="L295" s="65" t="n"/>
      <c r="M295" s="7" t="n"/>
      <c r="N295" s="7" t="n"/>
      <c r="O295" s="78">
        <f>IF($A295="","",MAX(N(L295),INT(_xlfn.MAXIFS('Ordres de travail'!$R$5:$R$3004,'Ordres de travail'!$I$5:$I$3004,$A295,'Ordres de travail'!$AC$5:$AC$3004,"Clôturé"))))</f>
        <v/>
      </c>
      <c r="P295" s="78">
        <f>IF(OR($A295="",N(O295)=0),"",O295+H295)</f>
        <v/>
      </c>
      <c r="Q295" s="79">
        <f>IF(P295="","",P295-TODAY())</f>
        <v/>
      </c>
      <c r="R295" s="9">
        <f>IF($A295="","",IF(M295="Non","INACTIF",IF(Q295="","À DÉFINIR",IF(Q295&lt;0,"EN RETARD",IF(Q295&lt;='Paramètres'!$AA$12,"À PLANIFIER","OK")))))</f>
        <v/>
      </c>
      <c r="S295" s="9">
        <f>IF($A295="","",IF(SUM(COUNTIFS('Ordres de travail'!$I$5:$I$3004,$A295,'Ordres de travail'!$AC$5:$AC$3004,{"Demandé","Planifié","En cours","En attente pièces"}))&gt;0,"Oui","Non"))</f>
        <v/>
      </c>
      <c r="T295" s="68">
        <f>IF($A295="","",COUNTIFS('Ordres de travail'!$I$5:$I$3004,$A295,'Ordres de travail'!$AC$5:$AC$3004,"Clôturé",'Ordres de travail'!$R$5:$R$3004,"&gt;="&amp;'Paramètres'!$AA$6,'Ordres de travail'!$R$5:$R$3004,"&lt;"&amp;('Paramètres'!$AA$7+1)))</f>
        <v/>
      </c>
      <c r="U295" s="69">
        <f>IF(OR($A295="",N(H295)=0),"",IF(M295="Non",0,365/H295*I295))</f>
        <v/>
      </c>
    </row>
    <row r="296">
      <c r="A296" s="7" t="n"/>
      <c r="B296" s="7" t="n"/>
      <c r="C296" s="9">
        <f>IF(B296="","",IFERROR(INDEX('Équipements'!$B$5:$B$304,MATCH(B296,'Équipements'!$A$5:$A$304,0)),"Code inconnu"))</f>
        <v/>
      </c>
      <c r="D296" s="9">
        <f>IF(B296="","",IFERROR(INDEX('Équipements'!$D$5:$D$304,MATCH(B296,'Équipements'!$A$5:$A$304,0)),""))</f>
        <v/>
      </c>
      <c r="E296" s="7" t="n"/>
      <c r="F296" s="7" t="n"/>
      <c r="G296" s="7" t="n"/>
      <c r="H296" s="67" t="n"/>
      <c r="I296" s="76" t="n"/>
      <c r="J296" s="7" t="n"/>
      <c r="K296" s="7" t="n"/>
      <c r="L296" s="65" t="n"/>
      <c r="M296" s="7" t="n"/>
      <c r="N296" s="7" t="n"/>
      <c r="O296" s="78">
        <f>IF($A296="","",MAX(N(L296),INT(_xlfn.MAXIFS('Ordres de travail'!$R$5:$R$3004,'Ordres de travail'!$I$5:$I$3004,$A296,'Ordres de travail'!$AC$5:$AC$3004,"Clôturé"))))</f>
        <v/>
      </c>
      <c r="P296" s="78">
        <f>IF(OR($A296="",N(O296)=0),"",O296+H296)</f>
        <v/>
      </c>
      <c r="Q296" s="79">
        <f>IF(P296="","",P296-TODAY())</f>
        <v/>
      </c>
      <c r="R296" s="9">
        <f>IF($A296="","",IF(M296="Non","INACTIF",IF(Q296="","À DÉFINIR",IF(Q296&lt;0,"EN RETARD",IF(Q296&lt;='Paramètres'!$AA$12,"À PLANIFIER","OK")))))</f>
        <v/>
      </c>
      <c r="S296" s="9">
        <f>IF($A296="","",IF(SUM(COUNTIFS('Ordres de travail'!$I$5:$I$3004,$A296,'Ordres de travail'!$AC$5:$AC$3004,{"Demandé","Planifié","En cours","En attente pièces"}))&gt;0,"Oui","Non"))</f>
        <v/>
      </c>
      <c r="T296" s="68">
        <f>IF($A296="","",COUNTIFS('Ordres de travail'!$I$5:$I$3004,$A296,'Ordres de travail'!$AC$5:$AC$3004,"Clôturé",'Ordres de travail'!$R$5:$R$3004,"&gt;="&amp;'Paramètres'!$AA$6,'Ordres de travail'!$R$5:$R$3004,"&lt;"&amp;('Paramètres'!$AA$7+1)))</f>
        <v/>
      </c>
      <c r="U296" s="69">
        <f>IF(OR($A296="",N(H296)=0),"",IF(M296="Non",0,365/H296*I296))</f>
        <v/>
      </c>
    </row>
    <row r="297">
      <c r="A297" s="7" t="n"/>
      <c r="B297" s="7" t="n"/>
      <c r="C297" s="9">
        <f>IF(B297="","",IFERROR(INDEX('Équipements'!$B$5:$B$304,MATCH(B297,'Équipements'!$A$5:$A$304,0)),"Code inconnu"))</f>
        <v/>
      </c>
      <c r="D297" s="9">
        <f>IF(B297="","",IFERROR(INDEX('Équipements'!$D$5:$D$304,MATCH(B297,'Équipements'!$A$5:$A$304,0)),""))</f>
        <v/>
      </c>
      <c r="E297" s="7" t="n"/>
      <c r="F297" s="7" t="n"/>
      <c r="G297" s="7" t="n"/>
      <c r="H297" s="67" t="n"/>
      <c r="I297" s="76" t="n"/>
      <c r="J297" s="7" t="n"/>
      <c r="K297" s="7" t="n"/>
      <c r="L297" s="65" t="n"/>
      <c r="M297" s="7" t="n"/>
      <c r="N297" s="7" t="n"/>
      <c r="O297" s="78">
        <f>IF($A297="","",MAX(N(L297),INT(_xlfn.MAXIFS('Ordres de travail'!$R$5:$R$3004,'Ordres de travail'!$I$5:$I$3004,$A297,'Ordres de travail'!$AC$5:$AC$3004,"Clôturé"))))</f>
        <v/>
      </c>
      <c r="P297" s="78">
        <f>IF(OR($A297="",N(O297)=0),"",O297+H297)</f>
        <v/>
      </c>
      <c r="Q297" s="79">
        <f>IF(P297="","",P297-TODAY())</f>
        <v/>
      </c>
      <c r="R297" s="9">
        <f>IF($A297="","",IF(M297="Non","INACTIF",IF(Q297="","À DÉFINIR",IF(Q297&lt;0,"EN RETARD",IF(Q297&lt;='Paramètres'!$AA$12,"À PLANIFIER","OK")))))</f>
        <v/>
      </c>
      <c r="S297" s="9">
        <f>IF($A297="","",IF(SUM(COUNTIFS('Ordres de travail'!$I$5:$I$3004,$A297,'Ordres de travail'!$AC$5:$AC$3004,{"Demandé","Planifié","En cours","En attente pièces"}))&gt;0,"Oui","Non"))</f>
        <v/>
      </c>
      <c r="T297" s="68">
        <f>IF($A297="","",COUNTIFS('Ordres de travail'!$I$5:$I$3004,$A297,'Ordres de travail'!$AC$5:$AC$3004,"Clôturé",'Ordres de travail'!$R$5:$R$3004,"&gt;="&amp;'Paramètres'!$AA$6,'Ordres de travail'!$R$5:$R$3004,"&lt;"&amp;('Paramètres'!$AA$7+1)))</f>
        <v/>
      </c>
      <c r="U297" s="69">
        <f>IF(OR($A297="",N(H297)=0),"",IF(M297="Non",0,365/H297*I297))</f>
        <v/>
      </c>
    </row>
    <row r="298">
      <c r="A298" s="7" t="n"/>
      <c r="B298" s="7" t="n"/>
      <c r="C298" s="9">
        <f>IF(B298="","",IFERROR(INDEX('Équipements'!$B$5:$B$304,MATCH(B298,'Équipements'!$A$5:$A$304,0)),"Code inconnu"))</f>
        <v/>
      </c>
      <c r="D298" s="9">
        <f>IF(B298="","",IFERROR(INDEX('Équipements'!$D$5:$D$304,MATCH(B298,'Équipements'!$A$5:$A$304,0)),""))</f>
        <v/>
      </c>
      <c r="E298" s="7" t="n"/>
      <c r="F298" s="7" t="n"/>
      <c r="G298" s="7" t="n"/>
      <c r="H298" s="67" t="n"/>
      <c r="I298" s="76" t="n"/>
      <c r="J298" s="7" t="n"/>
      <c r="K298" s="7" t="n"/>
      <c r="L298" s="65" t="n"/>
      <c r="M298" s="7" t="n"/>
      <c r="N298" s="7" t="n"/>
      <c r="O298" s="78">
        <f>IF($A298="","",MAX(N(L298),INT(_xlfn.MAXIFS('Ordres de travail'!$R$5:$R$3004,'Ordres de travail'!$I$5:$I$3004,$A298,'Ordres de travail'!$AC$5:$AC$3004,"Clôturé"))))</f>
        <v/>
      </c>
      <c r="P298" s="78">
        <f>IF(OR($A298="",N(O298)=0),"",O298+H298)</f>
        <v/>
      </c>
      <c r="Q298" s="79">
        <f>IF(P298="","",P298-TODAY())</f>
        <v/>
      </c>
      <c r="R298" s="9">
        <f>IF($A298="","",IF(M298="Non","INACTIF",IF(Q298="","À DÉFINIR",IF(Q298&lt;0,"EN RETARD",IF(Q298&lt;='Paramètres'!$AA$12,"À PLANIFIER","OK")))))</f>
        <v/>
      </c>
      <c r="S298" s="9">
        <f>IF($A298="","",IF(SUM(COUNTIFS('Ordres de travail'!$I$5:$I$3004,$A298,'Ordres de travail'!$AC$5:$AC$3004,{"Demandé","Planifié","En cours","En attente pièces"}))&gt;0,"Oui","Non"))</f>
        <v/>
      </c>
      <c r="T298" s="68">
        <f>IF($A298="","",COUNTIFS('Ordres de travail'!$I$5:$I$3004,$A298,'Ordres de travail'!$AC$5:$AC$3004,"Clôturé",'Ordres de travail'!$R$5:$R$3004,"&gt;="&amp;'Paramètres'!$AA$6,'Ordres de travail'!$R$5:$R$3004,"&lt;"&amp;('Paramètres'!$AA$7+1)))</f>
        <v/>
      </c>
      <c r="U298" s="69">
        <f>IF(OR($A298="",N(H298)=0),"",IF(M298="Non",0,365/H298*I298))</f>
        <v/>
      </c>
    </row>
    <row r="299">
      <c r="A299" s="7" t="n"/>
      <c r="B299" s="7" t="n"/>
      <c r="C299" s="9">
        <f>IF(B299="","",IFERROR(INDEX('Équipements'!$B$5:$B$304,MATCH(B299,'Équipements'!$A$5:$A$304,0)),"Code inconnu"))</f>
        <v/>
      </c>
      <c r="D299" s="9">
        <f>IF(B299="","",IFERROR(INDEX('Équipements'!$D$5:$D$304,MATCH(B299,'Équipements'!$A$5:$A$304,0)),""))</f>
        <v/>
      </c>
      <c r="E299" s="7" t="n"/>
      <c r="F299" s="7" t="n"/>
      <c r="G299" s="7" t="n"/>
      <c r="H299" s="67" t="n"/>
      <c r="I299" s="76" t="n"/>
      <c r="J299" s="7" t="n"/>
      <c r="K299" s="7" t="n"/>
      <c r="L299" s="65" t="n"/>
      <c r="M299" s="7" t="n"/>
      <c r="N299" s="7" t="n"/>
      <c r="O299" s="78">
        <f>IF($A299="","",MAX(N(L299),INT(_xlfn.MAXIFS('Ordres de travail'!$R$5:$R$3004,'Ordres de travail'!$I$5:$I$3004,$A299,'Ordres de travail'!$AC$5:$AC$3004,"Clôturé"))))</f>
        <v/>
      </c>
      <c r="P299" s="78">
        <f>IF(OR($A299="",N(O299)=0),"",O299+H299)</f>
        <v/>
      </c>
      <c r="Q299" s="79">
        <f>IF(P299="","",P299-TODAY())</f>
        <v/>
      </c>
      <c r="R299" s="9">
        <f>IF($A299="","",IF(M299="Non","INACTIF",IF(Q299="","À DÉFINIR",IF(Q299&lt;0,"EN RETARD",IF(Q299&lt;='Paramètres'!$AA$12,"À PLANIFIER","OK")))))</f>
        <v/>
      </c>
      <c r="S299" s="9">
        <f>IF($A299="","",IF(SUM(COUNTIFS('Ordres de travail'!$I$5:$I$3004,$A299,'Ordres de travail'!$AC$5:$AC$3004,{"Demandé","Planifié","En cours","En attente pièces"}))&gt;0,"Oui","Non"))</f>
        <v/>
      </c>
      <c r="T299" s="68">
        <f>IF($A299="","",COUNTIFS('Ordres de travail'!$I$5:$I$3004,$A299,'Ordres de travail'!$AC$5:$AC$3004,"Clôturé",'Ordres de travail'!$R$5:$R$3004,"&gt;="&amp;'Paramètres'!$AA$6,'Ordres de travail'!$R$5:$R$3004,"&lt;"&amp;('Paramètres'!$AA$7+1)))</f>
        <v/>
      </c>
      <c r="U299" s="69">
        <f>IF(OR($A299="",N(H299)=0),"",IF(M299="Non",0,365/H299*I299))</f>
        <v/>
      </c>
    </row>
    <row r="300">
      <c r="A300" s="7" t="n"/>
      <c r="B300" s="7" t="n"/>
      <c r="C300" s="9">
        <f>IF(B300="","",IFERROR(INDEX('Équipements'!$B$5:$B$304,MATCH(B300,'Équipements'!$A$5:$A$304,0)),"Code inconnu"))</f>
        <v/>
      </c>
      <c r="D300" s="9">
        <f>IF(B300="","",IFERROR(INDEX('Équipements'!$D$5:$D$304,MATCH(B300,'Équipements'!$A$5:$A$304,0)),""))</f>
        <v/>
      </c>
      <c r="E300" s="7" t="n"/>
      <c r="F300" s="7" t="n"/>
      <c r="G300" s="7" t="n"/>
      <c r="H300" s="67" t="n"/>
      <c r="I300" s="76" t="n"/>
      <c r="J300" s="7" t="n"/>
      <c r="K300" s="7" t="n"/>
      <c r="L300" s="65" t="n"/>
      <c r="M300" s="7" t="n"/>
      <c r="N300" s="7" t="n"/>
      <c r="O300" s="78">
        <f>IF($A300="","",MAX(N(L300),INT(_xlfn.MAXIFS('Ordres de travail'!$R$5:$R$3004,'Ordres de travail'!$I$5:$I$3004,$A300,'Ordres de travail'!$AC$5:$AC$3004,"Clôturé"))))</f>
        <v/>
      </c>
      <c r="P300" s="78">
        <f>IF(OR($A300="",N(O300)=0),"",O300+H300)</f>
        <v/>
      </c>
      <c r="Q300" s="79">
        <f>IF(P300="","",P300-TODAY())</f>
        <v/>
      </c>
      <c r="R300" s="9">
        <f>IF($A300="","",IF(M300="Non","INACTIF",IF(Q300="","À DÉFINIR",IF(Q300&lt;0,"EN RETARD",IF(Q300&lt;='Paramètres'!$AA$12,"À PLANIFIER","OK")))))</f>
        <v/>
      </c>
      <c r="S300" s="9">
        <f>IF($A300="","",IF(SUM(COUNTIFS('Ordres de travail'!$I$5:$I$3004,$A300,'Ordres de travail'!$AC$5:$AC$3004,{"Demandé","Planifié","En cours","En attente pièces"}))&gt;0,"Oui","Non"))</f>
        <v/>
      </c>
      <c r="T300" s="68">
        <f>IF($A300="","",COUNTIFS('Ordres de travail'!$I$5:$I$3004,$A300,'Ordres de travail'!$AC$5:$AC$3004,"Clôturé",'Ordres de travail'!$R$5:$R$3004,"&gt;="&amp;'Paramètres'!$AA$6,'Ordres de travail'!$R$5:$R$3004,"&lt;"&amp;('Paramètres'!$AA$7+1)))</f>
        <v/>
      </c>
      <c r="U300" s="69">
        <f>IF(OR($A300="",N(H300)=0),"",IF(M300="Non",0,365/H300*I300))</f>
        <v/>
      </c>
    </row>
    <row r="301">
      <c r="A301" s="7" t="n"/>
      <c r="B301" s="7" t="n"/>
      <c r="C301" s="9">
        <f>IF(B301="","",IFERROR(INDEX('Équipements'!$B$5:$B$304,MATCH(B301,'Équipements'!$A$5:$A$304,0)),"Code inconnu"))</f>
        <v/>
      </c>
      <c r="D301" s="9">
        <f>IF(B301="","",IFERROR(INDEX('Équipements'!$D$5:$D$304,MATCH(B301,'Équipements'!$A$5:$A$304,0)),""))</f>
        <v/>
      </c>
      <c r="E301" s="7" t="n"/>
      <c r="F301" s="7" t="n"/>
      <c r="G301" s="7" t="n"/>
      <c r="H301" s="67" t="n"/>
      <c r="I301" s="76" t="n"/>
      <c r="J301" s="7" t="n"/>
      <c r="K301" s="7" t="n"/>
      <c r="L301" s="65" t="n"/>
      <c r="M301" s="7" t="n"/>
      <c r="N301" s="7" t="n"/>
      <c r="O301" s="78">
        <f>IF($A301="","",MAX(N(L301),INT(_xlfn.MAXIFS('Ordres de travail'!$R$5:$R$3004,'Ordres de travail'!$I$5:$I$3004,$A301,'Ordres de travail'!$AC$5:$AC$3004,"Clôturé"))))</f>
        <v/>
      </c>
      <c r="P301" s="78">
        <f>IF(OR($A301="",N(O301)=0),"",O301+H301)</f>
        <v/>
      </c>
      <c r="Q301" s="79">
        <f>IF(P301="","",P301-TODAY())</f>
        <v/>
      </c>
      <c r="R301" s="9">
        <f>IF($A301="","",IF(M301="Non","INACTIF",IF(Q301="","À DÉFINIR",IF(Q301&lt;0,"EN RETARD",IF(Q301&lt;='Paramètres'!$AA$12,"À PLANIFIER","OK")))))</f>
        <v/>
      </c>
      <c r="S301" s="9">
        <f>IF($A301="","",IF(SUM(COUNTIFS('Ordres de travail'!$I$5:$I$3004,$A301,'Ordres de travail'!$AC$5:$AC$3004,{"Demandé","Planifié","En cours","En attente pièces"}))&gt;0,"Oui","Non"))</f>
        <v/>
      </c>
      <c r="T301" s="68">
        <f>IF($A301="","",COUNTIFS('Ordres de travail'!$I$5:$I$3004,$A301,'Ordres de travail'!$AC$5:$AC$3004,"Clôturé",'Ordres de travail'!$R$5:$R$3004,"&gt;="&amp;'Paramètres'!$AA$6,'Ordres de travail'!$R$5:$R$3004,"&lt;"&amp;('Paramètres'!$AA$7+1)))</f>
        <v/>
      </c>
      <c r="U301" s="69">
        <f>IF(OR($A301="",N(H301)=0),"",IF(M301="Non",0,365/H301*I301))</f>
        <v/>
      </c>
    </row>
    <row r="302">
      <c r="A302" s="7" t="n"/>
      <c r="B302" s="7" t="n"/>
      <c r="C302" s="9">
        <f>IF(B302="","",IFERROR(INDEX('Équipements'!$B$5:$B$304,MATCH(B302,'Équipements'!$A$5:$A$304,0)),"Code inconnu"))</f>
        <v/>
      </c>
      <c r="D302" s="9">
        <f>IF(B302="","",IFERROR(INDEX('Équipements'!$D$5:$D$304,MATCH(B302,'Équipements'!$A$5:$A$304,0)),""))</f>
        <v/>
      </c>
      <c r="E302" s="7" t="n"/>
      <c r="F302" s="7" t="n"/>
      <c r="G302" s="7" t="n"/>
      <c r="H302" s="67" t="n"/>
      <c r="I302" s="76" t="n"/>
      <c r="J302" s="7" t="n"/>
      <c r="K302" s="7" t="n"/>
      <c r="L302" s="65" t="n"/>
      <c r="M302" s="7" t="n"/>
      <c r="N302" s="7" t="n"/>
      <c r="O302" s="78">
        <f>IF($A302="","",MAX(N(L302),INT(_xlfn.MAXIFS('Ordres de travail'!$R$5:$R$3004,'Ordres de travail'!$I$5:$I$3004,$A302,'Ordres de travail'!$AC$5:$AC$3004,"Clôturé"))))</f>
        <v/>
      </c>
      <c r="P302" s="78">
        <f>IF(OR($A302="",N(O302)=0),"",O302+H302)</f>
        <v/>
      </c>
      <c r="Q302" s="79">
        <f>IF(P302="","",P302-TODAY())</f>
        <v/>
      </c>
      <c r="R302" s="9">
        <f>IF($A302="","",IF(M302="Non","INACTIF",IF(Q302="","À DÉFINIR",IF(Q302&lt;0,"EN RETARD",IF(Q302&lt;='Paramètres'!$AA$12,"À PLANIFIER","OK")))))</f>
        <v/>
      </c>
      <c r="S302" s="9">
        <f>IF($A302="","",IF(SUM(COUNTIFS('Ordres de travail'!$I$5:$I$3004,$A302,'Ordres de travail'!$AC$5:$AC$3004,{"Demandé","Planifié","En cours","En attente pièces"}))&gt;0,"Oui","Non"))</f>
        <v/>
      </c>
      <c r="T302" s="68">
        <f>IF($A302="","",COUNTIFS('Ordres de travail'!$I$5:$I$3004,$A302,'Ordres de travail'!$AC$5:$AC$3004,"Clôturé",'Ordres de travail'!$R$5:$R$3004,"&gt;="&amp;'Paramètres'!$AA$6,'Ordres de travail'!$R$5:$R$3004,"&lt;"&amp;('Paramètres'!$AA$7+1)))</f>
        <v/>
      </c>
      <c r="U302" s="69">
        <f>IF(OR($A302="",N(H302)=0),"",IF(M302="Non",0,365/H302*I302))</f>
        <v/>
      </c>
    </row>
    <row r="303">
      <c r="A303" s="7" t="n"/>
      <c r="B303" s="7" t="n"/>
      <c r="C303" s="9">
        <f>IF(B303="","",IFERROR(INDEX('Équipements'!$B$5:$B$304,MATCH(B303,'Équipements'!$A$5:$A$304,0)),"Code inconnu"))</f>
        <v/>
      </c>
      <c r="D303" s="9">
        <f>IF(B303="","",IFERROR(INDEX('Équipements'!$D$5:$D$304,MATCH(B303,'Équipements'!$A$5:$A$304,0)),""))</f>
        <v/>
      </c>
      <c r="E303" s="7" t="n"/>
      <c r="F303" s="7" t="n"/>
      <c r="G303" s="7" t="n"/>
      <c r="H303" s="67" t="n"/>
      <c r="I303" s="76" t="n"/>
      <c r="J303" s="7" t="n"/>
      <c r="K303" s="7" t="n"/>
      <c r="L303" s="65" t="n"/>
      <c r="M303" s="7" t="n"/>
      <c r="N303" s="7" t="n"/>
      <c r="O303" s="78">
        <f>IF($A303="","",MAX(N(L303),INT(_xlfn.MAXIFS('Ordres de travail'!$R$5:$R$3004,'Ordres de travail'!$I$5:$I$3004,$A303,'Ordres de travail'!$AC$5:$AC$3004,"Clôturé"))))</f>
        <v/>
      </c>
      <c r="P303" s="78">
        <f>IF(OR($A303="",N(O303)=0),"",O303+H303)</f>
        <v/>
      </c>
      <c r="Q303" s="79">
        <f>IF(P303="","",P303-TODAY())</f>
        <v/>
      </c>
      <c r="R303" s="9">
        <f>IF($A303="","",IF(M303="Non","INACTIF",IF(Q303="","À DÉFINIR",IF(Q303&lt;0,"EN RETARD",IF(Q303&lt;='Paramètres'!$AA$12,"À PLANIFIER","OK")))))</f>
        <v/>
      </c>
      <c r="S303" s="9">
        <f>IF($A303="","",IF(SUM(COUNTIFS('Ordres de travail'!$I$5:$I$3004,$A303,'Ordres de travail'!$AC$5:$AC$3004,{"Demandé","Planifié","En cours","En attente pièces"}))&gt;0,"Oui","Non"))</f>
        <v/>
      </c>
      <c r="T303" s="68">
        <f>IF($A303="","",COUNTIFS('Ordres de travail'!$I$5:$I$3004,$A303,'Ordres de travail'!$AC$5:$AC$3004,"Clôturé",'Ordres de travail'!$R$5:$R$3004,"&gt;="&amp;'Paramètres'!$AA$6,'Ordres de travail'!$R$5:$R$3004,"&lt;"&amp;('Paramètres'!$AA$7+1)))</f>
        <v/>
      </c>
      <c r="U303" s="69">
        <f>IF(OR($A303="",N(H303)=0),"",IF(M303="Non",0,365/H303*I303))</f>
        <v/>
      </c>
    </row>
    <row r="304">
      <c r="A304" s="7" t="n"/>
      <c r="B304" s="7" t="n"/>
      <c r="C304" s="9">
        <f>IF(B304="","",IFERROR(INDEX('Équipements'!$B$5:$B$304,MATCH(B304,'Équipements'!$A$5:$A$304,0)),"Code inconnu"))</f>
        <v/>
      </c>
      <c r="D304" s="9">
        <f>IF(B304="","",IFERROR(INDEX('Équipements'!$D$5:$D$304,MATCH(B304,'Équipements'!$A$5:$A$304,0)),""))</f>
        <v/>
      </c>
      <c r="E304" s="7" t="n"/>
      <c r="F304" s="7" t="n"/>
      <c r="G304" s="7" t="n"/>
      <c r="H304" s="67" t="n"/>
      <c r="I304" s="76" t="n"/>
      <c r="J304" s="7" t="n"/>
      <c r="K304" s="7" t="n"/>
      <c r="L304" s="65" t="n"/>
      <c r="M304" s="7" t="n"/>
      <c r="N304" s="7" t="n"/>
      <c r="O304" s="78">
        <f>IF($A304="","",MAX(N(L304),INT(_xlfn.MAXIFS('Ordres de travail'!$R$5:$R$3004,'Ordres de travail'!$I$5:$I$3004,$A304,'Ordres de travail'!$AC$5:$AC$3004,"Clôturé"))))</f>
        <v/>
      </c>
      <c r="P304" s="78">
        <f>IF(OR($A304="",N(O304)=0),"",O304+H304)</f>
        <v/>
      </c>
      <c r="Q304" s="79">
        <f>IF(P304="","",P304-TODAY())</f>
        <v/>
      </c>
      <c r="R304" s="9">
        <f>IF($A304="","",IF(M304="Non","INACTIF",IF(Q304="","À DÉFINIR",IF(Q304&lt;0,"EN RETARD",IF(Q304&lt;='Paramètres'!$AA$12,"À PLANIFIER","OK")))))</f>
        <v/>
      </c>
      <c r="S304" s="9">
        <f>IF($A304="","",IF(SUM(COUNTIFS('Ordres de travail'!$I$5:$I$3004,$A304,'Ordres de travail'!$AC$5:$AC$3004,{"Demandé","Planifié","En cours","En attente pièces"}))&gt;0,"Oui","Non"))</f>
        <v/>
      </c>
      <c r="T304" s="68">
        <f>IF($A304="","",COUNTIFS('Ordres de travail'!$I$5:$I$3004,$A304,'Ordres de travail'!$AC$5:$AC$3004,"Clôturé",'Ordres de travail'!$R$5:$R$3004,"&gt;="&amp;'Paramètres'!$AA$6,'Ordres de travail'!$R$5:$R$3004,"&lt;"&amp;('Paramètres'!$AA$7+1)))</f>
        <v/>
      </c>
      <c r="U304" s="69">
        <f>IF(OR($A304="",N(H304)=0),"",IF(M304="Non",0,365/H304*I304))</f>
        <v/>
      </c>
    </row>
    <row r="305">
      <c r="A305" s="7" t="n"/>
      <c r="B305" s="7" t="n"/>
      <c r="C305" s="9">
        <f>IF(B305="","",IFERROR(INDEX('Équipements'!$B$5:$B$304,MATCH(B305,'Équipements'!$A$5:$A$304,0)),"Code inconnu"))</f>
        <v/>
      </c>
      <c r="D305" s="9">
        <f>IF(B305="","",IFERROR(INDEX('Équipements'!$D$5:$D$304,MATCH(B305,'Équipements'!$A$5:$A$304,0)),""))</f>
        <v/>
      </c>
      <c r="E305" s="7" t="n"/>
      <c r="F305" s="7" t="n"/>
      <c r="G305" s="7" t="n"/>
      <c r="H305" s="67" t="n"/>
      <c r="I305" s="76" t="n"/>
      <c r="J305" s="7" t="n"/>
      <c r="K305" s="7" t="n"/>
      <c r="L305" s="65" t="n"/>
      <c r="M305" s="7" t="n"/>
      <c r="N305" s="7" t="n"/>
      <c r="O305" s="78">
        <f>IF($A305="","",MAX(N(L305),INT(_xlfn.MAXIFS('Ordres de travail'!$R$5:$R$3004,'Ordres de travail'!$I$5:$I$3004,$A305,'Ordres de travail'!$AC$5:$AC$3004,"Clôturé"))))</f>
        <v/>
      </c>
      <c r="P305" s="78">
        <f>IF(OR($A305="",N(O305)=0),"",O305+H305)</f>
        <v/>
      </c>
      <c r="Q305" s="79">
        <f>IF(P305="","",P305-TODAY())</f>
        <v/>
      </c>
      <c r="R305" s="9">
        <f>IF($A305="","",IF(M305="Non","INACTIF",IF(Q305="","À DÉFINIR",IF(Q305&lt;0,"EN RETARD",IF(Q305&lt;='Paramètres'!$AA$12,"À PLANIFIER","OK")))))</f>
        <v/>
      </c>
      <c r="S305" s="9">
        <f>IF($A305="","",IF(SUM(COUNTIFS('Ordres de travail'!$I$5:$I$3004,$A305,'Ordres de travail'!$AC$5:$AC$3004,{"Demandé","Planifié","En cours","En attente pièces"}))&gt;0,"Oui","Non"))</f>
        <v/>
      </c>
      <c r="T305" s="68">
        <f>IF($A305="","",COUNTIFS('Ordres de travail'!$I$5:$I$3004,$A305,'Ordres de travail'!$AC$5:$AC$3004,"Clôturé",'Ordres de travail'!$R$5:$R$3004,"&gt;="&amp;'Paramètres'!$AA$6,'Ordres de travail'!$R$5:$R$3004,"&lt;"&amp;('Paramètres'!$AA$7+1)))</f>
        <v/>
      </c>
      <c r="U305" s="69">
        <f>IF(OR($A305="",N(H305)=0),"",IF(M305="Non",0,365/H305*I305))</f>
        <v/>
      </c>
    </row>
    <row r="306">
      <c r="A306" s="7" t="n"/>
      <c r="B306" s="7" t="n"/>
      <c r="C306" s="9">
        <f>IF(B306="","",IFERROR(INDEX('Équipements'!$B$5:$B$304,MATCH(B306,'Équipements'!$A$5:$A$304,0)),"Code inconnu"))</f>
        <v/>
      </c>
      <c r="D306" s="9">
        <f>IF(B306="","",IFERROR(INDEX('Équipements'!$D$5:$D$304,MATCH(B306,'Équipements'!$A$5:$A$304,0)),""))</f>
        <v/>
      </c>
      <c r="E306" s="7" t="n"/>
      <c r="F306" s="7" t="n"/>
      <c r="G306" s="7" t="n"/>
      <c r="H306" s="67" t="n"/>
      <c r="I306" s="76" t="n"/>
      <c r="J306" s="7" t="n"/>
      <c r="K306" s="7" t="n"/>
      <c r="L306" s="65" t="n"/>
      <c r="M306" s="7" t="n"/>
      <c r="N306" s="7" t="n"/>
      <c r="O306" s="78">
        <f>IF($A306="","",MAX(N(L306),INT(_xlfn.MAXIFS('Ordres de travail'!$R$5:$R$3004,'Ordres de travail'!$I$5:$I$3004,$A306,'Ordres de travail'!$AC$5:$AC$3004,"Clôturé"))))</f>
        <v/>
      </c>
      <c r="P306" s="78">
        <f>IF(OR($A306="",N(O306)=0),"",O306+H306)</f>
        <v/>
      </c>
      <c r="Q306" s="79">
        <f>IF(P306="","",P306-TODAY())</f>
        <v/>
      </c>
      <c r="R306" s="9">
        <f>IF($A306="","",IF(M306="Non","INACTIF",IF(Q306="","À DÉFINIR",IF(Q306&lt;0,"EN RETARD",IF(Q306&lt;='Paramètres'!$AA$12,"À PLANIFIER","OK")))))</f>
        <v/>
      </c>
      <c r="S306" s="9">
        <f>IF($A306="","",IF(SUM(COUNTIFS('Ordres de travail'!$I$5:$I$3004,$A306,'Ordres de travail'!$AC$5:$AC$3004,{"Demandé","Planifié","En cours","En attente pièces"}))&gt;0,"Oui","Non"))</f>
        <v/>
      </c>
      <c r="T306" s="68">
        <f>IF($A306="","",COUNTIFS('Ordres de travail'!$I$5:$I$3004,$A306,'Ordres de travail'!$AC$5:$AC$3004,"Clôturé",'Ordres de travail'!$R$5:$R$3004,"&gt;="&amp;'Paramètres'!$AA$6,'Ordres de travail'!$R$5:$R$3004,"&lt;"&amp;('Paramètres'!$AA$7+1)))</f>
        <v/>
      </c>
      <c r="U306" s="69">
        <f>IF(OR($A306="",N(H306)=0),"",IF(M306="Non",0,365/H306*I306))</f>
        <v/>
      </c>
    </row>
    <row r="307">
      <c r="A307" s="7" t="n"/>
      <c r="B307" s="7" t="n"/>
      <c r="C307" s="9">
        <f>IF(B307="","",IFERROR(INDEX('Équipements'!$B$5:$B$304,MATCH(B307,'Équipements'!$A$5:$A$304,0)),"Code inconnu"))</f>
        <v/>
      </c>
      <c r="D307" s="9">
        <f>IF(B307="","",IFERROR(INDEX('Équipements'!$D$5:$D$304,MATCH(B307,'Équipements'!$A$5:$A$304,0)),""))</f>
        <v/>
      </c>
      <c r="E307" s="7" t="n"/>
      <c r="F307" s="7" t="n"/>
      <c r="G307" s="7" t="n"/>
      <c r="H307" s="67" t="n"/>
      <c r="I307" s="76" t="n"/>
      <c r="J307" s="7" t="n"/>
      <c r="K307" s="7" t="n"/>
      <c r="L307" s="65" t="n"/>
      <c r="M307" s="7" t="n"/>
      <c r="N307" s="7" t="n"/>
      <c r="O307" s="78">
        <f>IF($A307="","",MAX(N(L307),INT(_xlfn.MAXIFS('Ordres de travail'!$R$5:$R$3004,'Ordres de travail'!$I$5:$I$3004,$A307,'Ordres de travail'!$AC$5:$AC$3004,"Clôturé"))))</f>
        <v/>
      </c>
      <c r="P307" s="78">
        <f>IF(OR($A307="",N(O307)=0),"",O307+H307)</f>
        <v/>
      </c>
      <c r="Q307" s="79">
        <f>IF(P307="","",P307-TODAY())</f>
        <v/>
      </c>
      <c r="R307" s="9">
        <f>IF($A307="","",IF(M307="Non","INACTIF",IF(Q307="","À DÉFINIR",IF(Q307&lt;0,"EN RETARD",IF(Q307&lt;='Paramètres'!$AA$12,"À PLANIFIER","OK")))))</f>
        <v/>
      </c>
      <c r="S307" s="9">
        <f>IF($A307="","",IF(SUM(COUNTIFS('Ordres de travail'!$I$5:$I$3004,$A307,'Ordres de travail'!$AC$5:$AC$3004,{"Demandé","Planifié","En cours","En attente pièces"}))&gt;0,"Oui","Non"))</f>
        <v/>
      </c>
      <c r="T307" s="68">
        <f>IF($A307="","",COUNTIFS('Ordres de travail'!$I$5:$I$3004,$A307,'Ordres de travail'!$AC$5:$AC$3004,"Clôturé",'Ordres de travail'!$R$5:$R$3004,"&gt;="&amp;'Paramètres'!$AA$6,'Ordres de travail'!$R$5:$R$3004,"&lt;"&amp;('Paramètres'!$AA$7+1)))</f>
        <v/>
      </c>
      <c r="U307" s="69">
        <f>IF(OR($A307="",N(H307)=0),"",IF(M307="Non",0,365/H307*I307))</f>
        <v/>
      </c>
    </row>
    <row r="308">
      <c r="A308" s="7" t="n"/>
      <c r="B308" s="7" t="n"/>
      <c r="C308" s="9">
        <f>IF(B308="","",IFERROR(INDEX('Équipements'!$B$5:$B$304,MATCH(B308,'Équipements'!$A$5:$A$304,0)),"Code inconnu"))</f>
        <v/>
      </c>
      <c r="D308" s="9">
        <f>IF(B308="","",IFERROR(INDEX('Équipements'!$D$5:$D$304,MATCH(B308,'Équipements'!$A$5:$A$304,0)),""))</f>
        <v/>
      </c>
      <c r="E308" s="7" t="n"/>
      <c r="F308" s="7" t="n"/>
      <c r="G308" s="7" t="n"/>
      <c r="H308" s="67" t="n"/>
      <c r="I308" s="76" t="n"/>
      <c r="J308" s="7" t="n"/>
      <c r="K308" s="7" t="n"/>
      <c r="L308" s="65" t="n"/>
      <c r="M308" s="7" t="n"/>
      <c r="N308" s="7" t="n"/>
      <c r="O308" s="78">
        <f>IF($A308="","",MAX(N(L308),INT(_xlfn.MAXIFS('Ordres de travail'!$R$5:$R$3004,'Ordres de travail'!$I$5:$I$3004,$A308,'Ordres de travail'!$AC$5:$AC$3004,"Clôturé"))))</f>
        <v/>
      </c>
      <c r="P308" s="78">
        <f>IF(OR($A308="",N(O308)=0),"",O308+H308)</f>
        <v/>
      </c>
      <c r="Q308" s="79">
        <f>IF(P308="","",P308-TODAY())</f>
        <v/>
      </c>
      <c r="R308" s="9">
        <f>IF($A308="","",IF(M308="Non","INACTIF",IF(Q308="","À DÉFINIR",IF(Q308&lt;0,"EN RETARD",IF(Q308&lt;='Paramètres'!$AA$12,"À PLANIFIER","OK")))))</f>
        <v/>
      </c>
      <c r="S308" s="9">
        <f>IF($A308="","",IF(SUM(COUNTIFS('Ordres de travail'!$I$5:$I$3004,$A308,'Ordres de travail'!$AC$5:$AC$3004,{"Demandé","Planifié","En cours","En attente pièces"}))&gt;0,"Oui","Non"))</f>
        <v/>
      </c>
      <c r="T308" s="68">
        <f>IF($A308="","",COUNTIFS('Ordres de travail'!$I$5:$I$3004,$A308,'Ordres de travail'!$AC$5:$AC$3004,"Clôturé",'Ordres de travail'!$R$5:$R$3004,"&gt;="&amp;'Paramètres'!$AA$6,'Ordres de travail'!$R$5:$R$3004,"&lt;"&amp;('Paramètres'!$AA$7+1)))</f>
        <v/>
      </c>
      <c r="U308" s="69">
        <f>IF(OR($A308="",N(H308)=0),"",IF(M308="Non",0,365/H308*I308))</f>
        <v/>
      </c>
    </row>
    <row r="309">
      <c r="A309" s="7" t="n"/>
      <c r="B309" s="7" t="n"/>
      <c r="C309" s="9">
        <f>IF(B309="","",IFERROR(INDEX('Équipements'!$B$5:$B$304,MATCH(B309,'Équipements'!$A$5:$A$304,0)),"Code inconnu"))</f>
        <v/>
      </c>
      <c r="D309" s="9">
        <f>IF(B309="","",IFERROR(INDEX('Équipements'!$D$5:$D$304,MATCH(B309,'Équipements'!$A$5:$A$304,0)),""))</f>
        <v/>
      </c>
      <c r="E309" s="7" t="n"/>
      <c r="F309" s="7" t="n"/>
      <c r="G309" s="7" t="n"/>
      <c r="H309" s="67" t="n"/>
      <c r="I309" s="76" t="n"/>
      <c r="J309" s="7" t="n"/>
      <c r="K309" s="7" t="n"/>
      <c r="L309" s="65" t="n"/>
      <c r="M309" s="7" t="n"/>
      <c r="N309" s="7" t="n"/>
      <c r="O309" s="78">
        <f>IF($A309="","",MAX(N(L309),INT(_xlfn.MAXIFS('Ordres de travail'!$R$5:$R$3004,'Ordres de travail'!$I$5:$I$3004,$A309,'Ordres de travail'!$AC$5:$AC$3004,"Clôturé"))))</f>
        <v/>
      </c>
      <c r="P309" s="78">
        <f>IF(OR($A309="",N(O309)=0),"",O309+H309)</f>
        <v/>
      </c>
      <c r="Q309" s="79">
        <f>IF(P309="","",P309-TODAY())</f>
        <v/>
      </c>
      <c r="R309" s="9">
        <f>IF($A309="","",IF(M309="Non","INACTIF",IF(Q309="","À DÉFINIR",IF(Q309&lt;0,"EN RETARD",IF(Q309&lt;='Paramètres'!$AA$12,"À PLANIFIER","OK")))))</f>
        <v/>
      </c>
      <c r="S309" s="9">
        <f>IF($A309="","",IF(SUM(COUNTIFS('Ordres de travail'!$I$5:$I$3004,$A309,'Ordres de travail'!$AC$5:$AC$3004,{"Demandé","Planifié","En cours","En attente pièces"}))&gt;0,"Oui","Non"))</f>
        <v/>
      </c>
      <c r="T309" s="68">
        <f>IF($A309="","",COUNTIFS('Ordres de travail'!$I$5:$I$3004,$A309,'Ordres de travail'!$AC$5:$AC$3004,"Clôturé",'Ordres de travail'!$R$5:$R$3004,"&gt;="&amp;'Paramètres'!$AA$6,'Ordres de travail'!$R$5:$R$3004,"&lt;"&amp;('Paramètres'!$AA$7+1)))</f>
        <v/>
      </c>
      <c r="U309" s="69">
        <f>IF(OR($A309="",N(H309)=0),"",IF(M309="Non",0,365/H309*I309))</f>
        <v/>
      </c>
    </row>
    <row r="310">
      <c r="A310" s="7" t="n"/>
      <c r="B310" s="7" t="n"/>
      <c r="C310" s="9">
        <f>IF(B310="","",IFERROR(INDEX('Équipements'!$B$5:$B$304,MATCH(B310,'Équipements'!$A$5:$A$304,0)),"Code inconnu"))</f>
        <v/>
      </c>
      <c r="D310" s="9">
        <f>IF(B310="","",IFERROR(INDEX('Équipements'!$D$5:$D$304,MATCH(B310,'Équipements'!$A$5:$A$304,0)),""))</f>
        <v/>
      </c>
      <c r="E310" s="7" t="n"/>
      <c r="F310" s="7" t="n"/>
      <c r="G310" s="7" t="n"/>
      <c r="H310" s="67" t="n"/>
      <c r="I310" s="76" t="n"/>
      <c r="J310" s="7" t="n"/>
      <c r="K310" s="7" t="n"/>
      <c r="L310" s="65" t="n"/>
      <c r="M310" s="7" t="n"/>
      <c r="N310" s="7" t="n"/>
      <c r="O310" s="78">
        <f>IF($A310="","",MAX(N(L310),INT(_xlfn.MAXIFS('Ordres de travail'!$R$5:$R$3004,'Ordres de travail'!$I$5:$I$3004,$A310,'Ordres de travail'!$AC$5:$AC$3004,"Clôturé"))))</f>
        <v/>
      </c>
      <c r="P310" s="78">
        <f>IF(OR($A310="",N(O310)=0),"",O310+H310)</f>
        <v/>
      </c>
      <c r="Q310" s="79">
        <f>IF(P310="","",P310-TODAY())</f>
        <v/>
      </c>
      <c r="R310" s="9">
        <f>IF($A310="","",IF(M310="Non","INACTIF",IF(Q310="","À DÉFINIR",IF(Q310&lt;0,"EN RETARD",IF(Q310&lt;='Paramètres'!$AA$12,"À PLANIFIER","OK")))))</f>
        <v/>
      </c>
      <c r="S310" s="9">
        <f>IF($A310="","",IF(SUM(COUNTIFS('Ordres de travail'!$I$5:$I$3004,$A310,'Ordres de travail'!$AC$5:$AC$3004,{"Demandé","Planifié","En cours","En attente pièces"}))&gt;0,"Oui","Non"))</f>
        <v/>
      </c>
      <c r="T310" s="68">
        <f>IF($A310="","",COUNTIFS('Ordres de travail'!$I$5:$I$3004,$A310,'Ordres de travail'!$AC$5:$AC$3004,"Clôturé",'Ordres de travail'!$R$5:$R$3004,"&gt;="&amp;'Paramètres'!$AA$6,'Ordres de travail'!$R$5:$R$3004,"&lt;"&amp;('Paramètres'!$AA$7+1)))</f>
        <v/>
      </c>
      <c r="U310" s="69">
        <f>IF(OR($A310="",N(H310)=0),"",IF(M310="Non",0,365/H310*I310))</f>
        <v/>
      </c>
    </row>
    <row r="311">
      <c r="A311" s="7" t="n"/>
      <c r="B311" s="7" t="n"/>
      <c r="C311" s="9">
        <f>IF(B311="","",IFERROR(INDEX('Équipements'!$B$5:$B$304,MATCH(B311,'Équipements'!$A$5:$A$304,0)),"Code inconnu"))</f>
        <v/>
      </c>
      <c r="D311" s="9">
        <f>IF(B311="","",IFERROR(INDEX('Équipements'!$D$5:$D$304,MATCH(B311,'Équipements'!$A$5:$A$304,0)),""))</f>
        <v/>
      </c>
      <c r="E311" s="7" t="n"/>
      <c r="F311" s="7" t="n"/>
      <c r="G311" s="7" t="n"/>
      <c r="H311" s="67" t="n"/>
      <c r="I311" s="76" t="n"/>
      <c r="J311" s="7" t="n"/>
      <c r="K311" s="7" t="n"/>
      <c r="L311" s="65" t="n"/>
      <c r="M311" s="7" t="n"/>
      <c r="N311" s="7" t="n"/>
      <c r="O311" s="78">
        <f>IF($A311="","",MAX(N(L311),INT(_xlfn.MAXIFS('Ordres de travail'!$R$5:$R$3004,'Ordres de travail'!$I$5:$I$3004,$A311,'Ordres de travail'!$AC$5:$AC$3004,"Clôturé"))))</f>
        <v/>
      </c>
      <c r="P311" s="78">
        <f>IF(OR($A311="",N(O311)=0),"",O311+H311)</f>
        <v/>
      </c>
      <c r="Q311" s="79">
        <f>IF(P311="","",P311-TODAY())</f>
        <v/>
      </c>
      <c r="R311" s="9">
        <f>IF($A311="","",IF(M311="Non","INACTIF",IF(Q311="","À DÉFINIR",IF(Q311&lt;0,"EN RETARD",IF(Q311&lt;='Paramètres'!$AA$12,"À PLANIFIER","OK")))))</f>
        <v/>
      </c>
      <c r="S311" s="9">
        <f>IF($A311="","",IF(SUM(COUNTIFS('Ordres de travail'!$I$5:$I$3004,$A311,'Ordres de travail'!$AC$5:$AC$3004,{"Demandé","Planifié","En cours","En attente pièces"}))&gt;0,"Oui","Non"))</f>
        <v/>
      </c>
      <c r="T311" s="68">
        <f>IF($A311="","",COUNTIFS('Ordres de travail'!$I$5:$I$3004,$A311,'Ordres de travail'!$AC$5:$AC$3004,"Clôturé",'Ordres de travail'!$R$5:$R$3004,"&gt;="&amp;'Paramètres'!$AA$6,'Ordres de travail'!$R$5:$R$3004,"&lt;"&amp;('Paramètres'!$AA$7+1)))</f>
        <v/>
      </c>
      <c r="U311" s="69">
        <f>IF(OR($A311="",N(H311)=0),"",IF(M311="Non",0,365/H311*I311))</f>
        <v/>
      </c>
    </row>
    <row r="312">
      <c r="A312" s="7" t="n"/>
      <c r="B312" s="7" t="n"/>
      <c r="C312" s="9">
        <f>IF(B312="","",IFERROR(INDEX('Équipements'!$B$5:$B$304,MATCH(B312,'Équipements'!$A$5:$A$304,0)),"Code inconnu"))</f>
        <v/>
      </c>
      <c r="D312" s="9">
        <f>IF(B312="","",IFERROR(INDEX('Équipements'!$D$5:$D$304,MATCH(B312,'Équipements'!$A$5:$A$304,0)),""))</f>
        <v/>
      </c>
      <c r="E312" s="7" t="n"/>
      <c r="F312" s="7" t="n"/>
      <c r="G312" s="7" t="n"/>
      <c r="H312" s="67" t="n"/>
      <c r="I312" s="76" t="n"/>
      <c r="J312" s="7" t="n"/>
      <c r="K312" s="7" t="n"/>
      <c r="L312" s="65" t="n"/>
      <c r="M312" s="7" t="n"/>
      <c r="N312" s="7" t="n"/>
      <c r="O312" s="78">
        <f>IF($A312="","",MAX(N(L312),INT(_xlfn.MAXIFS('Ordres de travail'!$R$5:$R$3004,'Ordres de travail'!$I$5:$I$3004,$A312,'Ordres de travail'!$AC$5:$AC$3004,"Clôturé"))))</f>
        <v/>
      </c>
      <c r="P312" s="78">
        <f>IF(OR($A312="",N(O312)=0),"",O312+H312)</f>
        <v/>
      </c>
      <c r="Q312" s="79">
        <f>IF(P312="","",P312-TODAY())</f>
        <v/>
      </c>
      <c r="R312" s="9">
        <f>IF($A312="","",IF(M312="Non","INACTIF",IF(Q312="","À DÉFINIR",IF(Q312&lt;0,"EN RETARD",IF(Q312&lt;='Paramètres'!$AA$12,"À PLANIFIER","OK")))))</f>
        <v/>
      </c>
      <c r="S312" s="9">
        <f>IF($A312="","",IF(SUM(COUNTIFS('Ordres de travail'!$I$5:$I$3004,$A312,'Ordres de travail'!$AC$5:$AC$3004,{"Demandé","Planifié","En cours","En attente pièces"}))&gt;0,"Oui","Non"))</f>
        <v/>
      </c>
      <c r="T312" s="68">
        <f>IF($A312="","",COUNTIFS('Ordres de travail'!$I$5:$I$3004,$A312,'Ordres de travail'!$AC$5:$AC$3004,"Clôturé",'Ordres de travail'!$R$5:$R$3004,"&gt;="&amp;'Paramètres'!$AA$6,'Ordres de travail'!$R$5:$R$3004,"&lt;"&amp;('Paramètres'!$AA$7+1)))</f>
        <v/>
      </c>
      <c r="U312" s="69">
        <f>IF(OR($A312="",N(H312)=0),"",IF(M312="Non",0,365/H312*I312))</f>
        <v/>
      </c>
    </row>
    <row r="313">
      <c r="A313" s="7" t="n"/>
      <c r="B313" s="7" t="n"/>
      <c r="C313" s="9">
        <f>IF(B313="","",IFERROR(INDEX('Équipements'!$B$5:$B$304,MATCH(B313,'Équipements'!$A$5:$A$304,0)),"Code inconnu"))</f>
        <v/>
      </c>
      <c r="D313" s="9">
        <f>IF(B313="","",IFERROR(INDEX('Équipements'!$D$5:$D$304,MATCH(B313,'Équipements'!$A$5:$A$304,0)),""))</f>
        <v/>
      </c>
      <c r="E313" s="7" t="n"/>
      <c r="F313" s="7" t="n"/>
      <c r="G313" s="7" t="n"/>
      <c r="H313" s="67" t="n"/>
      <c r="I313" s="76" t="n"/>
      <c r="J313" s="7" t="n"/>
      <c r="K313" s="7" t="n"/>
      <c r="L313" s="65" t="n"/>
      <c r="M313" s="7" t="n"/>
      <c r="N313" s="7" t="n"/>
      <c r="O313" s="78">
        <f>IF($A313="","",MAX(N(L313),INT(_xlfn.MAXIFS('Ordres de travail'!$R$5:$R$3004,'Ordres de travail'!$I$5:$I$3004,$A313,'Ordres de travail'!$AC$5:$AC$3004,"Clôturé"))))</f>
        <v/>
      </c>
      <c r="P313" s="78">
        <f>IF(OR($A313="",N(O313)=0),"",O313+H313)</f>
        <v/>
      </c>
      <c r="Q313" s="79">
        <f>IF(P313="","",P313-TODAY())</f>
        <v/>
      </c>
      <c r="R313" s="9">
        <f>IF($A313="","",IF(M313="Non","INACTIF",IF(Q313="","À DÉFINIR",IF(Q313&lt;0,"EN RETARD",IF(Q313&lt;='Paramètres'!$AA$12,"À PLANIFIER","OK")))))</f>
        <v/>
      </c>
      <c r="S313" s="9">
        <f>IF($A313="","",IF(SUM(COUNTIFS('Ordres de travail'!$I$5:$I$3004,$A313,'Ordres de travail'!$AC$5:$AC$3004,{"Demandé","Planifié","En cours","En attente pièces"}))&gt;0,"Oui","Non"))</f>
        <v/>
      </c>
      <c r="T313" s="68">
        <f>IF($A313="","",COUNTIFS('Ordres de travail'!$I$5:$I$3004,$A313,'Ordres de travail'!$AC$5:$AC$3004,"Clôturé",'Ordres de travail'!$R$5:$R$3004,"&gt;="&amp;'Paramètres'!$AA$6,'Ordres de travail'!$R$5:$R$3004,"&lt;"&amp;('Paramètres'!$AA$7+1)))</f>
        <v/>
      </c>
      <c r="U313" s="69">
        <f>IF(OR($A313="",N(H313)=0),"",IF(M313="Non",0,365/H313*I313))</f>
        <v/>
      </c>
    </row>
    <row r="314">
      <c r="A314" s="7" t="n"/>
      <c r="B314" s="7" t="n"/>
      <c r="C314" s="9">
        <f>IF(B314="","",IFERROR(INDEX('Équipements'!$B$5:$B$304,MATCH(B314,'Équipements'!$A$5:$A$304,0)),"Code inconnu"))</f>
        <v/>
      </c>
      <c r="D314" s="9">
        <f>IF(B314="","",IFERROR(INDEX('Équipements'!$D$5:$D$304,MATCH(B314,'Équipements'!$A$5:$A$304,0)),""))</f>
        <v/>
      </c>
      <c r="E314" s="7" t="n"/>
      <c r="F314" s="7" t="n"/>
      <c r="G314" s="7" t="n"/>
      <c r="H314" s="67" t="n"/>
      <c r="I314" s="76" t="n"/>
      <c r="J314" s="7" t="n"/>
      <c r="K314" s="7" t="n"/>
      <c r="L314" s="65" t="n"/>
      <c r="M314" s="7" t="n"/>
      <c r="N314" s="7" t="n"/>
      <c r="O314" s="78">
        <f>IF($A314="","",MAX(N(L314),INT(_xlfn.MAXIFS('Ordres de travail'!$R$5:$R$3004,'Ordres de travail'!$I$5:$I$3004,$A314,'Ordres de travail'!$AC$5:$AC$3004,"Clôturé"))))</f>
        <v/>
      </c>
      <c r="P314" s="78">
        <f>IF(OR($A314="",N(O314)=0),"",O314+H314)</f>
        <v/>
      </c>
      <c r="Q314" s="79">
        <f>IF(P314="","",P314-TODAY())</f>
        <v/>
      </c>
      <c r="R314" s="9">
        <f>IF($A314="","",IF(M314="Non","INACTIF",IF(Q314="","À DÉFINIR",IF(Q314&lt;0,"EN RETARD",IF(Q314&lt;='Paramètres'!$AA$12,"À PLANIFIER","OK")))))</f>
        <v/>
      </c>
      <c r="S314" s="9">
        <f>IF($A314="","",IF(SUM(COUNTIFS('Ordres de travail'!$I$5:$I$3004,$A314,'Ordres de travail'!$AC$5:$AC$3004,{"Demandé","Planifié","En cours","En attente pièces"}))&gt;0,"Oui","Non"))</f>
        <v/>
      </c>
      <c r="T314" s="68">
        <f>IF($A314="","",COUNTIFS('Ordres de travail'!$I$5:$I$3004,$A314,'Ordres de travail'!$AC$5:$AC$3004,"Clôturé",'Ordres de travail'!$R$5:$R$3004,"&gt;="&amp;'Paramètres'!$AA$6,'Ordres de travail'!$R$5:$R$3004,"&lt;"&amp;('Paramètres'!$AA$7+1)))</f>
        <v/>
      </c>
      <c r="U314" s="69">
        <f>IF(OR($A314="",N(H314)=0),"",IF(M314="Non",0,365/H314*I314))</f>
        <v/>
      </c>
    </row>
    <row r="315">
      <c r="A315" s="7" t="n"/>
      <c r="B315" s="7" t="n"/>
      <c r="C315" s="9">
        <f>IF(B315="","",IFERROR(INDEX('Équipements'!$B$5:$B$304,MATCH(B315,'Équipements'!$A$5:$A$304,0)),"Code inconnu"))</f>
        <v/>
      </c>
      <c r="D315" s="9">
        <f>IF(B315="","",IFERROR(INDEX('Équipements'!$D$5:$D$304,MATCH(B315,'Équipements'!$A$5:$A$304,0)),""))</f>
        <v/>
      </c>
      <c r="E315" s="7" t="n"/>
      <c r="F315" s="7" t="n"/>
      <c r="G315" s="7" t="n"/>
      <c r="H315" s="67" t="n"/>
      <c r="I315" s="76" t="n"/>
      <c r="J315" s="7" t="n"/>
      <c r="K315" s="7" t="n"/>
      <c r="L315" s="65" t="n"/>
      <c r="M315" s="7" t="n"/>
      <c r="N315" s="7" t="n"/>
      <c r="O315" s="78">
        <f>IF($A315="","",MAX(N(L315),INT(_xlfn.MAXIFS('Ordres de travail'!$R$5:$R$3004,'Ordres de travail'!$I$5:$I$3004,$A315,'Ordres de travail'!$AC$5:$AC$3004,"Clôturé"))))</f>
        <v/>
      </c>
      <c r="P315" s="78">
        <f>IF(OR($A315="",N(O315)=0),"",O315+H315)</f>
        <v/>
      </c>
      <c r="Q315" s="79">
        <f>IF(P315="","",P315-TODAY())</f>
        <v/>
      </c>
      <c r="R315" s="9">
        <f>IF($A315="","",IF(M315="Non","INACTIF",IF(Q315="","À DÉFINIR",IF(Q315&lt;0,"EN RETARD",IF(Q315&lt;='Paramètres'!$AA$12,"À PLANIFIER","OK")))))</f>
        <v/>
      </c>
      <c r="S315" s="9">
        <f>IF($A315="","",IF(SUM(COUNTIFS('Ordres de travail'!$I$5:$I$3004,$A315,'Ordres de travail'!$AC$5:$AC$3004,{"Demandé","Planifié","En cours","En attente pièces"}))&gt;0,"Oui","Non"))</f>
        <v/>
      </c>
      <c r="T315" s="68">
        <f>IF($A315="","",COUNTIFS('Ordres de travail'!$I$5:$I$3004,$A315,'Ordres de travail'!$AC$5:$AC$3004,"Clôturé",'Ordres de travail'!$R$5:$R$3004,"&gt;="&amp;'Paramètres'!$AA$6,'Ordres de travail'!$R$5:$R$3004,"&lt;"&amp;('Paramètres'!$AA$7+1)))</f>
        <v/>
      </c>
      <c r="U315" s="69">
        <f>IF(OR($A315="",N(H315)=0),"",IF(M315="Non",0,365/H315*I315))</f>
        <v/>
      </c>
    </row>
    <row r="316">
      <c r="A316" s="7" t="n"/>
      <c r="B316" s="7" t="n"/>
      <c r="C316" s="9">
        <f>IF(B316="","",IFERROR(INDEX('Équipements'!$B$5:$B$304,MATCH(B316,'Équipements'!$A$5:$A$304,0)),"Code inconnu"))</f>
        <v/>
      </c>
      <c r="D316" s="9">
        <f>IF(B316="","",IFERROR(INDEX('Équipements'!$D$5:$D$304,MATCH(B316,'Équipements'!$A$5:$A$304,0)),""))</f>
        <v/>
      </c>
      <c r="E316" s="7" t="n"/>
      <c r="F316" s="7" t="n"/>
      <c r="G316" s="7" t="n"/>
      <c r="H316" s="67" t="n"/>
      <c r="I316" s="76" t="n"/>
      <c r="J316" s="7" t="n"/>
      <c r="K316" s="7" t="n"/>
      <c r="L316" s="65" t="n"/>
      <c r="M316" s="7" t="n"/>
      <c r="N316" s="7" t="n"/>
      <c r="O316" s="78">
        <f>IF($A316="","",MAX(N(L316),INT(_xlfn.MAXIFS('Ordres de travail'!$R$5:$R$3004,'Ordres de travail'!$I$5:$I$3004,$A316,'Ordres de travail'!$AC$5:$AC$3004,"Clôturé"))))</f>
        <v/>
      </c>
      <c r="P316" s="78">
        <f>IF(OR($A316="",N(O316)=0),"",O316+H316)</f>
        <v/>
      </c>
      <c r="Q316" s="79">
        <f>IF(P316="","",P316-TODAY())</f>
        <v/>
      </c>
      <c r="R316" s="9">
        <f>IF($A316="","",IF(M316="Non","INACTIF",IF(Q316="","À DÉFINIR",IF(Q316&lt;0,"EN RETARD",IF(Q316&lt;='Paramètres'!$AA$12,"À PLANIFIER","OK")))))</f>
        <v/>
      </c>
      <c r="S316" s="9">
        <f>IF($A316="","",IF(SUM(COUNTIFS('Ordres de travail'!$I$5:$I$3004,$A316,'Ordres de travail'!$AC$5:$AC$3004,{"Demandé","Planifié","En cours","En attente pièces"}))&gt;0,"Oui","Non"))</f>
        <v/>
      </c>
      <c r="T316" s="68">
        <f>IF($A316="","",COUNTIFS('Ordres de travail'!$I$5:$I$3004,$A316,'Ordres de travail'!$AC$5:$AC$3004,"Clôturé",'Ordres de travail'!$R$5:$R$3004,"&gt;="&amp;'Paramètres'!$AA$6,'Ordres de travail'!$R$5:$R$3004,"&lt;"&amp;('Paramètres'!$AA$7+1)))</f>
        <v/>
      </c>
      <c r="U316" s="69">
        <f>IF(OR($A316="",N(H316)=0),"",IF(M316="Non",0,365/H316*I316))</f>
        <v/>
      </c>
    </row>
    <row r="317">
      <c r="A317" s="7" t="n"/>
      <c r="B317" s="7" t="n"/>
      <c r="C317" s="9">
        <f>IF(B317="","",IFERROR(INDEX('Équipements'!$B$5:$B$304,MATCH(B317,'Équipements'!$A$5:$A$304,0)),"Code inconnu"))</f>
        <v/>
      </c>
      <c r="D317" s="9">
        <f>IF(B317="","",IFERROR(INDEX('Équipements'!$D$5:$D$304,MATCH(B317,'Équipements'!$A$5:$A$304,0)),""))</f>
        <v/>
      </c>
      <c r="E317" s="7" t="n"/>
      <c r="F317" s="7" t="n"/>
      <c r="G317" s="7" t="n"/>
      <c r="H317" s="67" t="n"/>
      <c r="I317" s="76" t="n"/>
      <c r="J317" s="7" t="n"/>
      <c r="K317" s="7" t="n"/>
      <c r="L317" s="65" t="n"/>
      <c r="M317" s="7" t="n"/>
      <c r="N317" s="7" t="n"/>
      <c r="O317" s="78">
        <f>IF($A317="","",MAX(N(L317),INT(_xlfn.MAXIFS('Ordres de travail'!$R$5:$R$3004,'Ordres de travail'!$I$5:$I$3004,$A317,'Ordres de travail'!$AC$5:$AC$3004,"Clôturé"))))</f>
        <v/>
      </c>
      <c r="P317" s="78">
        <f>IF(OR($A317="",N(O317)=0),"",O317+H317)</f>
        <v/>
      </c>
      <c r="Q317" s="79">
        <f>IF(P317="","",P317-TODAY())</f>
        <v/>
      </c>
      <c r="R317" s="9">
        <f>IF($A317="","",IF(M317="Non","INACTIF",IF(Q317="","À DÉFINIR",IF(Q317&lt;0,"EN RETARD",IF(Q317&lt;='Paramètres'!$AA$12,"À PLANIFIER","OK")))))</f>
        <v/>
      </c>
      <c r="S317" s="9">
        <f>IF($A317="","",IF(SUM(COUNTIFS('Ordres de travail'!$I$5:$I$3004,$A317,'Ordres de travail'!$AC$5:$AC$3004,{"Demandé","Planifié","En cours","En attente pièces"}))&gt;0,"Oui","Non"))</f>
        <v/>
      </c>
      <c r="T317" s="68">
        <f>IF($A317="","",COUNTIFS('Ordres de travail'!$I$5:$I$3004,$A317,'Ordres de travail'!$AC$5:$AC$3004,"Clôturé",'Ordres de travail'!$R$5:$R$3004,"&gt;="&amp;'Paramètres'!$AA$6,'Ordres de travail'!$R$5:$R$3004,"&lt;"&amp;('Paramètres'!$AA$7+1)))</f>
        <v/>
      </c>
      <c r="U317" s="69">
        <f>IF(OR($A317="",N(H317)=0),"",IF(M317="Non",0,365/H317*I317))</f>
        <v/>
      </c>
    </row>
    <row r="318">
      <c r="A318" s="7" t="n"/>
      <c r="B318" s="7" t="n"/>
      <c r="C318" s="9">
        <f>IF(B318="","",IFERROR(INDEX('Équipements'!$B$5:$B$304,MATCH(B318,'Équipements'!$A$5:$A$304,0)),"Code inconnu"))</f>
        <v/>
      </c>
      <c r="D318" s="9">
        <f>IF(B318="","",IFERROR(INDEX('Équipements'!$D$5:$D$304,MATCH(B318,'Équipements'!$A$5:$A$304,0)),""))</f>
        <v/>
      </c>
      <c r="E318" s="7" t="n"/>
      <c r="F318" s="7" t="n"/>
      <c r="G318" s="7" t="n"/>
      <c r="H318" s="67" t="n"/>
      <c r="I318" s="76" t="n"/>
      <c r="J318" s="7" t="n"/>
      <c r="K318" s="7" t="n"/>
      <c r="L318" s="65" t="n"/>
      <c r="M318" s="7" t="n"/>
      <c r="N318" s="7" t="n"/>
      <c r="O318" s="78">
        <f>IF($A318="","",MAX(N(L318),INT(_xlfn.MAXIFS('Ordres de travail'!$R$5:$R$3004,'Ordres de travail'!$I$5:$I$3004,$A318,'Ordres de travail'!$AC$5:$AC$3004,"Clôturé"))))</f>
        <v/>
      </c>
      <c r="P318" s="78">
        <f>IF(OR($A318="",N(O318)=0),"",O318+H318)</f>
        <v/>
      </c>
      <c r="Q318" s="79">
        <f>IF(P318="","",P318-TODAY())</f>
        <v/>
      </c>
      <c r="R318" s="9">
        <f>IF($A318="","",IF(M318="Non","INACTIF",IF(Q318="","À DÉFINIR",IF(Q318&lt;0,"EN RETARD",IF(Q318&lt;='Paramètres'!$AA$12,"À PLANIFIER","OK")))))</f>
        <v/>
      </c>
      <c r="S318" s="9">
        <f>IF($A318="","",IF(SUM(COUNTIFS('Ordres de travail'!$I$5:$I$3004,$A318,'Ordres de travail'!$AC$5:$AC$3004,{"Demandé","Planifié","En cours","En attente pièces"}))&gt;0,"Oui","Non"))</f>
        <v/>
      </c>
      <c r="T318" s="68">
        <f>IF($A318="","",COUNTIFS('Ordres de travail'!$I$5:$I$3004,$A318,'Ordres de travail'!$AC$5:$AC$3004,"Clôturé",'Ordres de travail'!$R$5:$R$3004,"&gt;="&amp;'Paramètres'!$AA$6,'Ordres de travail'!$R$5:$R$3004,"&lt;"&amp;('Paramètres'!$AA$7+1)))</f>
        <v/>
      </c>
      <c r="U318" s="69">
        <f>IF(OR($A318="",N(H318)=0),"",IF(M318="Non",0,365/H318*I318))</f>
        <v/>
      </c>
    </row>
    <row r="319">
      <c r="A319" s="7" t="n"/>
      <c r="B319" s="7" t="n"/>
      <c r="C319" s="9">
        <f>IF(B319="","",IFERROR(INDEX('Équipements'!$B$5:$B$304,MATCH(B319,'Équipements'!$A$5:$A$304,0)),"Code inconnu"))</f>
        <v/>
      </c>
      <c r="D319" s="9">
        <f>IF(B319="","",IFERROR(INDEX('Équipements'!$D$5:$D$304,MATCH(B319,'Équipements'!$A$5:$A$304,0)),""))</f>
        <v/>
      </c>
      <c r="E319" s="7" t="n"/>
      <c r="F319" s="7" t="n"/>
      <c r="G319" s="7" t="n"/>
      <c r="H319" s="67" t="n"/>
      <c r="I319" s="76" t="n"/>
      <c r="J319" s="7" t="n"/>
      <c r="K319" s="7" t="n"/>
      <c r="L319" s="65" t="n"/>
      <c r="M319" s="7" t="n"/>
      <c r="N319" s="7" t="n"/>
      <c r="O319" s="78">
        <f>IF($A319="","",MAX(N(L319),INT(_xlfn.MAXIFS('Ordres de travail'!$R$5:$R$3004,'Ordres de travail'!$I$5:$I$3004,$A319,'Ordres de travail'!$AC$5:$AC$3004,"Clôturé"))))</f>
        <v/>
      </c>
      <c r="P319" s="78">
        <f>IF(OR($A319="",N(O319)=0),"",O319+H319)</f>
        <v/>
      </c>
      <c r="Q319" s="79">
        <f>IF(P319="","",P319-TODAY())</f>
        <v/>
      </c>
      <c r="R319" s="9">
        <f>IF($A319="","",IF(M319="Non","INACTIF",IF(Q319="","À DÉFINIR",IF(Q319&lt;0,"EN RETARD",IF(Q319&lt;='Paramètres'!$AA$12,"À PLANIFIER","OK")))))</f>
        <v/>
      </c>
      <c r="S319" s="9">
        <f>IF($A319="","",IF(SUM(COUNTIFS('Ordres de travail'!$I$5:$I$3004,$A319,'Ordres de travail'!$AC$5:$AC$3004,{"Demandé","Planifié","En cours","En attente pièces"}))&gt;0,"Oui","Non"))</f>
        <v/>
      </c>
      <c r="T319" s="68">
        <f>IF($A319="","",COUNTIFS('Ordres de travail'!$I$5:$I$3004,$A319,'Ordres de travail'!$AC$5:$AC$3004,"Clôturé",'Ordres de travail'!$R$5:$R$3004,"&gt;="&amp;'Paramètres'!$AA$6,'Ordres de travail'!$R$5:$R$3004,"&lt;"&amp;('Paramètres'!$AA$7+1)))</f>
        <v/>
      </c>
      <c r="U319" s="69">
        <f>IF(OR($A319="",N(H319)=0),"",IF(M319="Non",0,365/H319*I319))</f>
        <v/>
      </c>
    </row>
    <row r="320">
      <c r="A320" s="7" t="n"/>
      <c r="B320" s="7" t="n"/>
      <c r="C320" s="9">
        <f>IF(B320="","",IFERROR(INDEX('Équipements'!$B$5:$B$304,MATCH(B320,'Équipements'!$A$5:$A$304,0)),"Code inconnu"))</f>
        <v/>
      </c>
      <c r="D320" s="9">
        <f>IF(B320="","",IFERROR(INDEX('Équipements'!$D$5:$D$304,MATCH(B320,'Équipements'!$A$5:$A$304,0)),""))</f>
        <v/>
      </c>
      <c r="E320" s="7" t="n"/>
      <c r="F320" s="7" t="n"/>
      <c r="G320" s="7" t="n"/>
      <c r="H320" s="67" t="n"/>
      <c r="I320" s="76" t="n"/>
      <c r="J320" s="7" t="n"/>
      <c r="K320" s="7" t="n"/>
      <c r="L320" s="65" t="n"/>
      <c r="M320" s="7" t="n"/>
      <c r="N320" s="7" t="n"/>
      <c r="O320" s="78">
        <f>IF($A320="","",MAX(N(L320),INT(_xlfn.MAXIFS('Ordres de travail'!$R$5:$R$3004,'Ordres de travail'!$I$5:$I$3004,$A320,'Ordres de travail'!$AC$5:$AC$3004,"Clôturé"))))</f>
        <v/>
      </c>
      <c r="P320" s="78">
        <f>IF(OR($A320="",N(O320)=0),"",O320+H320)</f>
        <v/>
      </c>
      <c r="Q320" s="79">
        <f>IF(P320="","",P320-TODAY())</f>
        <v/>
      </c>
      <c r="R320" s="9">
        <f>IF($A320="","",IF(M320="Non","INACTIF",IF(Q320="","À DÉFINIR",IF(Q320&lt;0,"EN RETARD",IF(Q320&lt;='Paramètres'!$AA$12,"À PLANIFIER","OK")))))</f>
        <v/>
      </c>
      <c r="S320" s="9">
        <f>IF($A320="","",IF(SUM(COUNTIFS('Ordres de travail'!$I$5:$I$3004,$A320,'Ordres de travail'!$AC$5:$AC$3004,{"Demandé","Planifié","En cours","En attente pièces"}))&gt;0,"Oui","Non"))</f>
        <v/>
      </c>
      <c r="T320" s="68">
        <f>IF($A320="","",COUNTIFS('Ordres de travail'!$I$5:$I$3004,$A320,'Ordres de travail'!$AC$5:$AC$3004,"Clôturé",'Ordres de travail'!$R$5:$R$3004,"&gt;="&amp;'Paramètres'!$AA$6,'Ordres de travail'!$R$5:$R$3004,"&lt;"&amp;('Paramètres'!$AA$7+1)))</f>
        <v/>
      </c>
      <c r="U320" s="69">
        <f>IF(OR($A320="",N(H320)=0),"",IF(M320="Non",0,365/H320*I320))</f>
        <v/>
      </c>
    </row>
    <row r="321">
      <c r="A321" s="7" t="n"/>
      <c r="B321" s="7" t="n"/>
      <c r="C321" s="9">
        <f>IF(B321="","",IFERROR(INDEX('Équipements'!$B$5:$B$304,MATCH(B321,'Équipements'!$A$5:$A$304,0)),"Code inconnu"))</f>
        <v/>
      </c>
      <c r="D321" s="9">
        <f>IF(B321="","",IFERROR(INDEX('Équipements'!$D$5:$D$304,MATCH(B321,'Équipements'!$A$5:$A$304,0)),""))</f>
        <v/>
      </c>
      <c r="E321" s="7" t="n"/>
      <c r="F321" s="7" t="n"/>
      <c r="G321" s="7" t="n"/>
      <c r="H321" s="67" t="n"/>
      <c r="I321" s="76" t="n"/>
      <c r="J321" s="7" t="n"/>
      <c r="K321" s="7" t="n"/>
      <c r="L321" s="65" t="n"/>
      <c r="M321" s="7" t="n"/>
      <c r="N321" s="7" t="n"/>
      <c r="O321" s="78">
        <f>IF($A321="","",MAX(N(L321),INT(_xlfn.MAXIFS('Ordres de travail'!$R$5:$R$3004,'Ordres de travail'!$I$5:$I$3004,$A321,'Ordres de travail'!$AC$5:$AC$3004,"Clôturé"))))</f>
        <v/>
      </c>
      <c r="P321" s="78">
        <f>IF(OR($A321="",N(O321)=0),"",O321+H321)</f>
        <v/>
      </c>
      <c r="Q321" s="79">
        <f>IF(P321="","",P321-TODAY())</f>
        <v/>
      </c>
      <c r="R321" s="9">
        <f>IF($A321="","",IF(M321="Non","INACTIF",IF(Q321="","À DÉFINIR",IF(Q321&lt;0,"EN RETARD",IF(Q321&lt;='Paramètres'!$AA$12,"À PLANIFIER","OK")))))</f>
        <v/>
      </c>
      <c r="S321" s="9">
        <f>IF($A321="","",IF(SUM(COUNTIFS('Ordres de travail'!$I$5:$I$3004,$A321,'Ordres de travail'!$AC$5:$AC$3004,{"Demandé","Planifié","En cours","En attente pièces"}))&gt;0,"Oui","Non"))</f>
        <v/>
      </c>
      <c r="T321" s="68">
        <f>IF($A321="","",COUNTIFS('Ordres de travail'!$I$5:$I$3004,$A321,'Ordres de travail'!$AC$5:$AC$3004,"Clôturé",'Ordres de travail'!$R$5:$R$3004,"&gt;="&amp;'Paramètres'!$AA$6,'Ordres de travail'!$R$5:$R$3004,"&lt;"&amp;('Paramètres'!$AA$7+1)))</f>
        <v/>
      </c>
      <c r="U321" s="69">
        <f>IF(OR($A321="",N(H321)=0),"",IF(M321="Non",0,365/H321*I321))</f>
        <v/>
      </c>
    </row>
    <row r="322">
      <c r="A322" s="7" t="n"/>
      <c r="B322" s="7" t="n"/>
      <c r="C322" s="9">
        <f>IF(B322="","",IFERROR(INDEX('Équipements'!$B$5:$B$304,MATCH(B322,'Équipements'!$A$5:$A$304,0)),"Code inconnu"))</f>
        <v/>
      </c>
      <c r="D322" s="9">
        <f>IF(B322="","",IFERROR(INDEX('Équipements'!$D$5:$D$304,MATCH(B322,'Équipements'!$A$5:$A$304,0)),""))</f>
        <v/>
      </c>
      <c r="E322" s="7" t="n"/>
      <c r="F322" s="7" t="n"/>
      <c r="G322" s="7" t="n"/>
      <c r="H322" s="67" t="n"/>
      <c r="I322" s="76" t="n"/>
      <c r="J322" s="7" t="n"/>
      <c r="K322" s="7" t="n"/>
      <c r="L322" s="65" t="n"/>
      <c r="M322" s="7" t="n"/>
      <c r="N322" s="7" t="n"/>
      <c r="O322" s="78">
        <f>IF($A322="","",MAX(N(L322),INT(_xlfn.MAXIFS('Ordres de travail'!$R$5:$R$3004,'Ordres de travail'!$I$5:$I$3004,$A322,'Ordres de travail'!$AC$5:$AC$3004,"Clôturé"))))</f>
        <v/>
      </c>
      <c r="P322" s="78">
        <f>IF(OR($A322="",N(O322)=0),"",O322+H322)</f>
        <v/>
      </c>
      <c r="Q322" s="79">
        <f>IF(P322="","",P322-TODAY())</f>
        <v/>
      </c>
      <c r="R322" s="9">
        <f>IF($A322="","",IF(M322="Non","INACTIF",IF(Q322="","À DÉFINIR",IF(Q322&lt;0,"EN RETARD",IF(Q322&lt;='Paramètres'!$AA$12,"À PLANIFIER","OK")))))</f>
        <v/>
      </c>
      <c r="S322" s="9">
        <f>IF($A322="","",IF(SUM(COUNTIFS('Ordres de travail'!$I$5:$I$3004,$A322,'Ordres de travail'!$AC$5:$AC$3004,{"Demandé","Planifié","En cours","En attente pièces"}))&gt;0,"Oui","Non"))</f>
        <v/>
      </c>
      <c r="T322" s="68">
        <f>IF($A322="","",COUNTIFS('Ordres de travail'!$I$5:$I$3004,$A322,'Ordres de travail'!$AC$5:$AC$3004,"Clôturé",'Ordres de travail'!$R$5:$R$3004,"&gt;="&amp;'Paramètres'!$AA$6,'Ordres de travail'!$R$5:$R$3004,"&lt;"&amp;('Paramètres'!$AA$7+1)))</f>
        <v/>
      </c>
      <c r="U322" s="69">
        <f>IF(OR($A322="",N(H322)=0),"",IF(M322="Non",0,365/H322*I322))</f>
        <v/>
      </c>
    </row>
    <row r="323">
      <c r="A323" s="7" t="n"/>
      <c r="B323" s="7" t="n"/>
      <c r="C323" s="9">
        <f>IF(B323="","",IFERROR(INDEX('Équipements'!$B$5:$B$304,MATCH(B323,'Équipements'!$A$5:$A$304,0)),"Code inconnu"))</f>
        <v/>
      </c>
      <c r="D323" s="9">
        <f>IF(B323="","",IFERROR(INDEX('Équipements'!$D$5:$D$304,MATCH(B323,'Équipements'!$A$5:$A$304,0)),""))</f>
        <v/>
      </c>
      <c r="E323" s="7" t="n"/>
      <c r="F323" s="7" t="n"/>
      <c r="G323" s="7" t="n"/>
      <c r="H323" s="67" t="n"/>
      <c r="I323" s="76" t="n"/>
      <c r="J323" s="7" t="n"/>
      <c r="K323" s="7" t="n"/>
      <c r="L323" s="65" t="n"/>
      <c r="M323" s="7" t="n"/>
      <c r="N323" s="7" t="n"/>
      <c r="O323" s="78">
        <f>IF($A323="","",MAX(N(L323),INT(_xlfn.MAXIFS('Ordres de travail'!$R$5:$R$3004,'Ordres de travail'!$I$5:$I$3004,$A323,'Ordres de travail'!$AC$5:$AC$3004,"Clôturé"))))</f>
        <v/>
      </c>
      <c r="P323" s="78">
        <f>IF(OR($A323="",N(O323)=0),"",O323+H323)</f>
        <v/>
      </c>
      <c r="Q323" s="79">
        <f>IF(P323="","",P323-TODAY())</f>
        <v/>
      </c>
      <c r="R323" s="9">
        <f>IF($A323="","",IF(M323="Non","INACTIF",IF(Q323="","À DÉFINIR",IF(Q323&lt;0,"EN RETARD",IF(Q323&lt;='Paramètres'!$AA$12,"À PLANIFIER","OK")))))</f>
        <v/>
      </c>
      <c r="S323" s="9">
        <f>IF($A323="","",IF(SUM(COUNTIFS('Ordres de travail'!$I$5:$I$3004,$A323,'Ordres de travail'!$AC$5:$AC$3004,{"Demandé","Planifié","En cours","En attente pièces"}))&gt;0,"Oui","Non"))</f>
        <v/>
      </c>
      <c r="T323" s="68">
        <f>IF($A323="","",COUNTIFS('Ordres de travail'!$I$5:$I$3004,$A323,'Ordres de travail'!$AC$5:$AC$3004,"Clôturé",'Ordres de travail'!$R$5:$R$3004,"&gt;="&amp;'Paramètres'!$AA$6,'Ordres de travail'!$R$5:$R$3004,"&lt;"&amp;('Paramètres'!$AA$7+1)))</f>
        <v/>
      </c>
      <c r="U323" s="69">
        <f>IF(OR($A323="",N(H323)=0),"",IF(M323="Non",0,365/H323*I323))</f>
        <v/>
      </c>
    </row>
    <row r="324">
      <c r="A324" s="7" t="n"/>
      <c r="B324" s="7" t="n"/>
      <c r="C324" s="9">
        <f>IF(B324="","",IFERROR(INDEX('Équipements'!$B$5:$B$304,MATCH(B324,'Équipements'!$A$5:$A$304,0)),"Code inconnu"))</f>
        <v/>
      </c>
      <c r="D324" s="9">
        <f>IF(B324="","",IFERROR(INDEX('Équipements'!$D$5:$D$304,MATCH(B324,'Équipements'!$A$5:$A$304,0)),""))</f>
        <v/>
      </c>
      <c r="E324" s="7" t="n"/>
      <c r="F324" s="7" t="n"/>
      <c r="G324" s="7" t="n"/>
      <c r="H324" s="67" t="n"/>
      <c r="I324" s="76" t="n"/>
      <c r="J324" s="7" t="n"/>
      <c r="K324" s="7" t="n"/>
      <c r="L324" s="65" t="n"/>
      <c r="M324" s="7" t="n"/>
      <c r="N324" s="7" t="n"/>
      <c r="O324" s="78">
        <f>IF($A324="","",MAX(N(L324),INT(_xlfn.MAXIFS('Ordres de travail'!$R$5:$R$3004,'Ordres de travail'!$I$5:$I$3004,$A324,'Ordres de travail'!$AC$5:$AC$3004,"Clôturé"))))</f>
        <v/>
      </c>
      <c r="P324" s="78">
        <f>IF(OR($A324="",N(O324)=0),"",O324+H324)</f>
        <v/>
      </c>
      <c r="Q324" s="79">
        <f>IF(P324="","",P324-TODAY())</f>
        <v/>
      </c>
      <c r="R324" s="9">
        <f>IF($A324="","",IF(M324="Non","INACTIF",IF(Q324="","À DÉFINIR",IF(Q324&lt;0,"EN RETARD",IF(Q324&lt;='Paramètres'!$AA$12,"À PLANIFIER","OK")))))</f>
        <v/>
      </c>
      <c r="S324" s="9">
        <f>IF($A324="","",IF(SUM(COUNTIFS('Ordres de travail'!$I$5:$I$3004,$A324,'Ordres de travail'!$AC$5:$AC$3004,{"Demandé","Planifié","En cours","En attente pièces"}))&gt;0,"Oui","Non"))</f>
        <v/>
      </c>
      <c r="T324" s="68">
        <f>IF($A324="","",COUNTIFS('Ordres de travail'!$I$5:$I$3004,$A324,'Ordres de travail'!$AC$5:$AC$3004,"Clôturé",'Ordres de travail'!$R$5:$R$3004,"&gt;="&amp;'Paramètres'!$AA$6,'Ordres de travail'!$R$5:$R$3004,"&lt;"&amp;('Paramètres'!$AA$7+1)))</f>
        <v/>
      </c>
      <c r="U324" s="69">
        <f>IF(OR($A324="",N(H324)=0),"",IF(M324="Non",0,365/H324*I324))</f>
        <v/>
      </c>
    </row>
    <row r="325">
      <c r="A325" s="7" t="n"/>
      <c r="B325" s="7" t="n"/>
      <c r="C325" s="9">
        <f>IF(B325="","",IFERROR(INDEX('Équipements'!$B$5:$B$304,MATCH(B325,'Équipements'!$A$5:$A$304,0)),"Code inconnu"))</f>
        <v/>
      </c>
      <c r="D325" s="9">
        <f>IF(B325="","",IFERROR(INDEX('Équipements'!$D$5:$D$304,MATCH(B325,'Équipements'!$A$5:$A$304,0)),""))</f>
        <v/>
      </c>
      <c r="E325" s="7" t="n"/>
      <c r="F325" s="7" t="n"/>
      <c r="G325" s="7" t="n"/>
      <c r="H325" s="67" t="n"/>
      <c r="I325" s="76" t="n"/>
      <c r="J325" s="7" t="n"/>
      <c r="K325" s="7" t="n"/>
      <c r="L325" s="65" t="n"/>
      <c r="M325" s="7" t="n"/>
      <c r="N325" s="7" t="n"/>
      <c r="O325" s="78">
        <f>IF($A325="","",MAX(N(L325),INT(_xlfn.MAXIFS('Ordres de travail'!$R$5:$R$3004,'Ordres de travail'!$I$5:$I$3004,$A325,'Ordres de travail'!$AC$5:$AC$3004,"Clôturé"))))</f>
        <v/>
      </c>
      <c r="P325" s="78">
        <f>IF(OR($A325="",N(O325)=0),"",O325+H325)</f>
        <v/>
      </c>
      <c r="Q325" s="79">
        <f>IF(P325="","",P325-TODAY())</f>
        <v/>
      </c>
      <c r="R325" s="9">
        <f>IF($A325="","",IF(M325="Non","INACTIF",IF(Q325="","À DÉFINIR",IF(Q325&lt;0,"EN RETARD",IF(Q325&lt;='Paramètres'!$AA$12,"À PLANIFIER","OK")))))</f>
        <v/>
      </c>
      <c r="S325" s="9">
        <f>IF($A325="","",IF(SUM(COUNTIFS('Ordres de travail'!$I$5:$I$3004,$A325,'Ordres de travail'!$AC$5:$AC$3004,{"Demandé","Planifié","En cours","En attente pièces"}))&gt;0,"Oui","Non"))</f>
        <v/>
      </c>
      <c r="T325" s="68">
        <f>IF($A325="","",COUNTIFS('Ordres de travail'!$I$5:$I$3004,$A325,'Ordres de travail'!$AC$5:$AC$3004,"Clôturé",'Ordres de travail'!$R$5:$R$3004,"&gt;="&amp;'Paramètres'!$AA$6,'Ordres de travail'!$R$5:$R$3004,"&lt;"&amp;('Paramètres'!$AA$7+1)))</f>
        <v/>
      </c>
      <c r="U325" s="69">
        <f>IF(OR($A325="",N(H325)=0),"",IF(M325="Non",0,365/H325*I325))</f>
        <v/>
      </c>
    </row>
    <row r="326">
      <c r="A326" s="7" t="n"/>
      <c r="B326" s="7" t="n"/>
      <c r="C326" s="9">
        <f>IF(B326="","",IFERROR(INDEX('Équipements'!$B$5:$B$304,MATCH(B326,'Équipements'!$A$5:$A$304,0)),"Code inconnu"))</f>
        <v/>
      </c>
      <c r="D326" s="9">
        <f>IF(B326="","",IFERROR(INDEX('Équipements'!$D$5:$D$304,MATCH(B326,'Équipements'!$A$5:$A$304,0)),""))</f>
        <v/>
      </c>
      <c r="E326" s="7" t="n"/>
      <c r="F326" s="7" t="n"/>
      <c r="G326" s="7" t="n"/>
      <c r="H326" s="67" t="n"/>
      <c r="I326" s="76" t="n"/>
      <c r="J326" s="7" t="n"/>
      <c r="K326" s="7" t="n"/>
      <c r="L326" s="65" t="n"/>
      <c r="M326" s="7" t="n"/>
      <c r="N326" s="7" t="n"/>
      <c r="O326" s="78">
        <f>IF($A326="","",MAX(N(L326),INT(_xlfn.MAXIFS('Ordres de travail'!$R$5:$R$3004,'Ordres de travail'!$I$5:$I$3004,$A326,'Ordres de travail'!$AC$5:$AC$3004,"Clôturé"))))</f>
        <v/>
      </c>
      <c r="P326" s="78">
        <f>IF(OR($A326="",N(O326)=0),"",O326+H326)</f>
        <v/>
      </c>
      <c r="Q326" s="79">
        <f>IF(P326="","",P326-TODAY())</f>
        <v/>
      </c>
      <c r="R326" s="9">
        <f>IF($A326="","",IF(M326="Non","INACTIF",IF(Q326="","À DÉFINIR",IF(Q326&lt;0,"EN RETARD",IF(Q326&lt;='Paramètres'!$AA$12,"À PLANIFIER","OK")))))</f>
        <v/>
      </c>
      <c r="S326" s="9">
        <f>IF($A326="","",IF(SUM(COUNTIFS('Ordres de travail'!$I$5:$I$3004,$A326,'Ordres de travail'!$AC$5:$AC$3004,{"Demandé","Planifié","En cours","En attente pièces"}))&gt;0,"Oui","Non"))</f>
        <v/>
      </c>
      <c r="T326" s="68">
        <f>IF($A326="","",COUNTIFS('Ordres de travail'!$I$5:$I$3004,$A326,'Ordres de travail'!$AC$5:$AC$3004,"Clôturé",'Ordres de travail'!$R$5:$R$3004,"&gt;="&amp;'Paramètres'!$AA$6,'Ordres de travail'!$R$5:$R$3004,"&lt;"&amp;('Paramètres'!$AA$7+1)))</f>
        <v/>
      </c>
      <c r="U326" s="69">
        <f>IF(OR($A326="",N(H326)=0),"",IF(M326="Non",0,365/H326*I326))</f>
        <v/>
      </c>
    </row>
    <row r="327">
      <c r="A327" s="7" t="n"/>
      <c r="B327" s="7" t="n"/>
      <c r="C327" s="9">
        <f>IF(B327="","",IFERROR(INDEX('Équipements'!$B$5:$B$304,MATCH(B327,'Équipements'!$A$5:$A$304,0)),"Code inconnu"))</f>
        <v/>
      </c>
      <c r="D327" s="9">
        <f>IF(B327="","",IFERROR(INDEX('Équipements'!$D$5:$D$304,MATCH(B327,'Équipements'!$A$5:$A$304,0)),""))</f>
        <v/>
      </c>
      <c r="E327" s="7" t="n"/>
      <c r="F327" s="7" t="n"/>
      <c r="G327" s="7" t="n"/>
      <c r="H327" s="67" t="n"/>
      <c r="I327" s="76" t="n"/>
      <c r="J327" s="7" t="n"/>
      <c r="K327" s="7" t="n"/>
      <c r="L327" s="65" t="n"/>
      <c r="M327" s="7" t="n"/>
      <c r="N327" s="7" t="n"/>
      <c r="O327" s="78">
        <f>IF($A327="","",MAX(N(L327),INT(_xlfn.MAXIFS('Ordres de travail'!$R$5:$R$3004,'Ordres de travail'!$I$5:$I$3004,$A327,'Ordres de travail'!$AC$5:$AC$3004,"Clôturé"))))</f>
        <v/>
      </c>
      <c r="P327" s="78">
        <f>IF(OR($A327="",N(O327)=0),"",O327+H327)</f>
        <v/>
      </c>
      <c r="Q327" s="79">
        <f>IF(P327="","",P327-TODAY())</f>
        <v/>
      </c>
      <c r="R327" s="9">
        <f>IF($A327="","",IF(M327="Non","INACTIF",IF(Q327="","À DÉFINIR",IF(Q327&lt;0,"EN RETARD",IF(Q327&lt;='Paramètres'!$AA$12,"À PLANIFIER","OK")))))</f>
        <v/>
      </c>
      <c r="S327" s="9">
        <f>IF($A327="","",IF(SUM(COUNTIFS('Ordres de travail'!$I$5:$I$3004,$A327,'Ordres de travail'!$AC$5:$AC$3004,{"Demandé","Planifié","En cours","En attente pièces"}))&gt;0,"Oui","Non"))</f>
        <v/>
      </c>
      <c r="T327" s="68">
        <f>IF($A327="","",COUNTIFS('Ordres de travail'!$I$5:$I$3004,$A327,'Ordres de travail'!$AC$5:$AC$3004,"Clôturé",'Ordres de travail'!$R$5:$R$3004,"&gt;="&amp;'Paramètres'!$AA$6,'Ordres de travail'!$R$5:$R$3004,"&lt;"&amp;('Paramètres'!$AA$7+1)))</f>
        <v/>
      </c>
      <c r="U327" s="69">
        <f>IF(OR($A327="",N(H327)=0),"",IF(M327="Non",0,365/H327*I327))</f>
        <v/>
      </c>
    </row>
    <row r="328">
      <c r="A328" s="7" t="n"/>
      <c r="B328" s="7" t="n"/>
      <c r="C328" s="9">
        <f>IF(B328="","",IFERROR(INDEX('Équipements'!$B$5:$B$304,MATCH(B328,'Équipements'!$A$5:$A$304,0)),"Code inconnu"))</f>
        <v/>
      </c>
      <c r="D328" s="9">
        <f>IF(B328="","",IFERROR(INDEX('Équipements'!$D$5:$D$304,MATCH(B328,'Équipements'!$A$5:$A$304,0)),""))</f>
        <v/>
      </c>
      <c r="E328" s="7" t="n"/>
      <c r="F328" s="7" t="n"/>
      <c r="G328" s="7" t="n"/>
      <c r="H328" s="67" t="n"/>
      <c r="I328" s="76" t="n"/>
      <c r="J328" s="7" t="n"/>
      <c r="K328" s="7" t="n"/>
      <c r="L328" s="65" t="n"/>
      <c r="M328" s="7" t="n"/>
      <c r="N328" s="7" t="n"/>
      <c r="O328" s="78">
        <f>IF($A328="","",MAX(N(L328),INT(_xlfn.MAXIFS('Ordres de travail'!$R$5:$R$3004,'Ordres de travail'!$I$5:$I$3004,$A328,'Ordres de travail'!$AC$5:$AC$3004,"Clôturé"))))</f>
        <v/>
      </c>
      <c r="P328" s="78">
        <f>IF(OR($A328="",N(O328)=0),"",O328+H328)</f>
        <v/>
      </c>
      <c r="Q328" s="79">
        <f>IF(P328="","",P328-TODAY())</f>
        <v/>
      </c>
      <c r="R328" s="9">
        <f>IF($A328="","",IF(M328="Non","INACTIF",IF(Q328="","À DÉFINIR",IF(Q328&lt;0,"EN RETARD",IF(Q328&lt;='Paramètres'!$AA$12,"À PLANIFIER","OK")))))</f>
        <v/>
      </c>
      <c r="S328" s="9">
        <f>IF($A328="","",IF(SUM(COUNTIFS('Ordres de travail'!$I$5:$I$3004,$A328,'Ordres de travail'!$AC$5:$AC$3004,{"Demandé","Planifié","En cours","En attente pièces"}))&gt;0,"Oui","Non"))</f>
        <v/>
      </c>
      <c r="T328" s="68">
        <f>IF($A328="","",COUNTIFS('Ordres de travail'!$I$5:$I$3004,$A328,'Ordres de travail'!$AC$5:$AC$3004,"Clôturé",'Ordres de travail'!$R$5:$R$3004,"&gt;="&amp;'Paramètres'!$AA$6,'Ordres de travail'!$R$5:$R$3004,"&lt;"&amp;('Paramètres'!$AA$7+1)))</f>
        <v/>
      </c>
      <c r="U328" s="69">
        <f>IF(OR($A328="",N(H328)=0),"",IF(M328="Non",0,365/H328*I328))</f>
        <v/>
      </c>
    </row>
    <row r="329">
      <c r="A329" s="7" t="n"/>
      <c r="B329" s="7" t="n"/>
      <c r="C329" s="9">
        <f>IF(B329="","",IFERROR(INDEX('Équipements'!$B$5:$B$304,MATCH(B329,'Équipements'!$A$5:$A$304,0)),"Code inconnu"))</f>
        <v/>
      </c>
      <c r="D329" s="9">
        <f>IF(B329="","",IFERROR(INDEX('Équipements'!$D$5:$D$304,MATCH(B329,'Équipements'!$A$5:$A$304,0)),""))</f>
        <v/>
      </c>
      <c r="E329" s="7" t="n"/>
      <c r="F329" s="7" t="n"/>
      <c r="G329" s="7" t="n"/>
      <c r="H329" s="67" t="n"/>
      <c r="I329" s="76" t="n"/>
      <c r="J329" s="7" t="n"/>
      <c r="K329" s="7" t="n"/>
      <c r="L329" s="65" t="n"/>
      <c r="M329" s="7" t="n"/>
      <c r="N329" s="7" t="n"/>
      <c r="O329" s="78">
        <f>IF($A329="","",MAX(N(L329),INT(_xlfn.MAXIFS('Ordres de travail'!$R$5:$R$3004,'Ordres de travail'!$I$5:$I$3004,$A329,'Ordres de travail'!$AC$5:$AC$3004,"Clôturé"))))</f>
        <v/>
      </c>
      <c r="P329" s="78">
        <f>IF(OR($A329="",N(O329)=0),"",O329+H329)</f>
        <v/>
      </c>
      <c r="Q329" s="79">
        <f>IF(P329="","",P329-TODAY())</f>
        <v/>
      </c>
      <c r="R329" s="9">
        <f>IF($A329="","",IF(M329="Non","INACTIF",IF(Q329="","À DÉFINIR",IF(Q329&lt;0,"EN RETARD",IF(Q329&lt;='Paramètres'!$AA$12,"À PLANIFIER","OK")))))</f>
        <v/>
      </c>
      <c r="S329" s="9">
        <f>IF($A329="","",IF(SUM(COUNTIFS('Ordres de travail'!$I$5:$I$3004,$A329,'Ordres de travail'!$AC$5:$AC$3004,{"Demandé","Planifié","En cours","En attente pièces"}))&gt;0,"Oui","Non"))</f>
        <v/>
      </c>
      <c r="T329" s="68">
        <f>IF($A329="","",COUNTIFS('Ordres de travail'!$I$5:$I$3004,$A329,'Ordres de travail'!$AC$5:$AC$3004,"Clôturé",'Ordres de travail'!$R$5:$R$3004,"&gt;="&amp;'Paramètres'!$AA$6,'Ordres de travail'!$R$5:$R$3004,"&lt;"&amp;('Paramètres'!$AA$7+1)))</f>
        <v/>
      </c>
      <c r="U329" s="69">
        <f>IF(OR($A329="",N(H329)=0),"",IF(M329="Non",0,365/H329*I329))</f>
        <v/>
      </c>
    </row>
    <row r="330">
      <c r="A330" s="7" t="n"/>
      <c r="B330" s="7" t="n"/>
      <c r="C330" s="9">
        <f>IF(B330="","",IFERROR(INDEX('Équipements'!$B$5:$B$304,MATCH(B330,'Équipements'!$A$5:$A$304,0)),"Code inconnu"))</f>
        <v/>
      </c>
      <c r="D330" s="9">
        <f>IF(B330="","",IFERROR(INDEX('Équipements'!$D$5:$D$304,MATCH(B330,'Équipements'!$A$5:$A$304,0)),""))</f>
        <v/>
      </c>
      <c r="E330" s="7" t="n"/>
      <c r="F330" s="7" t="n"/>
      <c r="G330" s="7" t="n"/>
      <c r="H330" s="67" t="n"/>
      <c r="I330" s="76" t="n"/>
      <c r="J330" s="7" t="n"/>
      <c r="K330" s="7" t="n"/>
      <c r="L330" s="65" t="n"/>
      <c r="M330" s="7" t="n"/>
      <c r="N330" s="7" t="n"/>
      <c r="O330" s="78">
        <f>IF($A330="","",MAX(N(L330),INT(_xlfn.MAXIFS('Ordres de travail'!$R$5:$R$3004,'Ordres de travail'!$I$5:$I$3004,$A330,'Ordres de travail'!$AC$5:$AC$3004,"Clôturé"))))</f>
        <v/>
      </c>
      <c r="P330" s="78">
        <f>IF(OR($A330="",N(O330)=0),"",O330+H330)</f>
        <v/>
      </c>
      <c r="Q330" s="79">
        <f>IF(P330="","",P330-TODAY())</f>
        <v/>
      </c>
      <c r="R330" s="9">
        <f>IF($A330="","",IF(M330="Non","INACTIF",IF(Q330="","À DÉFINIR",IF(Q330&lt;0,"EN RETARD",IF(Q330&lt;='Paramètres'!$AA$12,"À PLANIFIER","OK")))))</f>
        <v/>
      </c>
      <c r="S330" s="9">
        <f>IF($A330="","",IF(SUM(COUNTIFS('Ordres de travail'!$I$5:$I$3004,$A330,'Ordres de travail'!$AC$5:$AC$3004,{"Demandé","Planifié","En cours","En attente pièces"}))&gt;0,"Oui","Non"))</f>
        <v/>
      </c>
      <c r="T330" s="68">
        <f>IF($A330="","",COUNTIFS('Ordres de travail'!$I$5:$I$3004,$A330,'Ordres de travail'!$AC$5:$AC$3004,"Clôturé",'Ordres de travail'!$R$5:$R$3004,"&gt;="&amp;'Paramètres'!$AA$6,'Ordres de travail'!$R$5:$R$3004,"&lt;"&amp;('Paramètres'!$AA$7+1)))</f>
        <v/>
      </c>
      <c r="U330" s="69">
        <f>IF(OR($A330="",N(H330)=0),"",IF(M330="Non",0,365/H330*I330))</f>
        <v/>
      </c>
    </row>
    <row r="331">
      <c r="A331" s="7" t="n"/>
      <c r="B331" s="7" t="n"/>
      <c r="C331" s="9">
        <f>IF(B331="","",IFERROR(INDEX('Équipements'!$B$5:$B$304,MATCH(B331,'Équipements'!$A$5:$A$304,0)),"Code inconnu"))</f>
        <v/>
      </c>
      <c r="D331" s="9">
        <f>IF(B331="","",IFERROR(INDEX('Équipements'!$D$5:$D$304,MATCH(B331,'Équipements'!$A$5:$A$304,0)),""))</f>
        <v/>
      </c>
      <c r="E331" s="7" t="n"/>
      <c r="F331" s="7" t="n"/>
      <c r="G331" s="7" t="n"/>
      <c r="H331" s="67" t="n"/>
      <c r="I331" s="76" t="n"/>
      <c r="J331" s="7" t="n"/>
      <c r="K331" s="7" t="n"/>
      <c r="L331" s="65" t="n"/>
      <c r="M331" s="7" t="n"/>
      <c r="N331" s="7" t="n"/>
      <c r="O331" s="78">
        <f>IF($A331="","",MAX(N(L331),INT(_xlfn.MAXIFS('Ordres de travail'!$R$5:$R$3004,'Ordres de travail'!$I$5:$I$3004,$A331,'Ordres de travail'!$AC$5:$AC$3004,"Clôturé"))))</f>
        <v/>
      </c>
      <c r="P331" s="78">
        <f>IF(OR($A331="",N(O331)=0),"",O331+H331)</f>
        <v/>
      </c>
      <c r="Q331" s="79">
        <f>IF(P331="","",P331-TODAY())</f>
        <v/>
      </c>
      <c r="R331" s="9">
        <f>IF($A331="","",IF(M331="Non","INACTIF",IF(Q331="","À DÉFINIR",IF(Q331&lt;0,"EN RETARD",IF(Q331&lt;='Paramètres'!$AA$12,"À PLANIFIER","OK")))))</f>
        <v/>
      </c>
      <c r="S331" s="9">
        <f>IF($A331="","",IF(SUM(COUNTIFS('Ordres de travail'!$I$5:$I$3004,$A331,'Ordres de travail'!$AC$5:$AC$3004,{"Demandé","Planifié","En cours","En attente pièces"}))&gt;0,"Oui","Non"))</f>
        <v/>
      </c>
      <c r="T331" s="68">
        <f>IF($A331="","",COUNTIFS('Ordres de travail'!$I$5:$I$3004,$A331,'Ordres de travail'!$AC$5:$AC$3004,"Clôturé",'Ordres de travail'!$R$5:$R$3004,"&gt;="&amp;'Paramètres'!$AA$6,'Ordres de travail'!$R$5:$R$3004,"&lt;"&amp;('Paramètres'!$AA$7+1)))</f>
        <v/>
      </c>
      <c r="U331" s="69">
        <f>IF(OR($A331="",N(H331)=0),"",IF(M331="Non",0,365/H331*I331))</f>
        <v/>
      </c>
    </row>
    <row r="332">
      <c r="A332" s="7" t="n"/>
      <c r="B332" s="7" t="n"/>
      <c r="C332" s="9">
        <f>IF(B332="","",IFERROR(INDEX('Équipements'!$B$5:$B$304,MATCH(B332,'Équipements'!$A$5:$A$304,0)),"Code inconnu"))</f>
        <v/>
      </c>
      <c r="D332" s="9">
        <f>IF(B332="","",IFERROR(INDEX('Équipements'!$D$5:$D$304,MATCH(B332,'Équipements'!$A$5:$A$304,0)),""))</f>
        <v/>
      </c>
      <c r="E332" s="7" t="n"/>
      <c r="F332" s="7" t="n"/>
      <c r="G332" s="7" t="n"/>
      <c r="H332" s="67" t="n"/>
      <c r="I332" s="76" t="n"/>
      <c r="J332" s="7" t="n"/>
      <c r="K332" s="7" t="n"/>
      <c r="L332" s="65" t="n"/>
      <c r="M332" s="7" t="n"/>
      <c r="N332" s="7" t="n"/>
      <c r="O332" s="78">
        <f>IF($A332="","",MAX(N(L332),INT(_xlfn.MAXIFS('Ordres de travail'!$R$5:$R$3004,'Ordres de travail'!$I$5:$I$3004,$A332,'Ordres de travail'!$AC$5:$AC$3004,"Clôturé"))))</f>
        <v/>
      </c>
      <c r="P332" s="78">
        <f>IF(OR($A332="",N(O332)=0),"",O332+H332)</f>
        <v/>
      </c>
      <c r="Q332" s="79">
        <f>IF(P332="","",P332-TODAY())</f>
        <v/>
      </c>
      <c r="R332" s="9">
        <f>IF($A332="","",IF(M332="Non","INACTIF",IF(Q332="","À DÉFINIR",IF(Q332&lt;0,"EN RETARD",IF(Q332&lt;='Paramètres'!$AA$12,"À PLANIFIER","OK")))))</f>
        <v/>
      </c>
      <c r="S332" s="9">
        <f>IF($A332="","",IF(SUM(COUNTIFS('Ordres de travail'!$I$5:$I$3004,$A332,'Ordres de travail'!$AC$5:$AC$3004,{"Demandé","Planifié","En cours","En attente pièces"}))&gt;0,"Oui","Non"))</f>
        <v/>
      </c>
      <c r="T332" s="68">
        <f>IF($A332="","",COUNTIFS('Ordres de travail'!$I$5:$I$3004,$A332,'Ordres de travail'!$AC$5:$AC$3004,"Clôturé",'Ordres de travail'!$R$5:$R$3004,"&gt;="&amp;'Paramètres'!$AA$6,'Ordres de travail'!$R$5:$R$3004,"&lt;"&amp;('Paramètres'!$AA$7+1)))</f>
        <v/>
      </c>
      <c r="U332" s="69">
        <f>IF(OR($A332="",N(H332)=0),"",IF(M332="Non",0,365/H332*I332))</f>
        <v/>
      </c>
    </row>
    <row r="333">
      <c r="A333" s="7" t="n"/>
      <c r="B333" s="7" t="n"/>
      <c r="C333" s="9">
        <f>IF(B333="","",IFERROR(INDEX('Équipements'!$B$5:$B$304,MATCH(B333,'Équipements'!$A$5:$A$304,0)),"Code inconnu"))</f>
        <v/>
      </c>
      <c r="D333" s="9">
        <f>IF(B333="","",IFERROR(INDEX('Équipements'!$D$5:$D$304,MATCH(B333,'Équipements'!$A$5:$A$304,0)),""))</f>
        <v/>
      </c>
      <c r="E333" s="7" t="n"/>
      <c r="F333" s="7" t="n"/>
      <c r="G333" s="7" t="n"/>
      <c r="H333" s="67" t="n"/>
      <c r="I333" s="76" t="n"/>
      <c r="J333" s="7" t="n"/>
      <c r="K333" s="7" t="n"/>
      <c r="L333" s="65" t="n"/>
      <c r="M333" s="7" t="n"/>
      <c r="N333" s="7" t="n"/>
      <c r="O333" s="78">
        <f>IF($A333="","",MAX(N(L333),INT(_xlfn.MAXIFS('Ordres de travail'!$R$5:$R$3004,'Ordres de travail'!$I$5:$I$3004,$A333,'Ordres de travail'!$AC$5:$AC$3004,"Clôturé"))))</f>
        <v/>
      </c>
      <c r="P333" s="78">
        <f>IF(OR($A333="",N(O333)=0),"",O333+H333)</f>
        <v/>
      </c>
      <c r="Q333" s="79">
        <f>IF(P333="","",P333-TODAY())</f>
        <v/>
      </c>
      <c r="R333" s="9">
        <f>IF($A333="","",IF(M333="Non","INACTIF",IF(Q333="","À DÉFINIR",IF(Q333&lt;0,"EN RETARD",IF(Q333&lt;='Paramètres'!$AA$12,"À PLANIFIER","OK")))))</f>
        <v/>
      </c>
      <c r="S333" s="9">
        <f>IF($A333="","",IF(SUM(COUNTIFS('Ordres de travail'!$I$5:$I$3004,$A333,'Ordres de travail'!$AC$5:$AC$3004,{"Demandé","Planifié","En cours","En attente pièces"}))&gt;0,"Oui","Non"))</f>
        <v/>
      </c>
      <c r="T333" s="68">
        <f>IF($A333="","",COUNTIFS('Ordres de travail'!$I$5:$I$3004,$A333,'Ordres de travail'!$AC$5:$AC$3004,"Clôturé",'Ordres de travail'!$R$5:$R$3004,"&gt;="&amp;'Paramètres'!$AA$6,'Ordres de travail'!$R$5:$R$3004,"&lt;"&amp;('Paramètres'!$AA$7+1)))</f>
        <v/>
      </c>
      <c r="U333" s="69">
        <f>IF(OR($A333="",N(H333)=0),"",IF(M333="Non",0,365/H333*I333))</f>
        <v/>
      </c>
    </row>
    <row r="334">
      <c r="A334" s="7" t="n"/>
      <c r="B334" s="7" t="n"/>
      <c r="C334" s="9">
        <f>IF(B334="","",IFERROR(INDEX('Équipements'!$B$5:$B$304,MATCH(B334,'Équipements'!$A$5:$A$304,0)),"Code inconnu"))</f>
        <v/>
      </c>
      <c r="D334" s="9">
        <f>IF(B334="","",IFERROR(INDEX('Équipements'!$D$5:$D$304,MATCH(B334,'Équipements'!$A$5:$A$304,0)),""))</f>
        <v/>
      </c>
      <c r="E334" s="7" t="n"/>
      <c r="F334" s="7" t="n"/>
      <c r="G334" s="7" t="n"/>
      <c r="H334" s="67" t="n"/>
      <c r="I334" s="76" t="n"/>
      <c r="J334" s="7" t="n"/>
      <c r="K334" s="7" t="n"/>
      <c r="L334" s="65" t="n"/>
      <c r="M334" s="7" t="n"/>
      <c r="N334" s="7" t="n"/>
      <c r="O334" s="78">
        <f>IF($A334="","",MAX(N(L334),INT(_xlfn.MAXIFS('Ordres de travail'!$R$5:$R$3004,'Ordres de travail'!$I$5:$I$3004,$A334,'Ordres de travail'!$AC$5:$AC$3004,"Clôturé"))))</f>
        <v/>
      </c>
      <c r="P334" s="78">
        <f>IF(OR($A334="",N(O334)=0),"",O334+H334)</f>
        <v/>
      </c>
      <c r="Q334" s="79">
        <f>IF(P334="","",P334-TODAY())</f>
        <v/>
      </c>
      <c r="R334" s="9">
        <f>IF($A334="","",IF(M334="Non","INACTIF",IF(Q334="","À DÉFINIR",IF(Q334&lt;0,"EN RETARD",IF(Q334&lt;='Paramètres'!$AA$12,"À PLANIFIER","OK")))))</f>
        <v/>
      </c>
      <c r="S334" s="9">
        <f>IF($A334="","",IF(SUM(COUNTIFS('Ordres de travail'!$I$5:$I$3004,$A334,'Ordres de travail'!$AC$5:$AC$3004,{"Demandé","Planifié","En cours","En attente pièces"}))&gt;0,"Oui","Non"))</f>
        <v/>
      </c>
      <c r="T334" s="68">
        <f>IF($A334="","",COUNTIFS('Ordres de travail'!$I$5:$I$3004,$A334,'Ordres de travail'!$AC$5:$AC$3004,"Clôturé",'Ordres de travail'!$R$5:$R$3004,"&gt;="&amp;'Paramètres'!$AA$6,'Ordres de travail'!$R$5:$R$3004,"&lt;"&amp;('Paramètres'!$AA$7+1)))</f>
        <v/>
      </c>
      <c r="U334" s="69">
        <f>IF(OR($A334="",N(H334)=0),"",IF(M334="Non",0,365/H334*I334))</f>
        <v/>
      </c>
    </row>
    <row r="335">
      <c r="A335" s="7" t="n"/>
      <c r="B335" s="7" t="n"/>
      <c r="C335" s="9">
        <f>IF(B335="","",IFERROR(INDEX('Équipements'!$B$5:$B$304,MATCH(B335,'Équipements'!$A$5:$A$304,0)),"Code inconnu"))</f>
        <v/>
      </c>
      <c r="D335" s="9">
        <f>IF(B335="","",IFERROR(INDEX('Équipements'!$D$5:$D$304,MATCH(B335,'Équipements'!$A$5:$A$304,0)),""))</f>
        <v/>
      </c>
      <c r="E335" s="7" t="n"/>
      <c r="F335" s="7" t="n"/>
      <c r="G335" s="7" t="n"/>
      <c r="H335" s="67" t="n"/>
      <c r="I335" s="76" t="n"/>
      <c r="J335" s="7" t="n"/>
      <c r="K335" s="7" t="n"/>
      <c r="L335" s="65" t="n"/>
      <c r="M335" s="7" t="n"/>
      <c r="N335" s="7" t="n"/>
      <c r="O335" s="78">
        <f>IF($A335="","",MAX(N(L335),INT(_xlfn.MAXIFS('Ordres de travail'!$R$5:$R$3004,'Ordres de travail'!$I$5:$I$3004,$A335,'Ordres de travail'!$AC$5:$AC$3004,"Clôturé"))))</f>
        <v/>
      </c>
      <c r="P335" s="78">
        <f>IF(OR($A335="",N(O335)=0),"",O335+H335)</f>
        <v/>
      </c>
      <c r="Q335" s="79">
        <f>IF(P335="","",P335-TODAY())</f>
        <v/>
      </c>
      <c r="R335" s="9">
        <f>IF($A335="","",IF(M335="Non","INACTIF",IF(Q335="","À DÉFINIR",IF(Q335&lt;0,"EN RETARD",IF(Q335&lt;='Paramètres'!$AA$12,"À PLANIFIER","OK")))))</f>
        <v/>
      </c>
      <c r="S335" s="9">
        <f>IF($A335="","",IF(SUM(COUNTIFS('Ordres de travail'!$I$5:$I$3004,$A335,'Ordres de travail'!$AC$5:$AC$3004,{"Demandé","Planifié","En cours","En attente pièces"}))&gt;0,"Oui","Non"))</f>
        <v/>
      </c>
      <c r="T335" s="68">
        <f>IF($A335="","",COUNTIFS('Ordres de travail'!$I$5:$I$3004,$A335,'Ordres de travail'!$AC$5:$AC$3004,"Clôturé",'Ordres de travail'!$R$5:$R$3004,"&gt;="&amp;'Paramètres'!$AA$6,'Ordres de travail'!$R$5:$R$3004,"&lt;"&amp;('Paramètres'!$AA$7+1)))</f>
        <v/>
      </c>
      <c r="U335" s="69">
        <f>IF(OR($A335="",N(H335)=0),"",IF(M335="Non",0,365/H335*I335))</f>
        <v/>
      </c>
    </row>
    <row r="336">
      <c r="A336" s="7" t="n"/>
      <c r="B336" s="7" t="n"/>
      <c r="C336" s="9">
        <f>IF(B336="","",IFERROR(INDEX('Équipements'!$B$5:$B$304,MATCH(B336,'Équipements'!$A$5:$A$304,0)),"Code inconnu"))</f>
        <v/>
      </c>
      <c r="D336" s="9">
        <f>IF(B336="","",IFERROR(INDEX('Équipements'!$D$5:$D$304,MATCH(B336,'Équipements'!$A$5:$A$304,0)),""))</f>
        <v/>
      </c>
      <c r="E336" s="7" t="n"/>
      <c r="F336" s="7" t="n"/>
      <c r="G336" s="7" t="n"/>
      <c r="H336" s="67" t="n"/>
      <c r="I336" s="76" t="n"/>
      <c r="J336" s="7" t="n"/>
      <c r="K336" s="7" t="n"/>
      <c r="L336" s="65" t="n"/>
      <c r="M336" s="7" t="n"/>
      <c r="N336" s="7" t="n"/>
      <c r="O336" s="78">
        <f>IF($A336="","",MAX(N(L336),INT(_xlfn.MAXIFS('Ordres de travail'!$R$5:$R$3004,'Ordres de travail'!$I$5:$I$3004,$A336,'Ordres de travail'!$AC$5:$AC$3004,"Clôturé"))))</f>
        <v/>
      </c>
      <c r="P336" s="78">
        <f>IF(OR($A336="",N(O336)=0),"",O336+H336)</f>
        <v/>
      </c>
      <c r="Q336" s="79">
        <f>IF(P336="","",P336-TODAY())</f>
        <v/>
      </c>
      <c r="R336" s="9">
        <f>IF($A336="","",IF(M336="Non","INACTIF",IF(Q336="","À DÉFINIR",IF(Q336&lt;0,"EN RETARD",IF(Q336&lt;='Paramètres'!$AA$12,"À PLANIFIER","OK")))))</f>
        <v/>
      </c>
      <c r="S336" s="9">
        <f>IF($A336="","",IF(SUM(COUNTIFS('Ordres de travail'!$I$5:$I$3004,$A336,'Ordres de travail'!$AC$5:$AC$3004,{"Demandé","Planifié","En cours","En attente pièces"}))&gt;0,"Oui","Non"))</f>
        <v/>
      </c>
      <c r="T336" s="68">
        <f>IF($A336="","",COUNTIFS('Ordres de travail'!$I$5:$I$3004,$A336,'Ordres de travail'!$AC$5:$AC$3004,"Clôturé",'Ordres de travail'!$R$5:$R$3004,"&gt;="&amp;'Paramètres'!$AA$6,'Ordres de travail'!$R$5:$R$3004,"&lt;"&amp;('Paramètres'!$AA$7+1)))</f>
        <v/>
      </c>
      <c r="U336" s="69">
        <f>IF(OR($A336="",N(H336)=0),"",IF(M336="Non",0,365/H336*I336))</f>
        <v/>
      </c>
    </row>
    <row r="337">
      <c r="A337" s="7" t="n"/>
      <c r="B337" s="7" t="n"/>
      <c r="C337" s="9">
        <f>IF(B337="","",IFERROR(INDEX('Équipements'!$B$5:$B$304,MATCH(B337,'Équipements'!$A$5:$A$304,0)),"Code inconnu"))</f>
        <v/>
      </c>
      <c r="D337" s="9">
        <f>IF(B337="","",IFERROR(INDEX('Équipements'!$D$5:$D$304,MATCH(B337,'Équipements'!$A$5:$A$304,0)),""))</f>
        <v/>
      </c>
      <c r="E337" s="7" t="n"/>
      <c r="F337" s="7" t="n"/>
      <c r="G337" s="7" t="n"/>
      <c r="H337" s="67" t="n"/>
      <c r="I337" s="76" t="n"/>
      <c r="J337" s="7" t="n"/>
      <c r="K337" s="7" t="n"/>
      <c r="L337" s="65" t="n"/>
      <c r="M337" s="7" t="n"/>
      <c r="N337" s="7" t="n"/>
      <c r="O337" s="78">
        <f>IF($A337="","",MAX(N(L337),INT(_xlfn.MAXIFS('Ordres de travail'!$R$5:$R$3004,'Ordres de travail'!$I$5:$I$3004,$A337,'Ordres de travail'!$AC$5:$AC$3004,"Clôturé"))))</f>
        <v/>
      </c>
      <c r="P337" s="78">
        <f>IF(OR($A337="",N(O337)=0),"",O337+H337)</f>
        <v/>
      </c>
      <c r="Q337" s="79">
        <f>IF(P337="","",P337-TODAY())</f>
        <v/>
      </c>
      <c r="R337" s="9">
        <f>IF($A337="","",IF(M337="Non","INACTIF",IF(Q337="","À DÉFINIR",IF(Q337&lt;0,"EN RETARD",IF(Q337&lt;='Paramètres'!$AA$12,"À PLANIFIER","OK")))))</f>
        <v/>
      </c>
      <c r="S337" s="9">
        <f>IF($A337="","",IF(SUM(COUNTIFS('Ordres de travail'!$I$5:$I$3004,$A337,'Ordres de travail'!$AC$5:$AC$3004,{"Demandé","Planifié","En cours","En attente pièces"}))&gt;0,"Oui","Non"))</f>
        <v/>
      </c>
      <c r="T337" s="68">
        <f>IF($A337="","",COUNTIFS('Ordres de travail'!$I$5:$I$3004,$A337,'Ordres de travail'!$AC$5:$AC$3004,"Clôturé",'Ordres de travail'!$R$5:$R$3004,"&gt;="&amp;'Paramètres'!$AA$6,'Ordres de travail'!$R$5:$R$3004,"&lt;"&amp;('Paramètres'!$AA$7+1)))</f>
        <v/>
      </c>
      <c r="U337" s="69">
        <f>IF(OR($A337="",N(H337)=0),"",IF(M337="Non",0,365/H337*I337))</f>
        <v/>
      </c>
    </row>
    <row r="338">
      <c r="A338" s="7" t="n"/>
      <c r="B338" s="7" t="n"/>
      <c r="C338" s="9">
        <f>IF(B338="","",IFERROR(INDEX('Équipements'!$B$5:$B$304,MATCH(B338,'Équipements'!$A$5:$A$304,0)),"Code inconnu"))</f>
        <v/>
      </c>
      <c r="D338" s="9">
        <f>IF(B338="","",IFERROR(INDEX('Équipements'!$D$5:$D$304,MATCH(B338,'Équipements'!$A$5:$A$304,0)),""))</f>
        <v/>
      </c>
      <c r="E338" s="7" t="n"/>
      <c r="F338" s="7" t="n"/>
      <c r="G338" s="7" t="n"/>
      <c r="H338" s="67" t="n"/>
      <c r="I338" s="76" t="n"/>
      <c r="J338" s="7" t="n"/>
      <c r="K338" s="7" t="n"/>
      <c r="L338" s="65" t="n"/>
      <c r="M338" s="7" t="n"/>
      <c r="N338" s="7" t="n"/>
      <c r="O338" s="78">
        <f>IF($A338="","",MAX(N(L338),INT(_xlfn.MAXIFS('Ordres de travail'!$R$5:$R$3004,'Ordres de travail'!$I$5:$I$3004,$A338,'Ordres de travail'!$AC$5:$AC$3004,"Clôturé"))))</f>
        <v/>
      </c>
      <c r="P338" s="78">
        <f>IF(OR($A338="",N(O338)=0),"",O338+H338)</f>
        <v/>
      </c>
      <c r="Q338" s="79">
        <f>IF(P338="","",P338-TODAY())</f>
        <v/>
      </c>
      <c r="R338" s="9">
        <f>IF($A338="","",IF(M338="Non","INACTIF",IF(Q338="","À DÉFINIR",IF(Q338&lt;0,"EN RETARD",IF(Q338&lt;='Paramètres'!$AA$12,"À PLANIFIER","OK")))))</f>
        <v/>
      </c>
      <c r="S338" s="9">
        <f>IF($A338="","",IF(SUM(COUNTIFS('Ordres de travail'!$I$5:$I$3004,$A338,'Ordres de travail'!$AC$5:$AC$3004,{"Demandé","Planifié","En cours","En attente pièces"}))&gt;0,"Oui","Non"))</f>
        <v/>
      </c>
      <c r="T338" s="68">
        <f>IF($A338="","",COUNTIFS('Ordres de travail'!$I$5:$I$3004,$A338,'Ordres de travail'!$AC$5:$AC$3004,"Clôturé",'Ordres de travail'!$R$5:$R$3004,"&gt;="&amp;'Paramètres'!$AA$6,'Ordres de travail'!$R$5:$R$3004,"&lt;"&amp;('Paramètres'!$AA$7+1)))</f>
        <v/>
      </c>
      <c r="U338" s="69">
        <f>IF(OR($A338="",N(H338)=0),"",IF(M338="Non",0,365/H338*I338))</f>
        <v/>
      </c>
    </row>
    <row r="339">
      <c r="A339" s="7" t="n"/>
      <c r="B339" s="7" t="n"/>
      <c r="C339" s="9">
        <f>IF(B339="","",IFERROR(INDEX('Équipements'!$B$5:$B$304,MATCH(B339,'Équipements'!$A$5:$A$304,0)),"Code inconnu"))</f>
        <v/>
      </c>
      <c r="D339" s="9">
        <f>IF(B339="","",IFERROR(INDEX('Équipements'!$D$5:$D$304,MATCH(B339,'Équipements'!$A$5:$A$304,0)),""))</f>
        <v/>
      </c>
      <c r="E339" s="7" t="n"/>
      <c r="F339" s="7" t="n"/>
      <c r="G339" s="7" t="n"/>
      <c r="H339" s="67" t="n"/>
      <c r="I339" s="76" t="n"/>
      <c r="J339" s="7" t="n"/>
      <c r="K339" s="7" t="n"/>
      <c r="L339" s="65" t="n"/>
      <c r="M339" s="7" t="n"/>
      <c r="N339" s="7" t="n"/>
      <c r="O339" s="78">
        <f>IF($A339="","",MAX(N(L339),INT(_xlfn.MAXIFS('Ordres de travail'!$R$5:$R$3004,'Ordres de travail'!$I$5:$I$3004,$A339,'Ordres de travail'!$AC$5:$AC$3004,"Clôturé"))))</f>
        <v/>
      </c>
      <c r="P339" s="78">
        <f>IF(OR($A339="",N(O339)=0),"",O339+H339)</f>
        <v/>
      </c>
      <c r="Q339" s="79">
        <f>IF(P339="","",P339-TODAY())</f>
        <v/>
      </c>
      <c r="R339" s="9">
        <f>IF($A339="","",IF(M339="Non","INACTIF",IF(Q339="","À DÉFINIR",IF(Q339&lt;0,"EN RETARD",IF(Q339&lt;='Paramètres'!$AA$12,"À PLANIFIER","OK")))))</f>
        <v/>
      </c>
      <c r="S339" s="9">
        <f>IF($A339="","",IF(SUM(COUNTIFS('Ordres de travail'!$I$5:$I$3004,$A339,'Ordres de travail'!$AC$5:$AC$3004,{"Demandé","Planifié","En cours","En attente pièces"}))&gt;0,"Oui","Non"))</f>
        <v/>
      </c>
      <c r="T339" s="68">
        <f>IF($A339="","",COUNTIFS('Ordres de travail'!$I$5:$I$3004,$A339,'Ordres de travail'!$AC$5:$AC$3004,"Clôturé",'Ordres de travail'!$R$5:$R$3004,"&gt;="&amp;'Paramètres'!$AA$6,'Ordres de travail'!$R$5:$R$3004,"&lt;"&amp;('Paramètres'!$AA$7+1)))</f>
        <v/>
      </c>
      <c r="U339" s="69">
        <f>IF(OR($A339="",N(H339)=0),"",IF(M339="Non",0,365/H339*I339))</f>
        <v/>
      </c>
    </row>
    <row r="340">
      <c r="A340" s="7" t="n"/>
      <c r="B340" s="7" t="n"/>
      <c r="C340" s="9">
        <f>IF(B340="","",IFERROR(INDEX('Équipements'!$B$5:$B$304,MATCH(B340,'Équipements'!$A$5:$A$304,0)),"Code inconnu"))</f>
        <v/>
      </c>
      <c r="D340" s="9">
        <f>IF(B340="","",IFERROR(INDEX('Équipements'!$D$5:$D$304,MATCH(B340,'Équipements'!$A$5:$A$304,0)),""))</f>
        <v/>
      </c>
      <c r="E340" s="7" t="n"/>
      <c r="F340" s="7" t="n"/>
      <c r="G340" s="7" t="n"/>
      <c r="H340" s="67" t="n"/>
      <c r="I340" s="76" t="n"/>
      <c r="J340" s="7" t="n"/>
      <c r="K340" s="7" t="n"/>
      <c r="L340" s="65" t="n"/>
      <c r="M340" s="7" t="n"/>
      <c r="N340" s="7" t="n"/>
      <c r="O340" s="78">
        <f>IF($A340="","",MAX(N(L340),INT(_xlfn.MAXIFS('Ordres de travail'!$R$5:$R$3004,'Ordres de travail'!$I$5:$I$3004,$A340,'Ordres de travail'!$AC$5:$AC$3004,"Clôturé"))))</f>
        <v/>
      </c>
      <c r="P340" s="78">
        <f>IF(OR($A340="",N(O340)=0),"",O340+H340)</f>
        <v/>
      </c>
      <c r="Q340" s="79">
        <f>IF(P340="","",P340-TODAY())</f>
        <v/>
      </c>
      <c r="R340" s="9">
        <f>IF($A340="","",IF(M340="Non","INACTIF",IF(Q340="","À DÉFINIR",IF(Q340&lt;0,"EN RETARD",IF(Q340&lt;='Paramètres'!$AA$12,"À PLANIFIER","OK")))))</f>
        <v/>
      </c>
      <c r="S340" s="9">
        <f>IF($A340="","",IF(SUM(COUNTIFS('Ordres de travail'!$I$5:$I$3004,$A340,'Ordres de travail'!$AC$5:$AC$3004,{"Demandé","Planifié","En cours","En attente pièces"}))&gt;0,"Oui","Non"))</f>
        <v/>
      </c>
      <c r="T340" s="68">
        <f>IF($A340="","",COUNTIFS('Ordres de travail'!$I$5:$I$3004,$A340,'Ordres de travail'!$AC$5:$AC$3004,"Clôturé",'Ordres de travail'!$R$5:$R$3004,"&gt;="&amp;'Paramètres'!$AA$6,'Ordres de travail'!$R$5:$R$3004,"&lt;"&amp;('Paramètres'!$AA$7+1)))</f>
        <v/>
      </c>
      <c r="U340" s="69">
        <f>IF(OR($A340="",N(H340)=0),"",IF(M340="Non",0,365/H340*I340))</f>
        <v/>
      </c>
    </row>
    <row r="341">
      <c r="A341" s="7" t="n"/>
      <c r="B341" s="7" t="n"/>
      <c r="C341" s="9">
        <f>IF(B341="","",IFERROR(INDEX('Équipements'!$B$5:$B$304,MATCH(B341,'Équipements'!$A$5:$A$304,0)),"Code inconnu"))</f>
        <v/>
      </c>
      <c r="D341" s="9">
        <f>IF(B341="","",IFERROR(INDEX('Équipements'!$D$5:$D$304,MATCH(B341,'Équipements'!$A$5:$A$304,0)),""))</f>
        <v/>
      </c>
      <c r="E341" s="7" t="n"/>
      <c r="F341" s="7" t="n"/>
      <c r="G341" s="7" t="n"/>
      <c r="H341" s="67" t="n"/>
      <c r="I341" s="76" t="n"/>
      <c r="J341" s="7" t="n"/>
      <c r="K341" s="7" t="n"/>
      <c r="L341" s="65" t="n"/>
      <c r="M341" s="7" t="n"/>
      <c r="N341" s="7" t="n"/>
      <c r="O341" s="78">
        <f>IF($A341="","",MAX(N(L341),INT(_xlfn.MAXIFS('Ordres de travail'!$R$5:$R$3004,'Ordres de travail'!$I$5:$I$3004,$A341,'Ordres de travail'!$AC$5:$AC$3004,"Clôturé"))))</f>
        <v/>
      </c>
      <c r="P341" s="78">
        <f>IF(OR($A341="",N(O341)=0),"",O341+H341)</f>
        <v/>
      </c>
      <c r="Q341" s="79">
        <f>IF(P341="","",P341-TODAY())</f>
        <v/>
      </c>
      <c r="R341" s="9">
        <f>IF($A341="","",IF(M341="Non","INACTIF",IF(Q341="","À DÉFINIR",IF(Q341&lt;0,"EN RETARD",IF(Q341&lt;='Paramètres'!$AA$12,"À PLANIFIER","OK")))))</f>
        <v/>
      </c>
      <c r="S341" s="9">
        <f>IF($A341="","",IF(SUM(COUNTIFS('Ordres de travail'!$I$5:$I$3004,$A341,'Ordres de travail'!$AC$5:$AC$3004,{"Demandé","Planifié","En cours","En attente pièces"}))&gt;0,"Oui","Non"))</f>
        <v/>
      </c>
      <c r="T341" s="68">
        <f>IF($A341="","",COUNTIFS('Ordres de travail'!$I$5:$I$3004,$A341,'Ordres de travail'!$AC$5:$AC$3004,"Clôturé",'Ordres de travail'!$R$5:$R$3004,"&gt;="&amp;'Paramètres'!$AA$6,'Ordres de travail'!$R$5:$R$3004,"&lt;"&amp;('Paramètres'!$AA$7+1)))</f>
        <v/>
      </c>
      <c r="U341" s="69">
        <f>IF(OR($A341="",N(H341)=0),"",IF(M341="Non",0,365/H341*I341))</f>
        <v/>
      </c>
    </row>
    <row r="342">
      <c r="A342" s="7" t="n"/>
      <c r="B342" s="7" t="n"/>
      <c r="C342" s="9">
        <f>IF(B342="","",IFERROR(INDEX('Équipements'!$B$5:$B$304,MATCH(B342,'Équipements'!$A$5:$A$304,0)),"Code inconnu"))</f>
        <v/>
      </c>
      <c r="D342" s="9">
        <f>IF(B342="","",IFERROR(INDEX('Équipements'!$D$5:$D$304,MATCH(B342,'Équipements'!$A$5:$A$304,0)),""))</f>
        <v/>
      </c>
      <c r="E342" s="7" t="n"/>
      <c r="F342" s="7" t="n"/>
      <c r="G342" s="7" t="n"/>
      <c r="H342" s="67" t="n"/>
      <c r="I342" s="76" t="n"/>
      <c r="J342" s="7" t="n"/>
      <c r="K342" s="7" t="n"/>
      <c r="L342" s="65" t="n"/>
      <c r="M342" s="7" t="n"/>
      <c r="N342" s="7" t="n"/>
      <c r="O342" s="78">
        <f>IF($A342="","",MAX(N(L342),INT(_xlfn.MAXIFS('Ordres de travail'!$R$5:$R$3004,'Ordres de travail'!$I$5:$I$3004,$A342,'Ordres de travail'!$AC$5:$AC$3004,"Clôturé"))))</f>
        <v/>
      </c>
      <c r="P342" s="78">
        <f>IF(OR($A342="",N(O342)=0),"",O342+H342)</f>
        <v/>
      </c>
      <c r="Q342" s="79">
        <f>IF(P342="","",P342-TODAY())</f>
        <v/>
      </c>
      <c r="R342" s="9">
        <f>IF($A342="","",IF(M342="Non","INACTIF",IF(Q342="","À DÉFINIR",IF(Q342&lt;0,"EN RETARD",IF(Q342&lt;='Paramètres'!$AA$12,"À PLANIFIER","OK")))))</f>
        <v/>
      </c>
      <c r="S342" s="9">
        <f>IF($A342="","",IF(SUM(COUNTIFS('Ordres de travail'!$I$5:$I$3004,$A342,'Ordres de travail'!$AC$5:$AC$3004,{"Demandé","Planifié","En cours","En attente pièces"}))&gt;0,"Oui","Non"))</f>
        <v/>
      </c>
      <c r="T342" s="68">
        <f>IF($A342="","",COUNTIFS('Ordres de travail'!$I$5:$I$3004,$A342,'Ordres de travail'!$AC$5:$AC$3004,"Clôturé",'Ordres de travail'!$R$5:$R$3004,"&gt;="&amp;'Paramètres'!$AA$6,'Ordres de travail'!$R$5:$R$3004,"&lt;"&amp;('Paramètres'!$AA$7+1)))</f>
        <v/>
      </c>
      <c r="U342" s="69">
        <f>IF(OR($A342="",N(H342)=0),"",IF(M342="Non",0,365/H342*I342))</f>
        <v/>
      </c>
    </row>
    <row r="343">
      <c r="A343" s="7" t="n"/>
      <c r="B343" s="7" t="n"/>
      <c r="C343" s="9">
        <f>IF(B343="","",IFERROR(INDEX('Équipements'!$B$5:$B$304,MATCH(B343,'Équipements'!$A$5:$A$304,0)),"Code inconnu"))</f>
        <v/>
      </c>
      <c r="D343" s="9">
        <f>IF(B343="","",IFERROR(INDEX('Équipements'!$D$5:$D$304,MATCH(B343,'Équipements'!$A$5:$A$304,0)),""))</f>
        <v/>
      </c>
      <c r="E343" s="7" t="n"/>
      <c r="F343" s="7" t="n"/>
      <c r="G343" s="7" t="n"/>
      <c r="H343" s="67" t="n"/>
      <c r="I343" s="76" t="n"/>
      <c r="J343" s="7" t="n"/>
      <c r="K343" s="7" t="n"/>
      <c r="L343" s="65" t="n"/>
      <c r="M343" s="7" t="n"/>
      <c r="N343" s="7" t="n"/>
      <c r="O343" s="78">
        <f>IF($A343="","",MAX(N(L343),INT(_xlfn.MAXIFS('Ordres de travail'!$R$5:$R$3004,'Ordres de travail'!$I$5:$I$3004,$A343,'Ordres de travail'!$AC$5:$AC$3004,"Clôturé"))))</f>
        <v/>
      </c>
      <c r="P343" s="78">
        <f>IF(OR($A343="",N(O343)=0),"",O343+H343)</f>
        <v/>
      </c>
      <c r="Q343" s="79">
        <f>IF(P343="","",P343-TODAY())</f>
        <v/>
      </c>
      <c r="R343" s="9">
        <f>IF($A343="","",IF(M343="Non","INACTIF",IF(Q343="","À DÉFINIR",IF(Q343&lt;0,"EN RETARD",IF(Q343&lt;='Paramètres'!$AA$12,"À PLANIFIER","OK")))))</f>
        <v/>
      </c>
      <c r="S343" s="9">
        <f>IF($A343="","",IF(SUM(COUNTIFS('Ordres de travail'!$I$5:$I$3004,$A343,'Ordres de travail'!$AC$5:$AC$3004,{"Demandé","Planifié","En cours","En attente pièces"}))&gt;0,"Oui","Non"))</f>
        <v/>
      </c>
      <c r="T343" s="68">
        <f>IF($A343="","",COUNTIFS('Ordres de travail'!$I$5:$I$3004,$A343,'Ordres de travail'!$AC$5:$AC$3004,"Clôturé",'Ordres de travail'!$R$5:$R$3004,"&gt;="&amp;'Paramètres'!$AA$6,'Ordres de travail'!$R$5:$R$3004,"&lt;"&amp;('Paramètres'!$AA$7+1)))</f>
        <v/>
      </c>
      <c r="U343" s="69">
        <f>IF(OR($A343="",N(H343)=0),"",IF(M343="Non",0,365/H343*I343))</f>
        <v/>
      </c>
    </row>
    <row r="344">
      <c r="A344" s="7" t="n"/>
      <c r="B344" s="7" t="n"/>
      <c r="C344" s="9">
        <f>IF(B344="","",IFERROR(INDEX('Équipements'!$B$5:$B$304,MATCH(B344,'Équipements'!$A$5:$A$304,0)),"Code inconnu"))</f>
        <v/>
      </c>
      <c r="D344" s="9">
        <f>IF(B344="","",IFERROR(INDEX('Équipements'!$D$5:$D$304,MATCH(B344,'Équipements'!$A$5:$A$304,0)),""))</f>
        <v/>
      </c>
      <c r="E344" s="7" t="n"/>
      <c r="F344" s="7" t="n"/>
      <c r="G344" s="7" t="n"/>
      <c r="H344" s="67" t="n"/>
      <c r="I344" s="76" t="n"/>
      <c r="J344" s="7" t="n"/>
      <c r="K344" s="7" t="n"/>
      <c r="L344" s="65" t="n"/>
      <c r="M344" s="7" t="n"/>
      <c r="N344" s="7" t="n"/>
      <c r="O344" s="78">
        <f>IF($A344="","",MAX(N(L344),INT(_xlfn.MAXIFS('Ordres de travail'!$R$5:$R$3004,'Ordres de travail'!$I$5:$I$3004,$A344,'Ordres de travail'!$AC$5:$AC$3004,"Clôturé"))))</f>
        <v/>
      </c>
      <c r="P344" s="78">
        <f>IF(OR($A344="",N(O344)=0),"",O344+H344)</f>
        <v/>
      </c>
      <c r="Q344" s="79">
        <f>IF(P344="","",P344-TODAY())</f>
        <v/>
      </c>
      <c r="R344" s="9">
        <f>IF($A344="","",IF(M344="Non","INACTIF",IF(Q344="","À DÉFINIR",IF(Q344&lt;0,"EN RETARD",IF(Q344&lt;='Paramètres'!$AA$12,"À PLANIFIER","OK")))))</f>
        <v/>
      </c>
      <c r="S344" s="9">
        <f>IF($A344="","",IF(SUM(COUNTIFS('Ordres de travail'!$I$5:$I$3004,$A344,'Ordres de travail'!$AC$5:$AC$3004,{"Demandé","Planifié","En cours","En attente pièces"}))&gt;0,"Oui","Non"))</f>
        <v/>
      </c>
      <c r="T344" s="68">
        <f>IF($A344="","",COUNTIFS('Ordres de travail'!$I$5:$I$3004,$A344,'Ordres de travail'!$AC$5:$AC$3004,"Clôturé",'Ordres de travail'!$R$5:$R$3004,"&gt;="&amp;'Paramètres'!$AA$6,'Ordres de travail'!$R$5:$R$3004,"&lt;"&amp;('Paramètres'!$AA$7+1)))</f>
        <v/>
      </c>
      <c r="U344" s="69">
        <f>IF(OR($A344="",N(H344)=0),"",IF(M344="Non",0,365/H344*I344))</f>
        <v/>
      </c>
    </row>
    <row r="345">
      <c r="A345" s="7" t="n"/>
      <c r="B345" s="7" t="n"/>
      <c r="C345" s="9">
        <f>IF(B345="","",IFERROR(INDEX('Équipements'!$B$5:$B$304,MATCH(B345,'Équipements'!$A$5:$A$304,0)),"Code inconnu"))</f>
        <v/>
      </c>
      <c r="D345" s="9">
        <f>IF(B345="","",IFERROR(INDEX('Équipements'!$D$5:$D$304,MATCH(B345,'Équipements'!$A$5:$A$304,0)),""))</f>
        <v/>
      </c>
      <c r="E345" s="7" t="n"/>
      <c r="F345" s="7" t="n"/>
      <c r="G345" s="7" t="n"/>
      <c r="H345" s="67" t="n"/>
      <c r="I345" s="76" t="n"/>
      <c r="J345" s="7" t="n"/>
      <c r="K345" s="7" t="n"/>
      <c r="L345" s="65" t="n"/>
      <c r="M345" s="7" t="n"/>
      <c r="N345" s="7" t="n"/>
      <c r="O345" s="78">
        <f>IF($A345="","",MAX(N(L345),INT(_xlfn.MAXIFS('Ordres de travail'!$R$5:$R$3004,'Ordres de travail'!$I$5:$I$3004,$A345,'Ordres de travail'!$AC$5:$AC$3004,"Clôturé"))))</f>
        <v/>
      </c>
      <c r="P345" s="78">
        <f>IF(OR($A345="",N(O345)=0),"",O345+H345)</f>
        <v/>
      </c>
      <c r="Q345" s="79">
        <f>IF(P345="","",P345-TODAY())</f>
        <v/>
      </c>
      <c r="R345" s="9">
        <f>IF($A345="","",IF(M345="Non","INACTIF",IF(Q345="","À DÉFINIR",IF(Q345&lt;0,"EN RETARD",IF(Q345&lt;='Paramètres'!$AA$12,"À PLANIFIER","OK")))))</f>
        <v/>
      </c>
      <c r="S345" s="9">
        <f>IF($A345="","",IF(SUM(COUNTIFS('Ordres de travail'!$I$5:$I$3004,$A345,'Ordres de travail'!$AC$5:$AC$3004,{"Demandé","Planifié","En cours","En attente pièces"}))&gt;0,"Oui","Non"))</f>
        <v/>
      </c>
      <c r="T345" s="68">
        <f>IF($A345="","",COUNTIFS('Ordres de travail'!$I$5:$I$3004,$A345,'Ordres de travail'!$AC$5:$AC$3004,"Clôturé",'Ordres de travail'!$R$5:$R$3004,"&gt;="&amp;'Paramètres'!$AA$6,'Ordres de travail'!$R$5:$R$3004,"&lt;"&amp;('Paramètres'!$AA$7+1)))</f>
        <v/>
      </c>
      <c r="U345" s="69">
        <f>IF(OR($A345="",N(H345)=0),"",IF(M345="Non",0,365/H345*I345))</f>
        <v/>
      </c>
    </row>
    <row r="346">
      <c r="A346" s="7" t="n"/>
      <c r="B346" s="7" t="n"/>
      <c r="C346" s="9">
        <f>IF(B346="","",IFERROR(INDEX('Équipements'!$B$5:$B$304,MATCH(B346,'Équipements'!$A$5:$A$304,0)),"Code inconnu"))</f>
        <v/>
      </c>
      <c r="D346" s="9">
        <f>IF(B346="","",IFERROR(INDEX('Équipements'!$D$5:$D$304,MATCH(B346,'Équipements'!$A$5:$A$304,0)),""))</f>
        <v/>
      </c>
      <c r="E346" s="7" t="n"/>
      <c r="F346" s="7" t="n"/>
      <c r="G346" s="7" t="n"/>
      <c r="H346" s="67" t="n"/>
      <c r="I346" s="76" t="n"/>
      <c r="J346" s="7" t="n"/>
      <c r="K346" s="7" t="n"/>
      <c r="L346" s="65" t="n"/>
      <c r="M346" s="7" t="n"/>
      <c r="N346" s="7" t="n"/>
      <c r="O346" s="78">
        <f>IF($A346="","",MAX(N(L346),INT(_xlfn.MAXIFS('Ordres de travail'!$R$5:$R$3004,'Ordres de travail'!$I$5:$I$3004,$A346,'Ordres de travail'!$AC$5:$AC$3004,"Clôturé"))))</f>
        <v/>
      </c>
      <c r="P346" s="78">
        <f>IF(OR($A346="",N(O346)=0),"",O346+H346)</f>
        <v/>
      </c>
      <c r="Q346" s="79">
        <f>IF(P346="","",P346-TODAY())</f>
        <v/>
      </c>
      <c r="R346" s="9">
        <f>IF($A346="","",IF(M346="Non","INACTIF",IF(Q346="","À DÉFINIR",IF(Q346&lt;0,"EN RETARD",IF(Q346&lt;='Paramètres'!$AA$12,"À PLANIFIER","OK")))))</f>
        <v/>
      </c>
      <c r="S346" s="9">
        <f>IF($A346="","",IF(SUM(COUNTIFS('Ordres de travail'!$I$5:$I$3004,$A346,'Ordres de travail'!$AC$5:$AC$3004,{"Demandé","Planifié","En cours","En attente pièces"}))&gt;0,"Oui","Non"))</f>
        <v/>
      </c>
      <c r="T346" s="68">
        <f>IF($A346="","",COUNTIFS('Ordres de travail'!$I$5:$I$3004,$A346,'Ordres de travail'!$AC$5:$AC$3004,"Clôturé",'Ordres de travail'!$R$5:$R$3004,"&gt;="&amp;'Paramètres'!$AA$6,'Ordres de travail'!$R$5:$R$3004,"&lt;"&amp;('Paramètres'!$AA$7+1)))</f>
        <v/>
      </c>
      <c r="U346" s="69">
        <f>IF(OR($A346="",N(H346)=0),"",IF(M346="Non",0,365/H346*I346))</f>
        <v/>
      </c>
    </row>
    <row r="347">
      <c r="A347" s="7" t="n"/>
      <c r="B347" s="7" t="n"/>
      <c r="C347" s="9">
        <f>IF(B347="","",IFERROR(INDEX('Équipements'!$B$5:$B$304,MATCH(B347,'Équipements'!$A$5:$A$304,0)),"Code inconnu"))</f>
        <v/>
      </c>
      <c r="D347" s="9">
        <f>IF(B347="","",IFERROR(INDEX('Équipements'!$D$5:$D$304,MATCH(B347,'Équipements'!$A$5:$A$304,0)),""))</f>
        <v/>
      </c>
      <c r="E347" s="7" t="n"/>
      <c r="F347" s="7" t="n"/>
      <c r="G347" s="7" t="n"/>
      <c r="H347" s="67" t="n"/>
      <c r="I347" s="76" t="n"/>
      <c r="J347" s="7" t="n"/>
      <c r="K347" s="7" t="n"/>
      <c r="L347" s="65" t="n"/>
      <c r="M347" s="7" t="n"/>
      <c r="N347" s="7" t="n"/>
      <c r="O347" s="78">
        <f>IF($A347="","",MAX(N(L347),INT(_xlfn.MAXIFS('Ordres de travail'!$R$5:$R$3004,'Ordres de travail'!$I$5:$I$3004,$A347,'Ordres de travail'!$AC$5:$AC$3004,"Clôturé"))))</f>
        <v/>
      </c>
      <c r="P347" s="78">
        <f>IF(OR($A347="",N(O347)=0),"",O347+H347)</f>
        <v/>
      </c>
      <c r="Q347" s="79">
        <f>IF(P347="","",P347-TODAY())</f>
        <v/>
      </c>
      <c r="R347" s="9">
        <f>IF($A347="","",IF(M347="Non","INACTIF",IF(Q347="","À DÉFINIR",IF(Q347&lt;0,"EN RETARD",IF(Q347&lt;='Paramètres'!$AA$12,"À PLANIFIER","OK")))))</f>
        <v/>
      </c>
      <c r="S347" s="9">
        <f>IF($A347="","",IF(SUM(COUNTIFS('Ordres de travail'!$I$5:$I$3004,$A347,'Ordres de travail'!$AC$5:$AC$3004,{"Demandé","Planifié","En cours","En attente pièces"}))&gt;0,"Oui","Non"))</f>
        <v/>
      </c>
      <c r="T347" s="68">
        <f>IF($A347="","",COUNTIFS('Ordres de travail'!$I$5:$I$3004,$A347,'Ordres de travail'!$AC$5:$AC$3004,"Clôturé",'Ordres de travail'!$R$5:$R$3004,"&gt;="&amp;'Paramètres'!$AA$6,'Ordres de travail'!$R$5:$R$3004,"&lt;"&amp;('Paramètres'!$AA$7+1)))</f>
        <v/>
      </c>
      <c r="U347" s="69">
        <f>IF(OR($A347="",N(H347)=0),"",IF(M347="Non",0,365/H347*I347))</f>
        <v/>
      </c>
    </row>
    <row r="348">
      <c r="A348" s="7" t="n"/>
      <c r="B348" s="7" t="n"/>
      <c r="C348" s="9">
        <f>IF(B348="","",IFERROR(INDEX('Équipements'!$B$5:$B$304,MATCH(B348,'Équipements'!$A$5:$A$304,0)),"Code inconnu"))</f>
        <v/>
      </c>
      <c r="D348" s="9">
        <f>IF(B348="","",IFERROR(INDEX('Équipements'!$D$5:$D$304,MATCH(B348,'Équipements'!$A$5:$A$304,0)),""))</f>
        <v/>
      </c>
      <c r="E348" s="7" t="n"/>
      <c r="F348" s="7" t="n"/>
      <c r="G348" s="7" t="n"/>
      <c r="H348" s="67" t="n"/>
      <c r="I348" s="76" t="n"/>
      <c r="J348" s="7" t="n"/>
      <c r="K348" s="7" t="n"/>
      <c r="L348" s="65" t="n"/>
      <c r="M348" s="7" t="n"/>
      <c r="N348" s="7" t="n"/>
      <c r="O348" s="78">
        <f>IF($A348="","",MAX(N(L348),INT(_xlfn.MAXIFS('Ordres de travail'!$R$5:$R$3004,'Ordres de travail'!$I$5:$I$3004,$A348,'Ordres de travail'!$AC$5:$AC$3004,"Clôturé"))))</f>
        <v/>
      </c>
      <c r="P348" s="78">
        <f>IF(OR($A348="",N(O348)=0),"",O348+H348)</f>
        <v/>
      </c>
      <c r="Q348" s="79">
        <f>IF(P348="","",P348-TODAY())</f>
        <v/>
      </c>
      <c r="R348" s="9">
        <f>IF($A348="","",IF(M348="Non","INACTIF",IF(Q348="","À DÉFINIR",IF(Q348&lt;0,"EN RETARD",IF(Q348&lt;='Paramètres'!$AA$12,"À PLANIFIER","OK")))))</f>
        <v/>
      </c>
      <c r="S348" s="9">
        <f>IF($A348="","",IF(SUM(COUNTIFS('Ordres de travail'!$I$5:$I$3004,$A348,'Ordres de travail'!$AC$5:$AC$3004,{"Demandé","Planifié","En cours","En attente pièces"}))&gt;0,"Oui","Non"))</f>
        <v/>
      </c>
      <c r="T348" s="68">
        <f>IF($A348="","",COUNTIFS('Ordres de travail'!$I$5:$I$3004,$A348,'Ordres de travail'!$AC$5:$AC$3004,"Clôturé",'Ordres de travail'!$R$5:$R$3004,"&gt;="&amp;'Paramètres'!$AA$6,'Ordres de travail'!$R$5:$R$3004,"&lt;"&amp;('Paramètres'!$AA$7+1)))</f>
        <v/>
      </c>
      <c r="U348" s="69">
        <f>IF(OR($A348="",N(H348)=0),"",IF(M348="Non",0,365/H348*I348))</f>
        <v/>
      </c>
    </row>
    <row r="349">
      <c r="A349" s="7" t="n"/>
      <c r="B349" s="7" t="n"/>
      <c r="C349" s="9">
        <f>IF(B349="","",IFERROR(INDEX('Équipements'!$B$5:$B$304,MATCH(B349,'Équipements'!$A$5:$A$304,0)),"Code inconnu"))</f>
        <v/>
      </c>
      <c r="D349" s="9">
        <f>IF(B349="","",IFERROR(INDEX('Équipements'!$D$5:$D$304,MATCH(B349,'Équipements'!$A$5:$A$304,0)),""))</f>
        <v/>
      </c>
      <c r="E349" s="7" t="n"/>
      <c r="F349" s="7" t="n"/>
      <c r="G349" s="7" t="n"/>
      <c r="H349" s="67" t="n"/>
      <c r="I349" s="76" t="n"/>
      <c r="J349" s="7" t="n"/>
      <c r="K349" s="7" t="n"/>
      <c r="L349" s="65" t="n"/>
      <c r="M349" s="7" t="n"/>
      <c r="N349" s="7" t="n"/>
      <c r="O349" s="78">
        <f>IF($A349="","",MAX(N(L349),INT(_xlfn.MAXIFS('Ordres de travail'!$R$5:$R$3004,'Ordres de travail'!$I$5:$I$3004,$A349,'Ordres de travail'!$AC$5:$AC$3004,"Clôturé"))))</f>
        <v/>
      </c>
      <c r="P349" s="78">
        <f>IF(OR($A349="",N(O349)=0),"",O349+H349)</f>
        <v/>
      </c>
      <c r="Q349" s="79">
        <f>IF(P349="","",P349-TODAY())</f>
        <v/>
      </c>
      <c r="R349" s="9">
        <f>IF($A349="","",IF(M349="Non","INACTIF",IF(Q349="","À DÉFINIR",IF(Q349&lt;0,"EN RETARD",IF(Q349&lt;='Paramètres'!$AA$12,"À PLANIFIER","OK")))))</f>
        <v/>
      </c>
      <c r="S349" s="9">
        <f>IF($A349="","",IF(SUM(COUNTIFS('Ordres de travail'!$I$5:$I$3004,$A349,'Ordres de travail'!$AC$5:$AC$3004,{"Demandé","Planifié","En cours","En attente pièces"}))&gt;0,"Oui","Non"))</f>
        <v/>
      </c>
      <c r="T349" s="68">
        <f>IF($A349="","",COUNTIFS('Ordres de travail'!$I$5:$I$3004,$A349,'Ordres de travail'!$AC$5:$AC$3004,"Clôturé",'Ordres de travail'!$R$5:$R$3004,"&gt;="&amp;'Paramètres'!$AA$6,'Ordres de travail'!$R$5:$R$3004,"&lt;"&amp;('Paramètres'!$AA$7+1)))</f>
        <v/>
      </c>
      <c r="U349" s="69">
        <f>IF(OR($A349="",N(H349)=0),"",IF(M349="Non",0,365/H349*I349))</f>
        <v/>
      </c>
    </row>
    <row r="350">
      <c r="A350" s="7" t="n"/>
      <c r="B350" s="7" t="n"/>
      <c r="C350" s="9">
        <f>IF(B350="","",IFERROR(INDEX('Équipements'!$B$5:$B$304,MATCH(B350,'Équipements'!$A$5:$A$304,0)),"Code inconnu"))</f>
        <v/>
      </c>
      <c r="D350" s="9">
        <f>IF(B350="","",IFERROR(INDEX('Équipements'!$D$5:$D$304,MATCH(B350,'Équipements'!$A$5:$A$304,0)),""))</f>
        <v/>
      </c>
      <c r="E350" s="7" t="n"/>
      <c r="F350" s="7" t="n"/>
      <c r="G350" s="7" t="n"/>
      <c r="H350" s="67" t="n"/>
      <c r="I350" s="76" t="n"/>
      <c r="J350" s="7" t="n"/>
      <c r="K350" s="7" t="n"/>
      <c r="L350" s="65" t="n"/>
      <c r="M350" s="7" t="n"/>
      <c r="N350" s="7" t="n"/>
      <c r="O350" s="78">
        <f>IF($A350="","",MAX(N(L350),INT(_xlfn.MAXIFS('Ordres de travail'!$R$5:$R$3004,'Ordres de travail'!$I$5:$I$3004,$A350,'Ordres de travail'!$AC$5:$AC$3004,"Clôturé"))))</f>
        <v/>
      </c>
      <c r="P350" s="78">
        <f>IF(OR($A350="",N(O350)=0),"",O350+H350)</f>
        <v/>
      </c>
      <c r="Q350" s="79">
        <f>IF(P350="","",P350-TODAY())</f>
        <v/>
      </c>
      <c r="R350" s="9">
        <f>IF($A350="","",IF(M350="Non","INACTIF",IF(Q350="","À DÉFINIR",IF(Q350&lt;0,"EN RETARD",IF(Q350&lt;='Paramètres'!$AA$12,"À PLANIFIER","OK")))))</f>
        <v/>
      </c>
      <c r="S350" s="9">
        <f>IF($A350="","",IF(SUM(COUNTIFS('Ordres de travail'!$I$5:$I$3004,$A350,'Ordres de travail'!$AC$5:$AC$3004,{"Demandé","Planifié","En cours","En attente pièces"}))&gt;0,"Oui","Non"))</f>
        <v/>
      </c>
      <c r="T350" s="68">
        <f>IF($A350="","",COUNTIFS('Ordres de travail'!$I$5:$I$3004,$A350,'Ordres de travail'!$AC$5:$AC$3004,"Clôturé",'Ordres de travail'!$R$5:$R$3004,"&gt;="&amp;'Paramètres'!$AA$6,'Ordres de travail'!$R$5:$R$3004,"&lt;"&amp;('Paramètres'!$AA$7+1)))</f>
        <v/>
      </c>
      <c r="U350" s="69">
        <f>IF(OR($A350="",N(H350)=0),"",IF(M350="Non",0,365/H350*I350))</f>
        <v/>
      </c>
    </row>
    <row r="351">
      <c r="A351" s="7" t="n"/>
      <c r="B351" s="7" t="n"/>
      <c r="C351" s="9">
        <f>IF(B351="","",IFERROR(INDEX('Équipements'!$B$5:$B$304,MATCH(B351,'Équipements'!$A$5:$A$304,0)),"Code inconnu"))</f>
        <v/>
      </c>
      <c r="D351" s="9">
        <f>IF(B351="","",IFERROR(INDEX('Équipements'!$D$5:$D$304,MATCH(B351,'Équipements'!$A$5:$A$304,0)),""))</f>
        <v/>
      </c>
      <c r="E351" s="7" t="n"/>
      <c r="F351" s="7" t="n"/>
      <c r="G351" s="7" t="n"/>
      <c r="H351" s="67" t="n"/>
      <c r="I351" s="76" t="n"/>
      <c r="J351" s="7" t="n"/>
      <c r="K351" s="7" t="n"/>
      <c r="L351" s="65" t="n"/>
      <c r="M351" s="7" t="n"/>
      <c r="N351" s="7" t="n"/>
      <c r="O351" s="78">
        <f>IF($A351="","",MAX(N(L351),INT(_xlfn.MAXIFS('Ordres de travail'!$R$5:$R$3004,'Ordres de travail'!$I$5:$I$3004,$A351,'Ordres de travail'!$AC$5:$AC$3004,"Clôturé"))))</f>
        <v/>
      </c>
      <c r="P351" s="78">
        <f>IF(OR($A351="",N(O351)=0),"",O351+H351)</f>
        <v/>
      </c>
      <c r="Q351" s="79">
        <f>IF(P351="","",P351-TODAY())</f>
        <v/>
      </c>
      <c r="R351" s="9">
        <f>IF($A351="","",IF(M351="Non","INACTIF",IF(Q351="","À DÉFINIR",IF(Q351&lt;0,"EN RETARD",IF(Q351&lt;='Paramètres'!$AA$12,"À PLANIFIER","OK")))))</f>
        <v/>
      </c>
      <c r="S351" s="9">
        <f>IF($A351="","",IF(SUM(COUNTIFS('Ordres de travail'!$I$5:$I$3004,$A351,'Ordres de travail'!$AC$5:$AC$3004,{"Demandé","Planifié","En cours","En attente pièces"}))&gt;0,"Oui","Non"))</f>
        <v/>
      </c>
      <c r="T351" s="68">
        <f>IF($A351="","",COUNTIFS('Ordres de travail'!$I$5:$I$3004,$A351,'Ordres de travail'!$AC$5:$AC$3004,"Clôturé",'Ordres de travail'!$R$5:$R$3004,"&gt;="&amp;'Paramètres'!$AA$6,'Ordres de travail'!$R$5:$R$3004,"&lt;"&amp;('Paramètres'!$AA$7+1)))</f>
        <v/>
      </c>
      <c r="U351" s="69">
        <f>IF(OR($A351="",N(H351)=0),"",IF(M351="Non",0,365/H351*I351))</f>
        <v/>
      </c>
    </row>
    <row r="352">
      <c r="A352" s="7" t="n"/>
      <c r="B352" s="7" t="n"/>
      <c r="C352" s="9">
        <f>IF(B352="","",IFERROR(INDEX('Équipements'!$B$5:$B$304,MATCH(B352,'Équipements'!$A$5:$A$304,0)),"Code inconnu"))</f>
        <v/>
      </c>
      <c r="D352" s="9">
        <f>IF(B352="","",IFERROR(INDEX('Équipements'!$D$5:$D$304,MATCH(B352,'Équipements'!$A$5:$A$304,0)),""))</f>
        <v/>
      </c>
      <c r="E352" s="7" t="n"/>
      <c r="F352" s="7" t="n"/>
      <c r="G352" s="7" t="n"/>
      <c r="H352" s="67" t="n"/>
      <c r="I352" s="76" t="n"/>
      <c r="J352" s="7" t="n"/>
      <c r="K352" s="7" t="n"/>
      <c r="L352" s="65" t="n"/>
      <c r="M352" s="7" t="n"/>
      <c r="N352" s="7" t="n"/>
      <c r="O352" s="78">
        <f>IF($A352="","",MAX(N(L352),INT(_xlfn.MAXIFS('Ordres de travail'!$R$5:$R$3004,'Ordres de travail'!$I$5:$I$3004,$A352,'Ordres de travail'!$AC$5:$AC$3004,"Clôturé"))))</f>
        <v/>
      </c>
      <c r="P352" s="78">
        <f>IF(OR($A352="",N(O352)=0),"",O352+H352)</f>
        <v/>
      </c>
      <c r="Q352" s="79">
        <f>IF(P352="","",P352-TODAY())</f>
        <v/>
      </c>
      <c r="R352" s="9">
        <f>IF($A352="","",IF(M352="Non","INACTIF",IF(Q352="","À DÉFINIR",IF(Q352&lt;0,"EN RETARD",IF(Q352&lt;='Paramètres'!$AA$12,"À PLANIFIER","OK")))))</f>
        <v/>
      </c>
      <c r="S352" s="9">
        <f>IF($A352="","",IF(SUM(COUNTIFS('Ordres de travail'!$I$5:$I$3004,$A352,'Ordres de travail'!$AC$5:$AC$3004,{"Demandé","Planifié","En cours","En attente pièces"}))&gt;0,"Oui","Non"))</f>
        <v/>
      </c>
      <c r="T352" s="68">
        <f>IF($A352="","",COUNTIFS('Ordres de travail'!$I$5:$I$3004,$A352,'Ordres de travail'!$AC$5:$AC$3004,"Clôturé",'Ordres de travail'!$R$5:$R$3004,"&gt;="&amp;'Paramètres'!$AA$6,'Ordres de travail'!$R$5:$R$3004,"&lt;"&amp;('Paramètres'!$AA$7+1)))</f>
        <v/>
      </c>
      <c r="U352" s="69">
        <f>IF(OR($A352="",N(H352)=0),"",IF(M352="Non",0,365/H352*I352))</f>
        <v/>
      </c>
    </row>
    <row r="353">
      <c r="A353" s="7" t="n"/>
      <c r="B353" s="7" t="n"/>
      <c r="C353" s="9">
        <f>IF(B353="","",IFERROR(INDEX('Équipements'!$B$5:$B$304,MATCH(B353,'Équipements'!$A$5:$A$304,0)),"Code inconnu"))</f>
        <v/>
      </c>
      <c r="D353" s="9">
        <f>IF(B353="","",IFERROR(INDEX('Équipements'!$D$5:$D$304,MATCH(B353,'Équipements'!$A$5:$A$304,0)),""))</f>
        <v/>
      </c>
      <c r="E353" s="7" t="n"/>
      <c r="F353" s="7" t="n"/>
      <c r="G353" s="7" t="n"/>
      <c r="H353" s="67" t="n"/>
      <c r="I353" s="76" t="n"/>
      <c r="J353" s="7" t="n"/>
      <c r="K353" s="7" t="n"/>
      <c r="L353" s="65" t="n"/>
      <c r="M353" s="7" t="n"/>
      <c r="N353" s="7" t="n"/>
      <c r="O353" s="78">
        <f>IF($A353="","",MAX(N(L353),INT(_xlfn.MAXIFS('Ordres de travail'!$R$5:$R$3004,'Ordres de travail'!$I$5:$I$3004,$A353,'Ordres de travail'!$AC$5:$AC$3004,"Clôturé"))))</f>
        <v/>
      </c>
      <c r="P353" s="78">
        <f>IF(OR($A353="",N(O353)=0),"",O353+H353)</f>
        <v/>
      </c>
      <c r="Q353" s="79">
        <f>IF(P353="","",P353-TODAY())</f>
        <v/>
      </c>
      <c r="R353" s="9">
        <f>IF($A353="","",IF(M353="Non","INACTIF",IF(Q353="","À DÉFINIR",IF(Q353&lt;0,"EN RETARD",IF(Q353&lt;='Paramètres'!$AA$12,"À PLANIFIER","OK")))))</f>
        <v/>
      </c>
      <c r="S353" s="9">
        <f>IF($A353="","",IF(SUM(COUNTIFS('Ordres de travail'!$I$5:$I$3004,$A353,'Ordres de travail'!$AC$5:$AC$3004,{"Demandé","Planifié","En cours","En attente pièces"}))&gt;0,"Oui","Non"))</f>
        <v/>
      </c>
      <c r="T353" s="68">
        <f>IF($A353="","",COUNTIFS('Ordres de travail'!$I$5:$I$3004,$A353,'Ordres de travail'!$AC$5:$AC$3004,"Clôturé",'Ordres de travail'!$R$5:$R$3004,"&gt;="&amp;'Paramètres'!$AA$6,'Ordres de travail'!$R$5:$R$3004,"&lt;"&amp;('Paramètres'!$AA$7+1)))</f>
        <v/>
      </c>
      <c r="U353" s="69">
        <f>IF(OR($A353="",N(H353)=0),"",IF(M353="Non",0,365/H353*I353))</f>
        <v/>
      </c>
    </row>
    <row r="354">
      <c r="A354" s="7" t="n"/>
      <c r="B354" s="7" t="n"/>
      <c r="C354" s="9">
        <f>IF(B354="","",IFERROR(INDEX('Équipements'!$B$5:$B$304,MATCH(B354,'Équipements'!$A$5:$A$304,0)),"Code inconnu"))</f>
        <v/>
      </c>
      <c r="D354" s="9">
        <f>IF(B354="","",IFERROR(INDEX('Équipements'!$D$5:$D$304,MATCH(B354,'Équipements'!$A$5:$A$304,0)),""))</f>
        <v/>
      </c>
      <c r="E354" s="7" t="n"/>
      <c r="F354" s="7" t="n"/>
      <c r="G354" s="7" t="n"/>
      <c r="H354" s="67" t="n"/>
      <c r="I354" s="76" t="n"/>
      <c r="J354" s="7" t="n"/>
      <c r="K354" s="7" t="n"/>
      <c r="L354" s="65" t="n"/>
      <c r="M354" s="7" t="n"/>
      <c r="N354" s="7" t="n"/>
      <c r="O354" s="78">
        <f>IF($A354="","",MAX(N(L354),INT(_xlfn.MAXIFS('Ordres de travail'!$R$5:$R$3004,'Ordres de travail'!$I$5:$I$3004,$A354,'Ordres de travail'!$AC$5:$AC$3004,"Clôturé"))))</f>
        <v/>
      </c>
      <c r="P354" s="78">
        <f>IF(OR($A354="",N(O354)=0),"",O354+H354)</f>
        <v/>
      </c>
      <c r="Q354" s="79">
        <f>IF(P354="","",P354-TODAY())</f>
        <v/>
      </c>
      <c r="R354" s="9">
        <f>IF($A354="","",IF(M354="Non","INACTIF",IF(Q354="","À DÉFINIR",IF(Q354&lt;0,"EN RETARD",IF(Q354&lt;='Paramètres'!$AA$12,"À PLANIFIER","OK")))))</f>
        <v/>
      </c>
      <c r="S354" s="9">
        <f>IF($A354="","",IF(SUM(COUNTIFS('Ordres de travail'!$I$5:$I$3004,$A354,'Ordres de travail'!$AC$5:$AC$3004,{"Demandé","Planifié","En cours","En attente pièces"}))&gt;0,"Oui","Non"))</f>
        <v/>
      </c>
      <c r="T354" s="68">
        <f>IF($A354="","",COUNTIFS('Ordres de travail'!$I$5:$I$3004,$A354,'Ordres de travail'!$AC$5:$AC$3004,"Clôturé",'Ordres de travail'!$R$5:$R$3004,"&gt;="&amp;'Paramètres'!$AA$6,'Ordres de travail'!$R$5:$R$3004,"&lt;"&amp;('Paramètres'!$AA$7+1)))</f>
        <v/>
      </c>
      <c r="U354" s="69">
        <f>IF(OR($A354="",N(H354)=0),"",IF(M354="Non",0,365/H354*I354))</f>
        <v/>
      </c>
    </row>
    <row r="355">
      <c r="A355" s="7" t="n"/>
      <c r="B355" s="7" t="n"/>
      <c r="C355" s="9">
        <f>IF(B355="","",IFERROR(INDEX('Équipements'!$B$5:$B$304,MATCH(B355,'Équipements'!$A$5:$A$304,0)),"Code inconnu"))</f>
        <v/>
      </c>
      <c r="D355" s="9">
        <f>IF(B355="","",IFERROR(INDEX('Équipements'!$D$5:$D$304,MATCH(B355,'Équipements'!$A$5:$A$304,0)),""))</f>
        <v/>
      </c>
      <c r="E355" s="7" t="n"/>
      <c r="F355" s="7" t="n"/>
      <c r="G355" s="7" t="n"/>
      <c r="H355" s="67" t="n"/>
      <c r="I355" s="76" t="n"/>
      <c r="J355" s="7" t="n"/>
      <c r="K355" s="7" t="n"/>
      <c r="L355" s="65" t="n"/>
      <c r="M355" s="7" t="n"/>
      <c r="N355" s="7" t="n"/>
      <c r="O355" s="78">
        <f>IF($A355="","",MAX(N(L355),INT(_xlfn.MAXIFS('Ordres de travail'!$R$5:$R$3004,'Ordres de travail'!$I$5:$I$3004,$A355,'Ordres de travail'!$AC$5:$AC$3004,"Clôturé"))))</f>
        <v/>
      </c>
      <c r="P355" s="78">
        <f>IF(OR($A355="",N(O355)=0),"",O355+H355)</f>
        <v/>
      </c>
      <c r="Q355" s="79">
        <f>IF(P355="","",P355-TODAY())</f>
        <v/>
      </c>
      <c r="R355" s="9">
        <f>IF($A355="","",IF(M355="Non","INACTIF",IF(Q355="","À DÉFINIR",IF(Q355&lt;0,"EN RETARD",IF(Q355&lt;='Paramètres'!$AA$12,"À PLANIFIER","OK")))))</f>
        <v/>
      </c>
      <c r="S355" s="9">
        <f>IF($A355="","",IF(SUM(COUNTIFS('Ordres de travail'!$I$5:$I$3004,$A355,'Ordres de travail'!$AC$5:$AC$3004,{"Demandé","Planifié","En cours","En attente pièces"}))&gt;0,"Oui","Non"))</f>
        <v/>
      </c>
      <c r="T355" s="68">
        <f>IF($A355="","",COUNTIFS('Ordres de travail'!$I$5:$I$3004,$A355,'Ordres de travail'!$AC$5:$AC$3004,"Clôturé",'Ordres de travail'!$R$5:$R$3004,"&gt;="&amp;'Paramètres'!$AA$6,'Ordres de travail'!$R$5:$R$3004,"&lt;"&amp;('Paramètres'!$AA$7+1)))</f>
        <v/>
      </c>
      <c r="U355" s="69">
        <f>IF(OR($A355="",N(H355)=0),"",IF(M355="Non",0,365/H355*I355))</f>
        <v/>
      </c>
    </row>
    <row r="356">
      <c r="A356" s="7" t="n"/>
      <c r="B356" s="7" t="n"/>
      <c r="C356" s="9">
        <f>IF(B356="","",IFERROR(INDEX('Équipements'!$B$5:$B$304,MATCH(B356,'Équipements'!$A$5:$A$304,0)),"Code inconnu"))</f>
        <v/>
      </c>
      <c r="D356" s="9">
        <f>IF(B356="","",IFERROR(INDEX('Équipements'!$D$5:$D$304,MATCH(B356,'Équipements'!$A$5:$A$304,0)),""))</f>
        <v/>
      </c>
      <c r="E356" s="7" t="n"/>
      <c r="F356" s="7" t="n"/>
      <c r="G356" s="7" t="n"/>
      <c r="H356" s="67" t="n"/>
      <c r="I356" s="76" t="n"/>
      <c r="J356" s="7" t="n"/>
      <c r="K356" s="7" t="n"/>
      <c r="L356" s="65" t="n"/>
      <c r="M356" s="7" t="n"/>
      <c r="N356" s="7" t="n"/>
      <c r="O356" s="78">
        <f>IF($A356="","",MAX(N(L356),INT(_xlfn.MAXIFS('Ordres de travail'!$R$5:$R$3004,'Ordres de travail'!$I$5:$I$3004,$A356,'Ordres de travail'!$AC$5:$AC$3004,"Clôturé"))))</f>
        <v/>
      </c>
      <c r="P356" s="78">
        <f>IF(OR($A356="",N(O356)=0),"",O356+H356)</f>
        <v/>
      </c>
      <c r="Q356" s="79">
        <f>IF(P356="","",P356-TODAY())</f>
        <v/>
      </c>
      <c r="R356" s="9">
        <f>IF($A356="","",IF(M356="Non","INACTIF",IF(Q356="","À DÉFINIR",IF(Q356&lt;0,"EN RETARD",IF(Q356&lt;='Paramètres'!$AA$12,"À PLANIFIER","OK")))))</f>
        <v/>
      </c>
      <c r="S356" s="9">
        <f>IF($A356="","",IF(SUM(COUNTIFS('Ordres de travail'!$I$5:$I$3004,$A356,'Ordres de travail'!$AC$5:$AC$3004,{"Demandé","Planifié","En cours","En attente pièces"}))&gt;0,"Oui","Non"))</f>
        <v/>
      </c>
      <c r="T356" s="68">
        <f>IF($A356="","",COUNTIFS('Ordres de travail'!$I$5:$I$3004,$A356,'Ordres de travail'!$AC$5:$AC$3004,"Clôturé",'Ordres de travail'!$R$5:$R$3004,"&gt;="&amp;'Paramètres'!$AA$6,'Ordres de travail'!$R$5:$R$3004,"&lt;"&amp;('Paramètres'!$AA$7+1)))</f>
        <v/>
      </c>
      <c r="U356" s="69">
        <f>IF(OR($A356="",N(H356)=0),"",IF(M356="Non",0,365/H356*I356))</f>
        <v/>
      </c>
    </row>
    <row r="357">
      <c r="A357" s="7" t="n"/>
      <c r="B357" s="7" t="n"/>
      <c r="C357" s="9">
        <f>IF(B357="","",IFERROR(INDEX('Équipements'!$B$5:$B$304,MATCH(B357,'Équipements'!$A$5:$A$304,0)),"Code inconnu"))</f>
        <v/>
      </c>
      <c r="D357" s="9">
        <f>IF(B357="","",IFERROR(INDEX('Équipements'!$D$5:$D$304,MATCH(B357,'Équipements'!$A$5:$A$304,0)),""))</f>
        <v/>
      </c>
      <c r="E357" s="7" t="n"/>
      <c r="F357" s="7" t="n"/>
      <c r="G357" s="7" t="n"/>
      <c r="H357" s="67" t="n"/>
      <c r="I357" s="76" t="n"/>
      <c r="J357" s="7" t="n"/>
      <c r="K357" s="7" t="n"/>
      <c r="L357" s="65" t="n"/>
      <c r="M357" s="7" t="n"/>
      <c r="N357" s="7" t="n"/>
      <c r="O357" s="78">
        <f>IF($A357="","",MAX(N(L357),INT(_xlfn.MAXIFS('Ordres de travail'!$R$5:$R$3004,'Ordres de travail'!$I$5:$I$3004,$A357,'Ordres de travail'!$AC$5:$AC$3004,"Clôturé"))))</f>
        <v/>
      </c>
      <c r="P357" s="78">
        <f>IF(OR($A357="",N(O357)=0),"",O357+H357)</f>
        <v/>
      </c>
      <c r="Q357" s="79">
        <f>IF(P357="","",P357-TODAY())</f>
        <v/>
      </c>
      <c r="R357" s="9">
        <f>IF($A357="","",IF(M357="Non","INACTIF",IF(Q357="","À DÉFINIR",IF(Q357&lt;0,"EN RETARD",IF(Q357&lt;='Paramètres'!$AA$12,"À PLANIFIER","OK")))))</f>
        <v/>
      </c>
      <c r="S357" s="9">
        <f>IF($A357="","",IF(SUM(COUNTIFS('Ordres de travail'!$I$5:$I$3004,$A357,'Ordres de travail'!$AC$5:$AC$3004,{"Demandé","Planifié","En cours","En attente pièces"}))&gt;0,"Oui","Non"))</f>
        <v/>
      </c>
      <c r="T357" s="68">
        <f>IF($A357="","",COUNTIFS('Ordres de travail'!$I$5:$I$3004,$A357,'Ordres de travail'!$AC$5:$AC$3004,"Clôturé",'Ordres de travail'!$R$5:$R$3004,"&gt;="&amp;'Paramètres'!$AA$6,'Ordres de travail'!$R$5:$R$3004,"&lt;"&amp;('Paramètres'!$AA$7+1)))</f>
        <v/>
      </c>
      <c r="U357" s="69">
        <f>IF(OR($A357="",N(H357)=0),"",IF(M357="Non",0,365/H357*I357))</f>
        <v/>
      </c>
    </row>
    <row r="358">
      <c r="A358" s="7" t="n"/>
      <c r="B358" s="7" t="n"/>
      <c r="C358" s="9">
        <f>IF(B358="","",IFERROR(INDEX('Équipements'!$B$5:$B$304,MATCH(B358,'Équipements'!$A$5:$A$304,0)),"Code inconnu"))</f>
        <v/>
      </c>
      <c r="D358" s="9">
        <f>IF(B358="","",IFERROR(INDEX('Équipements'!$D$5:$D$304,MATCH(B358,'Équipements'!$A$5:$A$304,0)),""))</f>
        <v/>
      </c>
      <c r="E358" s="7" t="n"/>
      <c r="F358" s="7" t="n"/>
      <c r="G358" s="7" t="n"/>
      <c r="H358" s="67" t="n"/>
      <c r="I358" s="76" t="n"/>
      <c r="J358" s="7" t="n"/>
      <c r="K358" s="7" t="n"/>
      <c r="L358" s="65" t="n"/>
      <c r="M358" s="7" t="n"/>
      <c r="N358" s="7" t="n"/>
      <c r="O358" s="78">
        <f>IF($A358="","",MAX(N(L358),INT(_xlfn.MAXIFS('Ordres de travail'!$R$5:$R$3004,'Ordres de travail'!$I$5:$I$3004,$A358,'Ordres de travail'!$AC$5:$AC$3004,"Clôturé"))))</f>
        <v/>
      </c>
      <c r="P358" s="78">
        <f>IF(OR($A358="",N(O358)=0),"",O358+H358)</f>
        <v/>
      </c>
      <c r="Q358" s="79">
        <f>IF(P358="","",P358-TODAY())</f>
        <v/>
      </c>
      <c r="R358" s="9">
        <f>IF($A358="","",IF(M358="Non","INACTIF",IF(Q358="","À DÉFINIR",IF(Q358&lt;0,"EN RETARD",IF(Q358&lt;='Paramètres'!$AA$12,"À PLANIFIER","OK")))))</f>
        <v/>
      </c>
      <c r="S358" s="9">
        <f>IF($A358="","",IF(SUM(COUNTIFS('Ordres de travail'!$I$5:$I$3004,$A358,'Ordres de travail'!$AC$5:$AC$3004,{"Demandé","Planifié","En cours","En attente pièces"}))&gt;0,"Oui","Non"))</f>
        <v/>
      </c>
      <c r="T358" s="68">
        <f>IF($A358="","",COUNTIFS('Ordres de travail'!$I$5:$I$3004,$A358,'Ordres de travail'!$AC$5:$AC$3004,"Clôturé",'Ordres de travail'!$R$5:$R$3004,"&gt;="&amp;'Paramètres'!$AA$6,'Ordres de travail'!$R$5:$R$3004,"&lt;"&amp;('Paramètres'!$AA$7+1)))</f>
        <v/>
      </c>
      <c r="U358" s="69">
        <f>IF(OR($A358="",N(H358)=0),"",IF(M358="Non",0,365/H358*I358))</f>
        <v/>
      </c>
    </row>
    <row r="359">
      <c r="A359" s="7" t="n"/>
      <c r="B359" s="7" t="n"/>
      <c r="C359" s="9">
        <f>IF(B359="","",IFERROR(INDEX('Équipements'!$B$5:$B$304,MATCH(B359,'Équipements'!$A$5:$A$304,0)),"Code inconnu"))</f>
        <v/>
      </c>
      <c r="D359" s="9">
        <f>IF(B359="","",IFERROR(INDEX('Équipements'!$D$5:$D$304,MATCH(B359,'Équipements'!$A$5:$A$304,0)),""))</f>
        <v/>
      </c>
      <c r="E359" s="7" t="n"/>
      <c r="F359" s="7" t="n"/>
      <c r="G359" s="7" t="n"/>
      <c r="H359" s="67" t="n"/>
      <c r="I359" s="76" t="n"/>
      <c r="J359" s="7" t="n"/>
      <c r="K359" s="7" t="n"/>
      <c r="L359" s="65" t="n"/>
      <c r="M359" s="7" t="n"/>
      <c r="N359" s="7" t="n"/>
      <c r="O359" s="78">
        <f>IF($A359="","",MAX(N(L359),INT(_xlfn.MAXIFS('Ordres de travail'!$R$5:$R$3004,'Ordres de travail'!$I$5:$I$3004,$A359,'Ordres de travail'!$AC$5:$AC$3004,"Clôturé"))))</f>
        <v/>
      </c>
      <c r="P359" s="78">
        <f>IF(OR($A359="",N(O359)=0),"",O359+H359)</f>
        <v/>
      </c>
      <c r="Q359" s="79">
        <f>IF(P359="","",P359-TODAY())</f>
        <v/>
      </c>
      <c r="R359" s="9">
        <f>IF($A359="","",IF(M359="Non","INACTIF",IF(Q359="","À DÉFINIR",IF(Q359&lt;0,"EN RETARD",IF(Q359&lt;='Paramètres'!$AA$12,"À PLANIFIER","OK")))))</f>
        <v/>
      </c>
      <c r="S359" s="9">
        <f>IF($A359="","",IF(SUM(COUNTIFS('Ordres de travail'!$I$5:$I$3004,$A359,'Ordres de travail'!$AC$5:$AC$3004,{"Demandé","Planifié","En cours","En attente pièces"}))&gt;0,"Oui","Non"))</f>
        <v/>
      </c>
      <c r="T359" s="68">
        <f>IF($A359="","",COUNTIFS('Ordres de travail'!$I$5:$I$3004,$A359,'Ordres de travail'!$AC$5:$AC$3004,"Clôturé",'Ordres de travail'!$R$5:$R$3004,"&gt;="&amp;'Paramètres'!$AA$6,'Ordres de travail'!$R$5:$R$3004,"&lt;"&amp;('Paramètres'!$AA$7+1)))</f>
        <v/>
      </c>
      <c r="U359" s="69">
        <f>IF(OR($A359="",N(H359)=0),"",IF(M359="Non",0,365/H359*I359))</f>
        <v/>
      </c>
    </row>
    <row r="360">
      <c r="A360" s="7" t="n"/>
      <c r="B360" s="7" t="n"/>
      <c r="C360" s="9">
        <f>IF(B360="","",IFERROR(INDEX('Équipements'!$B$5:$B$304,MATCH(B360,'Équipements'!$A$5:$A$304,0)),"Code inconnu"))</f>
        <v/>
      </c>
      <c r="D360" s="9">
        <f>IF(B360="","",IFERROR(INDEX('Équipements'!$D$5:$D$304,MATCH(B360,'Équipements'!$A$5:$A$304,0)),""))</f>
        <v/>
      </c>
      <c r="E360" s="7" t="n"/>
      <c r="F360" s="7" t="n"/>
      <c r="G360" s="7" t="n"/>
      <c r="H360" s="67" t="n"/>
      <c r="I360" s="76" t="n"/>
      <c r="J360" s="7" t="n"/>
      <c r="K360" s="7" t="n"/>
      <c r="L360" s="65" t="n"/>
      <c r="M360" s="7" t="n"/>
      <c r="N360" s="7" t="n"/>
      <c r="O360" s="78">
        <f>IF($A360="","",MAX(N(L360),INT(_xlfn.MAXIFS('Ordres de travail'!$R$5:$R$3004,'Ordres de travail'!$I$5:$I$3004,$A360,'Ordres de travail'!$AC$5:$AC$3004,"Clôturé"))))</f>
        <v/>
      </c>
      <c r="P360" s="78">
        <f>IF(OR($A360="",N(O360)=0),"",O360+H360)</f>
        <v/>
      </c>
      <c r="Q360" s="79">
        <f>IF(P360="","",P360-TODAY())</f>
        <v/>
      </c>
      <c r="R360" s="9">
        <f>IF($A360="","",IF(M360="Non","INACTIF",IF(Q360="","À DÉFINIR",IF(Q360&lt;0,"EN RETARD",IF(Q360&lt;='Paramètres'!$AA$12,"À PLANIFIER","OK")))))</f>
        <v/>
      </c>
      <c r="S360" s="9">
        <f>IF($A360="","",IF(SUM(COUNTIFS('Ordres de travail'!$I$5:$I$3004,$A360,'Ordres de travail'!$AC$5:$AC$3004,{"Demandé","Planifié","En cours","En attente pièces"}))&gt;0,"Oui","Non"))</f>
        <v/>
      </c>
      <c r="T360" s="68">
        <f>IF($A360="","",COUNTIFS('Ordres de travail'!$I$5:$I$3004,$A360,'Ordres de travail'!$AC$5:$AC$3004,"Clôturé",'Ordres de travail'!$R$5:$R$3004,"&gt;="&amp;'Paramètres'!$AA$6,'Ordres de travail'!$R$5:$R$3004,"&lt;"&amp;('Paramètres'!$AA$7+1)))</f>
        <v/>
      </c>
      <c r="U360" s="69">
        <f>IF(OR($A360="",N(H360)=0),"",IF(M360="Non",0,365/H360*I360))</f>
        <v/>
      </c>
    </row>
    <row r="361">
      <c r="A361" s="7" t="n"/>
      <c r="B361" s="7" t="n"/>
      <c r="C361" s="9">
        <f>IF(B361="","",IFERROR(INDEX('Équipements'!$B$5:$B$304,MATCH(B361,'Équipements'!$A$5:$A$304,0)),"Code inconnu"))</f>
        <v/>
      </c>
      <c r="D361" s="9">
        <f>IF(B361="","",IFERROR(INDEX('Équipements'!$D$5:$D$304,MATCH(B361,'Équipements'!$A$5:$A$304,0)),""))</f>
        <v/>
      </c>
      <c r="E361" s="7" t="n"/>
      <c r="F361" s="7" t="n"/>
      <c r="G361" s="7" t="n"/>
      <c r="H361" s="67" t="n"/>
      <c r="I361" s="76" t="n"/>
      <c r="J361" s="7" t="n"/>
      <c r="K361" s="7" t="n"/>
      <c r="L361" s="65" t="n"/>
      <c r="M361" s="7" t="n"/>
      <c r="N361" s="7" t="n"/>
      <c r="O361" s="78">
        <f>IF($A361="","",MAX(N(L361),INT(_xlfn.MAXIFS('Ordres de travail'!$R$5:$R$3004,'Ordres de travail'!$I$5:$I$3004,$A361,'Ordres de travail'!$AC$5:$AC$3004,"Clôturé"))))</f>
        <v/>
      </c>
      <c r="P361" s="78">
        <f>IF(OR($A361="",N(O361)=0),"",O361+H361)</f>
        <v/>
      </c>
      <c r="Q361" s="79">
        <f>IF(P361="","",P361-TODAY())</f>
        <v/>
      </c>
      <c r="R361" s="9">
        <f>IF($A361="","",IF(M361="Non","INACTIF",IF(Q361="","À DÉFINIR",IF(Q361&lt;0,"EN RETARD",IF(Q361&lt;='Paramètres'!$AA$12,"À PLANIFIER","OK")))))</f>
        <v/>
      </c>
      <c r="S361" s="9">
        <f>IF($A361="","",IF(SUM(COUNTIFS('Ordres de travail'!$I$5:$I$3004,$A361,'Ordres de travail'!$AC$5:$AC$3004,{"Demandé","Planifié","En cours","En attente pièces"}))&gt;0,"Oui","Non"))</f>
        <v/>
      </c>
      <c r="T361" s="68">
        <f>IF($A361="","",COUNTIFS('Ordres de travail'!$I$5:$I$3004,$A361,'Ordres de travail'!$AC$5:$AC$3004,"Clôturé",'Ordres de travail'!$R$5:$R$3004,"&gt;="&amp;'Paramètres'!$AA$6,'Ordres de travail'!$R$5:$R$3004,"&lt;"&amp;('Paramètres'!$AA$7+1)))</f>
        <v/>
      </c>
      <c r="U361" s="69">
        <f>IF(OR($A361="",N(H361)=0),"",IF(M361="Non",0,365/H361*I361))</f>
        <v/>
      </c>
    </row>
    <row r="362">
      <c r="A362" s="7" t="n"/>
      <c r="B362" s="7" t="n"/>
      <c r="C362" s="9">
        <f>IF(B362="","",IFERROR(INDEX('Équipements'!$B$5:$B$304,MATCH(B362,'Équipements'!$A$5:$A$304,0)),"Code inconnu"))</f>
        <v/>
      </c>
      <c r="D362" s="9">
        <f>IF(B362="","",IFERROR(INDEX('Équipements'!$D$5:$D$304,MATCH(B362,'Équipements'!$A$5:$A$304,0)),""))</f>
        <v/>
      </c>
      <c r="E362" s="7" t="n"/>
      <c r="F362" s="7" t="n"/>
      <c r="G362" s="7" t="n"/>
      <c r="H362" s="67" t="n"/>
      <c r="I362" s="76" t="n"/>
      <c r="J362" s="7" t="n"/>
      <c r="K362" s="7" t="n"/>
      <c r="L362" s="65" t="n"/>
      <c r="M362" s="7" t="n"/>
      <c r="N362" s="7" t="n"/>
      <c r="O362" s="78">
        <f>IF($A362="","",MAX(N(L362),INT(_xlfn.MAXIFS('Ordres de travail'!$R$5:$R$3004,'Ordres de travail'!$I$5:$I$3004,$A362,'Ordres de travail'!$AC$5:$AC$3004,"Clôturé"))))</f>
        <v/>
      </c>
      <c r="P362" s="78">
        <f>IF(OR($A362="",N(O362)=0),"",O362+H362)</f>
        <v/>
      </c>
      <c r="Q362" s="79">
        <f>IF(P362="","",P362-TODAY())</f>
        <v/>
      </c>
      <c r="R362" s="9">
        <f>IF($A362="","",IF(M362="Non","INACTIF",IF(Q362="","À DÉFINIR",IF(Q362&lt;0,"EN RETARD",IF(Q362&lt;='Paramètres'!$AA$12,"À PLANIFIER","OK")))))</f>
        <v/>
      </c>
      <c r="S362" s="9">
        <f>IF($A362="","",IF(SUM(COUNTIFS('Ordres de travail'!$I$5:$I$3004,$A362,'Ordres de travail'!$AC$5:$AC$3004,{"Demandé","Planifié","En cours","En attente pièces"}))&gt;0,"Oui","Non"))</f>
        <v/>
      </c>
      <c r="T362" s="68">
        <f>IF($A362="","",COUNTIFS('Ordres de travail'!$I$5:$I$3004,$A362,'Ordres de travail'!$AC$5:$AC$3004,"Clôturé",'Ordres de travail'!$R$5:$R$3004,"&gt;="&amp;'Paramètres'!$AA$6,'Ordres de travail'!$R$5:$R$3004,"&lt;"&amp;('Paramètres'!$AA$7+1)))</f>
        <v/>
      </c>
      <c r="U362" s="69">
        <f>IF(OR($A362="",N(H362)=0),"",IF(M362="Non",0,365/H362*I362))</f>
        <v/>
      </c>
    </row>
    <row r="363">
      <c r="A363" s="7" t="n"/>
      <c r="B363" s="7" t="n"/>
      <c r="C363" s="9">
        <f>IF(B363="","",IFERROR(INDEX('Équipements'!$B$5:$B$304,MATCH(B363,'Équipements'!$A$5:$A$304,0)),"Code inconnu"))</f>
        <v/>
      </c>
      <c r="D363" s="9">
        <f>IF(B363="","",IFERROR(INDEX('Équipements'!$D$5:$D$304,MATCH(B363,'Équipements'!$A$5:$A$304,0)),""))</f>
        <v/>
      </c>
      <c r="E363" s="7" t="n"/>
      <c r="F363" s="7" t="n"/>
      <c r="G363" s="7" t="n"/>
      <c r="H363" s="67" t="n"/>
      <c r="I363" s="76" t="n"/>
      <c r="J363" s="7" t="n"/>
      <c r="K363" s="7" t="n"/>
      <c r="L363" s="65" t="n"/>
      <c r="M363" s="7" t="n"/>
      <c r="N363" s="7" t="n"/>
      <c r="O363" s="78">
        <f>IF($A363="","",MAX(N(L363),INT(_xlfn.MAXIFS('Ordres de travail'!$R$5:$R$3004,'Ordres de travail'!$I$5:$I$3004,$A363,'Ordres de travail'!$AC$5:$AC$3004,"Clôturé"))))</f>
        <v/>
      </c>
      <c r="P363" s="78">
        <f>IF(OR($A363="",N(O363)=0),"",O363+H363)</f>
        <v/>
      </c>
      <c r="Q363" s="79">
        <f>IF(P363="","",P363-TODAY())</f>
        <v/>
      </c>
      <c r="R363" s="9">
        <f>IF($A363="","",IF(M363="Non","INACTIF",IF(Q363="","À DÉFINIR",IF(Q363&lt;0,"EN RETARD",IF(Q363&lt;='Paramètres'!$AA$12,"À PLANIFIER","OK")))))</f>
        <v/>
      </c>
      <c r="S363" s="9">
        <f>IF($A363="","",IF(SUM(COUNTIFS('Ordres de travail'!$I$5:$I$3004,$A363,'Ordres de travail'!$AC$5:$AC$3004,{"Demandé","Planifié","En cours","En attente pièces"}))&gt;0,"Oui","Non"))</f>
        <v/>
      </c>
      <c r="T363" s="68">
        <f>IF($A363="","",COUNTIFS('Ordres de travail'!$I$5:$I$3004,$A363,'Ordres de travail'!$AC$5:$AC$3004,"Clôturé",'Ordres de travail'!$R$5:$R$3004,"&gt;="&amp;'Paramètres'!$AA$6,'Ordres de travail'!$R$5:$R$3004,"&lt;"&amp;('Paramètres'!$AA$7+1)))</f>
        <v/>
      </c>
      <c r="U363" s="69">
        <f>IF(OR($A363="",N(H363)=0),"",IF(M363="Non",0,365/H363*I363))</f>
        <v/>
      </c>
    </row>
    <row r="364">
      <c r="A364" s="7" t="n"/>
      <c r="B364" s="7" t="n"/>
      <c r="C364" s="9">
        <f>IF(B364="","",IFERROR(INDEX('Équipements'!$B$5:$B$304,MATCH(B364,'Équipements'!$A$5:$A$304,0)),"Code inconnu"))</f>
        <v/>
      </c>
      <c r="D364" s="9">
        <f>IF(B364="","",IFERROR(INDEX('Équipements'!$D$5:$D$304,MATCH(B364,'Équipements'!$A$5:$A$304,0)),""))</f>
        <v/>
      </c>
      <c r="E364" s="7" t="n"/>
      <c r="F364" s="7" t="n"/>
      <c r="G364" s="7" t="n"/>
      <c r="H364" s="67" t="n"/>
      <c r="I364" s="76" t="n"/>
      <c r="J364" s="7" t="n"/>
      <c r="K364" s="7" t="n"/>
      <c r="L364" s="65" t="n"/>
      <c r="M364" s="7" t="n"/>
      <c r="N364" s="7" t="n"/>
      <c r="O364" s="78">
        <f>IF($A364="","",MAX(N(L364),INT(_xlfn.MAXIFS('Ordres de travail'!$R$5:$R$3004,'Ordres de travail'!$I$5:$I$3004,$A364,'Ordres de travail'!$AC$5:$AC$3004,"Clôturé"))))</f>
        <v/>
      </c>
      <c r="P364" s="78">
        <f>IF(OR($A364="",N(O364)=0),"",O364+H364)</f>
        <v/>
      </c>
      <c r="Q364" s="79">
        <f>IF(P364="","",P364-TODAY())</f>
        <v/>
      </c>
      <c r="R364" s="9">
        <f>IF($A364="","",IF(M364="Non","INACTIF",IF(Q364="","À DÉFINIR",IF(Q364&lt;0,"EN RETARD",IF(Q364&lt;='Paramètres'!$AA$12,"À PLANIFIER","OK")))))</f>
        <v/>
      </c>
      <c r="S364" s="9">
        <f>IF($A364="","",IF(SUM(COUNTIFS('Ordres de travail'!$I$5:$I$3004,$A364,'Ordres de travail'!$AC$5:$AC$3004,{"Demandé","Planifié","En cours","En attente pièces"}))&gt;0,"Oui","Non"))</f>
        <v/>
      </c>
      <c r="T364" s="68">
        <f>IF($A364="","",COUNTIFS('Ordres de travail'!$I$5:$I$3004,$A364,'Ordres de travail'!$AC$5:$AC$3004,"Clôturé",'Ordres de travail'!$R$5:$R$3004,"&gt;="&amp;'Paramètres'!$AA$6,'Ordres de travail'!$R$5:$R$3004,"&lt;"&amp;('Paramètres'!$AA$7+1)))</f>
        <v/>
      </c>
      <c r="U364" s="69">
        <f>IF(OR($A364="",N(H364)=0),"",IF(M364="Non",0,365/H364*I364))</f>
        <v/>
      </c>
    </row>
    <row r="365">
      <c r="A365" s="7" t="n"/>
      <c r="B365" s="7" t="n"/>
      <c r="C365" s="9">
        <f>IF(B365="","",IFERROR(INDEX('Équipements'!$B$5:$B$304,MATCH(B365,'Équipements'!$A$5:$A$304,0)),"Code inconnu"))</f>
        <v/>
      </c>
      <c r="D365" s="9">
        <f>IF(B365="","",IFERROR(INDEX('Équipements'!$D$5:$D$304,MATCH(B365,'Équipements'!$A$5:$A$304,0)),""))</f>
        <v/>
      </c>
      <c r="E365" s="7" t="n"/>
      <c r="F365" s="7" t="n"/>
      <c r="G365" s="7" t="n"/>
      <c r="H365" s="67" t="n"/>
      <c r="I365" s="76" t="n"/>
      <c r="J365" s="7" t="n"/>
      <c r="K365" s="7" t="n"/>
      <c r="L365" s="65" t="n"/>
      <c r="M365" s="7" t="n"/>
      <c r="N365" s="7" t="n"/>
      <c r="O365" s="78">
        <f>IF($A365="","",MAX(N(L365),INT(_xlfn.MAXIFS('Ordres de travail'!$R$5:$R$3004,'Ordres de travail'!$I$5:$I$3004,$A365,'Ordres de travail'!$AC$5:$AC$3004,"Clôturé"))))</f>
        <v/>
      </c>
      <c r="P365" s="78">
        <f>IF(OR($A365="",N(O365)=0),"",O365+H365)</f>
        <v/>
      </c>
      <c r="Q365" s="79">
        <f>IF(P365="","",P365-TODAY())</f>
        <v/>
      </c>
      <c r="R365" s="9">
        <f>IF($A365="","",IF(M365="Non","INACTIF",IF(Q365="","À DÉFINIR",IF(Q365&lt;0,"EN RETARD",IF(Q365&lt;='Paramètres'!$AA$12,"À PLANIFIER","OK")))))</f>
        <v/>
      </c>
      <c r="S365" s="9">
        <f>IF($A365="","",IF(SUM(COUNTIFS('Ordres de travail'!$I$5:$I$3004,$A365,'Ordres de travail'!$AC$5:$AC$3004,{"Demandé","Planifié","En cours","En attente pièces"}))&gt;0,"Oui","Non"))</f>
        <v/>
      </c>
      <c r="T365" s="68">
        <f>IF($A365="","",COUNTIFS('Ordres de travail'!$I$5:$I$3004,$A365,'Ordres de travail'!$AC$5:$AC$3004,"Clôturé",'Ordres de travail'!$R$5:$R$3004,"&gt;="&amp;'Paramètres'!$AA$6,'Ordres de travail'!$R$5:$R$3004,"&lt;"&amp;('Paramètres'!$AA$7+1)))</f>
        <v/>
      </c>
      <c r="U365" s="69">
        <f>IF(OR($A365="",N(H365)=0),"",IF(M365="Non",0,365/H365*I365))</f>
        <v/>
      </c>
    </row>
    <row r="366">
      <c r="A366" s="7" t="n"/>
      <c r="B366" s="7" t="n"/>
      <c r="C366" s="9">
        <f>IF(B366="","",IFERROR(INDEX('Équipements'!$B$5:$B$304,MATCH(B366,'Équipements'!$A$5:$A$304,0)),"Code inconnu"))</f>
        <v/>
      </c>
      <c r="D366" s="9">
        <f>IF(B366="","",IFERROR(INDEX('Équipements'!$D$5:$D$304,MATCH(B366,'Équipements'!$A$5:$A$304,0)),""))</f>
        <v/>
      </c>
      <c r="E366" s="7" t="n"/>
      <c r="F366" s="7" t="n"/>
      <c r="G366" s="7" t="n"/>
      <c r="H366" s="67" t="n"/>
      <c r="I366" s="76" t="n"/>
      <c r="J366" s="7" t="n"/>
      <c r="K366" s="7" t="n"/>
      <c r="L366" s="65" t="n"/>
      <c r="M366" s="7" t="n"/>
      <c r="N366" s="7" t="n"/>
      <c r="O366" s="78">
        <f>IF($A366="","",MAX(N(L366),INT(_xlfn.MAXIFS('Ordres de travail'!$R$5:$R$3004,'Ordres de travail'!$I$5:$I$3004,$A366,'Ordres de travail'!$AC$5:$AC$3004,"Clôturé"))))</f>
        <v/>
      </c>
      <c r="P366" s="78">
        <f>IF(OR($A366="",N(O366)=0),"",O366+H366)</f>
        <v/>
      </c>
      <c r="Q366" s="79">
        <f>IF(P366="","",P366-TODAY())</f>
        <v/>
      </c>
      <c r="R366" s="9">
        <f>IF($A366="","",IF(M366="Non","INACTIF",IF(Q366="","À DÉFINIR",IF(Q366&lt;0,"EN RETARD",IF(Q366&lt;='Paramètres'!$AA$12,"À PLANIFIER","OK")))))</f>
        <v/>
      </c>
      <c r="S366" s="9">
        <f>IF($A366="","",IF(SUM(COUNTIFS('Ordres de travail'!$I$5:$I$3004,$A366,'Ordres de travail'!$AC$5:$AC$3004,{"Demandé","Planifié","En cours","En attente pièces"}))&gt;0,"Oui","Non"))</f>
        <v/>
      </c>
      <c r="T366" s="68">
        <f>IF($A366="","",COUNTIFS('Ordres de travail'!$I$5:$I$3004,$A366,'Ordres de travail'!$AC$5:$AC$3004,"Clôturé",'Ordres de travail'!$R$5:$R$3004,"&gt;="&amp;'Paramètres'!$AA$6,'Ordres de travail'!$R$5:$R$3004,"&lt;"&amp;('Paramètres'!$AA$7+1)))</f>
        <v/>
      </c>
      <c r="U366" s="69">
        <f>IF(OR($A366="",N(H366)=0),"",IF(M366="Non",0,365/H366*I366))</f>
        <v/>
      </c>
    </row>
    <row r="367">
      <c r="A367" s="7" t="n"/>
      <c r="B367" s="7" t="n"/>
      <c r="C367" s="9">
        <f>IF(B367="","",IFERROR(INDEX('Équipements'!$B$5:$B$304,MATCH(B367,'Équipements'!$A$5:$A$304,0)),"Code inconnu"))</f>
        <v/>
      </c>
      <c r="D367" s="9">
        <f>IF(B367="","",IFERROR(INDEX('Équipements'!$D$5:$D$304,MATCH(B367,'Équipements'!$A$5:$A$304,0)),""))</f>
        <v/>
      </c>
      <c r="E367" s="7" t="n"/>
      <c r="F367" s="7" t="n"/>
      <c r="G367" s="7" t="n"/>
      <c r="H367" s="67" t="n"/>
      <c r="I367" s="76" t="n"/>
      <c r="J367" s="7" t="n"/>
      <c r="K367" s="7" t="n"/>
      <c r="L367" s="65" t="n"/>
      <c r="M367" s="7" t="n"/>
      <c r="N367" s="7" t="n"/>
      <c r="O367" s="78">
        <f>IF($A367="","",MAX(N(L367),INT(_xlfn.MAXIFS('Ordres de travail'!$R$5:$R$3004,'Ordres de travail'!$I$5:$I$3004,$A367,'Ordres de travail'!$AC$5:$AC$3004,"Clôturé"))))</f>
        <v/>
      </c>
      <c r="P367" s="78">
        <f>IF(OR($A367="",N(O367)=0),"",O367+H367)</f>
        <v/>
      </c>
      <c r="Q367" s="79">
        <f>IF(P367="","",P367-TODAY())</f>
        <v/>
      </c>
      <c r="R367" s="9">
        <f>IF($A367="","",IF(M367="Non","INACTIF",IF(Q367="","À DÉFINIR",IF(Q367&lt;0,"EN RETARD",IF(Q367&lt;='Paramètres'!$AA$12,"À PLANIFIER","OK")))))</f>
        <v/>
      </c>
      <c r="S367" s="9">
        <f>IF($A367="","",IF(SUM(COUNTIFS('Ordres de travail'!$I$5:$I$3004,$A367,'Ordres de travail'!$AC$5:$AC$3004,{"Demandé","Planifié","En cours","En attente pièces"}))&gt;0,"Oui","Non"))</f>
        <v/>
      </c>
      <c r="T367" s="68">
        <f>IF($A367="","",COUNTIFS('Ordres de travail'!$I$5:$I$3004,$A367,'Ordres de travail'!$AC$5:$AC$3004,"Clôturé",'Ordres de travail'!$R$5:$R$3004,"&gt;="&amp;'Paramètres'!$AA$6,'Ordres de travail'!$R$5:$R$3004,"&lt;"&amp;('Paramètres'!$AA$7+1)))</f>
        <v/>
      </c>
      <c r="U367" s="69">
        <f>IF(OR($A367="",N(H367)=0),"",IF(M367="Non",0,365/H367*I367))</f>
        <v/>
      </c>
    </row>
    <row r="368">
      <c r="A368" s="7" t="n"/>
      <c r="B368" s="7" t="n"/>
      <c r="C368" s="9">
        <f>IF(B368="","",IFERROR(INDEX('Équipements'!$B$5:$B$304,MATCH(B368,'Équipements'!$A$5:$A$304,0)),"Code inconnu"))</f>
        <v/>
      </c>
      <c r="D368" s="9">
        <f>IF(B368="","",IFERROR(INDEX('Équipements'!$D$5:$D$304,MATCH(B368,'Équipements'!$A$5:$A$304,0)),""))</f>
        <v/>
      </c>
      <c r="E368" s="7" t="n"/>
      <c r="F368" s="7" t="n"/>
      <c r="G368" s="7" t="n"/>
      <c r="H368" s="67" t="n"/>
      <c r="I368" s="76" t="n"/>
      <c r="J368" s="7" t="n"/>
      <c r="K368" s="7" t="n"/>
      <c r="L368" s="65" t="n"/>
      <c r="M368" s="7" t="n"/>
      <c r="N368" s="7" t="n"/>
      <c r="O368" s="78">
        <f>IF($A368="","",MAX(N(L368),INT(_xlfn.MAXIFS('Ordres de travail'!$R$5:$R$3004,'Ordres de travail'!$I$5:$I$3004,$A368,'Ordres de travail'!$AC$5:$AC$3004,"Clôturé"))))</f>
        <v/>
      </c>
      <c r="P368" s="78">
        <f>IF(OR($A368="",N(O368)=0),"",O368+H368)</f>
        <v/>
      </c>
      <c r="Q368" s="79">
        <f>IF(P368="","",P368-TODAY())</f>
        <v/>
      </c>
      <c r="R368" s="9">
        <f>IF($A368="","",IF(M368="Non","INACTIF",IF(Q368="","À DÉFINIR",IF(Q368&lt;0,"EN RETARD",IF(Q368&lt;='Paramètres'!$AA$12,"À PLANIFIER","OK")))))</f>
        <v/>
      </c>
      <c r="S368" s="9">
        <f>IF($A368="","",IF(SUM(COUNTIFS('Ordres de travail'!$I$5:$I$3004,$A368,'Ordres de travail'!$AC$5:$AC$3004,{"Demandé","Planifié","En cours","En attente pièces"}))&gt;0,"Oui","Non"))</f>
        <v/>
      </c>
      <c r="T368" s="68">
        <f>IF($A368="","",COUNTIFS('Ordres de travail'!$I$5:$I$3004,$A368,'Ordres de travail'!$AC$5:$AC$3004,"Clôturé",'Ordres de travail'!$R$5:$R$3004,"&gt;="&amp;'Paramètres'!$AA$6,'Ordres de travail'!$R$5:$R$3004,"&lt;"&amp;('Paramètres'!$AA$7+1)))</f>
        <v/>
      </c>
      <c r="U368" s="69">
        <f>IF(OR($A368="",N(H368)=0),"",IF(M368="Non",0,365/H368*I368))</f>
        <v/>
      </c>
    </row>
    <row r="369">
      <c r="A369" s="7" t="n"/>
      <c r="B369" s="7" t="n"/>
      <c r="C369" s="9">
        <f>IF(B369="","",IFERROR(INDEX('Équipements'!$B$5:$B$304,MATCH(B369,'Équipements'!$A$5:$A$304,0)),"Code inconnu"))</f>
        <v/>
      </c>
      <c r="D369" s="9">
        <f>IF(B369="","",IFERROR(INDEX('Équipements'!$D$5:$D$304,MATCH(B369,'Équipements'!$A$5:$A$304,0)),""))</f>
        <v/>
      </c>
      <c r="E369" s="7" t="n"/>
      <c r="F369" s="7" t="n"/>
      <c r="G369" s="7" t="n"/>
      <c r="H369" s="67" t="n"/>
      <c r="I369" s="76" t="n"/>
      <c r="J369" s="7" t="n"/>
      <c r="K369" s="7" t="n"/>
      <c r="L369" s="65" t="n"/>
      <c r="M369" s="7" t="n"/>
      <c r="N369" s="7" t="n"/>
      <c r="O369" s="78">
        <f>IF($A369="","",MAX(N(L369),INT(_xlfn.MAXIFS('Ordres de travail'!$R$5:$R$3004,'Ordres de travail'!$I$5:$I$3004,$A369,'Ordres de travail'!$AC$5:$AC$3004,"Clôturé"))))</f>
        <v/>
      </c>
      <c r="P369" s="78">
        <f>IF(OR($A369="",N(O369)=0),"",O369+H369)</f>
        <v/>
      </c>
      <c r="Q369" s="79">
        <f>IF(P369="","",P369-TODAY())</f>
        <v/>
      </c>
      <c r="R369" s="9">
        <f>IF($A369="","",IF(M369="Non","INACTIF",IF(Q369="","À DÉFINIR",IF(Q369&lt;0,"EN RETARD",IF(Q369&lt;='Paramètres'!$AA$12,"À PLANIFIER","OK")))))</f>
        <v/>
      </c>
      <c r="S369" s="9">
        <f>IF($A369="","",IF(SUM(COUNTIFS('Ordres de travail'!$I$5:$I$3004,$A369,'Ordres de travail'!$AC$5:$AC$3004,{"Demandé","Planifié","En cours","En attente pièces"}))&gt;0,"Oui","Non"))</f>
        <v/>
      </c>
      <c r="T369" s="68">
        <f>IF($A369="","",COUNTIFS('Ordres de travail'!$I$5:$I$3004,$A369,'Ordres de travail'!$AC$5:$AC$3004,"Clôturé",'Ordres de travail'!$R$5:$R$3004,"&gt;="&amp;'Paramètres'!$AA$6,'Ordres de travail'!$R$5:$R$3004,"&lt;"&amp;('Paramètres'!$AA$7+1)))</f>
        <v/>
      </c>
      <c r="U369" s="69">
        <f>IF(OR($A369="",N(H369)=0),"",IF(M369="Non",0,365/H369*I369))</f>
        <v/>
      </c>
    </row>
    <row r="370">
      <c r="A370" s="7" t="n"/>
      <c r="B370" s="7" t="n"/>
      <c r="C370" s="9">
        <f>IF(B370="","",IFERROR(INDEX('Équipements'!$B$5:$B$304,MATCH(B370,'Équipements'!$A$5:$A$304,0)),"Code inconnu"))</f>
        <v/>
      </c>
      <c r="D370" s="9">
        <f>IF(B370="","",IFERROR(INDEX('Équipements'!$D$5:$D$304,MATCH(B370,'Équipements'!$A$5:$A$304,0)),""))</f>
        <v/>
      </c>
      <c r="E370" s="7" t="n"/>
      <c r="F370" s="7" t="n"/>
      <c r="G370" s="7" t="n"/>
      <c r="H370" s="67" t="n"/>
      <c r="I370" s="76" t="n"/>
      <c r="J370" s="7" t="n"/>
      <c r="K370" s="7" t="n"/>
      <c r="L370" s="65" t="n"/>
      <c r="M370" s="7" t="n"/>
      <c r="N370" s="7" t="n"/>
      <c r="O370" s="78">
        <f>IF($A370="","",MAX(N(L370),INT(_xlfn.MAXIFS('Ordres de travail'!$R$5:$R$3004,'Ordres de travail'!$I$5:$I$3004,$A370,'Ordres de travail'!$AC$5:$AC$3004,"Clôturé"))))</f>
        <v/>
      </c>
      <c r="P370" s="78">
        <f>IF(OR($A370="",N(O370)=0),"",O370+H370)</f>
        <v/>
      </c>
      <c r="Q370" s="79">
        <f>IF(P370="","",P370-TODAY())</f>
        <v/>
      </c>
      <c r="R370" s="9">
        <f>IF($A370="","",IF(M370="Non","INACTIF",IF(Q370="","À DÉFINIR",IF(Q370&lt;0,"EN RETARD",IF(Q370&lt;='Paramètres'!$AA$12,"À PLANIFIER","OK")))))</f>
        <v/>
      </c>
      <c r="S370" s="9">
        <f>IF($A370="","",IF(SUM(COUNTIFS('Ordres de travail'!$I$5:$I$3004,$A370,'Ordres de travail'!$AC$5:$AC$3004,{"Demandé","Planifié","En cours","En attente pièces"}))&gt;0,"Oui","Non"))</f>
        <v/>
      </c>
      <c r="T370" s="68">
        <f>IF($A370="","",COUNTIFS('Ordres de travail'!$I$5:$I$3004,$A370,'Ordres de travail'!$AC$5:$AC$3004,"Clôturé",'Ordres de travail'!$R$5:$R$3004,"&gt;="&amp;'Paramètres'!$AA$6,'Ordres de travail'!$R$5:$R$3004,"&lt;"&amp;('Paramètres'!$AA$7+1)))</f>
        <v/>
      </c>
      <c r="U370" s="69">
        <f>IF(OR($A370="",N(H370)=0),"",IF(M370="Non",0,365/H370*I370))</f>
        <v/>
      </c>
    </row>
    <row r="371">
      <c r="A371" s="7" t="n"/>
      <c r="B371" s="7" t="n"/>
      <c r="C371" s="9">
        <f>IF(B371="","",IFERROR(INDEX('Équipements'!$B$5:$B$304,MATCH(B371,'Équipements'!$A$5:$A$304,0)),"Code inconnu"))</f>
        <v/>
      </c>
      <c r="D371" s="9">
        <f>IF(B371="","",IFERROR(INDEX('Équipements'!$D$5:$D$304,MATCH(B371,'Équipements'!$A$5:$A$304,0)),""))</f>
        <v/>
      </c>
      <c r="E371" s="7" t="n"/>
      <c r="F371" s="7" t="n"/>
      <c r="G371" s="7" t="n"/>
      <c r="H371" s="67" t="n"/>
      <c r="I371" s="76" t="n"/>
      <c r="J371" s="7" t="n"/>
      <c r="K371" s="7" t="n"/>
      <c r="L371" s="65" t="n"/>
      <c r="M371" s="7" t="n"/>
      <c r="N371" s="7" t="n"/>
      <c r="O371" s="78">
        <f>IF($A371="","",MAX(N(L371),INT(_xlfn.MAXIFS('Ordres de travail'!$R$5:$R$3004,'Ordres de travail'!$I$5:$I$3004,$A371,'Ordres de travail'!$AC$5:$AC$3004,"Clôturé"))))</f>
        <v/>
      </c>
      <c r="P371" s="78">
        <f>IF(OR($A371="",N(O371)=0),"",O371+H371)</f>
        <v/>
      </c>
      <c r="Q371" s="79">
        <f>IF(P371="","",P371-TODAY())</f>
        <v/>
      </c>
      <c r="R371" s="9">
        <f>IF($A371="","",IF(M371="Non","INACTIF",IF(Q371="","À DÉFINIR",IF(Q371&lt;0,"EN RETARD",IF(Q371&lt;='Paramètres'!$AA$12,"À PLANIFIER","OK")))))</f>
        <v/>
      </c>
      <c r="S371" s="9">
        <f>IF($A371="","",IF(SUM(COUNTIFS('Ordres de travail'!$I$5:$I$3004,$A371,'Ordres de travail'!$AC$5:$AC$3004,{"Demandé","Planifié","En cours","En attente pièces"}))&gt;0,"Oui","Non"))</f>
        <v/>
      </c>
      <c r="T371" s="68">
        <f>IF($A371="","",COUNTIFS('Ordres de travail'!$I$5:$I$3004,$A371,'Ordres de travail'!$AC$5:$AC$3004,"Clôturé",'Ordres de travail'!$R$5:$R$3004,"&gt;="&amp;'Paramètres'!$AA$6,'Ordres de travail'!$R$5:$R$3004,"&lt;"&amp;('Paramètres'!$AA$7+1)))</f>
        <v/>
      </c>
      <c r="U371" s="69">
        <f>IF(OR($A371="",N(H371)=0),"",IF(M371="Non",0,365/H371*I371))</f>
        <v/>
      </c>
    </row>
    <row r="372">
      <c r="A372" s="7" t="n"/>
      <c r="B372" s="7" t="n"/>
      <c r="C372" s="9">
        <f>IF(B372="","",IFERROR(INDEX('Équipements'!$B$5:$B$304,MATCH(B372,'Équipements'!$A$5:$A$304,0)),"Code inconnu"))</f>
        <v/>
      </c>
      <c r="D372" s="9">
        <f>IF(B372="","",IFERROR(INDEX('Équipements'!$D$5:$D$304,MATCH(B372,'Équipements'!$A$5:$A$304,0)),""))</f>
        <v/>
      </c>
      <c r="E372" s="7" t="n"/>
      <c r="F372" s="7" t="n"/>
      <c r="G372" s="7" t="n"/>
      <c r="H372" s="67" t="n"/>
      <c r="I372" s="76" t="n"/>
      <c r="J372" s="7" t="n"/>
      <c r="K372" s="7" t="n"/>
      <c r="L372" s="65" t="n"/>
      <c r="M372" s="7" t="n"/>
      <c r="N372" s="7" t="n"/>
      <c r="O372" s="78">
        <f>IF($A372="","",MAX(N(L372),INT(_xlfn.MAXIFS('Ordres de travail'!$R$5:$R$3004,'Ordres de travail'!$I$5:$I$3004,$A372,'Ordres de travail'!$AC$5:$AC$3004,"Clôturé"))))</f>
        <v/>
      </c>
      <c r="P372" s="78">
        <f>IF(OR($A372="",N(O372)=0),"",O372+H372)</f>
        <v/>
      </c>
      <c r="Q372" s="79">
        <f>IF(P372="","",P372-TODAY())</f>
        <v/>
      </c>
      <c r="R372" s="9">
        <f>IF($A372="","",IF(M372="Non","INACTIF",IF(Q372="","À DÉFINIR",IF(Q372&lt;0,"EN RETARD",IF(Q372&lt;='Paramètres'!$AA$12,"À PLANIFIER","OK")))))</f>
        <v/>
      </c>
      <c r="S372" s="9">
        <f>IF($A372="","",IF(SUM(COUNTIFS('Ordres de travail'!$I$5:$I$3004,$A372,'Ordres de travail'!$AC$5:$AC$3004,{"Demandé","Planifié","En cours","En attente pièces"}))&gt;0,"Oui","Non"))</f>
        <v/>
      </c>
      <c r="T372" s="68">
        <f>IF($A372="","",COUNTIFS('Ordres de travail'!$I$5:$I$3004,$A372,'Ordres de travail'!$AC$5:$AC$3004,"Clôturé",'Ordres de travail'!$R$5:$R$3004,"&gt;="&amp;'Paramètres'!$AA$6,'Ordres de travail'!$R$5:$R$3004,"&lt;"&amp;('Paramètres'!$AA$7+1)))</f>
        <v/>
      </c>
      <c r="U372" s="69">
        <f>IF(OR($A372="",N(H372)=0),"",IF(M372="Non",0,365/H372*I372))</f>
        <v/>
      </c>
    </row>
    <row r="373">
      <c r="A373" s="7" t="n"/>
      <c r="B373" s="7" t="n"/>
      <c r="C373" s="9">
        <f>IF(B373="","",IFERROR(INDEX('Équipements'!$B$5:$B$304,MATCH(B373,'Équipements'!$A$5:$A$304,0)),"Code inconnu"))</f>
        <v/>
      </c>
      <c r="D373" s="9">
        <f>IF(B373="","",IFERROR(INDEX('Équipements'!$D$5:$D$304,MATCH(B373,'Équipements'!$A$5:$A$304,0)),""))</f>
        <v/>
      </c>
      <c r="E373" s="7" t="n"/>
      <c r="F373" s="7" t="n"/>
      <c r="G373" s="7" t="n"/>
      <c r="H373" s="67" t="n"/>
      <c r="I373" s="76" t="n"/>
      <c r="J373" s="7" t="n"/>
      <c r="K373" s="7" t="n"/>
      <c r="L373" s="65" t="n"/>
      <c r="M373" s="7" t="n"/>
      <c r="N373" s="7" t="n"/>
      <c r="O373" s="78">
        <f>IF($A373="","",MAX(N(L373),INT(_xlfn.MAXIFS('Ordres de travail'!$R$5:$R$3004,'Ordres de travail'!$I$5:$I$3004,$A373,'Ordres de travail'!$AC$5:$AC$3004,"Clôturé"))))</f>
        <v/>
      </c>
      <c r="P373" s="78">
        <f>IF(OR($A373="",N(O373)=0),"",O373+H373)</f>
        <v/>
      </c>
      <c r="Q373" s="79">
        <f>IF(P373="","",P373-TODAY())</f>
        <v/>
      </c>
      <c r="R373" s="9">
        <f>IF($A373="","",IF(M373="Non","INACTIF",IF(Q373="","À DÉFINIR",IF(Q373&lt;0,"EN RETARD",IF(Q373&lt;='Paramètres'!$AA$12,"À PLANIFIER","OK")))))</f>
        <v/>
      </c>
      <c r="S373" s="9">
        <f>IF($A373="","",IF(SUM(COUNTIFS('Ordres de travail'!$I$5:$I$3004,$A373,'Ordres de travail'!$AC$5:$AC$3004,{"Demandé","Planifié","En cours","En attente pièces"}))&gt;0,"Oui","Non"))</f>
        <v/>
      </c>
      <c r="T373" s="68">
        <f>IF($A373="","",COUNTIFS('Ordres de travail'!$I$5:$I$3004,$A373,'Ordres de travail'!$AC$5:$AC$3004,"Clôturé",'Ordres de travail'!$R$5:$R$3004,"&gt;="&amp;'Paramètres'!$AA$6,'Ordres de travail'!$R$5:$R$3004,"&lt;"&amp;('Paramètres'!$AA$7+1)))</f>
        <v/>
      </c>
      <c r="U373" s="69">
        <f>IF(OR($A373="",N(H373)=0),"",IF(M373="Non",0,365/H373*I373))</f>
        <v/>
      </c>
    </row>
    <row r="374">
      <c r="A374" s="7" t="n"/>
      <c r="B374" s="7" t="n"/>
      <c r="C374" s="9">
        <f>IF(B374="","",IFERROR(INDEX('Équipements'!$B$5:$B$304,MATCH(B374,'Équipements'!$A$5:$A$304,0)),"Code inconnu"))</f>
        <v/>
      </c>
      <c r="D374" s="9">
        <f>IF(B374="","",IFERROR(INDEX('Équipements'!$D$5:$D$304,MATCH(B374,'Équipements'!$A$5:$A$304,0)),""))</f>
        <v/>
      </c>
      <c r="E374" s="7" t="n"/>
      <c r="F374" s="7" t="n"/>
      <c r="G374" s="7" t="n"/>
      <c r="H374" s="67" t="n"/>
      <c r="I374" s="76" t="n"/>
      <c r="J374" s="7" t="n"/>
      <c r="K374" s="7" t="n"/>
      <c r="L374" s="65" t="n"/>
      <c r="M374" s="7" t="n"/>
      <c r="N374" s="7" t="n"/>
      <c r="O374" s="78">
        <f>IF($A374="","",MAX(N(L374),INT(_xlfn.MAXIFS('Ordres de travail'!$R$5:$R$3004,'Ordres de travail'!$I$5:$I$3004,$A374,'Ordres de travail'!$AC$5:$AC$3004,"Clôturé"))))</f>
        <v/>
      </c>
      <c r="P374" s="78">
        <f>IF(OR($A374="",N(O374)=0),"",O374+H374)</f>
        <v/>
      </c>
      <c r="Q374" s="79">
        <f>IF(P374="","",P374-TODAY())</f>
        <v/>
      </c>
      <c r="R374" s="9">
        <f>IF($A374="","",IF(M374="Non","INACTIF",IF(Q374="","À DÉFINIR",IF(Q374&lt;0,"EN RETARD",IF(Q374&lt;='Paramètres'!$AA$12,"À PLANIFIER","OK")))))</f>
        <v/>
      </c>
      <c r="S374" s="9">
        <f>IF($A374="","",IF(SUM(COUNTIFS('Ordres de travail'!$I$5:$I$3004,$A374,'Ordres de travail'!$AC$5:$AC$3004,{"Demandé","Planifié","En cours","En attente pièces"}))&gt;0,"Oui","Non"))</f>
        <v/>
      </c>
      <c r="T374" s="68">
        <f>IF($A374="","",COUNTIFS('Ordres de travail'!$I$5:$I$3004,$A374,'Ordres de travail'!$AC$5:$AC$3004,"Clôturé",'Ordres de travail'!$R$5:$R$3004,"&gt;="&amp;'Paramètres'!$AA$6,'Ordres de travail'!$R$5:$R$3004,"&lt;"&amp;('Paramètres'!$AA$7+1)))</f>
        <v/>
      </c>
      <c r="U374" s="69">
        <f>IF(OR($A374="",N(H374)=0),"",IF(M374="Non",0,365/H374*I374))</f>
        <v/>
      </c>
    </row>
    <row r="375">
      <c r="A375" s="7" t="n"/>
      <c r="B375" s="7" t="n"/>
      <c r="C375" s="9">
        <f>IF(B375="","",IFERROR(INDEX('Équipements'!$B$5:$B$304,MATCH(B375,'Équipements'!$A$5:$A$304,0)),"Code inconnu"))</f>
        <v/>
      </c>
      <c r="D375" s="9">
        <f>IF(B375="","",IFERROR(INDEX('Équipements'!$D$5:$D$304,MATCH(B375,'Équipements'!$A$5:$A$304,0)),""))</f>
        <v/>
      </c>
      <c r="E375" s="7" t="n"/>
      <c r="F375" s="7" t="n"/>
      <c r="G375" s="7" t="n"/>
      <c r="H375" s="67" t="n"/>
      <c r="I375" s="76" t="n"/>
      <c r="J375" s="7" t="n"/>
      <c r="K375" s="7" t="n"/>
      <c r="L375" s="65" t="n"/>
      <c r="M375" s="7" t="n"/>
      <c r="N375" s="7" t="n"/>
      <c r="O375" s="78">
        <f>IF($A375="","",MAX(N(L375),INT(_xlfn.MAXIFS('Ordres de travail'!$R$5:$R$3004,'Ordres de travail'!$I$5:$I$3004,$A375,'Ordres de travail'!$AC$5:$AC$3004,"Clôturé"))))</f>
        <v/>
      </c>
      <c r="P375" s="78">
        <f>IF(OR($A375="",N(O375)=0),"",O375+H375)</f>
        <v/>
      </c>
      <c r="Q375" s="79">
        <f>IF(P375="","",P375-TODAY())</f>
        <v/>
      </c>
      <c r="R375" s="9">
        <f>IF($A375="","",IF(M375="Non","INACTIF",IF(Q375="","À DÉFINIR",IF(Q375&lt;0,"EN RETARD",IF(Q375&lt;='Paramètres'!$AA$12,"À PLANIFIER","OK")))))</f>
        <v/>
      </c>
      <c r="S375" s="9">
        <f>IF($A375="","",IF(SUM(COUNTIFS('Ordres de travail'!$I$5:$I$3004,$A375,'Ordres de travail'!$AC$5:$AC$3004,{"Demandé","Planifié","En cours","En attente pièces"}))&gt;0,"Oui","Non"))</f>
        <v/>
      </c>
      <c r="T375" s="68">
        <f>IF($A375="","",COUNTIFS('Ordres de travail'!$I$5:$I$3004,$A375,'Ordres de travail'!$AC$5:$AC$3004,"Clôturé",'Ordres de travail'!$R$5:$R$3004,"&gt;="&amp;'Paramètres'!$AA$6,'Ordres de travail'!$R$5:$R$3004,"&lt;"&amp;('Paramètres'!$AA$7+1)))</f>
        <v/>
      </c>
      <c r="U375" s="69">
        <f>IF(OR($A375="",N(H375)=0),"",IF(M375="Non",0,365/H375*I375))</f>
        <v/>
      </c>
    </row>
    <row r="376">
      <c r="A376" s="7" t="n"/>
      <c r="B376" s="7" t="n"/>
      <c r="C376" s="9">
        <f>IF(B376="","",IFERROR(INDEX('Équipements'!$B$5:$B$304,MATCH(B376,'Équipements'!$A$5:$A$304,0)),"Code inconnu"))</f>
        <v/>
      </c>
      <c r="D376" s="9">
        <f>IF(B376="","",IFERROR(INDEX('Équipements'!$D$5:$D$304,MATCH(B376,'Équipements'!$A$5:$A$304,0)),""))</f>
        <v/>
      </c>
      <c r="E376" s="7" t="n"/>
      <c r="F376" s="7" t="n"/>
      <c r="G376" s="7" t="n"/>
      <c r="H376" s="67" t="n"/>
      <c r="I376" s="76" t="n"/>
      <c r="J376" s="7" t="n"/>
      <c r="K376" s="7" t="n"/>
      <c r="L376" s="65" t="n"/>
      <c r="M376" s="7" t="n"/>
      <c r="N376" s="7" t="n"/>
      <c r="O376" s="78">
        <f>IF($A376="","",MAX(N(L376),INT(_xlfn.MAXIFS('Ordres de travail'!$R$5:$R$3004,'Ordres de travail'!$I$5:$I$3004,$A376,'Ordres de travail'!$AC$5:$AC$3004,"Clôturé"))))</f>
        <v/>
      </c>
      <c r="P376" s="78">
        <f>IF(OR($A376="",N(O376)=0),"",O376+H376)</f>
        <v/>
      </c>
      <c r="Q376" s="79">
        <f>IF(P376="","",P376-TODAY())</f>
        <v/>
      </c>
      <c r="R376" s="9">
        <f>IF($A376="","",IF(M376="Non","INACTIF",IF(Q376="","À DÉFINIR",IF(Q376&lt;0,"EN RETARD",IF(Q376&lt;='Paramètres'!$AA$12,"À PLANIFIER","OK")))))</f>
        <v/>
      </c>
      <c r="S376" s="9">
        <f>IF($A376="","",IF(SUM(COUNTIFS('Ordres de travail'!$I$5:$I$3004,$A376,'Ordres de travail'!$AC$5:$AC$3004,{"Demandé","Planifié","En cours","En attente pièces"}))&gt;0,"Oui","Non"))</f>
        <v/>
      </c>
      <c r="T376" s="68">
        <f>IF($A376="","",COUNTIFS('Ordres de travail'!$I$5:$I$3004,$A376,'Ordres de travail'!$AC$5:$AC$3004,"Clôturé",'Ordres de travail'!$R$5:$R$3004,"&gt;="&amp;'Paramètres'!$AA$6,'Ordres de travail'!$R$5:$R$3004,"&lt;"&amp;('Paramètres'!$AA$7+1)))</f>
        <v/>
      </c>
      <c r="U376" s="69">
        <f>IF(OR($A376="",N(H376)=0),"",IF(M376="Non",0,365/H376*I376))</f>
        <v/>
      </c>
    </row>
    <row r="377">
      <c r="A377" s="7" t="n"/>
      <c r="B377" s="7" t="n"/>
      <c r="C377" s="9">
        <f>IF(B377="","",IFERROR(INDEX('Équipements'!$B$5:$B$304,MATCH(B377,'Équipements'!$A$5:$A$304,0)),"Code inconnu"))</f>
        <v/>
      </c>
      <c r="D377" s="9">
        <f>IF(B377="","",IFERROR(INDEX('Équipements'!$D$5:$D$304,MATCH(B377,'Équipements'!$A$5:$A$304,0)),""))</f>
        <v/>
      </c>
      <c r="E377" s="7" t="n"/>
      <c r="F377" s="7" t="n"/>
      <c r="G377" s="7" t="n"/>
      <c r="H377" s="67" t="n"/>
      <c r="I377" s="76" t="n"/>
      <c r="J377" s="7" t="n"/>
      <c r="K377" s="7" t="n"/>
      <c r="L377" s="65" t="n"/>
      <c r="M377" s="7" t="n"/>
      <c r="N377" s="7" t="n"/>
      <c r="O377" s="78">
        <f>IF($A377="","",MAX(N(L377),INT(_xlfn.MAXIFS('Ordres de travail'!$R$5:$R$3004,'Ordres de travail'!$I$5:$I$3004,$A377,'Ordres de travail'!$AC$5:$AC$3004,"Clôturé"))))</f>
        <v/>
      </c>
      <c r="P377" s="78">
        <f>IF(OR($A377="",N(O377)=0),"",O377+H377)</f>
        <v/>
      </c>
      <c r="Q377" s="79">
        <f>IF(P377="","",P377-TODAY())</f>
        <v/>
      </c>
      <c r="R377" s="9">
        <f>IF($A377="","",IF(M377="Non","INACTIF",IF(Q377="","À DÉFINIR",IF(Q377&lt;0,"EN RETARD",IF(Q377&lt;='Paramètres'!$AA$12,"À PLANIFIER","OK")))))</f>
        <v/>
      </c>
      <c r="S377" s="9">
        <f>IF($A377="","",IF(SUM(COUNTIFS('Ordres de travail'!$I$5:$I$3004,$A377,'Ordres de travail'!$AC$5:$AC$3004,{"Demandé","Planifié","En cours","En attente pièces"}))&gt;0,"Oui","Non"))</f>
        <v/>
      </c>
      <c r="T377" s="68">
        <f>IF($A377="","",COUNTIFS('Ordres de travail'!$I$5:$I$3004,$A377,'Ordres de travail'!$AC$5:$AC$3004,"Clôturé",'Ordres de travail'!$R$5:$R$3004,"&gt;="&amp;'Paramètres'!$AA$6,'Ordres de travail'!$R$5:$R$3004,"&lt;"&amp;('Paramètres'!$AA$7+1)))</f>
        <v/>
      </c>
      <c r="U377" s="69">
        <f>IF(OR($A377="",N(H377)=0),"",IF(M377="Non",0,365/H377*I377))</f>
        <v/>
      </c>
    </row>
    <row r="378">
      <c r="A378" s="7" t="n"/>
      <c r="B378" s="7" t="n"/>
      <c r="C378" s="9">
        <f>IF(B378="","",IFERROR(INDEX('Équipements'!$B$5:$B$304,MATCH(B378,'Équipements'!$A$5:$A$304,0)),"Code inconnu"))</f>
        <v/>
      </c>
      <c r="D378" s="9">
        <f>IF(B378="","",IFERROR(INDEX('Équipements'!$D$5:$D$304,MATCH(B378,'Équipements'!$A$5:$A$304,0)),""))</f>
        <v/>
      </c>
      <c r="E378" s="7" t="n"/>
      <c r="F378" s="7" t="n"/>
      <c r="G378" s="7" t="n"/>
      <c r="H378" s="67" t="n"/>
      <c r="I378" s="76" t="n"/>
      <c r="J378" s="7" t="n"/>
      <c r="K378" s="7" t="n"/>
      <c r="L378" s="65" t="n"/>
      <c r="M378" s="7" t="n"/>
      <c r="N378" s="7" t="n"/>
      <c r="O378" s="78">
        <f>IF($A378="","",MAX(N(L378),INT(_xlfn.MAXIFS('Ordres de travail'!$R$5:$R$3004,'Ordres de travail'!$I$5:$I$3004,$A378,'Ordres de travail'!$AC$5:$AC$3004,"Clôturé"))))</f>
        <v/>
      </c>
      <c r="P378" s="78">
        <f>IF(OR($A378="",N(O378)=0),"",O378+H378)</f>
        <v/>
      </c>
      <c r="Q378" s="79">
        <f>IF(P378="","",P378-TODAY())</f>
        <v/>
      </c>
      <c r="R378" s="9">
        <f>IF($A378="","",IF(M378="Non","INACTIF",IF(Q378="","À DÉFINIR",IF(Q378&lt;0,"EN RETARD",IF(Q378&lt;='Paramètres'!$AA$12,"À PLANIFIER","OK")))))</f>
        <v/>
      </c>
      <c r="S378" s="9">
        <f>IF($A378="","",IF(SUM(COUNTIFS('Ordres de travail'!$I$5:$I$3004,$A378,'Ordres de travail'!$AC$5:$AC$3004,{"Demandé","Planifié","En cours","En attente pièces"}))&gt;0,"Oui","Non"))</f>
        <v/>
      </c>
      <c r="T378" s="68">
        <f>IF($A378="","",COUNTIFS('Ordres de travail'!$I$5:$I$3004,$A378,'Ordres de travail'!$AC$5:$AC$3004,"Clôturé",'Ordres de travail'!$R$5:$R$3004,"&gt;="&amp;'Paramètres'!$AA$6,'Ordres de travail'!$R$5:$R$3004,"&lt;"&amp;('Paramètres'!$AA$7+1)))</f>
        <v/>
      </c>
      <c r="U378" s="69">
        <f>IF(OR($A378="",N(H378)=0),"",IF(M378="Non",0,365/H378*I378))</f>
        <v/>
      </c>
    </row>
    <row r="379">
      <c r="A379" s="7" t="n"/>
      <c r="B379" s="7" t="n"/>
      <c r="C379" s="9">
        <f>IF(B379="","",IFERROR(INDEX('Équipements'!$B$5:$B$304,MATCH(B379,'Équipements'!$A$5:$A$304,0)),"Code inconnu"))</f>
        <v/>
      </c>
      <c r="D379" s="9">
        <f>IF(B379="","",IFERROR(INDEX('Équipements'!$D$5:$D$304,MATCH(B379,'Équipements'!$A$5:$A$304,0)),""))</f>
        <v/>
      </c>
      <c r="E379" s="7" t="n"/>
      <c r="F379" s="7" t="n"/>
      <c r="G379" s="7" t="n"/>
      <c r="H379" s="67" t="n"/>
      <c r="I379" s="76" t="n"/>
      <c r="J379" s="7" t="n"/>
      <c r="K379" s="7" t="n"/>
      <c r="L379" s="65" t="n"/>
      <c r="M379" s="7" t="n"/>
      <c r="N379" s="7" t="n"/>
      <c r="O379" s="78">
        <f>IF($A379="","",MAX(N(L379),INT(_xlfn.MAXIFS('Ordres de travail'!$R$5:$R$3004,'Ordres de travail'!$I$5:$I$3004,$A379,'Ordres de travail'!$AC$5:$AC$3004,"Clôturé"))))</f>
        <v/>
      </c>
      <c r="P379" s="78">
        <f>IF(OR($A379="",N(O379)=0),"",O379+H379)</f>
        <v/>
      </c>
      <c r="Q379" s="79">
        <f>IF(P379="","",P379-TODAY())</f>
        <v/>
      </c>
      <c r="R379" s="9">
        <f>IF($A379="","",IF(M379="Non","INACTIF",IF(Q379="","À DÉFINIR",IF(Q379&lt;0,"EN RETARD",IF(Q379&lt;='Paramètres'!$AA$12,"À PLANIFIER","OK")))))</f>
        <v/>
      </c>
      <c r="S379" s="9">
        <f>IF($A379="","",IF(SUM(COUNTIFS('Ordres de travail'!$I$5:$I$3004,$A379,'Ordres de travail'!$AC$5:$AC$3004,{"Demandé","Planifié","En cours","En attente pièces"}))&gt;0,"Oui","Non"))</f>
        <v/>
      </c>
      <c r="T379" s="68">
        <f>IF($A379="","",COUNTIFS('Ordres de travail'!$I$5:$I$3004,$A379,'Ordres de travail'!$AC$5:$AC$3004,"Clôturé",'Ordres de travail'!$R$5:$R$3004,"&gt;="&amp;'Paramètres'!$AA$6,'Ordres de travail'!$R$5:$R$3004,"&lt;"&amp;('Paramètres'!$AA$7+1)))</f>
        <v/>
      </c>
      <c r="U379" s="69">
        <f>IF(OR($A379="",N(H379)=0),"",IF(M379="Non",0,365/H379*I379))</f>
        <v/>
      </c>
    </row>
    <row r="380">
      <c r="A380" s="7" t="n"/>
      <c r="B380" s="7" t="n"/>
      <c r="C380" s="9">
        <f>IF(B380="","",IFERROR(INDEX('Équipements'!$B$5:$B$304,MATCH(B380,'Équipements'!$A$5:$A$304,0)),"Code inconnu"))</f>
        <v/>
      </c>
      <c r="D380" s="9">
        <f>IF(B380="","",IFERROR(INDEX('Équipements'!$D$5:$D$304,MATCH(B380,'Équipements'!$A$5:$A$304,0)),""))</f>
        <v/>
      </c>
      <c r="E380" s="7" t="n"/>
      <c r="F380" s="7" t="n"/>
      <c r="G380" s="7" t="n"/>
      <c r="H380" s="67" t="n"/>
      <c r="I380" s="76" t="n"/>
      <c r="J380" s="7" t="n"/>
      <c r="K380" s="7" t="n"/>
      <c r="L380" s="65" t="n"/>
      <c r="M380" s="7" t="n"/>
      <c r="N380" s="7" t="n"/>
      <c r="O380" s="78">
        <f>IF($A380="","",MAX(N(L380),INT(_xlfn.MAXIFS('Ordres de travail'!$R$5:$R$3004,'Ordres de travail'!$I$5:$I$3004,$A380,'Ordres de travail'!$AC$5:$AC$3004,"Clôturé"))))</f>
        <v/>
      </c>
      <c r="P380" s="78">
        <f>IF(OR($A380="",N(O380)=0),"",O380+H380)</f>
        <v/>
      </c>
      <c r="Q380" s="79">
        <f>IF(P380="","",P380-TODAY())</f>
        <v/>
      </c>
      <c r="R380" s="9">
        <f>IF($A380="","",IF(M380="Non","INACTIF",IF(Q380="","À DÉFINIR",IF(Q380&lt;0,"EN RETARD",IF(Q380&lt;='Paramètres'!$AA$12,"À PLANIFIER","OK")))))</f>
        <v/>
      </c>
      <c r="S380" s="9">
        <f>IF($A380="","",IF(SUM(COUNTIFS('Ordres de travail'!$I$5:$I$3004,$A380,'Ordres de travail'!$AC$5:$AC$3004,{"Demandé","Planifié","En cours","En attente pièces"}))&gt;0,"Oui","Non"))</f>
        <v/>
      </c>
      <c r="T380" s="68">
        <f>IF($A380="","",COUNTIFS('Ordres de travail'!$I$5:$I$3004,$A380,'Ordres de travail'!$AC$5:$AC$3004,"Clôturé",'Ordres de travail'!$R$5:$R$3004,"&gt;="&amp;'Paramètres'!$AA$6,'Ordres de travail'!$R$5:$R$3004,"&lt;"&amp;('Paramètres'!$AA$7+1)))</f>
        <v/>
      </c>
      <c r="U380" s="69">
        <f>IF(OR($A380="",N(H380)=0),"",IF(M380="Non",0,365/H380*I380))</f>
        <v/>
      </c>
    </row>
    <row r="381">
      <c r="A381" s="7" t="n"/>
      <c r="B381" s="7" t="n"/>
      <c r="C381" s="9">
        <f>IF(B381="","",IFERROR(INDEX('Équipements'!$B$5:$B$304,MATCH(B381,'Équipements'!$A$5:$A$304,0)),"Code inconnu"))</f>
        <v/>
      </c>
      <c r="D381" s="9">
        <f>IF(B381="","",IFERROR(INDEX('Équipements'!$D$5:$D$304,MATCH(B381,'Équipements'!$A$5:$A$304,0)),""))</f>
        <v/>
      </c>
      <c r="E381" s="7" t="n"/>
      <c r="F381" s="7" t="n"/>
      <c r="G381" s="7" t="n"/>
      <c r="H381" s="67" t="n"/>
      <c r="I381" s="76" t="n"/>
      <c r="J381" s="7" t="n"/>
      <c r="K381" s="7" t="n"/>
      <c r="L381" s="65" t="n"/>
      <c r="M381" s="7" t="n"/>
      <c r="N381" s="7" t="n"/>
      <c r="O381" s="78">
        <f>IF($A381="","",MAX(N(L381),INT(_xlfn.MAXIFS('Ordres de travail'!$R$5:$R$3004,'Ordres de travail'!$I$5:$I$3004,$A381,'Ordres de travail'!$AC$5:$AC$3004,"Clôturé"))))</f>
        <v/>
      </c>
      <c r="P381" s="78">
        <f>IF(OR($A381="",N(O381)=0),"",O381+H381)</f>
        <v/>
      </c>
      <c r="Q381" s="79">
        <f>IF(P381="","",P381-TODAY())</f>
        <v/>
      </c>
      <c r="R381" s="9">
        <f>IF($A381="","",IF(M381="Non","INACTIF",IF(Q381="","À DÉFINIR",IF(Q381&lt;0,"EN RETARD",IF(Q381&lt;='Paramètres'!$AA$12,"À PLANIFIER","OK")))))</f>
        <v/>
      </c>
      <c r="S381" s="9">
        <f>IF($A381="","",IF(SUM(COUNTIFS('Ordres de travail'!$I$5:$I$3004,$A381,'Ordres de travail'!$AC$5:$AC$3004,{"Demandé","Planifié","En cours","En attente pièces"}))&gt;0,"Oui","Non"))</f>
        <v/>
      </c>
      <c r="T381" s="68">
        <f>IF($A381="","",COUNTIFS('Ordres de travail'!$I$5:$I$3004,$A381,'Ordres de travail'!$AC$5:$AC$3004,"Clôturé",'Ordres de travail'!$R$5:$R$3004,"&gt;="&amp;'Paramètres'!$AA$6,'Ordres de travail'!$R$5:$R$3004,"&lt;"&amp;('Paramètres'!$AA$7+1)))</f>
        <v/>
      </c>
      <c r="U381" s="69">
        <f>IF(OR($A381="",N(H381)=0),"",IF(M381="Non",0,365/H381*I381))</f>
        <v/>
      </c>
    </row>
    <row r="382">
      <c r="A382" s="7" t="n"/>
      <c r="B382" s="7" t="n"/>
      <c r="C382" s="9">
        <f>IF(B382="","",IFERROR(INDEX('Équipements'!$B$5:$B$304,MATCH(B382,'Équipements'!$A$5:$A$304,0)),"Code inconnu"))</f>
        <v/>
      </c>
      <c r="D382" s="9">
        <f>IF(B382="","",IFERROR(INDEX('Équipements'!$D$5:$D$304,MATCH(B382,'Équipements'!$A$5:$A$304,0)),""))</f>
        <v/>
      </c>
      <c r="E382" s="7" t="n"/>
      <c r="F382" s="7" t="n"/>
      <c r="G382" s="7" t="n"/>
      <c r="H382" s="67" t="n"/>
      <c r="I382" s="76" t="n"/>
      <c r="J382" s="7" t="n"/>
      <c r="K382" s="7" t="n"/>
      <c r="L382" s="65" t="n"/>
      <c r="M382" s="7" t="n"/>
      <c r="N382" s="7" t="n"/>
      <c r="O382" s="78">
        <f>IF($A382="","",MAX(N(L382),INT(_xlfn.MAXIFS('Ordres de travail'!$R$5:$R$3004,'Ordres de travail'!$I$5:$I$3004,$A382,'Ordres de travail'!$AC$5:$AC$3004,"Clôturé"))))</f>
        <v/>
      </c>
      <c r="P382" s="78">
        <f>IF(OR($A382="",N(O382)=0),"",O382+H382)</f>
        <v/>
      </c>
      <c r="Q382" s="79">
        <f>IF(P382="","",P382-TODAY())</f>
        <v/>
      </c>
      <c r="R382" s="9">
        <f>IF($A382="","",IF(M382="Non","INACTIF",IF(Q382="","À DÉFINIR",IF(Q382&lt;0,"EN RETARD",IF(Q382&lt;='Paramètres'!$AA$12,"À PLANIFIER","OK")))))</f>
        <v/>
      </c>
      <c r="S382" s="9">
        <f>IF($A382="","",IF(SUM(COUNTIFS('Ordres de travail'!$I$5:$I$3004,$A382,'Ordres de travail'!$AC$5:$AC$3004,{"Demandé","Planifié","En cours","En attente pièces"}))&gt;0,"Oui","Non"))</f>
        <v/>
      </c>
      <c r="T382" s="68">
        <f>IF($A382="","",COUNTIFS('Ordres de travail'!$I$5:$I$3004,$A382,'Ordres de travail'!$AC$5:$AC$3004,"Clôturé",'Ordres de travail'!$R$5:$R$3004,"&gt;="&amp;'Paramètres'!$AA$6,'Ordres de travail'!$R$5:$R$3004,"&lt;"&amp;('Paramètres'!$AA$7+1)))</f>
        <v/>
      </c>
      <c r="U382" s="69">
        <f>IF(OR($A382="",N(H382)=0),"",IF(M382="Non",0,365/H382*I382))</f>
        <v/>
      </c>
    </row>
    <row r="383">
      <c r="A383" s="7" t="n"/>
      <c r="B383" s="7" t="n"/>
      <c r="C383" s="9">
        <f>IF(B383="","",IFERROR(INDEX('Équipements'!$B$5:$B$304,MATCH(B383,'Équipements'!$A$5:$A$304,0)),"Code inconnu"))</f>
        <v/>
      </c>
      <c r="D383" s="9">
        <f>IF(B383="","",IFERROR(INDEX('Équipements'!$D$5:$D$304,MATCH(B383,'Équipements'!$A$5:$A$304,0)),""))</f>
        <v/>
      </c>
      <c r="E383" s="7" t="n"/>
      <c r="F383" s="7" t="n"/>
      <c r="G383" s="7" t="n"/>
      <c r="H383" s="67" t="n"/>
      <c r="I383" s="76" t="n"/>
      <c r="J383" s="7" t="n"/>
      <c r="K383" s="7" t="n"/>
      <c r="L383" s="65" t="n"/>
      <c r="M383" s="7" t="n"/>
      <c r="N383" s="7" t="n"/>
      <c r="O383" s="78">
        <f>IF($A383="","",MAX(N(L383),INT(_xlfn.MAXIFS('Ordres de travail'!$R$5:$R$3004,'Ordres de travail'!$I$5:$I$3004,$A383,'Ordres de travail'!$AC$5:$AC$3004,"Clôturé"))))</f>
        <v/>
      </c>
      <c r="P383" s="78">
        <f>IF(OR($A383="",N(O383)=0),"",O383+H383)</f>
        <v/>
      </c>
      <c r="Q383" s="79">
        <f>IF(P383="","",P383-TODAY())</f>
        <v/>
      </c>
      <c r="R383" s="9">
        <f>IF($A383="","",IF(M383="Non","INACTIF",IF(Q383="","À DÉFINIR",IF(Q383&lt;0,"EN RETARD",IF(Q383&lt;='Paramètres'!$AA$12,"À PLANIFIER","OK")))))</f>
        <v/>
      </c>
      <c r="S383" s="9">
        <f>IF($A383="","",IF(SUM(COUNTIFS('Ordres de travail'!$I$5:$I$3004,$A383,'Ordres de travail'!$AC$5:$AC$3004,{"Demandé","Planifié","En cours","En attente pièces"}))&gt;0,"Oui","Non"))</f>
        <v/>
      </c>
      <c r="T383" s="68">
        <f>IF($A383="","",COUNTIFS('Ordres de travail'!$I$5:$I$3004,$A383,'Ordres de travail'!$AC$5:$AC$3004,"Clôturé",'Ordres de travail'!$R$5:$R$3004,"&gt;="&amp;'Paramètres'!$AA$6,'Ordres de travail'!$R$5:$R$3004,"&lt;"&amp;('Paramètres'!$AA$7+1)))</f>
        <v/>
      </c>
      <c r="U383" s="69">
        <f>IF(OR($A383="",N(H383)=0),"",IF(M383="Non",0,365/H383*I383))</f>
        <v/>
      </c>
    </row>
    <row r="384">
      <c r="A384" s="7" t="n"/>
      <c r="B384" s="7" t="n"/>
      <c r="C384" s="9">
        <f>IF(B384="","",IFERROR(INDEX('Équipements'!$B$5:$B$304,MATCH(B384,'Équipements'!$A$5:$A$304,0)),"Code inconnu"))</f>
        <v/>
      </c>
      <c r="D384" s="9">
        <f>IF(B384="","",IFERROR(INDEX('Équipements'!$D$5:$D$304,MATCH(B384,'Équipements'!$A$5:$A$304,0)),""))</f>
        <v/>
      </c>
      <c r="E384" s="7" t="n"/>
      <c r="F384" s="7" t="n"/>
      <c r="G384" s="7" t="n"/>
      <c r="H384" s="67" t="n"/>
      <c r="I384" s="76" t="n"/>
      <c r="J384" s="7" t="n"/>
      <c r="K384" s="7" t="n"/>
      <c r="L384" s="65" t="n"/>
      <c r="M384" s="7" t="n"/>
      <c r="N384" s="7" t="n"/>
      <c r="O384" s="78">
        <f>IF($A384="","",MAX(N(L384),INT(_xlfn.MAXIFS('Ordres de travail'!$R$5:$R$3004,'Ordres de travail'!$I$5:$I$3004,$A384,'Ordres de travail'!$AC$5:$AC$3004,"Clôturé"))))</f>
        <v/>
      </c>
      <c r="P384" s="78">
        <f>IF(OR($A384="",N(O384)=0),"",O384+H384)</f>
        <v/>
      </c>
      <c r="Q384" s="79">
        <f>IF(P384="","",P384-TODAY())</f>
        <v/>
      </c>
      <c r="R384" s="9">
        <f>IF($A384="","",IF(M384="Non","INACTIF",IF(Q384="","À DÉFINIR",IF(Q384&lt;0,"EN RETARD",IF(Q384&lt;='Paramètres'!$AA$12,"À PLANIFIER","OK")))))</f>
        <v/>
      </c>
      <c r="S384" s="9">
        <f>IF($A384="","",IF(SUM(COUNTIFS('Ordres de travail'!$I$5:$I$3004,$A384,'Ordres de travail'!$AC$5:$AC$3004,{"Demandé","Planifié","En cours","En attente pièces"}))&gt;0,"Oui","Non"))</f>
        <v/>
      </c>
      <c r="T384" s="68">
        <f>IF($A384="","",COUNTIFS('Ordres de travail'!$I$5:$I$3004,$A384,'Ordres de travail'!$AC$5:$AC$3004,"Clôturé",'Ordres de travail'!$R$5:$R$3004,"&gt;="&amp;'Paramètres'!$AA$6,'Ordres de travail'!$R$5:$R$3004,"&lt;"&amp;('Paramètres'!$AA$7+1)))</f>
        <v/>
      </c>
      <c r="U384" s="69">
        <f>IF(OR($A384="",N(H384)=0),"",IF(M384="Non",0,365/H384*I384))</f>
        <v/>
      </c>
    </row>
    <row r="385">
      <c r="A385" s="7" t="n"/>
      <c r="B385" s="7" t="n"/>
      <c r="C385" s="9">
        <f>IF(B385="","",IFERROR(INDEX('Équipements'!$B$5:$B$304,MATCH(B385,'Équipements'!$A$5:$A$304,0)),"Code inconnu"))</f>
        <v/>
      </c>
      <c r="D385" s="9">
        <f>IF(B385="","",IFERROR(INDEX('Équipements'!$D$5:$D$304,MATCH(B385,'Équipements'!$A$5:$A$304,0)),""))</f>
        <v/>
      </c>
      <c r="E385" s="7" t="n"/>
      <c r="F385" s="7" t="n"/>
      <c r="G385" s="7" t="n"/>
      <c r="H385" s="67" t="n"/>
      <c r="I385" s="76" t="n"/>
      <c r="J385" s="7" t="n"/>
      <c r="K385" s="7" t="n"/>
      <c r="L385" s="65" t="n"/>
      <c r="M385" s="7" t="n"/>
      <c r="N385" s="7" t="n"/>
      <c r="O385" s="78">
        <f>IF($A385="","",MAX(N(L385),INT(_xlfn.MAXIFS('Ordres de travail'!$R$5:$R$3004,'Ordres de travail'!$I$5:$I$3004,$A385,'Ordres de travail'!$AC$5:$AC$3004,"Clôturé"))))</f>
        <v/>
      </c>
      <c r="P385" s="78">
        <f>IF(OR($A385="",N(O385)=0),"",O385+H385)</f>
        <v/>
      </c>
      <c r="Q385" s="79">
        <f>IF(P385="","",P385-TODAY())</f>
        <v/>
      </c>
      <c r="R385" s="9">
        <f>IF($A385="","",IF(M385="Non","INACTIF",IF(Q385="","À DÉFINIR",IF(Q385&lt;0,"EN RETARD",IF(Q385&lt;='Paramètres'!$AA$12,"À PLANIFIER","OK")))))</f>
        <v/>
      </c>
      <c r="S385" s="9">
        <f>IF($A385="","",IF(SUM(COUNTIFS('Ordres de travail'!$I$5:$I$3004,$A385,'Ordres de travail'!$AC$5:$AC$3004,{"Demandé","Planifié","En cours","En attente pièces"}))&gt;0,"Oui","Non"))</f>
        <v/>
      </c>
      <c r="T385" s="68">
        <f>IF($A385="","",COUNTIFS('Ordres de travail'!$I$5:$I$3004,$A385,'Ordres de travail'!$AC$5:$AC$3004,"Clôturé",'Ordres de travail'!$R$5:$R$3004,"&gt;="&amp;'Paramètres'!$AA$6,'Ordres de travail'!$R$5:$R$3004,"&lt;"&amp;('Paramètres'!$AA$7+1)))</f>
        <v/>
      </c>
      <c r="U385" s="69">
        <f>IF(OR($A385="",N(H385)=0),"",IF(M385="Non",0,365/H385*I385))</f>
        <v/>
      </c>
    </row>
    <row r="386">
      <c r="A386" s="7" t="n"/>
      <c r="B386" s="7" t="n"/>
      <c r="C386" s="9">
        <f>IF(B386="","",IFERROR(INDEX('Équipements'!$B$5:$B$304,MATCH(B386,'Équipements'!$A$5:$A$304,0)),"Code inconnu"))</f>
        <v/>
      </c>
      <c r="D386" s="9">
        <f>IF(B386="","",IFERROR(INDEX('Équipements'!$D$5:$D$304,MATCH(B386,'Équipements'!$A$5:$A$304,0)),""))</f>
        <v/>
      </c>
      <c r="E386" s="7" t="n"/>
      <c r="F386" s="7" t="n"/>
      <c r="G386" s="7" t="n"/>
      <c r="H386" s="67" t="n"/>
      <c r="I386" s="76" t="n"/>
      <c r="J386" s="7" t="n"/>
      <c r="K386" s="7" t="n"/>
      <c r="L386" s="65" t="n"/>
      <c r="M386" s="7" t="n"/>
      <c r="N386" s="7" t="n"/>
      <c r="O386" s="78">
        <f>IF($A386="","",MAX(N(L386),INT(_xlfn.MAXIFS('Ordres de travail'!$R$5:$R$3004,'Ordres de travail'!$I$5:$I$3004,$A386,'Ordres de travail'!$AC$5:$AC$3004,"Clôturé"))))</f>
        <v/>
      </c>
      <c r="P386" s="78">
        <f>IF(OR($A386="",N(O386)=0),"",O386+H386)</f>
        <v/>
      </c>
      <c r="Q386" s="79">
        <f>IF(P386="","",P386-TODAY())</f>
        <v/>
      </c>
      <c r="R386" s="9">
        <f>IF($A386="","",IF(M386="Non","INACTIF",IF(Q386="","À DÉFINIR",IF(Q386&lt;0,"EN RETARD",IF(Q386&lt;='Paramètres'!$AA$12,"À PLANIFIER","OK")))))</f>
        <v/>
      </c>
      <c r="S386" s="9">
        <f>IF($A386="","",IF(SUM(COUNTIFS('Ordres de travail'!$I$5:$I$3004,$A386,'Ordres de travail'!$AC$5:$AC$3004,{"Demandé","Planifié","En cours","En attente pièces"}))&gt;0,"Oui","Non"))</f>
        <v/>
      </c>
      <c r="T386" s="68">
        <f>IF($A386="","",COUNTIFS('Ordres de travail'!$I$5:$I$3004,$A386,'Ordres de travail'!$AC$5:$AC$3004,"Clôturé",'Ordres de travail'!$R$5:$R$3004,"&gt;="&amp;'Paramètres'!$AA$6,'Ordres de travail'!$R$5:$R$3004,"&lt;"&amp;('Paramètres'!$AA$7+1)))</f>
        <v/>
      </c>
      <c r="U386" s="69">
        <f>IF(OR($A386="",N(H386)=0),"",IF(M386="Non",0,365/H386*I386))</f>
        <v/>
      </c>
    </row>
    <row r="387">
      <c r="A387" s="7" t="n"/>
      <c r="B387" s="7" t="n"/>
      <c r="C387" s="9">
        <f>IF(B387="","",IFERROR(INDEX('Équipements'!$B$5:$B$304,MATCH(B387,'Équipements'!$A$5:$A$304,0)),"Code inconnu"))</f>
        <v/>
      </c>
      <c r="D387" s="9">
        <f>IF(B387="","",IFERROR(INDEX('Équipements'!$D$5:$D$304,MATCH(B387,'Équipements'!$A$5:$A$304,0)),""))</f>
        <v/>
      </c>
      <c r="E387" s="7" t="n"/>
      <c r="F387" s="7" t="n"/>
      <c r="G387" s="7" t="n"/>
      <c r="H387" s="67" t="n"/>
      <c r="I387" s="76" t="n"/>
      <c r="J387" s="7" t="n"/>
      <c r="K387" s="7" t="n"/>
      <c r="L387" s="65" t="n"/>
      <c r="M387" s="7" t="n"/>
      <c r="N387" s="7" t="n"/>
      <c r="O387" s="78">
        <f>IF($A387="","",MAX(N(L387),INT(_xlfn.MAXIFS('Ordres de travail'!$R$5:$R$3004,'Ordres de travail'!$I$5:$I$3004,$A387,'Ordres de travail'!$AC$5:$AC$3004,"Clôturé"))))</f>
        <v/>
      </c>
      <c r="P387" s="78">
        <f>IF(OR($A387="",N(O387)=0),"",O387+H387)</f>
        <v/>
      </c>
      <c r="Q387" s="79">
        <f>IF(P387="","",P387-TODAY())</f>
        <v/>
      </c>
      <c r="R387" s="9">
        <f>IF($A387="","",IF(M387="Non","INACTIF",IF(Q387="","À DÉFINIR",IF(Q387&lt;0,"EN RETARD",IF(Q387&lt;='Paramètres'!$AA$12,"À PLANIFIER","OK")))))</f>
        <v/>
      </c>
      <c r="S387" s="9">
        <f>IF($A387="","",IF(SUM(COUNTIFS('Ordres de travail'!$I$5:$I$3004,$A387,'Ordres de travail'!$AC$5:$AC$3004,{"Demandé","Planifié","En cours","En attente pièces"}))&gt;0,"Oui","Non"))</f>
        <v/>
      </c>
      <c r="T387" s="68">
        <f>IF($A387="","",COUNTIFS('Ordres de travail'!$I$5:$I$3004,$A387,'Ordres de travail'!$AC$5:$AC$3004,"Clôturé",'Ordres de travail'!$R$5:$R$3004,"&gt;="&amp;'Paramètres'!$AA$6,'Ordres de travail'!$R$5:$R$3004,"&lt;"&amp;('Paramètres'!$AA$7+1)))</f>
        <v/>
      </c>
      <c r="U387" s="69">
        <f>IF(OR($A387="",N(H387)=0),"",IF(M387="Non",0,365/H387*I387))</f>
        <v/>
      </c>
    </row>
    <row r="388">
      <c r="A388" s="7" t="n"/>
      <c r="B388" s="7" t="n"/>
      <c r="C388" s="9">
        <f>IF(B388="","",IFERROR(INDEX('Équipements'!$B$5:$B$304,MATCH(B388,'Équipements'!$A$5:$A$304,0)),"Code inconnu"))</f>
        <v/>
      </c>
      <c r="D388" s="9">
        <f>IF(B388="","",IFERROR(INDEX('Équipements'!$D$5:$D$304,MATCH(B388,'Équipements'!$A$5:$A$304,0)),""))</f>
        <v/>
      </c>
      <c r="E388" s="7" t="n"/>
      <c r="F388" s="7" t="n"/>
      <c r="G388" s="7" t="n"/>
      <c r="H388" s="67" t="n"/>
      <c r="I388" s="76" t="n"/>
      <c r="J388" s="7" t="n"/>
      <c r="K388" s="7" t="n"/>
      <c r="L388" s="65" t="n"/>
      <c r="M388" s="7" t="n"/>
      <c r="N388" s="7" t="n"/>
      <c r="O388" s="78">
        <f>IF($A388="","",MAX(N(L388),INT(_xlfn.MAXIFS('Ordres de travail'!$R$5:$R$3004,'Ordres de travail'!$I$5:$I$3004,$A388,'Ordres de travail'!$AC$5:$AC$3004,"Clôturé"))))</f>
        <v/>
      </c>
      <c r="P388" s="78">
        <f>IF(OR($A388="",N(O388)=0),"",O388+H388)</f>
        <v/>
      </c>
      <c r="Q388" s="79">
        <f>IF(P388="","",P388-TODAY())</f>
        <v/>
      </c>
      <c r="R388" s="9">
        <f>IF($A388="","",IF(M388="Non","INACTIF",IF(Q388="","À DÉFINIR",IF(Q388&lt;0,"EN RETARD",IF(Q388&lt;='Paramètres'!$AA$12,"À PLANIFIER","OK")))))</f>
        <v/>
      </c>
      <c r="S388" s="9">
        <f>IF($A388="","",IF(SUM(COUNTIFS('Ordres de travail'!$I$5:$I$3004,$A388,'Ordres de travail'!$AC$5:$AC$3004,{"Demandé","Planifié","En cours","En attente pièces"}))&gt;0,"Oui","Non"))</f>
        <v/>
      </c>
      <c r="T388" s="68">
        <f>IF($A388="","",COUNTIFS('Ordres de travail'!$I$5:$I$3004,$A388,'Ordres de travail'!$AC$5:$AC$3004,"Clôturé",'Ordres de travail'!$R$5:$R$3004,"&gt;="&amp;'Paramètres'!$AA$6,'Ordres de travail'!$R$5:$R$3004,"&lt;"&amp;('Paramètres'!$AA$7+1)))</f>
        <v/>
      </c>
      <c r="U388" s="69">
        <f>IF(OR($A388="",N(H388)=0),"",IF(M388="Non",0,365/H388*I388))</f>
        <v/>
      </c>
    </row>
    <row r="389">
      <c r="A389" s="7" t="n"/>
      <c r="B389" s="7" t="n"/>
      <c r="C389" s="9">
        <f>IF(B389="","",IFERROR(INDEX('Équipements'!$B$5:$B$304,MATCH(B389,'Équipements'!$A$5:$A$304,0)),"Code inconnu"))</f>
        <v/>
      </c>
      <c r="D389" s="9">
        <f>IF(B389="","",IFERROR(INDEX('Équipements'!$D$5:$D$304,MATCH(B389,'Équipements'!$A$5:$A$304,0)),""))</f>
        <v/>
      </c>
      <c r="E389" s="7" t="n"/>
      <c r="F389" s="7" t="n"/>
      <c r="G389" s="7" t="n"/>
      <c r="H389" s="67" t="n"/>
      <c r="I389" s="76" t="n"/>
      <c r="J389" s="7" t="n"/>
      <c r="K389" s="7" t="n"/>
      <c r="L389" s="65" t="n"/>
      <c r="M389" s="7" t="n"/>
      <c r="N389" s="7" t="n"/>
      <c r="O389" s="78">
        <f>IF($A389="","",MAX(N(L389),INT(_xlfn.MAXIFS('Ordres de travail'!$R$5:$R$3004,'Ordres de travail'!$I$5:$I$3004,$A389,'Ordres de travail'!$AC$5:$AC$3004,"Clôturé"))))</f>
        <v/>
      </c>
      <c r="P389" s="78">
        <f>IF(OR($A389="",N(O389)=0),"",O389+H389)</f>
        <v/>
      </c>
      <c r="Q389" s="79">
        <f>IF(P389="","",P389-TODAY())</f>
        <v/>
      </c>
      <c r="R389" s="9">
        <f>IF($A389="","",IF(M389="Non","INACTIF",IF(Q389="","À DÉFINIR",IF(Q389&lt;0,"EN RETARD",IF(Q389&lt;='Paramètres'!$AA$12,"À PLANIFIER","OK")))))</f>
        <v/>
      </c>
      <c r="S389" s="9">
        <f>IF($A389="","",IF(SUM(COUNTIFS('Ordres de travail'!$I$5:$I$3004,$A389,'Ordres de travail'!$AC$5:$AC$3004,{"Demandé","Planifié","En cours","En attente pièces"}))&gt;0,"Oui","Non"))</f>
        <v/>
      </c>
      <c r="T389" s="68">
        <f>IF($A389="","",COUNTIFS('Ordres de travail'!$I$5:$I$3004,$A389,'Ordres de travail'!$AC$5:$AC$3004,"Clôturé",'Ordres de travail'!$R$5:$R$3004,"&gt;="&amp;'Paramètres'!$AA$6,'Ordres de travail'!$R$5:$R$3004,"&lt;"&amp;('Paramètres'!$AA$7+1)))</f>
        <v/>
      </c>
      <c r="U389" s="69">
        <f>IF(OR($A389="",N(H389)=0),"",IF(M389="Non",0,365/H389*I389))</f>
        <v/>
      </c>
    </row>
    <row r="390">
      <c r="A390" s="7" t="n"/>
      <c r="B390" s="7" t="n"/>
      <c r="C390" s="9">
        <f>IF(B390="","",IFERROR(INDEX('Équipements'!$B$5:$B$304,MATCH(B390,'Équipements'!$A$5:$A$304,0)),"Code inconnu"))</f>
        <v/>
      </c>
      <c r="D390" s="9">
        <f>IF(B390="","",IFERROR(INDEX('Équipements'!$D$5:$D$304,MATCH(B390,'Équipements'!$A$5:$A$304,0)),""))</f>
        <v/>
      </c>
      <c r="E390" s="7" t="n"/>
      <c r="F390" s="7" t="n"/>
      <c r="G390" s="7" t="n"/>
      <c r="H390" s="67" t="n"/>
      <c r="I390" s="76" t="n"/>
      <c r="J390" s="7" t="n"/>
      <c r="K390" s="7" t="n"/>
      <c r="L390" s="65" t="n"/>
      <c r="M390" s="7" t="n"/>
      <c r="N390" s="7" t="n"/>
      <c r="O390" s="78">
        <f>IF($A390="","",MAX(N(L390),INT(_xlfn.MAXIFS('Ordres de travail'!$R$5:$R$3004,'Ordres de travail'!$I$5:$I$3004,$A390,'Ordres de travail'!$AC$5:$AC$3004,"Clôturé"))))</f>
        <v/>
      </c>
      <c r="P390" s="78">
        <f>IF(OR($A390="",N(O390)=0),"",O390+H390)</f>
        <v/>
      </c>
      <c r="Q390" s="79">
        <f>IF(P390="","",P390-TODAY())</f>
        <v/>
      </c>
      <c r="R390" s="9">
        <f>IF($A390="","",IF(M390="Non","INACTIF",IF(Q390="","À DÉFINIR",IF(Q390&lt;0,"EN RETARD",IF(Q390&lt;='Paramètres'!$AA$12,"À PLANIFIER","OK")))))</f>
        <v/>
      </c>
      <c r="S390" s="9">
        <f>IF($A390="","",IF(SUM(COUNTIFS('Ordres de travail'!$I$5:$I$3004,$A390,'Ordres de travail'!$AC$5:$AC$3004,{"Demandé","Planifié","En cours","En attente pièces"}))&gt;0,"Oui","Non"))</f>
        <v/>
      </c>
      <c r="T390" s="68">
        <f>IF($A390="","",COUNTIFS('Ordres de travail'!$I$5:$I$3004,$A390,'Ordres de travail'!$AC$5:$AC$3004,"Clôturé",'Ordres de travail'!$R$5:$R$3004,"&gt;="&amp;'Paramètres'!$AA$6,'Ordres de travail'!$R$5:$R$3004,"&lt;"&amp;('Paramètres'!$AA$7+1)))</f>
        <v/>
      </c>
      <c r="U390" s="69">
        <f>IF(OR($A390="",N(H390)=0),"",IF(M390="Non",0,365/H390*I390))</f>
        <v/>
      </c>
    </row>
    <row r="391">
      <c r="A391" s="7" t="n"/>
      <c r="B391" s="7" t="n"/>
      <c r="C391" s="9">
        <f>IF(B391="","",IFERROR(INDEX('Équipements'!$B$5:$B$304,MATCH(B391,'Équipements'!$A$5:$A$304,0)),"Code inconnu"))</f>
        <v/>
      </c>
      <c r="D391" s="9">
        <f>IF(B391="","",IFERROR(INDEX('Équipements'!$D$5:$D$304,MATCH(B391,'Équipements'!$A$5:$A$304,0)),""))</f>
        <v/>
      </c>
      <c r="E391" s="7" t="n"/>
      <c r="F391" s="7" t="n"/>
      <c r="G391" s="7" t="n"/>
      <c r="H391" s="67" t="n"/>
      <c r="I391" s="76" t="n"/>
      <c r="J391" s="7" t="n"/>
      <c r="K391" s="7" t="n"/>
      <c r="L391" s="65" t="n"/>
      <c r="M391" s="7" t="n"/>
      <c r="N391" s="7" t="n"/>
      <c r="O391" s="78">
        <f>IF($A391="","",MAX(N(L391),INT(_xlfn.MAXIFS('Ordres de travail'!$R$5:$R$3004,'Ordres de travail'!$I$5:$I$3004,$A391,'Ordres de travail'!$AC$5:$AC$3004,"Clôturé"))))</f>
        <v/>
      </c>
      <c r="P391" s="78">
        <f>IF(OR($A391="",N(O391)=0),"",O391+H391)</f>
        <v/>
      </c>
      <c r="Q391" s="79">
        <f>IF(P391="","",P391-TODAY())</f>
        <v/>
      </c>
      <c r="R391" s="9">
        <f>IF($A391="","",IF(M391="Non","INACTIF",IF(Q391="","À DÉFINIR",IF(Q391&lt;0,"EN RETARD",IF(Q391&lt;='Paramètres'!$AA$12,"À PLANIFIER","OK")))))</f>
        <v/>
      </c>
      <c r="S391" s="9">
        <f>IF($A391="","",IF(SUM(COUNTIFS('Ordres de travail'!$I$5:$I$3004,$A391,'Ordres de travail'!$AC$5:$AC$3004,{"Demandé","Planifié","En cours","En attente pièces"}))&gt;0,"Oui","Non"))</f>
        <v/>
      </c>
      <c r="T391" s="68">
        <f>IF($A391="","",COUNTIFS('Ordres de travail'!$I$5:$I$3004,$A391,'Ordres de travail'!$AC$5:$AC$3004,"Clôturé",'Ordres de travail'!$R$5:$R$3004,"&gt;="&amp;'Paramètres'!$AA$6,'Ordres de travail'!$R$5:$R$3004,"&lt;"&amp;('Paramètres'!$AA$7+1)))</f>
        <v/>
      </c>
      <c r="U391" s="69">
        <f>IF(OR($A391="",N(H391)=0),"",IF(M391="Non",0,365/H391*I391))</f>
        <v/>
      </c>
    </row>
    <row r="392">
      <c r="A392" s="7" t="n"/>
      <c r="B392" s="7" t="n"/>
      <c r="C392" s="9">
        <f>IF(B392="","",IFERROR(INDEX('Équipements'!$B$5:$B$304,MATCH(B392,'Équipements'!$A$5:$A$304,0)),"Code inconnu"))</f>
        <v/>
      </c>
      <c r="D392" s="9">
        <f>IF(B392="","",IFERROR(INDEX('Équipements'!$D$5:$D$304,MATCH(B392,'Équipements'!$A$5:$A$304,0)),""))</f>
        <v/>
      </c>
      <c r="E392" s="7" t="n"/>
      <c r="F392" s="7" t="n"/>
      <c r="G392" s="7" t="n"/>
      <c r="H392" s="67" t="n"/>
      <c r="I392" s="76" t="n"/>
      <c r="J392" s="7" t="n"/>
      <c r="K392" s="7" t="n"/>
      <c r="L392" s="65" t="n"/>
      <c r="M392" s="7" t="n"/>
      <c r="N392" s="7" t="n"/>
      <c r="O392" s="78">
        <f>IF($A392="","",MAX(N(L392),INT(_xlfn.MAXIFS('Ordres de travail'!$R$5:$R$3004,'Ordres de travail'!$I$5:$I$3004,$A392,'Ordres de travail'!$AC$5:$AC$3004,"Clôturé"))))</f>
        <v/>
      </c>
      <c r="P392" s="78">
        <f>IF(OR($A392="",N(O392)=0),"",O392+H392)</f>
        <v/>
      </c>
      <c r="Q392" s="79">
        <f>IF(P392="","",P392-TODAY())</f>
        <v/>
      </c>
      <c r="R392" s="9">
        <f>IF($A392="","",IF(M392="Non","INACTIF",IF(Q392="","À DÉFINIR",IF(Q392&lt;0,"EN RETARD",IF(Q392&lt;='Paramètres'!$AA$12,"À PLANIFIER","OK")))))</f>
        <v/>
      </c>
      <c r="S392" s="9">
        <f>IF($A392="","",IF(SUM(COUNTIFS('Ordres de travail'!$I$5:$I$3004,$A392,'Ordres de travail'!$AC$5:$AC$3004,{"Demandé","Planifié","En cours","En attente pièces"}))&gt;0,"Oui","Non"))</f>
        <v/>
      </c>
      <c r="T392" s="68">
        <f>IF($A392="","",COUNTIFS('Ordres de travail'!$I$5:$I$3004,$A392,'Ordres de travail'!$AC$5:$AC$3004,"Clôturé",'Ordres de travail'!$R$5:$R$3004,"&gt;="&amp;'Paramètres'!$AA$6,'Ordres de travail'!$R$5:$R$3004,"&lt;"&amp;('Paramètres'!$AA$7+1)))</f>
        <v/>
      </c>
      <c r="U392" s="69">
        <f>IF(OR($A392="",N(H392)=0),"",IF(M392="Non",0,365/H392*I392))</f>
        <v/>
      </c>
    </row>
    <row r="393">
      <c r="A393" s="7" t="n"/>
      <c r="B393" s="7" t="n"/>
      <c r="C393" s="9">
        <f>IF(B393="","",IFERROR(INDEX('Équipements'!$B$5:$B$304,MATCH(B393,'Équipements'!$A$5:$A$304,0)),"Code inconnu"))</f>
        <v/>
      </c>
      <c r="D393" s="9">
        <f>IF(B393="","",IFERROR(INDEX('Équipements'!$D$5:$D$304,MATCH(B393,'Équipements'!$A$5:$A$304,0)),""))</f>
        <v/>
      </c>
      <c r="E393" s="7" t="n"/>
      <c r="F393" s="7" t="n"/>
      <c r="G393" s="7" t="n"/>
      <c r="H393" s="67" t="n"/>
      <c r="I393" s="76" t="n"/>
      <c r="J393" s="7" t="n"/>
      <c r="K393" s="7" t="n"/>
      <c r="L393" s="65" t="n"/>
      <c r="M393" s="7" t="n"/>
      <c r="N393" s="7" t="n"/>
      <c r="O393" s="78">
        <f>IF($A393="","",MAX(N(L393),INT(_xlfn.MAXIFS('Ordres de travail'!$R$5:$R$3004,'Ordres de travail'!$I$5:$I$3004,$A393,'Ordres de travail'!$AC$5:$AC$3004,"Clôturé"))))</f>
        <v/>
      </c>
      <c r="P393" s="78">
        <f>IF(OR($A393="",N(O393)=0),"",O393+H393)</f>
        <v/>
      </c>
      <c r="Q393" s="79">
        <f>IF(P393="","",P393-TODAY())</f>
        <v/>
      </c>
      <c r="R393" s="9">
        <f>IF($A393="","",IF(M393="Non","INACTIF",IF(Q393="","À DÉFINIR",IF(Q393&lt;0,"EN RETARD",IF(Q393&lt;='Paramètres'!$AA$12,"À PLANIFIER","OK")))))</f>
        <v/>
      </c>
      <c r="S393" s="9">
        <f>IF($A393="","",IF(SUM(COUNTIFS('Ordres de travail'!$I$5:$I$3004,$A393,'Ordres de travail'!$AC$5:$AC$3004,{"Demandé","Planifié","En cours","En attente pièces"}))&gt;0,"Oui","Non"))</f>
        <v/>
      </c>
      <c r="T393" s="68">
        <f>IF($A393="","",COUNTIFS('Ordres de travail'!$I$5:$I$3004,$A393,'Ordres de travail'!$AC$5:$AC$3004,"Clôturé",'Ordres de travail'!$R$5:$R$3004,"&gt;="&amp;'Paramètres'!$AA$6,'Ordres de travail'!$R$5:$R$3004,"&lt;"&amp;('Paramètres'!$AA$7+1)))</f>
        <v/>
      </c>
      <c r="U393" s="69">
        <f>IF(OR($A393="",N(H393)=0),"",IF(M393="Non",0,365/H393*I393))</f>
        <v/>
      </c>
    </row>
    <row r="394">
      <c r="A394" s="7" t="n"/>
      <c r="B394" s="7" t="n"/>
      <c r="C394" s="9">
        <f>IF(B394="","",IFERROR(INDEX('Équipements'!$B$5:$B$304,MATCH(B394,'Équipements'!$A$5:$A$304,0)),"Code inconnu"))</f>
        <v/>
      </c>
      <c r="D394" s="9">
        <f>IF(B394="","",IFERROR(INDEX('Équipements'!$D$5:$D$304,MATCH(B394,'Équipements'!$A$5:$A$304,0)),""))</f>
        <v/>
      </c>
      <c r="E394" s="7" t="n"/>
      <c r="F394" s="7" t="n"/>
      <c r="G394" s="7" t="n"/>
      <c r="H394" s="67" t="n"/>
      <c r="I394" s="76" t="n"/>
      <c r="J394" s="7" t="n"/>
      <c r="K394" s="7" t="n"/>
      <c r="L394" s="65" t="n"/>
      <c r="M394" s="7" t="n"/>
      <c r="N394" s="7" t="n"/>
      <c r="O394" s="78">
        <f>IF($A394="","",MAX(N(L394),INT(_xlfn.MAXIFS('Ordres de travail'!$R$5:$R$3004,'Ordres de travail'!$I$5:$I$3004,$A394,'Ordres de travail'!$AC$5:$AC$3004,"Clôturé"))))</f>
        <v/>
      </c>
      <c r="P394" s="78">
        <f>IF(OR($A394="",N(O394)=0),"",O394+H394)</f>
        <v/>
      </c>
      <c r="Q394" s="79">
        <f>IF(P394="","",P394-TODAY())</f>
        <v/>
      </c>
      <c r="R394" s="9">
        <f>IF($A394="","",IF(M394="Non","INACTIF",IF(Q394="","À DÉFINIR",IF(Q394&lt;0,"EN RETARD",IF(Q394&lt;='Paramètres'!$AA$12,"À PLANIFIER","OK")))))</f>
        <v/>
      </c>
      <c r="S394" s="9">
        <f>IF($A394="","",IF(SUM(COUNTIFS('Ordres de travail'!$I$5:$I$3004,$A394,'Ordres de travail'!$AC$5:$AC$3004,{"Demandé","Planifié","En cours","En attente pièces"}))&gt;0,"Oui","Non"))</f>
        <v/>
      </c>
      <c r="T394" s="68">
        <f>IF($A394="","",COUNTIFS('Ordres de travail'!$I$5:$I$3004,$A394,'Ordres de travail'!$AC$5:$AC$3004,"Clôturé",'Ordres de travail'!$R$5:$R$3004,"&gt;="&amp;'Paramètres'!$AA$6,'Ordres de travail'!$R$5:$R$3004,"&lt;"&amp;('Paramètres'!$AA$7+1)))</f>
        <v/>
      </c>
      <c r="U394" s="69">
        <f>IF(OR($A394="",N(H394)=0),"",IF(M394="Non",0,365/H394*I394))</f>
        <v/>
      </c>
    </row>
    <row r="395">
      <c r="A395" s="7" t="n"/>
      <c r="B395" s="7" t="n"/>
      <c r="C395" s="9">
        <f>IF(B395="","",IFERROR(INDEX('Équipements'!$B$5:$B$304,MATCH(B395,'Équipements'!$A$5:$A$304,0)),"Code inconnu"))</f>
        <v/>
      </c>
      <c r="D395" s="9">
        <f>IF(B395="","",IFERROR(INDEX('Équipements'!$D$5:$D$304,MATCH(B395,'Équipements'!$A$5:$A$304,0)),""))</f>
        <v/>
      </c>
      <c r="E395" s="7" t="n"/>
      <c r="F395" s="7" t="n"/>
      <c r="G395" s="7" t="n"/>
      <c r="H395" s="67" t="n"/>
      <c r="I395" s="76" t="n"/>
      <c r="J395" s="7" t="n"/>
      <c r="K395" s="7" t="n"/>
      <c r="L395" s="65" t="n"/>
      <c r="M395" s="7" t="n"/>
      <c r="N395" s="7" t="n"/>
      <c r="O395" s="78">
        <f>IF($A395="","",MAX(N(L395),INT(_xlfn.MAXIFS('Ordres de travail'!$R$5:$R$3004,'Ordres de travail'!$I$5:$I$3004,$A395,'Ordres de travail'!$AC$5:$AC$3004,"Clôturé"))))</f>
        <v/>
      </c>
      <c r="P395" s="78">
        <f>IF(OR($A395="",N(O395)=0),"",O395+H395)</f>
        <v/>
      </c>
      <c r="Q395" s="79">
        <f>IF(P395="","",P395-TODAY())</f>
        <v/>
      </c>
      <c r="R395" s="9">
        <f>IF($A395="","",IF(M395="Non","INACTIF",IF(Q395="","À DÉFINIR",IF(Q395&lt;0,"EN RETARD",IF(Q395&lt;='Paramètres'!$AA$12,"À PLANIFIER","OK")))))</f>
        <v/>
      </c>
      <c r="S395" s="9">
        <f>IF($A395="","",IF(SUM(COUNTIFS('Ordres de travail'!$I$5:$I$3004,$A395,'Ordres de travail'!$AC$5:$AC$3004,{"Demandé","Planifié","En cours","En attente pièces"}))&gt;0,"Oui","Non"))</f>
        <v/>
      </c>
      <c r="T395" s="68">
        <f>IF($A395="","",COUNTIFS('Ordres de travail'!$I$5:$I$3004,$A395,'Ordres de travail'!$AC$5:$AC$3004,"Clôturé",'Ordres de travail'!$R$5:$R$3004,"&gt;="&amp;'Paramètres'!$AA$6,'Ordres de travail'!$R$5:$R$3004,"&lt;"&amp;('Paramètres'!$AA$7+1)))</f>
        <v/>
      </c>
      <c r="U395" s="69">
        <f>IF(OR($A395="",N(H395)=0),"",IF(M395="Non",0,365/H395*I395))</f>
        <v/>
      </c>
    </row>
    <row r="396">
      <c r="A396" s="7" t="n"/>
      <c r="B396" s="7" t="n"/>
      <c r="C396" s="9">
        <f>IF(B396="","",IFERROR(INDEX('Équipements'!$B$5:$B$304,MATCH(B396,'Équipements'!$A$5:$A$304,0)),"Code inconnu"))</f>
        <v/>
      </c>
      <c r="D396" s="9">
        <f>IF(B396="","",IFERROR(INDEX('Équipements'!$D$5:$D$304,MATCH(B396,'Équipements'!$A$5:$A$304,0)),""))</f>
        <v/>
      </c>
      <c r="E396" s="7" t="n"/>
      <c r="F396" s="7" t="n"/>
      <c r="G396" s="7" t="n"/>
      <c r="H396" s="67" t="n"/>
      <c r="I396" s="76" t="n"/>
      <c r="J396" s="7" t="n"/>
      <c r="K396" s="7" t="n"/>
      <c r="L396" s="65" t="n"/>
      <c r="M396" s="7" t="n"/>
      <c r="N396" s="7" t="n"/>
      <c r="O396" s="78">
        <f>IF($A396="","",MAX(N(L396),INT(_xlfn.MAXIFS('Ordres de travail'!$R$5:$R$3004,'Ordres de travail'!$I$5:$I$3004,$A396,'Ordres de travail'!$AC$5:$AC$3004,"Clôturé"))))</f>
        <v/>
      </c>
      <c r="P396" s="78">
        <f>IF(OR($A396="",N(O396)=0),"",O396+H396)</f>
        <v/>
      </c>
      <c r="Q396" s="79">
        <f>IF(P396="","",P396-TODAY())</f>
        <v/>
      </c>
      <c r="R396" s="9">
        <f>IF($A396="","",IF(M396="Non","INACTIF",IF(Q396="","À DÉFINIR",IF(Q396&lt;0,"EN RETARD",IF(Q396&lt;='Paramètres'!$AA$12,"À PLANIFIER","OK")))))</f>
        <v/>
      </c>
      <c r="S396" s="9">
        <f>IF($A396="","",IF(SUM(COUNTIFS('Ordres de travail'!$I$5:$I$3004,$A396,'Ordres de travail'!$AC$5:$AC$3004,{"Demandé","Planifié","En cours","En attente pièces"}))&gt;0,"Oui","Non"))</f>
        <v/>
      </c>
      <c r="T396" s="68">
        <f>IF($A396="","",COUNTIFS('Ordres de travail'!$I$5:$I$3004,$A396,'Ordres de travail'!$AC$5:$AC$3004,"Clôturé",'Ordres de travail'!$R$5:$R$3004,"&gt;="&amp;'Paramètres'!$AA$6,'Ordres de travail'!$R$5:$R$3004,"&lt;"&amp;('Paramètres'!$AA$7+1)))</f>
        <v/>
      </c>
      <c r="U396" s="69">
        <f>IF(OR($A396="",N(H396)=0),"",IF(M396="Non",0,365/H396*I396))</f>
        <v/>
      </c>
    </row>
    <row r="397">
      <c r="A397" s="7" t="n"/>
      <c r="B397" s="7" t="n"/>
      <c r="C397" s="9">
        <f>IF(B397="","",IFERROR(INDEX('Équipements'!$B$5:$B$304,MATCH(B397,'Équipements'!$A$5:$A$304,0)),"Code inconnu"))</f>
        <v/>
      </c>
      <c r="D397" s="9">
        <f>IF(B397="","",IFERROR(INDEX('Équipements'!$D$5:$D$304,MATCH(B397,'Équipements'!$A$5:$A$304,0)),""))</f>
        <v/>
      </c>
      <c r="E397" s="7" t="n"/>
      <c r="F397" s="7" t="n"/>
      <c r="G397" s="7" t="n"/>
      <c r="H397" s="67" t="n"/>
      <c r="I397" s="76" t="n"/>
      <c r="J397" s="7" t="n"/>
      <c r="K397" s="7" t="n"/>
      <c r="L397" s="65" t="n"/>
      <c r="M397" s="7" t="n"/>
      <c r="N397" s="7" t="n"/>
      <c r="O397" s="78">
        <f>IF($A397="","",MAX(N(L397),INT(_xlfn.MAXIFS('Ordres de travail'!$R$5:$R$3004,'Ordres de travail'!$I$5:$I$3004,$A397,'Ordres de travail'!$AC$5:$AC$3004,"Clôturé"))))</f>
        <v/>
      </c>
      <c r="P397" s="78">
        <f>IF(OR($A397="",N(O397)=0),"",O397+H397)</f>
        <v/>
      </c>
      <c r="Q397" s="79">
        <f>IF(P397="","",P397-TODAY())</f>
        <v/>
      </c>
      <c r="R397" s="9">
        <f>IF($A397="","",IF(M397="Non","INACTIF",IF(Q397="","À DÉFINIR",IF(Q397&lt;0,"EN RETARD",IF(Q397&lt;='Paramètres'!$AA$12,"À PLANIFIER","OK")))))</f>
        <v/>
      </c>
      <c r="S397" s="9">
        <f>IF($A397="","",IF(SUM(COUNTIFS('Ordres de travail'!$I$5:$I$3004,$A397,'Ordres de travail'!$AC$5:$AC$3004,{"Demandé","Planifié","En cours","En attente pièces"}))&gt;0,"Oui","Non"))</f>
        <v/>
      </c>
      <c r="T397" s="68">
        <f>IF($A397="","",COUNTIFS('Ordres de travail'!$I$5:$I$3004,$A397,'Ordres de travail'!$AC$5:$AC$3004,"Clôturé",'Ordres de travail'!$R$5:$R$3004,"&gt;="&amp;'Paramètres'!$AA$6,'Ordres de travail'!$R$5:$R$3004,"&lt;"&amp;('Paramètres'!$AA$7+1)))</f>
        <v/>
      </c>
      <c r="U397" s="69">
        <f>IF(OR($A397="",N(H397)=0),"",IF(M397="Non",0,365/H397*I397))</f>
        <v/>
      </c>
    </row>
    <row r="398">
      <c r="A398" s="7" t="n"/>
      <c r="B398" s="7" t="n"/>
      <c r="C398" s="9">
        <f>IF(B398="","",IFERROR(INDEX('Équipements'!$B$5:$B$304,MATCH(B398,'Équipements'!$A$5:$A$304,0)),"Code inconnu"))</f>
        <v/>
      </c>
      <c r="D398" s="9">
        <f>IF(B398="","",IFERROR(INDEX('Équipements'!$D$5:$D$304,MATCH(B398,'Équipements'!$A$5:$A$304,0)),""))</f>
        <v/>
      </c>
      <c r="E398" s="7" t="n"/>
      <c r="F398" s="7" t="n"/>
      <c r="G398" s="7" t="n"/>
      <c r="H398" s="67" t="n"/>
      <c r="I398" s="76" t="n"/>
      <c r="J398" s="7" t="n"/>
      <c r="K398" s="7" t="n"/>
      <c r="L398" s="65" t="n"/>
      <c r="M398" s="7" t="n"/>
      <c r="N398" s="7" t="n"/>
      <c r="O398" s="78">
        <f>IF($A398="","",MAX(N(L398),INT(_xlfn.MAXIFS('Ordres de travail'!$R$5:$R$3004,'Ordres de travail'!$I$5:$I$3004,$A398,'Ordres de travail'!$AC$5:$AC$3004,"Clôturé"))))</f>
        <v/>
      </c>
      <c r="P398" s="78">
        <f>IF(OR($A398="",N(O398)=0),"",O398+H398)</f>
        <v/>
      </c>
      <c r="Q398" s="79">
        <f>IF(P398="","",P398-TODAY())</f>
        <v/>
      </c>
      <c r="R398" s="9">
        <f>IF($A398="","",IF(M398="Non","INACTIF",IF(Q398="","À DÉFINIR",IF(Q398&lt;0,"EN RETARD",IF(Q398&lt;='Paramètres'!$AA$12,"À PLANIFIER","OK")))))</f>
        <v/>
      </c>
      <c r="S398" s="9">
        <f>IF($A398="","",IF(SUM(COUNTIFS('Ordres de travail'!$I$5:$I$3004,$A398,'Ordres de travail'!$AC$5:$AC$3004,{"Demandé","Planifié","En cours","En attente pièces"}))&gt;0,"Oui","Non"))</f>
        <v/>
      </c>
      <c r="T398" s="68">
        <f>IF($A398="","",COUNTIFS('Ordres de travail'!$I$5:$I$3004,$A398,'Ordres de travail'!$AC$5:$AC$3004,"Clôturé",'Ordres de travail'!$R$5:$R$3004,"&gt;="&amp;'Paramètres'!$AA$6,'Ordres de travail'!$R$5:$R$3004,"&lt;"&amp;('Paramètres'!$AA$7+1)))</f>
        <v/>
      </c>
      <c r="U398" s="69">
        <f>IF(OR($A398="",N(H398)=0),"",IF(M398="Non",0,365/H398*I398))</f>
        <v/>
      </c>
    </row>
    <row r="399">
      <c r="A399" s="7" t="n"/>
      <c r="B399" s="7" t="n"/>
      <c r="C399" s="9">
        <f>IF(B399="","",IFERROR(INDEX('Équipements'!$B$5:$B$304,MATCH(B399,'Équipements'!$A$5:$A$304,0)),"Code inconnu"))</f>
        <v/>
      </c>
      <c r="D399" s="9">
        <f>IF(B399="","",IFERROR(INDEX('Équipements'!$D$5:$D$304,MATCH(B399,'Équipements'!$A$5:$A$304,0)),""))</f>
        <v/>
      </c>
      <c r="E399" s="7" t="n"/>
      <c r="F399" s="7" t="n"/>
      <c r="G399" s="7" t="n"/>
      <c r="H399" s="67" t="n"/>
      <c r="I399" s="76" t="n"/>
      <c r="J399" s="7" t="n"/>
      <c r="K399" s="7" t="n"/>
      <c r="L399" s="65" t="n"/>
      <c r="M399" s="7" t="n"/>
      <c r="N399" s="7" t="n"/>
      <c r="O399" s="78">
        <f>IF($A399="","",MAX(N(L399),INT(_xlfn.MAXIFS('Ordres de travail'!$R$5:$R$3004,'Ordres de travail'!$I$5:$I$3004,$A399,'Ordres de travail'!$AC$5:$AC$3004,"Clôturé"))))</f>
        <v/>
      </c>
      <c r="P399" s="78">
        <f>IF(OR($A399="",N(O399)=0),"",O399+H399)</f>
        <v/>
      </c>
      <c r="Q399" s="79">
        <f>IF(P399="","",P399-TODAY())</f>
        <v/>
      </c>
      <c r="R399" s="9">
        <f>IF($A399="","",IF(M399="Non","INACTIF",IF(Q399="","À DÉFINIR",IF(Q399&lt;0,"EN RETARD",IF(Q399&lt;='Paramètres'!$AA$12,"À PLANIFIER","OK")))))</f>
        <v/>
      </c>
      <c r="S399" s="9">
        <f>IF($A399="","",IF(SUM(COUNTIFS('Ordres de travail'!$I$5:$I$3004,$A399,'Ordres de travail'!$AC$5:$AC$3004,{"Demandé","Planifié","En cours","En attente pièces"}))&gt;0,"Oui","Non"))</f>
        <v/>
      </c>
      <c r="T399" s="68">
        <f>IF($A399="","",COUNTIFS('Ordres de travail'!$I$5:$I$3004,$A399,'Ordres de travail'!$AC$5:$AC$3004,"Clôturé",'Ordres de travail'!$R$5:$R$3004,"&gt;="&amp;'Paramètres'!$AA$6,'Ordres de travail'!$R$5:$R$3004,"&lt;"&amp;('Paramètres'!$AA$7+1)))</f>
        <v/>
      </c>
      <c r="U399" s="69">
        <f>IF(OR($A399="",N(H399)=0),"",IF(M399="Non",0,365/H399*I399))</f>
        <v/>
      </c>
    </row>
    <row r="400">
      <c r="A400" s="7" t="n"/>
      <c r="B400" s="7" t="n"/>
      <c r="C400" s="9">
        <f>IF(B400="","",IFERROR(INDEX('Équipements'!$B$5:$B$304,MATCH(B400,'Équipements'!$A$5:$A$304,0)),"Code inconnu"))</f>
        <v/>
      </c>
      <c r="D400" s="9">
        <f>IF(B400="","",IFERROR(INDEX('Équipements'!$D$5:$D$304,MATCH(B400,'Équipements'!$A$5:$A$304,0)),""))</f>
        <v/>
      </c>
      <c r="E400" s="7" t="n"/>
      <c r="F400" s="7" t="n"/>
      <c r="G400" s="7" t="n"/>
      <c r="H400" s="67" t="n"/>
      <c r="I400" s="76" t="n"/>
      <c r="J400" s="7" t="n"/>
      <c r="K400" s="7" t="n"/>
      <c r="L400" s="65" t="n"/>
      <c r="M400" s="7" t="n"/>
      <c r="N400" s="7" t="n"/>
      <c r="O400" s="78">
        <f>IF($A400="","",MAX(N(L400),INT(_xlfn.MAXIFS('Ordres de travail'!$R$5:$R$3004,'Ordres de travail'!$I$5:$I$3004,$A400,'Ordres de travail'!$AC$5:$AC$3004,"Clôturé"))))</f>
        <v/>
      </c>
      <c r="P400" s="78">
        <f>IF(OR($A400="",N(O400)=0),"",O400+H400)</f>
        <v/>
      </c>
      <c r="Q400" s="79">
        <f>IF(P400="","",P400-TODAY())</f>
        <v/>
      </c>
      <c r="R400" s="9">
        <f>IF($A400="","",IF(M400="Non","INACTIF",IF(Q400="","À DÉFINIR",IF(Q400&lt;0,"EN RETARD",IF(Q400&lt;='Paramètres'!$AA$12,"À PLANIFIER","OK")))))</f>
        <v/>
      </c>
      <c r="S400" s="9">
        <f>IF($A400="","",IF(SUM(COUNTIFS('Ordres de travail'!$I$5:$I$3004,$A400,'Ordres de travail'!$AC$5:$AC$3004,{"Demandé","Planifié","En cours","En attente pièces"}))&gt;0,"Oui","Non"))</f>
        <v/>
      </c>
      <c r="T400" s="68">
        <f>IF($A400="","",COUNTIFS('Ordres de travail'!$I$5:$I$3004,$A400,'Ordres de travail'!$AC$5:$AC$3004,"Clôturé",'Ordres de travail'!$R$5:$R$3004,"&gt;="&amp;'Paramètres'!$AA$6,'Ordres de travail'!$R$5:$R$3004,"&lt;"&amp;('Paramètres'!$AA$7+1)))</f>
        <v/>
      </c>
      <c r="U400" s="69">
        <f>IF(OR($A400="",N(H400)=0),"",IF(M400="Non",0,365/H400*I400))</f>
        <v/>
      </c>
    </row>
    <row r="401">
      <c r="A401" s="7" t="n"/>
      <c r="B401" s="7" t="n"/>
      <c r="C401" s="9">
        <f>IF(B401="","",IFERROR(INDEX('Équipements'!$B$5:$B$304,MATCH(B401,'Équipements'!$A$5:$A$304,0)),"Code inconnu"))</f>
        <v/>
      </c>
      <c r="D401" s="9">
        <f>IF(B401="","",IFERROR(INDEX('Équipements'!$D$5:$D$304,MATCH(B401,'Équipements'!$A$5:$A$304,0)),""))</f>
        <v/>
      </c>
      <c r="E401" s="7" t="n"/>
      <c r="F401" s="7" t="n"/>
      <c r="G401" s="7" t="n"/>
      <c r="H401" s="67" t="n"/>
      <c r="I401" s="76" t="n"/>
      <c r="J401" s="7" t="n"/>
      <c r="K401" s="7" t="n"/>
      <c r="L401" s="65" t="n"/>
      <c r="M401" s="7" t="n"/>
      <c r="N401" s="7" t="n"/>
      <c r="O401" s="78">
        <f>IF($A401="","",MAX(N(L401),INT(_xlfn.MAXIFS('Ordres de travail'!$R$5:$R$3004,'Ordres de travail'!$I$5:$I$3004,$A401,'Ordres de travail'!$AC$5:$AC$3004,"Clôturé"))))</f>
        <v/>
      </c>
      <c r="P401" s="78">
        <f>IF(OR($A401="",N(O401)=0),"",O401+H401)</f>
        <v/>
      </c>
      <c r="Q401" s="79">
        <f>IF(P401="","",P401-TODAY())</f>
        <v/>
      </c>
      <c r="R401" s="9">
        <f>IF($A401="","",IF(M401="Non","INACTIF",IF(Q401="","À DÉFINIR",IF(Q401&lt;0,"EN RETARD",IF(Q401&lt;='Paramètres'!$AA$12,"À PLANIFIER","OK")))))</f>
        <v/>
      </c>
      <c r="S401" s="9">
        <f>IF($A401="","",IF(SUM(COUNTIFS('Ordres de travail'!$I$5:$I$3004,$A401,'Ordres de travail'!$AC$5:$AC$3004,{"Demandé","Planifié","En cours","En attente pièces"}))&gt;0,"Oui","Non"))</f>
        <v/>
      </c>
      <c r="T401" s="68">
        <f>IF($A401="","",COUNTIFS('Ordres de travail'!$I$5:$I$3004,$A401,'Ordres de travail'!$AC$5:$AC$3004,"Clôturé",'Ordres de travail'!$R$5:$R$3004,"&gt;="&amp;'Paramètres'!$AA$6,'Ordres de travail'!$R$5:$R$3004,"&lt;"&amp;('Paramètres'!$AA$7+1)))</f>
        <v/>
      </c>
      <c r="U401" s="69">
        <f>IF(OR($A401="",N(H401)=0),"",IF(M401="Non",0,365/H401*I401))</f>
        <v/>
      </c>
    </row>
    <row r="402">
      <c r="A402" s="7" t="n"/>
      <c r="B402" s="7" t="n"/>
      <c r="C402" s="9">
        <f>IF(B402="","",IFERROR(INDEX('Équipements'!$B$5:$B$304,MATCH(B402,'Équipements'!$A$5:$A$304,0)),"Code inconnu"))</f>
        <v/>
      </c>
      <c r="D402" s="9">
        <f>IF(B402="","",IFERROR(INDEX('Équipements'!$D$5:$D$304,MATCH(B402,'Équipements'!$A$5:$A$304,0)),""))</f>
        <v/>
      </c>
      <c r="E402" s="7" t="n"/>
      <c r="F402" s="7" t="n"/>
      <c r="G402" s="7" t="n"/>
      <c r="H402" s="67" t="n"/>
      <c r="I402" s="76" t="n"/>
      <c r="J402" s="7" t="n"/>
      <c r="K402" s="7" t="n"/>
      <c r="L402" s="65" t="n"/>
      <c r="M402" s="7" t="n"/>
      <c r="N402" s="7" t="n"/>
      <c r="O402" s="78">
        <f>IF($A402="","",MAX(N(L402),INT(_xlfn.MAXIFS('Ordres de travail'!$R$5:$R$3004,'Ordres de travail'!$I$5:$I$3004,$A402,'Ordres de travail'!$AC$5:$AC$3004,"Clôturé"))))</f>
        <v/>
      </c>
      <c r="P402" s="78">
        <f>IF(OR($A402="",N(O402)=0),"",O402+H402)</f>
        <v/>
      </c>
      <c r="Q402" s="79">
        <f>IF(P402="","",P402-TODAY())</f>
        <v/>
      </c>
      <c r="R402" s="9">
        <f>IF($A402="","",IF(M402="Non","INACTIF",IF(Q402="","À DÉFINIR",IF(Q402&lt;0,"EN RETARD",IF(Q402&lt;='Paramètres'!$AA$12,"À PLANIFIER","OK")))))</f>
        <v/>
      </c>
      <c r="S402" s="9">
        <f>IF($A402="","",IF(SUM(COUNTIFS('Ordres de travail'!$I$5:$I$3004,$A402,'Ordres de travail'!$AC$5:$AC$3004,{"Demandé","Planifié","En cours","En attente pièces"}))&gt;0,"Oui","Non"))</f>
        <v/>
      </c>
      <c r="T402" s="68">
        <f>IF($A402="","",COUNTIFS('Ordres de travail'!$I$5:$I$3004,$A402,'Ordres de travail'!$AC$5:$AC$3004,"Clôturé",'Ordres de travail'!$R$5:$R$3004,"&gt;="&amp;'Paramètres'!$AA$6,'Ordres de travail'!$R$5:$R$3004,"&lt;"&amp;('Paramètres'!$AA$7+1)))</f>
        <v/>
      </c>
      <c r="U402" s="69">
        <f>IF(OR($A402="",N(H402)=0),"",IF(M402="Non",0,365/H402*I402))</f>
        <v/>
      </c>
    </row>
    <row r="403">
      <c r="A403" s="7" t="n"/>
      <c r="B403" s="7" t="n"/>
      <c r="C403" s="9">
        <f>IF(B403="","",IFERROR(INDEX('Équipements'!$B$5:$B$304,MATCH(B403,'Équipements'!$A$5:$A$304,0)),"Code inconnu"))</f>
        <v/>
      </c>
      <c r="D403" s="9">
        <f>IF(B403="","",IFERROR(INDEX('Équipements'!$D$5:$D$304,MATCH(B403,'Équipements'!$A$5:$A$304,0)),""))</f>
        <v/>
      </c>
      <c r="E403" s="7" t="n"/>
      <c r="F403" s="7" t="n"/>
      <c r="G403" s="7" t="n"/>
      <c r="H403" s="67" t="n"/>
      <c r="I403" s="76" t="n"/>
      <c r="J403" s="7" t="n"/>
      <c r="K403" s="7" t="n"/>
      <c r="L403" s="65" t="n"/>
      <c r="M403" s="7" t="n"/>
      <c r="N403" s="7" t="n"/>
      <c r="O403" s="78">
        <f>IF($A403="","",MAX(N(L403),INT(_xlfn.MAXIFS('Ordres de travail'!$R$5:$R$3004,'Ordres de travail'!$I$5:$I$3004,$A403,'Ordres de travail'!$AC$5:$AC$3004,"Clôturé"))))</f>
        <v/>
      </c>
      <c r="P403" s="78">
        <f>IF(OR($A403="",N(O403)=0),"",O403+H403)</f>
        <v/>
      </c>
      <c r="Q403" s="79">
        <f>IF(P403="","",P403-TODAY())</f>
        <v/>
      </c>
      <c r="R403" s="9">
        <f>IF($A403="","",IF(M403="Non","INACTIF",IF(Q403="","À DÉFINIR",IF(Q403&lt;0,"EN RETARD",IF(Q403&lt;='Paramètres'!$AA$12,"À PLANIFIER","OK")))))</f>
        <v/>
      </c>
      <c r="S403" s="9">
        <f>IF($A403="","",IF(SUM(COUNTIFS('Ordres de travail'!$I$5:$I$3004,$A403,'Ordres de travail'!$AC$5:$AC$3004,{"Demandé","Planifié","En cours","En attente pièces"}))&gt;0,"Oui","Non"))</f>
        <v/>
      </c>
      <c r="T403" s="68">
        <f>IF($A403="","",COUNTIFS('Ordres de travail'!$I$5:$I$3004,$A403,'Ordres de travail'!$AC$5:$AC$3004,"Clôturé",'Ordres de travail'!$R$5:$R$3004,"&gt;="&amp;'Paramètres'!$AA$6,'Ordres de travail'!$R$5:$R$3004,"&lt;"&amp;('Paramètres'!$AA$7+1)))</f>
        <v/>
      </c>
      <c r="U403" s="69">
        <f>IF(OR($A403="",N(H403)=0),"",IF(M403="Non",0,365/H403*I403))</f>
        <v/>
      </c>
    </row>
    <row r="404">
      <c r="A404" s="7" t="n"/>
      <c r="B404" s="7" t="n"/>
      <c r="C404" s="9">
        <f>IF(B404="","",IFERROR(INDEX('Équipements'!$B$5:$B$304,MATCH(B404,'Équipements'!$A$5:$A$304,0)),"Code inconnu"))</f>
        <v/>
      </c>
      <c r="D404" s="9">
        <f>IF(B404="","",IFERROR(INDEX('Équipements'!$D$5:$D$304,MATCH(B404,'Équipements'!$A$5:$A$304,0)),""))</f>
        <v/>
      </c>
      <c r="E404" s="7" t="n"/>
      <c r="F404" s="7" t="n"/>
      <c r="G404" s="7" t="n"/>
      <c r="H404" s="67" t="n"/>
      <c r="I404" s="76" t="n"/>
      <c r="J404" s="7" t="n"/>
      <c r="K404" s="7" t="n"/>
      <c r="L404" s="65" t="n"/>
      <c r="M404" s="7" t="n"/>
      <c r="N404" s="7" t="n"/>
      <c r="O404" s="78">
        <f>IF($A404="","",MAX(N(L404),INT(_xlfn.MAXIFS('Ordres de travail'!$R$5:$R$3004,'Ordres de travail'!$I$5:$I$3004,$A404,'Ordres de travail'!$AC$5:$AC$3004,"Clôturé"))))</f>
        <v/>
      </c>
      <c r="P404" s="78">
        <f>IF(OR($A404="",N(O404)=0),"",O404+H404)</f>
        <v/>
      </c>
      <c r="Q404" s="79">
        <f>IF(P404="","",P404-TODAY())</f>
        <v/>
      </c>
      <c r="R404" s="9">
        <f>IF($A404="","",IF(M404="Non","INACTIF",IF(Q404="","À DÉFINIR",IF(Q404&lt;0,"EN RETARD",IF(Q404&lt;='Paramètres'!$AA$12,"À PLANIFIER","OK")))))</f>
        <v/>
      </c>
      <c r="S404" s="9">
        <f>IF($A404="","",IF(SUM(COUNTIFS('Ordres de travail'!$I$5:$I$3004,$A404,'Ordres de travail'!$AC$5:$AC$3004,{"Demandé","Planifié","En cours","En attente pièces"}))&gt;0,"Oui","Non"))</f>
        <v/>
      </c>
      <c r="T404" s="68">
        <f>IF($A404="","",COUNTIFS('Ordres de travail'!$I$5:$I$3004,$A404,'Ordres de travail'!$AC$5:$AC$3004,"Clôturé",'Ordres de travail'!$R$5:$R$3004,"&gt;="&amp;'Paramètres'!$AA$6,'Ordres de travail'!$R$5:$R$3004,"&lt;"&amp;('Paramètres'!$AA$7+1)))</f>
        <v/>
      </c>
      <c r="U404" s="69">
        <f>IF(OR($A404="",N(H404)=0),"",IF(M404="Non",0,365/H404*I404))</f>
        <v/>
      </c>
    </row>
  </sheetData>
  <autoFilter ref="A4:U404"/>
  <conditionalFormatting sqref="R5:R404">
    <cfRule type="expression" priority="1" dxfId="0">
      <formula>R5="EN RETARD"</formula>
    </cfRule>
    <cfRule type="expression" priority="2" dxfId="4">
      <formula>R5="À PLANIFIER"</formula>
    </cfRule>
    <cfRule type="expression" priority="3" dxfId="5">
      <formula>R5="OK"</formula>
    </cfRule>
    <cfRule type="expression" priority="4" dxfId="7">
      <formula>R5="INACTIF"</formula>
    </cfRule>
  </conditionalFormatting>
  <dataValidations count="6">
    <dataValidation sqref="B5:B404" showDropDown="0" showInputMessage="0" showErrorMessage="0" allowBlank="1" type="list">
      <formula1>='Équipements'!$A$5:$A$304</formula1>
    </dataValidation>
    <dataValidation sqref="F5:F404" showDropDown="0" showInputMessage="0" showErrorMessage="0" allowBlank="1" type="list">
      <formula1>='Paramètres'!$D$6:$D$7</formula1>
    </dataValidation>
    <dataValidation sqref="G5:G404" showDropDown="0" showInputMessage="0" showErrorMessage="0" allowBlank="1" type="list">
      <formula1>='Paramètres'!$F$5:$F$14</formula1>
    </dataValidation>
    <dataValidation sqref="J5:J404" showDropDown="0" showInputMessage="0" showErrorMessage="0" allowBlank="1" type="list">
      <formula1>='Techniciens'!$B$5:$B$44</formula1>
    </dataValidation>
    <dataValidation sqref="K5:K404" showDropDown="0" showInputMessage="0" showErrorMessage="0" allowBlank="1" type="list">
      <formula1>='Fournisseurs'!$B$5:$B$84</formula1>
    </dataValidation>
    <dataValidation sqref="M5:M404" showDropDown="0" showInputMessage="0" showErrorMessage="0" allowBlank="1" type="list">
      <formula1>='Paramètres'!$X$5:$X$6</formula1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O154"/>
  <sheetViews>
    <sheetView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3" customWidth="1" min="2" max="2"/>
    <col width="30" customWidth="1" min="3" max="3"/>
    <col width="46" customWidth="1" min="4" max="4"/>
    <col width="34" customWidth="1" min="5" max="5"/>
    <col width="28" customWidth="1" min="6" max="6"/>
    <col width="10" customWidth="1" min="7" max="7"/>
    <col width="11" customWidth="1" min="8" max="8"/>
    <col width="12" customWidth="1" min="9" max="9"/>
    <col width="12" customWidth="1" min="10" max="10"/>
    <col width="9" customWidth="1" min="11" max="11"/>
    <col width="13" customWidth="1" min="12" max="12"/>
    <col width="11" customWidth="1" min="13" max="13"/>
    <col width="11" customWidth="1" min="14" max="14"/>
    <col width="11" customWidth="1" min="15" max="15"/>
  </cols>
  <sheetData>
    <row r="1">
      <c r="A1" s="62" t="inlineStr">
        <is>
          <t>Contrôles réglementaires</t>
        </is>
      </c>
    </row>
    <row r="2">
      <c r="A2" s="3" t="inlineStr">
        <is>
          <t>Échéancier des vérifications périodiques obligatoires. Dernier contrôle = OT réglementaire clôturé portant l'ID du contrôle. Références à titre indicatif : à valider avec votre organisme / assureur.</t>
        </is>
      </c>
    </row>
    <row r="3">
      <c r="A3" s="63" t="inlineStr">
        <is>
          <t>Saisie : texte bleu   |   Calcul automatique : fond gris (ne pas modifier)   |   Les listes déroulantes proviennent de l'onglet Paramètres.</t>
        </is>
      </c>
    </row>
    <row r="4" ht="42" customHeight="1">
      <c r="A4" s="48" t="inlineStr">
        <is>
          <t>ID contrôle</t>
        </is>
      </c>
      <c r="B4" s="48" t="inlineStr">
        <is>
          <t>Équipement / SITE</t>
        </is>
      </c>
      <c r="C4" s="64" t="inlineStr">
        <is>
          <t>Désignation</t>
        </is>
      </c>
      <c r="D4" s="48" t="inlineStr">
        <is>
          <t>Type de contrôle</t>
        </is>
      </c>
      <c r="E4" s="48" t="inlineStr">
        <is>
          <t>Référence réglementaire (indicative)</t>
        </is>
      </c>
      <c r="F4" s="48" t="inlineStr">
        <is>
          <t>Organisme / prestataire</t>
        </is>
      </c>
      <c r="G4" s="48" t="inlineStr">
        <is>
          <t>Périodicité (mois)</t>
        </is>
      </c>
      <c r="H4" s="48" t="inlineStr">
        <is>
          <t>Date de référence</t>
        </is>
      </c>
      <c r="I4" s="64" t="inlineStr">
        <is>
          <t>Dernier contrôle</t>
        </is>
      </c>
      <c r="J4" s="64" t="inlineStr">
        <is>
          <t>Prochain contrôle</t>
        </is>
      </c>
      <c r="K4" s="64" t="inlineStr">
        <is>
          <t>Jours restants</t>
        </is>
      </c>
      <c r="L4" s="64" t="inlineStr">
        <is>
          <t>Statut</t>
        </is>
      </c>
      <c r="M4" s="48" t="inlineStr">
        <is>
          <t>Nb observations dernier rapport</t>
        </is>
      </c>
      <c r="N4" s="48" t="inlineStr">
        <is>
          <t>Observations levées</t>
        </is>
      </c>
      <c r="O4" s="64" t="inlineStr">
        <is>
          <t>Coût période (€)</t>
        </is>
      </c>
    </row>
    <row r="5">
      <c r="A5" s="7" t="inlineStr">
        <is>
          <t>CR-001</t>
        </is>
      </c>
      <c r="B5" s="7" t="inlineStr">
        <is>
          <t>EQ-LOG-006</t>
        </is>
      </c>
      <c r="C5" s="9">
        <f>IF(B5="","",IF(B5="SITE","Ensemble du site",IFERROR(INDEX('Équipements'!$B$5:$B$304,MATCH(B5,'Équipements'!$A$5:$A$304,0)),"Code inconnu")))</f>
        <v/>
      </c>
      <c r="D5" s="7" t="inlineStr">
        <is>
          <t>Vérification générale périodique (VGP) appareil de levage</t>
        </is>
      </c>
      <c r="E5" s="7" t="inlineStr">
        <is>
          <t>Arrêté du 01/03/2004</t>
        </is>
      </c>
      <c r="F5" s="7" t="inlineStr">
        <is>
          <t>CONTROLIS (organisme fictif)</t>
        </is>
      </c>
      <c r="G5" s="67" t="n">
        <v>12</v>
      </c>
      <c r="H5" s="65" t="n">
        <v>45446</v>
      </c>
      <c r="I5" s="78">
        <f>IF($A5="","",MAX(N(H5),INT(_xlfn.MAXIFS('Ordres de travail'!$R$5:$R$3004,'Ordres de travail'!$I$5:$I$3004,$A5,'Ordres de travail'!$AC$5:$AC$3004,"Clôturé"))))</f>
        <v/>
      </c>
      <c r="J5" s="78">
        <f>IF(OR($A5="",N(I5)=0),"",EDATE(I5,G5))</f>
        <v/>
      </c>
      <c r="K5" s="79">
        <f>IF(J5="","",J5-TODAY())</f>
        <v/>
      </c>
      <c r="L5" s="9">
        <f>IF($A5="","",IF(K5="","À DÉFINIR",IF(K5&lt;0,"EN RETARD",IF(K5&lt;='Paramètres'!$AA$13,"À PLANIFIER","CONFORME"))))</f>
        <v/>
      </c>
      <c r="M5" s="67" t="n">
        <v>2</v>
      </c>
      <c r="N5" s="7" t="inlineStr">
        <is>
          <t>Oui</t>
        </is>
      </c>
      <c r="O5" s="70">
        <f>IF($A5="","",SUMIFS('Ordres de travail'!$AA$5:$AA$3004,'Ordres de travail'!$I$5:$I$3004,$A5,'Ordres de travail'!$B$5:$B$3004,"&gt;="&amp;'Paramètres'!$AA$6,'Ordres de travail'!$B$5:$B$3004,"&lt;"&amp;('Paramètres'!$AA$7+1)))</f>
        <v/>
      </c>
    </row>
    <row r="6">
      <c r="A6" s="7" t="inlineStr">
        <is>
          <t>CR-002</t>
        </is>
      </c>
      <c r="B6" s="7" t="inlineStr">
        <is>
          <t>EQ-LOG-007</t>
        </is>
      </c>
      <c r="C6" s="9">
        <f>IF(B6="","",IF(B6="SITE","Ensemble du site",IFERROR(INDEX('Équipements'!$B$5:$B$304,MATCH(B6,'Équipements'!$A$5:$A$304,0)),"Code inconnu")))</f>
        <v/>
      </c>
      <c r="D6" s="7" t="inlineStr">
        <is>
          <t>Vérification générale périodique (VGP) appareil de levage</t>
        </is>
      </c>
      <c r="E6" s="7" t="inlineStr">
        <is>
          <t>Arrêté du 01/03/2004</t>
        </is>
      </c>
      <c r="F6" s="7" t="inlineStr">
        <is>
          <t>CONTROLIS (organisme fictif)</t>
        </is>
      </c>
      <c r="G6" s="67" t="n">
        <v>12</v>
      </c>
      <c r="H6" s="65" t="n">
        <v>45538</v>
      </c>
      <c r="I6" s="78">
        <f>IF($A6="","",MAX(N(H6),INT(_xlfn.MAXIFS('Ordres de travail'!$R$5:$R$3004,'Ordres de travail'!$I$5:$I$3004,$A6,'Ordres de travail'!$AC$5:$AC$3004,"Clôturé"))))</f>
        <v/>
      </c>
      <c r="J6" s="78">
        <f>IF(OR($A6="",N(I6)=0),"",EDATE(I6,G6))</f>
        <v/>
      </c>
      <c r="K6" s="79">
        <f>IF(J6="","",J6-TODAY())</f>
        <v/>
      </c>
      <c r="L6" s="9">
        <f>IF($A6="","",IF(K6="","À DÉFINIR",IF(K6&lt;0,"EN RETARD",IF(K6&lt;='Paramètres'!$AA$13,"À PLANIFIER","CONFORME"))))</f>
        <v/>
      </c>
      <c r="M6" s="67" t="n">
        <v>2</v>
      </c>
      <c r="N6" s="7" t="inlineStr">
        <is>
          <t>Oui</t>
        </is>
      </c>
      <c r="O6" s="70">
        <f>IF($A6="","",SUMIFS('Ordres de travail'!$AA$5:$AA$3004,'Ordres de travail'!$I$5:$I$3004,$A6,'Ordres de travail'!$B$5:$B$3004,"&gt;="&amp;'Paramètres'!$AA$6,'Ordres de travail'!$B$5:$B$3004,"&lt;"&amp;('Paramètres'!$AA$7+1)))</f>
        <v/>
      </c>
    </row>
    <row r="7">
      <c r="A7" s="7" t="inlineStr">
        <is>
          <t>CR-003</t>
        </is>
      </c>
      <c r="B7" s="7" t="inlineStr">
        <is>
          <t>EQ-LOG-008</t>
        </is>
      </c>
      <c r="C7" s="9">
        <f>IF(B7="","",IF(B7="SITE","Ensemble du site",IFERROR(INDEX('Équipements'!$B$5:$B$304,MATCH(B7,'Équipements'!$A$5:$A$304,0)),"Code inconnu")))</f>
        <v/>
      </c>
      <c r="D7" s="7" t="inlineStr">
        <is>
          <t>Vérification générale périodique (VGP) appareil de levage</t>
        </is>
      </c>
      <c r="E7" s="7" t="inlineStr">
        <is>
          <t>Arrêté du 01/03/2004</t>
        </is>
      </c>
      <c r="F7" s="7" t="inlineStr">
        <is>
          <t>CONTROLIS (organisme fictif)</t>
        </is>
      </c>
      <c r="G7" s="67" t="n">
        <v>12</v>
      </c>
      <c r="H7" s="65" t="n">
        <v>45574</v>
      </c>
      <c r="I7" s="78">
        <f>IF($A7="","",MAX(N(H7),INT(_xlfn.MAXIFS('Ordres de travail'!$R$5:$R$3004,'Ordres de travail'!$I$5:$I$3004,$A7,'Ordres de travail'!$AC$5:$AC$3004,"Clôturé"))))</f>
        <v/>
      </c>
      <c r="J7" s="78">
        <f>IF(OR($A7="",N(I7)=0),"",EDATE(I7,G7))</f>
        <v/>
      </c>
      <c r="K7" s="79">
        <f>IF(J7="","",J7-TODAY())</f>
        <v/>
      </c>
      <c r="L7" s="9">
        <f>IF($A7="","",IF(K7="","À DÉFINIR",IF(K7&lt;0,"EN RETARD",IF(K7&lt;='Paramètres'!$AA$13,"À PLANIFIER","CONFORME"))))</f>
        <v/>
      </c>
      <c r="M7" s="67" t="n">
        <v>3</v>
      </c>
      <c r="N7" s="7" t="inlineStr">
        <is>
          <t>Non</t>
        </is>
      </c>
      <c r="O7" s="70">
        <f>IF($A7="","",SUMIFS('Ordres de travail'!$AA$5:$AA$3004,'Ordres de travail'!$I$5:$I$3004,$A7,'Ordres de travail'!$B$5:$B$3004,"&gt;="&amp;'Paramètres'!$AA$6,'Ordres de travail'!$B$5:$B$3004,"&lt;"&amp;('Paramètres'!$AA$7+1)))</f>
        <v/>
      </c>
    </row>
    <row r="8">
      <c r="A8" s="7" t="inlineStr">
        <is>
          <t>CR-004</t>
        </is>
      </c>
      <c r="B8" s="7" t="inlineStr">
        <is>
          <t>EQ-LOG-001</t>
        </is>
      </c>
      <c r="C8" s="9">
        <f>IF(B8="","",IF(B8="SITE","Ensemble du site",IFERROR(INDEX('Équipements'!$B$5:$B$304,MATCH(B8,'Équipements'!$A$5:$A$304,0)),"Code inconnu")))</f>
        <v/>
      </c>
      <c r="D8" s="7" t="inlineStr">
        <is>
          <t>VGP chariot automoteur</t>
        </is>
      </c>
      <c r="E8" s="7" t="inlineStr">
        <is>
          <t>Arrêté du 01/03/2004</t>
        </is>
      </c>
      <c r="F8" s="7" t="inlineStr">
        <is>
          <t>CONTROLIS (organisme fictif)</t>
        </is>
      </c>
      <c r="G8" s="67" t="n">
        <v>6</v>
      </c>
      <c r="H8" s="65" t="n">
        <v>45621</v>
      </c>
      <c r="I8" s="78">
        <f>IF($A8="","",MAX(N(H8),INT(_xlfn.MAXIFS('Ordres de travail'!$R$5:$R$3004,'Ordres de travail'!$I$5:$I$3004,$A8,'Ordres de travail'!$AC$5:$AC$3004,"Clôturé"))))</f>
        <v/>
      </c>
      <c r="J8" s="78">
        <f>IF(OR($A8="",N(I8)=0),"",EDATE(I8,G8))</f>
        <v/>
      </c>
      <c r="K8" s="79">
        <f>IF(J8="","",J8-TODAY())</f>
        <v/>
      </c>
      <c r="L8" s="9">
        <f>IF($A8="","",IF(K8="","À DÉFINIR",IF(K8&lt;0,"EN RETARD",IF(K8&lt;='Paramètres'!$AA$13,"À PLANIFIER","CONFORME"))))</f>
        <v/>
      </c>
      <c r="M8" s="67" t="n">
        <v>2</v>
      </c>
      <c r="N8" s="7" t="inlineStr">
        <is>
          <t>Non</t>
        </is>
      </c>
      <c r="O8" s="70">
        <f>IF($A8="","",SUMIFS('Ordres de travail'!$AA$5:$AA$3004,'Ordres de travail'!$I$5:$I$3004,$A8,'Ordres de travail'!$B$5:$B$3004,"&gt;="&amp;'Paramètres'!$AA$6,'Ordres de travail'!$B$5:$B$3004,"&lt;"&amp;('Paramètres'!$AA$7+1)))</f>
        <v/>
      </c>
    </row>
    <row r="9">
      <c r="A9" s="7" t="inlineStr">
        <is>
          <t>CR-005</t>
        </is>
      </c>
      <c r="B9" s="7" t="inlineStr">
        <is>
          <t>EQ-LOG-002</t>
        </is>
      </c>
      <c r="C9" s="9">
        <f>IF(B9="","",IF(B9="SITE","Ensemble du site",IFERROR(INDEX('Équipements'!$B$5:$B$304,MATCH(B9,'Équipements'!$A$5:$A$304,0)),"Code inconnu")))</f>
        <v/>
      </c>
      <c r="D9" s="7" t="inlineStr">
        <is>
          <t>VGP chariot automoteur</t>
        </is>
      </c>
      <c r="E9" s="7" t="inlineStr">
        <is>
          <t>Arrêté du 01/03/2004</t>
        </is>
      </c>
      <c r="F9" s="7" t="inlineStr">
        <is>
          <t>CONTROLIS (organisme fictif)</t>
        </is>
      </c>
      <c r="G9" s="67" t="n">
        <v>6</v>
      </c>
      <c r="H9" s="65" t="n">
        <v>45478</v>
      </c>
      <c r="I9" s="78">
        <f>IF($A9="","",MAX(N(H9),INT(_xlfn.MAXIFS('Ordres de travail'!$R$5:$R$3004,'Ordres de travail'!$I$5:$I$3004,$A9,'Ordres de travail'!$AC$5:$AC$3004,"Clôturé"))))</f>
        <v/>
      </c>
      <c r="J9" s="78">
        <f>IF(OR($A9="",N(I9)=0),"",EDATE(I9,G9))</f>
        <v/>
      </c>
      <c r="K9" s="79">
        <f>IF(J9="","",J9-TODAY())</f>
        <v/>
      </c>
      <c r="L9" s="9">
        <f>IF($A9="","",IF(K9="","À DÉFINIR",IF(K9&lt;0,"EN RETARD",IF(K9&lt;='Paramètres'!$AA$13,"À PLANIFIER","CONFORME"))))</f>
        <v/>
      </c>
      <c r="M9" s="67" t="n">
        <v>1</v>
      </c>
      <c r="N9" s="7" t="inlineStr">
        <is>
          <t>Non</t>
        </is>
      </c>
      <c r="O9" s="70">
        <f>IF($A9="","",SUMIFS('Ordres de travail'!$AA$5:$AA$3004,'Ordres de travail'!$I$5:$I$3004,$A9,'Ordres de travail'!$B$5:$B$3004,"&gt;="&amp;'Paramètres'!$AA$6,'Ordres de travail'!$B$5:$B$3004,"&lt;"&amp;('Paramètres'!$AA$7+1)))</f>
        <v/>
      </c>
    </row>
    <row r="10">
      <c r="A10" s="7" t="inlineStr">
        <is>
          <t>CR-006</t>
        </is>
      </c>
      <c r="B10" s="7" t="inlineStr">
        <is>
          <t>EQ-LOG-003</t>
        </is>
      </c>
      <c r="C10" s="9">
        <f>IF(B10="","",IF(B10="SITE","Ensemble du site",IFERROR(INDEX('Équipements'!$B$5:$B$304,MATCH(B10,'Équipements'!$A$5:$A$304,0)),"Code inconnu")))</f>
        <v/>
      </c>
      <c r="D10" s="7" t="inlineStr">
        <is>
          <t>VGP chariot automoteur</t>
        </is>
      </c>
      <c r="E10" s="7" t="inlineStr">
        <is>
          <t>Arrêté du 01/03/2004</t>
        </is>
      </c>
      <c r="F10" s="7" t="inlineStr">
        <is>
          <t>CONTROLIS (organisme fictif)</t>
        </is>
      </c>
      <c r="G10" s="67" t="n">
        <v>6</v>
      </c>
      <c r="H10" s="65" t="n">
        <v>45651</v>
      </c>
      <c r="I10" s="78">
        <f>IF($A10="","",MAX(N(H10),INT(_xlfn.MAXIFS('Ordres de travail'!$R$5:$R$3004,'Ordres de travail'!$I$5:$I$3004,$A10,'Ordres de travail'!$AC$5:$AC$3004,"Clôturé"))))</f>
        <v/>
      </c>
      <c r="J10" s="78">
        <f>IF(OR($A10="",N(I10)=0),"",EDATE(I10,G10))</f>
        <v/>
      </c>
      <c r="K10" s="79">
        <f>IF(J10="","",J10-TODAY())</f>
        <v/>
      </c>
      <c r="L10" s="9">
        <f>IF($A10="","",IF(K10="","À DÉFINIR",IF(K10&lt;0,"EN RETARD",IF(K10&lt;='Paramètres'!$AA$13,"À PLANIFIER","CONFORME"))))</f>
        <v/>
      </c>
      <c r="M10" s="67" t="n">
        <v>0</v>
      </c>
      <c r="N10" s="7" t="inlineStr">
        <is>
          <t>Oui</t>
        </is>
      </c>
      <c r="O10" s="70">
        <f>IF($A10="","",SUMIFS('Ordres de travail'!$AA$5:$AA$3004,'Ordres de travail'!$I$5:$I$3004,$A10,'Ordres de travail'!$B$5:$B$3004,"&gt;="&amp;'Paramètres'!$AA$6,'Ordres de travail'!$B$5:$B$3004,"&lt;"&amp;('Paramètres'!$AA$7+1)))</f>
        <v/>
      </c>
    </row>
    <row r="11">
      <c r="A11" s="7" t="inlineStr">
        <is>
          <t>CR-007</t>
        </is>
      </c>
      <c r="B11" s="7" t="inlineStr">
        <is>
          <t>EQ-LOG-004</t>
        </is>
      </c>
      <c r="C11" s="9">
        <f>IF(B11="","",IF(B11="SITE","Ensemble du site",IFERROR(INDEX('Équipements'!$B$5:$B$304,MATCH(B11,'Équipements'!$A$5:$A$304,0)),"Code inconnu")))</f>
        <v/>
      </c>
      <c r="D11" s="7" t="inlineStr">
        <is>
          <t>VGP transpalette à conducteur porté/accompagnant</t>
        </is>
      </c>
      <c r="E11" s="7" t="inlineStr">
        <is>
          <t>Arrêté du 01/03/2004</t>
        </is>
      </c>
      <c r="F11" s="7" t="inlineStr">
        <is>
          <t>CONTROLIS (organisme fictif)</t>
        </is>
      </c>
      <c r="G11" s="67" t="n">
        <v>6</v>
      </c>
      <c r="H11" s="65" t="n">
        <v>45544</v>
      </c>
      <c r="I11" s="78">
        <f>IF($A11="","",MAX(N(H11),INT(_xlfn.MAXIFS('Ordres de travail'!$R$5:$R$3004,'Ordres de travail'!$I$5:$I$3004,$A11,'Ordres de travail'!$AC$5:$AC$3004,"Clôturé"))))</f>
        <v/>
      </c>
      <c r="J11" s="78">
        <f>IF(OR($A11="",N(I11)=0),"",EDATE(I11,G11))</f>
        <v/>
      </c>
      <c r="K11" s="79">
        <f>IF(J11="","",J11-TODAY())</f>
        <v/>
      </c>
      <c r="L11" s="9">
        <f>IF($A11="","",IF(K11="","À DÉFINIR",IF(K11&lt;0,"EN RETARD",IF(K11&lt;='Paramètres'!$AA$13,"À PLANIFIER","CONFORME"))))</f>
        <v/>
      </c>
      <c r="M11" s="67" t="n">
        <v>0</v>
      </c>
      <c r="N11" s="7" t="inlineStr">
        <is>
          <t>Oui</t>
        </is>
      </c>
      <c r="O11" s="70">
        <f>IF($A11="","",SUMIFS('Ordres de travail'!$AA$5:$AA$3004,'Ordres de travail'!$I$5:$I$3004,$A11,'Ordres de travail'!$B$5:$B$3004,"&gt;="&amp;'Paramètres'!$AA$6,'Ordres de travail'!$B$5:$B$3004,"&lt;"&amp;('Paramètres'!$AA$7+1)))</f>
        <v/>
      </c>
    </row>
    <row r="12">
      <c r="A12" s="7" t="inlineStr">
        <is>
          <t>CR-008</t>
        </is>
      </c>
      <c r="B12" s="7" t="inlineStr">
        <is>
          <t>EQ-LOG-005</t>
        </is>
      </c>
      <c r="C12" s="9">
        <f>IF(B12="","",IF(B12="SITE","Ensemble du site",IFERROR(INDEX('Équipements'!$B$5:$B$304,MATCH(B12,'Équipements'!$A$5:$A$304,0)),"Code inconnu")))</f>
        <v/>
      </c>
      <c r="D12" s="7" t="inlineStr">
        <is>
          <t>VGP plateforme élévatrice mobile de personnes</t>
        </is>
      </c>
      <c r="E12" s="7" t="inlineStr">
        <is>
          <t>Arrêté du 01/03/2004</t>
        </is>
      </c>
      <c r="F12" s="7" t="inlineStr">
        <is>
          <t>CONTROLIS (organisme fictif)</t>
        </is>
      </c>
      <c r="G12" s="67" t="n">
        <v>6</v>
      </c>
      <c r="H12" s="65" t="n">
        <v>45537</v>
      </c>
      <c r="I12" s="78">
        <f>IF($A12="","",MAX(N(H12),INT(_xlfn.MAXIFS('Ordres de travail'!$R$5:$R$3004,'Ordres de travail'!$I$5:$I$3004,$A12,'Ordres de travail'!$AC$5:$AC$3004,"Clôturé"))))</f>
        <v/>
      </c>
      <c r="J12" s="78">
        <f>IF(OR($A12="",N(I12)=0),"",EDATE(I12,G12))</f>
        <v/>
      </c>
      <c r="K12" s="79">
        <f>IF(J12="","",J12-TODAY())</f>
        <v/>
      </c>
      <c r="L12" s="9">
        <f>IF($A12="","",IF(K12="","À DÉFINIR",IF(K12&lt;0,"EN RETARD",IF(K12&lt;='Paramètres'!$AA$13,"À PLANIFIER","CONFORME"))))</f>
        <v/>
      </c>
      <c r="M12" s="67" t="n">
        <v>0</v>
      </c>
      <c r="N12" s="7" t="inlineStr">
        <is>
          <t>Non</t>
        </is>
      </c>
      <c r="O12" s="70">
        <f>IF($A12="","",SUMIFS('Ordres de travail'!$AA$5:$AA$3004,'Ordres de travail'!$I$5:$I$3004,$A12,'Ordres de travail'!$B$5:$B$3004,"&gt;="&amp;'Paramètres'!$AA$6,'Ordres de travail'!$B$5:$B$3004,"&lt;"&amp;('Paramètres'!$AA$7+1)))</f>
        <v/>
      </c>
    </row>
    <row r="13">
      <c r="A13" s="7" t="inlineStr">
        <is>
          <t>CR-009</t>
        </is>
      </c>
      <c r="B13" s="7" t="inlineStr">
        <is>
          <t>SITE</t>
        </is>
      </c>
      <c r="C13" s="9">
        <f>IF(B13="","",IF(B13="SITE","Ensemble du site",IFERROR(INDEX('Équipements'!$B$5:$B$304,MATCH(B13,'Équipements'!$A$5:$A$304,0)),"Code inconnu")))</f>
        <v/>
      </c>
      <c r="D13" s="7" t="inlineStr">
        <is>
          <t>Vérification des accessoires de levage (élingues, manilles)</t>
        </is>
      </c>
      <c r="E13" s="7" t="inlineStr">
        <is>
          <t>Arrêté du 01/03/2004</t>
        </is>
      </c>
      <c r="F13" s="7" t="inlineStr">
        <is>
          <t>CONTROLIS (organisme fictif)</t>
        </is>
      </c>
      <c r="G13" s="67" t="n">
        <v>12</v>
      </c>
      <c r="H13" s="65" t="n">
        <v>45449</v>
      </c>
      <c r="I13" s="78">
        <f>IF($A13="","",MAX(N(H13),INT(_xlfn.MAXIFS('Ordres de travail'!$R$5:$R$3004,'Ordres de travail'!$I$5:$I$3004,$A13,'Ordres de travail'!$AC$5:$AC$3004,"Clôturé"))))</f>
        <v/>
      </c>
      <c r="J13" s="78">
        <f>IF(OR($A13="",N(I13)=0),"",EDATE(I13,G13))</f>
        <v/>
      </c>
      <c r="K13" s="79">
        <f>IF(J13="","",J13-TODAY())</f>
        <v/>
      </c>
      <c r="L13" s="9">
        <f>IF($A13="","",IF(K13="","À DÉFINIR",IF(K13&lt;0,"EN RETARD",IF(K13&lt;='Paramètres'!$AA$13,"À PLANIFIER","CONFORME"))))</f>
        <v/>
      </c>
      <c r="M13" s="67" t="n">
        <v>0</v>
      </c>
      <c r="N13" s="7" t="inlineStr">
        <is>
          <t>Partiel</t>
        </is>
      </c>
      <c r="O13" s="70">
        <f>IF($A13="","",SUMIFS('Ordres de travail'!$AA$5:$AA$3004,'Ordres de travail'!$I$5:$I$3004,$A13,'Ordres de travail'!$B$5:$B$3004,"&gt;="&amp;'Paramètres'!$AA$6,'Ordres de travail'!$B$5:$B$3004,"&lt;"&amp;('Paramètres'!$AA$7+1)))</f>
        <v/>
      </c>
    </row>
    <row r="14">
      <c r="A14" s="7" t="inlineStr">
        <is>
          <t>CR-010</t>
        </is>
      </c>
      <c r="B14" s="7" t="inlineStr">
        <is>
          <t>EQ-TOL-002</t>
        </is>
      </c>
      <c r="C14" s="9">
        <f>IF(B14="","",IF(B14="SITE","Ensemble du site",IFERROR(INDEX('Équipements'!$B$5:$B$304,MATCH(B14,'Équipements'!$A$5:$A$304,0)),"Code inconnu")))</f>
        <v/>
      </c>
      <c r="D14" s="7" t="inlineStr">
        <is>
          <t>Vérification périodique presse plieuse</t>
        </is>
      </c>
      <c r="E14" s="7" t="inlineStr">
        <is>
          <t>Arrêté du 05/03/1993</t>
        </is>
      </c>
      <c r="F14" s="7" t="inlineStr">
        <is>
          <t>CONTROLIS (organisme fictif)</t>
        </is>
      </c>
      <c r="G14" s="67" t="n">
        <v>3</v>
      </c>
      <c r="H14" s="65" t="n">
        <v>45602</v>
      </c>
      <c r="I14" s="78">
        <f>IF($A14="","",MAX(N(H14),INT(_xlfn.MAXIFS('Ordres de travail'!$R$5:$R$3004,'Ordres de travail'!$I$5:$I$3004,$A14,'Ordres de travail'!$AC$5:$AC$3004,"Clôturé"))))</f>
        <v/>
      </c>
      <c r="J14" s="78">
        <f>IF(OR($A14="",N(I14)=0),"",EDATE(I14,G14))</f>
        <v/>
      </c>
      <c r="K14" s="79">
        <f>IF(J14="","",J14-TODAY())</f>
        <v/>
      </c>
      <c r="L14" s="9">
        <f>IF($A14="","",IF(K14="","À DÉFINIR",IF(K14&lt;0,"EN RETARD",IF(K14&lt;='Paramètres'!$AA$13,"À PLANIFIER","CONFORME"))))</f>
        <v/>
      </c>
      <c r="M14" s="67" t="n">
        <v>2</v>
      </c>
      <c r="N14" s="7" t="inlineStr">
        <is>
          <t>Partiel</t>
        </is>
      </c>
      <c r="O14" s="70">
        <f>IF($A14="","",SUMIFS('Ordres de travail'!$AA$5:$AA$3004,'Ordres de travail'!$I$5:$I$3004,$A14,'Ordres de travail'!$B$5:$B$3004,"&gt;="&amp;'Paramètres'!$AA$6,'Ordres de travail'!$B$5:$B$3004,"&lt;"&amp;('Paramètres'!$AA$7+1)))</f>
        <v/>
      </c>
    </row>
    <row r="15">
      <c r="A15" s="7" t="inlineStr">
        <is>
          <t>CR-011</t>
        </is>
      </c>
      <c r="B15" s="7" t="inlineStr">
        <is>
          <t>EQ-TOL-003</t>
        </is>
      </c>
      <c r="C15" s="9">
        <f>IF(B15="","",IF(B15="SITE","Ensemble du site",IFERROR(INDEX('Équipements'!$B$5:$B$304,MATCH(B15,'Équipements'!$A$5:$A$304,0)),"Code inconnu")))</f>
        <v/>
      </c>
      <c r="D15" s="7" t="inlineStr">
        <is>
          <t>Vérification périodique presse plieuse</t>
        </is>
      </c>
      <c r="E15" s="7" t="inlineStr">
        <is>
          <t>Arrêté du 05/03/1993</t>
        </is>
      </c>
      <c r="F15" s="7" t="inlineStr">
        <is>
          <t>CONTROLIS (organisme fictif)</t>
        </is>
      </c>
      <c r="G15" s="67" t="n">
        <v>3</v>
      </c>
      <c r="H15" s="65" t="n">
        <v>45642</v>
      </c>
      <c r="I15" s="78">
        <f>IF($A15="","",MAX(N(H15),INT(_xlfn.MAXIFS('Ordres de travail'!$R$5:$R$3004,'Ordres de travail'!$I$5:$I$3004,$A15,'Ordres de travail'!$AC$5:$AC$3004,"Clôturé"))))</f>
        <v/>
      </c>
      <c r="J15" s="78">
        <f>IF(OR($A15="",N(I15)=0),"",EDATE(I15,G15))</f>
        <v/>
      </c>
      <c r="K15" s="79">
        <f>IF(J15="","",J15-TODAY())</f>
        <v/>
      </c>
      <c r="L15" s="9">
        <f>IF($A15="","",IF(K15="","À DÉFINIR",IF(K15&lt;0,"EN RETARD",IF(K15&lt;='Paramètres'!$AA$13,"À PLANIFIER","CONFORME"))))</f>
        <v/>
      </c>
      <c r="M15" s="67" t="n">
        <v>0</v>
      </c>
      <c r="N15" s="7" t="inlineStr">
        <is>
          <t>Non</t>
        </is>
      </c>
      <c r="O15" s="70">
        <f>IF($A15="","",SUMIFS('Ordres de travail'!$AA$5:$AA$3004,'Ordres de travail'!$I$5:$I$3004,$A15,'Ordres de travail'!$B$5:$B$3004,"&gt;="&amp;'Paramètres'!$AA$6,'Ordres de travail'!$B$5:$B$3004,"&lt;"&amp;('Paramètres'!$AA$7+1)))</f>
        <v/>
      </c>
    </row>
    <row r="16">
      <c r="A16" s="7" t="inlineStr">
        <is>
          <t>CR-012</t>
        </is>
      </c>
      <c r="B16" s="7" t="inlineStr">
        <is>
          <t>EQ-ASS-002</t>
        </is>
      </c>
      <c r="C16" s="9">
        <f>IF(B16="","",IF(B16="SITE","Ensemble du site",IFERROR(INDEX('Équipements'!$B$5:$B$304,MATCH(B16,'Équipements'!$A$5:$A$304,0)),"Code inconnu")))</f>
        <v/>
      </c>
      <c r="D16" s="7" t="inlineStr">
        <is>
          <t>Vérification périodique presse hydraulique</t>
        </is>
      </c>
      <c r="E16" s="7" t="inlineStr">
        <is>
          <t>Arrêté du 05/03/1993</t>
        </is>
      </c>
      <c r="F16" s="7" t="inlineStr">
        <is>
          <t>CONTROLIS (organisme fictif)</t>
        </is>
      </c>
      <c r="G16" s="67" t="n">
        <v>3</v>
      </c>
      <c r="H16" s="65" t="n">
        <v>45608</v>
      </c>
      <c r="I16" s="78">
        <f>IF($A16="","",MAX(N(H16),INT(_xlfn.MAXIFS('Ordres de travail'!$R$5:$R$3004,'Ordres de travail'!$I$5:$I$3004,$A16,'Ordres de travail'!$AC$5:$AC$3004,"Clôturé"))))</f>
        <v/>
      </c>
      <c r="J16" s="78">
        <f>IF(OR($A16="",N(I16)=0),"",EDATE(I16,G16))</f>
        <v/>
      </c>
      <c r="K16" s="79">
        <f>IF(J16="","",J16-TODAY())</f>
        <v/>
      </c>
      <c r="L16" s="9">
        <f>IF($A16="","",IF(K16="","À DÉFINIR",IF(K16&lt;0,"EN RETARD",IF(K16&lt;='Paramètres'!$AA$13,"À PLANIFIER","CONFORME"))))</f>
        <v/>
      </c>
      <c r="M16" s="67" t="n">
        <v>0</v>
      </c>
      <c r="N16" s="7" t="inlineStr">
        <is>
          <t>Non</t>
        </is>
      </c>
      <c r="O16" s="70">
        <f>IF($A16="","",SUMIFS('Ordres de travail'!$AA$5:$AA$3004,'Ordres de travail'!$I$5:$I$3004,$A16,'Ordres de travail'!$B$5:$B$3004,"&gt;="&amp;'Paramètres'!$AA$6,'Ordres de travail'!$B$5:$B$3004,"&lt;"&amp;('Paramètres'!$AA$7+1)))</f>
        <v/>
      </c>
    </row>
    <row r="17">
      <c r="A17" s="7" t="inlineStr">
        <is>
          <t>CR-013</t>
        </is>
      </c>
      <c r="B17" s="7" t="inlineStr">
        <is>
          <t>SITE</t>
        </is>
      </c>
      <c r="C17" s="9">
        <f>IF(B17="","",IF(B17="SITE","Ensemble du site",IFERROR(INDEX('Équipements'!$B$5:$B$304,MATCH(B17,'Équipements'!$A$5:$A$304,0)),"Code inconnu")))</f>
        <v/>
      </c>
      <c r="D17" s="7" t="inlineStr">
        <is>
          <t>Vérification périodique des installations électriques</t>
        </is>
      </c>
      <c r="E17" s="7" t="inlineStr">
        <is>
          <t>Code du travail R4226-16 / arrêté du 26/12/2011</t>
        </is>
      </c>
      <c r="F17" s="7" t="inlineStr">
        <is>
          <t>CONTROLIS (organisme fictif)</t>
        </is>
      </c>
      <c r="G17" s="67" t="n">
        <v>12</v>
      </c>
      <c r="H17" s="65" t="n">
        <v>45586</v>
      </c>
      <c r="I17" s="78">
        <f>IF($A17="","",MAX(N(H17),INT(_xlfn.MAXIFS('Ordres de travail'!$R$5:$R$3004,'Ordres de travail'!$I$5:$I$3004,$A17,'Ordres de travail'!$AC$5:$AC$3004,"Clôturé"))))</f>
        <v/>
      </c>
      <c r="J17" s="78">
        <f>IF(OR($A17="",N(I17)=0),"",EDATE(I17,G17))</f>
        <v/>
      </c>
      <c r="K17" s="79">
        <f>IF(J17="","",J17-TODAY())</f>
        <v/>
      </c>
      <c r="L17" s="9">
        <f>IF($A17="","",IF(K17="","À DÉFINIR",IF(K17&lt;0,"EN RETARD",IF(K17&lt;='Paramètres'!$AA$13,"À PLANIFIER","CONFORME"))))</f>
        <v/>
      </c>
      <c r="M17" s="67" t="n">
        <v>0</v>
      </c>
      <c r="N17" s="7" t="inlineStr">
        <is>
          <t>Oui</t>
        </is>
      </c>
      <c r="O17" s="70">
        <f>IF($A17="","",SUMIFS('Ordres de travail'!$AA$5:$AA$3004,'Ordres de travail'!$I$5:$I$3004,$A17,'Ordres de travail'!$B$5:$B$3004,"&gt;="&amp;'Paramètres'!$AA$6,'Ordres de travail'!$B$5:$B$3004,"&lt;"&amp;('Paramètres'!$AA$7+1)))</f>
        <v/>
      </c>
    </row>
    <row r="18">
      <c r="A18" s="7" t="inlineStr">
        <is>
          <t>CR-014</t>
        </is>
      </c>
      <c r="B18" s="7" t="inlineStr">
        <is>
          <t>SITE</t>
        </is>
      </c>
      <c r="C18" s="9">
        <f>IF(B18="","",IF(B18="SITE","Ensemble du site",IFERROR(INDEX('Équipements'!$B$5:$B$304,MATCH(B18,'Équipements'!$A$5:$A$304,0)),"Code inconnu")))</f>
        <v/>
      </c>
      <c r="D18" s="7" t="inlineStr">
        <is>
          <t>Thermographie infrarouge des armoires électriques</t>
        </is>
      </c>
      <c r="E18" s="7" t="inlineStr">
        <is>
          <t>Exigence assureur (APSAD D19)</t>
        </is>
      </c>
      <c r="F18" s="7" t="inlineStr">
        <is>
          <t>CONTROLIS (organisme fictif)</t>
        </is>
      </c>
      <c r="G18" s="67" t="n">
        <v>12</v>
      </c>
      <c r="H18" s="65" t="n">
        <v>45651</v>
      </c>
      <c r="I18" s="78">
        <f>IF($A18="","",MAX(N(H18),INT(_xlfn.MAXIFS('Ordres de travail'!$R$5:$R$3004,'Ordres de travail'!$I$5:$I$3004,$A18,'Ordres de travail'!$AC$5:$AC$3004,"Clôturé"))))</f>
        <v/>
      </c>
      <c r="J18" s="78">
        <f>IF(OR($A18="",N(I18)=0),"",EDATE(I18,G18))</f>
        <v/>
      </c>
      <c r="K18" s="79">
        <f>IF(J18="","",J18-TODAY())</f>
        <v/>
      </c>
      <c r="L18" s="9">
        <f>IF($A18="","",IF(K18="","À DÉFINIR",IF(K18&lt;0,"EN RETARD",IF(K18&lt;='Paramètres'!$AA$13,"À PLANIFIER","CONFORME"))))</f>
        <v/>
      </c>
      <c r="M18" s="67" t="n">
        <v>0</v>
      </c>
      <c r="N18" s="7" t="inlineStr">
        <is>
          <t>Non</t>
        </is>
      </c>
      <c r="O18" s="70">
        <f>IF($A18="","",SUMIFS('Ordres de travail'!$AA$5:$AA$3004,'Ordres de travail'!$I$5:$I$3004,$A18,'Ordres de travail'!$B$5:$B$3004,"&gt;="&amp;'Paramètres'!$AA$6,'Ordres de travail'!$B$5:$B$3004,"&lt;"&amp;('Paramètres'!$AA$7+1)))</f>
        <v/>
      </c>
    </row>
    <row r="19">
      <c r="A19" s="7" t="inlineStr">
        <is>
          <t>CR-015</t>
        </is>
      </c>
      <c r="B19" s="7" t="inlineStr">
        <is>
          <t>EQ-UTI-004</t>
        </is>
      </c>
      <c r="C19" s="9">
        <f>IF(B19="","",IF(B19="SITE","Ensemble du site",IFERROR(INDEX('Équipements'!$B$5:$B$304,MATCH(B19,'Équipements'!$A$5:$A$304,0)),"Code inconnu")))</f>
        <v/>
      </c>
      <c r="D19" s="7" t="inlineStr">
        <is>
          <t>Inspection périodique équipement sous pression</t>
        </is>
      </c>
      <c r="E19" s="7" t="inlineStr">
        <is>
          <t>Arrêté du 20/11/2017</t>
        </is>
      </c>
      <c r="F19" s="7" t="inlineStr">
        <is>
          <t>CONTROLIS (organisme fictif)</t>
        </is>
      </c>
      <c r="G19" s="67" t="n">
        <v>48</v>
      </c>
      <c r="H19" s="65" t="n">
        <v>44665</v>
      </c>
      <c r="I19" s="78">
        <f>IF($A19="","",MAX(N(H19),INT(_xlfn.MAXIFS('Ordres de travail'!$R$5:$R$3004,'Ordres de travail'!$I$5:$I$3004,$A19,'Ordres de travail'!$AC$5:$AC$3004,"Clôturé"))))</f>
        <v/>
      </c>
      <c r="J19" s="78">
        <f>IF(OR($A19="",N(I19)=0),"",EDATE(I19,G19))</f>
        <v/>
      </c>
      <c r="K19" s="79">
        <f>IF(J19="","",J19-TODAY())</f>
        <v/>
      </c>
      <c r="L19" s="9">
        <f>IF($A19="","",IF(K19="","À DÉFINIR",IF(K19&lt;0,"EN RETARD",IF(K19&lt;='Paramètres'!$AA$13,"À PLANIFIER","CONFORME"))))</f>
        <v/>
      </c>
      <c r="M19" s="67" t="n">
        <v>2</v>
      </c>
      <c r="N19" s="7" t="inlineStr">
        <is>
          <t>Oui</t>
        </is>
      </c>
      <c r="O19" s="70">
        <f>IF($A19="","",SUMIFS('Ordres de travail'!$AA$5:$AA$3004,'Ordres de travail'!$I$5:$I$3004,$A19,'Ordres de travail'!$B$5:$B$3004,"&gt;="&amp;'Paramètres'!$AA$6,'Ordres de travail'!$B$5:$B$3004,"&lt;"&amp;('Paramètres'!$AA$7+1)))</f>
        <v/>
      </c>
    </row>
    <row r="20">
      <c r="A20" s="7" t="inlineStr">
        <is>
          <t>CR-016</t>
        </is>
      </c>
      <c r="B20" s="7" t="inlineStr">
        <is>
          <t>EQ-UTI-004</t>
        </is>
      </c>
      <c r="C20" s="9">
        <f>IF(B20="","",IF(B20="SITE","Ensemble du site",IFERROR(INDEX('Équipements'!$B$5:$B$304,MATCH(B20,'Équipements'!$A$5:$A$304,0)),"Code inconnu")))</f>
        <v/>
      </c>
      <c r="D20" s="7" t="inlineStr">
        <is>
          <t>Requalification périodique équipement sous pression</t>
        </is>
      </c>
      <c r="E20" s="7" t="inlineStr">
        <is>
          <t>Arrêté du 20/11/2017</t>
        </is>
      </c>
      <c r="F20" s="7" t="inlineStr">
        <is>
          <t>CONTROLIS (organisme fictif)</t>
        </is>
      </c>
      <c r="G20" s="67" t="n">
        <v>120</v>
      </c>
      <c r="H20" s="65" t="n">
        <v>43110</v>
      </c>
      <c r="I20" s="78">
        <f>IF($A20="","",MAX(N(H20),INT(_xlfn.MAXIFS('Ordres de travail'!$R$5:$R$3004,'Ordres de travail'!$I$5:$I$3004,$A20,'Ordres de travail'!$AC$5:$AC$3004,"Clôturé"))))</f>
        <v/>
      </c>
      <c r="J20" s="78">
        <f>IF(OR($A20="",N(I20)=0),"",EDATE(I20,G20))</f>
        <v/>
      </c>
      <c r="K20" s="79">
        <f>IF(J20="","",J20-TODAY())</f>
        <v/>
      </c>
      <c r="L20" s="9">
        <f>IF($A20="","",IF(K20="","À DÉFINIR",IF(K20&lt;0,"EN RETARD",IF(K20&lt;='Paramètres'!$AA$13,"À PLANIFIER","CONFORME"))))</f>
        <v/>
      </c>
      <c r="M20" s="67" t="n">
        <v>1</v>
      </c>
      <c r="N20" s="7" t="inlineStr">
        <is>
          <t>Oui</t>
        </is>
      </c>
      <c r="O20" s="70">
        <f>IF($A20="","",SUMIFS('Ordres de travail'!$AA$5:$AA$3004,'Ordres de travail'!$I$5:$I$3004,$A20,'Ordres de travail'!$B$5:$B$3004,"&gt;="&amp;'Paramètres'!$AA$6,'Ordres de travail'!$B$5:$B$3004,"&lt;"&amp;('Paramètres'!$AA$7+1)))</f>
        <v/>
      </c>
    </row>
    <row r="21">
      <c r="A21" s="7" t="inlineStr">
        <is>
          <t>CR-017</t>
        </is>
      </c>
      <c r="B21" s="7" t="inlineStr">
        <is>
          <t>SITE</t>
        </is>
      </c>
      <c r="C21" s="9">
        <f>IF(B21="","",IF(B21="SITE","Ensemble du site",IFERROR(INDEX('Équipements'!$B$5:$B$304,MATCH(B21,'Équipements'!$A$5:$A$304,0)),"Code inconnu")))</f>
        <v/>
      </c>
      <c r="D21" s="7" t="inlineStr">
        <is>
          <t>Vérification annuelle des extincteurs</t>
        </is>
      </c>
      <c r="E21" s="7" t="inlineStr">
        <is>
          <t>Code du travail R4227-39 / règle APSAD R4</t>
        </is>
      </c>
      <c r="F21" s="7" t="inlineStr">
        <is>
          <t>Sécurité Incendie Ouest</t>
        </is>
      </c>
      <c r="G21" s="67" t="n">
        <v>12</v>
      </c>
      <c r="H21" s="65" t="n">
        <v>45398</v>
      </c>
      <c r="I21" s="78">
        <f>IF($A21="","",MAX(N(H21),INT(_xlfn.MAXIFS('Ordres de travail'!$R$5:$R$3004,'Ordres de travail'!$I$5:$I$3004,$A21,'Ordres de travail'!$AC$5:$AC$3004,"Clôturé"))))</f>
        <v/>
      </c>
      <c r="J21" s="78">
        <f>IF(OR($A21="",N(I21)=0),"",EDATE(I21,G21))</f>
        <v/>
      </c>
      <c r="K21" s="79">
        <f>IF(J21="","",J21-TODAY())</f>
        <v/>
      </c>
      <c r="L21" s="9">
        <f>IF($A21="","",IF(K21="","À DÉFINIR",IF(K21&lt;0,"EN RETARD",IF(K21&lt;='Paramètres'!$AA$13,"À PLANIFIER","CONFORME"))))</f>
        <v/>
      </c>
      <c r="M21" s="67" t="n">
        <v>2</v>
      </c>
      <c r="N21" s="7" t="inlineStr">
        <is>
          <t>Non</t>
        </is>
      </c>
      <c r="O21" s="70">
        <f>IF($A21="","",SUMIFS('Ordres de travail'!$AA$5:$AA$3004,'Ordres de travail'!$I$5:$I$3004,$A21,'Ordres de travail'!$B$5:$B$3004,"&gt;="&amp;'Paramètres'!$AA$6,'Ordres de travail'!$B$5:$B$3004,"&lt;"&amp;('Paramètres'!$AA$7+1)))</f>
        <v/>
      </c>
    </row>
    <row r="22">
      <c r="A22" s="7" t="inlineStr">
        <is>
          <t>CR-018</t>
        </is>
      </c>
      <c r="B22" s="7" t="inlineStr">
        <is>
          <t>EQ-BAT-004</t>
        </is>
      </c>
      <c r="C22" s="9">
        <f>IF(B22="","",IF(B22="SITE","Ensemble du site",IFERROR(INDEX('Équipements'!$B$5:$B$304,MATCH(B22,'Équipements'!$A$5:$A$304,0)),"Code inconnu")))</f>
        <v/>
      </c>
      <c r="D22" s="7" t="inlineStr">
        <is>
          <t>Vérification semestrielle installation sprinklers</t>
        </is>
      </c>
      <c r="E22" s="7" t="inlineStr">
        <is>
          <t>Règle APSAD R1</t>
        </is>
      </c>
      <c r="F22" s="7" t="inlineStr">
        <is>
          <t>Sécurité Incendie Ouest</t>
        </is>
      </c>
      <c r="G22" s="67" t="n">
        <v>6</v>
      </c>
      <c r="H22" s="65" t="n">
        <v>45481</v>
      </c>
      <c r="I22" s="78">
        <f>IF($A22="","",MAX(N(H22),INT(_xlfn.MAXIFS('Ordres de travail'!$R$5:$R$3004,'Ordres de travail'!$I$5:$I$3004,$A22,'Ordres de travail'!$AC$5:$AC$3004,"Clôturé"))))</f>
        <v/>
      </c>
      <c r="J22" s="78">
        <f>IF(OR($A22="",N(I22)=0),"",EDATE(I22,G22))</f>
        <v/>
      </c>
      <c r="K22" s="79">
        <f>IF(J22="","",J22-TODAY())</f>
        <v/>
      </c>
      <c r="L22" s="9">
        <f>IF($A22="","",IF(K22="","À DÉFINIR",IF(K22&lt;0,"EN RETARD",IF(K22&lt;='Paramètres'!$AA$13,"À PLANIFIER","CONFORME"))))</f>
        <v/>
      </c>
      <c r="M22" s="67" t="n">
        <v>0</v>
      </c>
      <c r="N22" s="7" t="inlineStr">
        <is>
          <t>Partiel</t>
        </is>
      </c>
      <c r="O22" s="70">
        <f>IF($A22="","",SUMIFS('Ordres de travail'!$AA$5:$AA$3004,'Ordres de travail'!$I$5:$I$3004,$A22,'Ordres de travail'!$B$5:$B$3004,"&gt;="&amp;'Paramètres'!$AA$6,'Ordres de travail'!$B$5:$B$3004,"&lt;"&amp;('Paramètres'!$AA$7+1)))</f>
        <v/>
      </c>
    </row>
    <row r="23">
      <c r="A23" s="7" t="inlineStr">
        <is>
          <t>CR-019</t>
        </is>
      </c>
      <c r="B23" s="7" t="inlineStr">
        <is>
          <t>EQ-BAT-005</t>
        </is>
      </c>
      <c r="C23" s="9">
        <f>IF(B23="","",IF(B23="SITE","Ensemble du site",IFERROR(INDEX('Équipements'!$B$5:$B$304,MATCH(B23,'Équipements'!$A$5:$A$304,0)),"Code inconnu")))</f>
        <v/>
      </c>
      <c r="D23" s="7" t="inlineStr">
        <is>
          <t>Vérification du désenfumage</t>
        </is>
      </c>
      <c r="E23" s="7" t="inlineStr">
        <is>
          <t>Code du travail R4216-30 / APSAD R17</t>
        </is>
      </c>
      <c r="F23" s="7" t="inlineStr">
        <is>
          <t>Sécurité Incendie Ouest</t>
        </is>
      </c>
      <c r="G23" s="67" t="n">
        <v>12</v>
      </c>
      <c r="H23" s="65" t="n">
        <v>45387</v>
      </c>
      <c r="I23" s="78">
        <f>IF($A23="","",MAX(N(H23),INT(_xlfn.MAXIFS('Ordres de travail'!$R$5:$R$3004,'Ordres de travail'!$I$5:$I$3004,$A23,'Ordres de travail'!$AC$5:$AC$3004,"Clôturé"))))</f>
        <v/>
      </c>
      <c r="J23" s="78">
        <f>IF(OR($A23="",N(I23)=0),"",EDATE(I23,G23))</f>
        <v/>
      </c>
      <c r="K23" s="79">
        <f>IF(J23="","",J23-TODAY())</f>
        <v/>
      </c>
      <c r="L23" s="9">
        <f>IF($A23="","",IF(K23="","À DÉFINIR",IF(K23&lt;0,"EN RETARD",IF(K23&lt;='Paramètres'!$AA$13,"À PLANIFIER","CONFORME"))))</f>
        <v/>
      </c>
      <c r="M23" s="67" t="n">
        <v>0</v>
      </c>
      <c r="N23" s="7" t="inlineStr">
        <is>
          <t>Partiel</t>
        </is>
      </c>
      <c r="O23" s="70">
        <f>IF($A23="","",SUMIFS('Ordres de travail'!$AA$5:$AA$3004,'Ordres de travail'!$I$5:$I$3004,$A23,'Ordres de travail'!$B$5:$B$3004,"&gt;="&amp;'Paramètres'!$AA$6,'Ordres de travail'!$B$5:$B$3004,"&lt;"&amp;('Paramètres'!$AA$7+1)))</f>
        <v/>
      </c>
    </row>
    <row r="24">
      <c r="A24" s="7" t="inlineStr">
        <is>
          <t>CR-020</t>
        </is>
      </c>
      <c r="B24" s="7" t="inlineStr">
        <is>
          <t>EQ-BAT-001</t>
        </is>
      </c>
      <c r="C24" s="9">
        <f>IF(B24="","",IF(B24="SITE","Ensemble du site",IFERROR(INDEX('Équipements'!$B$5:$B$304,MATCH(B24,'Équipements'!$A$5:$A$304,0)),"Code inconnu")))</f>
        <v/>
      </c>
      <c r="D24" s="7" t="inlineStr">
        <is>
          <t>Entretien et vérification porte automatique</t>
        </is>
      </c>
      <c r="E24" s="7" t="inlineStr">
        <is>
          <t>Arrêté du 21/12/1993</t>
        </is>
      </c>
      <c r="F24" s="7" t="inlineStr">
        <is>
          <t>Fournitures Industrielles Générales</t>
        </is>
      </c>
      <c r="G24" s="67" t="n">
        <v>6</v>
      </c>
      <c r="H24" s="65" t="n">
        <v>45618</v>
      </c>
      <c r="I24" s="78">
        <f>IF($A24="","",MAX(N(H24),INT(_xlfn.MAXIFS('Ordres de travail'!$R$5:$R$3004,'Ordres de travail'!$I$5:$I$3004,$A24,'Ordres de travail'!$AC$5:$AC$3004,"Clôturé"))))</f>
        <v/>
      </c>
      <c r="J24" s="78">
        <f>IF(OR($A24="",N(I24)=0),"",EDATE(I24,G24))</f>
        <v/>
      </c>
      <c r="K24" s="79">
        <f>IF(J24="","",J24-TODAY())</f>
        <v/>
      </c>
      <c r="L24" s="9">
        <f>IF($A24="","",IF(K24="","À DÉFINIR",IF(K24&lt;0,"EN RETARD",IF(K24&lt;='Paramètres'!$AA$13,"À PLANIFIER","CONFORME"))))</f>
        <v/>
      </c>
      <c r="M24" s="67" t="n">
        <v>0</v>
      </c>
      <c r="N24" s="7" t="inlineStr">
        <is>
          <t>Oui</t>
        </is>
      </c>
      <c r="O24" s="70">
        <f>IF($A24="","",SUMIFS('Ordres de travail'!$AA$5:$AA$3004,'Ordres de travail'!$I$5:$I$3004,$A24,'Ordres de travail'!$B$5:$B$3004,"&gt;="&amp;'Paramètres'!$AA$6,'Ordres de travail'!$B$5:$B$3004,"&lt;"&amp;('Paramètres'!$AA$7+1)))</f>
        <v/>
      </c>
    </row>
    <row r="25">
      <c r="A25" s="7" t="inlineStr">
        <is>
          <t>CR-021</t>
        </is>
      </c>
      <c r="B25" s="7" t="inlineStr">
        <is>
          <t>EQ-BAT-002</t>
        </is>
      </c>
      <c r="C25" s="9">
        <f>IF(B25="","",IF(B25="SITE","Ensemble du site",IFERROR(INDEX('Équipements'!$B$5:$B$304,MATCH(B25,'Équipements'!$A$5:$A$304,0)),"Code inconnu")))</f>
        <v/>
      </c>
      <c r="D25" s="7" t="inlineStr">
        <is>
          <t>Entretien et vérification portail automatique</t>
        </is>
      </c>
      <c r="E25" s="7" t="inlineStr">
        <is>
          <t>Arrêté du 21/12/1993</t>
        </is>
      </c>
      <c r="F25" s="7" t="inlineStr">
        <is>
          <t>Fournitures Industrielles Générales</t>
        </is>
      </c>
      <c r="G25" s="67" t="n">
        <v>6</v>
      </c>
      <c r="H25" s="65" t="n">
        <v>45561</v>
      </c>
      <c r="I25" s="78">
        <f>IF($A25="","",MAX(N(H25),INT(_xlfn.MAXIFS('Ordres de travail'!$R$5:$R$3004,'Ordres de travail'!$I$5:$I$3004,$A25,'Ordres de travail'!$AC$5:$AC$3004,"Clôturé"))))</f>
        <v/>
      </c>
      <c r="J25" s="78">
        <f>IF(OR($A25="",N(I25)=0),"",EDATE(I25,G25))</f>
        <v/>
      </c>
      <c r="K25" s="79">
        <f>IF(J25="","",J25-TODAY())</f>
        <v/>
      </c>
      <c r="L25" s="9">
        <f>IF($A25="","",IF(K25="","À DÉFINIR",IF(K25&lt;0,"EN RETARD",IF(K25&lt;='Paramètres'!$AA$13,"À PLANIFIER","CONFORME"))))</f>
        <v/>
      </c>
      <c r="M25" s="67" t="n">
        <v>3</v>
      </c>
      <c r="N25" s="7" t="inlineStr">
        <is>
          <t>Oui</t>
        </is>
      </c>
      <c r="O25" s="70">
        <f>IF($A25="","",SUMIFS('Ordres de travail'!$AA$5:$AA$3004,'Ordres de travail'!$I$5:$I$3004,$A25,'Ordres de travail'!$B$5:$B$3004,"&gt;="&amp;'Paramètres'!$AA$6,'Ordres de travail'!$B$5:$B$3004,"&lt;"&amp;('Paramètres'!$AA$7+1)))</f>
        <v/>
      </c>
    </row>
    <row r="26">
      <c r="A26" s="7" t="inlineStr">
        <is>
          <t>CR-022</t>
        </is>
      </c>
      <c r="B26" s="7" t="inlineStr">
        <is>
          <t>EQ-LOG-009</t>
        </is>
      </c>
      <c r="C26" s="9">
        <f>IF(B26="","",IF(B26="SITE","Ensemble du site",IFERROR(INDEX('Équipements'!$B$5:$B$304,MATCH(B26,'Équipements'!$A$5:$A$304,0)),"Code inconnu")))</f>
        <v/>
      </c>
      <c r="D26" s="7" t="inlineStr">
        <is>
          <t>Inspection annuelle des rayonnages par expert</t>
        </is>
      </c>
      <c r="E26" s="7" t="inlineStr">
        <is>
          <t>NF EN 15635</t>
        </is>
      </c>
      <c r="F26" s="7" t="inlineStr">
        <is>
          <t>CONTROLIS (organisme fictif)</t>
        </is>
      </c>
      <c r="G26" s="67" t="n">
        <v>12</v>
      </c>
      <c r="H26" s="65" t="n">
        <v>45611</v>
      </c>
      <c r="I26" s="78">
        <f>IF($A26="","",MAX(N(H26),INT(_xlfn.MAXIFS('Ordres de travail'!$R$5:$R$3004,'Ordres de travail'!$I$5:$I$3004,$A26,'Ordres de travail'!$AC$5:$AC$3004,"Clôturé"))))</f>
        <v/>
      </c>
      <c r="J26" s="78">
        <f>IF(OR($A26="",N(I26)=0),"",EDATE(I26,G26))</f>
        <v/>
      </c>
      <c r="K26" s="79">
        <f>IF(J26="","",J26-TODAY())</f>
        <v/>
      </c>
      <c r="L26" s="9">
        <f>IF($A26="","",IF(K26="","À DÉFINIR",IF(K26&lt;0,"EN RETARD",IF(K26&lt;='Paramètres'!$AA$13,"À PLANIFIER","CONFORME"))))</f>
        <v/>
      </c>
      <c r="M26" s="67" t="n">
        <v>0</v>
      </c>
      <c r="N26" s="7" t="inlineStr">
        <is>
          <t>Non</t>
        </is>
      </c>
      <c r="O26" s="70">
        <f>IF($A26="","",SUMIFS('Ordres de travail'!$AA$5:$AA$3004,'Ordres de travail'!$I$5:$I$3004,$A26,'Ordres de travail'!$B$5:$B$3004,"&gt;="&amp;'Paramètres'!$AA$6,'Ordres de travail'!$B$5:$B$3004,"&lt;"&amp;('Paramètres'!$AA$7+1)))</f>
        <v/>
      </c>
    </row>
    <row r="27">
      <c r="A27" s="7" t="inlineStr">
        <is>
          <t>CR-023</t>
        </is>
      </c>
      <c r="B27" s="7" t="inlineStr">
        <is>
          <t>EQ-SOU-005</t>
        </is>
      </c>
      <c r="C27" s="9">
        <f>IF(B27="","",IF(B27="SITE","Ensemble du site",IFERROR(INDEX('Équipements'!$B$5:$B$304,MATCH(B27,'Équipements'!$A$5:$A$304,0)),"Code inconnu")))</f>
        <v/>
      </c>
      <c r="D27" s="7" t="inlineStr">
        <is>
          <t>Contrôle annuel installation d'aspiration (ventilation)</t>
        </is>
      </c>
      <c r="E27" s="7" t="inlineStr">
        <is>
          <t>Arrêté du 08/10/1987</t>
        </is>
      </c>
      <c r="F27" s="7" t="inlineStr">
        <is>
          <t>CONTROLIS (organisme fictif)</t>
        </is>
      </c>
      <c r="G27" s="67" t="n">
        <v>12</v>
      </c>
      <c r="H27" s="65" t="n">
        <v>45502</v>
      </c>
      <c r="I27" s="78">
        <f>IF($A27="","",MAX(N(H27),INT(_xlfn.MAXIFS('Ordres de travail'!$R$5:$R$3004,'Ordres de travail'!$I$5:$I$3004,$A27,'Ordres de travail'!$AC$5:$AC$3004,"Clôturé"))))</f>
        <v/>
      </c>
      <c r="J27" s="78">
        <f>IF(OR($A27="",N(I27)=0),"",EDATE(I27,G27))</f>
        <v/>
      </c>
      <c r="K27" s="79">
        <f>IF(J27="","",J27-TODAY())</f>
        <v/>
      </c>
      <c r="L27" s="9">
        <f>IF($A27="","",IF(K27="","À DÉFINIR",IF(K27&lt;0,"EN RETARD",IF(K27&lt;='Paramètres'!$AA$13,"À PLANIFIER","CONFORME"))))</f>
        <v/>
      </c>
      <c r="M27" s="67" t="n">
        <v>3</v>
      </c>
      <c r="N27" s="7" t="inlineStr">
        <is>
          <t>Partiel</t>
        </is>
      </c>
      <c r="O27" s="70">
        <f>IF($A27="","",SUMIFS('Ordres de travail'!$AA$5:$AA$3004,'Ordres de travail'!$I$5:$I$3004,$A27,'Ordres de travail'!$B$5:$B$3004,"&gt;="&amp;'Paramètres'!$AA$6,'Ordres de travail'!$B$5:$B$3004,"&lt;"&amp;('Paramètres'!$AA$7+1)))</f>
        <v/>
      </c>
    </row>
    <row r="28">
      <c r="A28" s="7" t="inlineStr">
        <is>
          <t>CR-024</t>
        </is>
      </c>
      <c r="B28" s="7" t="inlineStr">
        <is>
          <t>EQ-PEI-002</t>
        </is>
      </c>
      <c r="C28" s="9">
        <f>IF(B28="","",IF(B28="SITE","Ensemble du site",IFERROR(INDEX('Équipements'!$B$5:$B$304,MATCH(B28,'Équipements'!$A$5:$A$304,0)),"Code inconnu")))</f>
        <v/>
      </c>
      <c r="D28" s="7" t="inlineStr">
        <is>
          <t>Contrôle ventilation cabine de poudrage</t>
        </is>
      </c>
      <c r="E28" s="7" t="inlineStr">
        <is>
          <t>Arrêté du 08/10/1987</t>
        </is>
      </c>
      <c r="F28" s="7" t="inlineStr">
        <is>
          <t>CONTROLIS (organisme fictif)</t>
        </is>
      </c>
      <c r="G28" s="67" t="n">
        <v>12</v>
      </c>
      <c r="H28" s="65" t="n">
        <v>45426</v>
      </c>
      <c r="I28" s="78">
        <f>IF($A28="","",MAX(N(H28),INT(_xlfn.MAXIFS('Ordres de travail'!$R$5:$R$3004,'Ordres de travail'!$I$5:$I$3004,$A28,'Ordres de travail'!$AC$5:$AC$3004,"Clôturé"))))</f>
        <v/>
      </c>
      <c r="J28" s="78">
        <f>IF(OR($A28="",N(I28)=0),"",EDATE(I28,G28))</f>
        <v/>
      </c>
      <c r="K28" s="79">
        <f>IF(J28="","",J28-TODAY())</f>
        <v/>
      </c>
      <c r="L28" s="9">
        <f>IF($A28="","",IF(K28="","À DÉFINIR",IF(K28&lt;0,"EN RETARD",IF(K28&lt;='Paramètres'!$AA$13,"À PLANIFIER","CONFORME"))))</f>
        <v/>
      </c>
      <c r="M28" s="67" t="n">
        <v>1</v>
      </c>
      <c r="N28" s="7" t="inlineStr">
        <is>
          <t>Partiel</t>
        </is>
      </c>
      <c r="O28" s="70">
        <f>IF($A28="","",SUMIFS('Ordres de travail'!$AA$5:$AA$3004,'Ordres de travail'!$I$5:$I$3004,$A28,'Ordres de travail'!$B$5:$B$3004,"&gt;="&amp;'Paramètres'!$AA$6,'Ordres de travail'!$B$5:$B$3004,"&lt;"&amp;('Paramètres'!$AA$7+1)))</f>
        <v/>
      </c>
    </row>
    <row r="29">
      <c r="A29" s="7" t="inlineStr">
        <is>
          <t>CR-025</t>
        </is>
      </c>
      <c r="B29" s="7" t="inlineStr">
        <is>
          <t>EQ-PEI-003</t>
        </is>
      </c>
      <c r="C29" s="9">
        <f>IF(B29="","",IF(B29="SITE","Ensemble du site",IFERROR(INDEX('Équipements'!$B$5:$B$304,MATCH(B29,'Équipements'!$A$5:$A$304,0)),"Code inconnu")))</f>
        <v/>
      </c>
      <c r="D29" s="7" t="inlineStr">
        <is>
          <t>Contrôle installation gaz du four</t>
        </is>
      </c>
      <c r="E29" s="7" t="inlineStr">
        <is>
          <t>Règlement sécurité gaz / assureur</t>
        </is>
      </c>
      <c r="F29" s="7" t="inlineStr">
        <is>
          <t>Thermique &amp; Clim Services</t>
        </is>
      </c>
      <c r="G29" s="67" t="n">
        <v>12</v>
      </c>
      <c r="H29" s="65" t="n">
        <v>45342</v>
      </c>
      <c r="I29" s="78">
        <f>IF($A29="","",MAX(N(H29),INT(_xlfn.MAXIFS('Ordres de travail'!$R$5:$R$3004,'Ordres de travail'!$I$5:$I$3004,$A29,'Ordres de travail'!$AC$5:$AC$3004,"Clôturé"))))</f>
        <v/>
      </c>
      <c r="J29" s="78">
        <f>IF(OR($A29="",N(I29)=0),"",EDATE(I29,G29))</f>
        <v/>
      </c>
      <c r="K29" s="79">
        <f>IF(J29="","",J29-TODAY())</f>
        <v/>
      </c>
      <c r="L29" s="9">
        <f>IF($A29="","",IF(K29="","À DÉFINIR",IF(K29&lt;0,"EN RETARD",IF(K29&lt;='Paramètres'!$AA$13,"À PLANIFIER","CONFORME"))))</f>
        <v/>
      </c>
      <c r="M29" s="67" t="n">
        <v>0</v>
      </c>
      <c r="N29" s="7" t="inlineStr">
        <is>
          <t>Oui</t>
        </is>
      </c>
      <c r="O29" s="70">
        <f>IF($A29="","",SUMIFS('Ordres de travail'!$AA$5:$AA$3004,'Ordres de travail'!$I$5:$I$3004,$A29,'Ordres de travail'!$B$5:$B$3004,"&gt;="&amp;'Paramètres'!$AA$6,'Ordres de travail'!$B$5:$B$3004,"&lt;"&amp;('Paramètres'!$AA$7+1)))</f>
        <v/>
      </c>
    </row>
    <row r="30">
      <c r="A30" s="7" t="inlineStr">
        <is>
          <t>CR-026</t>
        </is>
      </c>
      <c r="B30" s="7" t="inlineStr">
        <is>
          <t>EQ-UTI-006</t>
        </is>
      </c>
      <c r="C30" s="9">
        <f>IF(B30="","",IF(B30="SITE","Ensemble du site",IFERROR(INDEX('Équipements'!$B$5:$B$304,MATCH(B30,'Équipements'!$A$5:$A$304,0)),"Code inconnu")))</f>
        <v/>
      </c>
      <c r="D30" s="7" t="inlineStr">
        <is>
          <t>Entretien annuel chaudière</t>
        </is>
      </c>
      <c r="E30" s="7" t="inlineStr">
        <is>
          <t>Décret 2009-649</t>
        </is>
      </c>
      <c r="F30" s="7" t="inlineStr">
        <is>
          <t>Thermique &amp; Clim Services</t>
        </is>
      </c>
      <c r="G30" s="67" t="n">
        <v>12</v>
      </c>
      <c r="H30" s="65" t="n">
        <v>45642</v>
      </c>
      <c r="I30" s="78">
        <f>IF($A30="","",MAX(N(H30),INT(_xlfn.MAXIFS('Ordres de travail'!$R$5:$R$3004,'Ordres de travail'!$I$5:$I$3004,$A30,'Ordres de travail'!$AC$5:$AC$3004,"Clôturé"))))</f>
        <v/>
      </c>
      <c r="J30" s="78">
        <f>IF(OR($A30="",N(I30)=0),"",EDATE(I30,G30))</f>
        <v/>
      </c>
      <c r="K30" s="79">
        <f>IF(J30="","",J30-TODAY())</f>
        <v/>
      </c>
      <c r="L30" s="9">
        <f>IF($A30="","",IF(K30="","À DÉFINIR",IF(K30&lt;0,"EN RETARD",IF(K30&lt;='Paramètres'!$AA$13,"À PLANIFIER","CONFORME"))))</f>
        <v/>
      </c>
      <c r="M30" s="67" t="n">
        <v>0</v>
      </c>
      <c r="N30" s="7" t="inlineStr">
        <is>
          <t>Partiel</t>
        </is>
      </c>
      <c r="O30" s="70">
        <f>IF($A30="","",SUMIFS('Ordres de travail'!$AA$5:$AA$3004,'Ordres de travail'!$I$5:$I$3004,$A30,'Ordres de travail'!$B$5:$B$3004,"&gt;="&amp;'Paramètres'!$AA$6,'Ordres de travail'!$B$5:$B$3004,"&lt;"&amp;('Paramètres'!$AA$7+1)))</f>
        <v/>
      </c>
    </row>
    <row r="31">
      <c r="A31" s="7" t="inlineStr">
        <is>
          <t>CR-027</t>
        </is>
      </c>
      <c r="B31" s="7" t="inlineStr">
        <is>
          <t>EQ-UTI-005</t>
        </is>
      </c>
      <c r="C31" s="9">
        <f>IF(B31="","",IF(B31="SITE","Ensemble du site",IFERROR(INDEX('Équipements'!$B$5:$B$304,MATCH(B31,'Équipements'!$A$5:$A$304,0)),"Code inconnu")))</f>
        <v/>
      </c>
      <c r="D31" s="7" t="inlineStr">
        <is>
          <t>Contrôle d'étanchéité fluides frigorigènes</t>
        </is>
      </c>
      <c r="E31" s="7" t="inlineStr">
        <is>
          <t>Règlement F-Gas (UE) 2024/573</t>
        </is>
      </c>
      <c r="F31" s="7" t="inlineStr">
        <is>
          <t>Thermique &amp; Clim Services</t>
        </is>
      </c>
      <c r="G31" s="67" t="n">
        <v>12</v>
      </c>
      <c r="H31" s="65" t="n">
        <v>45534</v>
      </c>
      <c r="I31" s="78">
        <f>IF($A31="","",MAX(N(H31),INT(_xlfn.MAXIFS('Ordres de travail'!$R$5:$R$3004,'Ordres de travail'!$I$5:$I$3004,$A31,'Ordres de travail'!$AC$5:$AC$3004,"Clôturé"))))</f>
        <v/>
      </c>
      <c r="J31" s="78">
        <f>IF(OR($A31="",N(I31)=0),"",EDATE(I31,G31))</f>
        <v/>
      </c>
      <c r="K31" s="79">
        <f>IF(J31="","",J31-TODAY())</f>
        <v/>
      </c>
      <c r="L31" s="9">
        <f>IF($A31="","",IF(K31="","À DÉFINIR",IF(K31&lt;0,"EN RETARD",IF(K31&lt;='Paramètres'!$AA$13,"À PLANIFIER","CONFORME"))))</f>
        <v/>
      </c>
      <c r="M31" s="67" t="n">
        <v>0</v>
      </c>
      <c r="N31" s="7" t="inlineStr">
        <is>
          <t>Oui</t>
        </is>
      </c>
      <c r="O31" s="70">
        <f>IF($A31="","",SUMIFS('Ordres de travail'!$AA$5:$AA$3004,'Ordres de travail'!$I$5:$I$3004,$A31,'Ordres de travail'!$B$5:$B$3004,"&gt;="&amp;'Paramètres'!$AA$6,'Ordres de travail'!$B$5:$B$3004,"&lt;"&amp;('Paramètres'!$AA$7+1)))</f>
        <v/>
      </c>
    </row>
    <row r="32">
      <c r="A32" s="7" t="n"/>
      <c r="B32" s="7" t="n"/>
      <c r="C32" s="9">
        <f>IF(B32="","",IF(B32="SITE","Ensemble du site",IFERROR(INDEX('Équipements'!$B$5:$B$304,MATCH(B32,'Équipements'!$A$5:$A$304,0)),"Code inconnu")))</f>
        <v/>
      </c>
      <c r="D32" s="7" t="n"/>
      <c r="E32" s="7" t="n"/>
      <c r="F32" s="7" t="n"/>
      <c r="G32" s="67" t="n"/>
      <c r="H32" s="65" t="n"/>
      <c r="I32" s="78">
        <f>IF($A32="","",MAX(N(H32),INT(_xlfn.MAXIFS('Ordres de travail'!$R$5:$R$3004,'Ordres de travail'!$I$5:$I$3004,$A32,'Ordres de travail'!$AC$5:$AC$3004,"Clôturé"))))</f>
        <v/>
      </c>
      <c r="J32" s="78">
        <f>IF(OR($A32="",N(I32)=0),"",EDATE(I32,G32))</f>
        <v/>
      </c>
      <c r="K32" s="79">
        <f>IF(J32="","",J32-TODAY())</f>
        <v/>
      </c>
      <c r="L32" s="9">
        <f>IF($A32="","",IF(K32="","À DÉFINIR",IF(K32&lt;0,"EN RETARD",IF(K32&lt;='Paramètres'!$AA$13,"À PLANIFIER","CONFORME"))))</f>
        <v/>
      </c>
      <c r="M32" s="67" t="n"/>
      <c r="N32" s="7" t="n"/>
      <c r="O32" s="70">
        <f>IF($A32="","",SUMIFS('Ordres de travail'!$AA$5:$AA$3004,'Ordres de travail'!$I$5:$I$3004,$A32,'Ordres de travail'!$B$5:$B$3004,"&gt;="&amp;'Paramètres'!$AA$6,'Ordres de travail'!$B$5:$B$3004,"&lt;"&amp;('Paramètres'!$AA$7+1)))</f>
        <v/>
      </c>
    </row>
    <row r="33">
      <c r="A33" s="7" t="n"/>
      <c r="B33" s="7" t="n"/>
      <c r="C33" s="9">
        <f>IF(B33="","",IF(B33="SITE","Ensemble du site",IFERROR(INDEX('Équipements'!$B$5:$B$304,MATCH(B33,'Équipements'!$A$5:$A$304,0)),"Code inconnu")))</f>
        <v/>
      </c>
      <c r="D33" s="7" t="n"/>
      <c r="E33" s="7" t="n"/>
      <c r="F33" s="7" t="n"/>
      <c r="G33" s="67" t="n"/>
      <c r="H33" s="65" t="n"/>
      <c r="I33" s="78">
        <f>IF($A33="","",MAX(N(H33),INT(_xlfn.MAXIFS('Ordres de travail'!$R$5:$R$3004,'Ordres de travail'!$I$5:$I$3004,$A33,'Ordres de travail'!$AC$5:$AC$3004,"Clôturé"))))</f>
        <v/>
      </c>
      <c r="J33" s="78">
        <f>IF(OR($A33="",N(I33)=0),"",EDATE(I33,G33))</f>
        <v/>
      </c>
      <c r="K33" s="79">
        <f>IF(J33="","",J33-TODAY())</f>
        <v/>
      </c>
      <c r="L33" s="9">
        <f>IF($A33="","",IF(K33="","À DÉFINIR",IF(K33&lt;0,"EN RETARD",IF(K33&lt;='Paramètres'!$AA$13,"À PLANIFIER","CONFORME"))))</f>
        <v/>
      </c>
      <c r="M33" s="67" t="n"/>
      <c r="N33" s="7" t="n"/>
      <c r="O33" s="70">
        <f>IF($A33="","",SUMIFS('Ordres de travail'!$AA$5:$AA$3004,'Ordres de travail'!$I$5:$I$3004,$A33,'Ordres de travail'!$B$5:$B$3004,"&gt;="&amp;'Paramètres'!$AA$6,'Ordres de travail'!$B$5:$B$3004,"&lt;"&amp;('Paramètres'!$AA$7+1)))</f>
        <v/>
      </c>
    </row>
    <row r="34">
      <c r="A34" s="7" t="n"/>
      <c r="B34" s="7" t="n"/>
      <c r="C34" s="9">
        <f>IF(B34="","",IF(B34="SITE","Ensemble du site",IFERROR(INDEX('Équipements'!$B$5:$B$304,MATCH(B34,'Équipements'!$A$5:$A$304,0)),"Code inconnu")))</f>
        <v/>
      </c>
      <c r="D34" s="7" t="n"/>
      <c r="E34" s="7" t="n"/>
      <c r="F34" s="7" t="n"/>
      <c r="G34" s="67" t="n"/>
      <c r="H34" s="65" t="n"/>
      <c r="I34" s="78">
        <f>IF($A34="","",MAX(N(H34),INT(_xlfn.MAXIFS('Ordres de travail'!$R$5:$R$3004,'Ordres de travail'!$I$5:$I$3004,$A34,'Ordres de travail'!$AC$5:$AC$3004,"Clôturé"))))</f>
        <v/>
      </c>
      <c r="J34" s="78">
        <f>IF(OR($A34="",N(I34)=0),"",EDATE(I34,G34))</f>
        <v/>
      </c>
      <c r="K34" s="79">
        <f>IF(J34="","",J34-TODAY())</f>
        <v/>
      </c>
      <c r="L34" s="9">
        <f>IF($A34="","",IF(K34="","À DÉFINIR",IF(K34&lt;0,"EN RETARD",IF(K34&lt;='Paramètres'!$AA$13,"À PLANIFIER","CONFORME"))))</f>
        <v/>
      </c>
      <c r="M34" s="67" t="n"/>
      <c r="N34" s="7" t="n"/>
      <c r="O34" s="70">
        <f>IF($A34="","",SUMIFS('Ordres de travail'!$AA$5:$AA$3004,'Ordres de travail'!$I$5:$I$3004,$A34,'Ordres de travail'!$B$5:$B$3004,"&gt;="&amp;'Paramètres'!$AA$6,'Ordres de travail'!$B$5:$B$3004,"&lt;"&amp;('Paramètres'!$AA$7+1)))</f>
        <v/>
      </c>
    </row>
    <row r="35">
      <c r="A35" s="7" t="n"/>
      <c r="B35" s="7" t="n"/>
      <c r="C35" s="9">
        <f>IF(B35="","",IF(B35="SITE","Ensemble du site",IFERROR(INDEX('Équipements'!$B$5:$B$304,MATCH(B35,'Équipements'!$A$5:$A$304,0)),"Code inconnu")))</f>
        <v/>
      </c>
      <c r="D35" s="7" t="n"/>
      <c r="E35" s="7" t="n"/>
      <c r="F35" s="7" t="n"/>
      <c r="G35" s="67" t="n"/>
      <c r="H35" s="65" t="n"/>
      <c r="I35" s="78">
        <f>IF($A35="","",MAX(N(H35),INT(_xlfn.MAXIFS('Ordres de travail'!$R$5:$R$3004,'Ordres de travail'!$I$5:$I$3004,$A35,'Ordres de travail'!$AC$5:$AC$3004,"Clôturé"))))</f>
        <v/>
      </c>
      <c r="J35" s="78">
        <f>IF(OR($A35="",N(I35)=0),"",EDATE(I35,G35))</f>
        <v/>
      </c>
      <c r="K35" s="79">
        <f>IF(J35="","",J35-TODAY())</f>
        <v/>
      </c>
      <c r="L35" s="9">
        <f>IF($A35="","",IF(K35="","À DÉFINIR",IF(K35&lt;0,"EN RETARD",IF(K35&lt;='Paramètres'!$AA$13,"À PLANIFIER","CONFORME"))))</f>
        <v/>
      </c>
      <c r="M35" s="67" t="n"/>
      <c r="N35" s="7" t="n"/>
      <c r="O35" s="70">
        <f>IF($A35="","",SUMIFS('Ordres de travail'!$AA$5:$AA$3004,'Ordres de travail'!$I$5:$I$3004,$A35,'Ordres de travail'!$B$5:$B$3004,"&gt;="&amp;'Paramètres'!$AA$6,'Ordres de travail'!$B$5:$B$3004,"&lt;"&amp;('Paramètres'!$AA$7+1)))</f>
        <v/>
      </c>
    </row>
    <row r="36">
      <c r="A36" s="7" t="n"/>
      <c r="B36" s="7" t="n"/>
      <c r="C36" s="9">
        <f>IF(B36="","",IF(B36="SITE","Ensemble du site",IFERROR(INDEX('Équipements'!$B$5:$B$304,MATCH(B36,'Équipements'!$A$5:$A$304,0)),"Code inconnu")))</f>
        <v/>
      </c>
      <c r="D36" s="7" t="n"/>
      <c r="E36" s="7" t="n"/>
      <c r="F36" s="7" t="n"/>
      <c r="G36" s="67" t="n"/>
      <c r="H36" s="65" t="n"/>
      <c r="I36" s="78">
        <f>IF($A36="","",MAX(N(H36),INT(_xlfn.MAXIFS('Ordres de travail'!$R$5:$R$3004,'Ordres de travail'!$I$5:$I$3004,$A36,'Ordres de travail'!$AC$5:$AC$3004,"Clôturé"))))</f>
        <v/>
      </c>
      <c r="J36" s="78">
        <f>IF(OR($A36="",N(I36)=0),"",EDATE(I36,G36))</f>
        <v/>
      </c>
      <c r="K36" s="79">
        <f>IF(J36="","",J36-TODAY())</f>
        <v/>
      </c>
      <c r="L36" s="9">
        <f>IF($A36="","",IF(K36="","À DÉFINIR",IF(K36&lt;0,"EN RETARD",IF(K36&lt;='Paramètres'!$AA$13,"À PLANIFIER","CONFORME"))))</f>
        <v/>
      </c>
      <c r="M36" s="67" t="n"/>
      <c r="N36" s="7" t="n"/>
      <c r="O36" s="70">
        <f>IF($A36="","",SUMIFS('Ordres de travail'!$AA$5:$AA$3004,'Ordres de travail'!$I$5:$I$3004,$A36,'Ordres de travail'!$B$5:$B$3004,"&gt;="&amp;'Paramètres'!$AA$6,'Ordres de travail'!$B$5:$B$3004,"&lt;"&amp;('Paramètres'!$AA$7+1)))</f>
        <v/>
      </c>
    </row>
    <row r="37">
      <c r="A37" s="7" t="n"/>
      <c r="B37" s="7" t="n"/>
      <c r="C37" s="9">
        <f>IF(B37="","",IF(B37="SITE","Ensemble du site",IFERROR(INDEX('Équipements'!$B$5:$B$304,MATCH(B37,'Équipements'!$A$5:$A$304,0)),"Code inconnu")))</f>
        <v/>
      </c>
      <c r="D37" s="7" t="n"/>
      <c r="E37" s="7" t="n"/>
      <c r="F37" s="7" t="n"/>
      <c r="G37" s="67" t="n"/>
      <c r="H37" s="65" t="n"/>
      <c r="I37" s="78">
        <f>IF($A37="","",MAX(N(H37),INT(_xlfn.MAXIFS('Ordres de travail'!$R$5:$R$3004,'Ordres de travail'!$I$5:$I$3004,$A37,'Ordres de travail'!$AC$5:$AC$3004,"Clôturé"))))</f>
        <v/>
      </c>
      <c r="J37" s="78">
        <f>IF(OR($A37="",N(I37)=0),"",EDATE(I37,G37))</f>
        <v/>
      </c>
      <c r="K37" s="79">
        <f>IF(J37="","",J37-TODAY())</f>
        <v/>
      </c>
      <c r="L37" s="9">
        <f>IF($A37="","",IF(K37="","À DÉFINIR",IF(K37&lt;0,"EN RETARD",IF(K37&lt;='Paramètres'!$AA$13,"À PLANIFIER","CONFORME"))))</f>
        <v/>
      </c>
      <c r="M37" s="67" t="n"/>
      <c r="N37" s="7" t="n"/>
      <c r="O37" s="70">
        <f>IF($A37="","",SUMIFS('Ordres de travail'!$AA$5:$AA$3004,'Ordres de travail'!$I$5:$I$3004,$A37,'Ordres de travail'!$B$5:$B$3004,"&gt;="&amp;'Paramètres'!$AA$6,'Ordres de travail'!$B$5:$B$3004,"&lt;"&amp;('Paramètres'!$AA$7+1)))</f>
        <v/>
      </c>
    </row>
    <row r="38">
      <c r="A38" s="7" t="n"/>
      <c r="B38" s="7" t="n"/>
      <c r="C38" s="9">
        <f>IF(B38="","",IF(B38="SITE","Ensemble du site",IFERROR(INDEX('Équipements'!$B$5:$B$304,MATCH(B38,'Équipements'!$A$5:$A$304,0)),"Code inconnu")))</f>
        <v/>
      </c>
      <c r="D38" s="7" t="n"/>
      <c r="E38" s="7" t="n"/>
      <c r="F38" s="7" t="n"/>
      <c r="G38" s="67" t="n"/>
      <c r="H38" s="65" t="n"/>
      <c r="I38" s="78">
        <f>IF($A38="","",MAX(N(H38),INT(_xlfn.MAXIFS('Ordres de travail'!$R$5:$R$3004,'Ordres de travail'!$I$5:$I$3004,$A38,'Ordres de travail'!$AC$5:$AC$3004,"Clôturé"))))</f>
        <v/>
      </c>
      <c r="J38" s="78">
        <f>IF(OR($A38="",N(I38)=0),"",EDATE(I38,G38))</f>
        <v/>
      </c>
      <c r="K38" s="79">
        <f>IF(J38="","",J38-TODAY())</f>
        <v/>
      </c>
      <c r="L38" s="9">
        <f>IF($A38="","",IF(K38="","À DÉFINIR",IF(K38&lt;0,"EN RETARD",IF(K38&lt;='Paramètres'!$AA$13,"À PLANIFIER","CONFORME"))))</f>
        <v/>
      </c>
      <c r="M38" s="67" t="n"/>
      <c r="N38" s="7" t="n"/>
      <c r="O38" s="70">
        <f>IF($A38="","",SUMIFS('Ordres de travail'!$AA$5:$AA$3004,'Ordres de travail'!$I$5:$I$3004,$A38,'Ordres de travail'!$B$5:$B$3004,"&gt;="&amp;'Paramètres'!$AA$6,'Ordres de travail'!$B$5:$B$3004,"&lt;"&amp;('Paramètres'!$AA$7+1)))</f>
        <v/>
      </c>
    </row>
    <row r="39">
      <c r="A39" s="7" t="n"/>
      <c r="B39" s="7" t="n"/>
      <c r="C39" s="9">
        <f>IF(B39="","",IF(B39="SITE","Ensemble du site",IFERROR(INDEX('Équipements'!$B$5:$B$304,MATCH(B39,'Équipements'!$A$5:$A$304,0)),"Code inconnu")))</f>
        <v/>
      </c>
      <c r="D39" s="7" t="n"/>
      <c r="E39" s="7" t="n"/>
      <c r="F39" s="7" t="n"/>
      <c r="G39" s="67" t="n"/>
      <c r="H39" s="65" t="n"/>
      <c r="I39" s="78">
        <f>IF($A39="","",MAX(N(H39),INT(_xlfn.MAXIFS('Ordres de travail'!$R$5:$R$3004,'Ordres de travail'!$I$5:$I$3004,$A39,'Ordres de travail'!$AC$5:$AC$3004,"Clôturé"))))</f>
        <v/>
      </c>
      <c r="J39" s="78">
        <f>IF(OR($A39="",N(I39)=0),"",EDATE(I39,G39))</f>
        <v/>
      </c>
      <c r="K39" s="79">
        <f>IF(J39="","",J39-TODAY())</f>
        <v/>
      </c>
      <c r="L39" s="9">
        <f>IF($A39="","",IF(K39="","À DÉFINIR",IF(K39&lt;0,"EN RETARD",IF(K39&lt;='Paramètres'!$AA$13,"À PLANIFIER","CONFORME"))))</f>
        <v/>
      </c>
      <c r="M39" s="67" t="n"/>
      <c r="N39" s="7" t="n"/>
      <c r="O39" s="70">
        <f>IF($A39="","",SUMIFS('Ordres de travail'!$AA$5:$AA$3004,'Ordres de travail'!$I$5:$I$3004,$A39,'Ordres de travail'!$B$5:$B$3004,"&gt;="&amp;'Paramètres'!$AA$6,'Ordres de travail'!$B$5:$B$3004,"&lt;"&amp;('Paramètres'!$AA$7+1)))</f>
        <v/>
      </c>
    </row>
    <row r="40">
      <c r="A40" s="7" t="n"/>
      <c r="B40" s="7" t="n"/>
      <c r="C40" s="9">
        <f>IF(B40="","",IF(B40="SITE","Ensemble du site",IFERROR(INDEX('Équipements'!$B$5:$B$304,MATCH(B40,'Équipements'!$A$5:$A$304,0)),"Code inconnu")))</f>
        <v/>
      </c>
      <c r="D40" s="7" t="n"/>
      <c r="E40" s="7" t="n"/>
      <c r="F40" s="7" t="n"/>
      <c r="G40" s="67" t="n"/>
      <c r="H40" s="65" t="n"/>
      <c r="I40" s="78">
        <f>IF($A40="","",MAX(N(H40),INT(_xlfn.MAXIFS('Ordres de travail'!$R$5:$R$3004,'Ordres de travail'!$I$5:$I$3004,$A40,'Ordres de travail'!$AC$5:$AC$3004,"Clôturé"))))</f>
        <v/>
      </c>
      <c r="J40" s="78">
        <f>IF(OR($A40="",N(I40)=0),"",EDATE(I40,G40))</f>
        <v/>
      </c>
      <c r="K40" s="79">
        <f>IF(J40="","",J40-TODAY())</f>
        <v/>
      </c>
      <c r="L40" s="9">
        <f>IF($A40="","",IF(K40="","À DÉFINIR",IF(K40&lt;0,"EN RETARD",IF(K40&lt;='Paramètres'!$AA$13,"À PLANIFIER","CONFORME"))))</f>
        <v/>
      </c>
      <c r="M40" s="67" t="n"/>
      <c r="N40" s="7" t="n"/>
      <c r="O40" s="70">
        <f>IF($A40="","",SUMIFS('Ordres de travail'!$AA$5:$AA$3004,'Ordres de travail'!$I$5:$I$3004,$A40,'Ordres de travail'!$B$5:$B$3004,"&gt;="&amp;'Paramètres'!$AA$6,'Ordres de travail'!$B$5:$B$3004,"&lt;"&amp;('Paramètres'!$AA$7+1)))</f>
        <v/>
      </c>
    </row>
    <row r="41">
      <c r="A41" s="7" t="n"/>
      <c r="B41" s="7" t="n"/>
      <c r="C41" s="9">
        <f>IF(B41="","",IF(B41="SITE","Ensemble du site",IFERROR(INDEX('Équipements'!$B$5:$B$304,MATCH(B41,'Équipements'!$A$5:$A$304,0)),"Code inconnu")))</f>
        <v/>
      </c>
      <c r="D41" s="7" t="n"/>
      <c r="E41" s="7" t="n"/>
      <c r="F41" s="7" t="n"/>
      <c r="G41" s="67" t="n"/>
      <c r="H41" s="65" t="n"/>
      <c r="I41" s="78">
        <f>IF($A41="","",MAX(N(H41),INT(_xlfn.MAXIFS('Ordres de travail'!$R$5:$R$3004,'Ordres de travail'!$I$5:$I$3004,$A41,'Ordres de travail'!$AC$5:$AC$3004,"Clôturé"))))</f>
        <v/>
      </c>
      <c r="J41" s="78">
        <f>IF(OR($A41="",N(I41)=0),"",EDATE(I41,G41))</f>
        <v/>
      </c>
      <c r="K41" s="79">
        <f>IF(J41="","",J41-TODAY())</f>
        <v/>
      </c>
      <c r="L41" s="9">
        <f>IF($A41="","",IF(K41="","À DÉFINIR",IF(K41&lt;0,"EN RETARD",IF(K41&lt;='Paramètres'!$AA$13,"À PLANIFIER","CONFORME"))))</f>
        <v/>
      </c>
      <c r="M41" s="67" t="n"/>
      <c r="N41" s="7" t="n"/>
      <c r="O41" s="70">
        <f>IF($A41="","",SUMIFS('Ordres de travail'!$AA$5:$AA$3004,'Ordres de travail'!$I$5:$I$3004,$A41,'Ordres de travail'!$B$5:$B$3004,"&gt;="&amp;'Paramètres'!$AA$6,'Ordres de travail'!$B$5:$B$3004,"&lt;"&amp;('Paramètres'!$AA$7+1)))</f>
        <v/>
      </c>
    </row>
    <row r="42">
      <c r="A42" s="7" t="n"/>
      <c r="B42" s="7" t="n"/>
      <c r="C42" s="9">
        <f>IF(B42="","",IF(B42="SITE","Ensemble du site",IFERROR(INDEX('Équipements'!$B$5:$B$304,MATCH(B42,'Équipements'!$A$5:$A$304,0)),"Code inconnu")))</f>
        <v/>
      </c>
      <c r="D42" s="7" t="n"/>
      <c r="E42" s="7" t="n"/>
      <c r="F42" s="7" t="n"/>
      <c r="G42" s="67" t="n"/>
      <c r="H42" s="65" t="n"/>
      <c r="I42" s="78">
        <f>IF($A42="","",MAX(N(H42),INT(_xlfn.MAXIFS('Ordres de travail'!$R$5:$R$3004,'Ordres de travail'!$I$5:$I$3004,$A42,'Ordres de travail'!$AC$5:$AC$3004,"Clôturé"))))</f>
        <v/>
      </c>
      <c r="J42" s="78">
        <f>IF(OR($A42="",N(I42)=0),"",EDATE(I42,G42))</f>
        <v/>
      </c>
      <c r="K42" s="79">
        <f>IF(J42="","",J42-TODAY())</f>
        <v/>
      </c>
      <c r="L42" s="9">
        <f>IF($A42="","",IF(K42="","À DÉFINIR",IF(K42&lt;0,"EN RETARD",IF(K42&lt;='Paramètres'!$AA$13,"À PLANIFIER","CONFORME"))))</f>
        <v/>
      </c>
      <c r="M42" s="67" t="n"/>
      <c r="N42" s="7" t="n"/>
      <c r="O42" s="70">
        <f>IF($A42="","",SUMIFS('Ordres de travail'!$AA$5:$AA$3004,'Ordres de travail'!$I$5:$I$3004,$A42,'Ordres de travail'!$B$5:$B$3004,"&gt;="&amp;'Paramètres'!$AA$6,'Ordres de travail'!$B$5:$B$3004,"&lt;"&amp;('Paramètres'!$AA$7+1)))</f>
        <v/>
      </c>
    </row>
    <row r="43">
      <c r="A43" s="7" t="n"/>
      <c r="B43" s="7" t="n"/>
      <c r="C43" s="9">
        <f>IF(B43="","",IF(B43="SITE","Ensemble du site",IFERROR(INDEX('Équipements'!$B$5:$B$304,MATCH(B43,'Équipements'!$A$5:$A$304,0)),"Code inconnu")))</f>
        <v/>
      </c>
      <c r="D43" s="7" t="n"/>
      <c r="E43" s="7" t="n"/>
      <c r="F43" s="7" t="n"/>
      <c r="G43" s="67" t="n"/>
      <c r="H43" s="65" t="n"/>
      <c r="I43" s="78">
        <f>IF($A43="","",MAX(N(H43),INT(_xlfn.MAXIFS('Ordres de travail'!$R$5:$R$3004,'Ordres de travail'!$I$5:$I$3004,$A43,'Ordres de travail'!$AC$5:$AC$3004,"Clôturé"))))</f>
        <v/>
      </c>
      <c r="J43" s="78">
        <f>IF(OR($A43="",N(I43)=0),"",EDATE(I43,G43))</f>
        <v/>
      </c>
      <c r="K43" s="79">
        <f>IF(J43="","",J43-TODAY())</f>
        <v/>
      </c>
      <c r="L43" s="9">
        <f>IF($A43="","",IF(K43="","À DÉFINIR",IF(K43&lt;0,"EN RETARD",IF(K43&lt;='Paramètres'!$AA$13,"À PLANIFIER","CONFORME"))))</f>
        <v/>
      </c>
      <c r="M43" s="67" t="n"/>
      <c r="N43" s="7" t="n"/>
      <c r="O43" s="70">
        <f>IF($A43="","",SUMIFS('Ordres de travail'!$AA$5:$AA$3004,'Ordres de travail'!$I$5:$I$3004,$A43,'Ordres de travail'!$B$5:$B$3004,"&gt;="&amp;'Paramètres'!$AA$6,'Ordres de travail'!$B$5:$B$3004,"&lt;"&amp;('Paramètres'!$AA$7+1)))</f>
        <v/>
      </c>
    </row>
    <row r="44">
      <c r="A44" s="7" t="n"/>
      <c r="B44" s="7" t="n"/>
      <c r="C44" s="9">
        <f>IF(B44="","",IF(B44="SITE","Ensemble du site",IFERROR(INDEX('Équipements'!$B$5:$B$304,MATCH(B44,'Équipements'!$A$5:$A$304,0)),"Code inconnu")))</f>
        <v/>
      </c>
      <c r="D44" s="7" t="n"/>
      <c r="E44" s="7" t="n"/>
      <c r="F44" s="7" t="n"/>
      <c r="G44" s="67" t="n"/>
      <c r="H44" s="65" t="n"/>
      <c r="I44" s="78">
        <f>IF($A44="","",MAX(N(H44),INT(_xlfn.MAXIFS('Ordres de travail'!$R$5:$R$3004,'Ordres de travail'!$I$5:$I$3004,$A44,'Ordres de travail'!$AC$5:$AC$3004,"Clôturé"))))</f>
        <v/>
      </c>
      <c r="J44" s="78">
        <f>IF(OR($A44="",N(I44)=0),"",EDATE(I44,G44))</f>
        <v/>
      </c>
      <c r="K44" s="79">
        <f>IF(J44="","",J44-TODAY())</f>
        <v/>
      </c>
      <c r="L44" s="9">
        <f>IF($A44="","",IF(K44="","À DÉFINIR",IF(K44&lt;0,"EN RETARD",IF(K44&lt;='Paramètres'!$AA$13,"À PLANIFIER","CONFORME"))))</f>
        <v/>
      </c>
      <c r="M44" s="67" t="n"/>
      <c r="N44" s="7" t="n"/>
      <c r="O44" s="70">
        <f>IF($A44="","",SUMIFS('Ordres de travail'!$AA$5:$AA$3004,'Ordres de travail'!$I$5:$I$3004,$A44,'Ordres de travail'!$B$5:$B$3004,"&gt;="&amp;'Paramètres'!$AA$6,'Ordres de travail'!$B$5:$B$3004,"&lt;"&amp;('Paramètres'!$AA$7+1)))</f>
        <v/>
      </c>
    </row>
    <row r="45">
      <c r="A45" s="7" t="n"/>
      <c r="B45" s="7" t="n"/>
      <c r="C45" s="9">
        <f>IF(B45="","",IF(B45="SITE","Ensemble du site",IFERROR(INDEX('Équipements'!$B$5:$B$304,MATCH(B45,'Équipements'!$A$5:$A$304,0)),"Code inconnu")))</f>
        <v/>
      </c>
      <c r="D45" s="7" t="n"/>
      <c r="E45" s="7" t="n"/>
      <c r="F45" s="7" t="n"/>
      <c r="G45" s="67" t="n"/>
      <c r="H45" s="65" t="n"/>
      <c r="I45" s="78">
        <f>IF($A45="","",MAX(N(H45),INT(_xlfn.MAXIFS('Ordres de travail'!$R$5:$R$3004,'Ordres de travail'!$I$5:$I$3004,$A45,'Ordres de travail'!$AC$5:$AC$3004,"Clôturé"))))</f>
        <v/>
      </c>
      <c r="J45" s="78">
        <f>IF(OR($A45="",N(I45)=0),"",EDATE(I45,G45))</f>
        <v/>
      </c>
      <c r="K45" s="79">
        <f>IF(J45="","",J45-TODAY())</f>
        <v/>
      </c>
      <c r="L45" s="9">
        <f>IF($A45="","",IF(K45="","À DÉFINIR",IF(K45&lt;0,"EN RETARD",IF(K45&lt;='Paramètres'!$AA$13,"À PLANIFIER","CONFORME"))))</f>
        <v/>
      </c>
      <c r="M45" s="67" t="n"/>
      <c r="N45" s="7" t="n"/>
      <c r="O45" s="70">
        <f>IF($A45="","",SUMIFS('Ordres de travail'!$AA$5:$AA$3004,'Ordres de travail'!$I$5:$I$3004,$A45,'Ordres de travail'!$B$5:$B$3004,"&gt;="&amp;'Paramètres'!$AA$6,'Ordres de travail'!$B$5:$B$3004,"&lt;"&amp;('Paramètres'!$AA$7+1)))</f>
        <v/>
      </c>
    </row>
    <row r="46">
      <c r="A46" s="7" t="n"/>
      <c r="B46" s="7" t="n"/>
      <c r="C46" s="9">
        <f>IF(B46="","",IF(B46="SITE","Ensemble du site",IFERROR(INDEX('Équipements'!$B$5:$B$304,MATCH(B46,'Équipements'!$A$5:$A$304,0)),"Code inconnu")))</f>
        <v/>
      </c>
      <c r="D46" s="7" t="n"/>
      <c r="E46" s="7" t="n"/>
      <c r="F46" s="7" t="n"/>
      <c r="G46" s="67" t="n"/>
      <c r="H46" s="65" t="n"/>
      <c r="I46" s="78">
        <f>IF($A46="","",MAX(N(H46),INT(_xlfn.MAXIFS('Ordres de travail'!$R$5:$R$3004,'Ordres de travail'!$I$5:$I$3004,$A46,'Ordres de travail'!$AC$5:$AC$3004,"Clôturé"))))</f>
        <v/>
      </c>
      <c r="J46" s="78">
        <f>IF(OR($A46="",N(I46)=0),"",EDATE(I46,G46))</f>
        <v/>
      </c>
      <c r="K46" s="79">
        <f>IF(J46="","",J46-TODAY())</f>
        <v/>
      </c>
      <c r="L46" s="9">
        <f>IF($A46="","",IF(K46="","À DÉFINIR",IF(K46&lt;0,"EN RETARD",IF(K46&lt;='Paramètres'!$AA$13,"À PLANIFIER","CONFORME"))))</f>
        <v/>
      </c>
      <c r="M46" s="67" t="n"/>
      <c r="N46" s="7" t="n"/>
      <c r="O46" s="70">
        <f>IF($A46="","",SUMIFS('Ordres de travail'!$AA$5:$AA$3004,'Ordres de travail'!$I$5:$I$3004,$A46,'Ordres de travail'!$B$5:$B$3004,"&gt;="&amp;'Paramètres'!$AA$6,'Ordres de travail'!$B$5:$B$3004,"&lt;"&amp;('Paramètres'!$AA$7+1)))</f>
        <v/>
      </c>
    </row>
    <row r="47">
      <c r="A47" s="7" t="n"/>
      <c r="B47" s="7" t="n"/>
      <c r="C47" s="9">
        <f>IF(B47="","",IF(B47="SITE","Ensemble du site",IFERROR(INDEX('Équipements'!$B$5:$B$304,MATCH(B47,'Équipements'!$A$5:$A$304,0)),"Code inconnu")))</f>
        <v/>
      </c>
      <c r="D47" s="7" t="n"/>
      <c r="E47" s="7" t="n"/>
      <c r="F47" s="7" t="n"/>
      <c r="G47" s="67" t="n"/>
      <c r="H47" s="65" t="n"/>
      <c r="I47" s="78">
        <f>IF($A47="","",MAX(N(H47),INT(_xlfn.MAXIFS('Ordres de travail'!$R$5:$R$3004,'Ordres de travail'!$I$5:$I$3004,$A47,'Ordres de travail'!$AC$5:$AC$3004,"Clôturé"))))</f>
        <v/>
      </c>
      <c r="J47" s="78">
        <f>IF(OR($A47="",N(I47)=0),"",EDATE(I47,G47))</f>
        <v/>
      </c>
      <c r="K47" s="79">
        <f>IF(J47="","",J47-TODAY())</f>
        <v/>
      </c>
      <c r="L47" s="9">
        <f>IF($A47="","",IF(K47="","À DÉFINIR",IF(K47&lt;0,"EN RETARD",IF(K47&lt;='Paramètres'!$AA$13,"À PLANIFIER","CONFORME"))))</f>
        <v/>
      </c>
      <c r="M47" s="67" t="n"/>
      <c r="N47" s="7" t="n"/>
      <c r="O47" s="70">
        <f>IF($A47="","",SUMIFS('Ordres de travail'!$AA$5:$AA$3004,'Ordres de travail'!$I$5:$I$3004,$A47,'Ordres de travail'!$B$5:$B$3004,"&gt;="&amp;'Paramètres'!$AA$6,'Ordres de travail'!$B$5:$B$3004,"&lt;"&amp;('Paramètres'!$AA$7+1)))</f>
        <v/>
      </c>
    </row>
    <row r="48">
      <c r="A48" s="7" t="n"/>
      <c r="B48" s="7" t="n"/>
      <c r="C48" s="9">
        <f>IF(B48="","",IF(B48="SITE","Ensemble du site",IFERROR(INDEX('Équipements'!$B$5:$B$304,MATCH(B48,'Équipements'!$A$5:$A$304,0)),"Code inconnu")))</f>
        <v/>
      </c>
      <c r="D48" s="7" t="n"/>
      <c r="E48" s="7" t="n"/>
      <c r="F48" s="7" t="n"/>
      <c r="G48" s="67" t="n"/>
      <c r="H48" s="65" t="n"/>
      <c r="I48" s="78">
        <f>IF($A48="","",MAX(N(H48),INT(_xlfn.MAXIFS('Ordres de travail'!$R$5:$R$3004,'Ordres de travail'!$I$5:$I$3004,$A48,'Ordres de travail'!$AC$5:$AC$3004,"Clôturé"))))</f>
        <v/>
      </c>
      <c r="J48" s="78">
        <f>IF(OR($A48="",N(I48)=0),"",EDATE(I48,G48))</f>
        <v/>
      </c>
      <c r="K48" s="79">
        <f>IF(J48="","",J48-TODAY())</f>
        <v/>
      </c>
      <c r="L48" s="9">
        <f>IF($A48="","",IF(K48="","À DÉFINIR",IF(K48&lt;0,"EN RETARD",IF(K48&lt;='Paramètres'!$AA$13,"À PLANIFIER","CONFORME"))))</f>
        <v/>
      </c>
      <c r="M48" s="67" t="n"/>
      <c r="N48" s="7" t="n"/>
      <c r="O48" s="70">
        <f>IF($A48="","",SUMIFS('Ordres de travail'!$AA$5:$AA$3004,'Ordres de travail'!$I$5:$I$3004,$A48,'Ordres de travail'!$B$5:$B$3004,"&gt;="&amp;'Paramètres'!$AA$6,'Ordres de travail'!$B$5:$B$3004,"&lt;"&amp;('Paramètres'!$AA$7+1)))</f>
        <v/>
      </c>
    </row>
    <row r="49">
      <c r="A49" s="7" t="n"/>
      <c r="B49" s="7" t="n"/>
      <c r="C49" s="9">
        <f>IF(B49="","",IF(B49="SITE","Ensemble du site",IFERROR(INDEX('Équipements'!$B$5:$B$304,MATCH(B49,'Équipements'!$A$5:$A$304,0)),"Code inconnu")))</f>
        <v/>
      </c>
      <c r="D49" s="7" t="n"/>
      <c r="E49" s="7" t="n"/>
      <c r="F49" s="7" t="n"/>
      <c r="G49" s="67" t="n"/>
      <c r="H49" s="65" t="n"/>
      <c r="I49" s="78">
        <f>IF($A49="","",MAX(N(H49),INT(_xlfn.MAXIFS('Ordres de travail'!$R$5:$R$3004,'Ordres de travail'!$I$5:$I$3004,$A49,'Ordres de travail'!$AC$5:$AC$3004,"Clôturé"))))</f>
        <v/>
      </c>
      <c r="J49" s="78">
        <f>IF(OR($A49="",N(I49)=0),"",EDATE(I49,G49))</f>
        <v/>
      </c>
      <c r="K49" s="79">
        <f>IF(J49="","",J49-TODAY())</f>
        <v/>
      </c>
      <c r="L49" s="9">
        <f>IF($A49="","",IF(K49="","À DÉFINIR",IF(K49&lt;0,"EN RETARD",IF(K49&lt;='Paramètres'!$AA$13,"À PLANIFIER","CONFORME"))))</f>
        <v/>
      </c>
      <c r="M49" s="67" t="n"/>
      <c r="N49" s="7" t="n"/>
      <c r="O49" s="70">
        <f>IF($A49="","",SUMIFS('Ordres de travail'!$AA$5:$AA$3004,'Ordres de travail'!$I$5:$I$3004,$A49,'Ordres de travail'!$B$5:$B$3004,"&gt;="&amp;'Paramètres'!$AA$6,'Ordres de travail'!$B$5:$B$3004,"&lt;"&amp;('Paramètres'!$AA$7+1)))</f>
        <v/>
      </c>
    </row>
    <row r="50">
      <c r="A50" s="7" t="n"/>
      <c r="B50" s="7" t="n"/>
      <c r="C50" s="9">
        <f>IF(B50="","",IF(B50="SITE","Ensemble du site",IFERROR(INDEX('Équipements'!$B$5:$B$304,MATCH(B50,'Équipements'!$A$5:$A$304,0)),"Code inconnu")))</f>
        <v/>
      </c>
      <c r="D50" s="7" t="n"/>
      <c r="E50" s="7" t="n"/>
      <c r="F50" s="7" t="n"/>
      <c r="G50" s="67" t="n"/>
      <c r="H50" s="65" t="n"/>
      <c r="I50" s="78">
        <f>IF($A50="","",MAX(N(H50),INT(_xlfn.MAXIFS('Ordres de travail'!$R$5:$R$3004,'Ordres de travail'!$I$5:$I$3004,$A50,'Ordres de travail'!$AC$5:$AC$3004,"Clôturé"))))</f>
        <v/>
      </c>
      <c r="J50" s="78">
        <f>IF(OR($A50="",N(I50)=0),"",EDATE(I50,G50))</f>
        <v/>
      </c>
      <c r="K50" s="79">
        <f>IF(J50="","",J50-TODAY())</f>
        <v/>
      </c>
      <c r="L50" s="9">
        <f>IF($A50="","",IF(K50="","À DÉFINIR",IF(K50&lt;0,"EN RETARD",IF(K50&lt;='Paramètres'!$AA$13,"À PLANIFIER","CONFORME"))))</f>
        <v/>
      </c>
      <c r="M50" s="67" t="n"/>
      <c r="N50" s="7" t="n"/>
      <c r="O50" s="70">
        <f>IF($A50="","",SUMIFS('Ordres de travail'!$AA$5:$AA$3004,'Ordres de travail'!$I$5:$I$3004,$A50,'Ordres de travail'!$B$5:$B$3004,"&gt;="&amp;'Paramètres'!$AA$6,'Ordres de travail'!$B$5:$B$3004,"&lt;"&amp;('Paramètres'!$AA$7+1)))</f>
        <v/>
      </c>
    </row>
    <row r="51">
      <c r="A51" s="7" t="n"/>
      <c r="B51" s="7" t="n"/>
      <c r="C51" s="9">
        <f>IF(B51="","",IF(B51="SITE","Ensemble du site",IFERROR(INDEX('Équipements'!$B$5:$B$304,MATCH(B51,'Équipements'!$A$5:$A$304,0)),"Code inconnu")))</f>
        <v/>
      </c>
      <c r="D51" s="7" t="n"/>
      <c r="E51" s="7" t="n"/>
      <c r="F51" s="7" t="n"/>
      <c r="G51" s="67" t="n"/>
      <c r="H51" s="65" t="n"/>
      <c r="I51" s="78">
        <f>IF($A51="","",MAX(N(H51),INT(_xlfn.MAXIFS('Ordres de travail'!$R$5:$R$3004,'Ordres de travail'!$I$5:$I$3004,$A51,'Ordres de travail'!$AC$5:$AC$3004,"Clôturé"))))</f>
        <v/>
      </c>
      <c r="J51" s="78">
        <f>IF(OR($A51="",N(I51)=0),"",EDATE(I51,G51))</f>
        <v/>
      </c>
      <c r="K51" s="79">
        <f>IF(J51="","",J51-TODAY())</f>
        <v/>
      </c>
      <c r="L51" s="9">
        <f>IF($A51="","",IF(K51="","À DÉFINIR",IF(K51&lt;0,"EN RETARD",IF(K51&lt;='Paramètres'!$AA$13,"À PLANIFIER","CONFORME"))))</f>
        <v/>
      </c>
      <c r="M51" s="67" t="n"/>
      <c r="N51" s="7" t="n"/>
      <c r="O51" s="70">
        <f>IF($A51="","",SUMIFS('Ordres de travail'!$AA$5:$AA$3004,'Ordres de travail'!$I$5:$I$3004,$A51,'Ordres de travail'!$B$5:$B$3004,"&gt;="&amp;'Paramètres'!$AA$6,'Ordres de travail'!$B$5:$B$3004,"&lt;"&amp;('Paramètres'!$AA$7+1)))</f>
        <v/>
      </c>
    </row>
    <row r="52">
      <c r="A52" s="7" t="n"/>
      <c r="B52" s="7" t="n"/>
      <c r="C52" s="9">
        <f>IF(B52="","",IF(B52="SITE","Ensemble du site",IFERROR(INDEX('Équipements'!$B$5:$B$304,MATCH(B52,'Équipements'!$A$5:$A$304,0)),"Code inconnu")))</f>
        <v/>
      </c>
      <c r="D52" s="7" t="n"/>
      <c r="E52" s="7" t="n"/>
      <c r="F52" s="7" t="n"/>
      <c r="G52" s="67" t="n"/>
      <c r="H52" s="65" t="n"/>
      <c r="I52" s="78">
        <f>IF($A52="","",MAX(N(H52),INT(_xlfn.MAXIFS('Ordres de travail'!$R$5:$R$3004,'Ordres de travail'!$I$5:$I$3004,$A52,'Ordres de travail'!$AC$5:$AC$3004,"Clôturé"))))</f>
        <v/>
      </c>
      <c r="J52" s="78">
        <f>IF(OR($A52="",N(I52)=0),"",EDATE(I52,G52))</f>
        <v/>
      </c>
      <c r="K52" s="79">
        <f>IF(J52="","",J52-TODAY())</f>
        <v/>
      </c>
      <c r="L52" s="9">
        <f>IF($A52="","",IF(K52="","À DÉFINIR",IF(K52&lt;0,"EN RETARD",IF(K52&lt;='Paramètres'!$AA$13,"À PLANIFIER","CONFORME"))))</f>
        <v/>
      </c>
      <c r="M52" s="67" t="n"/>
      <c r="N52" s="7" t="n"/>
      <c r="O52" s="70">
        <f>IF($A52="","",SUMIFS('Ordres de travail'!$AA$5:$AA$3004,'Ordres de travail'!$I$5:$I$3004,$A52,'Ordres de travail'!$B$5:$B$3004,"&gt;="&amp;'Paramètres'!$AA$6,'Ordres de travail'!$B$5:$B$3004,"&lt;"&amp;('Paramètres'!$AA$7+1)))</f>
        <v/>
      </c>
    </row>
    <row r="53">
      <c r="A53" s="7" t="n"/>
      <c r="B53" s="7" t="n"/>
      <c r="C53" s="9">
        <f>IF(B53="","",IF(B53="SITE","Ensemble du site",IFERROR(INDEX('Équipements'!$B$5:$B$304,MATCH(B53,'Équipements'!$A$5:$A$304,0)),"Code inconnu")))</f>
        <v/>
      </c>
      <c r="D53" s="7" t="n"/>
      <c r="E53" s="7" t="n"/>
      <c r="F53" s="7" t="n"/>
      <c r="G53" s="67" t="n"/>
      <c r="H53" s="65" t="n"/>
      <c r="I53" s="78">
        <f>IF($A53="","",MAX(N(H53),INT(_xlfn.MAXIFS('Ordres de travail'!$R$5:$R$3004,'Ordres de travail'!$I$5:$I$3004,$A53,'Ordres de travail'!$AC$5:$AC$3004,"Clôturé"))))</f>
        <v/>
      </c>
      <c r="J53" s="78">
        <f>IF(OR($A53="",N(I53)=0),"",EDATE(I53,G53))</f>
        <v/>
      </c>
      <c r="K53" s="79">
        <f>IF(J53="","",J53-TODAY())</f>
        <v/>
      </c>
      <c r="L53" s="9">
        <f>IF($A53="","",IF(K53="","À DÉFINIR",IF(K53&lt;0,"EN RETARD",IF(K53&lt;='Paramètres'!$AA$13,"À PLANIFIER","CONFORME"))))</f>
        <v/>
      </c>
      <c r="M53" s="67" t="n"/>
      <c r="N53" s="7" t="n"/>
      <c r="O53" s="70">
        <f>IF($A53="","",SUMIFS('Ordres de travail'!$AA$5:$AA$3004,'Ordres de travail'!$I$5:$I$3004,$A53,'Ordres de travail'!$B$5:$B$3004,"&gt;="&amp;'Paramètres'!$AA$6,'Ordres de travail'!$B$5:$B$3004,"&lt;"&amp;('Paramètres'!$AA$7+1)))</f>
        <v/>
      </c>
    </row>
    <row r="54">
      <c r="A54" s="7" t="n"/>
      <c r="B54" s="7" t="n"/>
      <c r="C54" s="9">
        <f>IF(B54="","",IF(B54="SITE","Ensemble du site",IFERROR(INDEX('Équipements'!$B$5:$B$304,MATCH(B54,'Équipements'!$A$5:$A$304,0)),"Code inconnu")))</f>
        <v/>
      </c>
      <c r="D54" s="7" t="n"/>
      <c r="E54" s="7" t="n"/>
      <c r="F54" s="7" t="n"/>
      <c r="G54" s="67" t="n"/>
      <c r="H54" s="65" t="n"/>
      <c r="I54" s="78">
        <f>IF($A54="","",MAX(N(H54),INT(_xlfn.MAXIFS('Ordres de travail'!$R$5:$R$3004,'Ordres de travail'!$I$5:$I$3004,$A54,'Ordres de travail'!$AC$5:$AC$3004,"Clôturé"))))</f>
        <v/>
      </c>
      <c r="J54" s="78">
        <f>IF(OR($A54="",N(I54)=0),"",EDATE(I54,G54))</f>
        <v/>
      </c>
      <c r="K54" s="79">
        <f>IF(J54="","",J54-TODAY())</f>
        <v/>
      </c>
      <c r="L54" s="9">
        <f>IF($A54="","",IF(K54="","À DÉFINIR",IF(K54&lt;0,"EN RETARD",IF(K54&lt;='Paramètres'!$AA$13,"À PLANIFIER","CONFORME"))))</f>
        <v/>
      </c>
      <c r="M54" s="67" t="n"/>
      <c r="N54" s="7" t="n"/>
      <c r="O54" s="70">
        <f>IF($A54="","",SUMIFS('Ordres de travail'!$AA$5:$AA$3004,'Ordres de travail'!$I$5:$I$3004,$A54,'Ordres de travail'!$B$5:$B$3004,"&gt;="&amp;'Paramètres'!$AA$6,'Ordres de travail'!$B$5:$B$3004,"&lt;"&amp;('Paramètres'!$AA$7+1)))</f>
        <v/>
      </c>
    </row>
    <row r="55">
      <c r="A55" s="7" t="n"/>
      <c r="B55" s="7" t="n"/>
      <c r="C55" s="9">
        <f>IF(B55="","",IF(B55="SITE","Ensemble du site",IFERROR(INDEX('Équipements'!$B$5:$B$304,MATCH(B55,'Équipements'!$A$5:$A$304,0)),"Code inconnu")))</f>
        <v/>
      </c>
      <c r="D55" s="7" t="n"/>
      <c r="E55" s="7" t="n"/>
      <c r="F55" s="7" t="n"/>
      <c r="G55" s="67" t="n"/>
      <c r="H55" s="65" t="n"/>
      <c r="I55" s="78">
        <f>IF($A55="","",MAX(N(H55),INT(_xlfn.MAXIFS('Ordres de travail'!$R$5:$R$3004,'Ordres de travail'!$I$5:$I$3004,$A55,'Ordres de travail'!$AC$5:$AC$3004,"Clôturé"))))</f>
        <v/>
      </c>
      <c r="J55" s="78">
        <f>IF(OR($A55="",N(I55)=0),"",EDATE(I55,G55))</f>
        <v/>
      </c>
      <c r="K55" s="79">
        <f>IF(J55="","",J55-TODAY())</f>
        <v/>
      </c>
      <c r="L55" s="9">
        <f>IF($A55="","",IF(K55="","À DÉFINIR",IF(K55&lt;0,"EN RETARD",IF(K55&lt;='Paramètres'!$AA$13,"À PLANIFIER","CONFORME"))))</f>
        <v/>
      </c>
      <c r="M55" s="67" t="n"/>
      <c r="N55" s="7" t="n"/>
      <c r="O55" s="70">
        <f>IF($A55="","",SUMIFS('Ordres de travail'!$AA$5:$AA$3004,'Ordres de travail'!$I$5:$I$3004,$A55,'Ordres de travail'!$B$5:$B$3004,"&gt;="&amp;'Paramètres'!$AA$6,'Ordres de travail'!$B$5:$B$3004,"&lt;"&amp;('Paramètres'!$AA$7+1)))</f>
        <v/>
      </c>
    </row>
    <row r="56">
      <c r="A56" s="7" t="n"/>
      <c r="B56" s="7" t="n"/>
      <c r="C56" s="9">
        <f>IF(B56="","",IF(B56="SITE","Ensemble du site",IFERROR(INDEX('Équipements'!$B$5:$B$304,MATCH(B56,'Équipements'!$A$5:$A$304,0)),"Code inconnu")))</f>
        <v/>
      </c>
      <c r="D56" s="7" t="n"/>
      <c r="E56" s="7" t="n"/>
      <c r="F56" s="7" t="n"/>
      <c r="G56" s="67" t="n"/>
      <c r="H56" s="65" t="n"/>
      <c r="I56" s="78">
        <f>IF($A56="","",MAX(N(H56),INT(_xlfn.MAXIFS('Ordres de travail'!$R$5:$R$3004,'Ordres de travail'!$I$5:$I$3004,$A56,'Ordres de travail'!$AC$5:$AC$3004,"Clôturé"))))</f>
        <v/>
      </c>
      <c r="J56" s="78">
        <f>IF(OR($A56="",N(I56)=0),"",EDATE(I56,G56))</f>
        <v/>
      </c>
      <c r="K56" s="79">
        <f>IF(J56="","",J56-TODAY())</f>
        <v/>
      </c>
      <c r="L56" s="9">
        <f>IF($A56="","",IF(K56="","À DÉFINIR",IF(K56&lt;0,"EN RETARD",IF(K56&lt;='Paramètres'!$AA$13,"À PLANIFIER","CONFORME"))))</f>
        <v/>
      </c>
      <c r="M56" s="67" t="n"/>
      <c r="N56" s="7" t="n"/>
      <c r="O56" s="70">
        <f>IF($A56="","",SUMIFS('Ordres de travail'!$AA$5:$AA$3004,'Ordres de travail'!$I$5:$I$3004,$A56,'Ordres de travail'!$B$5:$B$3004,"&gt;="&amp;'Paramètres'!$AA$6,'Ordres de travail'!$B$5:$B$3004,"&lt;"&amp;('Paramètres'!$AA$7+1)))</f>
        <v/>
      </c>
    </row>
    <row r="57">
      <c r="A57" s="7" t="n"/>
      <c r="B57" s="7" t="n"/>
      <c r="C57" s="9">
        <f>IF(B57="","",IF(B57="SITE","Ensemble du site",IFERROR(INDEX('Équipements'!$B$5:$B$304,MATCH(B57,'Équipements'!$A$5:$A$304,0)),"Code inconnu")))</f>
        <v/>
      </c>
      <c r="D57" s="7" t="n"/>
      <c r="E57" s="7" t="n"/>
      <c r="F57" s="7" t="n"/>
      <c r="G57" s="67" t="n"/>
      <c r="H57" s="65" t="n"/>
      <c r="I57" s="78">
        <f>IF($A57="","",MAX(N(H57),INT(_xlfn.MAXIFS('Ordres de travail'!$R$5:$R$3004,'Ordres de travail'!$I$5:$I$3004,$A57,'Ordres de travail'!$AC$5:$AC$3004,"Clôturé"))))</f>
        <v/>
      </c>
      <c r="J57" s="78">
        <f>IF(OR($A57="",N(I57)=0),"",EDATE(I57,G57))</f>
        <v/>
      </c>
      <c r="K57" s="79">
        <f>IF(J57="","",J57-TODAY())</f>
        <v/>
      </c>
      <c r="L57" s="9">
        <f>IF($A57="","",IF(K57="","À DÉFINIR",IF(K57&lt;0,"EN RETARD",IF(K57&lt;='Paramètres'!$AA$13,"À PLANIFIER","CONFORME"))))</f>
        <v/>
      </c>
      <c r="M57" s="67" t="n"/>
      <c r="N57" s="7" t="n"/>
      <c r="O57" s="70">
        <f>IF($A57="","",SUMIFS('Ordres de travail'!$AA$5:$AA$3004,'Ordres de travail'!$I$5:$I$3004,$A57,'Ordres de travail'!$B$5:$B$3004,"&gt;="&amp;'Paramètres'!$AA$6,'Ordres de travail'!$B$5:$B$3004,"&lt;"&amp;('Paramètres'!$AA$7+1)))</f>
        <v/>
      </c>
    </row>
    <row r="58">
      <c r="A58" s="7" t="n"/>
      <c r="B58" s="7" t="n"/>
      <c r="C58" s="9">
        <f>IF(B58="","",IF(B58="SITE","Ensemble du site",IFERROR(INDEX('Équipements'!$B$5:$B$304,MATCH(B58,'Équipements'!$A$5:$A$304,0)),"Code inconnu")))</f>
        <v/>
      </c>
      <c r="D58" s="7" t="n"/>
      <c r="E58" s="7" t="n"/>
      <c r="F58" s="7" t="n"/>
      <c r="G58" s="67" t="n"/>
      <c r="H58" s="65" t="n"/>
      <c r="I58" s="78">
        <f>IF($A58="","",MAX(N(H58),INT(_xlfn.MAXIFS('Ordres de travail'!$R$5:$R$3004,'Ordres de travail'!$I$5:$I$3004,$A58,'Ordres de travail'!$AC$5:$AC$3004,"Clôturé"))))</f>
        <v/>
      </c>
      <c r="J58" s="78">
        <f>IF(OR($A58="",N(I58)=0),"",EDATE(I58,G58))</f>
        <v/>
      </c>
      <c r="K58" s="79">
        <f>IF(J58="","",J58-TODAY())</f>
        <v/>
      </c>
      <c r="L58" s="9">
        <f>IF($A58="","",IF(K58="","À DÉFINIR",IF(K58&lt;0,"EN RETARD",IF(K58&lt;='Paramètres'!$AA$13,"À PLANIFIER","CONFORME"))))</f>
        <v/>
      </c>
      <c r="M58" s="67" t="n"/>
      <c r="N58" s="7" t="n"/>
      <c r="O58" s="70">
        <f>IF($A58="","",SUMIFS('Ordres de travail'!$AA$5:$AA$3004,'Ordres de travail'!$I$5:$I$3004,$A58,'Ordres de travail'!$B$5:$B$3004,"&gt;="&amp;'Paramètres'!$AA$6,'Ordres de travail'!$B$5:$B$3004,"&lt;"&amp;('Paramètres'!$AA$7+1)))</f>
        <v/>
      </c>
    </row>
    <row r="59">
      <c r="A59" s="7" t="n"/>
      <c r="B59" s="7" t="n"/>
      <c r="C59" s="9">
        <f>IF(B59="","",IF(B59="SITE","Ensemble du site",IFERROR(INDEX('Équipements'!$B$5:$B$304,MATCH(B59,'Équipements'!$A$5:$A$304,0)),"Code inconnu")))</f>
        <v/>
      </c>
      <c r="D59" s="7" t="n"/>
      <c r="E59" s="7" t="n"/>
      <c r="F59" s="7" t="n"/>
      <c r="G59" s="67" t="n"/>
      <c r="H59" s="65" t="n"/>
      <c r="I59" s="78">
        <f>IF($A59="","",MAX(N(H59),INT(_xlfn.MAXIFS('Ordres de travail'!$R$5:$R$3004,'Ordres de travail'!$I$5:$I$3004,$A59,'Ordres de travail'!$AC$5:$AC$3004,"Clôturé"))))</f>
        <v/>
      </c>
      <c r="J59" s="78">
        <f>IF(OR($A59="",N(I59)=0),"",EDATE(I59,G59))</f>
        <v/>
      </c>
      <c r="K59" s="79">
        <f>IF(J59="","",J59-TODAY())</f>
        <v/>
      </c>
      <c r="L59" s="9">
        <f>IF($A59="","",IF(K59="","À DÉFINIR",IF(K59&lt;0,"EN RETARD",IF(K59&lt;='Paramètres'!$AA$13,"À PLANIFIER","CONFORME"))))</f>
        <v/>
      </c>
      <c r="M59" s="67" t="n"/>
      <c r="N59" s="7" t="n"/>
      <c r="O59" s="70">
        <f>IF($A59="","",SUMIFS('Ordres de travail'!$AA$5:$AA$3004,'Ordres de travail'!$I$5:$I$3004,$A59,'Ordres de travail'!$B$5:$B$3004,"&gt;="&amp;'Paramètres'!$AA$6,'Ordres de travail'!$B$5:$B$3004,"&lt;"&amp;('Paramètres'!$AA$7+1)))</f>
        <v/>
      </c>
    </row>
    <row r="60">
      <c r="A60" s="7" t="n"/>
      <c r="B60" s="7" t="n"/>
      <c r="C60" s="9">
        <f>IF(B60="","",IF(B60="SITE","Ensemble du site",IFERROR(INDEX('Équipements'!$B$5:$B$304,MATCH(B60,'Équipements'!$A$5:$A$304,0)),"Code inconnu")))</f>
        <v/>
      </c>
      <c r="D60" s="7" t="n"/>
      <c r="E60" s="7" t="n"/>
      <c r="F60" s="7" t="n"/>
      <c r="G60" s="67" t="n"/>
      <c r="H60" s="65" t="n"/>
      <c r="I60" s="78">
        <f>IF($A60="","",MAX(N(H60),INT(_xlfn.MAXIFS('Ordres de travail'!$R$5:$R$3004,'Ordres de travail'!$I$5:$I$3004,$A60,'Ordres de travail'!$AC$5:$AC$3004,"Clôturé"))))</f>
        <v/>
      </c>
      <c r="J60" s="78">
        <f>IF(OR($A60="",N(I60)=0),"",EDATE(I60,G60))</f>
        <v/>
      </c>
      <c r="K60" s="79">
        <f>IF(J60="","",J60-TODAY())</f>
        <v/>
      </c>
      <c r="L60" s="9">
        <f>IF($A60="","",IF(K60="","À DÉFINIR",IF(K60&lt;0,"EN RETARD",IF(K60&lt;='Paramètres'!$AA$13,"À PLANIFIER","CONFORME"))))</f>
        <v/>
      </c>
      <c r="M60" s="67" t="n"/>
      <c r="N60" s="7" t="n"/>
      <c r="O60" s="70">
        <f>IF($A60="","",SUMIFS('Ordres de travail'!$AA$5:$AA$3004,'Ordres de travail'!$I$5:$I$3004,$A60,'Ordres de travail'!$B$5:$B$3004,"&gt;="&amp;'Paramètres'!$AA$6,'Ordres de travail'!$B$5:$B$3004,"&lt;"&amp;('Paramètres'!$AA$7+1)))</f>
        <v/>
      </c>
    </row>
    <row r="61">
      <c r="A61" s="7" t="n"/>
      <c r="B61" s="7" t="n"/>
      <c r="C61" s="9">
        <f>IF(B61="","",IF(B61="SITE","Ensemble du site",IFERROR(INDEX('Équipements'!$B$5:$B$304,MATCH(B61,'Équipements'!$A$5:$A$304,0)),"Code inconnu")))</f>
        <v/>
      </c>
      <c r="D61" s="7" t="n"/>
      <c r="E61" s="7" t="n"/>
      <c r="F61" s="7" t="n"/>
      <c r="G61" s="67" t="n"/>
      <c r="H61" s="65" t="n"/>
      <c r="I61" s="78">
        <f>IF($A61="","",MAX(N(H61),INT(_xlfn.MAXIFS('Ordres de travail'!$R$5:$R$3004,'Ordres de travail'!$I$5:$I$3004,$A61,'Ordres de travail'!$AC$5:$AC$3004,"Clôturé"))))</f>
        <v/>
      </c>
      <c r="J61" s="78">
        <f>IF(OR($A61="",N(I61)=0),"",EDATE(I61,G61))</f>
        <v/>
      </c>
      <c r="K61" s="79">
        <f>IF(J61="","",J61-TODAY())</f>
        <v/>
      </c>
      <c r="L61" s="9">
        <f>IF($A61="","",IF(K61="","À DÉFINIR",IF(K61&lt;0,"EN RETARD",IF(K61&lt;='Paramètres'!$AA$13,"À PLANIFIER","CONFORME"))))</f>
        <v/>
      </c>
      <c r="M61" s="67" t="n"/>
      <c r="N61" s="7" t="n"/>
      <c r="O61" s="70">
        <f>IF($A61="","",SUMIFS('Ordres de travail'!$AA$5:$AA$3004,'Ordres de travail'!$I$5:$I$3004,$A61,'Ordres de travail'!$B$5:$B$3004,"&gt;="&amp;'Paramètres'!$AA$6,'Ordres de travail'!$B$5:$B$3004,"&lt;"&amp;('Paramètres'!$AA$7+1)))</f>
        <v/>
      </c>
    </row>
    <row r="62">
      <c r="A62" s="7" t="n"/>
      <c r="B62" s="7" t="n"/>
      <c r="C62" s="9">
        <f>IF(B62="","",IF(B62="SITE","Ensemble du site",IFERROR(INDEX('Équipements'!$B$5:$B$304,MATCH(B62,'Équipements'!$A$5:$A$304,0)),"Code inconnu")))</f>
        <v/>
      </c>
      <c r="D62" s="7" t="n"/>
      <c r="E62" s="7" t="n"/>
      <c r="F62" s="7" t="n"/>
      <c r="G62" s="67" t="n"/>
      <c r="H62" s="65" t="n"/>
      <c r="I62" s="78">
        <f>IF($A62="","",MAX(N(H62),INT(_xlfn.MAXIFS('Ordres de travail'!$R$5:$R$3004,'Ordres de travail'!$I$5:$I$3004,$A62,'Ordres de travail'!$AC$5:$AC$3004,"Clôturé"))))</f>
        <v/>
      </c>
      <c r="J62" s="78">
        <f>IF(OR($A62="",N(I62)=0),"",EDATE(I62,G62))</f>
        <v/>
      </c>
      <c r="K62" s="79">
        <f>IF(J62="","",J62-TODAY())</f>
        <v/>
      </c>
      <c r="L62" s="9">
        <f>IF($A62="","",IF(K62="","À DÉFINIR",IF(K62&lt;0,"EN RETARD",IF(K62&lt;='Paramètres'!$AA$13,"À PLANIFIER","CONFORME"))))</f>
        <v/>
      </c>
      <c r="M62" s="67" t="n"/>
      <c r="N62" s="7" t="n"/>
      <c r="O62" s="70">
        <f>IF($A62="","",SUMIFS('Ordres de travail'!$AA$5:$AA$3004,'Ordres de travail'!$I$5:$I$3004,$A62,'Ordres de travail'!$B$5:$B$3004,"&gt;="&amp;'Paramètres'!$AA$6,'Ordres de travail'!$B$5:$B$3004,"&lt;"&amp;('Paramètres'!$AA$7+1)))</f>
        <v/>
      </c>
    </row>
    <row r="63">
      <c r="A63" s="7" t="n"/>
      <c r="B63" s="7" t="n"/>
      <c r="C63" s="9">
        <f>IF(B63="","",IF(B63="SITE","Ensemble du site",IFERROR(INDEX('Équipements'!$B$5:$B$304,MATCH(B63,'Équipements'!$A$5:$A$304,0)),"Code inconnu")))</f>
        <v/>
      </c>
      <c r="D63" s="7" t="n"/>
      <c r="E63" s="7" t="n"/>
      <c r="F63" s="7" t="n"/>
      <c r="G63" s="67" t="n"/>
      <c r="H63" s="65" t="n"/>
      <c r="I63" s="78">
        <f>IF($A63="","",MAX(N(H63),INT(_xlfn.MAXIFS('Ordres de travail'!$R$5:$R$3004,'Ordres de travail'!$I$5:$I$3004,$A63,'Ordres de travail'!$AC$5:$AC$3004,"Clôturé"))))</f>
        <v/>
      </c>
      <c r="J63" s="78">
        <f>IF(OR($A63="",N(I63)=0),"",EDATE(I63,G63))</f>
        <v/>
      </c>
      <c r="K63" s="79">
        <f>IF(J63="","",J63-TODAY())</f>
        <v/>
      </c>
      <c r="L63" s="9">
        <f>IF($A63="","",IF(K63="","À DÉFINIR",IF(K63&lt;0,"EN RETARD",IF(K63&lt;='Paramètres'!$AA$13,"À PLANIFIER","CONFORME"))))</f>
        <v/>
      </c>
      <c r="M63" s="67" t="n"/>
      <c r="N63" s="7" t="n"/>
      <c r="O63" s="70">
        <f>IF($A63="","",SUMIFS('Ordres de travail'!$AA$5:$AA$3004,'Ordres de travail'!$I$5:$I$3004,$A63,'Ordres de travail'!$B$5:$B$3004,"&gt;="&amp;'Paramètres'!$AA$6,'Ordres de travail'!$B$5:$B$3004,"&lt;"&amp;('Paramètres'!$AA$7+1)))</f>
        <v/>
      </c>
    </row>
    <row r="64">
      <c r="A64" s="7" t="n"/>
      <c r="B64" s="7" t="n"/>
      <c r="C64" s="9">
        <f>IF(B64="","",IF(B64="SITE","Ensemble du site",IFERROR(INDEX('Équipements'!$B$5:$B$304,MATCH(B64,'Équipements'!$A$5:$A$304,0)),"Code inconnu")))</f>
        <v/>
      </c>
      <c r="D64" s="7" t="n"/>
      <c r="E64" s="7" t="n"/>
      <c r="F64" s="7" t="n"/>
      <c r="G64" s="67" t="n"/>
      <c r="H64" s="65" t="n"/>
      <c r="I64" s="78">
        <f>IF($A64="","",MAX(N(H64),INT(_xlfn.MAXIFS('Ordres de travail'!$R$5:$R$3004,'Ordres de travail'!$I$5:$I$3004,$A64,'Ordres de travail'!$AC$5:$AC$3004,"Clôturé"))))</f>
        <v/>
      </c>
      <c r="J64" s="78">
        <f>IF(OR($A64="",N(I64)=0),"",EDATE(I64,G64))</f>
        <v/>
      </c>
      <c r="K64" s="79">
        <f>IF(J64="","",J64-TODAY())</f>
        <v/>
      </c>
      <c r="L64" s="9">
        <f>IF($A64="","",IF(K64="","À DÉFINIR",IF(K64&lt;0,"EN RETARD",IF(K64&lt;='Paramètres'!$AA$13,"À PLANIFIER","CONFORME"))))</f>
        <v/>
      </c>
      <c r="M64" s="67" t="n"/>
      <c r="N64" s="7" t="n"/>
      <c r="O64" s="70">
        <f>IF($A64="","",SUMIFS('Ordres de travail'!$AA$5:$AA$3004,'Ordres de travail'!$I$5:$I$3004,$A64,'Ordres de travail'!$B$5:$B$3004,"&gt;="&amp;'Paramètres'!$AA$6,'Ordres de travail'!$B$5:$B$3004,"&lt;"&amp;('Paramètres'!$AA$7+1)))</f>
        <v/>
      </c>
    </row>
    <row r="65">
      <c r="A65" s="7" t="n"/>
      <c r="B65" s="7" t="n"/>
      <c r="C65" s="9">
        <f>IF(B65="","",IF(B65="SITE","Ensemble du site",IFERROR(INDEX('Équipements'!$B$5:$B$304,MATCH(B65,'Équipements'!$A$5:$A$304,0)),"Code inconnu")))</f>
        <v/>
      </c>
      <c r="D65" s="7" t="n"/>
      <c r="E65" s="7" t="n"/>
      <c r="F65" s="7" t="n"/>
      <c r="G65" s="67" t="n"/>
      <c r="H65" s="65" t="n"/>
      <c r="I65" s="78">
        <f>IF($A65="","",MAX(N(H65),INT(_xlfn.MAXIFS('Ordres de travail'!$R$5:$R$3004,'Ordres de travail'!$I$5:$I$3004,$A65,'Ordres de travail'!$AC$5:$AC$3004,"Clôturé"))))</f>
        <v/>
      </c>
      <c r="J65" s="78">
        <f>IF(OR($A65="",N(I65)=0),"",EDATE(I65,G65))</f>
        <v/>
      </c>
      <c r="K65" s="79">
        <f>IF(J65="","",J65-TODAY())</f>
        <v/>
      </c>
      <c r="L65" s="9">
        <f>IF($A65="","",IF(K65="","À DÉFINIR",IF(K65&lt;0,"EN RETARD",IF(K65&lt;='Paramètres'!$AA$13,"À PLANIFIER","CONFORME"))))</f>
        <v/>
      </c>
      <c r="M65" s="67" t="n"/>
      <c r="N65" s="7" t="n"/>
      <c r="O65" s="70">
        <f>IF($A65="","",SUMIFS('Ordres de travail'!$AA$5:$AA$3004,'Ordres de travail'!$I$5:$I$3004,$A65,'Ordres de travail'!$B$5:$B$3004,"&gt;="&amp;'Paramètres'!$AA$6,'Ordres de travail'!$B$5:$B$3004,"&lt;"&amp;('Paramètres'!$AA$7+1)))</f>
        <v/>
      </c>
    </row>
    <row r="66">
      <c r="A66" s="7" t="n"/>
      <c r="B66" s="7" t="n"/>
      <c r="C66" s="9">
        <f>IF(B66="","",IF(B66="SITE","Ensemble du site",IFERROR(INDEX('Équipements'!$B$5:$B$304,MATCH(B66,'Équipements'!$A$5:$A$304,0)),"Code inconnu")))</f>
        <v/>
      </c>
      <c r="D66" s="7" t="n"/>
      <c r="E66" s="7" t="n"/>
      <c r="F66" s="7" t="n"/>
      <c r="G66" s="67" t="n"/>
      <c r="H66" s="65" t="n"/>
      <c r="I66" s="78">
        <f>IF($A66="","",MAX(N(H66),INT(_xlfn.MAXIFS('Ordres de travail'!$R$5:$R$3004,'Ordres de travail'!$I$5:$I$3004,$A66,'Ordres de travail'!$AC$5:$AC$3004,"Clôturé"))))</f>
        <v/>
      </c>
      <c r="J66" s="78">
        <f>IF(OR($A66="",N(I66)=0),"",EDATE(I66,G66))</f>
        <v/>
      </c>
      <c r="K66" s="79">
        <f>IF(J66="","",J66-TODAY())</f>
        <v/>
      </c>
      <c r="L66" s="9">
        <f>IF($A66="","",IF(K66="","À DÉFINIR",IF(K66&lt;0,"EN RETARD",IF(K66&lt;='Paramètres'!$AA$13,"À PLANIFIER","CONFORME"))))</f>
        <v/>
      </c>
      <c r="M66" s="67" t="n"/>
      <c r="N66" s="7" t="n"/>
      <c r="O66" s="70">
        <f>IF($A66="","",SUMIFS('Ordres de travail'!$AA$5:$AA$3004,'Ordres de travail'!$I$5:$I$3004,$A66,'Ordres de travail'!$B$5:$B$3004,"&gt;="&amp;'Paramètres'!$AA$6,'Ordres de travail'!$B$5:$B$3004,"&lt;"&amp;('Paramètres'!$AA$7+1)))</f>
        <v/>
      </c>
    </row>
    <row r="67">
      <c r="A67" s="7" t="n"/>
      <c r="B67" s="7" t="n"/>
      <c r="C67" s="9">
        <f>IF(B67="","",IF(B67="SITE","Ensemble du site",IFERROR(INDEX('Équipements'!$B$5:$B$304,MATCH(B67,'Équipements'!$A$5:$A$304,0)),"Code inconnu")))</f>
        <v/>
      </c>
      <c r="D67" s="7" t="n"/>
      <c r="E67" s="7" t="n"/>
      <c r="F67" s="7" t="n"/>
      <c r="G67" s="67" t="n"/>
      <c r="H67" s="65" t="n"/>
      <c r="I67" s="78">
        <f>IF($A67="","",MAX(N(H67),INT(_xlfn.MAXIFS('Ordres de travail'!$R$5:$R$3004,'Ordres de travail'!$I$5:$I$3004,$A67,'Ordres de travail'!$AC$5:$AC$3004,"Clôturé"))))</f>
        <v/>
      </c>
      <c r="J67" s="78">
        <f>IF(OR($A67="",N(I67)=0),"",EDATE(I67,G67))</f>
        <v/>
      </c>
      <c r="K67" s="79">
        <f>IF(J67="","",J67-TODAY())</f>
        <v/>
      </c>
      <c r="L67" s="9">
        <f>IF($A67="","",IF(K67="","À DÉFINIR",IF(K67&lt;0,"EN RETARD",IF(K67&lt;='Paramètres'!$AA$13,"À PLANIFIER","CONFORME"))))</f>
        <v/>
      </c>
      <c r="M67" s="67" t="n"/>
      <c r="N67" s="7" t="n"/>
      <c r="O67" s="70">
        <f>IF($A67="","",SUMIFS('Ordres de travail'!$AA$5:$AA$3004,'Ordres de travail'!$I$5:$I$3004,$A67,'Ordres de travail'!$B$5:$B$3004,"&gt;="&amp;'Paramètres'!$AA$6,'Ordres de travail'!$B$5:$B$3004,"&lt;"&amp;('Paramètres'!$AA$7+1)))</f>
        <v/>
      </c>
    </row>
    <row r="68">
      <c r="A68" s="7" t="n"/>
      <c r="B68" s="7" t="n"/>
      <c r="C68" s="9">
        <f>IF(B68="","",IF(B68="SITE","Ensemble du site",IFERROR(INDEX('Équipements'!$B$5:$B$304,MATCH(B68,'Équipements'!$A$5:$A$304,0)),"Code inconnu")))</f>
        <v/>
      </c>
      <c r="D68" s="7" t="n"/>
      <c r="E68" s="7" t="n"/>
      <c r="F68" s="7" t="n"/>
      <c r="G68" s="67" t="n"/>
      <c r="H68" s="65" t="n"/>
      <c r="I68" s="78">
        <f>IF($A68="","",MAX(N(H68),INT(_xlfn.MAXIFS('Ordres de travail'!$R$5:$R$3004,'Ordres de travail'!$I$5:$I$3004,$A68,'Ordres de travail'!$AC$5:$AC$3004,"Clôturé"))))</f>
        <v/>
      </c>
      <c r="J68" s="78">
        <f>IF(OR($A68="",N(I68)=0),"",EDATE(I68,G68))</f>
        <v/>
      </c>
      <c r="K68" s="79">
        <f>IF(J68="","",J68-TODAY())</f>
        <v/>
      </c>
      <c r="L68" s="9">
        <f>IF($A68="","",IF(K68="","À DÉFINIR",IF(K68&lt;0,"EN RETARD",IF(K68&lt;='Paramètres'!$AA$13,"À PLANIFIER","CONFORME"))))</f>
        <v/>
      </c>
      <c r="M68" s="67" t="n"/>
      <c r="N68" s="7" t="n"/>
      <c r="O68" s="70">
        <f>IF($A68="","",SUMIFS('Ordres de travail'!$AA$5:$AA$3004,'Ordres de travail'!$I$5:$I$3004,$A68,'Ordres de travail'!$B$5:$B$3004,"&gt;="&amp;'Paramètres'!$AA$6,'Ordres de travail'!$B$5:$B$3004,"&lt;"&amp;('Paramètres'!$AA$7+1)))</f>
        <v/>
      </c>
    </row>
    <row r="69">
      <c r="A69" s="7" t="n"/>
      <c r="B69" s="7" t="n"/>
      <c r="C69" s="9">
        <f>IF(B69="","",IF(B69="SITE","Ensemble du site",IFERROR(INDEX('Équipements'!$B$5:$B$304,MATCH(B69,'Équipements'!$A$5:$A$304,0)),"Code inconnu")))</f>
        <v/>
      </c>
      <c r="D69" s="7" t="n"/>
      <c r="E69" s="7" t="n"/>
      <c r="F69" s="7" t="n"/>
      <c r="G69" s="67" t="n"/>
      <c r="H69" s="65" t="n"/>
      <c r="I69" s="78">
        <f>IF($A69="","",MAX(N(H69),INT(_xlfn.MAXIFS('Ordres de travail'!$R$5:$R$3004,'Ordres de travail'!$I$5:$I$3004,$A69,'Ordres de travail'!$AC$5:$AC$3004,"Clôturé"))))</f>
        <v/>
      </c>
      <c r="J69" s="78">
        <f>IF(OR($A69="",N(I69)=0),"",EDATE(I69,G69))</f>
        <v/>
      </c>
      <c r="K69" s="79">
        <f>IF(J69="","",J69-TODAY())</f>
        <v/>
      </c>
      <c r="L69" s="9">
        <f>IF($A69="","",IF(K69="","À DÉFINIR",IF(K69&lt;0,"EN RETARD",IF(K69&lt;='Paramètres'!$AA$13,"À PLANIFIER","CONFORME"))))</f>
        <v/>
      </c>
      <c r="M69" s="67" t="n"/>
      <c r="N69" s="7" t="n"/>
      <c r="O69" s="70">
        <f>IF($A69="","",SUMIFS('Ordres de travail'!$AA$5:$AA$3004,'Ordres de travail'!$I$5:$I$3004,$A69,'Ordres de travail'!$B$5:$B$3004,"&gt;="&amp;'Paramètres'!$AA$6,'Ordres de travail'!$B$5:$B$3004,"&lt;"&amp;('Paramètres'!$AA$7+1)))</f>
        <v/>
      </c>
    </row>
    <row r="70">
      <c r="A70" s="7" t="n"/>
      <c r="B70" s="7" t="n"/>
      <c r="C70" s="9">
        <f>IF(B70="","",IF(B70="SITE","Ensemble du site",IFERROR(INDEX('Équipements'!$B$5:$B$304,MATCH(B70,'Équipements'!$A$5:$A$304,0)),"Code inconnu")))</f>
        <v/>
      </c>
      <c r="D70" s="7" t="n"/>
      <c r="E70" s="7" t="n"/>
      <c r="F70" s="7" t="n"/>
      <c r="G70" s="67" t="n"/>
      <c r="H70" s="65" t="n"/>
      <c r="I70" s="78">
        <f>IF($A70="","",MAX(N(H70),INT(_xlfn.MAXIFS('Ordres de travail'!$R$5:$R$3004,'Ordres de travail'!$I$5:$I$3004,$A70,'Ordres de travail'!$AC$5:$AC$3004,"Clôturé"))))</f>
        <v/>
      </c>
      <c r="J70" s="78">
        <f>IF(OR($A70="",N(I70)=0),"",EDATE(I70,G70))</f>
        <v/>
      </c>
      <c r="K70" s="79">
        <f>IF(J70="","",J70-TODAY())</f>
        <v/>
      </c>
      <c r="L70" s="9">
        <f>IF($A70="","",IF(K70="","À DÉFINIR",IF(K70&lt;0,"EN RETARD",IF(K70&lt;='Paramètres'!$AA$13,"À PLANIFIER","CONFORME"))))</f>
        <v/>
      </c>
      <c r="M70" s="67" t="n"/>
      <c r="N70" s="7" t="n"/>
      <c r="O70" s="70">
        <f>IF($A70="","",SUMIFS('Ordres de travail'!$AA$5:$AA$3004,'Ordres de travail'!$I$5:$I$3004,$A70,'Ordres de travail'!$B$5:$B$3004,"&gt;="&amp;'Paramètres'!$AA$6,'Ordres de travail'!$B$5:$B$3004,"&lt;"&amp;('Paramètres'!$AA$7+1)))</f>
        <v/>
      </c>
    </row>
    <row r="71">
      <c r="A71" s="7" t="n"/>
      <c r="B71" s="7" t="n"/>
      <c r="C71" s="9">
        <f>IF(B71="","",IF(B71="SITE","Ensemble du site",IFERROR(INDEX('Équipements'!$B$5:$B$304,MATCH(B71,'Équipements'!$A$5:$A$304,0)),"Code inconnu")))</f>
        <v/>
      </c>
      <c r="D71" s="7" t="n"/>
      <c r="E71" s="7" t="n"/>
      <c r="F71" s="7" t="n"/>
      <c r="G71" s="67" t="n"/>
      <c r="H71" s="65" t="n"/>
      <c r="I71" s="78">
        <f>IF($A71="","",MAX(N(H71),INT(_xlfn.MAXIFS('Ordres de travail'!$R$5:$R$3004,'Ordres de travail'!$I$5:$I$3004,$A71,'Ordres de travail'!$AC$5:$AC$3004,"Clôturé"))))</f>
        <v/>
      </c>
      <c r="J71" s="78">
        <f>IF(OR($A71="",N(I71)=0),"",EDATE(I71,G71))</f>
        <v/>
      </c>
      <c r="K71" s="79">
        <f>IF(J71="","",J71-TODAY())</f>
        <v/>
      </c>
      <c r="L71" s="9">
        <f>IF($A71="","",IF(K71="","À DÉFINIR",IF(K71&lt;0,"EN RETARD",IF(K71&lt;='Paramètres'!$AA$13,"À PLANIFIER","CONFORME"))))</f>
        <v/>
      </c>
      <c r="M71" s="67" t="n"/>
      <c r="N71" s="7" t="n"/>
      <c r="O71" s="70">
        <f>IF($A71="","",SUMIFS('Ordres de travail'!$AA$5:$AA$3004,'Ordres de travail'!$I$5:$I$3004,$A71,'Ordres de travail'!$B$5:$B$3004,"&gt;="&amp;'Paramètres'!$AA$6,'Ordres de travail'!$B$5:$B$3004,"&lt;"&amp;('Paramètres'!$AA$7+1)))</f>
        <v/>
      </c>
    </row>
    <row r="72">
      <c r="A72" s="7" t="n"/>
      <c r="B72" s="7" t="n"/>
      <c r="C72" s="9">
        <f>IF(B72="","",IF(B72="SITE","Ensemble du site",IFERROR(INDEX('Équipements'!$B$5:$B$304,MATCH(B72,'Équipements'!$A$5:$A$304,0)),"Code inconnu")))</f>
        <v/>
      </c>
      <c r="D72" s="7" t="n"/>
      <c r="E72" s="7" t="n"/>
      <c r="F72" s="7" t="n"/>
      <c r="G72" s="67" t="n"/>
      <c r="H72" s="65" t="n"/>
      <c r="I72" s="78">
        <f>IF($A72="","",MAX(N(H72),INT(_xlfn.MAXIFS('Ordres de travail'!$R$5:$R$3004,'Ordres de travail'!$I$5:$I$3004,$A72,'Ordres de travail'!$AC$5:$AC$3004,"Clôturé"))))</f>
        <v/>
      </c>
      <c r="J72" s="78">
        <f>IF(OR($A72="",N(I72)=0),"",EDATE(I72,G72))</f>
        <v/>
      </c>
      <c r="K72" s="79">
        <f>IF(J72="","",J72-TODAY())</f>
        <v/>
      </c>
      <c r="L72" s="9">
        <f>IF($A72="","",IF(K72="","À DÉFINIR",IF(K72&lt;0,"EN RETARD",IF(K72&lt;='Paramètres'!$AA$13,"À PLANIFIER","CONFORME"))))</f>
        <v/>
      </c>
      <c r="M72" s="67" t="n"/>
      <c r="N72" s="7" t="n"/>
      <c r="O72" s="70">
        <f>IF($A72="","",SUMIFS('Ordres de travail'!$AA$5:$AA$3004,'Ordres de travail'!$I$5:$I$3004,$A72,'Ordres de travail'!$B$5:$B$3004,"&gt;="&amp;'Paramètres'!$AA$6,'Ordres de travail'!$B$5:$B$3004,"&lt;"&amp;('Paramètres'!$AA$7+1)))</f>
        <v/>
      </c>
    </row>
    <row r="73">
      <c r="A73" s="7" t="n"/>
      <c r="B73" s="7" t="n"/>
      <c r="C73" s="9">
        <f>IF(B73="","",IF(B73="SITE","Ensemble du site",IFERROR(INDEX('Équipements'!$B$5:$B$304,MATCH(B73,'Équipements'!$A$5:$A$304,0)),"Code inconnu")))</f>
        <v/>
      </c>
      <c r="D73" s="7" t="n"/>
      <c r="E73" s="7" t="n"/>
      <c r="F73" s="7" t="n"/>
      <c r="G73" s="67" t="n"/>
      <c r="H73" s="65" t="n"/>
      <c r="I73" s="78">
        <f>IF($A73="","",MAX(N(H73),INT(_xlfn.MAXIFS('Ordres de travail'!$R$5:$R$3004,'Ordres de travail'!$I$5:$I$3004,$A73,'Ordres de travail'!$AC$5:$AC$3004,"Clôturé"))))</f>
        <v/>
      </c>
      <c r="J73" s="78">
        <f>IF(OR($A73="",N(I73)=0),"",EDATE(I73,G73))</f>
        <v/>
      </c>
      <c r="K73" s="79">
        <f>IF(J73="","",J73-TODAY())</f>
        <v/>
      </c>
      <c r="L73" s="9">
        <f>IF($A73="","",IF(K73="","À DÉFINIR",IF(K73&lt;0,"EN RETARD",IF(K73&lt;='Paramètres'!$AA$13,"À PLANIFIER","CONFORME"))))</f>
        <v/>
      </c>
      <c r="M73" s="67" t="n"/>
      <c r="N73" s="7" t="n"/>
      <c r="O73" s="70">
        <f>IF($A73="","",SUMIFS('Ordres de travail'!$AA$5:$AA$3004,'Ordres de travail'!$I$5:$I$3004,$A73,'Ordres de travail'!$B$5:$B$3004,"&gt;="&amp;'Paramètres'!$AA$6,'Ordres de travail'!$B$5:$B$3004,"&lt;"&amp;('Paramètres'!$AA$7+1)))</f>
        <v/>
      </c>
    </row>
    <row r="74">
      <c r="A74" s="7" t="n"/>
      <c r="B74" s="7" t="n"/>
      <c r="C74" s="9">
        <f>IF(B74="","",IF(B74="SITE","Ensemble du site",IFERROR(INDEX('Équipements'!$B$5:$B$304,MATCH(B74,'Équipements'!$A$5:$A$304,0)),"Code inconnu")))</f>
        <v/>
      </c>
      <c r="D74" s="7" t="n"/>
      <c r="E74" s="7" t="n"/>
      <c r="F74" s="7" t="n"/>
      <c r="G74" s="67" t="n"/>
      <c r="H74" s="65" t="n"/>
      <c r="I74" s="78">
        <f>IF($A74="","",MAX(N(H74),INT(_xlfn.MAXIFS('Ordres de travail'!$R$5:$R$3004,'Ordres de travail'!$I$5:$I$3004,$A74,'Ordres de travail'!$AC$5:$AC$3004,"Clôturé"))))</f>
        <v/>
      </c>
      <c r="J74" s="78">
        <f>IF(OR($A74="",N(I74)=0),"",EDATE(I74,G74))</f>
        <v/>
      </c>
      <c r="K74" s="79">
        <f>IF(J74="","",J74-TODAY())</f>
        <v/>
      </c>
      <c r="L74" s="9">
        <f>IF($A74="","",IF(K74="","À DÉFINIR",IF(K74&lt;0,"EN RETARD",IF(K74&lt;='Paramètres'!$AA$13,"À PLANIFIER","CONFORME"))))</f>
        <v/>
      </c>
      <c r="M74" s="67" t="n"/>
      <c r="N74" s="7" t="n"/>
      <c r="O74" s="70">
        <f>IF($A74="","",SUMIFS('Ordres de travail'!$AA$5:$AA$3004,'Ordres de travail'!$I$5:$I$3004,$A74,'Ordres de travail'!$B$5:$B$3004,"&gt;="&amp;'Paramètres'!$AA$6,'Ordres de travail'!$B$5:$B$3004,"&lt;"&amp;('Paramètres'!$AA$7+1)))</f>
        <v/>
      </c>
    </row>
    <row r="75">
      <c r="A75" s="7" t="n"/>
      <c r="B75" s="7" t="n"/>
      <c r="C75" s="9">
        <f>IF(B75="","",IF(B75="SITE","Ensemble du site",IFERROR(INDEX('Équipements'!$B$5:$B$304,MATCH(B75,'Équipements'!$A$5:$A$304,0)),"Code inconnu")))</f>
        <v/>
      </c>
      <c r="D75" s="7" t="n"/>
      <c r="E75" s="7" t="n"/>
      <c r="F75" s="7" t="n"/>
      <c r="G75" s="67" t="n"/>
      <c r="H75" s="65" t="n"/>
      <c r="I75" s="78">
        <f>IF($A75="","",MAX(N(H75),INT(_xlfn.MAXIFS('Ordres de travail'!$R$5:$R$3004,'Ordres de travail'!$I$5:$I$3004,$A75,'Ordres de travail'!$AC$5:$AC$3004,"Clôturé"))))</f>
        <v/>
      </c>
      <c r="J75" s="78">
        <f>IF(OR($A75="",N(I75)=0),"",EDATE(I75,G75))</f>
        <v/>
      </c>
      <c r="K75" s="79">
        <f>IF(J75="","",J75-TODAY())</f>
        <v/>
      </c>
      <c r="L75" s="9">
        <f>IF($A75="","",IF(K75="","À DÉFINIR",IF(K75&lt;0,"EN RETARD",IF(K75&lt;='Paramètres'!$AA$13,"À PLANIFIER","CONFORME"))))</f>
        <v/>
      </c>
      <c r="M75" s="67" t="n"/>
      <c r="N75" s="7" t="n"/>
      <c r="O75" s="70">
        <f>IF($A75="","",SUMIFS('Ordres de travail'!$AA$5:$AA$3004,'Ordres de travail'!$I$5:$I$3004,$A75,'Ordres de travail'!$B$5:$B$3004,"&gt;="&amp;'Paramètres'!$AA$6,'Ordres de travail'!$B$5:$B$3004,"&lt;"&amp;('Paramètres'!$AA$7+1)))</f>
        <v/>
      </c>
    </row>
    <row r="76">
      <c r="A76" s="7" t="n"/>
      <c r="B76" s="7" t="n"/>
      <c r="C76" s="9">
        <f>IF(B76="","",IF(B76="SITE","Ensemble du site",IFERROR(INDEX('Équipements'!$B$5:$B$304,MATCH(B76,'Équipements'!$A$5:$A$304,0)),"Code inconnu")))</f>
        <v/>
      </c>
      <c r="D76" s="7" t="n"/>
      <c r="E76" s="7" t="n"/>
      <c r="F76" s="7" t="n"/>
      <c r="G76" s="67" t="n"/>
      <c r="H76" s="65" t="n"/>
      <c r="I76" s="78">
        <f>IF($A76="","",MAX(N(H76),INT(_xlfn.MAXIFS('Ordres de travail'!$R$5:$R$3004,'Ordres de travail'!$I$5:$I$3004,$A76,'Ordres de travail'!$AC$5:$AC$3004,"Clôturé"))))</f>
        <v/>
      </c>
      <c r="J76" s="78">
        <f>IF(OR($A76="",N(I76)=0),"",EDATE(I76,G76))</f>
        <v/>
      </c>
      <c r="K76" s="79">
        <f>IF(J76="","",J76-TODAY())</f>
        <v/>
      </c>
      <c r="L76" s="9">
        <f>IF($A76="","",IF(K76="","À DÉFINIR",IF(K76&lt;0,"EN RETARD",IF(K76&lt;='Paramètres'!$AA$13,"À PLANIFIER","CONFORME"))))</f>
        <v/>
      </c>
      <c r="M76" s="67" t="n"/>
      <c r="N76" s="7" t="n"/>
      <c r="O76" s="70">
        <f>IF($A76="","",SUMIFS('Ordres de travail'!$AA$5:$AA$3004,'Ordres de travail'!$I$5:$I$3004,$A76,'Ordres de travail'!$B$5:$B$3004,"&gt;="&amp;'Paramètres'!$AA$6,'Ordres de travail'!$B$5:$B$3004,"&lt;"&amp;('Paramètres'!$AA$7+1)))</f>
        <v/>
      </c>
    </row>
    <row r="77">
      <c r="A77" s="7" t="n"/>
      <c r="B77" s="7" t="n"/>
      <c r="C77" s="9">
        <f>IF(B77="","",IF(B77="SITE","Ensemble du site",IFERROR(INDEX('Équipements'!$B$5:$B$304,MATCH(B77,'Équipements'!$A$5:$A$304,0)),"Code inconnu")))</f>
        <v/>
      </c>
      <c r="D77" s="7" t="n"/>
      <c r="E77" s="7" t="n"/>
      <c r="F77" s="7" t="n"/>
      <c r="G77" s="67" t="n"/>
      <c r="H77" s="65" t="n"/>
      <c r="I77" s="78">
        <f>IF($A77="","",MAX(N(H77),INT(_xlfn.MAXIFS('Ordres de travail'!$R$5:$R$3004,'Ordres de travail'!$I$5:$I$3004,$A77,'Ordres de travail'!$AC$5:$AC$3004,"Clôturé"))))</f>
        <v/>
      </c>
      <c r="J77" s="78">
        <f>IF(OR($A77="",N(I77)=0),"",EDATE(I77,G77))</f>
        <v/>
      </c>
      <c r="K77" s="79">
        <f>IF(J77="","",J77-TODAY())</f>
        <v/>
      </c>
      <c r="L77" s="9">
        <f>IF($A77="","",IF(K77="","À DÉFINIR",IF(K77&lt;0,"EN RETARD",IF(K77&lt;='Paramètres'!$AA$13,"À PLANIFIER","CONFORME"))))</f>
        <v/>
      </c>
      <c r="M77" s="67" t="n"/>
      <c r="N77" s="7" t="n"/>
      <c r="O77" s="70">
        <f>IF($A77="","",SUMIFS('Ordres de travail'!$AA$5:$AA$3004,'Ordres de travail'!$I$5:$I$3004,$A77,'Ordres de travail'!$B$5:$B$3004,"&gt;="&amp;'Paramètres'!$AA$6,'Ordres de travail'!$B$5:$B$3004,"&lt;"&amp;('Paramètres'!$AA$7+1)))</f>
        <v/>
      </c>
    </row>
    <row r="78">
      <c r="A78" s="7" t="n"/>
      <c r="B78" s="7" t="n"/>
      <c r="C78" s="9">
        <f>IF(B78="","",IF(B78="SITE","Ensemble du site",IFERROR(INDEX('Équipements'!$B$5:$B$304,MATCH(B78,'Équipements'!$A$5:$A$304,0)),"Code inconnu")))</f>
        <v/>
      </c>
      <c r="D78" s="7" t="n"/>
      <c r="E78" s="7" t="n"/>
      <c r="F78" s="7" t="n"/>
      <c r="G78" s="67" t="n"/>
      <c r="H78" s="65" t="n"/>
      <c r="I78" s="78">
        <f>IF($A78="","",MAX(N(H78),INT(_xlfn.MAXIFS('Ordres de travail'!$R$5:$R$3004,'Ordres de travail'!$I$5:$I$3004,$A78,'Ordres de travail'!$AC$5:$AC$3004,"Clôturé"))))</f>
        <v/>
      </c>
      <c r="J78" s="78">
        <f>IF(OR($A78="",N(I78)=0),"",EDATE(I78,G78))</f>
        <v/>
      </c>
      <c r="K78" s="79">
        <f>IF(J78="","",J78-TODAY())</f>
        <v/>
      </c>
      <c r="L78" s="9">
        <f>IF($A78="","",IF(K78="","À DÉFINIR",IF(K78&lt;0,"EN RETARD",IF(K78&lt;='Paramètres'!$AA$13,"À PLANIFIER","CONFORME"))))</f>
        <v/>
      </c>
      <c r="M78" s="67" t="n"/>
      <c r="N78" s="7" t="n"/>
      <c r="O78" s="70">
        <f>IF($A78="","",SUMIFS('Ordres de travail'!$AA$5:$AA$3004,'Ordres de travail'!$I$5:$I$3004,$A78,'Ordres de travail'!$B$5:$B$3004,"&gt;="&amp;'Paramètres'!$AA$6,'Ordres de travail'!$B$5:$B$3004,"&lt;"&amp;('Paramètres'!$AA$7+1)))</f>
        <v/>
      </c>
    </row>
    <row r="79">
      <c r="A79" s="7" t="n"/>
      <c r="B79" s="7" t="n"/>
      <c r="C79" s="9">
        <f>IF(B79="","",IF(B79="SITE","Ensemble du site",IFERROR(INDEX('Équipements'!$B$5:$B$304,MATCH(B79,'Équipements'!$A$5:$A$304,0)),"Code inconnu")))</f>
        <v/>
      </c>
      <c r="D79" s="7" t="n"/>
      <c r="E79" s="7" t="n"/>
      <c r="F79" s="7" t="n"/>
      <c r="G79" s="67" t="n"/>
      <c r="H79" s="65" t="n"/>
      <c r="I79" s="78">
        <f>IF($A79="","",MAX(N(H79),INT(_xlfn.MAXIFS('Ordres de travail'!$R$5:$R$3004,'Ordres de travail'!$I$5:$I$3004,$A79,'Ordres de travail'!$AC$5:$AC$3004,"Clôturé"))))</f>
        <v/>
      </c>
      <c r="J79" s="78">
        <f>IF(OR($A79="",N(I79)=0),"",EDATE(I79,G79))</f>
        <v/>
      </c>
      <c r="K79" s="79">
        <f>IF(J79="","",J79-TODAY())</f>
        <v/>
      </c>
      <c r="L79" s="9">
        <f>IF($A79="","",IF(K79="","À DÉFINIR",IF(K79&lt;0,"EN RETARD",IF(K79&lt;='Paramètres'!$AA$13,"À PLANIFIER","CONFORME"))))</f>
        <v/>
      </c>
      <c r="M79" s="67" t="n"/>
      <c r="N79" s="7" t="n"/>
      <c r="O79" s="70">
        <f>IF($A79="","",SUMIFS('Ordres de travail'!$AA$5:$AA$3004,'Ordres de travail'!$I$5:$I$3004,$A79,'Ordres de travail'!$B$5:$B$3004,"&gt;="&amp;'Paramètres'!$AA$6,'Ordres de travail'!$B$5:$B$3004,"&lt;"&amp;('Paramètres'!$AA$7+1)))</f>
        <v/>
      </c>
    </row>
    <row r="80">
      <c r="A80" s="7" t="n"/>
      <c r="B80" s="7" t="n"/>
      <c r="C80" s="9">
        <f>IF(B80="","",IF(B80="SITE","Ensemble du site",IFERROR(INDEX('Équipements'!$B$5:$B$304,MATCH(B80,'Équipements'!$A$5:$A$304,0)),"Code inconnu")))</f>
        <v/>
      </c>
      <c r="D80" s="7" t="n"/>
      <c r="E80" s="7" t="n"/>
      <c r="F80" s="7" t="n"/>
      <c r="G80" s="67" t="n"/>
      <c r="H80" s="65" t="n"/>
      <c r="I80" s="78">
        <f>IF($A80="","",MAX(N(H80),INT(_xlfn.MAXIFS('Ordres de travail'!$R$5:$R$3004,'Ordres de travail'!$I$5:$I$3004,$A80,'Ordres de travail'!$AC$5:$AC$3004,"Clôturé"))))</f>
        <v/>
      </c>
      <c r="J80" s="78">
        <f>IF(OR($A80="",N(I80)=0),"",EDATE(I80,G80))</f>
        <v/>
      </c>
      <c r="K80" s="79">
        <f>IF(J80="","",J80-TODAY())</f>
        <v/>
      </c>
      <c r="L80" s="9">
        <f>IF($A80="","",IF(K80="","À DÉFINIR",IF(K80&lt;0,"EN RETARD",IF(K80&lt;='Paramètres'!$AA$13,"À PLANIFIER","CONFORME"))))</f>
        <v/>
      </c>
      <c r="M80" s="67" t="n"/>
      <c r="N80" s="7" t="n"/>
      <c r="O80" s="70">
        <f>IF($A80="","",SUMIFS('Ordres de travail'!$AA$5:$AA$3004,'Ordres de travail'!$I$5:$I$3004,$A80,'Ordres de travail'!$B$5:$B$3004,"&gt;="&amp;'Paramètres'!$AA$6,'Ordres de travail'!$B$5:$B$3004,"&lt;"&amp;('Paramètres'!$AA$7+1)))</f>
        <v/>
      </c>
    </row>
    <row r="81">
      <c r="A81" s="7" t="n"/>
      <c r="B81" s="7" t="n"/>
      <c r="C81" s="9">
        <f>IF(B81="","",IF(B81="SITE","Ensemble du site",IFERROR(INDEX('Équipements'!$B$5:$B$304,MATCH(B81,'Équipements'!$A$5:$A$304,0)),"Code inconnu")))</f>
        <v/>
      </c>
      <c r="D81" s="7" t="n"/>
      <c r="E81" s="7" t="n"/>
      <c r="F81" s="7" t="n"/>
      <c r="G81" s="67" t="n"/>
      <c r="H81" s="65" t="n"/>
      <c r="I81" s="78">
        <f>IF($A81="","",MAX(N(H81),INT(_xlfn.MAXIFS('Ordres de travail'!$R$5:$R$3004,'Ordres de travail'!$I$5:$I$3004,$A81,'Ordres de travail'!$AC$5:$AC$3004,"Clôturé"))))</f>
        <v/>
      </c>
      <c r="J81" s="78">
        <f>IF(OR($A81="",N(I81)=0),"",EDATE(I81,G81))</f>
        <v/>
      </c>
      <c r="K81" s="79">
        <f>IF(J81="","",J81-TODAY())</f>
        <v/>
      </c>
      <c r="L81" s="9">
        <f>IF($A81="","",IF(K81="","À DÉFINIR",IF(K81&lt;0,"EN RETARD",IF(K81&lt;='Paramètres'!$AA$13,"À PLANIFIER","CONFORME"))))</f>
        <v/>
      </c>
      <c r="M81" s="67" t="n"/>
      <c r="N81" s="7" t="n"/>
      <c r="O81" s="70">
        <f>IF($A81="","",SUMIFS('Ordres de travail'!$AA$5:$AA$3004,'Ordres de travail'!$I$5:$I$3004,$A81,'Ordres de travail'!$B$5:$B$3004,"&gt;="&amp;'Paramètres'!$AA$6,'Ordres de travail'!$B$5:$B$3004,"&lt;"&amp;('Paramètres'!$AA$7+1)))</f>
        <v/>
      </c>
    </row>
    <row r="82">
      <c r="A82" s="7" t="n"/>
      <c r="B82" s="7" t="n"/>
      <c r="C82" s="9">
        <f>IF(B82="","",IF(B82="SITE","Ensemble du site",IFERROR(INDEX('Équipements'!$B$5:$B$304,MATCH(B82,'Équipements'!$A$5:$A$304,0)),"Code inconnu")))</f>
        <v/>
      </c>
      <c r="D82" s="7" t="n"/>
      <c r="E82" s="7" t="n"/>
      <c r="F82" s="7" t="n"/>
      <c r="G82" s="67" t="n"/>
      <c r="H82" s="65" t="n"/>
      <c r="I82" s="78">
        <f>IF($A82="","",MAX(N(H82),INT(_xlfn.MAXIFS('Ordres de travail'!$R$5:$R$3004,'Ordres de travail'!$I$5:$I$3004,$A82,'Ordres de travail'!$AC$5:$AC$3004,"Clôturé"))))</f>
        <v/>
      </c>
      <c r="J82" s="78">
        <f>IF(OR($A82="",N(I82)=0),"",EDATE(I82,G82))</f>
        <v/>
      </c>
      <c r="K82" s="79">
        <f>IF(J82="","",J82-TODAY())</f>
        <v/>
      </c>
      <c r="L82" s="9">
        <f>IF($A82="","",IF(K82="","À DÉFINIR",IF(K82&lt;0,"EN RETARD",IF(K82&lt;='Paramètres'!$AA$13,"À PLANIFIER","CONFORME"))))</f>
        <v/>
      </c>
      <c r="M82" s="67" t="n"/>
      <c r="N82" s="7" t="n"/>
      <c r="O82" s="70">
        <f>IF($A82="","",SUMIFS('Ordres de travail'!$AA$5:$AA$3004,'Ordres de travail'!$I$5:$I$3004,$A82,'Ordres de travail'!$B$5:$B$3004,"&gt;="&amp;'Paramètres'!$AA$6,'Ordres de travail'!$B$5:$B$3004,"&lt;"&amp;('Paramètres'!$AA$7+1)))</f>
        <v/>
      </c>
    </row>
    <row r="83">
      <c r="A83" s="7" t="n"/>
      <c r="B83" s="7" t="n"/>
      <c r="C83" s="9">
        <f>IF(B83="","",IF(B83="SITE","Ensemble du site",IFERROR(INDEX('Équipements'!$B$5:$B$304,MATCH(B83,'Équipements'!$A$5:$A$304,0)),"Code inconnu")))</f>
        <v/>
      </c>
      <c r="D83" s="7" t="n"/>
      <c r="E83" s="7" t="n"/>
      <c r="F83" s="7" t="n"/>
      <c r="G83" s="67" t="n"/>
      <c r="H83" s="65" t="n"/>
      <c r="I83" s="78">
        <f>IF($A83="","",MAX(N(H83),INT(_xlfn.MAXIFS('Ordres de travail'!$R$5:$R$3004,'Ordres de travail'!$I$5:$I$3004,$A83,'Ordres de travail'!$AC$5:$AC$3004,"Clôturé"))))</f>
        <v/>
      </c>
      <c r="J83" s="78">
        <f>IF(OR($A83="",N(I83)=0),"",EDATE(I83,G83))</f>
        <v/>
      </c>
      <c r="K83" s="79">
        <f>IF(J83="","",J83-TODAY())</f>
        <v/>
      </c>
      <c r="L83" s="9">
        <f>IF($A83="","",IF(K83="","À DÉFINIR",IF(K83&lt;0,"EN RETARD",IF(K83&lt;='Paramètres'!$AA$13,"À PLANIFIER","CONFORME"))))</f>
        <v/>
      </c>
      <c r="M83" s="67" t="n"/>
      <c r="N83" s="7" t="n"/>
      <c r="O83" s="70">
        <f>IF($A83="","",SUMIFS('Ordres de travail'!$AA$5:$AA$3004,'Ordres de travail'!$I$5:$I$3004,$A83,'Ordres de travail'!$B$5:$B$3004,"&gt;="&amp;'Paramètres'!$AA$6,'Ordres de travail'!$B$5:$B$3004,"&lt;"&amp;('Paramètres'!$AA$7+1)))</f>
        <v/>
      </c>
    </row>
    <row r="84">
      <c r="A84" s="7" t="n"/>
      <c r="B84" s="7" t="n"/>
      <c r="C84" s="9">
        <f>IF(B84="","",IF(B84="SITE","Ensemble du site",IFERROR(INDEX('Équipements'!$B$5:$B$304,MATCH(B84,'Équipements'!$A$5:$A$304,0)),"Code inconnu")))</f>
        <v/>
      </c>
      <c r="D84" s="7" t="n"/>
      <c r="E84" s="7" t="n"/>
      <c r="F84" s="7" t="n"/>
      <c r="G84" s="67" t="n"/>
      <c r="H84" s="65" t="n"/>
      <c r="I84" s="78">
        <f>IF($A84="","",MAX(N(H84),INT(_xlfn.MAXIFS('Ordres de travail'!$R$5:$R$3004,'Ordres de travail'!$I$5:$I$3004,$A84,'Ordres de travail'!$AC$5:$AC$3004,"Clôturé"))))</f>
        <v/>
      </c>
      <c r="J84" s="78">
        <f>IF(OR($A84="",N(I84)=0),"",EDATE(I84,G84))</f>
        <v/>
      </c>
      <c r="K84" s="79">
        <f>IF(J84="","",J84-TODAY())</f>
        <v/>
      </c>
      <c r="L84" s="9">
        <f>IF($A84="","",IF(K84="","À DÉFINIR",IF(K84&lt;0,"EN RETARD",IF(K84&lt;='Paramètres'!$AA$13,"À PLANIFIER","CONFORME"))))</f>
        <v/>
      </c>
      <c r="M84" s="67" t="n"/>
      <c r="N84" s="7" t="n"/>
      <c r="O84" s="70">
        <f>IF($A84="","",SUMIFS('Ordres de travail'!$AA$5:$AA$3004,'Ordres de travail'!$I$5:$I$3004,$A84,'Ordres de travail'!$B$5:$B$3004,"&gt;="&amp;'Paramètres'!$AA$6,'Ordres de travail'!$B$5:$B$3004,"&lt;"&amp;('Paramètres'!$AA$7+1)))</f>
        <v/>
      </c>
    </row>
    <row r="85">
      <c r="A85" s="7" t="n"/>
      <c r="B85" s="7" t="n"/>
      <c r="C85" s="9">
        <f>IF(B85="","",IF(B85="SITE","Ensemble du site",IFERROR(INDEX('Équipements'!$B$5:$B$304,MATCH(B85,'Équipements'!$A$5:$A$304,0)),"Code inconnu")))</f>
        <v/>
      </c>
      <c r="D85" s="7" t="n"/>
      <c r="E85" s="7" t="n"/>
      <c r="F85" s="7" t="n"/>
      <c r="G85" s="67" t="n"/>
      <c r="H85" s="65" t="n"/>
      <c r="I85" s="78">
        <f>IF($A85="","",MAX(N(H85),INT(_xlfn.MAXIFS('Ordres de travail'!$R$5:$R$3004,'Ordres de travail'!$I$5:$I$3004,$A85,'Ordres de travail'!$AC$5:$AC$3004,"Clôturé"))))</f>
        <v/>
      </c>
      <c r="J85" s="78">
        <f>IF(OR($A85="",N(I85)=0),"",EDATE(I85,G85))</f>
        <v/>
      </c>
      <c r="K85" s="79">
        <f>IF(J85="","",J85-TODAY())</f>
        <v/>
      </c>
      <c r="L85" s="9">
        <f>IF($A85="","",IF(K85="","À DÉFINIR",IF(K85&lt;0,"EN RETARD",IF(K85&lt;='Paramètres'!$AA$13,"À PLANIFIER","CONFORME"))))</f>
        <v/>
      </c>
      <c r="M85" s="67" t="n"/>
      <c r="N85" s="7" t="n"/>
      <c r="O85" s="70">
        <f>IF($A85="","",SUMIFS('Ordres de travail'!$AA$5:$AA$3004,'Ordres de travail'!$I$5:$I$3004,$A85,'Ordres de travail'!$B$5:$B$3004,"&gt;="&amp;'Paramètres'!$AA$6,'Ordres de travail'!$B$5:$B$3004,"&lt;"&amp;('Paramètres'!$AA$7+1)))</f>
        <v/>
      </c>
    </row>
    <row r="86">
      <c r="A86" s="7" t="n"/>
      <c r="B86" s="7" t="n"/>
      <c r="C86" s="9">
        <f>IF(B86="","",IF(B86="SITE","Ensemble du site",IFERROR(INDEX('Équipements'!$B$5:$B$304,MATCH(B86,'Équipements'!$A$5:$A$304,0)),"Code inconnu")))</f>
        <v/>
      </c>
      <c r="D86" s="7" t="n"/>
      <c r="E86" s="7" t="n"/>
      <c r="F86" s="7" t="n"/>
      <c r="G86" s="67" t="n"/>
      <c r="H86" s="65" t="n"/>
      <c r="I86" s="78">
        <f>IF($A86="","",MAX(N(H86),INT(_xlfn.MAXIFS('Ordres de travail'!$R$5:$R$3004,'Ordres de travail'!$I$5:$I$3004,$A86,'Ordres de travail'!$AC$5:$AC$3004,"Clôturé"))))</f>
        <v/>
      </c>
      <c r="J86" s="78">
        <f>IF(OR($A86="",N(I86)=0),"",EDATE(I86,G86))</f>
        <v/>
      </c>
      <c r="K86" s="79">
        <f>IF(J86="","",J86-TODAY())</f>
        <v/>
      </c>
      <c r="L86" s="9">
        <f>IF($A86="","",IF(K86="","À DÉFINIR",IF(K86&lt;0,"EN RETARD",IF(K86&lt;='Paramètres'!$AA$13,"À PLANIFIER","CONFORME"))))</f>
        <v/>
      </c>
      <c r="M86" s="67" t="n"/>
      <c r="N86" s="7" t="n"/>
      <c r="O86" s="70">
        <f>IF($A86="","",SUMIFS('Ordres de travail'!$AA$5:$AA$3004,'Ordres de travail'!$I$5:$I$3004,$A86,'Ordres de travail'!$B$5:$B$3004,"&gt;="&amp;'Paramètres'!$AA$6,'Ordres de travail'!$B$5:$B$3004,"&lt;"&amp;('Paramètres'!$AA$7+1)))</f>
        <v/>
      </c>
    </row>
    <row r="87">
      <c r="A87" s="7" t="n"/>
      <c r="B87" s="7" t="n"/>
      <c r="C87" s="9">
        <f>IF(B87="","",IF(B87="SITE","Ensemble du site",IFERROR(INDEX('Équipements'!$B$5:$B$304,MATCH(B87,'Équipements'!$A$5:$A$304,0)),"Code inconnu")))</f>
        <v/>
      </c>
      <c r="D87" s="7" t="n"/>
      <c r="E87" s="7" t="n"/>
      <c r="F87" s="7" t="n"/>
      <c r="G87" s="67" t="n"/>
      <c r="H87" s="65" t="n"/>
      <c r="I87" s="78">
        <f>IF($A87="","",MAX(N(H87),INT(_xlfn.MAXIFS('Ordres de travail'!$R$5:$R$3004,'Ordres de travail'!$I$5:$I$3004,$A87,'Ordres de travail'!$AC$5:$AC$3004,"Clôturé"))))</f>
        <v/>
      </c>
      <c r="J87" s="78">
        <f>IF(OR($A87="",N(I87)=0),"",EDATE(I87,G87))</f>
        <v/>
      </c>
      <c r="K87" s="79">
        <f>IF(J87="","",J87-TODAY())</f>
        <v/>
      </c>
      <c r="L87" s="9">
        <f>IF($A87="","",IF(K87="","À DÉFINIR",IF(K87&lt;0,"EN RETARD",IF(K87&lt;='Paramètres'!$AA$13,"À PLANIFIER","CONFORME"))))</f>
        <v/>
      </c>
      <c r="M87" s="67" t="n"/>
      <c r="N87" s="7" t="n"/>
      <c r="O87" s="70">
        <f>IF($A87="","",SUMIFS('Ordres de travail'!$AA$5:$AA$3004,'Ordres de travail'!$I$5:$I$3004,$A87,'Ordres de travail'!$B$5:$B$3004,"&gt;="&amp;'Paramètres'!$AA$6,'Ordres de travail'!$B$5:$B$3004,"&lt;"&amp;('Paramètres'!$AA$7+1)))</f>
        <v/>
      </c>
    </row>
    <row r="88">
      <c r="A88" s="7" t="n"/>
      <c r="B88" s="7" t="n"/>
      <c r="C88" s="9">
        <f>IF(B88="","",IF(B88="SITE","Ensemble du site",IFERROR(INDEX('Équipements'!$B$5:$B$304,MATCH(B88,'Équipements'!$A$5:$A$304,0)),"Code inconnu")))</f>
        <v/>
      </c>
      <c r="D88" s="7" t="n"/>
      <c r="E88" s="7" t="n"/>
      <c r="F88" s="7" t="n"/>
      <c r="G88" s="67" t="n"/>
      <c r="H88" s="65" t="n"/>
      <c r="I88" s="78">
        <f>IF($A88="","",MAX(N(H88),INT(_xlfn.MAXIFS('Ordres de travail'!$R$5:$R$3004,'Ordres de travail'!$I$5:$I$3004,$A88,'Ordres de travail'!$AC$5:$AC$3004,"Clôturé"))))</f>
        <v/>
      </c>
      <c r="J88" s="78">
        <f>IF(OR($A88="",N(I88)=0),"",EDATE(I88,G88))</f>
        <v/>
      </c>
      <c r="K88" s="79">
        <f>IF(J88="","",J88-TODAY())</f>
        <v/>
      </c>
      <c r="L88" s="9">
        <f>IF($A88="","",IF(K88="","À DÉFINIR",IF(K88&lt;0,"EN RETARD",IF(K88&lt;='Paramètres'!$AA$13,"À PLANIFIER","CONFORME"))))</f>
        <v/>
      </c>
      <c r="M88" s="67" t="n"/>
      <c r="N88" s="7" t="n"/>
      <c r="O88" s="70">
        <f>IF($A88="","",SUMIFS('Ordres de travail'!$AA$5:$AA$3004,'Ordres de travail'!$I$5:$I$3004,$A88,'Ordres de travail'!$B$5:$B$3004,"&gt;="&amp;'Paramètres'!$AA$6,'Ordres de travail'!$B$5:$B$3004,"&lt;"&amp;('Paramètres'!$AA$7+1)))</f>
        <v/>
      </c>
    </row>
    <row r="89">
      <c r="A89" s="7" t="n"/>
      <c r="B89" s="7" t="n"/>
      <c r="C89" s="9">
        <f>IF(B89="","",IF(B89="SITE","Ensemble du site",IFERROR(INDEX('Équipements'!$B$5:$B$304,MATCH(B89,'Équipements'!$A$5:$A$304,0)),"Code inconnu")))</f>
        <v/>
      </c>
      <c r="D89" s="7" t="n"/>
      <c r="E89" s="7" t="n"/>
      <c r="F89" s="7" t="n"/>
      <c r="G89" s="67" t="n"/>
      <c r="H89" s="65" t="n"/>
      <c r="I89" s="78">
        <f>IF($A89="","",MAX(N(H89),INT(_xlfn.MAXIFS('Ordres de travail'!$R$5:$R$3004,'Ordres de travail'!$I$5:$I$3004,$A89,'Ordres de travail'!$AC$5:$AC$3004,"Clôturé"))))</f>
        <v/>
      </c>
      <c r="J89" s="78">
        <f>IF(OR($A89="",N(I89)=0),"",EDATE(I89,G89))</f>
        <v/>
      </c>
      <c r="K89" s="79">
        <f>IF(J89="","",J89-TODAY())</f>
        <v/>
      </c>
      <c r="L89" s="9">
        <f>IF($A89="","",IF(K89="","À DÉFINIR",IF(K89&lt;0,"EN RETARD",IF(K89&lt;='Paramètres'!$AA$13,"À PLANIFIER","CONFORME"))))</f>
        <v/>
      </c>
      <c r="M89" s="67" t="n"/>
      <c r="N89" s="7" t="n"/>
      <c r="O89" s="70">
        <f>IF($A89="","",SUMIFS('Ordres de travail'!$AA$5:$AA$3004,'Ordres de travail'!$I$5:$I$3004,$A89,'Ordres de travail'!$B$5:$B$3004,"&gt;="&amp;'Paramètres'!$AA$6,'Ordres de travail'!$B$5:$B$3004,"&lt;"&amp;('Paramètres'!$AA$7+1)))</f>
        <v/>
      </c>
    </row>
    <row r="90">
      <c r="A90" s="7" t="n"/>
      <c r="B90" s="7" t="n"/>
      <c r="C90" s="9">
        <f>IF(B90="","",IF(B90="SITE","Ensemble du site",IFERROR(INDEX('Équipements'!$B$5:$B$304,MATCH(B90,'Équipements'!$A$5:$A$304,0)),"Code inconnu")))</f>
        <v/>
      </c>
      <c r="D90" s="7" t="n"/>
      <c r="E90" s="7" t="n"/>
      <c r="F90" s="7" t="n"/>
      <c r="G90" s="67" t="n"/>
      <c r="H90" s="65" t="n"/>
      <c r="I90" s="78">
        <f>IF($A90="","",MAX(N(H90),INT(_xlfn.MAXIFS('Ordres de travail'!$R$5:$R$3004,'Ordres de travail'!$I$5:$I$3004,$A90,'Ordres de travail'!$AC$5:$AC$3004,"Clôturé"))))</f>
        <v/>
      </c>
      <c r="J90" s="78">
        <f>IF(OR($A90="",N(I90)=0),"",EDATE(I90,G90))</f>
        <v/>
      </c>
      <c r="K90" s="79">
        <f>IF(J90="","",J90-TODAY())</f>
        <v/>
      </c>
      <c r="L90" s="9">
        <f>IF($A90="","",IF(K90="","À DÉFINIR",IF(K90&lt;0,"EN RETARD",IF(K90&lt;='Paramètres'!$AA$13,"À PLANIFIER","CONFORME"))))</f>
        <v/>
      </c>
      <c r="M90" s="67" t="n"/>
      <c r="N90" s="7" t="n"/>
      <c r="O90" s="70">
        <f>IF($A90="","",SUMIFS('Ordres de travail'!$AA$5:$AA$3004,'Ordres de travail'!$I$5:$I$3004,$A90,'Ordres de travail'!$B$5:$B$3004,"&gt;="&amp;'Paramètres'!$AA$6,'Ordres de travail'!$B$5:$B$3004,"&lt;"&amp;('Paramètres'!$AA$7+1)))</f>
        <v/>
      </c>
    </row>
    <row r="91">
      <c r="A91" s="7" t="n"/>
      <c r="B91" s="7" t="n"/>
      <c r="C91" s="9">
        <f>IF(B91="","",IF(B91="SITE","Ensemble du site",IFERROR(INDEX('Équipements'!$B$5:$B$304,MATCH(B91,'Équipements'!$A$5:$A$304,0)),"Code inconnu")))</f>
        <v/>
      </c>
      <c r="D91" s="7" t="n"/>
      <c r="E91" s="7" t="n"/>
      <c r="F91" s="7" t="n"/>
      <c r="G91" s="67" t="n"/>
      <c r="H91" s="65" t="n"/>
      <c r="I91" s="78">
        <f>IF($A91="","",MAX(N(H91),INT(_xlfn.MAXIFS('Ordres de travail'!$R$5:$R$3004,'Ordres de travail'!$I$5:$I$3004,$A91,'Ordres de travail'!$AC$5:$AC$3004,"Clôturé"))))</f>
        <v/>
      </c>
      <c r="J91" s="78">
        <f>IF(OR($A91="",N(I91)=0),"",EDATE(I91,G91))</f>
        <v/>
      </c>
      <c r="K91" s="79">
        <f>IF(J91="","",J91-TODAY())</f>
        <v/>
      </c>
      <c r="L91" s="9">
        <f>IF($A91="","",IF(K91="","À DÉFINIR",IF(K91&lt;0,"EN RETARD",IF(K91&lt;='Paramètres'!$AA$13,"À PLANIFIER","CONFORME"))))</f>
        <v/>
      </c>
      <c r="M91" s="67" t="n"/>
      <c r="N91" s="7" t="n"/>
      <c r="O91" s="70">
        <f>IF($A91="","",SUMIFS('Ordres de travail'!$AA$5:$AA$3004,'Ordres de travail'!$I$5:$I$3004,$A91,'Ordres de travail'!$B$5:$B$3004,"&gt;="&amp;'Paramètres'!$AA$6,'Ordres de travail'!$B$5:$B$3004,"&lt;"&amp;('Paramètres'!$AA$7+1)))</f>
        <v/>
      </c>
    </row>
    <row r="92">
      <c r="A92" s="7" t="n"/>
      <c r="B92" s="7" t="n"/>
      <c r="C92" s="9">
        <f>IF(B92="","",IF(B92="SITE","Ensemble du site",IFERROR(INDEX('Équipements'!$B$5:$B$304,MATCH(B92,'Équipements'!$A$5:$A$304,0)),"Code inconnu")))</f>
        <v/>
      </c>
      <c r="D92" s="7" t="n"/>
      <c r="E92" s="7" t="n"/>
      <c r="F92" s="7" t="n"/>
      <c r="G92" s="67" t="n"/>
      <c r="H92" s="65" t="n"/>
      <c r="I92" s="78">
        <f>IF($A92="","",MAX(N(H92),INT(_xlfn.MAXIFS('Ordres de travail'!$R$5:$R$3004,'Ordres de travail'!$I$5:$I$3004,$A92,'Ordres de travail'!$AC$5:$AC$3004,"Clôturé"))))</f>
        <v/>
      </c>
      <c r="J92" s="78">
        <f>IF(OR($A92="",N(I92)=0),"",EDATE(I92,G92))</f>
        <v/>
      </c>
      <c r="K92" s="79">
        <f>IF(J92="","",J92-TODAY())</f>
        <v/>
      </c>
      <c r="L92" s="9">
        <f>IF($A92="","",IF(K92="","À DÉFINIR",IF(K92&lt;0,"EN RETARD",IF(K92&lt;='Paramètres'!$AA$13,"À PLANIFIER","CONFORME"))))</f>
        <v/>
      </c>
      <c r="M92" s="67" t="n"/>
      <c r="N92" s="7" t="n"/>
      <c r="O92" s="70">
        <f>IF($A92="","",SUMIFS('Ordres de travail'!$AA$5:$AA$3004,'Ordres de travail'!$I$5:$I$3004,$A92,'Ordres de travail'!$B$5:$B$3004,"&gt;="&amp;'Paramètres'!$AA$6,'Ordres de travail'!$B$5:$B$3004,"&lt;"&amp;('Paramètres'!$AA$7+1)))</f>
        <v/>
      </c>
    </row>
    <row r="93">
      <c r="A93" s="7" t="n"/>
      <c r="B93" s="7" t="n"/>
      <c r="C93" s="9">
        <f>IF(B93="","",IF(B93="SITE","Ensemble du site",IFERROR(INDEX('Équipements'!$B$5:$B$304,MATCH(B93,'Équipements'!$A$5:$A$304,0)),"Code inconnu")))</f>
        <v/>
      </c>
      <c r="D93" s="7" t="n"/>
      <c r="E93" s="7" t="n"/>
      <c r="F93" s="7" t="n"/>
      <c r="G93" s="67" t="n"/>
      <c r="H93" s="65" t="n"/>
      <c r="I93" s="78">
        <f>IF($A93="","",MAX(N(H93),INT(_xlfn.MAXIFS('Ordres de travail'!$R$5:$R$3004,'Ordres de travail'!$I$5:$I$3004,$A93,'Ordres de travail'!$AC$5:$AC$3004,"Clôturé"))))</f>
        <v/>
      </c>
      <c r="J93" s="78">
        <f>IF(OR($A93="",N(I93)=0),"",EDATE(I93,G93))</f>
        <v/>
      </c>
      <c r="K93" s="79">
        <f>IF(J93="","",J93-TODAY())</f>
        <v/>
      </c>
      <c r="L93" s="9">
        <f>IF($A93="","",IF(K93="","À DÉFINIR",IF(K93&lt;0,"EN RETARD",IF(K93&lt;='Paramètres'!$AA$13,"À PLANIFIER","CONFORME"))))</f>
        <v/>
      </c>
      <c r="M93" s="67" t="n"/>
      <c r="N93" s="7" t="n"/>
      <c r="O93" s="70">
        <f>IF($A93="","",SUMIFS('Ordres de travail'!$AA$5:$AA$3004,'Ordres de travail'!$I$5:$I$3004,$A93,'Ordres de travail'!$B$5:$B$3004,"&gt;="&amp;'Paramètres'!$AA$6,'Ordres de travail'!$B$5:$B$3004,"&lt;"&amp;('Paramètres'!$AA$7+1)))</f>
        <v/>
      </c>
    </row>
    <row r="94">
      <c r="A94" s="7" t="n"/>
      <c r="B94" s="7" t="n"/>
      <c r="C94" s="9">
        <f>IF(B94="","",IF(B94="SITE","Ensemble du site",IFERROR(INDEX('Équipements'!$B$5:$B$304,MATCH(B94,'Équipements'!$A$5:$A$304,0)),"Code inconnu")))</f>
        <v/>
      </c>
      <c r="D94" s="7" t="n"/>
      <c r="E94" s="7" t="n"/>
      <c r="F94" s="7" t="n"/>
      <c r="G94" s="67" t="n"/>
      <c r="H94" s="65" t="n"/>
      <c r="I94" s="78">
        <f>IF($A94="","",MAX(N(H94),INT(_xlfn.MAXIFS('Ordres de travail'!$R$5:$R$3004,'Ordres de travail'!$I$5:$I$3004,$A94,'Ordres de travail'!$AC$5:$AC$3004,"Clôturé"))))</f>
        <v/>
      </c>
      <c r="J94" s="78">
        <f>IF(OR($A94="",N(I94)=0),"",EDATE(I94,G94))</f>
        <v/>
      </c>
      <c r="K94" s="79">
        <f>IF(J94="","",J94-TODAY())</f>
        <v/>
      </c>
      <c r="L94" s="9">
        <f>IF($A94="","",IF(K94="","À DÉFINIR",IF(K94&lt;0,"EN RETARD",IF(K94&lt;='Paramètres'!$AA$13,"À PLANIFIER","CONFORME"))))</f>
        <v/>
      </c>
      <c r="M94" s="67" t="n"/>
      <c r="N94" s="7" t="n"/>
      <c r="O94" s="70">
        <f>IF($A94="","",SUMIFS('Ordres de travail'!$AA$5:$AA$3004,'Ordres de travail'!$I$5:$I$3004,$A94,'Ordres de travail'!$B$5:$B$3004,"&gt;="&amp;'Paramètres'!$AA$6,'Ordres de travail'!$B$5:$B$3004,"&lt;"&amp;('Paramètres'!$AA$7+1)))</f>
        <v/>
      </c>
    </row>
    <row r="95">
      <c r="A95" s="7" t="n"/>
      <c r="B95" s="7" t="n"/>
      <c r="C95" s="9">
        <f>IF(B95="","",IF(B95="SITE","Ensemble du site",IFERROR(INDEX('Équipements'!$B$5:$B$304,MATCH(B95,'Équipements'!$A$5:$A$304,0)),"Code inconnu")))</f>
        <v/>
      </c>
      <c r="D95" s="7" t="n"/>
      <c r="E95" s="7" t="n"/>
      <c r="F95" s="7" t="n"/>
      <c r="G95" s="67" t="n"/>
      <c r="H95" s="65" t="n"/>
      <c r="I95" s="78">
        <f>IF($A95="","",MAX(N(H95),INT(_xlfn.MAXIFS('Ordres de travail'!$R$5:$R$3004,'Ordres de travail'!$I$5:$I$3004,$A95,'Ordres de travail'!$AC$5:$AC$3004,"Clôturé"))))</f>
        <v/>
      </c>
      <c r="J95" s="78">
        <f>IF(OR($A95="",N(I95)=0),"",EDATE(I95,G95))</f>
        <v/>
      </c>
      <c r="K95" s="79">
        <f>IF(J95="","",J95-TODAY())</f>
        <v/>
      </c>
      <c r="L95" s="9">
        <f>IF($A95="","",IF(K95="","À DÉFINIR",IF(K95&lt;0,"EN RETARD",IF(K95&lt;='Paramètres'!$AA$13,"À PLANIFIER","CONFORME"))))</f>
        <v/>
      </c>
      <c r="M95" s="67" t="n"/>
      <c r="N95" s="7" t="n"/>
      <c r="O95" s="70">
        <f>IF($A95="","",SUMIFS('Ordres de travail'!$AA$5:$AA$3004,'Ordres de travail'!$I$5:$I$3004,$A95,'Ordres de travail'!$B$5:$B$3004,"&gt;="&amp;'Paramètres'!$AA$6,'Ordres de travail'!$B$5:$B$3004,"&lt;"&amp;('Paramètres'!$AA$7+1)))</f>
        <v/>
      </c>
    </row>
    <row r="96">
      <c r="A96" s="7" t="n"/>
      <c r="B96" s="7" t="n"/>
      <c r="C96" s="9">
        <f>IF(B96="","",IF(B96="SITE","Ensemble du site",IFERROR(INDEX('Équipements'!$B$5:$B$304,MATCH(B96,'Équipements'!$A$5:$A$304,0)),"Code inconnu")))</f>
        <v/>
      </c>
      <c r="D96" s="7" t="n"/>
      <c r="E96" s="7" t="n"/>
      <c r="F96" s="7" t="n"/>
      <c r="G96" s="67" t="n"/>
      <c r="H96" s="65" t="n"/>
      <c r="I96" s="78">
        <f>IF($A96="","",MAX(N(H96),INT(_xlfn.MAXIFS('Ordres de travail'!$R$5:$R$3004,'Ordres de travail'!$I$5:$I$3004,$A96,'Ordres de travail'!$AC$5:$AC$3004,"Clôturé"))))</f>
        <v/>
      </c>
      <c r="J96" s="78">
        <f>IF(OR($A96="",N(I96)=0),"",EDATE(I96,G96))</f>
        <v/>
      </c>
      <c r="K96" s="79">
        <f>IF(J96="","",J96-TODAY())</f>
        <v/>
      </c>
      <c r="L96" s="9">
        <f>IF($A96="","",IF(K96="","À DÉFINIR",IF(K96&lt;0,"EN RETARD",IF(K96&lt;='Paramètres'!$AA$13,"À PLANIFIER","CONFORME"))))</f>
        <v/>
      </c>
      <c r="M96" s="67" t="n"/>
      <c r="N96" s="7" t="n"/>
      <c r="O96" s="70">
        <f>IF($A96="","",SUMIFS('Ordres de travail'!$AA$5:$AA$3004,'Ordres de travail'!$I$5:$I$3004,$A96,'Ordres de travail'!$B$5:$B$3004,"&gt;="&amp;'Paramètres'!$AA$6,'Ordres de travail'!$B$5:$B$3004,"&lt;"&amp;('Paramètres'!$AA$7+1)))</f>
        <v/>
      </c>
    </row>
    <row r="97">
      <c r="A97" s="7" t="n"/>
      <c r="B97" s="7" t="n"/>
      <c r="C97" s="9">
        <f>IF(B97="","",IF(B97="SITE","Ensemble du site",IFERROR(INDEX('Équipements'!$B$5:$B$304,MATCH(B97,'Équipements'!$A$5:$A$304,0)),"Code inconnu")))</f>
        <v/>
      </c>
      <c r="D97" s="7" t="n"/>
      <c r="E97" s="7" t="n"/>
      <c r="F97" s="7" t="n"/>
      <c r="G97" s="67" t="n"/>
      <c r="H97" s="65" t="n"/>
      <c r="I97" s="78">
        <f>IF($A97="","",MAX(N(H97),INT(_xlfn.MAXIFS('Ordres de travail'!$R$5:$R$3004,'Ordres de travail'!$I$5:$I$3004,$A97,'Ordres de travail'!$AC$5:$AC$3004,"Clôturé"))))</f>
        <v/>
      </c>
      <c r="J97" s="78">
        <f>IF(OR($A97="",N(I97)=0),"",EDATE(I97,G97))</f>
        <v/>
      </c>
      <c r="K97" s="79">
        <f>IF(J97="","",J97-TODAY())</f>
        <v/>
      </c>
      <c r="L97" s="9">
        <f>IF($A97="","",IF(K97="","À DÉFINIR",IF(K97&lt;0,"EN RETARD",IF(K97&lt;='Paramètres'!$AA$13,"À PLANIFIER","CONFORME"))))</f>
        <v/>
      </c>
      <c r="M97" s="67" t="n"/>
      <c r="N97" s="7" t="n"/>
      <c r="O97" s="70">
        <f>IF($A97="","",SUMIFS('Ordres de travail'!$AA$5:$AA$3004,'Ordres de travail'!$I$5:$I$3004,$A97,'Ordres de travail'!$B$5:$B$3004,"&gt;="&amp;'Paramètres'!$AA$6,'Ordres de travail'!$B$5:$B$3004,"&lt;"&amp;('Paramètres'!$AA$7+1)))</f>
        <v/>
      </c>
    </row>
    <row r="98">
      <c r="A98" s="7" t="n"/>
      <c r="B98" s="7" t="n"/>
      <c r="C98" s="9">
        <f>IF(B98="","",IF(B98="SITE","Ensemble du site",IFERROR(INDEX('Équipements'!$B$5:$B$304,MATCH(B98,'Équipements'!$A$5:$A$304,0)),"Code inconnu")))</f>
        <v/>
      </c>
      <c r="D98" s="7" t="n"/>
      <c r="E98" s="7" t="n"/>
      <c r="F98" s="7" t="n"/>
      <c r="G98" s="67" t="n"/>
      <c r="H98" s="65" t="n"/>
      <c r="I98" s="78">
        <f>IF($A98="","",MAX(N(H98),INT(_xlfn.MAXIFS('Ordres de travail'!$R$5:$R$3004,'Ordres de travail'!$I$5:$I$3004,$A98,'Ordres de travail'!$AC$5:$AC$3004,"Clôturé"))))</f>
        <v/>
      </c>
      <c r="J98" s="78">
        <f>IF(OR($A98="",N(I98)=0),"",EDATE(I98,G98))</f>
        <v/>
      </c>
      <c r="K98" s="79">
        <f>IF(J98="","",J98-TODAY())</f>
        <v/>
      </c>
      <c r="L98" s="9">
        <f>IF($A98="","",IF(K98="","À DÉFINIR",IF(K98&lt;0,"EN RETARD",IF(K98&lt;='Paramètres'!$AA$13,"À PLANIFIER","CONFORME"))))</f>
        <v/>
      </c>
      <c r="M98" s="67" t="n"/>
      <c r="N98" s="7" t="n"/>
      <c r="O98" s="70">
        <f>IF($A98="","",SUMIFS('Ordres de travail'!$AA$5:$AA$3004,'Ordres de travail'!$I$5:$I$3004,$A98,'Ordres de travail'!$B$5:$B$3004,"&gt;="&amp;'Paramètres'!$AA$6,'Ordres de travail'!$B$5:$B$3004,"&lt;"&amp;('Paramètres'!$AA$7+1)))</f>
        <v/>
      </c>
    </row>
    <row r="99">
      <c r="A99" s="7" t="n"/>
      <c r="B99" s="7" t="n"/>
      <c r="C99" s="9">
        <f>IF(B99="","",IF(B99="SITE","Ensemble du site",IFERROR(INDEX('Équipements'!$B$5:$B$304,MATCH(B99,'Équipements'!$A$5:$A$304,0)),"Code inconnu")))</f>
        <v/>
      </c>
      <c r="D99" s="7" t="n"/>
      <c r="E99" s="7" t="n"/>
      <c r="F99" s="7" t="n"/>
      <c r="G99" s="67" t="n"/>
      <c r="H99" s="65" t="n"/>
      <c r="I99" s="78">
        <f>IF($A99="","",MAX(N(H99),INT(_xlfn.MAXIFS('Ordres de travail'!$R$5:$R$3004,'Ordres de travail'!$I$5:$I$3004,$A99,'Ordres de travail'!$AC$5:$AC$3004,"Clôturé"))))</f>
        <v/>
      </c>
      <c r="J99" s="78">
        <f>IF(OR($A99="",N(I99)=0),"",EDATE(I99,G99))</f>
        <v/>
      </c>
      <c r="K99" s="79">
        <f>IF(J99="","",J99-TODAY())</f>
        <v/>
      </c>
      <c r="L99" s="9">
        <f>IF($A99="","",IF(K99="","À DÉFINIR",IF(K99&lt;0,"EN RETARD",IF(K99&lt;='Paramètres'!$AA$13,"À PLANIFIER","CONFORME"))))</f>
        <v/>
      </c>
      <c r="M99" s="67" t="n"/>
      <c r="N99" s="7" t="n"/>
      <c r="O99" s="70">
        <f>IF($A99="","",SUMIFS('Ordres de travail'!$AA$5:$AA$3004,'Ordres de travail'!$I$5:$I$3004,$A99,'Ordres de travail'!$B$5:$B$3004,"&gt;="&amp;'Paramètres'!$AA$6,'Ordres de travail'!$B$5:$B$3004,"&lt;"&amp;('Paramètres'!$AA$7+1)))</f>
        <v/>
      </c>
    </row>
    <row r="100">
      <c r="A100" s="7" t="n"/>
      <c r="B100" s="7" t="n"/>
      <c r="C100" s="9">
        <f>IF(B100="","",IF(B100="SITE","Ensemble du site",IFERROR(INDEX('Équipements'!$B$5:$B$304,MATCH(B100,'Équipements'!$A$5:$A$304,0)),"Code inconnu")))</f>
        <v/>
      </c>
      <c r="D100" s="7" t="n"/>
      <c r="E100" s="7" t="n"/>
      <c r="F100" s="7" t="n"/>
      <c r="G100" s="67" t="n"/>
      <c r="H100" s="65" t="n"/>
      <c r="I100" s="78">
        <f>IF($A100="","",MAX(N(H100),INT(_xlfn.MAXIFS('Ordres de travail'!$R$5:$R$3004,'Ordres de travail'!$I$5:$I$3004,$A100,'Ordres de travail'!$AC$5:$AC$3004,"Clôturé"))))</f>
        <v/>
      </c>
      <c r="J100" s="78">
        <f>IF(OR($A100="",N(I100)=0),"",EDATE(I100,G100))</f>
        <v/>
      </c>
      <c r="K100" s="79">
        <f>IF(J100="","",J100-TODAY())</f>
        <v/>
      </c>
      <c r="L100" s="9">
        <f>IF($A100="","",IF(K100="","À DÉFINIR",IF(K100&lt;0,"EN RETARD",IF(K100&lt;='Paramètres'!$AA$13,"À PLANIFIER","CONFORME"))))</f>
        <v/>
      </c>
      <c r="M100" s="67" t="n"/>
      <c r="N100" s="7" t="n"/>
      <c r="O100" s="70">
        <f>IF($A100="","",SUMIFS('Ordres de travail'!$AA$5:$AA$3004,'Ordres de travail'!$I$5:$I$3004,$A100,'Ordres de travail'!$B$5:$B$3004,"&gt;="&amp;'Paramètres'!$AA$6,'Ordres de travail'!$B$5:$B$3004,"&lt;"&amp;('Paramètres'!$AA$7+1)))</f>
        <v/>
      </c>
    </row>
    <row r="101">
      <c r="A101" s="7" t="n"/>
      <c r="B101" s="7" t="n"/>
      <c r="C101" s="9">
        <f>IF(B101="","",IF(B101="SITE","Ensemble du site",IFERROR(INDEX('Équipements'!$B$5:$B$304,MATCH(B101,'Équipements'!$A$5:$A$304,0)),"Code inconnu")))</f>
        <v/>
      </c>
      <c r="D101" s="7" t="n"/>
      <c r="E101" s="7" t="n"/>
      <c r="F101" s="7" t="n"/>
      <c r="G101" s="67" t="n"/>
      <c r="H101" s="65" t="n"/>
      <c r="I101" s="78">
        <f>IF($A101="","",MAX(N(H101),INT(_xlfn.MAXIFS('Ordres de travail'!$R$5:$R$3004,'Ordres de travail'!$I$5:$I$3004,$A101,'Ordres de travail'!$AC$5:$AC$3004,"Clôturé"))))</f>
        <v/>
      </c>
      <c r="J101" s="78">
        <f>IF(OR($A101="",N(I101)=0),"",EDATE(I101,G101))</f>
        <v/>
      </c>
      <c r="K101" s="79">
        <f>IF(J101="","",J101-TODAY())</f>
        <v/>
      </c>
      <c r="L101" s="9">
        <f>IF($A101="","",IF(K101="","À DÉFINIR",IF(K101&lt;0,"EN RETARD",IF(K101&lt;='Paramètres'!$AA$13,"À PLANIFIER","CONFORME"))))</f>
        <v/>
      </c>
      <c r="M101" s="67" t="n"/>
      <c r="N101" s="7" t="n"/>
      <c r="O101" s="70">
        <f>IF($A101="","",SUMIFS('Ordres de travail'!$AA$5:$AA$3004,'Ordres de travail'!$I$5:$I$3004,$A101,'Ordres de travail'!$B$5:$B$3004,"&gt;="&amp;'Paramètres'!$AA$6,'Ordres de travail'!$B$5:$B$3004,"&lt;"&amp;('Paramètres'!$AA$7+1)))</f>
        <v/>
      </c>
    </row>
    <row r="102">
      <c r="A102" s="7" t="n"/>
      <c r="B102" s="7" t="n"/>
      <c r="C102" s="9">
        <f>IF(B102="","",IF(B102="SITE","Ensemble du site",IFERROR(INDEX('Équipements'!$B$5:$B$304,MATCH(B102,'Équipements'!$A$5:$A$304,0)),"Code inconnu")))</f>
        <v/>
      </c>
      <c r="D102" s="7" t="n"/>
      <c r="E102" s="7" t="n"/>
      <c r="F102" s="7" t="n"/>
      <c r="G102" s="67" t="n"/>
      <c r="H102" s="65" t="n"/>
      <c r="I102" s="78">
        <f>IF($A102="","",MAX(N(H102),INT(_xlfn.MAXIFS('Ordres de travail'!$R$5:$R$3004,'Ordres de travail'!$I$5:$I$3004,$A102,'Ordres de travail'!$AC$5:$AC$3004,"Clôturé"))))</f>
        <v/>
      </c>
      <c r="J102" s="78">
        <f>IF(OR($A102="",N(I102)=0),"",EDATE(I102,G102))</f>
        <v/>
      </c>
      <c r="K102" s="79">
        <f>IF(J102="","",J102-TODAY())</f>
        <v/>
      </c>
      <c r="L102" s="9">
        <f>IF($A102="","",IF(K102="","À DÉFINIR",IF(K102&lt;0,"EN RETARD",IF(K102&lt;='Paramètres'!$AA$13,"À PLANIFIER","CONFORME"))))</f>
        <v/>
      </c>
      <c r="M102" s="67" t="n"/>
      <c r="N102" s="7" t="n"/>
      <c r="O102" s="70">
        <f>IF($A102="","",SUMIFS('Ordres de travail'!$AA$5:$AA$3004,'Ordres de travail'!$I$5:$I$3004,$A102,'Ordres de travail'!$B$5:$B$3004,"&gt;="&amp;'Paramètres'!$AA$6,'Ordres de travail'!$B$5:$B$3004,"&lt;"&amp;('Paramètres'!$AA$7+1)))</f>
        <v/>
      </c>
    </row>
    <row r="103">
      <c r="A103" s="7" t="n"/>
      <c r="B103" s="7" t="n"/>
      <c r="C103" s="9">
        <f>IF(B103="","",IF(B103="SITE","Ensemble du site",IFERROR(INDEX('Équipements'!$B$5:$B$304,MATCH(B103,'Équipements'!$A$5:$A$304,0)),"Code inconnu")))</f>
        <v/>
      </c>
      <c r="D103" s="7" t="n"/>
      <c r="E103" s="7" t="n"/>
      <c r="F103" s="7" t="n"/>
      <c r="G103" s="67" t="n"/>
      <c r="H103" s="65" t="n"/>
      <c r="I103" s="78">
        <f>IF($A103="","",MAX(N(H103),INT(_xlfn.MAXIFS('Ordres de travail'!$R$5:$R$3004,'Ordres de travail'!$I$5:$I$3004,$A103,'Ordres de travail'!$AC$5:$AC$3004,"Clôturé"))))</f>
        <v/>
      </c>
      <c r="J103" s="78">
        <f>IF(OR($A103="",N(I103)=0),"",EDATE(I103,G103))</f>
        <v/>
      </c>
      <c r="K103" s="79">
        <f>IF(J103="","",J103-TODAY())</f>
        <v/>
      </c>
      <c r="L103" s="9">
        <f>IF($A103="","",IF(K103="","À DÉFINIR",IF(K103&lt;0,"EN RETARD",IF(K103&lt;='Paramètres'!$AA$13,"À PLANIFIER","CONFORME"))))</f>
        <v/>
      </c>
      <c r="M103" s="67" t="n"/>
      <c r="N103" s="7" t="n"/>
      <c r="O103" s="70">
        <f>IF($A103="","",SUMIFS('Ordres de travail'!$AA$5:$AA$3004,'Ordres de travail'!$I$5:$I$3004,$A103,'Ordres de travail'!$B$5:$B$3004,"&gt;="&amp;'Paramètres'!$AA$6,'Ordres de travail'!$B$5:$B$3004,"&lt;"&amp;('Paramètres'!$AA$7+1)))</f>
        <v/>
      </c>
    </row>
    <row r="104">
      <c r="A104" s="7" t="n"/>
      <c r="B104" s="7" t="n"/>
      <c r="C104" s="9">
        <f>IF(B104="","",IF(B104="SITE","Ensemble du site",IFERROR(INDEX('Équipements'!$B$5:$B$304,MATCH(B104,'Équipements'!$A$5:$A$304,0)),"Code inconnu")))</f>
        <v/>
      </c>
      <c r="D104" s="7" t="n"/>
      <c r="E104" s="7" t="n"/>
      <c r="F104" s="7" t="n"/>
      <c r="G104" s="67" t="n"/>
      <c r="H104" s="65" t="n"/>
      <c r="I104" s="78">
        <f>IF($A104="","",MAX(N(H104),INT(_xlfn.MAXIFS('Ordres de travail'!$R$5:$R$3004,'Ordres de travail'!$I$5:$I$3004,$A104,'Ordres de travail'!$AC$5:$AC$3004,"Clôturé"))))</f>
        <v/>
      </c>
      <c r="J104" s="78">
        <f>IF(OR($A104="",N(I104)=0),"",EDATE(I104,G104))</f>
        <v/>
      </c>
      <c r="K104" s="79">
        <f>IF(J104="","",J104-TODAY())</f>
        <v/>
      </c>
      <c r="L104" s="9">
        <f>IF($A104="","",IF(K104="","À DÉFINIR",IF(K104&lt;0,"EN RETARD",IF(K104&lt;='Paramètres'!$AA$13,"À PLANIFIER","CONFORME"))))</f>
        <v/>
      </c>
      <c r="M104" s="67" t="n"/>
      <c r="N104" s="7" t="n"/>
      <c r="O104" s="70">
        <f>IF($A104="","",SUMIFS('Ordres de travail'!$AA$5:$AA$3004,'Ordres de travail'!$I$5:$I$3004,$A104,'Ordres de travail'!$B$5:$B$3004,"&gt;="&amp;'Paramètres'!$AA$6,'Ordres de travail'!$B$5:$B$3004,"&lt;"&amp;('Paramètres'!$AA$7+1)))</f>
        <v/>
      </c>
    </row>
    <row r="105">
      <c r="A105" s="7" t="n"/>
      <c r="B105" s="7" t="n"/>
      <c r="C105" s="9">
        <f>IF(B105="","",IF(B105="SITE","Ensemble du site",IFERROR(INDEX('Équipements'!$B$5:$B$304,MATCH(B105,'Équipements'!$A$5:$A$304,0)),"Code inconnu")))</f>
        <v/>
      </c>
      <c r="D105" s="7" t="n"/>
      <c r="E105" s="7" t="n"/>
      <c r="F105" s="7" t="n"/>
      <c r="G105" s="67" t="n"/>
      <c r="H105" s="65" t="n"/>
      <c r="I105" s="78">
        <f>IF($A105="","",MAX(N(H105),INT(_xlfn.MAXIFS('Ordres de travail'!$R$5:$R$3004,'Ordres de travail'!$I$5:$I$3004,$A105,'Ordres de travail'!$AC$5:$AC$3004,"Clôturé"))))</f>
        <v/>
      </c>
      <c r="J105" s="78">
        <f>IF(OR($A105="",N(I105)=0),"",EDATE(I105,G105))</f>
        <v/>
      </c>
      <c r="K105" s="79">
        <f>IF(J105="","",J105-TODAY())</f>
        <v/>
      </c>
      <c r="L105" s="9">
        <f>IF($A105="","",IF(K105="","À DÉFINIR",IF(K105&lt;0,"EN RETARD",IF(K105&lt;='Paramètres'!$AA$13,"À PLANIFIER","CONFORME"))))</f>
        <v/>
      </c>
      <c r="M105" s="67" t="n"/>
      <c r="N105" s="7" t="n"/>
      <c r="O105" s="70">
        <f>IF($A105="","",SUMIFS('Ordres de travail'!$AA$5:$AA$3004,'Ordres de travail'!$I$5:$I$3004,$A105,'Ordres de travail'!$B$5:$B$3004,"&gt;="&amp;'Paramètres'!$AA$6,'Ordres de travail'!$B$5:$B$3004,"&lt;"&amp;('Paramètres'!$AA$7+1)))</f>
        <v/>
      </c>
    </row>
    <row r="106">
      <c r="A106" s="7" t="n"/>
      <c r="B106" s="7" t="n"/>
      <c r="C106" s="9">
        <f>IF(B106="","",IF(B106="SITE","Ensemble du site",IFERROR(INDEX('Équipements'!$B$5:$B$304,MATCH(B106,'Équipements'!$A$5:$A$304,0)),"Code inconnu")))</f>
        <v/>
      </c>
      <c r="D106" s="7" t="n"/>
      <c r="E106" s="7" t="n"/>
      <c r="F106" s="7" t="n"/>
      <c r="G106" s="67" t="n"/>
      <c r="H106" s="65" t="n"/>
      <c r="I106" s="78">
        <f>IF($A106="","",MAX(N(H106),INT(_xlfn.MAXIFS('Ordres de travail'!$R$5:$R$3004,'Ordres de travail'!$I$5:$I$3004,$A106,'Ordres de travail'!$AC$5:$AC$3004,"Clôturé"))))</f>
        <v/>
      </c>
      <c r="J106" s="78">
        <f>IF(OR($A106="",N(I106)=0),"",EDATE(I106,G106))</f>
        <v/>
      </c>
      <c r="K106" s="79">
        <f>IF(J106="","",J106-TODAY())</f>
        <v/>
      </c>
      <c r="L106" s="9">
        <f>IF($A106="","",IF(K106="","À DÉFINIR",IF(K106&lt;0,"EN RETARD",IF(K106&lt;='Paramètres'!$AA$13,"À PLANIFIER","CONFORME"))))</f>
        <v/>
      </c>
      <c r="M106" s="67" t="n"/>
      <c r="N106" s="7" t="n"/>
      <c r="O106" s="70">
        <f>IF($A106="","",SUMIFS('Ordres de travail'!$AA$5:$AA$3004,'Ordres de travail'!$I$5:$I$3004,$A106,'Ordres de travail'!$B$5:$B$3004,"&gt;="&amp;'Paramètres'!$AA$6,'Ordres de travail'!$B$5:$B$3004,"&lt;"&amp;('Paramètres'!$AA$7+1)))</f>
        <v/>
      </c>
    </row>
    <row r="107">
      <c r="A107" s="7" t="n"/>
      <c r="B107" s="7" t="n"/>
      <c r="C107" s="9">
        <f>IF(B107="","",IF(B107="SITE","Ensemble du site",IFERROR(INDEX('Équipements'!$B$5:$B$304,MATCH(B107,'Équipements'!$A$5:$A$304,0)),"Code inconnu")))</f>
        <v/>
      </c>
      <c r="D107" s="7" t="n"/>
      <c r="E107" s="7" t="n"/>
      <c r="F107" s="7" t="n"/>
      <c r="G107" s="67" t="n"/>
      <c r="H107" s="65" t="n"/>
      <c r="I107" s="78">
        <f>IF($A107="","",MAX(N(H107),INT(_xlfn.MAXIFS('Ordres de travail'!$R$5:$R$3004,'Ordres de travail'!$I$5:$I$3004,$A107,'Ordres de travail'!$AC$5:$AC$3004,"Clôturé"))))</f>
        <v/>
      </c>
      <c r="J107" s="78">
        <f>IF(OR($A107="",N(I107)=0),"",EDATE(I107,G107))</f>
        <v/>
      </c>
      <c r="K107" s="79">
        <f>IF(J107="","",J107-TODAY())</f>
        <v/>
      </c>
      <c r="L107" s="9">
        <f>IF($A107="","",IF(K107="","À DÉFINIR",IF(K107&lt;0,"EN RETARD",IF(K107&lt;='Paramètres'!$AA$13,"À PLANIFIER","CONFORME"))))</f>
        <v/>
      </c>
      <c r="M107" s="67" t="n"/>
      <c r="N107" s="7" t="n"/>
      <c r="O107" s="70">
        <f>IF($A107="","",SUMIFS('Ordres de travail'!$AA$5:$AA$3004,'Ordres de travail'!$I$5:$I$3004,$A107,'Ordres de travail'!$B$5:$B$3004,"&gt;="&amp;'Paramètres'!$AA$6,'Ordres de travail'!$B$5:$B$3004,"&lt;"&amp;('Paramètres'!$AA$7+1)))</f>
        <v/>
      </c>
    </row>
    <row r="108">
      <c r="A108" s="7" t="n"/>
      <c r="B108" s="7" t="n"/>
      <c r="C108" s="9">
        <f>IF(B108="","",IF(B108="SITE","Ensemble du site",IFERROR(INDEX('Équipements'!$B$5:$B$304,MATCH(B108,'Équipements'!$A$5:$A$304,0)),"Code inconnu")))</f>
        <v/>
      </c>
      <c r="D108" s="7" t="n"/>
      <c r="E108" s="7" t="n"/>
      <c r="F108" s="7" t="n"/>
      <c r="G108" s="67" t="n"/>
      <c r="H108" s="65" t="n"/>
      <c r="I108" s="78">
        <f>IF($A108="","",MAX(N(H108),INT(_xlfn.MAXIFS('Ordres de travail'!$R$5:$R$3004,'Ordres de travail'!$I$5:$I$3004,$A108,'Ordres de travail'!$AC$5:$AC$3004,"Clôturé"))))</f>
        <v/>
      </c>
      <c r="J108" s="78">
        <f>IF(OR($A108="",N(I108)=0),"",EDATE(I108,G108))</f>
        <v/>
      </c>
      <c r="K108" s="79">
        <f>IF(J108="","",J108-TODAY())</f>
        <v/>
      </c>
      <c r="L108" s="9">
        <f>IF($A108="","",IF(K108="","À DÉFINIR",IF(K108&lt;0,"EN RETARD",IF(K108&lt;='Paramètres'!$AA$13,"À PLANIFIER","CONFORME"))))</f>
        <v/>
      </c>
      <c r="M108" s="67" t="n"/>
      <c r="N108" s="7" t="n"/>
      <c r="O108" s="70">
        <f>IF($A108="","",SUMIFS('Ordres de travail'!$AA$5:$AA$3004,'Ordres de travail'!$I$5:$I$3004,$A108,'Ordres de travail'!$B$5:$B$3004,"&gt;="&amp;'Paramètres'!$AA$6,'Ordres de travail'!$B$5:$B$3004,"&lt;"&amp;('Paramètres'!$AA$7+1)))</f>
        <v/>
      </c>
    </row>
    <row r="109">
      <c r="A109" s="7" t="n"/>
      <c r="B109" s="7" t="n"/>
      <c r="C109" s="9">
        <f>IF(B109="","",IF(B109="SITE","Ensemble du site",IFERROR(INDEX('Équipements'!$B$5:$B$304,MATCH(B109,'Équipements'!$A$5:$A$304,0)),"Code inconnu")))</f>
        <v/>
      </c>
      <c r="D109" s="7" t="n"/>
      <c r="E109" s="7" t="n"/>
      <c r="F109" s="7" t="n"/>
      <c r="G109" s="67" t="n"/>
      <c r="H109" s="65" t="n"/>
      <c r="I109" s="78">
        <f>IF($A109="","",MAX(N(H109),INT(_xlfn.MAXIFS('Ordres de travail'!$R$5:$R$3004,'Ordres de travail'!$I$5:$I$3004,$A109,'Ordres de travail'!$AC$5:$AC$3004,"Clôturé"))))</f>
        <v/>
      </c>
      <c r="J109" s="78">
        <f>IF(OR($A109="",N(I109)=0),"",EDATE(I109,G109))</f>
        <v/>
      </c>
      <c r="K109" s="79">
        <f>IF(J109="","",J109-TODAY())</f>
        <v/>
      </c>
      <c r="L109" s="9">
        <f>IF($A109="","",IF(K109="","À DÉFINIR",IF(K109&lt;0,"EN RETARD",IF(K109&lt;='Paramètres'!$AA$13,"À PLANIFIER","CONFORME"))))</f>
        <v/>
      </c>
      <c r="M109" s="67" t="n"/>
      <c r="N109" s="7" t="n"/>
      <c r="O109" s="70">
        <f>IF($A109="","",SUMIFS('Ordres de travail'!$AA$5:$AA$3004,'Ordres de travail'!$I$5:$I$3004,$A109,'Ordres de travail'!$B$5:$B$3004,"&gt;="&amp;'Paramètres'!$AA$6,'Ordres de travail'!$B$5:$B$3004,"&lt;"&amp;('Paramètres'!$AA$7+1)))</f>
        <v/>
      </c>
    </row>
    <row r="110">
      <c r="A110" s="7" t="n"/>
      <c r="B110" s="7" t="n"/>
      <c r="C110" s="9">
        <f>IF(B110="","",IF(B110="SITE","Ensemble du site",IFERROR(INDEX('Équipements'!$B$5:$B$304,MATCH(B110,'Équipements'!$A$5:$A$304,0)),"Code inconnu")))</f>
        <v/>
      </c>
      <c r="D110" s="7" t="n"/>
      <c r="E110" s="7" t="n"/>
      <c r="F110" s="7" t="n"/>
      <c r="G110" s="67" t="n"/>
      <c r="H110" s="65" t="n"/>
      <c r="I110" s="78">
        <f>IF($A110="","",MAX(N(H110),INT(_xlfn.MAXIFS('Ordres de travail'!$R$5:$R$3004,'Ordres de travail'!$I$5:$I$3004,$A110,'Ordres de travail'!$AC$5:$AC$3004,"Clôturé"))))</f>
        <v/>
      </c>
      <c r="J110" s="78">
        <f>IF(OR($A110="",N(I110)=0),"",EDATE(I110,G110))</f>
        <v/>
      </c>
      <c r="K110" s="79">
        <f>IF(J110="","",J110-TODAY())</f>
        <v/>
      </c>
      <c r="L110" s="9">
        <f>IF($A110="","",IF(K110="","À DÉFINIR",IF(K110&lt;0,"EN RETARD",IF(K110&lt;='Paramètres'!$AA$13,"À PLANIFIER","CONFORME"))))</f>
        <v/>
      </c>
      <c r="M110" s="67" t="n"/>
      <c r="N110" s="7" t="n"/>
      <c r="O110" s="70">
        <f>IF($A110="","",SUMIFS('Ordres de travail'!$AA$5:$AA$3004,'Ordres de travail'!$I$5:$I$3004,$A110,'Ordres de travail'!$B$5:$B$3004,"&gt;="&amp;'Paramètres'!$AA$6,'Ordres de travail'!$B$5:$B$3004,"&lt;"&amp;('Paramètres'!$AA$7+1)))</f>
        <v/>
      </c>
    </row>
    <row r="111">
      <c r="A111" s="7" t="n"/>
      <c r="B111" s="7" t="n"/>
      <c r="C111" s="9">
        <f>IF(B111="","",IF(B111="SITE","Ensemble du site",IFERROR(INDEX('Équipements'!$B$5:$B$304,MATCH(B111,'Équipements'!$A$5:$A$304,0)),"Code inconnu")))</f>
        <v/>
      </c>
      <c r="D111" s="7" t="n"/>
      <c r="E111" s="7" t="n"/>
      <c r="F111" s="7" t="n"/>
      <c r="G111" s="67" t="n"/>
      <c r="H111" s="65" t="n"/>
      <c r="I111" s="78">
        <f>IF($A111="","",MAX(N(H111),INT(_xlfn.MAXIFS('Ordres de travail'!$R$5:$R$3004,'Ordres de travail'!$I$5:$I$3004,$A111,'Ordres de travail'!$AC$5:$AC$3004,"Clôturé"))))</f>
        <v/>
      </c>
      <c r="J111" s="78">
        <f>IF(OR($A111="",N(I111)=0),"",EDATE(I111,G111))</f>
        <v/>
      </c>
      <c r="K111" s="79">
        <f>IF(J111="","",J111-TODAY())</f>
        <v/>
      </c>
      <c r="L111" s="9">
        <f>IF($A111="","",IF(K111="","À DÉFINIR",IF(K111&lt;0,"EN RETARD",IF(K111&lt;='Paramètres'!$AA$13,"À PLANIFIER","CONFORME"))))</f>
        <v/>
      </c>
      <c r="M111" s="67" t="n"/>
      <c r="N111" s="7" t="n"/>
      <c r="O111" s="70">
        <f>IF($A111="","",SUMIFS('Ordres de travail'!$AA$5:$AA$3004,'Ordres de travail'!$I$5:$I$3004,$A111,'Ordres de travail'!$B$5:$B$3004,"&gt;="&amp;'Paramètres'!$AA$6,'Ordres de travail'!$B$5:$B$3004,"&lt;"&amp;('Paramètres'!$AA$7+1)))</f>
        <v/>
      </c>
    </row>
    <row r="112">
      <c r="A112" s="7" t="n"/>
      <c r="B112" s="7" t="n"/>
      <c r="C112" s="9">
        <f>IF(B112="","",IF(B112="SITE","Ensemble du site",IFERROR(INDEX('Équipements'!$B$5:$B$304,MATCH(B112,'Équipements'!$A$5:$A$304,0)),"Code inconnu")))</f>
        <v/>
      </c>
      <c r="D112" s="7" t="n"/>
      <c r="E112" s="7" t="n"/>
      <c r="F112" s="7" t="n"/>
      <c r="G112" s="67" t="n"/>
      <c r="H112" s="65" t="n"/>
      <c r="I112" s="78">
        <f>IF($A112="","",MAX(N(H112),INT(_xlfn.MAXIFS('Ordres de travail'!$R$5:$R$3004,'Ordres de travail'!$I$5:$I$3004,$A112,'Ordres de travail'!$AC$5:$AC$3004,"Clôturé"))))</f>
        <v/>
      </c>
      <c r="J112" s="78">
        <f>IF(OR($A112="",N(I112)=0),"",EDATE(I112,G112))</f>
        <v/>
      </c>
      <c r="K112" s="79">
        <f>IF(J112="","",J112-TODAY())</f>
        <v/>
      </c>
      <c r="L112" s="9">
        <f>IF($A112="","",IF(K112="","À DÉFINIR",IF(K112&lt;0,"EN RETARD",IF(K112&lt;='Paramètres'!$AA$13,"À PLANIFIER","CONFORME"))))</f>
        <v/>
      </c>
      <c r="M112" s="67" t="n"/>
      <c r="N112" s="7" t="n"/>
      <c r="O112" s="70">
        <f>IF($A112="","",SUMIFS('Ordres de travail'!$AA$5:$AA$3004,'Ordres de travail'!$I$5:$I$3004,$A112,'Ordres de travail'!$B$5:$B$3004,"&gt;="&amp;'Paramètres'!$AA$6,'Ordres de travail'!$B$5:$B$3004,"&lt;"&amp;('Paramètres'!$AA$7+1)))</f>
        <v/>
      </c>
    </row>
    <row r="113">
      <c r="A113" s="7" t="n"/>
      <c r="B113" s="7" t="n"/>
      <c r="C113" s="9">
        <f>IF(B113="","",IF(B113="SITE","Ensemble du site",IFERROR(INDEX('Équipements'!$B$5:$B$304,MATCH(B113,'Équipements'!$A$5:$A$304,0)),"Code inconnu")))</f>
        <v/>
      </c>
      <c r="D113" s="7" t="n"/>
      <c r="E113" s="7" t="n"/>
      <c r="F113" s="7" t="n"/>
      <c r="G113" s="67" t="n"/>
      <c r="H113" s="65" t="n"/>
      <c r="I113" s="78">
        <f>IF($A113="","",MAX(N(H113),INT(_xlfn.MAXIFS('Ordres de travail'!$R$5:$R$3004,'Ordres de travail'!$I$5:$I$3004,$A113,'Ordres de travail'!$AC$5:$AC$3004,"Clôturé"))))</f>
        <v/>
      </c>
      <c r="J113" s="78">
        <f>IF(OR($A113="",N(I113)=0),"",EDATE(I113,G113))</f>
        <v/>
      </c>
      <c r="K113" s="79">
        <f>IF(J113="","",J113-TODAY())</f>
        <v/>
      </c>
      <c r="L113" s="9">
        <f>IF($A113="","",IF(K113="","À DÉFINIR",IF(K113&lt;0,"EN RETARD",IF(K113&lt;='Paramètres'!$AA$13,"À PLANIFIER","CONFORME"))))</f>
        <v/>
      </c>
      <c r="M113" s="67" t="n"/>
      <c r="N113" s="7" t="n"/>
      <c r="O113" s="70">
        <f>IF($A113="","",SUMIFS('Ordres de travail'!$AA$5:$AA$3004,'Ordres de travail'!$I$5:$I$3004,$A113,'Ordres de travail'!$B$5:$B$3004,"&gt;="&amp;'Paramètres'!$AA$6,'Ordres de travail'!$B$5:$B$3004,"&lt;"&amp;('Paramètres'!$AA$7+1)))</f>
        <v/>
      </c>
    </row>
    <row r="114">
      <c r="A114" s="7" t="n"/>
      <c r="B114" s="7" t="n"/>
      <c r="C114" s="9">
        <f>IF(B114="","",IF(B114="SITE","Ensemble du site",IFERROR(INDEX('Équipements'!$B$5:$B$304,MATCH(B114,'Équipements'!$A$5:$A$304,0)),"Code inconnu")))</f>
        <v/>
      </c>
      <c r="D114" s="7" t="n"/>
      <c r="E114" s="7" t="n"/>
      <c r="F114" s="7" t="n"/>
      <c r="G114" s="67" t="n"/>
      <c r="H114" s="65" t="n"/>
      <c r="I114" s="78">
        <f>IF($A114="","",MAX(N(H114),INT(_xlfn.MAXIFS('Ordres de travail'!$R$5:$R$3004,'Ordres de travail'!$I$5:$I$3004,$A114,'Ordres de travail'!$AC$5:$AC$3004,"Clôturé"))))</f>
        <v/>
      </c>
      <c r="J114" s="78">
        <f>IF(OR($A114="",N(I114)=0),"",EDATE(I114,G114))</f>
        <v/>
      </c>
      <c r="K114" s="79">
        <f>IF(J114="","",J114-TODAY())</f>
        <v/>
      </c>
      <c r="L114" s="9">
        <f>IF($A114="","",IF(K114="","À DÉFINIR",IF(K114&lt;0,"EN RETARD",IF(K114&lt;='Paramètres'!$AA$13,"À PLANIFIER","CONFORME"))))</f>
        <v/>
      </c>
      <c r="M114" s="67" t="n"/>
      <c r="N114" s="7" t="n"/>
      <c r="O114" s="70">
        <f>IF($A114="","",SUMIFS('Ordres de travail'!$AA$5:$AA$3004,'Ordres de travail'!$I$5:$I$3004,$A114,'Ordres de travail'!$B$5:$B$3004,"&gt;="&amp;'Paramètres'!$AA$6,'Ordres de travail'!$B$5:$B$3004,"&lt;"&amp;('Paramètres'!$AA$7+1)))</f>
        <v/>
      </c>
    </row>
    <row r="115">
      <c r="A115" s="7" t="n"/>
      <c r="B115" s="7" t="n"/>
      <c r="C115" s="9">
        <f>IF(B115="","",IF(B115="SITE","Ensemble du site",IFERROR(INDEX('Équipements'!$B$5:$B$304,MATCH(B115,'Équipements'!$A$5:$A$304,0)),"Code inconnu")))</f>
        <v/>
      </c>
      <c r="D115" s="7" t="n"/>
      <c r="E115" s="7" t="n"/>
      <c r="F115" s="7" t="n"/>
      <c r="G115" s="67" t="n"/>
      <c r="H115" s="65" t="n"/>
      <c r="I115" s="78">
        <f>IF($A115="","",MAX(N(H115),INT(_xlfn.MAXIFS('Ordres de travail'!$R$5:$R$3004,'Ordres de travail'!$I$5:$I$3004,$A115,'Ordres de travail'!$AC$5:$AC$3004,"Clôturé"))))</f>
        <v/>
      </c>
      <c r="J115" s="78">
        <f>IF(OR($A115="",N(I115)=0),"",EDATE(I115,G115))</f>
        <v/>
      </c>
      <c r="K115" s="79">
        <f>IF(J115="","",J115-TODAY())</f>
        <v/>
      </c>
      <c r="L115" s="9">
        <f>IF($A115="","",IF(K115="","À DÉFINIR",IF(K115&lt;0,"EN RETARD",IF(K115&lt;='Paramètres'!$AA$13,"À PLANIFIER","CONFORME"))))</f>
        <v/>
      </c>
      <c r="M115" s="67" t="n"/>
      <c r="N115" s="7" t="n"/>
      <c r="O115" s="70">
        <f>IF($A115="","",SUMIFS('Ordres de travail'!$AA$5:$AA$3004,'Ordres de travail'!$I$5:$I$3004,$A115,'Ordres de travail'!$B$5:$B$3004,"&gt;="&amp;'Paramètres'!$AA$6,'Ordres de travail'!$B$5:$B$3004,"&lt;"&amp;('Paramètres'!$AA$7+1)))</f>
        <v/>
      </c>
    </row>
    <row r="116">
      <c r="A116" s="7" t="n"/>
      <c r="B116" s="7" t="n"/>
      <c r="C116" s="9">
        <f>IF(B116="","",IF(B116="SITE","Ensemble du site",IFERROR(INDEX('Équipements'!$B$5:$B$304,MATCH(B116,'Équipements'!$A$5:$A$304,0)),"Code inconnu")))</f>
        <v/>
      </c>
      <c r="D116" s="7" t="n"/>
      <c r="E116" s="7" t="n"/>
      <c r="F116" s="7" t="n"/>
      <c r="G116" s="67" t="n"/>
      <c r="H116" s="65" t="n"/>
      <c r="I116" s="78">
        <f>IF($A116="","",MAX(N(H116),INT(_xlfn.MAXIFS('Ordres de travail'!$R$5:$R$3004,'Ordres de travail'!$I$5:$I$3004,$A116,'Ordres de travail'!$AC$5:$AC$3004,"Clôturé"))))</f>
        <v/>
      </c>
      <c r="J116" s="78">
        <f>IF(OR($A116="",N(I116)=0),"",EDATE(I116,G116))</f>
        <v/>
      </c>
      <c r="K116" s="79">
        <f>IF(J116="","",J116-TODAY())</f>
        <v/>
      </c>
      <c r="L116" s="9">
        <f>IF($A116="","",IF(K116="","À DÉFINIR",IF(K116&lt;0,"EN RETARD",IF(K116&lt;='Paramètres'!$AA$13,"À PLANIFIER","CONFORME"))))</f>
        <v/>
      </c>
      <c r="M116" s="67" t="n"/>
      <c r="N116" s="7" t="n"/>
      <c r="O116" s="70">
        <f>IF($A116="","",SUMIFS('Ordres de travail'!$AA$5:$AA$3004,'Ordres de travail'!$I$5:$I$3004,$A116,'Ordres de travail'!$B$5:$B$3004,"&gt;="&amp;'Paramètres'!$AA$6,'Ordres de travail'!$B$5:$B$3004,"&lt;"&amp;('Paramètres'!$AA$7+1)))</f>
        <v/>
      </c>
    </row>
    <row r="117">
      <c r="A117" s="7" t="n"/>
      <c r="B117" s="7" t="n"/>
      <c r="C117" s="9">
        <f>IF(B117="","",IF(B117="SITE","Ensemble du site",IFERROR(INDEX('Équipements'!$B$5:$B$304,MATCH(B117,'Équipements'!$A$5:$A$304,0)),"Code inconnu")))</f>
        <v/>
      </c>
      <c r="D117" s="7" t="n"/>
      <c r="E117" s="7" t="n"/>
      <c r="F117" s="7" t="n"/>
      <c r="G117" s="67" t="n"/>
      <c r="H117" s="65" t="n"/>
      <c r="I117" s="78">
        <f>IF($A117="","",MAX(N(H117),INT(_xlfn.MAXIFS('Ordres de travail'!$R$5:$R$3004,'Ordres de travail'!$I$5:$I$3004,$A117,'Ordres de travail'!$AC$5:$AC$3004,"Clôturé"))))</f>
        <v/>
      </c>
      <c r="J117" s="78">
        <f>IF(OR($A117="",N(I117)=0),"",EDATE(I117,G117))</f>
        <v/>
      </c>
      <c r="K117" s="79">
        <f>IF(J117="","",J117-TODAY())</f>
        <v/>
      </c>
      <c r="L117" s="9">
        <f>IF($A117="","",IF(K117="","À DÉFINIR",IF(K117&lt;0,"EN RETARD",IF(K117&lt;='Paramètres'!$AA$13,"À PLANIFIER","CONFORME"))))</f>
        <v/>
      </c>
      <c r="M117" s="67" t="n"/>
      <c r="N117" s="7" t="n"/>
      <c r="O117" s="70">
        <f>IF($A117="","",SUMIFS('Ordres de travail'!$AA$5:$AA$3004,'Ordres de travail'!$I$5:$I$3004,$A117,'Ordres de travail'!$B$5:$B$3004,"&gt;="&amp;'Paramètres'!$AA$6,'Ordres de travail'!$B$5:$B$3004,"&lt;"&amp;('Paramètres'!$AA$7+1)))</f>
        <v/>
      </c>
    </row>
    <row r="118">
      <c r="A118" s="7" t="n"/>
      <c r="B118" s="7" t="n"/>
      <c r="C118" s="9">
        <f>IF(B118="","",IF(B118="SITE","Ensemble du site",IFERROR(INDEX('Équipements'!$B$5:$B$304,MATCH(B118,'Équipements'!$A$5:$A$304,0)),"Code inconnu")))</f>
        <v/>
      </c>
      <c r="D118" s="7" t="n"/>
      <c r="E118" s="7" t="n"/>
      <c r="F118" s="7" t="n"/>
      <c r="G118" s="67" t="n"/>
      <c r="H118" s="65" t="n"/>
      <c r="I118" s="78">
        <f>IF($A118="","",MAX(N(H118),INT(_xlfn.MAXIFS('Ordres de travail'!$R$5:$R$3004,'Ordres de travail'!$I$5:$I$3004,$A118,'Ordres de travail'!$AC$5:$AC$3004,"Clôturé"))))</f>
        <v/>
      </c>
      <c r="J118" s="78">
        <f>IF(OR($A118="",N(I118)=0),"",EDATE(I118,G118))</f>
        <v/>
      </c>
      <c r="K118" s="79">
        <f>IF(J118="","",J118-TODAY())</f>
        <v/>
      </c>
      <c r="L118" s="9">
        <f>IF($A118="","",IF(K118="","À DÉFINIR",IF(K118&lt;0,"EN RETARD",IF(K118&lt;='Paramètres'!$AA$13,"À PLANIFIER","CONFORME"))))</f>
        <v/>
      </c>
      <c r="M118" s="67" t="n"/>
      <c r="N118" s="7" t="n"/>
      <c r="O118" s="70">
        <f>IF($A118="","",SUMIFS('Ordres de travail'!$AA$5:$AA$3004,'Ordres de travail'!$I$5:$I$3004,$A118,'Ordres de travail'!$B$5:$B$3004,"&gt;="&amp;'Paramètres'!$AA$6,'Ordres de travail'!$B$5:$B$3004,"&lt;"&amp;('Paramètres'!$AA$7+1)))</f>
        <v/>
      </c>
    </row>
    <row r="119">
      <c r="A119" s="7" t="n"/>
      <c r="B119" s="7" t="n"/>
      <c r="C119" s="9">
        <f>IF(B119="","",IF(B119="SITE","Ensemble du site",IFERROR(INDEX('Équipements'!$B$5:$B$304,MATCH(B119,'Équipements'!$A$5:$A$304,0)),"Code inconnu")))</f>
        <v/>
      </c>
      <c r="D119" s="7" t="n"/>
      <c r="E119" s="7" t="n"/>
      <c r="F119" s="7" t="n"/>
      <c r="G119" s="67" t="n"/>
      <c r="H119" s="65" t="n"/>
      <c r="I119" s="78">
        <f>IF($A119="","",MAX(N(H119),INT(_xlfn.MAXIFS('Ordres de travail'!$R$5:$R$3004,'Ordres de travail'!$I$5:$I$3004,$A119,'Ordres de travail'!$AC$5:$AC$3004,"Clôturé"))))</f>
        <v/>
      </c>
      <c r="J119" s="78">
        <f>IF(OR($A119="",N(I119)=0),"",EDATE(I119,G119))</f>
        <v/>
      </c>
      <c r="K119" s="79">
        <f>IF(J119="","",J119-TODAY())</f>
        <v/>
      </c>
      <c r="L119" s="9">
        <f>IF($A119="","",IF(K119="","À DÉFINIR",IF(K119&lt;0,"EN RETARD",IF(K119&lt;='Paramètres'!$AA$13,"À PLANIFIER","CONFORME"))))</f>
        <v/>
      </c>
      <c r="M119" s="67" t="n"/>
      <c r="N119" s="7" t="n"/>
      <c r="O119" s="70">
        <f>IF($A119="","",SUMIFS('Ordres de travail'!$AA$5:$AA$3004,'Ordres de travail'!$I$5:$I$3004,$A119,'Ordres de travail'!$B$5:$B$3004,"&gt;="&amp;'Paramètres'!$AA$6,'Ordres de travail'!$B$5:$B$3004,"&lt;"&amp;('Paramètres'!$AA$7+1)))</f>
        <v/>
      </c>
    </row>
    <row r="120">
      <c r="A120" s="7" t="n"/>
      <c r="B120" s="7" t="n"/>
      <c r="C120" s="9">
        <f>IF(B120="","",IF(B120="SITE","Ensemble du site",IFERROR(INDEX('Équipements'!$B$5:$B$304,MATCH(B120,'Équipements'!$A$5:$A$304,0)),"Code inconnu")))</f>
        <v/>
      </c>
      <c r="D120" s="7" t="n"/>
      <c r="E120" s="7" t="n"/>
      <c r="F120" s="7" t="n"/>
      <c r="G120" s="67" t="n"/>
      <c r="H120" s="65" t="n"/>
      <c r="I120" s="78">
        <f>IF($A120="","",MAX(N(H120),INT(_xlfn.MAXIFS('Ordres de travail'!$R$5:$R$3004,'Ordres de travail'!$I$5:$I$3004,$A120,'Ordres de travail'!$AC$5:$AC$3004,"Clôturé"))))</f>
        <v/>
      </c>
      <c r="J120" s="78">
        <f>IF(OR($A120="",N(I120)=0),"",EDATE(I120,G120))</f>
        <v/>
      </c>
      <c r="K120" s="79">
        <f>IF(J120="","",J120-TODAY())</f>
        <v/>
      </c>
      <c r="L120" s="9">
        <f>IF($A120="","",IF(K120="","À DÉFINIR",IF(K120&lt;0,"EN RETARD",IF(K120&lt;='Paramètres'!$AA$13,"À PLANIFIER","CONFORME"))))</f>
        <v/>
      </c>
      <c r="M120" s="67" t="n"/>
      <c r="N120" s="7" t="n"/>
      <c r="O120" s="70">
        <f>IF($A120="","",SUMIFS('Ordres de travail'!$AA$5:$AA$3004,'Ordres de travail'!$I$5:$I$3004,$A120,'Ordres de travail'!$B$5:$B$3004,"&gt;="&amp;'Paramètres'!$AA$6,'Ordres de travail'!$B$5:$B$3004,"&lt;"&amp;('Paramètres'!$AA$7+1)))</f>
        <v/>
      </c>
    </row>
    <row r="121">
      <c r="A121" s="7" t="n"/>
      <c r="B121" s="7" t="n"/>
      <c r="C121" s="9">
        <f>IF(B121="","",IF(B121="SITE","Ensemble du site",IFERROR(INDEX('Équipements'!$B$5:$B$304,MATCH(B121,'Équipements'!$A$5:$A$304,0)),"Code inconnu")))</f>
        <v/>
      </c>
      <c r="D121" s="7" t="n"/>
      <c r="E121" s="7" t="n"/>
      <c r="F121" s="7" t="n"/>
      <c r="G121" s="67" t="n"/>
      <c r="H121" s="65" t="n"/>
      <c r="I121" s="78">
        <f>IF($A121="","",MAX(N(H121),INT(_xlfn.MAXIFS('Ordres de travail'!$R$5:$R$3004,'Ordres de travail'!$I$5:$I$3004,$A121,'Ordres de travail'!$AC$5:$AC$3004,"Clôturé"))))</f>
        <v/>
      </c>
      <c r="J121" s="78">
        <f>IF(OR($A121="",N(I121)=0),"",EDATE(I121,G121))</f>
        <v/>
      </c>
      <c r="K121" s="79">
        <f>IF(J121="","",J121-TODAY())</f>
        <v/>
      </c>
      <c r="L121" s="9">
        <f>IF($A121="","",IF(K121="","À DÉFINIR",IF(K121&lt;0,"EN RETARD",IF(K121&lt;='Paramètres'!$AA$13,"À PLANIFIER","CONFORME"))))</f>
        <v/>
      </c>
      <c r="M121" s="67" t="n"/>
      <c r="N121" s="7" t="n"/>
      <c r="O121" s="70">
        <f>IF($A121="","",SUMIFS('Ordres de travail'!$AA$5:$AA$3004,'Ordres de travail'!$I$5:$I$3004,$A121,'Ordres de travail'!$B$5:$B$3004,"&gt;="&amp;'Paramètres'!$AA$6,'Ordres de travail'!$B$5:$B$3004,"&lt;"&amp;('Paramètres'!$AA$7+1)))</f>
        <v/>
      </c>
    </row>
    <row r="122">
      <c r="A122" s="7" t="n"/>
      <c r="B122" s="7" t="n"/>
      <c r="C122" s="9">
        <f>IF(B122="","",IF(B122="SITE","Ensemble du site",IFERROR(INDEX('Équipements'!$B$5:$B$304,MATCH(B122,'Équipements'!$A$5:$A$304,0)),"Code inconnu")))</f>
        <v/>
      </c>
      <c r="D122" s="7" t="n"/>
      <c r="E122" s="7" t="n"/>
      <c r="F122" s="7" t="n"/>
      <c r="G122" s="67" t="n"/>
      <c r="H122" s="65" t="n"/>
      <c r="I122" s="78">
        <f>IF($A122="","",MAX(N(H122),INT(_xlfn.MAXIFS('Ordres de travail'!$R$5:$R$3004,'Ordres de travail'!$I$5:$I$3004,$A122,'Ordres de travail'!$AC$5:$AC$3004,"Clôturé"))))</f>
        <v/>
      </c>
      <c r="J122" s="78">
        <f>IF(OR($A122="",N(I122)=0),"",EDATE(I122,G122))</f>
        <v/>
      </c>
      <c r="K122" s="79">
        <f>IF(J122="","",J122-TODAY())</f>
        <v/>
      </c>
      <c r="L122" s="9">
        <f>IF($A122="","",IF(K122="","À DÉFINIR",IF(K122&lt;0,"EN RETARD",IF(K122&lt;='Paramètres'!$AA$13,"À PLANIFIER","CONFORME"))))</f>
        <v/>
      </c>
      <c r="M122" s="67" t="n"/>
      <c r="N122" s="7" t="n"/>
      <c r="O122" s="70">
        <f>IF($A122="","",SUMIFS('Ordres de travail'!$AA$5:$AA$3004,'Ordres de travail'!$I$5:$I$3004,$A122,'Ordres de travail'!$B$5:$B$3004,"&gt;="&amp;'Paramètres'!$AA$6,'Ordres de travail'!$B$5:$B$3004,"&lt;"&amp;('Paramètres'!$AA$7+1)))</f>
        <v/>
      </c>
    </row>
    <row r="123">
      <c r="A123" s="7" t="n"/>
      <c r="B123" s="7" t="n"/>
      <c r="C123" s="9">
        <f>IF(B123="","",IF(B123="SITE","Ensemble du site",IFERROR(INDEX('Équipements'!$B$5:$B$304,MATCH(B123,'Équipements'!$A$5:$A$304,0)),"Code inconnu")))</f>
        <v/>
      </c>
      <c r="D123" s="7" t="n"/>
      <c r="E123" s="7" t="n"/>
      <c r="F123" s="7" t="n"/>
      <c r="G123" s="67" t="n"/>
      <c r="H123" s="65" t="n"/>
      <c r="I123" s="78">
        <f>IF($A123="","",MAX(N(H123),INT(_xlfn.MAXIFS('Ordres de travail'!$R$5:$R$3004,'Ordres de travail'!$I$5:$I$3004,$A123,'Ordres de travail'!$AC$5:$AC$3004,"Clôturé"))))</f>
        <v/>
      </c>
      <c r="J123" s="78">
        <f>IF(OR($A123="",N(I123)=0),"",EDATE(I123,G123))</f>
        <v/>
      </c>
      <c r="K123" s="79">
        <f>IF(J123="","",J123-TODAY())</f>
        <v/>
      </c>
      <c r="L123" s="9">
        <f>IF($A123="","",IF(K123="","À DÉFINIR",IF(K123&lt;0,"EN RETARD",IF(K123&lt;='Paramètres'!$AA$13,"À PLANIFIER","CONFORME"))))</f>
        <v/>
      </c>
      <c r="M123" s="67" t="n"/>
      <c r="N123" s="7" t="n"/>
      <c r="O123" s="70">
        <f>IF($A123="","",SUMIFS('Ordres de travail'!$AA$5:$AA$3004,'Ordres de travail'!$I$5:$I$3004,$A123,'Ordres de travail'!$B$5:$B$3004,"&gt;="&amp;'Paramètres'!$AA$6,'Ordres de travail'!$B$5:$B$3004,"&lt;"&amp;('Paramètres'!$AA$7+1)))</f>
        <v/>
      </c>
    </row>
    <row r="124">
      <c r="A124" s="7" t="n"/>
      <c r="B124" s="7" t="n"/>
      <c r="C124" s="9">
        <f>IF(B124="","",IF(B124="SITE","Ensemble du site",IFERROR(INDEX('Équipements'!$B$5:$B$304,MATCH(B124,'Équipements'!$A$5:$A$304,0)),"Code inconnu")))</f>
        <v/>
      </c>
      <c r="D124" s="7" t="n"/>
      <c r="E124" s="7" t="n"/>
      <c r="F124" s="7" t="n"/>
      <c r="G124" s="67" t="n"/>
      <c r="H124" s="65" t="n"/>
      <c r="I124" s="78">
        <f>IF($A124="","",MAX(N(H124),INT(_xlfn.MAXIFS('Ordres de travail'!$R$5:$R$3004,'Ordres de travail'!$I$5:$I$3004,$A124,'Ordres de travail'!$AC$5:$AC$3004,"Clôturé"))))</f>
        <v/>
      </c>
      <c r="J124" s="78">
        <f>IF(OR($A124="",N(I124)=0),"",EDATE(I124,G124))</f>
        <v/>
      </c>
      <c r="K124" s="79">
        <f>IF(J124="","",J124-TODAY())</f>
        <v/>
      </c>
      <c r="L124" s="9">
        <f>IF($A124="","",IF(K124="","À DÉFINIR",IF(K124&lt;0,"EN RETARD",IF(K124&lt;='Paramètres'!$AA$13,"À PLANIFIER","CONFORME"))))</f>
        <v/>
      </c>
      <c r="M124" s="67" t="n"/>
      <c r="N124" s="7" t="n"/>
      <c r="O124" s="70">
        <f>IF($A124="","",SUMIFS('Ordres de travail'!$AA$5:$AA$3004,'Ordres de travail'!$I$5:$I$3004,$A124,'Ordres de travail'!$B$5:$B$3004,"&gt;="&amp;'Paramètres'!$AA$6,'Ordres de travail'!$B$5:$B$3004,"&lt;"&amp;('Paramètres'!$AA$7+1)))</f>
        <v/>
      </c>
    </row>
    <row r="125">
      <c r="A125" s="7" t="n"/>
      <c r="B125" s="7" t="n"/>
      <c r="C125" s="9">
        <f>IF(B125="","",IF(B125="SITE","Ensemble du site",IFERROR(INDEX('Équipements'!$B$5:$B$304,MATCH(B125,'Équipements'!$A$5:$A$304,0)),"Code inconnu")))</f>
        <v/>
      </c>
      <c r="D125" s="7" t="n"/>
      <c r="E125" s="7" t="n"/>
      <c r="F125" s="7" t="n"/>
      <c r="G125" s="67" t="n"/>
      <c r="H125" s="65" t="n"/>
      <c r="I125" s="78">
        <f>IF($A125="","",MAX(N(H125),INT(_xlfn.MAXIFS('Ordres de travail'!$R$5:$R$3004,'Ordres de travail'!$I$5:$I$3004,$A125,'Ordres de travail'!$AC$5:$AC$3004,"Clôturé"))))</f>
        <v/>
      </c>
      <c r="J125" s="78">
        <f>IF(OR($A125="",N(I125)=0),"",EDATE(I125,G125))</f>
        <v/>
      </c>
      <c r="K125" s="79">
        <f>IF(J125="","",J125-TODAY())</f>
        <v/>
      </c>
      <c r="L125" s="9">
        <f>IF($A125="","",IF(K125="","À DÉFINIR",IF(K125&lt;0,"EN RETARD",IF(K125&lt;='Paramètres'!$AA$13,"À PLANIFIER","CONFORME"))))</f>
        <v/>
      </c>
      <c r="M125" s="67" t="n"/>
      <c r="N125" s="7" t="n"/>
      <c r="O125" s="70">
        <f>IF($A125="","",SUMIFS('Ordres de travail'!$AA$5:$AA$3004,'Ordres de travail'!$I$5:$I$3004,$A125,'Ordres de travail'!$B$5:$B$3004,"&gt;="&amp;'Paramètres'!$AA$6,'Ordres de travail'!$B$5:$B$3004,"&lt;"&amp;('Paramètres'!$AA$7+1)))</f>
        <v/>
      </c>
    </row>
    <row r="126">
      <c r="A126" s="7" t="n"/>
      <c r="B126" s="7" t="n"/>
      <c r="C126" s="9">
        <f>IF(B126="","",IF(B126="SITE","Ensemble du site",IFERROR(INDEX('Équipements'!$B$5:$B$304,MATCH(B126,'Équipements'!$A$5:$A$304,0)),"Code inconnu")))</f>
        <v/>
      </c>
      <c r="D126" s="7" t="n"/>
      <c r="E126" s="7" t="n"/>
      <c r="F126" s="7" t="n"/>
      <c r="G126" s="67" t="n"/>
      <c r="H126" s="65" t="n"/>
      <c r="I126" s="78">
        <f>IF($A126="","",MAX(N(H126),INT(_xlfn.MAXIFS('Ordres de travail'!$R$5:$R$3004,'Ordres de travail'!$I$5:$I$3004,$A126,'Ordres de travail'!$AC$5:$AC$3004,"Clôturé"))))</f>
        <v/>
      </c>
      <c r="J126" s="78">
        <f>IF(OR($A126="",N(I126)=0),"",EDATE(I126,G126))</f>
        <v/>
      </c>
      <c r="K126" s="79">
        <f>IF(J126="","",J126-TODAY())</f>
        <v/>
      </c>
      <c r="L126" s="9">
        <f>IF($A126="","",IF(K126="","À DÉFINIR",IF(K126&lt;0,"EN RETARD",IF(K126&lt;='Paramètres'!$AA$13,"À PLANIFIER","CONFORME"))))</f>
        <v/>
      </c>
      <c r="M126" s="67" t="n"/>
      <c r="N126" s="7" t="n"/>
      <c r="O126" s="70">
        <f>IF($A126="","",SUMIFS('Ordres de travail'!$AA$5:$AA$3004,'Ordres de travail'!$I$5:$I$3004,$A126,'Ordres de travail'!$B$5:$B$3004,"&gt;="&amp;'Paramètres'!$AA$6,'Ordres de travail'!$B$5:$B$3004,"&lt;"&amp;('Paramètres'!$AA$7+1)))</f>
        <v/>
      </c>
    </row>
    <row r="127">
      <c r="A127" s="7" t="n"/>
      <c r="B127" s="7" t="n"/>
      <c r="C127" s="9">
        <f>IF(B127="","",IF(B127="SITE","Ensemble du site",IFERROR(INDEX('Équipements'!$B$5:$B$304,MATCH(B127,'Équipements'!$A$5:$A$304,0)),"Code inconnu")))</f>
        <v/>
      </c>
      <c r="D127" s="7" t="n"/>
      <c r="E127" s="7" t="n"/>
      <c r="F127" s="7" t="n"/>
      <c r="G127" s="67" t="n"/>
      <c r="H127" s="65" t="n"/>
      <c r="I127" s="78">
        <f>IF($A127="","",MAX(N(H127),INT(_xlfn.MAXIFS('Ordres de travail'!$R$5:$R$3004,'Ordres de travail'!$I$5:$I$3004,$A127,'Ordres de travail'!$AC$5:$AC$3004,"Clôturé"))))</f>
        <v/>
      </c>
      <c r="J127" s="78">
        <f>IF(OR($A127="",N(I127)=0),"",EDATE(I127,G127))</f>
        <v/>
      </c>
      <c r="K127" s="79">
        <f>IF(J127="","",J127-TODAY())</f>
        <v/>
      </c>
      <c r="L127" s="9">
        <f>IF($A127="","",IF(K127="","À DÉFINIR",IF(K127&lt;0,"EN RETARD",IF(K127&lt;='Paramètres'!$AA$13,"À PLANIFIER","CONFORME"))))</f>
        <v/>
      </c>
      <c r="M127" s="67" t="n"/>
      <c r="N127" s="7" t="n"/>
      <c r="O127" s="70">
        <f>IF($A127="","",SUMIFS('Ordres de travail'!$AA$5:$AA$3004,'Ordres de travail'!$I$5:$I$3004,$A127,'Ordres de travail'!$B$5:$B$3004,"&gt;="&amp;'Paramètres'!$AA$6,'Ordres de travail'!$B$5:$B$3004,"&lt;"&amp;('Paramètres'!$AA$7+1)))</f>
        <v/>
      </c>
    </row>
    <row r="128">
      <c r="A128" s="7" t="n"/>
      <c r="B128" s="7" t="n"/>
      <c r="C128" s="9">
        <f>IF(B128="","",IF(B128="SITE","Ensemble du site",IFERROR(INDEX('Équipements'!$B$5:$B$304,MATCH(B128,'Équipements'!$A$5:$A$304,0)),"Code inconnu")))</f>
        <v/>
      </c>
      <c r="D128" s="7" t="n"/>
      <c r="E128" s="7" t="n"/>
      <c r="F128" s="7" t="n"/>
      <c r="G128" s="67" t="n"/>
      <c r="H128" s="65" t="n"/>
      <c r="I128" s="78">
        <f>IF($A128="","",MAX(N(H128),INT(_xlfn.MAXIFS('Ordres de travail'!$R$5:$R$3004,'Ordres de travail'!$I$5:$I$3004,$A128,'Ordres de travail'!$AC$5:$AC$3004,"Clôturé"))))</f>
        <v/>
      </c>
      <c r="J128" s="78">
        <f>IF(OR($A128="",N(I128)=0),"",EDATE(I128,G128))</f>
        <v/>
      </c>
      <c r="K128" s="79">
        <f>IF(J128="","",J128-TODAY())</f>
        <v/>
      </c>
      <c r="L128" s="9">
        <f>IF($A128="","",IF(K128="","À DÉFINIR",IF(K128&lt;0,"EN RETARD",IF(K128&lt;='Paramètres'!$AA$13,"À PLANIFIER","CONFORME"))))</f>
        <v/>
      </c>
      <c r="M128" s="67" t="n"/>
      <c r="N128" s="7" t="n"/>
      <c r="O128" s="70">
        <f>IF($A128="","",SUMIFS('Ordres de travail'!$AA$5:$AA$3004,'Ordres de travail'!$I$5:$I$3004,$A128,'Ordres de travail'!$B$5:$B$3004,"&gt;="&amp;'Paramètres'!$AA$6,'Ordres de travail'!$B$5:$B$3004,"&lt;"&amp;('Paramètres'!$AA$7+1)))</f>
        <v/>
      </c>
    </row>
    <row r="129">
      <c r="A129" s="7" t="n"/>
      <c r="B129" s="7" t="n"/>
      <c r="C129" s="9">
        <f>IF(B129="","",IF(B129="SITE","Ensemble du site",IFERROR(INDEX('Équipements'!$B$5:$B$304,MATCH(B129,'Équipements'!$A$5:$A$304,0)),"Code inconnu")))</f>
        <v/>
      </c>
      <c r="D129" s="7" t="n"/>
      <c r="E129" s="7" t="n"/>
      <c r="F129" s="7" t="n"/>
      <c r="G129" s="67" t="n"/>
      <c r="H129" s="65" t="n"/>
      <c r="I129" s="78">
        <f>IF($A129="","",MAX(N(H129),INT(_xlfn.MAXIFS('Ordres de travail'!$R$5:$R$3004,'Ordres de travail'!$I$5:$I$3004,$A129,'Ordres de travail'!$AC$5:$AC$3004,"Clôturé"))))</f>
        <v/>
      </c>
      <c r="J129" s="78">
        <f>IF(OR($A129="",N(I129)=0),"",EDATE(I129,G129))</f>
        <v/>
      </c>
      <c r="K129" s="79">
        <f>IF(J129="","",J129-TODAY())</f>
        <v/>
      </c>
      <c r="L129" s="9">
        <f>IF($A129="","",IF(K129="","À DÉFINIR",IF(K129&lt;0,"EN RETARD",IF(K129&lt;='Paramètres'!$AA$13,"À PLANIFIER","CONFORME"))))</f>
        <v/>
      </c>
      <c r="M129" s="67" t="n"/>
      <c r="N129" s="7" t="n"/>
      <c r="O129" s="70">
        <f>IF($A129="","",SUMIFS('Ordres de travail'!$AA$5:$AA$3004,'Ordres de travail'!$I$5:$I$3004,$A129,'Ordres de travail'!$B$5:$B$3004,"&gt;="&amp;'Paramètres'!$AA$6,'Ordres de travail'!$B$5:$B$3004,"&lt;"&amp;('Paramètres'!$AA$7+1)))</f>
        <v/>
      </c>
    </row>
    <row r="130">
      <c r="A130" s="7" t="n"/>
      <c r="B130" s="7" t="n"/>
      <c r="C130" s="9">
        <f>IF(B130="","",IF(B130="SITE","Ensemble du site",IFERROR(INDEX('Équipements'!$B$5:$B$304,MATCH(B130,'Équipements'!$A$5:$A$304,0)),"Code inconnu")))</f>
        <v/>
      </c>
      <c r="D130" s="7" t="n"/>
      <c r="E130" s="7" t="n"/>
      <c r="F130" s="7" t="n"/>
      <c r="G130" s="67" t="n"/>
      <c r="H130" s="65" t="n"/>
      <c r="I130" s="78">
        <f>IF($A130="","",MAX(N(H130),INT(_xlfn.MAXIFS('Ordres de travail'!$R$5:$R$3004,'Ordres de travail'!$I$5:$I$3004,$A130,'Ordres de travail'!$AC$5:$AC$3004,"Clôturé"))))</f>
        <v/>
      </c>
      <c r="J130" s="78">
        <f>IF(OR($A130="",N(I130)=0),"",EDATE(I130,G130))</f>
        <v/>
      </c>
      <c r="K130" s="79">
        <f>IF(J130="","",J130-TODAY())</f>
        <v/>
      </c>
      <c r="L130" s="9">
        <f>IF($A130="","",IF(K130="","À DÉFINIR",IF(K130&lt;0,"EN RETARD",IF(K130&lt;='Paramètres'!$AA$13,"À PLANIFIER","CONFORME"))))</f>
        <v/>
      </c>
      <c r="M130" s="67" t="n"/>
      <c r="N130" s="7" t="n"/>
      <c r="O130" s="70">
        <f>IF($A130="","",SUMIFS('Ordres de travail'!$AA$5:$AA$3004,'Ordres de travail'!$I$5:$I$3004,$A130,'Ordres de travail'!$B$5:$B$3004,"&gt;="&amp;'Paramètres'!$AA$6,'Ordres de travail'!$B$5:$B$3004,"&lt;"&amp;('Paramètres'!$AA$7+1)))</f>
        <v/>
      </c>
    </row>
    <row r="131">
      <c r="A131" s="7" t="n"/>
      <c r="B131" s="7" t="n"/>
      <c r="C131" s="9">
        <f>IF(B131="","",IF(B131="SITE","Ensemble du site",IFERROR(INDEX('Équipements'!$B$5:$B$304,MATCH(B131,'Équipements'!$A$5:$A$304,0)),"Code inconnu")))</f>
        <v/>
      </c>
      <c r="D131" s="7" t="n"/>
      <c r="E131" s="7" t="n"/>
      <c r="F131" s="7" t="n"/>
      <c r="G131" s="67" t="n"/>
      <c r="H131" s="65" t="n"/>
      <c r="I131" s="78">
        <f>IF($A131="","",MAX(N(H131),INT(_xlfn.MAXIFS('Ordres de travail'!$R$5:$R$3004,'Ordres de travail'!$I$5:$I$3004,$A131,'Ordres de travail'!$AC$5:$AC$3004,"Clôturé"))))</f>
        <v/>
      </c>
      <c r="J131" s="78">
        <f>IF(OR($A131="",N(I131)=0),"",EDATE(I131,G131))</f>
        <v/>
      </c>
      <c r="K131" s="79">
        <f>IF(J131="","",J131-TODAY())</f>
        <v/>
      </c>
      <c r="L131" s="9">
        <f>IF($A131="","",IF(K131="","À DÉFINIR",IF(K131&lt;0,"EN RETARD",IF(K131&lt;='Paramètres'!$AA$13,"À PLANIFIER","CONFORME"))))</f>
        <v/>
      </c>
      <c r="M131" s="67" t="n"/>
      <c r="N131" s="7" t="n"/>
      <c r="O131" s="70">
        <f>IF($A131="","",SUMIFS('Ordres de travail'!$AA$5:$AA$3004,'Ordres de travail'!$I$5:$I$3004,$A131,'Ordres de travail'!$B$5:$B$3004,"&gt;="&amp;'Paramètres'!$AA$6,'Ordres de travail'!$B$5:$B$3004,"&lt;"&amp;('Paramètres'!$AA$7+1)))</f>
        <v/>
      </c>
    </row>
    <row r="132">
      <c r="A132" s="7" t="n"/>
      <c r="B132" s="7" t="n"/>
      <c r="C132" s="9">
        <f>IF(B132="","",IF(B132="SITE","Ensemble du site",IFERROR(INDEX('Équipements'!$B$5:$B$304,MATCH(B132,'Équipements'!$A$5:$A$304,0)),"Code inconnu")))</f>
        <v/>
      </c>
      <c r="D132" s="7" t="n"/>
      <c r="E132" s="7" t="n"/>
      <c r="F132" s="7" t="n"/>
      <c r="G132" s="67" t="n"/>
      <c r="H132" s="65" t="n"/>
      <c r="I132" s="78">
        <f>IF($A132="","",MAX(N(H132),INT(_xlfn.MAXIFS('Ordres de travail'!$R$5:$R$3004,'Ordres de travail'!$I$5:$I$3004,$A132,'Ordres de travail'!$AC$5:$AC$3004,"Clôturé"))))</f>
        <v/>
      </c>
      <c r="J132" s="78">
        <f>IF(OR($A132="",N(I132)=0),"",EDATE(I132,G132))</f>
        <v/>
      </c>
      <c r="K132" s="79">
        <f>IF(J132="","",J132-TODAY())</f>
        <v/>
      </c>
      <c r="L132" s="9">
        <f>IF($A132="","",IF(K132="","À DÉFINIR",IF(K132&lt;0,"EN RETARD",IF(K132&lt;='Paramètres'!$AA$13,"À PLANIFIER","CONFORME"))))</f>
        <v/>
      </c>
      <c r="M132" s="67" t="n"/>
      <c r="N132" s="7" t="n"/>
      <c r="O132" s="70">
        <f>IF($A132="","",SUMIFS('Ordres de travail'!$AA$5:$AA$3004,'Ordres de travail'!$I$5:$I$3004,$A132,'Ordres de travail'!$B$5:$B$3004,"&gt;="&amp;'Paramètres'!$AA$6,'Ordres de travail'!$B$5:$B$3004,"&lt;"&amp;('Paramètres'!$AA$7+1)))</f>
        <v/>
      </c>
    </row>
    <row r="133">
      <c r="A133" s="7" t="n"/>
      <c r="B133" s="7" t="n"/>
      <c r="C133" s="9">
        <f>IF(B133="","",IF(B133="SITE","Ensemble du site",IFERROR(INDEX('Équipements'!$B$5:$B$304,MATCH(B133,'Équipements'!$A$5:$A$304,0)),"Code inconnu")))</f>
        <v/>
      </c>
      <c r="D133" s="7" t="n"/>
      <c r="E133" s="7" t="n"/>
      <c r="F133" s="7" t="n"/>
      <c r="G133" s="67" t="n"/>
      <c r="H133" s="65" t="n"/>
      <c r="I133" s="78">
        <f>IF($A133="","",MAX(N(H133),INT(_xlfn.MAXIFS('Ordres de travail'!$R$5:$R$3004,'Ordres de travail'!$I$5:$I$3004,$A133,'Ordres de travail'!$AC$5:$AC$3004,"Clôturé"))))</f>
        <v/>
      </c>
      <c r="J133" s="78">
        <f>IF(OR($A133="",N(I133)=0),"",EDATE(I133,G133))</f>
        <v/>
      </c>
      <c r="K133" s="79">
        <f>IF(J133="","",J133-TODAY())</f>
        <v/>
      </c>
      <c r="L133" s="9">
        <f>IF($A133="","",IF(K133="","À DÉFINIR",IF(K133&lt;0,"EN RETARD",IF(K133&lt;='Paramètres'!$AA$13,"À PLANIFIER","CONFORME"))))</f>
        <v/>
      </c>
      <c r="M133" s="67" t="n"/>
      <c r="N133" s="7" t="n"/>
      <c r="O133" s="70">
        <f>IF($A133="","",SUMIFS('Ordres de travail'!$AA$5:$AA$3004,'Ordres de travail'!$I$5:$I$3004,$A133,'Ordres de travail'!$B$5:$B$3004,"&gt;="&amp;'Paramètres'!$AA$6,'Ordres de travail'!$B$5:$B$3004,"&lt;"&amp;('Paramètres'!$AA$7+1)))</f>
        <v/>
      </c>
    </row>
    <row r="134">
      <c r="A134" s="7" t="n"/>
      <c r="B134" s="7" t="n"/>
      <c r="C134" s="9">
        <f>IF(B134="","",IF(B134="SITE","Ensemble du site",IFERROR(INDEX('Équipements'!$B$5:$B$304,MATCH(B134,'Équipements'!$A$5:$A$304,0)),"Code inconnu")))</f>
        <v/>
      </c>
      <c r="D134" s="7" t="n"/>
      <c r="E134" s="7" t="n"/>
      <c r="F134" s="7" t="n"/>
      <c r="G134" s="67" t="n"/>
      <c r="H134" s="65" t="n"/>
      <c r="I134" s="78">
        <f>IF($A134="","",MAX(N(H134),INT(_xlfn.MAXIFS('Ordres de travail'!$R$5:$R$3004,'Ordres de travail'!$I$5:$I$3004,$A134,'Ordres de travail'!$AC$5:$AC$3004,"Clôturé"))))</f>
        <v/>
      </c>
      <c r="J134" s="78">
        <f>IF(OR($A134="",N(I134)=0),"",EDATE(I134,G134))</f>
        <v/>
      </c>
      <c r="K134" s="79">
        <f>IF(J134="","",J134-TODAY())</f>
        <v/>
      </c>
      <c r="L134" s="9">
        <f>IF($A134="","",IF(K134="","À DÉFINIR",IF(K134&lt;0,"EN RETARD",IF(K134&lt;='Paramètres'!$AA$13,"À PLANIFIER","CONFORME"))))</f>
        <v/>
      </c>
      <c r="M134" s="67" t="n"/>
      <c r="N134" s="7" t="n"/>
      <c r="O134" s="70">
        <f>IF($A134="","",SUMIFS('Ordres de travail'!$AA$5:$AA$3004,'Ordres de travail'!$I$5:$I$3004,$A134,'Ordres de travail'!$B$5:$B$3004,"&gt;="&amp;'Paramètres'!$AA$6,'Ordres de travail'!$B$5:$B$3004,"&lt;"&amp;('Paramètres'!$AA$7+1)))</f>
        <v/>
      </c>
    </row>
    <row r="135">
      <c r="A135" s="7" t="n"/>
      <c r="B135" s="7" t="n"/>
      <c r="C135" s="9">
        <f>IF(B135="","",IF(B135="SITE","Ensemble du site",IFERROR(INDEX('Équipements'!$B$5:$B$304,MATCH(B135,'Équipements'!$A$5:$A$304,0)),"Code inconnu")))</f>
        <v/>
      </c>
      <c r="D135" s="7" t="n"/>
      <c r="E135" s="7" t="n"/>
      <c r="F135" s="7" t="n"/>
      <c r="G135" s="67" t="n"/>
      <c r="H135" s="65" t="n"/>
      <c r="I135" s="78">
        <f>IF($A135="","",MAX(N(H135),INT(_xlfn.MAXIFS('Ordres de travail'!$R$5:$R$3004,'Ordres de travail'!$I$5:$I$3004,$A135,'Ordres de travail'!$AC$5:$AC$3004,"Clôturé"))))</f>
        <v/>
      </c>
      <c r="J135" s="78">
        <f>IF(OR($A135="",N(I135)=0),"",EDATE(I135,G135))</f>
        <v/>
      </c>
      <c r="K135" s="79">
        <f>IF(J135="","",J135-TODAY())</f>
        <v/>
      </c>
      <c r="L135" s="9">
        <f>IF($A135="","",IF(K135="","À DÉFINIR",IF(K135&lt;0,"EN RETARD",IF(K135&lt;='Paramètres'!$AA$13,"À PLANIFIER","CONFORME"))))</f>
        <v/>
      </c>
      <c r="M135" s="67" t="n"/>
      <c r="N135" s="7" t="n"/>
      <c r="O135" s="70">
        <f>IF($A135="","",SUMIFS('Ordres de travail'!$AA$5:$AA$3004,'Ordres de travail'!$I$5:$I$3004,$A135,'Ordres de travail'!$B$5:$B$3004,"&gt;="&amp;'Paramètres'!$AA$6,'Ordres de travail'!$B$5:$B$3004,"&lt;"&amp;('Paramètres'!$AA$7+1)))</f>
        <v/>
      </c>
    </row>
    <row r="136">
      <c r="A136" s="7" t="n"/>
      <c r="B136" s="7" t="n"/>
      <c r="C136" s="9">
        <f>IF(B136="","",IF(B136="SITE","Ensemble du site",IFERROR(INDEX('Équipements'!$B$5:$B$304,MATCH(B136,'Équipements'!$A$5:$A$304,0)),"Code inconnu")))</f>
        <v/>
      </c>
      <c r="D136" s="7" t="n"/>
      <c r="E136" s="7" t="n"/>
      <c r="F136" s="7" t="n"/>
      <c r="G136" s="67" t="n"/>
      <c r="H136" s="65" t="n"/>
      <c r="I136" s="78">
        <f>IF($A136="","",MAX(N(H136),INT(_xlfn.MAXIFS('Ordres de travail'!$R$5:$R$3004,'Ordres de travail'!$I$5:$I$3004,$A136,'Ordres de travail'!$AC$5:$AC$3004,"Clôturé"))))</f>
        <v/>
      </c>
      <c r="J136" s="78">
        <f>IF(OR($A136="",N(I136)=0),"",EDATE(I136,G136))</f>
        <v/>
      </c>
      <c r="K136" s="79">
        <f>IF(J136="","",J136-TODAY())</f>
        <v/>
      </c>
      <c r="L136" s="9">
        <f>IF($A136="","",IF(K136="","À DÉFINIR",IF(K136&lt;0,"EN RETARD",IF(K136&lt;='Paramètres'!$AA$13,"À PLANIFIER","CONFORME"))))</f>
        <v/>
      </c>
      <c r="M136" s="67" t="n"/>
      <c r="N136" s="7" t="n"/>
      <c r="O136" s="70">
        <f>IF($A136="","",SUMIFS('Ordres de travail'!$AA$5:$AA$3004,'Ordres de travail'!$I$5:$I$3004,$A136,'Ordres de travail'!$B$5:$B$3004,"&gt;="&amp;'Paramètres'!$AA$6,'Ordres de travail'!$B$5:$B$3004,"&lt;"&amp;('Paramètres'!$AA$7+1)))</f>
        <v/>
      </c>
    </row>
    <row r="137">
      <c r="A137" s="7" t="n"/>
      <c r="B137" s="7" t="n"/>
      <c r="C137" s="9">
        <f>IF(B137="","",IF(B137="SITE","Ensemble du site",IFERROR(INDEX('Équipements'!$B$5:$B$304,MATCH(B137,'Équipements'!$A$5:$A$304,0)),"Code inconnu")))</f>
        <v/>
      </c>
      <c r="D137" s="7" t="n"/>
      <c r="E137" s="7" t="n"/>
      <c r="F137" s="7" t="n"/>
      <c r="G137" s="67" t="n"/>
      <c r="H137" s="65" t="n"/>
      <c r="I137" s="78">
        <f>IF($A137="","",MAX(N(H137),INT(_xlfn.MAXIFS('Ordres de travail'!$R$5:$R$3004,'Ordres de travail'!$I$5:$I$3004,$A137,'Ordres de travail'!$AC$5:$AC$3004,"Clôturé"))))</f>
        <v/>
      </c>
      <c r="J137" s="78">
        <f>IF(OR($A137="",N(I137)=0),"",EDATE(I137,G137))</f>
        <v/>
      </c>
      <c r="K137" s="79">
        <f>IF(J137="","",J137-TODAY())</f>
        <v/>
      </c>
      <c r="L137" s="9">
        <f>IF($A137="","",IF(K137="","À DÉFINIR",IF(K137&lt;0,"EN RETARD",IF(K137&lt;='Paramètres'!$AA$13,"À PLANIFIER","CONFORME"))))</f>
        <v/>
      </c>
      <c r="M137" s="67" t="n"/>
      <c r="N137" s="7" t="n"/>
      <c r="O137" s="70">
        <f>IF($A137="","",SUMIFS('Ordres de travail'!$AA$5:$AA$3004,'Ordres de travail'!$I$5:$I$3004,$A137,'Ordres de travail'!$B$5:$B$3004,"&gt;="&amp;'Paramètres'!$AA$6,'Ordres de travail'!$B$5:$B$3004,"&lt;"&amp;('Paramètres'!$AA$7+1)))</f>
        <v/>
      </c>
    </row>
    <row r="138">
      <c r="A138" s="7" t="n"/>
      <c r="B138" s="7" t="n"/>
      <c r="C138" s="9">
        <f>IF(B138="","",IF(B138="SITE","Ensemble du site",IFERROR(INDEX('Équipements'!$B$5:$B$304,MATCH(B138,'Équipements'!$A$5:$A$304,0)),"Code inconnu")))</f>
        <v/>
      </c>
      <c r="D138" s="7" t="n"/>
      <c r="E138" s="7" t="n"/>
      <c r="F138" s="7" t="n"/>
      <c r="G138" s="67" t="n"/>
      <c r="H138" s="65" t="n"/>
      <c r="I138" s="78">
        <f>IF($A138="","",MAX(N(H138),INT(_xlfn.MAXIFS('Ordres de travail'!$R$5:$R$3004,'Ordres de travail'!$I$5:$I$3004,$A138,'Ordres de travail'!$AC$5:$AC$3004,"Clôturé"))))</f>
        <v/>
      </c>
      <c r="J138" s="78">
        <f>IF(OR($A138="",N(I138)=0),"",EDATE(I138,G138))</f>
        <v/>
      </c>
      <c r="K138" s="79">
        <f>IF(J138="","",J138-TODAY())</f>
        <v/>
      </c>
      <c r="L138" s="9">
        <f>IF($A138="","",IF(K138="","À DÉFINIR",IF(K138&lt;0,"EN RETARD",IF(K138&lt;='Paramètres'!$AA$13,"À PLANIFIER","CONFORME"))))</f>
        <v/>
      </c>
      <c r="M138" s="67" t="n"/>
      <c r="N138" s="7" t="n"/>
      <c r="O138" s="70">
        <f>IF($A138="","",SUMIFS('Ordres de travail'!$AA$5:$AA$3004,'Ordres de travail'!$I$5:$I$3004,$A138,'Ordres de travail'!$B$5:$B$3004,"&gt;="&amp;'Paramètres'!$AA$6,'Ordres de travail'!$B$5:$B$3004,"&lt;"&amp;('Paramètres'!$AA$7+1)))</f>
        <v/>
      </c>
    </row>
    <row r="139">
      <c r="A139" s="7" t="n"/>
      <c r="B139" s="7" t="n"/>
      <c r="C139" s="9">
        <f>IF(B139="","",IF(B139="SITE","Ensemble du site",IFERROR(INDEX('Équipements'!$B$5:$B$304,MATCH(B139,'Équipements'!$A$5:$A$304,0)),"Code inconnu")))</f>
        <v/>
      </c>
      <c r="D139" s="7" t="n"/>
      <c r="E139" s="7" t="n"/>
      <c r="F139" s="7" t="n"/>
      <c r="G139" s="67" t="n"/>
      <c r="H139" s="65" t="n"/>
      <c r="I139" s="78">
        <f>IF($A139="","",MAX(N(H139),INT(_xlfn.MAXIFS('Ordres de travail'!$R$5:$R$3004,'Ordres de travail'!$I$5:$I$3004,$A139,'Ordres de travail'!$AC$5:$AC$3004,"Clôturé"))))</f>
        <v/>
      </c>
      <c r="J139" s="78">
        <f>IF(OR($A139="",N(I139)=0),"",EDATE(I139,G139))</f>
        <v/>
      </c>
      <c r="K139" s="79">
        <f>IF(J139="","",J139-TODAY())</f>
        <v/>
      </c>
      <c r="L139" s="9">
        <f>IF($A139="","",IF(K139="","À DÉFINIR",IF(K139&lt;0,"EN RETARD",IF(K139&lt;='Paramètres'!$AA$13,"À PLANIFIER","CONFORME"))))</f>
        <v/>
      </c>
      <c r="M139" s="67" t="n"/>
      <c r="N139" s="7" t="n"/>
      <c r="O139" s="70">
        <f>IF($A139="","",SUMIFS('Ordres de travail'!$AA$5:$AA$3004,'Ordres de travail'!$I$5:$I$3004,$A139,'Ordres de travail'!$B$5:$B$3004,"&gt;="&amp;'Paramètres'!$AA$6,'Ordres de travail'!$B$5:$B$3004,"&lt;"&amp;('Paramètres'!$AA$7+1)))</f>
        <v/>
      </c>
    </row>
    <row r="140">
      <c r="A140" s="7" t="n"/>
      <c r="B140" s="7" t="n"/>
      <c r="C140" s="9">
        <f>IF(B140="","",IF(B140="SITE","Ensemble du site",IFERROR(INDEX('Équipements'!$B$5:$B$304,MATCH(B140,'Équipements'!$A$5:$A$304,0)),"Code inconnu")))</f>
        <v/>
      </c>
      <c r="D140" s="7" t="n"/>
      <c r="E140" s="7" t="n"/>
      <c r="F140" s="7" t="n"/>
      <c r="G140" s="67" t="n"/>
      <c r="H140" s="65" t="n"/>
      <c r="I140" s="78">
        <f>IF($A140="","",MAX(N(H140),INT(_xlfn.MAXIFS('Ordres de travail'!$R$5:$R$3004,'Ordres de travail'!$I$5:$I$3004,$A140,'Ordres de travail'!$AC$5:$AC$3004,"Clôturé"))))</f>
        <v/>
      </c>
      <c r="J140" s="78">
        <f>IF(OR($A140="",N(I140)=0),"",EDATE(I140,G140))</f>
        <v/>
      </c>
      <c r="K140" s="79">
        <f>IF(J140="","",J140-TODAY())</f>
        <v/>
      </c>
      <c r="L140" s="9">
        <f>IF($A140="","",IF(K140="","À DÉFINIR",IF(K140&lt;0,"EN RETARD",IF(K140&lt;='Paramètres'!$AA$13,"À PLANIFIER","CONFORME"))))</f>
        <v/>
      </c>
      <c r="M140" s="67" t="n"/>
      <c r="N140" s="7" t="n"/>
      <c r="O140" s="70">
        <f>IF($A140="","",SUMIFS('Ordres de travail'!$AA$5:$AA$3004,'Ordres de travail'!$I$5:$I$3004,$A140,'Ordres de travail'!$B$5:$B$3004,"&gt;="&amp;'Paramètres'!$AA$6,'Ordres de travail'!$B$5:$B$3004,"&lt;"&amp;('Paramètres'!$AA$7+1)))</f>
        <v/>
      </c>
    </row>
    <row r="141">
      <c r="A141" s="7" t="n"/>
      <c r="B141" s="7" t="n"/>
      <c r="C141" s="9">
        <f>IF(B141="","",IF(B141="SITE","Ensemble du site",IFERROR(INDEX('Équipements'!$B$5:$B$304,MATCH(B141,'Équipements'!$A$5:$A$304,0)),"Code inconnu")))</f>
        <v/>
      </c>
      <c r="D141" s="7" t="n"/>
      <c r="E141" s="7" t="n"/>
      <c r="F141" s="7" t="n"/>
      <c r="G141" s="67" t="n"/>
      <c r="H141" s="65" t="n"/>
      <c r="I141" s="78">
        <f>IF($A141="","",MAX(N(H141),INT(_xlfn.MAXIFS('Ordres de travail'!$R$5:$R$3004,'Ordres de travail'!$I$5:$I$3004,$A141,'Ordres de travail'!$AC$5:$AC$3004,"Clôturé"))))</f>
        <v/>
      </c>
      <c r="J141" s="78">
        <f>IF(OR($A141="",N(I141)=0),"",EDATE(I141,G141))</f>
        <v/>
      </c>
      <c r="K141" s="79">
        <f>IF(J141="","",J141-TODAY())</f>
        <v/>
      </c>
      <c r="L141" s="9">
        <f>IF($A141="","",IF(K141="","À DÉFINIR",IF(K141&lt;0,"EN RETARD",IF(K141&lt;='Paramètres'!$AA$13,"À PLANIFIER","CONFORME"))))</f>
        <v/>
      </c>
      <c r="M141" s="67" t="n"/>
      <c r="N141" s="7" t="n"/>
      <c r="O141" s="70">
        <f>IF($A141="","",SUMIFS('Ordres de travail'!$AA$5:$AA$3004,'Ordres de travail'!$I$5:$I$3004,$A141,'Ordres de travail'!$B$5:$B$3004,"&gt;="&amp;'Paramètres'!$AA$6,'Ordres de travail'!$B$5:$B$3004,"&lt;"&amp;('Paramètres'!$AA$7+1)))</f>
        <v/>
      </c>
    </row>
    <row r="142">
      <c r="A142" s="7" t="n"/>
      <c r="B142" s="7" t="n"/>
      <c r="C142" s="9">
        <f>IF(B142="","",IF(B142="SITE","Ensemble du site",IFERROR(INDEX('Équipements'!$B$5:$B$304,MATCH(B142,'Équipements'!$A$5:$A$304,0)),"Code inconnu")))</f>
        <v/>
      </c>
      <c r="D142" s="7" t="n"/>
      <c r="E142" s="7" t="n"/>
      <c r="F142" s="7" t="n"/>
      <c r="G142" s="67" t="n"/>
      <c r="H142" s="65" t="n"/>
      <c r="I142" s="78">
        <f>IF($A142="","",MAX(N(H142),INT(_xlfn.MAXIFS('Ordres de travail'!$R$5:$R$3004,'Ordres de travail'!$I$5:$I$3004,$A142,'Ordres de travail'!$AC$5:$AC$3004,"Clôturé"))))</f>
        <v/>
      </c>
      <c r="J142" s="78">
        <f>IF(OR($A142="",N(I142)=0),"",EDATE(I142,G142))</f>
        <v/>
      </c>
      <c r="K142" s="79">
        <f>IF(J142="","",J142-TODAY())</f>
        <v/>
      </c>
      <c r="L142" s="9">
        <f>IF($A142="","",IF(K142="","À DÉFINIR",IF(K142&lt;0,"EN RETARD",IF(K142&lt;='Paramètres'!$AA$13,"À PLANIFIER","CONFORME"))))</f>
        <v/>
      </c>
      <c r="M142" s="67" t="n"/>
      <c r="N142" s="7" t="n"/>
      <c r="O142" s="70">
        <f>IF($A142="","",SUMIFS('Ordres de travail'!$AA$5:$AA$3004,'Ordres de travail'!$I$5:$I$3004,$A142,'Ordres de travail'!$B$5:$B$3004,"&gt;="&amp;'Paramètres'!$AA$6,'Ordres de travail'!$B$5:$B$3004,"&lt;"&amp;('Paramètres'!$AA$7+1)))</f>
        <v/>
      </c>
    </row>
    <row r="143">
      <c r="A143" s="7" t="n"/>
      <c r="B143" s="7" t="n"/>
      <c r="C143" s="9">
        <f>IF(B143="","",IF(B143="SITE","Ensemble du site",IFERROR(INDEX('Équipements'!$B$5:$B$304,MATCH(B143,'Équipements'!$A$5:$A$304,0)),"Code inconnu")))</f>
        <v/>
      </c>
      <c r="D143" s="7" t="n"/>
      <c r="E143" s="7" t="n"/>
      <c r="F143" s="7" t="n"/>
      <c r="G143" s="67" t="n"/>
      <c r="H143" s="65" t="n"/>
      <c r="I143" s="78">
        <f>IF($A143="","",MAX(N(H143),INT(_xlfn.MAXIFS('Ordres de travail'!$R$5:$R$3004,'Ordres de travail'!$I$5:$I$3004,$A143,'Ordres de travail'!$AC$5:$AC$3004,"Clôturé"))))</f>
        <v/>
      </c>
      <c r="J143" s="78">
        <f>IF(OR($A143="",N(I143)=0),"",EDATE(I143,G143))</f>
        <v/>
      </c>
      <c r="K143" s="79">
        <f>IF(J143="","",J143-TODAY())</f>
        <v/>
      </c>
      <c r="L143" s="9">
        <f>IF($A143="","",IF(K143="","À DÉFINIR",IF(K143&lt;0,"EN RETARD",IF(K143&lt;='Paramètres'!$AA$13,"À PLANIFIER","CONFORME"))))</f>
        <v/>
      </c>
      <c r="M143" s="67" t="n"/>
      <c r="N143" s="7" t="n"/>
      <c r="O143" s="70">
        <f>IF($A143="","",SUMIFS('Ordres de travail'!$AA$5:$AA$3004,'Ordres de travail'!$I$5:$I$3004,$A143,'Ordres de travail'!$B$5:$B$3004,"&gt;="&amp;'Paramètres'!$AA$6,'Ordres de travail'!$B$5:$B$3004,"&lt;"&amp;('Paramètres'!$AA$7+1)))</f>
        <v/>
      </c>
    </row>
    <row r="144">
      <c r="A144" s="7" t="n"/>
      <c r="B144" s="7" t="n"/>
      <c r="C144" s="9">
        <f>IF(B144="","",IF(B144="SITE","Ensemble du site",IFERROR(INDEX('Équipements'!$B$5:$B$304,MATCH(B144,'Équipements'!$A$5:$A$304,0)),"Code inconnu")))</f>
        <v/>
      </c>
      <c r="D144" s="7" t="n"/>
      <c r="E144" s="7" t="n"/>
      <c r="F144" s="7" t="n"/>
      <c r="G144" s="67" t="n"/>
      <c r="H144" s="65" t="n"/>
      <c r="I144" s="78">
        <f>IF($A144="","",MAX(N(H144),INT(_xlfn.MAXIFS('Ordres de travail'!$R$5:$R$3004,'Ordres de travail'!$I$5:$I$3004,$A144,'Ordres de travail'!$AC$5:$AC$3004,"Clôturé"))))</f>
        <v/>
      </c>
      <c r="J144" s="78">
        <f>IF(OR($A144="",N(I144)=0),"",EDATE(I144,G144))</f>
        <v/>
      </c>
      <c r="K144" s="79">
        <f>IF(J144="","",J144-TODAY())</f>
        <v/>
      </c>
      <c r="L144" s="9">
        <f>IF($A144="","",IF(K144="","À DÉFINIR",IF(K144&lt;0,"EN RETARD",IF(K144&lt;='Paramètres'!$AA$13,"À PLANIFIER","CONFORME"))))</f>
        <v/>
      </c>
      <c r="M144" s="67" t="n"/>
      <c r="N144" s="7" t="n"/>
      <c r="O144" s="70">
        <f>IF($A144="","",SUMIFS('Ordres de travail'!$AA$5:$AA$3004,'Ordres de travail'!$I$5:$I$3004,$A144,'Ordres de travail'!$B$5:$B$3004,"&gt;="&amp;'Paramètres'!$AA$6,'Ordres de travail'!$B$5:$B$3004,"&lt;"&amp;('Paramètres'!$AA$7+1)))</f>
        <v/>
      </c>
    </row>
    <row r="145">
      <c r="A145" s="7" t="n"/>
      <c r="B145" s="7" t="n"/>
      <c r="C145" s="9">
        <f>IF(B145="","",IF(B145="SITE","Ensemble du site",IFERROR(INDEX('Équipements'!$B$5:$B$304,MATCH(B145,'Équipements'!$A$5:$A$304,0)),"Code inconnu")))</f>
        <v/>
      </c>
      <c r="D145" s="7" t="n"/>
      <c r="E145" s="7" t="n"/>
      <c r="F145" s="7" t="n"/>
      <c r="G145" s="67" t="n"/>
      <c r="H145" s="65" t="n"/>
      <c r="I145" s="78">
        <f>IF($A145="","",MAX(N(H145),INT(_xlfn.MAXIFS('Ordres de travail'!$R$5:$R$3004,'Ordres de travail'!$I$5:$I$3004,$A145,'Ordres de travail'!$AC$5:$AC$3004,"Clôturé"))))</f>
        <v/>
      </c>
      <c r="J145" s="78">
        <f>IF(OR($A145="",N(I145)=0),"",EDATE(I145,G145))</f>
        <v/>
      </c>
      <c r="K145" s="79">
        <f>IF(J145="","",J145-TODAY())</f>
        <v/>
      </c>
      <c r="L145" s="9">
        <f>IF($A145="","",IF(K145="","À DÉFINIR",IF(K145&lt;0,"EN RETARD",IF(K145&lt;='Paramètres'!$AA$13,"À PLANIFIER","CONFORME"))))</f>
        <v/>
      </c>
      <c r="M145" s="67" t="n"/>
      <c r="N145" s="7" t="n"/>
      <c r="O145" s="70">
        <f>IF($A145="","",SUMIFS('Ordres de travail'!$AA$5:$AA$3004,'Ordres de travail'!$I$5:$I$3004,$A145,'Ordres de travail'!$B$5:$B$3004,"&gt;="&amp;'Paramètres'!$AA$6,'Ordres de travail'!$B$5:$B$3004,"&lt;"&amp;('Paramètres'!$AA$7+1)))</f>
        <v/>
      </c>
    </row>
    <row r="146">
      <c r="A146" s="7" t="n"/>
      <c r="B146" s="7" t="n"/>
      <c r="C146" s="9">
        <f>IF(B146="","",IF(B146="SITE","Ensemble du site",IFERROR(INDEX('Équipements'!$B$5:$B$304,MATCH(B146,'Équipements'!$A$5:$A$304,0)),"Code inconnu")))</f>
        <v/>
      </c>
      <c r="D146" s="7" t="n"/>
      <c r="E146" s="7" t="n"/>
      <c r="F146" s="7" t="n"/>
      <c r="G146" s="67" t="n"/>
      <c r="H146" s="65" t="n"/>
      <c r="I146" s="78">
        <f>IF($A146="","",MAX(N(H146),INT(_xlfn.MAXIFS('Ordres de travail'!$R$5:$R$3004,'Ordres de travail'!$I$5:$I$3004,$A146,'Ordres de travail'!$AC$5:$AC$3004,"Clôturé"))))</f>
        <v/>
      </c>
      <c r="J146" s="78">
        <f>IF(OR($A146="",N(I146)=0),"",EDATE(I146,G146))</f>
        <v/>
      </c>
      <c r="K146" s="79">
        <f>IF(J146="","",J146-TODAY())</f>
        <v/>
      </c>
      <c r="L146" s="9">
        <f>IF($A146="","",IF(K146="","À DÉFINIR",IF(K146&lt;0,"EN RETARD",IF(K146&lt;='Paramètres'!$AA$13,"À PLANIFIER","CONFORME"))))</f>
        <v/>
      </c>
      <c r="M146" s="67" t="n"/>
      <c r="N146" s="7" t="n"/>
      <c r="O146" s="70">
        <f>IF($A146="","",SUMIFS('Ordres de travail'!$AA$5:$AA$3004,'Ordres de travail'!$I$5:$I$3004,$A146,'Ordres de travail'!$B$5:$B$3004,"&gt;="&amp;'Paramètres'!$AA$6,'Ordres de travail'!$B$5:$B$3004,"&lt;"&amp;('Paramètres'!$AA$7+1)))</f>
        <v/>
      </c>
    </row>
    <row r="147">
      <c r="A147" s="7" t="n"/>
      <c r="B147" s="7" t="n"/>
      <c r="C147" s="9">
        <f>IF(B147="","",IF(B147="SITE","Ensemble du site",IFERROR(INDEX('Équipements'!$B$5:$B$304,MATCH(B147,'Équipements'!$A$5:$A$304,0)),"Code inconnu")))</f>
        <v/>
      </c>
      <c r="D147" s="7" t="n"/>
      <c r="E147" s="7" t="n"/>
      <c r="F147" s="7" t="n"/>
      <c r="G147" s="67" t="n"/>
      <c r="H147" s="65" t="n"/>
      <c r="I147" s="78">
        <f>IF($A147="","",MAX(N(H147),INT(_xlfn.MAXIFS('Ordres de travail'!$R$5:$R$3004,'Ordres de travail'!$I$5:$I$3004,$A147,'Ordres de travail'!$AC$5:$AC$3004,"Clôturé"))))</f>
        <v/>
      </c>
      <c r="J147" s="78">
        <f>IF(OR($A147="",N(I147)=0),"",EDATE(I147,G147))</f>
        <v/>
      </c>
      <c r="K147" s="79">
        <f>IF(J147="","",J147-TODAY())</f>
        <v/>
      </c>
      <c r="L147" s="9">
        <f>IF($A147="","",IF(K147="","À DÉFINIR",IF(K147&lt;0,"EN RETARD",IF(K147&lt;='Paramètres'!$AA$13,"À PLANIFIER","CONFORME"))))</f>
        <v/>
      </c>
      <c r="M147" s="67" t="n"/>
      <c r="N147" s="7" t="n"/>
      <c r="O147" s="70">
        <f>IF($A147="","",SUMIFS('Ordres de travail'!$AA$5:$AA$3004,'Ordres de travail'!$I$5:$I$3004,$A147,'Ordres de travail'!$B$5:$B$3004,"&gt;="&amp;'Paramètres'!$AA$6,'Ordres de travail'!$B$5:$B$3004,"&lt;"&amp;('Paramètres'!$AA$7+1)))</f>
        <v/>
      </c>
    </row>
    <row r="148">
      <c r="A148" s="7" t="n"/>
      <c r="B148" s="7" t="n"/>
      <c r="C148" s="9">
        <f>IF(B148="","",IF(B148="SITE","Ensemble du site",IFERROR(INDEX('Équipements'!$B$5:$B$304,MATCH(B148,'Équipements'!$A$5:$A$304,0)),"Code inconnu")))</f>
        <v/>
      </c>
      <c r="D148" s="7" t="n"/>
      <c r="E148" s="7" t="n"/>
      <c r="F148" s="7" t="n"/>
      <c r="G148" s="67" t="n"/>
      <c r="H148" s="65" t="n"/>
      <c r="I148" s="78">
        <f>IF($A148="","",MAX(N(H148),INT(_xlfn.MAXIFS('Ordres de travail'!$R$5:$R$3004,'Ordres de travail'!$I$5:$I$3004,$A148,'Ordres de travail'!$AC$5:$AC$3004,"Clôturé"))))</f>
        <v/>
      </c>
      <c r="J148" s="78">
        <f>IF(OR($A148="",N(I148)=0),"",EDATE(I148,G148))</f>
        <v/>
      </c>
      <c r="K148" s="79">
        <f>IF(J148="","",J148-TODAY())</f>
        <v/>
      </c>
      <c r="L148" s="9">
        <f>IF($A148="","",IF(K148="","À DÉFINIR",IF(K148&lt;0,"EN RETARD",IF(K148&lt;='Paramètres'!$AA$13,"À PLANIFIER","CONFORME"))))</f>
        <v/>
      </c>
      <c r="M148" s="67" t="n"/>
      <c r="N148" s="7" t="n"/>
      <c r="O148" s="70">
        <f>IF($A148="","",SUMIFS('Ordres de travail'!$AA$5:$AA$3004,'Ordres de travail'!$I$5:$I$3004,$A148,'Ordres de travail'!$B$5:$B$3004,"&gt;="&amp;'Paramètres'!$AA$6,'Ordres de travail'!$B$5:$B$3004,"&lt;"&amp;('Paramètres'!$AA$7+1)))</f>
        <v/>
      </c>
    </row>
    <row r="149">
      <c r="A149" s="7" t="n"/>
      <c r="B149" s="7" t="n"/>
      <c r="C149" s="9">
        <f>IF(B149="","",IF(B149="SITE","Ensemble du site",IFERROR(INDEX('Équipements'!$B$5:$B$304,MATCH(B149,'Équipements'!$A$5:$A$304,0)),"Code inconnu")))</f>
        <v/>
      </c>
      <c r="D149" s="7" t="n"/>
      <c r="E149" s="7" t="n"/>
      <c r="F149" s="7" t="n"/>
      <c r="G149" s="67" t="n"/>
      <c r="H149" s="65" t="n"/>
      <c r="I149" s="78">
        <f>IF($A149="","",MAX(N(H149),INT(_xlfn.MAXIFS('Ordres de travail'!$R$5:$R$3004,'Ordres de travail'!$I$5:$I$3004,$A149,'Ordres de travail'!$AC$5:$AC$3004,"Clôturé"))))</f>
        <v/>
      </c>
      <c r="J149" s="78">
        <f>IF(OR($A149="",N(I149)=0),"",EDATE(I149,G149))</f>
        <v/>
      </c>
      <c r="K149" s="79">
        <f>IF(J149="","",J149-TODAY())</f>
        <v/>
      </c>
      <c r="L149" s="9">
        <f>IF($A149="","",IF(K149="","À DÉFINIR",IF(K149&lt;0,"EN RETARD",IF(K149&lt;='Paramètres'!$AA$13,"À PLANIFIER","CONFORME"))))</f>
        <v/>
      </c>
      <c r="M149" s="67" t="n"/>
      <c r="N149" s="7" t="n"/>
      <c r="O149" s="70">
        <f>IF($A149="","",SUMIFS('Ordres de travail'!$AA$5:$AA$3004,'Ordres de travail'!$I$5:$I$3004,$A149,'Ordres de travail'!$B$5:$B$3004,"&gt;="&amp;'Paramètres'!$AA$6,'Ordres de travail'!$B$5:$B$3004,"&lt;"&amp;('Paramètres'!$AA$7+1)))</f>
        <v/>
      </c>
    </row>
    <row r="150">
      <c r="A150" s="7" t="n"/>
      <c r="B150" s="7" t="n"/>
      <c r="C150" s="9">
        <f>IF(B150="","",IF(B150="SITE","Ensemble du site",IFERROR(INDEX('Équipements'!$B$5:$B$304,MATCH(B150,'Équipements'!$A$5:$A$304,0)),"Code inconnu")))</f>
        <v/>
      </c>
      <c r="D150" s="7" t="n"/>
      <c r="E150" s="7" t="n"/>
      <c r="F150" s="7" t="n"/>
      <c r="G150" s="67" t="n"/>
      <c r="H150" s="65" t="n"/>
      <c r="I150" s="78">
        <f>IF($A150="","",MAX(N(H150),INT(_xlfn.MAXIFS('Ordres de travail'!$R$5:$R$3004,'Ordres de travail'!$I$5:$I$3004,$A150,'Ordres de travail'!$AC$5:$AC$3004,"Clôturé"))))</f>
        <v/>
      </c>
      <c r="J150" s="78">
        <f>IF(OR($A150="",N(I150)=0),"",EDATE(I150,G150))</f>
        <v/>
      </c>
      <c r="K150" s="79">
        <f>IF(J150="","",J150-TODAY())</f>
        <v/>
      </c>
      <c r="L150" s="9">
        <f>IF($A150="","",IF(K150="","À DÉFINIR",IF(K150&lt;0,"EN RETARD",IF(K150&lt;='Paramètres'!$AA$13,"À PLANIFIER","CONFORME"))))</f>
        <v/>
      </c>
      <c r="M150" s="67" t="n"/>
      <c r="N150" s="7" t="n"/>
      <c r="O150" s="70">
        <f>IF($A150="","",SUMIFS('Ordres de travail'!$AA$5:$AA$3004,'Ordres de travail'!$I$5:$I$3004,$A150,'Ordres de travail'!$B$5:$B$3004,"&gt;="&amp;'Paramètres'!$AA$6,'Ordres de travail'!$B$5:$B$3004,"&lt;"&amp;('Paramètres'!$AA$7+1)))</f>
        <v/>
      </c>
    </row>
    <row r="151">
      <c r="A151" s="7" t="n"/>
      <c r="B151" s="7" t="n"/>
      <c r="C151" s="9">
        <f>IF(B151="","",IF(B151="SITE","Ensemble du site",IFERROR(INDEX('Équipements'!$B$5:$B$304,MATCH(B151,'Équipements'!$A$5:$A$304,0)),"Code inconnu")))</f>
        <v/>
      </c>
      <c r="D151" s="7" t="n"/>
      <c r="E151" s="7" t="n"/>
      <c r="F151" s="7" t="n"/>
      <c r="G151" s="67" t="n"/>
      <c r="H151" s="65" t="n"/>
      <c r="I151" s="78">
        <f>IF($A151="","",MAX(N(H151),INT(_xlfn.MAXIFS('Ordres de travail'!$R$5:$R$3004,'Ordres de travail'!$I$5:$I$3004,$A151,'Ordres de travail'!$AC$5:$AC$3004,"Clôturé"))))</f>
        <v/>
      </c>
      <c r="J151" s="78">
        <f>IF(OR($A151="",N(I151)=0),"",EDATE(I151,G151))</f>
        <v/>
      </c>
      <c r="K151" s="79">
        <f>IF(J151="","",J151-TODAY())</f>
        <v/>
      </c>
      <c r="L151" s="9">
        <f>IF($A151="","",IF(K151="","À DÉFINIR",IF(K151&lt;0,"EN RETARD",IF(K151&lt;='Paramètres'!$AA$13,"À PLANIFIER","CONFORME"))))</f>
        <v/>
      </c>
      <c r="M151" s="67" t="n"/>
      <c r="N151" s="7" t="n"/>
      <c r="O151" s="70">
        <f>IF($A151="","",SUMIFS('Ordres de travail'!$AA$5:$AA$3004,'Ordres de travail'!$I$5:$I$3004,$A151,'Ordres de travail'!$B$5:$B$3004,"&gt;="&amp;'Paramètres'!$AA$6,'Ordres de travail'!$B$5:$B$3004,"&lt;"&amp;('Paramètres'!$AA$7+1)))</f>
        <v/>
      </c>
    </row>
    <row r="152">
      <c r="A152" s="7" t="n"/>
      <c r="B152" s="7" t="n"/>
      <c r="C152" s="9">
        <f>IF(B152="","",IF(B152="SITE","Ensemble du site",IFERROR(INDEX('Équipements'!$B$5:$B$304,MATCH(B152,'Équipements'!$A$5:$A$304,0)),"Code inconnu")))</f>
        <v/>
      </c>
      <c r="D152" s="7" t="n"/>
      <c r="E152" s="7" t="n"/>
      <c r="F152" s="7" t="n"/>
      <c r="G152" s="67" t="n"/>
      <c r="H152" s="65" t="n"/>
      <c r="I152" s="78">
        <f>IF($A152="","",MAX(N(H152),INT(_xlfn.MAXIFS('Ordres de travail'!$R$5:$R$3004,'Ordres de travail'!$I$5:$I$3004,$A152,'Ordres de travail'!$AC$5:$AC$3004,"Clôturé"))))</f>
        <v/>
      </c>
      <c r="J152" s="78">
        <f>IF(OR($A152="",N(I152)=0),"",EDATE(I152,G152))</f>
        <v/>
      </c>
      <c r="K152" s="79">
        <f>IF(J152="","",J152-TODAY())</f>
        <v/>
      </c>
      <c r="L152" s="9">
        <f>IF($A152="","",IF(K152="","À DÉFINIR",IF(K152&lt;0,"EN RETARD",IF(K152&lt;='Paramètres'!$AA$13,"À PLANIFIER","CONFORME"))))</f>
        <v/>
      </c>
      <c r="M152" s="67" t="n"/>
      <c r="N152" s="7" t="n"/>
      <c r="O152" s="70">
        <f>IF($A152="","",SUMIFS('Ordres de travail'!$AA$5:$AA$3004,'Ordres de travail'!$I$5:$I$3004,$A152,'Ordres de travail'!$B$5:$B$3004,"&gt;="&amp;'Paramètres'!$AA$6,'Ordres de travail'!$B$5:$B$3004,"&lt;"&amp;('Paramètres'!$AA$7+1)))</f>
        <v/>
      </c>
    </row>
    <row r="153">
      <c r="A153" s="7" t="n"/>
      <c r="B153" s="7" t="n"/>
      <c r="C153" s="9">
        <f>IF(B153="","",IF(B153="SITE","Ensemble du site",IFERROR(INDEX('Équipements'!$B$5:$B$304,MATCH(B153,'Équipements'!$A$5:$A$304,0)),"Code inconnu")))</f>
        <v/>
      </c>
      <c r="D153" s="7" t="n"/>
      <c r="E153" s="7" t="n"/>
      <c r="F153" s="7" t="n"/>
      <c r="G153" s="67" t="n"/>
      <c r="H153" s="65" t="n"/>
      <c r="I153" s="78">
        <f>IF($A153="","",MAX(N(H153),INT(_xlfn.MAXIFS('Ordres de travail'!$R$5:$R$3004,'Ordres de travail'!$I$5:$I$3004,$A153,'Ordres de travail'!$AC$5:$AC$3004,"Clôturé"))))</f>
        <v/>
      </c>
      <c r="J153" s="78">
        <f>IF(OR($A153="",N(I153)=0),"",EDATE(I153,G153))</f>
        <v/>
      </c>
      <c r="K153" s="79">
        <f>IF(J153="","",J153-TODAY())</f>
        <v/>
      </c>
      <c r="L153" s="9">
        <f>IF($A153="","",IF(K153="","À DÉFINIR",IF(K153&lt;0,"EN RETARD",IF(K153&lt;='Paramètres'!$AA$13,"À PLANIFIER","CONFORME"))))</f>
        <v/>
      </c>
      <c r="M153" s="67" t="n"/>
      <c r="N153" s="7" t="n"/>
      <c r="O153" s="70">
        <f>IF($A153="","",SUMIFS('Ordres de travail'!$AA$5:$AA$3004,'Ordres de travail'!$I$5:$I$3004,$A153,'Ordres de travail'!$B$5:$B$3004,"&gt;="&amp;'Paramètres'!$AA$6,'Ordres de travail'!$B$5:$B$3004,"&lt;"&amp;('Paramètres'!$AA$7+1)))</f>
        <v/>
      </c>
    </row>
    <row r="154">
      <c r="A154" s="7" t="n"/>
      <c r="B154" s="7" t="n"/>
      <c r="C154" s="9">
        <f>IF(B154="","",IF(B154="SITE","Ensemble du site",IFERROR(INDEX('Équipements'!$B$5:$B$304,MATCH(B154,'Équipements'!$A$5:$A$304,0)),"Code inconnu")))</f>
        <v/>
      </c>
      <c r="D154" s="7" t="n"/>
      <c r="E154" s="7" t="n"/>
      <c r="F154" s="7" t="n"/>
      <c r="G154" s="67" t="n"/>
      <c r="H154" s="65" t="n"/>
      <c r="I154" s="78">
        <f>IF($A154="","",MAX(N(H154),INT(_xlfn.MAXIFS('Ordres de travail'!$R$5:$R$3004,'Ordres de travail'!$I$5:$I$3004,$A154,'Ordres de travail'!$AC$5:$AC$3004,"Clôturé"))))</f>
        <v/>
      </c>
      <c r="J154" s="78">
        <f>IF(OR($A154="",N(I154)=0),"",EDATE(I154,G154))</f>
        <v/>
      </c>
      <c r="K154" s="79">
        <f>IF(J154="","",J154-TODAY())</f>
        <v/>
      </c>
      <c r="L154" s="9">
        <f>IF($A154="","",IF(K154="","À DÉFINIR",IF(K154&lt;0,"EN RETARD",IF(K154&lt;='Paramètres'!$AA$13,"À PLANIFIER","CONFORME"))))</f>
        <v/>
      </c>
      <c r="M154" s="67" t="n"/>
      <c r="N154" s="7" t="n"/>
      <c r="O154" s="70">
        <f>IF($A154="","",SUMIFS('Ordres de travail'!$AA$5:$AA$3004,'Ordres de travail'!$I$5:$I$3004,$A154,'Ordres de travail'!$B$5:$B$3004,"&gt;="&amp;'Paramètres'!$AA$6,'Ordres de travail'!$B$5:$B$3004,"&lt;"&amp;('Paramètres'!$AA$7+1)))</f>
        <v/>
      </c>
    </row>
  </sheetData>
  <autoFilter ref="A4:O154"/>
  <conditionalFormatting sqref="L5:L154">
    <cfRule type="expression" priority="1" dxfId="0">
      <formula>L5="EN RETARD"</formula>
    </cfRule>
    <cfRule type="expression" priority="2" dxfId="4">
      <formula>L5="À PLANIFIER"</formula>
    </cfRule>
    <cfRule type="expression" priority="3" dxfId="5">
      <formula>L5="CONFORME"</formula>
    </cfRule>
  </conditionalFormatting>
  <conditionalFormatting sqref="N5:N154">
    <cfRule type="expression" priority="4" dxfId="0">
      <formula>N5="Non"</formula>
    </cfRule>
    <cfRule type="expression" priority="5" dxfId="4">
      <formula>N5="Partiel"</formula>
    </cfRule>
  </conditionalFormatting>
  <dataValidations count="1">
    <dataValidation sqref="F5:F154" showDropDown="0" showInputMessage="0" showErrorMessage="0" allowBlank="1" type="list">
      <formula1>='Fournisseurs'!$B$5:$B$84</formula1>
    </dataValidation>
  </dataValidation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tabColor rgb="00BF8F00"/>
    <outlinePr summaryBelow="1" summaryRight="1"/>
    <pageSetUpPr fitToPage="1"/>
  </sheetPr>
  <dimension ref="A1:V404"/>
  <sheetViews>
    <sheetView zoomScale="9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8" customWidth="1" min="2" max="2"/>
    <col width="20" customWidth="1" min="3" max="3"/>
    <col width="28" customWidth="1" min="4" max="4"/>
    <col width="13" customWidth="1" min="5" max="5"/>
    <col width="12" customWidth="1" min="6" max="6"/>
    <col width="30" customWidth="1" min="7" max="7"/>
    <col width="11" customWidth="1" min="8" max="8"/>
    <col width="11" customWidth="1" min="9" max="9"/>
    <col width="10" customWidth="1" min="10" max="10"/>
    <col width="8" customWidth="1" min="11" max="11"/>
    <col width="8" customWidth="1" min="12" max="12"/>
    <col width="9" customWidth="1" min="13" max="13"/>
    <col width="8" customWidth="1" min="14" max="14"/>
    <col width="8" customWidth="1" min="15" max="15"/>
    <col width="9" customWidth="1" min="16" max="16"/>
    <col width="9" customWidth="1" min="17" max="17"/>
    <col width="11" customWidth="1" min="18" max="18"/>
    <col width="16" customWidth="1" min="19" max="19"/>
    <col width="9" customWidth="1" min="20" max="20"/>
    <col width="9" customWidth="1" min="21" max="21"/>
    <col width="12" customWidth="1" min="22" max="22"/>
  </cols>
  <sheetData>
    <row r="1">
      <c r="A1" s="62" t="inlineStr">
        <is>
          <t>Magasin pièces détachées</t>
        </is>
      </c>
    </row>
    <row r="2">
      <c r="A2" s="3" t="inlineStr">
        <is>
          <t>Stock actuel = stock initial + entrées + retours - sorties (feuille Mouvements stock). Alertes de réapprovisionnement automatiques.</t>
        </is>
      </c>
    </row>
    <row r="3">
      <c r="A3" s="63" t="inlineStr">
        <is>
          <t>Saisie : texte bleu   |   Calcul automatique : fond gris (ne pas modifier)   |   Les listes déroulantes proviennent de l'onglet Paramètres.</t>
        </is>
      </c>
    </row>
    <row r="4" ht="42" customHeight="1">
      <c r="A4" s="48" t="inlineStr">
        <is>
          <t>Référence</t>
        </is>
      </c>
      <c r="B4" s="48" t="inlineStr">
        <is>
          <t>Désignation</t>
        </is>
      </c>
      <c r="C4" s="48" t="inlineStr">
        <is>
          <t>Catégorie</t>
        </is>
      </c>
      <c r="D4" s="48" t="inlineStr">
        <is>
          <t>Fournisseur</t>
        </is>
      </c>
      <c r="E4" s="48" t="inlineStr">
        <is>
          <t>Réf. fournisseur</t>
        </is>
      </c>
      <c r="F4" s="48" t="inlineStr">
        <is>
          <t>Emplacement</t>
        </is>
      </c>
      <c r="G4" s="48" t="inlineStr">
        <is>
          <t>Familles d'équipements concernées</t>
        </is>
      </c>
      <c r="H4" s="48" t="inlineStr">
        <is>
          <t>Criticité pièce</t>
        </is>
      </c>
      <c r="I4" s="48" t="inlineStr">
        <is>
          <t>Prix unitaire (€)</t>
        </is>
      </c>
      <c r="J4" s="48" t="inlineStr">
        <is>
          <t>Stock initial (01/01/2025)</t>
        </is>
      </c>
      <c r="K4" s="64" t="inlineStr">
        <is>
          <t>Entrées</t>
        </is>
      </c>
      <c r="L4" s="64" t="inlineStr">
        <is>
          <t>Sorties</t>
        </is>
      </c>
      <c r="M4" s="64" t="inlineStr">
        <is>
          <t>Stock actuel</t>
        </is>
      </c>
      <c r="N4" s="48" t="inlineStr">
        <is>
          <t>Stock mini</t>
        </is>
      </c>
      <c r="O4" s="48" t="inlineStr">
        <is>
          <t>Stock maxi</t>
        </is>
      </c>
      <c r="P4" s="48" t="inlineStr">
        <is>
          <t>Qté en commande</t>
        </is>
      </c>
      <c r="Q4" s="48" t="inlineStr">
        <is>
          <t>Délai appro (j)</t>
        </is>
      </c>
      <c r="R4" s="64" t="inlineStr">
        <is>
          <t>Valeur stock (€)</t>
        </is>
      </c>
      <c r="S4" s="64" t="inlineStr">
        <is>
          <t>Statut</t>
        </is>
      </c>
      <c r="T4" s="64" t="inlineStr">
        <is>
          <t>Qté à commander</t>
        </is>
      </c>
      <c r="U4" s="64" t="inlineStr">
        <is>
          <t>Conso. période</t>
        </is>
      </c>
      <c r="V4" s="64" t="inlineStr">
        <is>
          <t>Dernier mouvement</t>
        </is>
      </c>
    </row>
    <row r="5">
      <c r="A5" s="7" t="inlineStr">
        <is>
          <t>PD-0001</t>
        </is>
      </c>
      <c r="B5" s="7" t="inlineStr">
        <is>
          <t>Roulement à billes 6205-2RS</t>
        </is>
      </c>
      <c r="C5" s="7" t="inlineStr">
        <is>
          <t>Roulements &amp; paliers</t>
        </is>
      </c>
      <c r="D5" s="7" t="inlineStr">
        <is>
          <t>Roulements &amp; Transmissions Ouest</t>
        </is>
      </c>
      <c r="E5" s="7" t="inlineStr">
        <is>
          <t>F01-7541</t>
        </is>
      </c>
      <c r="F5" s="7" t="inlineStr">
        <is>
          <t>Mag. A-01-1</t>
        </is>
      </c>
      <c r="G5" s="7" t="inlineStr">
        <is>
          <t>CNC, Convoyeur, Scie, Conv, Cvc</t>
        </is>
      </c>
      <c r="H5" s="7" t="inlineStr">
        <is>
          <t>Courante</t>
        </is>
      </c>
      <c r="I5" s="80" t="n">
        <v>9.800000000000001</v>
      </c>
      <c r="J5" s="67" t="n">
        <v>7</v>
      </c>
      <c r="K5" s="68">
        <f>IF($A5="","",SUMIFS('Mouvements stock'!$F$5:$F$3004,'Mouvements stock'!$D$5:$D$3004,$A5,'Mouvements stock'!$C$5:$C$3004,"Entrée")+SUMIFS('Mouvements stock'!$F$5:$F$3004,'Mouvements stock'!$D$5:$D$3004,$A5,'Mouvements stock'!$C$5:$C$3004,"Retour"))</f>
        <v/>
      </c>
      <c r="L5" s="68">
        <f>IF($A5="","",SUMIFS('Mouvements stock'!$F$5:$F$3004,'Mouvements stock'!$D$5:$D$3004,$A5,'Mouvements stock'!$C$5:$C$3004,"Sortie"))</f>
        <v/>
      </c>
      <c r="M5" s="79">
        <f>IF($A5="","",N(J5)+N(K5)-N(L5))</f>
        <v/>
      </c>
      <c r="N5" s="67" t="n">
        <v>4</v>
      </c>
      <c r="O5" s="67" t="n">
        <v>12</v>
      </c>
      <c r="P5" s="67" t="n"/>
      <c r="Q5" s="67" t="n">
        <v>3</v>
      </c>
      <c r="R5" s="70">
        <f>IF($A5="","",MAX(0,M5)*N(I5))</f>
        <v/>
      </c>
      <c r="S5" s="9">
        <f>IF($A5="","",IF(M5&lt;=0,IF(N(P5)&gt;0,"Rupture - en cde","RUPTURE"),IF(M5+N(P5)&lt;=N5,"À COMMANDER",IF(M5&lt;=N5,"Commande en cours","OK"))))</f>
        <v/>
      </c>
      <c r="T5" s="68">
        <f>IF($A5="","",IF(OR(S5="À COMMANDER",S5="RUPTURE"),MAX(1,O5-M5-N(P5)),0))</f>
        <v/>
      </c>
      <c r="U5" s="68">
        <f>IF($A5="","",SUMIFS('Mouvements stock'!$F$5:$F$3004,'Mouvements stock'!$D$5:$D$3004,$A5,'Mouvements stock'!$C$5:$C$3004,"Sortie",'Mouvements stock'!$B$5:$B$3004,"&gt;="&amp;'Paramètres'!$AA$6,'Mouvements stock'!$B$5:$B$3004,"&lt;"&amp;('Paramètres'!$AA$7+1)))</f>
        <v/>
      </c>
      <c r="V5" s="78">
        <f>IF($A5="","",IF(COUNTIF('Mouvements stock'!$D$5:$D$3004,$A5)=0,"",_xlfn.MAXIFS('Mouvements stock'!$B$5:$B$3004,'Mouvements stock'!$D$5:$D$3004,$A5)))</f>
        <v/>
      </c>
    </row>
    <row r="6">
      <c r="A6" s="7" t="inlineStr">
        <is>
          <t>PD-0002</t>
        </is>
      </c>
      <c r="B6" s="7" t="inlineStr">
        <is>
          <t>Roulement à billes 6308-2Z</t>
        </is>
      </c>
      <c r="C6" s="7" t="inlineStr">
        <is>
          <t>Roulements &amp; paliers</t>
        </is>
      </c>
      <c r="D6" s="7" t="inlineStr">
        <is>
          <t>Roulements &amp; Transmissions Ouest</t>
        </is>
      </c>
      <c r="E6" s="7" t="inlineStr">
        <is>
          <t>F01-1082</t>
        </is>
      </c>
      <c r="F6" s="7" t="inlineStr">
        <is>
          <t>Mag. A-01-2</t>
        </is>
      </c>
      <c r="G6" s="7" t="inlineStr">
        <is>
          <t>Convoyeur, Compresseur, Cvc</t>
        </is>
      </c>
      <c r="H6" s="7" t="inlineStr">
        <is>
          <t>Courante</t>
        </is>
      </c>
      <c r="I6" s="80" t="n">
        <v>24.5</v>
      </c>
      <c r="J6" s="67" t="n">
        <v>4</v>
      </c>
      <c r="K6" s="68">
        <f>IF($A6="","",SUMIFS('Mouvements stock'!$F$5:$F$3004,'Mouvements stock'!$D$5:$D$3004,$A6,'Mouvements stock'!$C$5:$C$3004,"Entrée")+SUMIFS('Mouvements stock'!$F$5:$F$3004,'Mouvements stock'!$D$5:$D$3004,$A6,'Mouvements stock'!$C$5:$C$3004,"Retour"))</f>
        <v/>
      </c>
      <c r="L6" s="68">
        <f>IF($A6="","",SUMIFS('Mouvements stock'!$F$5:$F$3004,'Mouvements stock'!$D$5:$D$3004,$A6,'Mouvements stock'!$C$5:$C$3004,"Sortie"))</f>
        <v/>
      </c>
      <c r="M6" s="79">
        <f>IF($A6="","",N(J6)+N(K6)-N(L6))</f>
        <v/>
      </c>
      <c r="N6" s="67" t="n">
        <v>2</v>
      </c>
      <c r="O6" s="67" t="n">
        <v>6</v>
      </c>
      <c r="P6" s="67" t="n"/>
      <c r="Q6" s="67" t="n">
        <v>3</v>
      </c>
      <c r="R6" s="70">
        <f>IF($A6="","",MAX(0,M6)*N(I6))</f>
        <v/>
      </c>
      <c r="S6" s="9">
        <f>IF($A6="","",IF(M6&lt;=0,IF(N(P6)&gt;0,"Rupture - en cde","RUPTURE"),IF(M6+N(P6)&lt;=N6,"À COMMANDER",IF(M6&lt;=N6,"Commande en cours","OK"))))</f>
        <v/>
      </c>
      <c r="T6" s="68">
        <f>IF($A6="","",IF(OR(S6="À COMMANDER",S6="RUPTURE"),MAX(1,O6-M6-N(P6)),0))</f>
        <v/>
      </c>
      <c r="U6" s="68">
        <f>IF($A6="","",SUMIFS('Mouvements stock'!$F$5:$F$3004,'Mouvements stock'!$D$5:$D$3004,$A6,'Mouvements stock'!$C$5:$C$3004,"Sortie",'Mouvements stock'!$B$5:$B$3004,"&gt;="&amp;'Paramètres'!$AA$6,'Mouvements stock'!$B$5:$B$3004,"&lt;"&amp;('Paramètres'!$AA$7+1)))</f>
        <v/>
      </c>
      <c r="V6" s="78">
        <f>IF($A6="","",IF(COUNTIF('Mouvements stock'!$D$5:$D$3004,$A6)=0,"",_xlfn.MAXIFS('Mouvements stock'!$B$5:$B$3004,'Mouvements stock'!$D$5:$D$3004,$A6)))</f>
        <v/>
      </c>
    </row>
    <row r="7">
      <c r="A7" s="7" t="inlineStr">
        <is>
          <t>PD-0003</t>
        </is>
      </c>
      <c r="B7" s="7" t="inlineStr">
        <is>
          <t>Roulement à rouleaux coniques 32210</t>
        </is>
      </c>
      <c r="C7" s="7" t="inlineStr">
        <is>
          <t>Roulements &amp; paliers</t>
        </is>
      </c>
      <c r="D7" s="7" t="inlineStr">
        <is>
          <t>Roulements &amp; Transmissions Ouest</t>
        </is>
      </c>
      <c r="E7" s="7" t="inlineStr">
        <is>
          <t>F01-4479</t>
        </is>
      </c>
      <c r="F7" s="7" t="inlineStr">
        <is>
          <t>Mag. A-02-1</t>
        </is>
      </c>
      <c r="G7" s="7" t="inlineStr">
        <is>
          <t>Presse, Levage</t>
        </is>
      </c>
      <c r="H7" s="7" t="inlineStr">
        <is>
          <t>Courante</t>
        </is>
      </c>
      <c r="I7" s="80" t="n">
        <v>38</v>
      </c>
      <c r="J7" s="67" t="n">
        <v>3</v>
      </c>
      <c r="K7" s="68">
        <f>IF($A7="","",SUMIFS('Mouvements stock'!$F$5:$F$3004,'Mouvements stock'!$D$5:$D$3004,$A7,'Mouvements stock'!$C$5:$C$3004,"Entrée")+SUMIFS('Mouvements stock'!$F$5:$F$3004,'Mouvements stock'!$D$5:$D$3004,$A7,'Mouvements stock'!$C$5:$C$3004,"Retour"))</f>
        <v/>
      </c>
      <c r="L7" s="68">
        <f>IF($A7="","",SUMIFS('Mouvements stock'!$F$5:$F$3004,'Mouvements stock'!$D$5:$D$3004,$A7,'Mouvements stock'!$C$5:$C$3004,"Sortie"))</f>
        <v/>
      </c>
      <c r="M7" s="79">
        <f>IF($A7="","",N(J7)+N(K7)-N(L7))</f>
        <v/>
      </c>
      <c r="N7" s="67" t="n">
        <v>2</v>
      </c>
      <c r="O7" s="67" t="n">
        <v>4</v>
      </c>
      <c r="P7" s="67" t="n"/>
      <c r="Q7" s="67" t="n">
        <v>5</v>
      </c>
      <c r="R7" s="70">
        <f>IF($A7="","",MAX(0,M7)*N(I7))</f>
        <v/>
      </c>
      <c r="S7" s="9">
        <f>IF($A7="","",IF(M7&lt;=0,IF(N(P7)&gt;0,"Rupture - en cde","RUPTURE"),IF(M7+N(P7)&lt;=N7,"À COMMANDER",IF(M7&lt;=N7,"Commande en cours","OK"))))</f>
        <v/>
      </c>
      <c r="T7" s="68">
        <f>IF($A7="","",IF(OR(S7="À COMMANDER",S7="RUPTURE"),MAX(1,O7-M7-N(P7)),0))</f>
        <v/>
      </c>
      <c r="U7" s="68">
        <f>IF($A7="","",SUMIFS('Mouvements stock'!$F$5:$F$3004,'Mouvements stock'!$D$5:$D$3004,$A7,'Mouvements stock'!$C$5:$C$3004,"Sortie",'Mouvements stock'!$B$5:$B$3004,"&gt;="&amp;'Paramètres'!$AA$6,'Mouvements stock'!$B$5:$B$3004,"&lt;"&amp;('Paramètres'!$AA$7+1)))</f>
        <v/>
      </c>
      <c r="V7" s="78">
        <f>IF($A7="","",IF(COUNTIF('Mouvements stock'!$D$5:$D$3004,$A7)=0,"",_xlfn.MAXIFS('Mouvements stock'!$B$5:$B$3004,'Mouvements stock'!$D$5:$D$3004,$A7)))</f>
        <v/>
      </c>
    </row>
    <row r="8">
      <c r="A8" s="7" t="inlineStr">
        <is>
          <t>PD-0004</t>
        </is>
      </c>
      <c r="B8" s="7" t="inlineStr">
        <is>
          <t>Roulements de broche 7014 CD/P4A (paire)</t>
        </is>
      </c>
      <c r="C8" s="7" t="inlineStr">
        <is>
          <t>Roulements &amp; paliers</t>
        </is>
      </c>
      <c r="D8" s="7" t="inlineStr">
        <is>
          <t>Roulements &amp; Transmissions Ouest</t>
        </is>
      </c>
      <c r="E8" s="7" t="inlineStr">
        <is>
          <t>F01-4628</t>
        </is>
      </c>
      <c r="F8" s="7" t="inlineStr">
        <is>
          <t>Mag. A-02-2</t>
        </is>
      </c>
      <c r="G8" s="7" t="inlineStr">
        <is>
          <t>CNC</t>
        </is>
      </c>
      <c r="H8" s="7" t="inlineStr">
        <is>
          <t>Stratégique</t>
        </is>
      </c>
      <c r="I8" s="80" t="n">
        <v>890</v>
      </c>
      <c r="J8" s="67" t="n">
        <v>2</v>
      </c>
      <c r="K8" s="68">
        <f>IF($A8="","",SUMIFS('Mouvements stock'!$F$5:$F$3004,'Mouvements stock'!$D$5:$D$3004,$A8,'Mouvements stock'!$C$5:$C$3004,"Entrée")+SUMIFS('Mouvements stock'!$F$5:$F$3004,'Mouvements stock'!$D$5:$D$3004,$A8,'Mouvements stock'!$C$5:$C$3004,"Retour"))</f>
        <v/>
      </c>
      <c r="L8" s="68">
        <f>IF($A8="","",SUMIFS('Mouvements stock'!$F$5:$F$3004,'Mouvements stock'!$D$5:$D$3004,$A8,'Mouvements stock'!$C$5:$C$3004,"Sortie"))</f>
        <v/>
      </c>
      <c r="M8" s="79">
        <f>IF($A8="","",N(J8)+N(K8)-N(L8))</f>
        <v/>
      </c>
      <c r="N8" s="67" t="n">
        <v>1</v>
      </c>
      <c r="O8" s="67" t="n">
        <v>2</v>
      </c>
      <c r="P8" s="67" t="n"/>
      <c r="Q8" s="67" t="n">
        <v>15</v>
      </c>
      <c r="R8" s="70">
        <f>IF($A8="","",MAX(0,M8)*N(I8))</f>
        <v/>
      </c>
      <c r="S8" s="9">
        <f>IF($A8="","",IF(M8&lt;=0,IF(N(P8)&gt;0,"Rupture - en cde","RUPTURE"),IF(M8+N(P8)&lt;=N8,"À COMMANDER",IF(M8&lt;=N8,"Commande en cours","OK"))))</f>
        <v/>
      </c>
      <c r="T8" s="68">
        <f>IF($A8="","",IF(OR(S8="À COMMANDER",S8="RUPTURE"),MAX(1,O8-M8-N(P8)),0))</f>
        <v/>
      </c>
      <c r="U8" s="68">
        <f>IF($A8="","",SUMIFS('Mouvements stock'!$F$5:$F$3004,'Mouvements stock'!$D$5:$D$3004,$A8,'Mouvements stock'!$C$5:$C$3004,"Sortie",'Mouvements stock'!$B$5:$B$3004,"&gt;="&amp;'Paramètres'!$AA$6,'Mouvements stock'!$B$5:$B$3004,"&lt;"&amp;('Paramètres'!$AA$7+1)))</f>
        <v/>
      </c>
      <c r="V8" s="78">
        <f>IF($A8="","",IF(COUNTIF('Mouvements stock'!$D$5:$D$3004,$A8)=0,"",_xlfn.MAXIFS('Mouvements stock'!$B$5:$B$3004,'Mouvements stock'!$D$5:$D$3004,$A8)))</f>
        <v/>
      </c>
    </row>
    <row r="9">
      <c r="A9" s="7" t="inlineStr">
        <is>
          <t>PD-0005</t>
        </is>
      </c>
      <c r="B9" s="7" t="inlineStr">
        <is>
          <t>Palier semelle UCP 208</t>
        </is>
      </c>
      <c r="C9" s="7" t="inlineStr">
        <is>
          <t>Roulements &amp; paliers</t>
        </is>
      </c>
      <c r="D9" s="7" t="inlineStr">
        <is>
          <t>Roulements &amp; Transmissions Ouest</t>
        </is>
      </c>
      <c r="E9" s="7" t="inlineStr">
        <is>
          <t>F01-1935</t>
        </is>
      </c>
      <c r="F9" s="7" t="inlineStr">
        <is>
          <t>Mag. A-03-1</t>
        </is>
      </c>
      <c r="G9" s="7" t="inlineStr">
        <is>
          <t>Convoyeur</t>
        </is>
      </c>
      <c r="H9" s="7" t="inlineStr">
        <is>
          <t>Courante</t>
        </is>
      </c>
      <c r="I9" s="80" t="n">
        <v>31</v>
      </c>
      <c r="J9" s="67" t="n">
        <v>6</v>
      </c>
      <c r="K9" s="68">
        <f>IF($A9="","",SUMIFS('Mouvements stock'!$F$5:$F$3004,'Mouvements stock'!$D$5:$D$3004,$A9,'Mouvements stock'!$C$5:$C$3004,"Entrée")+SUMIFS('Mouvements stock'!$F$5:$F$3004,'Mouvements stock'!$D$5:$D$3004,$A9,'Mouvements stock'!$C$5:$C$3004,"Retour"))</f>
        <v/>
      </c>
      <c r="L9" s="68">
        <f>IF($A9="","",SUMIFS('Mouvements stock'!$F$5:$F$3004,'Mouvements stock'!$D$5:$D$3004,$A9,'Mouvements stock'!$C$5:$C$3004,"Sortie"))</f>
        <v/>
      </c>
      <c r="M9" s="79">
        <f>IF($A9="","",N(J9)+N(K9)-N(L9))</f>
        <v/>
      </c>
      <c r="N9" s="67" t="n">
        <v>2</v>
      </c>
      <c r="O9" s="67" t="n">
        <v>6</v>
      </c>
      <c r="P9" s="67" t="n"/>
      <c r="Q9" s="67" t="n">
        <v>3</v>
      </c>
      <c r="R9" s="70">
        <f>IF($A9="","",MAX(0,M9)*N(I9))</f>
        <v/>
      </c>
      <c r="S9" s="9">
        <f>IF($A9="","",IF(M9&lt;=0,IF(N(P9)&gt;0,"Rupture - en cde","RUPTURE"),IF(M9+N(P9)&lt;=N9,"À COMMANDER",IF(M9&lt;=N9,"Commande en cours","OK"))))</f>
        <v/>
      </c>
      <c r="T9" s="68">
        <f>IF($A9="","",IF(OR(S9="À COMMANDER",S9="RUPTURE"),MAX(1,O9-M9-N(P9)),0))</f>
        <v/>
      </c>
      <c r="U9" s="68">
        <f>IF($A9="","",SUMIFS('Mouvements stock'!$F$5:$F$3004,'Mouvements stock'!$D$5:$D$3004,$A9,'Mouvements stock'!$C$5:$C$3004,"Sortie",'Mouvements stock'!$B$5:$B$3004,"&gt;="&amp;'Paramètres'!$AA$6,'Mouvements stock'!$B$5:$B$3004,"&lt;"&amp;('Paramètres'!$AA$7+1)))</f>
        <v/>
      </c>
      <c r="V9" s="78">
        <f>IF($A9="","",IF(COUNTIF('Mouvements stock'!$D$5:$D$3004,$A9)=0,"",_xlfn.MAXIFS('Mouvements stock'!$B$5:$B$3004,'Mouvements stock'!$D$5:$D$3004,$A9)))</f>
        <v/>
      </c>
    </row>
    <row r="10">
      <c r="A10" s="7" t="inlineStr">
        <is>
          <t>PD-0006</t>
        </is>
      </c>
      <c r="B10" s="7" t="inlineStr">
        <is>
          <t>Courroie trapézoïdale SPA 1250</t>
        </is>
      </c>
      <c r="C10" s="7" t="inlineStr">
        <is>
          <t>Transmission</t>
        </is>
      </c>
      <c r="D10" s="7" t="inlineStr">
        <is>
          <t>Roulements &amp; Transmissions Ouest</t>
        </is>
      </c>
      <c r="E10" s="7" t="inlineStr">
        <is>
          <t>F01-1350</t>
        </is>
      </c>
      <c r="F10" s="7" t="inlineStr">
        <is>
          <t>Mag. A-03-2</t>
        </is>
      </c>
      <c r="G10" s="7" t="inlineStr">
        <is>
          <t>Compresseur, Cvc, Scie, Conv</t>
        </is>
      </c>
      <c r="H10" s="7" t="inlineStr">
        <is>
          <t>Courante</t>
        </is>
      </c>
      <c r="I10" s="80" t="n">
        <v>14.5</v>
      </c>
      <c r="J10" s="67" t="n">
        <v>10</v>
      </c>
      <c r="K10" s="68">
        <f>IF($A10="","",SUMIFS('Mouvements stock'!$F$5:$F$3004,'Mouvements stock'!$D$5:$D$3004,$A10,'Mouvements stock'!$C$5:$C$3004,"Entrée")+SUMIFS('Mouvements stock'!$F$5:$F$3004,'Mouvements stock'!$D$5:$D$3004,$A10,'Mouvements stock'!$C$5:$C$3004,"Retour"))</f>
        <v/>
      </c>
      <c r="L10" s="68">
        <f>IF($A10="","",SUMIFS('Mouvements stock'!$F$5:$F$3004,'Mouvements stock'!$D$5:$D$3004,$A10,'Mouvements stock'!$C$5:$C$3004,"Sortie"))</f>
        <v/>
      </c>
      <c r="M10" s="79">
        <f>IF($A10="","",N(J10)+N(K10)-N(L10))</f>
        <v/>
      </c>
      <c r="N10" s="67" t="n">
        <v>4</v>
      </c>
      <c r="O10" s="67" t="n">
        <v>10</v>
      </c>
      <c r="P10" s="67" t="n"/>
      <c r="Q10" s="67" t="n">
        <v>3</v>
      </c>
      <c r="R10" s="70">
        <f>IF($A10="","",MAX(0,M10)*N(I10))</f>
        <v/>
      </c>
      <c r="S10" s="9">
        <f>IF($A10="","",IF(M10&lt;=0,IF(N(P10)&gt;0,"Rupture - en cde","RUPTURE"),IF(M10+N(P10)&lt;=N10,"À COMMANDER",IF(M10&lt;=N10,"Commande en cours","OK"))))</f>
        <v/>
      </c>
      <c r="T10" s="68">
        <f>IF($A10="","",IF(OR(S10="À COMMANDER",S10="RUPTURE"),MAX(1,O10-M10-N(P10)),0))</f>
        <v/>
      </c>
      <c r="U10" s="68">
        <f>IF($A10="","",SUMIFS('Mouvements stock'!$F$5:$F$3004,'Mouvements stock'!$D$5:$D$3004,$A10,'Mouvements stock'!$C$5:$C$3004,"Sortie",'Mouvements stock'!$B$5:$B$3004,"&gt;="&amp;'Paramètres'!$AA$6,'Mouvements stock'!$B$5:$B$3004,"&lt;"&amp;('Paramètres'!$AA$7+1)))</f>
        <v/>
      </c>
      <c r="V10" s="78">
        <f>IF($A10="","",IF(COUNTIF('Mouvements stock'!$D$5:$D$3004,$A10)=0,"",_xlfn.MAXIFS('Mouvements stock'!$B$5:$B$3004,'Mouvements stock'!$D$5:$D$3004,$A10)))</f>
        <v/>
      </c>
    </row>
    <row r="11">
      <c r="A11" s="7" t="inlineStr">
        <is>
          <t>PD-0007</t>
        </is>
      </c>
      <c r="B11" s="7" t="inlineStr">
        <is>
          <t>Courroie crantée HTD 1200-8M-30</t>
        </is>
      </c>
      <c r="C11" s="7" t="inlineStr">
        <is>
          <t>Transmission</t>
        </is>
      </c>
      <c r="D11" s="7" t="inlineStr">
        <is>
          <t>Roulements &amp; Transmissions Ouest</t>
        </is>
      </c>
      <c r="E11" s="7" t="inlineStr">
        <is>
          <t>F01-4523</t>
        </is>
      </c>
      <c r="F11" s="7" t="inlineStr">
        <is>
          <t>Mag. A-04-1</t>
        </is>
      </c>
      <c r="G11" s="7" t="inlineStr">
        <is>
          <t>CNC, Convoyeur</t>
        </is>
      </c>
      <c r="H11" s="7" t="inlineStr">
        <is>
          <t>Courante</t>
        </is>
      </c>
      <c r="I11" s="80" t="n">
        <v>46</v>
      </c>
      <c r="J11" s="67" t="n">
        <v>3</v>
      </c>
      <c r="K11" s="68">
        <f>IF($A11="","",SUMIFS('Mouvements stock'!$F$5:$F$3004,'Mouvements stock'!$D$5:$D$3004,$A11,'Mouvements stock'!$C$5:$C$3004,"Entrée")+SUMIFS('Mouvements stock'!$F$5:$F$3004,'Mouvements stock'!$D$5:$D$3004,$A11,'Mouvements stock'!$C$5:$C$3004,"Retour"))</f>
        <v/>
      </c>
      <c r="L11" s="68">
        <f>IF($A11="","",SUMIFS('Mouvements stock'!$F$5:$F$3004,'Mouvements stock'!$D$5:$D$3004,$A11,'Mouvements stock'!$C$5:$C$3004,"Sortie"))</f>
        <v/>
      </c>
      <c r="M11" s="79">
        <f>IF($A11="","",N(J11)+N(K11)-N(L11))</f>
        <v/>
      </c>
      <c r="N11" s="67" t="n">
        <v>2</v>
      </c>
      <c r="O11" s="67" t="n">
        <v>4</v>
      </c>
      <c r="P11" s="67" t="n"/>
      <c r="Q11" s="67" t="n">
        <v>5</v>
      </c>
      <c r="R11" s="70">
        <f>IF($A11="","",MAX(0,M11)*N(I11))</f>
        <v/>
      </c>
      <c r="S11" s="9">
        <f>IF($A11="","",IF(M11&lt;=0,IF(N(P11)&gt;0,"Rupture - en cde","RUPTURE"),IF(M11+N(P11)&lt;=N11,"À COMMANDER",IF(M11&lt;=N11,"Commande en cours","OK"))))</f>
        <v/>
      </c>
      <c r="T11" s="68">
        <f>IF($A11="","",IF(OR(S11="À COMMANDER",S11="RUPTURE"),MAX(1,O11-M11-N(P11)),0))</f>
        <v/>
      </c>
      <c r="U11" s="68">
        <f>IF($A11="","",SUMIFS('Mouvements stock'!$F$5:$F$3004,'Mouvements stock'!$D$5:$D$3004,$A11,'Mouvements stock'!$C$5:$C$3004,"Sortie",'Mouvements stock'!$B$5:$B$3004,"&gt;="&amp;'Paramètres'!$AA$6,'Mouvements stock'!$B$5:$B$3004,"&lt;"&amp;('Paramètres'!$AA$7+1)))</f>
        <v/>
      </c>
      <c r="V11" s="78">
        <f>IF($A11="","",IF(COUNTIF('Mouvements stock'!$D$5:$D$3004,$A11)=0,"",_xlfn.MAXIFS('Mouvements stock'!$B$5:$B$3004,'Mouvements stock'!$D$5:$D$3004,$A11)))</f>
        <v/>
      </c>
    </row>
    <row r="12">
      <c r="A12" s="7" t="inlineStr">
        <is>
          <t>PD-0008</t>
        </is>
      </c>
      <c r="B12" s="7" t="inlineStr">
        <is>
          <t>Chaîne convoyeur aérien X348 (m)</t>
        </is>
      </c>
      <c r="C12" s="7" t="inlineStr">
        <is>
          <t>Transmission</t>
        </is>
      </c>
      <c r="D12" s="7" t="inlineStr">
        <is>
          <t>Surface Process Assistance</t>
        </is>
      </c>
      <c r="E12" s="7" t="inlineStr">
        <is>
          <t>F17-8784</t>
        </is>
      </c>
      <c r="F12" s="7" t="inlineStr">
        <is>
          <t>Mag. A-04-2</t>
        </is>
      </c>
      <c r="G12" s="7" t="inlineStr">
        <is>
          <t>Convoyeur</t>
        </is>
      </c>
      <c r="H12" s="7" t="inlineStr">
        <is>
          <t>Stratégique</t>
        </is>
      </c>
      <c r="I12" s="80" t="n">
        <v>62</v>
      </c>
      <c r="J12" s="67" t="n">
        <v>23</v>
      </c>
      <c r="K12" s="68">
        <f>IF($A12="","",SUMIFS('Mouvements stock'!$F$5:$F$3004,'Mouvements stock'!$D$5:$D$3004,$A12,'Mouvements stock'!$C$5:$C$3004,"Entrée")+SUMIFS('Mouvements stock'!$F$5:$F$3004,'Mouvements stock'!$D$5:$D$3004,$A12,'Mouvements stock'!$C$5:$C$3004,"Retour"))</f>
        <v/>
      </c>
      <c r="L12" s="68">
        <f>IF($A12="","",SUMIFS('Mouvements stock'!$F$5:$F$3004,'Mouvements stock'!$D$5:$D$3004,$A12,'Mouvements stock'!$C$5:$C$3004,"Sortie"))</f>
        <v/>
      </c>
      <c r="M12" s="79">
        <f>IF($A12="","",N(J12)+N(K12)-N(L12))</f>
        <v/>
      </c>
      <c r="N12" s="67" t="n">
        <v>10</v>
      </c>
      <c r="O12" s="67" t="n">
        <v>30</v>
      </c>
      <c r="P12" s="67" t="n"/>
      <c r="Q12" s="67" t="n">
        <v>20</v>
      </c>
      <c r="R12" s="70">
        <f>IF($A12="","",MAX(0,M12)*N(I12))</f>
        <v/>
      </c>
      <c r="S12" s="9">
        <f>IF($A12="","",IF(M12&lt;=0,IF(N(P12)&gt;0,"Rupture - en cde","RUPTURE"),IF(M12+N(P12)&lt;=N12,"À COMMANDER",IF(M12&lt;=N12,"Commande en cours","OK"))))</f>
        <v/>
      </c>
      <c r="T12" s="68">
        <f>IF($A12="","",IF(OR(S12="À COMMANDER",S12="RUPTURE"),MAX(1,O12-M12-N(P12)),0))</f>
        <v/>
      </c>
      <c r="U12" s="68">
        <f>IF($A12="","",SUMIFS('Mouvements stock'!$F$5:$F$3004,'Mouvements stock'!$D$5:$D$3004,$A12,'Mouvements stock'!$C$5:$C$3004,"Sortie",'Mouvements stock'!$B$5:$B$3004,"&gt;="&amp;'Paramètres'!$AA$6,'Mouvements stock'!$B$5:$B$3004,"&lt;"&amp;('Paramètres'!$AA$7+1)))</f>
        <v/>
      </c>
      <c r="V12" s="78">
        <f>IF($A12="","",IF(COUNTIF('Mouvements stock'!$D$5:$D$3004,$A12)=0,"",_xlfn.MAXIFS('Mouvements stock'!$B$5:$B$3004,'Mouvements stock'!$D$5:$D$3004,$A12)))</f>
        <v/>
      </c>
    </row>
    <row r="13">
      <c r="A13" s="7" t="inlineStr">
        <is>
          <t>PD-0009</t>
        </is>
      </c>
      <c r="B13" s="7" t="inlineStr">
        <is>
          <t>Galet de convoyeur aérien</t>
        </is>
      </c>
      <c r="C13" s="7" t="inlineStr">
        <is>
          <t>Transmission</t>
        </is>
      </c>
      <c r="D13" s="7" t="inlineStr">
        <is>
          <t>Surface Process Assistance</t>
        </is>
      </c>
      <c r="E13" s="7" t="inlineStr">
        <is>
          <t>F17-6402</t>
        </is>
      </c>
      <c r="F13" s="7" t="inlineStr">
        <is>
          <t>Mag. A-05-1</t>
        </is>
      </c>
      <c r="G13" s="7" t="inlineStr">
        <is>
          <t>Convoyeur</t>
        </is>
      </c>
      <c r="H13" s="7" t="inlineStr">
        <is>
          <t>Courante</t>
        </is>
      </c>
      <c r="I13" s="80" t="n">
        <v>18.5</v>
      </c>
      <c r="J13" s="67" t="n">
        <v>32</v>
      </c>
      <c r="K13" s="68">
        <f>IF($A13="","",SUMIFS('Mouvements stock'!$F$5:$F$3004,'Mouvements stock'!$D$5:$D$3004,$A13,'Mouvements stock'!$C$5:$C$3004,"Entrée")+SUMIFS('Mouvements stock'!$F$5:$F$3004,'Mouvements stock'!$D$5:$D$3004,$A13,'Mouvements stock'!$C$5:$C$3004,"Retour"))</f>
        <v/>
      </c>
      <c r="L13" s="68">
        <f>IF($A13="","",SUMIFS('Mouvements stock'!$F$5:$F$3004,'Mouvements stock'!$D$5:$D$3004,$A13,'Mouvements stock'!$C$5:$C$3004,"Sortie"))</f>
        <v/>
      </c>
      <c r="M13" s="79">
        <f>IF($A13="","",N(J13)+N(K13)-N(L13))</f>
        <v/>
      </c>
      <c r="N13" s="67" t="n">
        <v>20</v>
      </c>
      <c r="O13" s="67" t="n">
        <v>60</v>
      </c>
      <c r="P13" s="67" t="n"/>
      <c r="Q13" s="67" t="n">
        <v>15</v>
      </c>
      <c r="R13" s="70">
        <f>IF($A13="","",MAX(0,M13)*N(I13))</f>
        <v/>
      </c>
      <c r="S13" s="9">
        <f>IF($A13="","",IF(M13&lt;=0,IF(N(P13)&gt;0,"Rupture - en cde","RUPTURE"),IF(M13+N(P13)&lt;=N13,"À COMMANDER",IF(M13&lt;=N13,"Commande en cours","OK"))))</f>
        <v/>
      </c>
      <c r="T13" s="68">
        <f>IF($A13="","",IF(OR(S13="À COMMANDER",S13="RUPTURE"),MAX(1,O13-M13-N(P13)),0))</f>
        <v/>
      </c>
      <c r="U13" s="68">
        <f>IF($A13="","",SUMIFS('Mouvements stock'!$F$5:$F$3004,'Mouvements stock'!$D$5:$D$3004,$A13,'Mouvements stock'!$C$5:$C$3004,"Sortie",'Mouvements stock'!$B$5:$B$3004,"&gt;="&amp;'Paramètres'!$AA$6,'Mouvements stock'!$B$5:$B$3004,"&lt;"&amp;('Paramètres'!$AA$7+1)))</f>
        <v/>
      </c>
      <c r="V13" s="78">
        <f>IF($A13="","",IF(COUNTIF('Mouvements stock'!$D$5:$D$3004,$A13)=0,"",_xlfn.MAXIFS('Mouvements stock'!$B$5:$B$3004,'Mouvements stock'!$D$5:$D$3004,$A13)))</f>
        <v/>
      </c>
    </row>
    <row r="14">
      <c r="A14" s="7" t="inlineStr">
        <is>
          <t>PD-0010</t>
        </is>
      </c>
      <c r="B14" s="7" t="inlineStr">
        <is>
          <t>Motoréducteur 0,75 kW</t>
        </is>
      </c>
      <c r="C14" s="7" t="inlineStr">
        <is>
          <t>Transmission</t>
        </is>
      </c>
      <c r="D14" s="7" t="inlineStr">
        <is>
          <t>Roulements &amp; Transmissions Ouest</t>
        </is>
      </c>
      <c r="E14" s="7" t="inlineStr">
        <is>
          <t>F01-2938</t>
        </is>
      </c>
      <c r="F14" s="7" t="inlineStr">
        <is>
          <t>Mag. A-05-2</t>
        </is>
      </c>
      <c r="G14" s="7" t="inlineStr">
        <is>
          <t>Convoyeur</t>
        </is>
      </c>
      <c r="H14" s="7" t="inlineStr">
        <is>
          <t>Stratégique</t>
        </is>
      </c>
      <c r="I14" s="80" t="n">
        <v>680</v>
      </c>
      <c r="J14" s="67" t="n">
        <v>2</v>
      </c>
      <c r="K14" s="68">
        <f>IF($A14="","",SUMIFS('Mouvements stock'!$F$5:$F$3004,'Mouvements stock'!$D$5:$D$3004,$A14,'Mouvements stock'!$C$5:$C$3004,"Entrée")+SUMIFS('Mouvements stock'!$F$5:$F$3004,'Mouvements stock'!$D$5:$D$3004,$A14,'Mouvements stock'!$C$5:$C$3004,"Retour"))</f>
        <v/>
      </c>
      <c r="L14" s="68">
        <f>IF($A14="","",SUMIFS('Mouvements stock'!$F$5:$F$3004,'Mouvements stock'!$D$5:$D$3004,$A14,'Mouvements stock'!$C$5:$C$3004,"Sortie"))</f>
        <v/>
      </c>
      <c r="M14" s="79">
        <f>IF($A14="","",N(J14)+N(K14)-N(L14))</f>
        <v/>
      </c>
      <c r="N14" s="67" t="n">
        <v>1</v>
      </c>
      <c r="O14" s="67" t="n">
        <v>2</v>
      </c>
      <c r="P14" s="67" t="n"/>
      <c r="Q14" s="67" t="n">
        <v>20</v>
      </c>
      <c r="R14" s="70">
        <f>IF($A14="","",MAX(0,M14)*N(I14))</f>
        <v/>
      </c>
      <c r="S14" s="9">
        <f>IF($A14="","",IF(M14&lt;=0,IF(N(P14)&gt;0,"Rupture - en cde","RUPTURE"),IF(M14+N(P14)&lt;=N14,"À COMMANDER",IF(M14&lt;=N14,"Commande en cours","OK"))))</f>
        <v/>
      </c>
      <c r="T14" s="68">
        <f>IF($A14="","",IF(OR(S14="À COMMANDER",S14="RUPTURE"),MAX(1,O14-M14-N(P14)),0))</f>
        <v/>
      </c>
      <c r="U14" s="68">
        <f>IF($A14="","",SUMIFS('Mouvements stock'!$F$5:$F$3004,'Mouvements stock'!$D$5:$D$3004,$A14,'Mouvements stock'!$C$5:$C$3004,"Sortie",'Mouvements stock'!$B$5:$B$3004,"&gt;="&amp;'Paramètres'!$AA$6,'Mouvements stock'!$B$5:$B$3004,"&lt;"&amp;('Paramètres'!$AA$7+1)))</f>
        <v/>
      </c>
      <c r="V14" s="78">
        <f>IF($A14="","",IF(COUNTIF('Mouvements stock'!$D$5:$D$3004,$A14)=0,"",_xlfn.MAXIFS('Mouvements stock'!$B$5:$B$3004,'Mouvements stock'!$D$5:$D$3004,$A14)))</f>
        <v/>
      </c>
    </row>
    <row r="15">
      <c r="A15" s="7" t="inlineStr">
        <is>
          <t>PD-0011</t>
        </is>
      </c>
      <c r="B15" s="7" t="inlineStr">
        <is>
          <t>Accouplement élastique</t>
        </is>
      </c>
      <c r="C15" s="7" t="inlineStr">
        <is>
          <t>Transmission</t>
        </is>
      </c>
      <c r="D15" s="7" t="inlineStr">
        <is>
          <t>Roulements &amp; Transmissions Ouest</t>
        </is>
      </c>
      <c r="E15" s="7" t="inlineStr">
        <is>
          <t>F01-7195</t>
        </is>
      </c>
      <c r="F15" s="7" t="inlineStr">
        <is>
          <t>Mag. A-06-1</t>
        </is>
      </c>
      <c r="G15" s="7" t="inlineStr">
        <is>
          <t>Presse, Compresseur, Cvc</t>
        </is>
      </c>
      <c r="H15" s="7" t="inlineStr">
        <is>
          <t>Courante</t>
        </is>
      </c>
      <c r="I15" s="80" t="n">
        <v>55</v>
      </c>
      <c r="J15" s="67" t="n">
        <v>3</v>
      </c>
      <c r="K15" s="68">
        <f>IF($A15="","",SUMIFS('Mouvements stock'!$F$5:$F$3004,'Mouvements stock'!$D$5:$D$3004,$A15,'Mouvements stock'!$C$5:$C$3004,"Entrée")+SUMIFS('Mouvements stock'!$F$5:$F$3004,'Mouvements stock'!$D$5:$D$3004,$A15,'Mouvements stock'!$C$5:$C$3004,"Retour"))</f>
        <v/>
      </c>
      <c r="L15" s="68">
        <f>IF($A15="","",SUMIFS('Mouvements stock'!$F$5:$F$3004,'Mouvements stock'!$D$5:$D$3004,$A15,'Mouvements stock'!$C$5:$C$3004,"Sortie"))</f>
        <v/>
      </c>
      <c r="M15" s="79">
        <f>IF($A15="","",N(J15)+N(K15)-N(L15))</f>
        <v/>
      </c>
      <c r="N15" s="67" t="n">
        <v>2</v>
      </c>
      <c r="O15" s="67" t="n">
        <v>4</v>
      </c>
      <c r="P15" s="67" t="n"/>
      <c r="Q15" s="67" t="n">
        <v>5</v>
      </c>
      <c r="R15" s="70">
        <f>IF($A15="","",MAX(0,M15)*N(I15))</f>
        <v/>
      </c>
      <c r="S15" s="9">
        <f>IF($A15="","",IF(M15&lt;=0,IF(N(P15)&gt;0,"Rupture - en cde","RUPTURE"),IF(M15+N(P15)&lt;=N15,"À COMMANDER",IF(M15&lt;=N15,"Commande en cours","OK"))))</f>
        <v/>
      </c>
      <c r="T15" s="68">
        <f>IF($A15="","",IF(OR(S15="À COMMANDER",S15="RUPTURE"),MAX(1,O15-M15-N(P15)),0))</f>
        <v/>
      </c>
      <c r="U15" s="68">
        <f>IF($A15="","",SUMIFS('Mouvements stock'!$F$5:$F$3004,'Mouvements stock'!$D$5:$D$3004,$A15,'Mouvements stock'!$C$5:$C$3004,"Sortie",'Mouvements stock'!$B$5:$B$3004,"&gt;="&amp;'Paramètres'!$AA$6,'Mouvements stock'!$B$5:$B$3004,"&lt;"&amp;('Paramètres'!$AA$7+1)))</f>
        <v/>
      </c>
      <c r="V15" s="78">
        <f>IF($A15="","",IF(COUNTIF('Mouvements stock'!$D$5:$D$3004,$A15)=0,"",_xlfn.MAXIFS('Mouvements stock'!$B$5:$B$3004,'Mouvements stock'!$D$5:$D$3004,$A15)))</f>
        <v/>
      </c>
    </row>
    <row r="16">
      <c r="A16" s="7" t="inlineStr">
        <is>
          <t>PD-0012</t>
        </is>
      </c>
      <c r="B16" s="7" t="inlineStr">
        <is>
          <t>Filtre à huile compresseur GA37</t>
        </is>
      </c>
      <c r="C16" s="7" t="inlineStr">
        <is>
          <t>Filtration</t>
        </is>
      </c>
      <c r="D16" s="7" t="inlineStr">
        <is>
          <t>AirComp Maintenance</t>
        </is>
      </c>
      <c r="E16" s="7" t="inlineStr">
        <is>
          <t>F09-2507</t>
        </is>
      </c>
      <c r="F16" s="7" t="inlineStr">
        <is>
          <t>Mag. A-06-2</t>
        </is>
      </c>
      <c r="G16" s="7" t="inlineStr">
        <is>
          <t>Compresseur</t>
        </is>
      </c>
      <c r="H16" s="7" t="inlineStr">
        <is>
          <t>Courante</t>
        </is>
      </c>
      <c r="I16" s="80" t="n">
        <v>48</v>
      </c>
      <c r="J16" s="67" t="n">
        <v>4</v>
      </c>
      <c r="K16" s="68">
        <f>IF($A16="","",SUMIFS('Mouvements stock'!$F$5:$F$3004,'Mouvements stock'!$D$5:$D$3004,$A16,'Mouvements stock'!$C$5:$C$3004,"Entrée")+SUMIFS('Mouvements stock'!$F$5:$F$3004,'Mouvements stock'!$D$5:$D$3004,$A16,'Mouvements stock'!$C$5:$C$3004,"Retour"))</f>
        <v/>
      </c>
      <c r="L16" s="68">
        <f>IF($A16="","",SUMIFS('Mouvements stock'!$F$5:$F$3004,'Mouvements stock'!$D$5:$D$3004,$A16,'Mouvements stock'!$C$5:$C$3004,"Sortie"))</f>
        <v/>
      </c>
      <c r="M16" s="79">
        <f>IF($A16="","",N(J16)+N(K16)-N(L16))</f>
        <v/>
      </c>
      <c r="N16" s="67" t="n">
        <v>2</v>
      </c>
      <c r="O16" s="67" t="n">
        <v>6</v>
      </c>
      <c r="P16" s="67" t="n"/>
      <c r="Q16" s="67" t="n">
        <v>5</v>
      </c>
      <c r="R16" s="70">
        <f>IF($A16="","",MAX(0,M16)*N(I16))</f>
        <v/>
      </c>
      <c r="S16" s="9">
        <f>IF($A16="","",IF(M16&lt;=0,IF(N(P16)&gt;0,"Rupture - en cde","RUPTURE"),IF(M16+N(P16)&lt;=N16,"À COMMANDER",IF(M16&lt;=N16,"Commande en cours","OK"))))</f>
        <v/>
      </c>
      <c r="T16" s="68">
        <f>IF($A16="","",IF(OR(S16="À COMMANDER",S16="RUPTURE"),MAX(1,O16-M16-N(P16)),0))</f>
        <v/>
      </c>
      <c r="U16" s="68">
        <f>IF($A16="","",SUMIFS('Mouvements stock'!$F$5:$F$3004,'Mouvements stock'!$D$5:$D$3004,$A16,'Mouvements stock'!$C$5:$C$3004,"Sortie",'Mouvements stock'!$B$5:$B$3004,"&gt;="&amp;'Paramètres'!$AA$6,'Mouvements stock'!$B$5:$B$3004,"&lt;"&amp;('Paramètres'!$AA$7+1)))</f>
        <v/>
      </c>
      <c r="V16" s="78">
        <f>IF($A16="","",IF(COUNTIF('Mouvements stock'!$D$5:$D$3004,$A16)=0,"",_xlfn.MAXIFS('Mouvements stock'!$B$5:$B$3004,'Mouvements stock'!$D$5:$D$3004,$A16)))</f>
        <v/>
      </c>
    </row>
    <row r="17">
      <c r="A17" s="7" t="inlineStr">
        <is>
          <t>PD-0013</t>
        </is>
      </c>
      <c r="B17" s="7" t="inlineStr">
        <is>
          <t>Filtre à air compresseur GA37</t>
        </is>
      </c>
      <c r="C17" s="7" t="inlineStr">
        <is>
          <t>Filtration</t>
        </is>
      </c>
      <c r="D17" s="7" t="inlineStr">
        <is>
          <t>AirComp Maintenance</t>
        </is>
      </c>
      <c r="E17" s="7" t="inlineStr">
        <is>
          <t>F09-6822</t>
        </is>
      </c>
      <c r="F17" s="7" t="inlineStr">
        <is>
          <t>Mag. A-07-1</t>
        </is>
      </c>
      <c r="G17" s="7" t="inlineStr">
        <is>
          <t>Compresseur</t>
        </is>
      </c>
      <c r="H17" s="7" t="inlineStr">
        <is>
          <t>Courante</t>
        </is>
      </c>
      <c r="I17" s="80" t="n">
        <v>62</v>
      </c>
      <c r="J17" s="67" t="n">
        <v>4</v>
      </c>
      <c r="K17" s="68">
        <f>IF($A17="","",SUMIFS('Mouvements stock'!$F$5:$F$3004,'Mouvements stock'!$D$5:$D$3004,$A17,'Mouvements stock'!$C$5:$C$3004,"Entrée")+SUMIFS('Mouvements stock'!$F$5:$F$3004,'Mouvements stock'!$D$5:$D$3004,$A17,'Mouvements stock'!$C$5:$C$3004,"Retour"))</f>
        <v/>
      </c>
      <c r="L17" s="68">
        <f>IF($A17="","",SUMIFS('Mouvements stock'!$F$5:$F$3004,'Mouvements stock'!$D$5:$D$3004,$A17,'Mouvements stock'!$C$5:$C$3004,"Sortie"))</f>
        <v/>
      </c>
      <c r="M17" s="79">
        <f>IF($A17="","",N(J17)+N(K17)-N(L17))</f>
        <v/>
      </c>
      <c r="N17" s="67" t="n">
        <v>2</v>
      </c>
      <c r="O17" s="67" t="n">
        <v>6</v>
      </c>
      <c r="P17" s="67" t="n"/>
      <c r="Q17" s="67" t="n">
        <v>5</v>
      </c>
      <c r="R17" s="70">
        <f>IF($A17="","",MAX(0,M17)*N(I17))</f>
        <v/>
      </c>
      <c r="S17" s="9">
        <f>IF($A17="","",IF(M17&lt;=0,IF(N(P17)&gt;0,"Rupture - en cde","RUPTURE"),IF(M17+N(P17)&lt;=N17,"À COMMANDER",IF(M17&lt;=N17,"Commande en cours","OK"))))</f>
        <v/>
      </c>
      <c r="T17" s="68">
        <f>IF($A17="","",IF(OR(S17="À COMMANDER",S17="RUPTURE"),MAX(1,O17-M17-N(P17)),0))</f>
        <v/>
      </c>
      <c r="U17" s="68">
        <f>IF($A17="","",SUMIFS('Mouvements stock'!$F$5:$F$3004,'Mouvements stock'!$D$5:$D$3004,$A17,'Mouvements stock'!$C$5:$C$3004,"Sortie",'Mouvements stock'!$B$5:$B$3004,"&gt;="&amp;'Paramètres'!$AA$6,'Mouvements stock'!$B$5:$B$3004,"&lt;"&amp;('Paramètres'!$AA$7+1)))</f>
        <v/>
      </c>
      <c r="V17" s="78">
        <f>IF($A17="","",IF(COUNTIF('Mouvements stock'!$D$5:$D$3004,$A17)=0,"",_xlfn.MAXIFS('Mouvements stock'!$B$5:$B$3004,'Mouvements stock'!$D$5:$D$3004,$A17)))</f>
        <v/>
      </c>
    </row>
    <row r="18">
      <c r="A18" s="7" t="inlineStr">
        <is>
          <t>PD-0014</t>
        </is>
      </c>
      <c r="B18" s="7" t="inlineStr">
        <is>
          <t>Séparateur huile compresseur</t>
        </is>
      </c>
      <c r="C18" s="7" t="inlineStr">
        <is>
          <t>Filtration</t>
        </is>
      </c>
      <c r="D18" s="7" t="inlineStr">
        <is>
          <t>AirComp Maintenance</t>
        </is>
      </c>
      <c r="E18" s="7" t="inlineStr">
        <is>
          <t>F09-6754</t>
        </is>
      </c>
      <c r="F18" s="7" t="inlineStr">
        <is>
          <t>Mag. A-07-2</t>
        </is>
      </c>
      <c r="G18" s="7" t="inlineStr">
        <is>
          <t>Compresseur</t>
        </is>
      </c>
      <c r="H18" s="7" t="inlineStr">
        <is>
          <t>Courante</t>
        </is>
      </c>
      <c r="I18" s="80" t="n">
        <v>185</v>
      </c>
      <c r="J18" s="67" t="n">
        <v>2</v>
      </c>
      <c r="K18" s="68">
        <f>IF($A18="","",SUMIFS('Mouvements stock'!$F$5:$F$3004,'Mouvements stock'!$D$5:$D$3004,$A18,'Mouvements stock'!$C$5:$C$3004,"Entrée")+SUMIFS('Mouvements stock'!$F$5:$F$3004,'Mouvements stock'!$D$5:$D$3004,$A18,'Mouvements stock'!$C$5:$C$3004,"Retour"))</f>
        <v/>
      </c>
      <c r="L18" s="68">
        <f>IF($A18="","",SUMIFS('Mouvements stock'!$F$5:$F$3004,'Mouvements stock'!$D$5:$D$3004,$A18,'Mouvements stock'!$C$5:$C$3004,"Sortie"))</f>
        <v/>
      </c>
      <c r="M18" s="79">
        <f>IF($A18="","",N(J18)+N(K18)-N(L18))</f>
        <v/>
      </c>
      <c r="N18" s="67" t="n">
        <v>1</v>
      </c>
      <c r="O18" s="67" t="n">
        <v>2</v>
      </c>
      <c r="P18" s="67" t="n"/>
      <c r="Q18" s="67" t="n">
        <v>7</v>
      </c>
      <c r="R18" s="70">
        <f>IF($A18="","",MAX(0,M18)*N(I18))</f>
        <v/>
      </c>
      <c r="S18" s="9">
        <f>IF($A18="","",IF(M18&lt;=0,IF(N(P18)&gt;0,"Rupture - en cde","RUPTURE"),IF(M18+N(P18)&lt;=N18,"À COMMANDER",IF(M18&lt;=N18,"Commande en cours","OK"))))</f>
        <v/>
      </c>
      <c r="T18" s="68">
        <f>IF($A18="","",IF(OR(S18="À COMMANDER",S18="RUPTURE"),MAX(1,O18-M18-N(P18)),0))</f>
        <v/>
      </c>
      <c r="U18" s="68">
        <f>IF($A18="","",SUMIFS('Mouvements stock'!$F$5:$F$3004,'Mouvements stock'!$D$5:$D$3004,$A18,'Mouvements stock'!$C$5:$C$3004,"Sortie",'Mouvements stock'!$B$5:$B$3004,"&gt;="&amp;'Paramètres'!$AA$6,'Mouvements stock'!$B$5:$B$3004,"&lt;"&amp;('Paramètres'!$AA$7+1)))</f>
        <v/>
      </c>
      <c r="V18" s="78">
        <f>IF($A18="","",IF(COUNTIF('Mouvements stock'!$D$5:$D$3004,$A18)=0,"",_xlfn.MAXIFS('Mouvements stock'!$B$5:$B$3004,'Mouvements stock'!$D$5:$D$3004,$A18)))</f>
        <v/>
      </c>
    </row>
    <row r="19">
      <c r="A19" s="7" t="inlineStr">
        <is>
          <t>PD-0015</t>
        </is>
      </c>
      <c r="B19" s="7" t="inlineStr">
        <is>
          <t>Filtre hydraulique retour 10 µm</t>
        </is>
      </c>
      <c r="C19" s="7" t="inlineStr">
        <is>
          <t>Filtration</t>
        </is>
      </c>
      <c r="D19" s="7" t="inlineStr">
        <is>
          <t>HydroFluid Services</t>
        </is>
      </c>
      <c r="E19" s="7" t="inlineStr">
        <is>
          <t>F02-5373</t>
        </is>
      </c>
      <c r="F19" s="7" t="inlineStr">
        <is>
          <t>Mag. A-08-1</t>
        </is>
      </c>
      <c r="G19" s="7" t="inlineStr">
        <is>
          <t>CNC, Presse, Scie</t>
        </is>
      </c>
      <c r="H19" s="7" t="inlineStr">
        <is>
          <t>Courante</t>
        </is>
      </c>
      <c r="I19" s="80" t="n">
        <v>42</v>
      </c>
      <c r="J19" s="67" t="n">
        <v>7</v>
      </c>
      <c r="K19" s="68">
        <f>IF($A19="","",SUMIFS('Mouvements stock'!$F$5:$F$3004,'Mouvements stock'!$D$5:$D$3004,$A19,'Mouvements stock'!$C$5:$C$3004,"Entrée")+SUMIFS('Mouvements stock'!$F$5:$F$3004,'Mouvements stock'!$D$5:$D$3004,$A19,'Mouvements stock'!$C$5:$C$3004,"Retour"))</f>
        <v/>
      </c>
      <c r="L19" s="68">
        <f>IF($A19="","",SUMIFS('Mouvements stock'!$F$5:$F$3004,'Mouvements stock'!$D$5:$D$3004,$A19,'Mouvements stock'!$C$5:$C$3004,"Sortie"))</f>
        <v/>
      </c>
      <c r="M19" s="79">
        <f>IF($A19="","",N(J19)+N(K19)-N(L19))</f>
        <v/>
      </c>
      <c r="N19" s="67" t="n">
        <v>4</v>
      </c>
      <c r="O19" s="67" t="n">
        <v>10</v>
      </c>
      <c r="P19" s="67" t="n"/>
      <c r="Q19" s="67" t="n">
        <v>5</v>
      </c>
      <c r="R19" s="70">
        <f>IF($A19="","",MAX(0,M19)*N(I19))</f>
        <v/>
      </c>
      <c r="S19" s="9">
        <f>IF($A19="","",IF(M19&lt;=0,IF(N(P19)&gt;0,"Rupture - en cde","RUPTURE"),IF(M19+N(P19)&lt;=N19,"À COMMANDER",IF(M19&lt;=N19,"Commande en cours","OK"))))</f>
        <v/>
      </c>
      <c r="T19" s="68">
        <f>IF($A19="","",IF(OR(S19="À COMMANDER",S19="RUPTURE"),MAX(1,O19-M19-N(P19)),0))</f>
        <v/>
      </c>
      <c r="U19" s="68">
        <f>IF($A19="","",SUMIFS('Mouvements stock'!$F$5:$F$3004,'Mouvements stock'!$D$5:$D$3004,$A19,'Mouvements stock'!$C$5:$C$3004,"Sortie",'Mouvements stock'!$B$5:$B$3004,"&gt;="&amp;'Paramètres'!$AA$6,'Mouvements stock'!$B$5:$B$3004,"&lt;"&amp;('Paramètres'!$AA$7+1)))</f>
        <v/>
      </c>
      <c r="V19" s="78">
        <f>IF($A19="","",IF(COUNTIF('Mouvements stock'!$D$5:$D$3004,$A19)=0,"",_xlfn.MAXIFS('Mouvements stock'!$B$5:$B$3004,'Mouvements stock'!$D$5:$D$3004,$A19)))</f>
        <v/>
      </c>
    </row>
    <row r="20">
      <c r="A20" s="7" t="inlineStr">
        <is>
          <t>PD-0016</t>
        </is>
      </c>
      <c r="B20" s="7" t="inlineStr">
        <is>
          <t>Filtre hydraulique haute pression</t>
        </is>
      </c>
      <c r="C20" s="7" t="inlineStr">
        <is>
          <t>Filtration</t>
        </is>
      </c>
      <c r="D20" s="7" t="inlineStr">
        <is>
          <t>HydroFluid Services</t>
        </is>
      </c>
      <c r="E20" s="7" t="inlineStr">
        <is>
          <t>F02-8833</t>
        </is>
      </c>
      <c r="F20" s="7" t="inlineStr">
        <is>
          <t>Mag. A-08-2</t>
        </is>
      </c>
      <c r="G20" s="7" t="inlineStr">
        <is>
          <t>Presse</t>
        </is>
      </c>
      <c r="H20" s="7" t="inlineStr">
        <is>
          <t>Courante</t>
        </is>
      </c>
      <c r="I20" s="80" t="n">
        <v>96</v>
      </c>
      <c r="J20" s="67" t="n">
        <v>4</v>
      </c>
      <c r="K20" s="68">
        <f>IF($A20="","",SUMIFS('Mouvements stock'!$F$5:$F$3004,'Mouvements stock'!$D$5:$D$3004,$A20,'Mouvements stock'!$C$5:$C$3004,"Entrée")+SUMIFS('Mouvements stock'!$F$5:$F$3004,'Mouvements stock'!$D$5:$D$3004,$A20,'Mouvements stock'!$C$5:$C$3004,"Retour"))</f>
        <v/>
      </c>
      <c r="L20" s="68">
        <f>IF($A20="","",SUMIFS('Mouvements stock'!$F$5:$F$3004,'Mouvements stock'!$D$5:$D$3004,$A20,'Mouvements stock'!$C$5:$C$3004,"Sortie"))</f>
        <v/>
      </c>
      <c r="M20" s="79">
        <f>IF($A20="","",N(J20)+N(K20)-N(L20))</f>
        <v/>
      </c>
      <c r="N20" s="67" t="n">
        <v>2</v>
      </c>
      <c r="O20" s="67" t="n">
        <v>4</v>
      </c>
      <c r="P20" s="67" t="n"/>
      <c r="Q20" s="67" t="n">
        <v>7</v>
      </c>
      <c r="R20" s="70">
        <f>IF($A20="","",MAX(0,M20)*N(I20))</f>
        <v/>
      </c>
      <c r="S20" s="9">
        <f>IF($A20="","",IF(M20&lt;=0,IF(N(P20)&gt;0,"Rupture - en cde","RUPTURE"),IF(M20+N(P20)&lt;=N20,"À COMMANDER",IF(M20&lt;=N20,"Commande en cours","OK"))))</f>
        <v/>
      </c>
      <c r="T20" s="68">
        <f>IF($A20="","",IF(OR(S20="À COMMANDER",S20="RUPTURE"),MAX(1,O20-M20-N(P20)),0))</f>
        <v/>
      </c>
      <c r="U20" s="68">
        <f>IF($A20="","",SUMIFS('Mouvements stock'!$F$5:$F$3004,'Mouvements stock'!$D$5:$D$3004,$A20,'Mouvements stock'!$C$5:$C$3004,"Sortie",'Mouvements stock'!$B$5:$B$3004,"&gt;="&amp;'Paramètres'!$AA$6,'Mouvements stock'!$B$5:$B$3004,"&lt;"&amp;('Paramètres'!$AA$7+1)))</f>
        <v/>
      </c>
      <c r="V20" s="78">
        <f>IF($A20="","",IF(COUNTIF('Mouvements stock'!$D$5:$D$3004,$A20)=0,"",_xlfn.MAXIFS('Mouvements stock'!$B$5:$B$3004,'Mouvements stock'!$D$5:$D$3004,$A20)))</f>
        <v/>
      </c>
    </row>
    <row r="21">
      <c r="A21" s="7" t="inlineStr">
        <is>
          <t>PD-0017</t>
        </is>
      </c>
      <c r="B21" s="7" t="inlineStr">
        <is>
          <t>Filtre de cabine peinture (rouleau 20 m)</t>
        </is>
      </c>
      <c r="C21" s="7" t="inlineStr">
        <is>
          <t>Filtration</t>
        </is>
      </c>
      <c r="D21" s="7" t="inlineStr">
        <is>
          <t>Surface Process Assistance</t>
        </is>
      </c>
      <c r="E21" s="7" t="inlineStr">
        <is>
          <t>F17-3150</t>
        </is>
      </c>
      <c r="F21" s="7" t="inlineStr">
        <is>
          <t>Mag. B-01-1</t>
        </is>
      </c>
      <c r="G21" s="7" t="inlineStr">
        <is>
          <t>Peinture</t>
        </is>
      </c>
      <c r="H21" s="7" t="inlineStr">
        <is>
          <t>Courante</t>
        </is>
      </c>
      <c r="I21" s="80" t="n">
        <v>145</v>
      </c>
      <c r="J21" s="67" t="n">
        <v>7</v>
      </c>
      <c r="K21" s="68">
        <f>IF($A21="","",SUMIFS('Mouvements stock'!$F$5:$F$3004,'Mouvements stock'!$D$5:$D$3004,$A21,'Mouvements stock'!$C$5:$C$3004,"Entrée")+SUMIFS('Mouvements stock'!$F$5:$F$3004,'Mouvements stock'!$D$5:$D$3004,$A21,'Mouvements stock'!$C$5:$C$3004,"Retour"))</f>
        <v/>
      </c>
      <c r="L21" s="68">
        <f>IF($A21="","",SUMIFS('Mouvements stock'!$F$5:$F$3004,'Mouvements stock'!$D$5:$D$3004,$A21,'Mouvements stock'!$C$5:$C$3004,"Sortie"))</f>
        <v/>
      </c>
      <c r="M21" s="79">
        <f>IF($A21="","",N(J21)+N(K21)-N(L21))</f>
        <v/>
      </c>
      <c r="N21" s="67" t="n">
        <v>4</v>
      </c>
      <c r="O21" s="67" t="n">
        <v>12</v>
      </c>
      <c r="P21" s="67" t="n"/>
      <c r="Q21" s="67" t="n">
        <v>10</v>
      </c>
      <c r="R21" s="70">
        <f>IF($A21="","",MAX(0,M21)*N(I21))</f>
        <v/>
      </c>
      <c r="S21" s="9">
        <f>IF($A21="","",IF(M21&lt;=0,IF(N(P21)&gt;0,"Rupture - en cde","RUPTURE"),IF(M21+N(P21)&lt;=N21,"À COMMANDER",IF(M21&lt;=N21,"Commande en cours","OK"))))</f>
        <v/>
      </c>
      <c r="T21" s="68">
        <f>IF($A21="","",IF(OR(S21="À COMMANDER",S21="RUPTURE"),MAX(1,O21-M21-N(P21)),0))</f>
        <v/>
      </c>
      <c r="U21" s="68">
        <f>IF($A21="","",SUMIFS('Mouvements stock'!$F$5:$F$3004,'Mouvements stock'!$D$5:$D$3004,$A21,'Mouvements stock'!$C$5:$C$3004,"Sortie",'Mouvements stock'!$B$5:$B$3004,"&gt;="&amp;'Paramètres'!$AA$6,'Mouvements stock'!$B$5:$B$3004,"&lt;"&amp;('Paramètres'!$AA$7+1)))</f>
        <v/>
      </c>
      <c r="V21" s="78">
        <f>IF($A21="","",IF(COUNTIF('Mouvements stock'!$D$5:$D$3004,$A21)=0,"",_xlfn.MAXIFS('Mouvements stock'!$B$5:$B$3004,'Mouvements stock'!$D$5:$D$3004,$A21)))</f>
        <v/>
      </c>
    </row>
    <row r="22">
      <c r="A22" s="7" t="inlineStr">
        <is>
          <t>PD-0018</t>
        </is>
      </c>
      <c r="B22" s="7" t="inlineStr">
        <is>
          <t>Cartouche filtrante aspiration fumées</t>
        </is>
      </c>
      <c r="C22" s="7" t="inlineStr">
        <is>
          <t>Filtration</t>
        </is>
      </c>
      <c r="D22" s="7" t="inlineStr">
        <is>
          <t>Thermique &amp; Clim Services</t>
        </is>
      </c>
      <c r="E22" s="7" t="inlineStr">
        <is>
          <t>F14-6187</t>
        </is>
      </c>
      <c r="F22" s="7" t="inlineStr">
        <is>
          <t>Mag. B-01-2</t>
        </is>
      </c>
      <c r="G22" s="7" t="inlineStr">
        <is>
          <t>Cvc, Peinture</t>
        </is>
      </c>
      <c r="H22" s="7" t="inlineStr">
        <is>
          <t>Courante</t>
        </is>
      </c>
      <c r="I22" s="80" t="n">
        <v>210</v>
      </c>
      <c r="J22" s="67" t="n">
        <v>5</v>
      </c>
      <c r="K22" s="68">
        <f>IF($A22="","",SUMIFS('Mouvements stock'!$F$5:$F$3004,'Mouvements stock'!$D$5:$D$3004,$A22,'Mouvements stock'!$C$5:$C$3004,"Entrée")+SUMIFS('Mouvements stock'!$F$5:$F$3004,'Mouvements stock'!$D$5:$D$3004,$A22,'Mouvements stock'!$C$5:$C$3004,"Retour"))</f>
        <v/>
      </c>
      <c r="L22" s="68">
        <f>IF($A22="","",SUMIFS('Mouvements stock'!$F$5:$F$3004,'Mouvements stock'!$D$5:$D$3004,$A22,'Mouvements stock'!$C$5:$C$3004,"Sortie"))</f>
        <v/>
      </c>
      <c r="M22" s="79">
        <f>IF($A22="","",N(J22)+N(K22)-N(L22))</f>
        <v/>
      </c>
      <c r="N22" s="67" t="n">
        <v>2</v>
      </c>
      <c r="O22" s="67" t="n">
        <v>6</v>
      </c>
      <c r="P22" s="67" t="n"/>
      <c r="Q22" s="67" t="n">
        <v>10</v>
      </c>
      <c r="R22" s="70">
        <f>IF($A22="","",MAX(0,M22)*N(I22))</f>
        <v/>
      </c>
      <c r="S22" s="9">
        <f>IF($A22="","",IF(M22&lt;=0,IF(N(P22)&gt;0,"Rupture - en cde","RUPTURE"),IF(M22+N(P22)&lt;=N22,"À COMMANDER",IF(M22&lt;=N22,"Commande en cours","OK"))))</f>
        <v/>
      </c>
      <c r="T22" s="68">
        <f>IF($A22="","",IF(OR(S22="À COMMANDER",S22="RUPTURE"),MAX(1,O22-M22-N(P22)),0))</f>
        <v/>
      </c>
      <c r="U22" s="68">
        <f>IF($A22="","",SUMIFS('Mouvements stock'!$F$5:$F$3004,'Mouvements stock'!$D$5:$D$3004,$A22,'Mouvements stock'!$C$5:$C$3004,"Sortie",'Mouvements stock'!$B$5:$B$3004,"&gt;="&amp;'Paramètres'!$AA$6,'Mouvements stock'!$B$5:$B$3004,"&lt;"&amp;('Paramètres'!$AA$7+1)))</f>
        <v/>
      </c>
      <c r="V22" s="78">
        <f>IF($A22="","",IF(COUNTIF('Mouvements stock'!$D$5:$D$3004,$A22)=0,"",_xlfn.MAXIFS('Mouvements stock'!$B$5:$B$3004,'Mouvements stock'!$D$5:$D$3004,$A22)))</f>
        <v/>
      </c>
    </row>
    <row r="23">
      <c r="A23" s="7" t="inlineStr">
        <is>
          <t>PD-0019</t>
        </is>
      </c>
      <c r="B23" s="7" t="inlineStr">
        <is>
          <t>Filtre CTA G4 592x592</t>
        </is>
      </c>
      <c r="C23" s="7" t="inlineStr">
        <is>
          <t>Filtration</t>
        </is>
      </c>
      <c r="D23" s="7" t="inlineStr">
        <is>
          <t>Thermique &amp; Clim Services</t>
        </is>
      </c>
      <c r="E23" s="7" t="inlineStr">
        <is>
          <t>F14-2619</t>
        </is>
      </c>
      <c r="F23" s="7" t="inlineStr">
        <is>
          <t>Mag. B-02-1</t>
        </is>
      </c>
      <c r="G23" s="7" t="inlineStr">
        <is>
          <t>Cvc</t>
        </is>
      </c>
      <c r="H23" s="7" t="inlineStr">
        <is>
          <t>Courante</t>
        </is>
      </c>
      <c r="I23" s="80" t="n">
        <v>12</v>
      </c>
      <c r="J23" s="67" t="n">
        <v>9</v>
      </c>
      <c r="K23" s="68">
        <f>IF($A23="","",SUMIFS('Mouvements stock'!$F$5:$F$3004,'Mouvements stock'!$D$5:$D$3004,$A23,'Mouvements stock'!$C$5:$C$3004,"Entrée")+SUMIFS('Mouvements stock'!$F$5:$F$3004,'Mouvements stock'!$D$5:$D$3004,$A23,'Mouvements stock'!$C$5:$C$3004,"Retour"))</f>
        <v/>
      </c>
      <c r="L23" s="68">
        <f>IF($A23="","",SUMIFS('Mouvements stock'!$F$5:$F$3004,'Mouvements stock'!$D$5:$D$3004,$A23,'Mouvements stock'!$C$5:$C$3004,"Sortie"))</f>
        <v/>
      </c>
      <c r="M23" s="79">
        <f>IF($A23="","",N(J23)+N(K23)-N(L23))</f>
        <v/>
      </c>
      <c r="N23" s="67" t="n">
        <v>8</v>
      </c>
      <c r="O23" s="67" t="n">
        <v>24</v>
      </c>
      <c r="P23" s="67" t="n"/>
      <c r="Q23" s="67" t="n">
        <v>5</v>
      </c>
      <c r="R23" s="70">
        <f>IF($A23="","",MAX(0,M23)*N(I23))</f>
        <v/>
      </c>
      <c r="S23" s="9">
        <f>IF($A23="","",IF(M23&lt;=0,IF(N(P23)&gt;0,"Rupture - en cde","RUPTURE"),IF(M23+N(P23)&lt;=N23,"À COMMANDER",IF(M23&lt;=N23,"Commande en cours","OK"))))</f>
        <v/>
      </c>
      <c r="T23" s="68">
        <f>IF($A23="","",IF(OR(S23="À COMMANDER",S23="RUPTURE"),MAX(1,O23-M23-N(P23)),0))</f>
        <v/>
      </c>
      <c r="U23" s="68">
        <f>IF($A23="","",SUMIFS('Mouvements stock'!$F$5:$F$3004,'Mouvements stock'!$D$5:$D$3004,$A23,'Mouvements stock'!$C$5:$C$3004,"Sortie",'Mouvements stock'!$B$5:$B$3004,"&gt;="&amp;'Paramètres'!$AA$6,'Mouvements stock'!$B$5:$B$3004,"&lt;"&amp;('Paramètres'!$AA$7+1)))</f>
        <v/>
      </c>
      <c r="V23" s="78">
        <f>IF($A23="","",IF(COUNTIF('Mouvements stock'!$D$5:$D$3004,$A23)=0,"",_xlfn.MAXIFS('Mouvements stock'!$B$5:$B$3004,'Mouvements stock'!$D$5:$D$3004,$A23)))</f>
        <v/>
      </c>
    </row>
    <row r="24">
      <c r="A24" s="7" t="inlineStr">
        <is>
          <t>PD-0020</t>
        </is>
      </c>
      <c r="B24" s="7" t="inlineStr">
        <is>
          <t>Filtre CTA F7 à poches</t>
        </is>
      </c>
      <c r="C24" s="7" t="inlineStr">
        <is>
          <t>Filtration</t>
        </is>
      </c>
      <c r="D24" s="7" t="inlineStr">
        <is>
          <t>Thermique &amp; Clim Services</t>
        </is>
      </c>
      <c r="E24" s="7" t="inlineStr">
        <is>
          <t>F14-9048</t>
        </is>
      </c>
      <c r="F24" s="7" t="inlineStr">
        <is>
          <t>Mag. B-02-2</t>
        </is>
      </c>
      <c r="G24" s="7" t="inlineStr">
        <is>
          <t>Cvc</t>
        </is>
      </c>
      <c r="H24" s="7" t="inlineStr">
        <is>
          <t>Courante</t>
        </is>
      </c>
      <c r="I24" s="80" t="n">
        <v>38</v>
      </c>
      <c r="J24" s="67" t="n">
        <v>12</v>
      </c>
      <c r="K24" s="68">
        <f>IF($A24="","",SUMIFS('Mouvements stock'!$F$5:$F$3004,'Mouvements stock'!$D$5:$D$3004,$A24,'Mouvements stock'!$C$5:$C$3004,"Entrée")+SUMIFS('Mouvements stock'!$F$5:$F$3004,'Mouvements stock'!$D$5:$D$3004,$A24,'Mouvements stock'!$C$5:$C$3004,"Retour"))</f>
        <v/>
      </c>
      <c r="L24" s="68">
        <f>IF($A24="","",SUMIFS('Mouvements stock'!$F$5:$F$3004,'Mouvements stock'!$D$5:$D$3004,$A24,'Mouvements stock'!$C$5:$C$3004,"Sortie"))</f>
        <v/>
      </c>
      <c r="M24" s="79">
        <f>IF($A24="","",N(J24)+N(K24)-N(L24))</f>
        <v/>
      </c>
      <c r="N24" s="67" t="n">
        <v>4</v>
      </c>
      <c r="O24" s="67" t="n">
        <v>12</v>
      </c>
      <c r="P24" s="67" t="n"/>
      <c r="Q24" s="67" t="n">
        <v>5</v>
      </c>
      <c r="R24" s="70">
        <f>IF($A24="","",MAX(0,M24)*N(I24))</f>
        <v/>
      </c>
      <c r="S24" s="9">
        <f>IF($A24="","",IF(M24&lt;=0,IF(N(P24)&gt;0,"Rupture - en cde","RUPTURE"),IF(M24+N(P24)&lt;=N24,"À COMMANDER",IF(M24&lt;=N24,"Commande en cours","OK"))))</f>
        <v/>
      </c>
      <c r="T24" s="68">
        <f>IF($A24="","",IF(OR(S24="À COMMANDER",S24="RUPTURE"),MAX(1,O24-M24-N(P24)),0))</f>
        <v/>
      </c>
      <c r="U24" s="68">
        <f>IF($A24="","",SUMIFS('Mouvements stock'!$F$5:$F$3004,'Mouvements stock'!$D$5:$D$3004,$A24,'Mouvements stock'!$C$5:$C$3004,"Sortie",'Mouvements stock'!$B$5:$B$3004,"&gt;="&amp;'Paramètres'!$AA$6,'Mouvements stock'!$B$5:$B$3004,"&lt;"&amp;('Paramètres'!$AA$7+1)))</f>
        <v/>
      </c>
      <c r="V24" s="78">
        <f>IF($A24="","",IF(COUNTIF('Mouvements stock'!$D$5:$D$3004,$A24)=0,"",_xlfn.MAXIFS('Mouvements stock'!$B$5:$B$3004,'Mouvements stock'!$D$5:$D$3004,$A24)))</f>
        <v/>
      </c>
    </row>
    <row r="25">
      <c r="A25" s="7" t="inlineStr">
        <is>
          <t>PD-0021</t>
        </is>
      </c>
      <c r="B25" s="7" t="inlineStr">
        <is>
          <t>Rouleau papier filtre liquide de coupe</t>
        </is>
      </c>
      <c r="C25" s="7" t="inlineStr">
        <is>
          <t>Filtration</t>
        </is>
      </c>
      <c r="D25" s="7" t="inlineStr">
        <is>
          <t>Fournitures Industrielles Générales</t>
        </is>
      </c>
      <c r="E25" s="7" t="inlineStr">
        <is>
          <t>F15-5764</t>
        </is>
      </c>
      <c r="F25" s="7" t="inlineStr">
        <is>
          <t>Mag. B-03-1</t>
        </is>
      </c>
      <c r="G25" s="7" t="inlineStr">
        <is>
          <t>CNC, Scie</t>
        </is>
      </c>
      <c r="H25" s="7" t="inlineStr">
        <is>
          <t>Courante</t>
        </is>
      </c>
      <c r="I25" s="80" t="n">
        <v>75</v>
      </c>
      <c r="J25" s="67" t="n">
        <v>3</v>
      </c>
      <c r="K25" s="68">
        <f>IF($A25="","",SUMIFS('Mouvements stock'!$F$5:$F$3004,'Mouvements stock'!$D$5:$D$3004,$A25,'Mouvements stock'!$C$5:$C$3004,"Entrée")+SUMIFS('Mouvements stock'!$F$5:$F$3004,'Mouvements stock'!$D$5:$D$3004,$A25,'Mouvements stock'!$C$5:$C$3004,"Retour"))</f>
        <v/>
      </c>
      <c r="L25" s="68">
        <f>IF($A25="","",SUMIFS('Mouvements stock'!$F$5:$F$3004,'Mouvements stock'!$D$5:$D$3004,$A25,'Mouvements stock'!$C$5:$C$3004,"Sortie"))</f>
        <v/>
      </c>
      <c r="M25" s="79">
        <f>IF($A25="","",N(J25)+N(K25)-N(L25))</f>
        <v/>
      </c>
      <c r="N25" s="67" t="n">
        <v>2</v>
      </c>
      <c r="O25" s="67" t="n">
        <v>6</v>
      </c>
      <c r="P25" s="67" t="n"/>
      <c r="Q25" s="67" t="n">
        <v>5</v>
      </c>
      <c r="R25" s="70">
        <f>IF($A25="","",MAX(0,M25)*N(I25))</f>
        <v/>
      </c>
      <c r="S25" s="9">
        <f>IF($A25="","",IF(M25&lt;=0,IF(N(P25)&gt;0,"Rupture - en cde","RUPTURE"),IF(M25+N(P25)&lt;=N25,"À COMMANDER",IF(M25&lt;=N25,"Commande en cours","OK"))))</f>
        <v/>
      </c>
      <c r="T25" s="68">
        <f>IF($A25="","",IF(OR(S25="À COMMANDER",S25="RUPTURE"),MAX(1,O25-M25-N(P25)),0))</f>
        <v/>
      </c>
      <c r="U25" s="68">
        <f>IF($A25="","",SUMIFS('Mouvements stock'!$F$5:$F$3004,'Mouvements stock'!$D$5:$D$3004,$A25,'Mouvements stock'!$C$5:$C$3004,"Sortie",'Mouvements stock'!$B$5:$B$3004,"&gt;="&amp;'Paramètres'!$AA$6,'Mouvements stock'!$B$5:$B$3004,"&lt;"&amp;('Paramètres'!$AA$7+1)))</f>
        <v/>
      </c>
      <c r="V25" s="78">
        <f>IF($A25="","",IF(COUNTIF('Mouvements stock'!$D$5:$D$3004,$A25)=0,"",_xlfn.MAXIFS('Mouvements stock'!$B$5:$B$3004,'Mouvements stock'!$D$5:$D$3004,$A25)))</f>
        <v/>
      </c>
    </row>
    <row r="26">
      <c r="A26" s="7" t="inlineStr">
        <is>
          <t>PD-0022</t>
        </is>
      </c>
      <c r="B26" s="7" t="inlineStr">
        <is>
          <t>Huile hydraulique HM 46 (fût 208 L)</t>
        </is>
      </c>
      <c r="C26" s="7" t="inlineStr">
        <is>
          <t>Lubrifiants</t>
        </is>
      </c>
      <c r="D26" s="7" t="inlineStr">
        <is>
          <t>LubriTech France</t>
        </is>
      </c>
      <c r="E26" s="7" t="inlineStr">
        <is>
          <t>F05-1032</t>
        </is>
      </c>
      <c r="F26" s="7" t="inlineStr">
        <is>
          <t>Mag. B-03-2</t>
        </is>
      </c>
      <c r="G26" s="7" t="inlineStr">
        <is>
          <t>CNC, Presse, Scie, Levage</t>
        </is>
      </c>
      <c r="H26" s="7" t="inlineStr">
        <is>
          <t>Courante</t>
        </is>
      </c>
      <c r="I26" s="80" t="n">
        <v>640</v>
      </c>
      <c r="J26" s="67" t="n">
        <v>3</v>
      </c>
      <c r="K26" s="68">
        <f>IF($A26="","",SUMIFS('Mouvements stock'!$F$5:$F$3004,'Mouvements stock'!$D$5:$D$3004,$A26,'Mouvements stock'!$C$5:$C$3004,"Entrée")+SUMIFS('Mouvements stock'!$F$5:$F$3004,'Mouvements stock'!$D$5:$D$3004,$A26,'Mouvements stock'!$C$5:$C$3004,"Retour"))</f>
        <v/>
      </c>
      <c r="L26" s="68">
        <f>IF($A26="","",SUMIFS('Mouvements stock'!$F$5:$F$3004,'Mouvements stock'!$D$5:$D$3004,$A26,'Mouvements stock'!$C$5:$C$3004,"Sortie"))</f>
        <v/>
      </c>
      <c r="M26" s="79">
        <f>IF($A26="","",N(J26)+N(K26)-N(L26))</f>
        <v/>
      </c>
      <c r="N26" s="67" t="n">
        <v>1</v>
      </c>
      <c r="O26" s="67" t="n">
        <v>3</v>
      </c>
      <c r="P26" s="67" t="n"/>
      <c r="Q26" s="67" t="n">
        <v>5</v>
      </c>
      <c r="R26" s="70">
        <f>IF($A26="","",MAX(0,M26)*N(I26))</f>
        <v/>
      </c>
      <c r="S26" s="9">
        <f>IF($A26="","",IF(M26&lt;=0,IF(N(P26)&gt;0,"Rupture - en cde","RUPTURE"),IF(M26+N(P26)&lt;=N26,"À COMMANDER",IF(M26&lt;=N26,"Commande en cours","OK"))))</f>
        <v/>
      </c>
      <c r="T26" s="68">
        <f>IF($A26="","",IF(OR(S26="À COMMANDER",S26="RUPTURE"),MAX(1,O26-M26-N(P26)),0))</f>
        <v/>
      </c>
      <c r="U26" s="68">
        <f>IF($A26="","",SUMIFS('Mouvements stock'!$F$5:$F$3004,'Mouvements stock'!$D$5:$D$3004,$A26,'Mouvements stock'!$C$5:$C$3004,"Sortie",'Mouvements stock'!$B$5:$B$3004,"&gt;="&amp;'Paramètres'!$AA$6,'Mouvements stock'!$B$5:$B$3004,"&lt;"&amp;('Paramètres'!$AA$7+1)))</f>
        <v/>
      </c>
      <c r="V26" s="78">
        <f>IF($A26="","",IF(COUNTIF('Mouvements stock'!$D$5:$D$3004,$A26)=0,"",_xlfn.MAXIFS('Mouvements stock'!$B$5:$B$3004,'Mouvements stock'!$D$5:$D$3004,$A26)))</f>
        <v/>
      </c>
    </row>
    <row r="27">
      <c r="A27" s="7" t="inlineStr">
        <is>
          <t>PD-0023</t>
        </is>
      </c>
      <c r="B27" s="7" t="inlineStr">
        <is>
          <t>Huile de glissières ISO VG 68 (bidon 20 L)</t>
        </is>
      </c>
      <c r="C27" s="7" t="inlineStr">
        <is>
          <t>Lubrifiants</t>
        </is>
      </c>
      <c r="D27" s="7" t="inlineStr">
        <is>
          <t>LubriTech France</t>
        </is>
      </c>
      <c r="E27" s="7" t="inlineStr">
        <is>
          <t>F05-4916</t>
        </is>
      </c>
      <c r="F27" s="7" t="inlineStr">
        <is>
          <t>Mag. B-04-1</t>
        </is>
      </c>
      <c r="G27" s="7" t="inlineStr">
        <is>
          <t>CNC, Conv</t>
        </is>
      </c>
      <c r="H27" s="7" t="inlineStr">
        <is>
          <t>Courante</t>
        </is>
      </c>
      <c r="I27" s="80" t="n">
        <v>135</v>
      </c>
      <c r="J27" s="67" t="n">
        <v>3</v>
      </c>
      <c r="K27" s="68">
        <f>IF($A27="","",SUMIFS('Mouvements stock'!$F$5:$F$3004,'Mouvements stock'!$D$5:$D$3004,$A27,'Mouvements stock'!$C$5:$C$3004,"Entrée")+SUMIFS('Mouvements stock'!$F$5:$F$3004,'Mouvements stock'!$D$5:$D$3004,$A27,'Mouvements stock'!$C$5:$C$3004,"Retour"))</f>
        <v/>
      </c>
      <c r="L27" s="68">
        <f>IF($A27="","",SUMIFS('Mouvements stock'!$F$5:$F$3004,'Mouvements stock'!$D$5:$D$3004,$A27,'Mouvements stock'!$C$5:$C$3004,"Sortie"))</f>
        <v/>
      </c>
      <c r="M27" s="79">
        <f>IF($A27="","",N(J27)+N(K27)-N(L27))</f>
        <v/>
      </c>
      <c r="N27" s="67" t="n">
        <v>2</v>
      </c>
      <c r="O27" s="67" t="n">
        <v>6</v>
      </c>
      <c r="P27" s="67" t="n"/>
      <c r="Q27" s="67" t="n">
        <v>5</v>
      </c>
      <c r="R27" s="70">
        <f>IF($A27="","",MAX(0,M27)*N(I27))</f>
        <v/>
      </c>
      <c r="S27" s="9">
        <f>IF($A27="","",IF(M27&lt;=0,IF(N(P27)&gt;0,"Rupture - en cde","RUPTURE"),IF(M27+N(P27)&lt;=N27,"À COMMANDER",IF(M27&lt;=N27,"Commande en cours","OK"))))</f>
        <v/>
      </c>
      <c r="T27" s="68">
        <f>IF($A27="","",IF(OR(S27="À COMMANDER",S27="RUPTURE"),MAX(1,O27-M27-N(P27)),0))</f>
        <v/>
      </c>
      <c r="U27" s="68">
        <f>IF($A27="","",SUMIFS('Mouvements stock'!$F$5:$F$3004,'Mouvements stock'!$D$5:$D$3004,$A27,'Mouvements stock'!$C$5:$C$3004,"Sortie",'Mouvements stock'!$B$5:$B$3004,"&gt;="&amp;'Paramètres'!$AA$6,'Mouvements stock'!$B$5:$B$3004,"&lt;"&amp;('Paramètres'!$AA$7+1)))</f>
        <v/>
      </c>
      <c r="V27" s="78">
        <f>IF($A27="","",IF(COUNTIF('Mouvements stock'!$D$5:$D$3004,$A27)=0,"",_xlfn.MAXIFS('Mouvements stock'!$B$5:$B$3004,'Mouvements stock'!$D$5:$D$3004,$A27)))</f>
        <v/>
      </c>
    </row>
    <row r="28">
      <c r="A28" s="7" t="inlineStr">
        <is>
          <t>PD-0024</t>
        </is>
      </c>
      <c r="B28" s="7" t="inlineStr">
        <is>
          <t>Huile compresseur synthétique (20 L)</t>
        </is>
      </c>
      <c r="C28" s="7" t="inlineStr">
        <is>
          <t>Lubrifiants</t>
        </is>
      </c>
      <c r="D28" s="7" t="inlineStr">
        <is>
          <t>AirComp Maintenance</t>
        </is>
      </c>
      <c r="E28" s="7" t="inlineStr">
        <is>
          <t>F09-3224</t>
        </is>
      </c>
      <c r="F28" s="7" t="inlineStr">
        <is>
          <t>Mag. B-04-2</t>
        </is>
      </c>
      <c r="G28" s="7" t="inlineStr">
        <is>
          <t>Compresseur</t>
        </is>
      </c>
      <c r="H28" s="7" t="inlineStr">
        <is>
          <t>Courante</t>
        </is>
      </c>
      <c r="I28" s="80" t="n">
        <v>290</v>
      </c>
      <c r="J28" s="67" t="n">
        <v>3</v>
      </c>
      <c r="K28" s="68">
        <f>IF($A28="","",SUMIFS('Mouvements stock'!$F$5:$F$3004,'Mouvements stock'!$D$5:$D$3004,$A28,'Mouvements stock'!$C$5:$C$3004,"Entrée")+SUMIFS('Mouvements stock'!$F$5:$F$3004,'Mouvements stock'!$D$5:$D$3004,$A28,'Mouvements stock'!$C$5:$C$3004,"Retour"))</f>
        <v/>
      </c>
      <c r="L28" s="68">
        <f>IF($A28="","",SUMIFS('Mouvements stock'!$F$5:$F$3004,'Mouvements stock'!$D$5:$D$3004,$A28,'Mouvements stock'!$C$5:$C$3004,"Sortie"))</f>
        <v/>
      </c>
      <c r="M28" s="79">
        <f>IF($A28="","",N(J28)+N(K28)-N(L28))</f>
        <v/>
      </c>
      <c r="N28" s="67" t="n">
        <v>1</v>
      </c>
      <c r="O28" s="67" t="n">
        <v>3</v>
      </c>
      <c r="P28" s="67" t="n"/>
      <c r="Q28" s="67" t="n">
        <v>7</v>
      </c>
      <c r="R28" s="70">
        <f>IF($A28="","",MAX(0,M28)*N(I28))</f>
        <v/>
      </c>
      <c r="S28" s="9">
        <f>IF($A28="","",IF(M28&lt;=0,IF(N(P28)&gt;0,"Rupture - en cde","RUPTURE"),IF(M28+N(P28)&lt;=N28,"À COMMANDER",IF(M28&lt;=N28,"Commande en cours","OK"))))</f>
        <v/>
      </c>
      <c r="T28" s="68">
        <f>IF($A28="","",IF(OR(S28="À COMMANDER",S28="RUPTURE"),MAX(1,O28-M28-N(P28)),0))</f>
        <v/>
      </c>
      <c r="U28" s="68">
        <f>IF($A28="","",SUMIFS('Mouvements stock'!$F$5:$F$3004,'Mouvements stock'!$D$5:$D$3004,$A28,'Mouvements stock'!$C$5:$C$3004,"Sortie",'Mouvements stock'!$B$5:$B$3004,"&gt;="&amp;'Paramètres'!$AA$6,'Mouvements stock'!$B$5:$B$3004,"&lt;"&amp;('Paramètres'!$AA$7+1)))</f>
        <v/>
      </c>
      <c r="V28" s="78">
        <f>IF($A28="","",IF(COUNTIF('Mouvements stock'!$D$5:$D$3004,$A28)=0,"",_xlfn.MAXIFS('Mouvements stock'!$B$5:$B$3004,'Mouvements stock'!$D$5:$D$3004,$A28)))</f>
        <v/>
      </c>
    </row>
    <row r="29">
      <c r="A29" s="7" t="inlineStr">
        <is>
          <t>PD-0025</t>
        </is>
      </c>
      <c r="B29" s="7" t="inlineStr">
        <is>
          <t>Graisse lithium EP2 (cartouche 400 g)</t>
        </is>
      </c>
      <c r="C29" s="7" t="inlineStr">
        <is>
          <t>Lubrifiants</t>
        </is>
      </c>
      <c r="D29" s="7" t="inlineStr">
        <is>
          <t>LubriTech France</t>
        </is>
      </c>
      <c r="E29" s="7" t="inlineStr">
        <is>
          <t>F05-1682</t>
        </is>
      </c>
      <c r="F29" s="7" t="inlineStr">
        <is>
          <t>Mag. B-05-1</t>
        </is>
      </c>
      <c r="G29" s="7" t="inlineStr">
        <is>
          <t>CNC, Convoyeur, Presse, Levage, Chariot, Conv, Batiment</t>
        </is>
      </c>
      <c r="H29" s="7" t="inlineStr">
        <is>
          <t>Courante</t>
        </is>
      </c>
      <c r="I29" s="80" t="n">
        <v>6.5</v>
      </c>
      <c r="J29" s="67" t="n">
        <v>21</v>
      </c>
      <c r="K29" s="68">
        <f>IF($A29="","",SUMIFS('Mouvements stock'!$F$5:$F$3004,'Mouvements stock'!$D$5:$D$3004,$A29,'Mouvements stock'!$C$5:$C$3004,"Entrée")+SUMIFS('Mouvements stock'!$F$5:$F$3004,'Mouvements stock'!$D$5:$D$3004,$A29,'Mouvements stock'!$C$5:$C$3004,"Retour"))</f>
        <v/>
      </c>
      <c r="L29" s="68">
        <f>IF($A29="","",SUMIFS('Mouvements stock'!$F$5:$F$3004,'Mouvements stock'!$D$5:$D$3004,$A29,'Mouvements stock'!$C$5:$C$3004,"Sortie"))</f>
        <v/>
      </c>
      <c r="M29" s="79">
        <f>IF($A29="","",N(J29)+N(K29)-N(L29))</f>
        <v/>
      </c>
      <c r="N29" s="67" t="n">
        <v>12</v>
      </c>
      <c r="O29" s="67" t="n">
        <v>48</v>
      </c>
      <c r="P29" s="67" t="n"/>
      <c r="Q29" s="67" t="n">
        <v>3</v>
      </c>
      <c r="R29" s="70">
        <f>IF($A29="","",MAX(0,M29)*N(I29))</f>
        <v/>
      </c>
      <c r="S29" s="9">
        <f>IF($A29="","",IF(M29&lt;=0,IF(N(P29)&gt;0,"Rupture - en cde","RUPTURE"),IF(M29+N(P29)&lt;=N29,"À COMMANDER",IF(M29&lt;=N29,"Commande en cours","OK"))))</f>
        <v/>
      </c>
      <c r="T29" s="68">
        <f>IF($A29="","",IF(OR(S29="À COMMANDER",S29="RUPTURE"),MAX(1,O29-M29-N(P29)),0))</f>
        <v/>
      </c>
      <c r="U29" s="68">
        <f>IF($A29="","",SUMIFS('Mouvements stock'!$F$5:$F$3004,'Mouvements stock'!$D$5:$D$3004,$A29,'Mouvements stock'!$C$5:$C$3004,"Sortie",'Mouvements stock'!$B$5:$B$3004,"&gt;="&amp;'Paramètres'!$AA$6,'Mouvements stock'!$B$5:$B$3004,"&lt;"&amp;('Paramètres'!$AA$7+1)))</f>
        <v/>
      </c>
      <c r="V29" s="78">
        <f>IF($A29="","",IF(COUNTIF('Mouvements stock'!$D$5:$D$3004,$A29)=0,"",_xlfn.MAXIFS('Mouvements stock'!$B$5:$B$3004,'Mouvements stock'!$D$5:$D$3004,$A29)))</f>
        <v/>
      </c>
    </row>
    <row r="30">
      <c r="A30" s="7" t="inlineStr">
        <is>
          <t>PD-0026</t>
        </is>
      </c>
      <c r="B30" s="7" t="inlineStr">
        <is>
          <t>Liquide de coupe soluble (fût 208 L)</t>
        </is>
      </c>
      <c r="C30" s="7" t="inlineStr">
        <is>
          <t>Lubrifiants</t>
        </is>
      </c>
      <c r="D30" s="7" t="inlineStr">
        <is>
          <t>LubriTech France</t>
        </is>
      </c>
      <c r="E30" s="7" t="inlineStr">
        <is>
          <t>F05-7383</t>
        </is>
      </c>
      <c r="F30" s="7" t="inlineStr">
        <is>
          <t>Mag. B-05-2</t>
        </is>
      </c>
      <c r="G30" s="7" t="inlineStr">
        <is>
          <t>CNC, Scie</t>
        </is>
      </c>
      <c r="H30" s="7" t="inlineStr">
        <is>
          <t>Courante</t>
        </is>
      </c>
      <c r="I30" s="80" t="n">
        <v>780</v>
      </c>
      <c r="J30" s="67" t="n">
        <v>2</v>
      </c>
      <c r="K30" s="68">
        <f>IF($A30="","",SUMIFS('Mouvements stock'!$F$5:$F$3004,'Mouvements stock'!$D$5:$D$3004,$A30,'Mouvements stock'!$C$5:$C$3004,"Entrée")+SUMIFS('Mouvements stock'!$F$5:$F$3004,'Mouvements stock'!$D$5:$D$3004,$A30,'Mouvements stock'!$C$5:$C$3004,"Retour"))</f>
        <v/>
      </c>
      <c r="L30" s="68">
        <f>IF($A30="","",SUMIFS('Mouvements stock'!$F$5:$F$3004,'Mouvements stock'!$D$5:$D$3004,$A30,'Mouvements stock'!$C$5:$C$3004,"Sortie"))</f>
        <v/>
      </c>
      <c r="M30" s="79">
        <f>IF($A30="","",N(J30)+N(K30)-N(L30))</f>
        <v/>
      </c>
      <c r="N30" s="67" t="n">
        <v>1</v>
      </c>
      <c r="O30" s="67" t="n">
        <v>2</v>
      </c>
      <c r="P30" s="67" t="n"/>
      <c r="Q30" s="67" t="n">
        <v>7</v>
      </c>
      <c r="R30" s="70">
        <f>IF($A30="","",MAX(0,M30)*N(I30))</f>
        <v/>
      </c>
      <c r="S30" s="9">
        <f>IF($A30="","",IF(M30&lt;=0,IF(N(P30)&gt;0,"Rupture - en cde","RUPTURE"),IF(M30+N(P30)&lt;=N30,"À COMMANDER",IF(M30&lt;=N30,"Commande en cours","OK"))))</f>
        <v/>
      </c>
      <c r="T30" s="68">
        <f>IF($A30="","",IF(OR(S30="À COMMANDER",S30="RUPTURE"),MAX(1,O30-M30-N(P30)),0))</f>
        <v/>
      </c>
      <c r="U30" s="68">
        <f>IF($A30="","",SUMIFS('Mouvements stock'!$F$5:$F$3004,'Mouvements stock'!$D$5:$D$3004,$A30,'Mouvements stock'!$C$5:$C$3004,"Sortie",'Mouvements stock'!$B$5:$B$3004,"&gt;="&amp;'Paramètres'!$AA$6,'Mouvements stock'!$B$5:$B$3004,"&lt;"&amp;('Paramètres'!$AA$7+1)))</f>
        <v/>
      </c>
      <c r="V30" s="78">
        <f>IF($A30="","",IF(COUNTIF('Mouvements stock'!$D$5:$D$3004,$A30)=0,"",_xlfn.MAXIFS('Mouvements stock'!$B$5:$B$3004,'Mouvements stock'!$D$5:$D$3004,$A30)))</f>
        <v/>
      </c>
    </row>
    <row r="31">
      <c r="A31" s="7" t="inlineStr">
        <is>
          <t>PD-0027</t>
        </is>
      </c>
      <c r="B31" s="7" t="inlineStr">
        <is>
          <t>Graisse pour réducteurs robot (1 kg)</t>
        </is>
      </c>
      <c r="C31" s="7" t="inlineStr">
        <is>
          <t>Lubrifiants</t>
        </is>
      </c>
      <c r="D31" s="7" t="inlineStr">
        <is>
          <t>Robotique Services Ouest</t>
        </is>
      </c>
      <c r="E31" s="7" t="inlineStr">
        <is>
          <t>F16-8555</t>
        </is>
      </c>
      <c r="F31" s="7" t="inlineStr">
        <is>
          <t>Mag. B-06-1</t>
        </is>
      </c>
      <c r="G31" s="7" t="inlineStr">
        <is>
          <t>Robot</t>
        </is>
      </c>
      <c r="H31" s="7" t="inlineStr">
        <is>
          <t>Courante</t>
        </is>
      </c>
      <c r="I31" s="80" t="n">
        <v>95</v>
      </c>
      <c r="J31" s="67" t="n">
        <v>4</v>
      </c>
      <c r="K31" s="68">
        <f>IF($A31="","",SUMIFS('Mouvements stock'!$F$5:$F$3004,'Mouvements stock'!$D$5:$D$3004,$A31,'Mouvements stock'!$C$5:$C$3004,"Entrée")+SUMIFS('Mouvements stock'!$F$5:$F$3004,'Mouvements stock'!$D$5:$D$3004,$A31,'Mouvements stock'!$C$5:$C$3004,"Retour"))</f>
        <v/>
      </c>
      <c r="L31" s="68">
        <f>IF($A31="","",SUMIFS('Mouvements stock'!$F$5:$F$3004,'Mouvements stock'!$D$5:$D$3004,$A31,'Mouvements stock'!$C$5:$C$3004,"Sortie"))</f>
        <v/>
      </c>
      <c r="M31" s="79">
        <f>IF($A31="","",N(J31)+N(K31)-N(L31))</f>
        <v/>
      </c>
      <c r="N31" s="67" t="n">
        <v>2</v>
      </c>
      <c r="O31" s="67" t="n">
        <v>4</v>
      </c>
      <c r="P31" s="67" t="n"/>
      <c r="Q31" s="67" t="n">
        <v>10</v>
      </c>
      <c r="R31" s="70">
        <f>IF($A31="","",MAX(0,M31)*N(I31))</f>
        <v/>
      </c>
      <c r="S31" s="9">
        <f>IF($A31="","",IF(M31&lt;=0,IF(N(P31)&gt;0,"Rupture - en cde","RUPTURE"),IF(M31+N(P31)&lt;=N31,"À COMMANDER",IF(M31&lt;=N31,"Commande en cours","OK"))))</f>
        <v/>
      </c>
      <c r="T31" s="68">
        <f>IF($A31="","",IF(OR(S31="À COMMANDER",S31="RUPTURE"),MAX(1,O31-M31-N(P31)),0))</f>
        <v/>
      </c>
      <c r="U31" s="68">
        <f>IF($A31="","",SUMIFS('Mouvements stock'!$F$5:$F$3004,'Mouvements stock'!$D$5:$D$3004,$A31,'Mouvements stock'!$C$5:$C$3004,"Sortie",'Mouvements stock'!$B$5:$B$3004,"&gt;="&amp;'Paramètres'!$AA$6,'Mouvements stock'!$B$5:$B$3004,"&lt;"&amp;('Paramètres'!$AA$7+1)))</f>
        <v/>
      </c>
      <c r="V31" s="78">
        <f>IF($A31="","",IF(COUNTIF('Mouvements stock'!$D$5:$D$3004,$A31)=0,"",_xlfn.MAXIFS('Mouvements stock'!$B$5:$B$3004,'Mouvements stock'!$D$5:$D$3004,$A31)))</f>
        <v/>
      </c>
    </row>
    <row r="32">
      <c r="A32" s="7" t="inlineStr">
        <is>
          <t>PD-0028</t>
        </is>
      </c>
      <c r="B32" s="7" t="inlineStr">
        <is>
          <t>Contacteur 3P 25 A bobine 24 V DC</t>
        </is>
      </c>
      <c r="C32" s="7" t="inlineStr">
        <is>
          <t>Électricité</t>
        </is>
      </c>
      <c r="D32" s="7" t="inlineStr">
        <is>
          <t>ÉlecDistrib Pro</t>
        </is>
      </c>
      <c r="E32" s="7" t="inlineStr">
        <is>
          <t>F03-6286</t>
        </is>
      </c>
      <c r="F32" s="7" t="inlineStr">
        <is>
          <t>Mag. B-06-2</t>
        </is>
      </c>
      <c r="G32" s="7" t="inlineStr">
        <is>
          <t>Elec, CNC, Presse, Convoyeur, Levage, Cvc, Scie, Conv, Chariot</t>
        </is>
      </c>
      <c r="H32" s="7" t="inlineStr">
        <is>
          <t>Courante</t>
        </is>
      </c>
      <c r="I32" s="80" t="n">
        <v>68</v>
      </c>
      <c r="J32" s="67" t="n">
        <v>6</v>
      </c>
      <c r="K32" s="68">
        <f>IF($A32="","",SUMIFS('Mouvements stock'!$F$5:$F$3004,'Mouvements stock'!$D$5:$D$3004,$A32,'Mouvements stock'!$C$5:$C$3004,"Entrée")+SUMIFS('Mouvements stock'!$F$5:$F$3004,'Mouvements stock'!$D$5:$D$3004,$A32,'Mouvements stock'!$C$5:$C$3004,"Retour"))</f>
        <v/>
      </c>
      <c r="L32" s="68">
        <f>IF($A32="","",SUMIFS('Mouvements stock'!$F$5:$F$3004,'Mouvements stock'!$D$5:$D$3004,$A32,'Mouvements stock'!$C$5:$C$3004,"Sortie"))</f>
        <v/>
      </c>
      <c r="M32" s="79">
        <f>IF($A32="","",N(J32)+N(K32)-N(L32))</f>
        <v/>
      </c>
      <c r="N32" s="67" t="n">
        <v>3</v>
      </c>
      <c r="O32" s="67" t="n">
        <v>8</v>
      </c>
      <c r="P32" s="67" t="n"/>
      <c r="Q32" s="67" t="n">
        <v>3</v>
      </c>
      <c r="R32" s="70">
        <f>IF($A32="","",MAX(0,M32)*N(I32))</f>
        <v/>
      </c>
      <c r="S32" s="9">
        <f>IF($A32="","",IF(M32&lt;=0,IF(N(P32)&gt;0,"Rupture - en cde","RUPTURE"),IF(M32+N(P32)&lt;=N32,"À COMMANDER",IF(M32&lt;=N32,"Commande en cours","OK"))))</f>
        <v/>
      </c>
      <c r="T32" s="68">
        <f>IF($A32="","",IF(OR(S32="À COMMANDER",S32="RUPTURE"),MAX(1,O32-M32-N(P32)),0))</f>
        <v/>
      </c>
      <c r="U32" s="68">
        <f>IF($A32="","",SUMIFS('Mouvements stock'!$F$5:$F$3004,'Mouvements stock'!$D$5:$D$3004,$A32,'Mouvements stock'!$C$5:$C$3004,"Sortie",'Mouvements stock'!$B$5:$B$3004,"&gt;="&amp;'Paramètres'!$AA$6,'Mouvements stock'!$B$5:$B$3004,"&lt;"&amp;('Paramètres'!$AA$7+1)))</f>
        <v/>
      </c>
      <c r="V32" s="78">
        <f>IF($A32="","",IF(COUNTIF('Mouvements stock'!$D$5:$D$3004,$A32)=0,"",_xlfn.MAXIFS('Mouvements stock'!$B$5:$B$3004,'Mouvements stock'!$D$5:$D$3004,$A32)))</f>
        <v/>
      </c>
    </row>
    <row r="33">
      <c r="A33" s="7" t="inlineStr">
        <is>
          <t>PD-0029</t>
        </is>
      </c>
      <c r="B33" s="7" t="inlineStr">
        <is>
          <t>Disjoncteur moteur 6-10 A</t>
        </is>
      </c>
      <c r="C33" s="7" t="inlineStr">
        <is>
          <t>Électricité</t>
        </is>
      </c>
      <c r="D33" s="7" t="inlineStr">
        <is>
          <t>ÉlecDistrib Pro</t>
        </is>
      </c>
      <c r="E33" s="7" t="inlineStr">
        <is>
          <t>F03-1086</t>
        </is>
      </c>
      <c r="F33" s="7" t="inlineStr">
        <is>
          <t>Mag. B-07-1</t>
        </is>
      </c>
      <c r="G33" s="7" t="inlineStr">
        <is>
          <t>Elec, CNC, Presse, Convoyeur, Cvc, Compresseur</t>
        </is>
      </c>
      <c r="H33" s="7" t="inlineStr">
        <is>
          <t>Courante</t>
        </is>
      </c>
      <c r="I33" s="80" t="n">
        <v>82</v>
      </c>
      <c r="J33" s="67" t="n">
        <v>4</v>
      </c>
      <c r="K33" s="68">
        <f>IF($A33="","",SUMIFS('Mouvements stock'!$F$5:$F$3004,'Mouvements stock'!$D$5:$D$3004,$A33,'Mouvements stock'!$C$5:$C$3004,"Entrée")+SUMIFS('Mouvements stock'!$F$5:$F$3004,'Mouvements stock'!$D$5:$D$3004,$A33,'Mouvements stock'!$C$5:$C$3004,"Retour"))</f>
        <v/>
      </c>
      <c r="L33" s="68">
        <f>IF($A33="","",SUMIFS('Mouvements stock'!$F$5:$F$3004,'Mouvements stock'!$D$5:$D$3004,$A33,'Mouvements stock'!$C$5:$C$3004,"Sortie"))</f>
        <v/>
      </c>
      <c r="M33" s="79">
        <f>IF($A33="","",N(J33)+N(K33)-N(L33))</f>
        <v/>
      </c>
      <c r="N33" s="67" t="n">
        <v>3</v>
      </c>
      <c r="O33" s="67" t="n">
        <v>6</v>
      </c>
      <c r="P33" s="67" t="n"/>
      <c r="Q33" s="67" t="n">
        <v>3</v>
      </c>
      <c r="R33" s="70">
        <f>IF($A33="","",MAX(0,M33)*N(I33))</f>
        <v/>
      </c>
      <c r="S33" s="9">
        <f>IF($A33="","",IF(M33&lt;=0,IF(N(P33)&gt;0,"Rupture - en cde","RUPTURE"),IF(M33+N(P33)&lt;=N33,"À COMMANDER",IF(M33&lt;=N33,"Commande en cours","OK"))))</f>
        <v/>
      </c>
      <c r="T33" s="68">
        <f>IF($A33="","",IF(OR(S33="À COMMANDER",S33="RUPTURE"),MAX(1,O33-M33-N(P33)),0))</f>
        <v/>
      </c>
      <c r="U33" s="68">
        <f>IF($A33="","",SUMIFS('Mouvements stock'!$F$5:$F$3004,'Mouvements stock'!$D$5:$D$3004,$A33,'Mouvements stock'!$C$5:$C$3004,"Sortie",'Mouvements stock'!$B$5:$B$3004,"&gt;="&amp;'Paramètres'!$AA$6,'Mouvements stock'!$B$5:$B$3004,"&lt;"&amp;('Paramètres'!$AA$7+1)))</f>
        <v/>
      </c>
      <c r="V33" s="78">
        <f>IF($A33="","",IF(COUNTIF('Mouvements stock'!$D$5:$D$3004,$A33)=0,"",_xlfn.MAXIFS('Mouvements stock'!$B$5:$B$3004,'Mouvements stock'!$D$5:$D$3004,$A33)))</f>
        <v/>
      </c>
    </row>
    <row r="34">
      <c r="A34" s="7" t="inlineStr">
        <is>
          <t>PD-0030</t>
        </is>
      </c>
      <c r="B34" s="7" t="inlineStr">
        <is>
          <t>Relais de sécurité (module AU)</t>
        </is>
      </c>
      <c r="C34" s="7" t="inlineStr">
        <is>
          <t>Électricité</t>
        </is>
      </c>
      <c r="D34" s="7" t="inlineStr">
        <is>
          <t>ÉlecDistrib Pro</t>
        </is>
      </c>
      <c r="E34" s="7" t="inlineStr">
        <is>
          <t>F03-9342</t>
        </is>
      </c>
      <c r="F34" s="7" t="inlineStr">
        <is>
          <t>Mag. B-07-2</t>
        </is>
      </c>
      <c r="G34" s="7" t="inlineStr">
        <is>
          <t>Presse, Robot, CNC, Auto</t>
        </is>
      </c>
      <c r="H34" s="7" t="inlineStr">
        <is>
          <t>Stratégique</t>
        </is>
      </c>
      <c r="I34" s="80" t="n">
        <v>245</v>
      </c>
      <c r="J34" s="67" t="n">
        <v>2</v>
      </c>
      <c r="K34" s="68">
        <f>IF($A34="","",SUMIFS('Mouvements stock'!$F$5:$F$3004,'Mouvements stock'!$D$5:$D$3004,$A34,'Mouvements stock'!$C$5:$C$3004,"Entrée")+SUMIFS('Mouvements stock'!$F$5:$F$3004,'Mouvements stock'!$D$5:$D$3004,$A34,'Mouvements stock'!$C$5:$C$3004,"Retour"))</f>
        <v/>
      </c>
      <c r="L34" s="68">
        <f>IF($A34="","",SUMIFS('Mouvements stock'!$F$5:$F$3004,'Mouvements stock'!$D$5:$D$3004,$A34,'Mouvements stock'!$C$5:$C$3004,"Sortie"))</f>
        <v/>
      </c>
      <c r="M34" s="79">
        <f>IF($A34="","",N(J34)+N(K34)-N(L34))</f>
        <v/>
      </c>
      <c r="N34" s="67" t="n">
        <v>1</v>
      </c>
      <c r="O34" s="67" t="n">
        <v>2</v>
      </c>
      <c r="P34" s="67" t="n"/>
      <c r="Q34" s="67" t="n">
        <v>7</v>
      </c>
      <c r="R34" s="70">
        <f>IF($A34="","",MAX(0,M34)*N(I34))</f>
        <v/>
      </c>
      <c r="S34" s="9">
        <f>IF($A34="","",IF(M34&lt;=0,IF(N(P34)&gt;0,"Rupture - en cde","RUPTURE"),IF(M34+N(P34)&lt;=N34,"À COMMANDER",IF(M34&lt;=N34,"Commande en cours","OK"))))</f>
        <v/>
      </c>
      <c r="T34" s="68">
        <f>IF($A34="","",IF(OR(S34="À COMMANDER",S34="RUPTURE"),MAX(1,O34-M34-N(P34)),0))</f>
        <v/>
      </c>
      <c r="U34" s="68">
        <f>IF($A34="","",SUMIFS('Mouvements stock'!$F$5:$F$3004,'Mouvements stock'!$D$5:$D$3004,$A34,'Mouvements stock'!$C$5:$C$3004,"Sortie",'Mouvements stock'!$B$5:$B$3004,"&gt;="&amp;'Paramètres'!$AA$6,'Mouvements stock'!$B$5:$B$3004,"&lt;"&amp;('Paramètres'!$AA$7+1)))</f>
        <v/>
      </c>
      <c r="V34" s="78">
        <f>IF($A34="","",IF(COUNTIF('Mouvements stock'!$D$5:$D$3004,$A34)=0,"",_xlfn.MAXIFS('Mouvements stock'!$B$5:$B$3004,'Mouvements stock'!$D$5:$D$3004,$A34)))</f>
        <v/>
      </c>
    </row>
    <row r="35">
      <c r="A35" s="7" t="inlineStr">
        <is>
          <t>PD-0031</t>
        </is>
      </c>
      <c r="B35" s="7" t="inlineStr">
        <is>
          <t>Fusibles gG 10x38 16 A (boîte de 10)</t>
        </is>
      </c>
      <c r="C35" s="7" t="inlineStr">
        <is>
          <t>Électricité</t>
        </is>
      </c>
      <c r="D35" s="7" t="inlineStr">
        <is>
          <t>ÉlecDistrib Pro</t>
        </is>
      </c>
      <c r="E35" s="7" t="inlineStr">
        <is>
          <t>F03-6476</t>
        </is>
      </c>
      <c r="F35" s="7" t="inlineStr">
        <is>
          <t>Mag. B-08-1</t>
        </is>
      </c>
      <c r="G35" s="7" t="inlineStr">
        <is>
          <t>Elec, Soudure, CNC, Eau</t>
        </is>
      </c>
      <c r="H35" s="7" t="inlineStr">
        <is>
          <t>Courante</t>
        </is>
      </c>
      <c r="I35" s="80" t="n">
        <v>14</v>
      </c>
      <c r="J35" s="67" t="n">
        <v>5</v>
      </c>
      <c r="K35" s="68">
        <f>IF($A35="","",SUMIFS('Mouvements stock'!$F$5:$F$3004,'Mouvements stock'!$D$5:$D$3004,$A35,'Mouvements stock'!$C$5:$C$3004,"Entrée")+SUMIFS('Mouvements stock'!$F$5:$F$3004,'Mouvements stock'!$D$5:$D$3004,$A35,'Mouvements stock'!$C$5:$C$3004,"Retour"))</f>
        <v/>
      </c>
      <c r="L35" s="68">
        <f>IF($A35="","",SUMIFS('Mouvements stock'!$F$5:$F$3004,'Mouvements stock'!$D$5:$D$3004,$A35,'Mouvements stock'!$C$5:$C$3004,"Sortie"))</f>
        <v/>
      </c>
      <c r="M35" s="79">
        <f>IF($A35="","",N(J35)+N(K35)-N(L35))</f>
        <v/>
      </c>
      <c r="N35" s="67" t="n">
        <v>3</v>
      </c>
      <c r="O35" s="67" t="n">
        <v>10</v>
      </c>
      <c r="P35" s="67" t="n"/>
      <c r="Q35" s="67" t="n">
        <v>2</v>
      </c>
      <c r="R35" s="70">
        <f>IF($A35="","",MAX(0,M35)*N(I35))</f>
        <v/>
      </c>
      <c r="S35" s="9">
        <f>IF($A35="","",IF(M35&lt;=0,IF(N(P35)&gt;0,"Rupture - en cde","RUPTURE"),IF(M35+N(P35)&lt;=N35,"À COMMANDER",IF(M35&lt;=N35,"Commande en cours","OK"))))</f>
        <v/>
      </c>
      <c r="T35" s="68">
        <f>IF($A35="","",IF(OR(S35="À COMMANDER",S35="RUPTURE"),MAX(1,O35-M35-N(P35)),0))</f>
        <v/>
      </c>
      <c r="U35" s="68">
        <f>IF($A35="","",SUMIFS('Mouvements stock'!$F$5:$F$3004,'Mouvements stock'!$D$5:$D$3004,$A35,'Mouvements stock'!$C$5:$C$3004,"Sortie",'Mouvements stock'!$B$5:$B$3004,"&gt;="&amp;'Paramètres'!$AA$6,'Mouvements stock'!$B$5:$B$3004,"&lt;"&amp;('Paramètres'!$AA$7+1)))</f>
        <v/>
      </c>
      <c r="V35" s="78">
        <f>IF($A35="","",IF(COUNTIF('Mouvements stock'!$D$5:$D$3004,$A35)=0,"",_xlfn.MAXIFS('Mouvements stock'!$B$5:$B$3004,'Mouvements stock'!$D$5:$D$3004,$A35)))</f>
        <v/>
      </c>
    </row>
    <row r="36">
      <c r="A36" s="7" t="inlineStr">
        <is>
          <t>PD-0032</t>
        </is>
      </c>
      <c r="B36" s="7" t="inlineStr">
        <is>
          <t>Alimentation 24 V DC 10 A</t>
        </is>
      </c>
      <c r="C36" s="7" t="inlineStr">
        <is>
          <t>Électricité</t>
        </is>
      </c>
      <c r="D36" s="7" t="inlineStr">
        <is>
          <t>ÉlecDistrib Pro</t>
        </is>
      </c>
      <c r="E36" s="7" t="inlineStr">
        <is>
          <t>F03-4914</t>
        </is>
      </c>
      <c r="F36" s="7" t="inlineStr">
        <is>
          <t>Mag. B-08-2</t>
        </is>
      </c>
      <c r="G36" s="7" t="inlineStr">
        <is>
          <t>CNC, Auto, Robot, Laser</t>
        </is>
      </c>
      <c r="H36" s="7" t="inlineStr">
        <is>
          <t>Courante</t>
        </is>
      </c>
      <c r="I36" s="80" t="n">
        <v>165</v>
      </c>
      <c r="J36" s="67" t="n">
        <v>2</v>
      </c>
      <c r="K36" s="68">
        <f>IF($A36="","",SUMIFS('Mouvements stock'!$F$5:$F$3004,'Mouvements stock'!$D$5:$D$3004,$A36,'Mouvements stock'!$C$5:$C$3004,"Entrée")+SUMIFS('Mouvements stock'!$F$5:$F$3004,'Mouvements stock'!$D$5:$D$3004,$A36,'Mouvements stock'!$C$5:$C$3004,"Retour"))</f>
        <v/>
      </c>
      <c r="L36" s="68">
        <f>IF($A36="","",SUMIFS('Mouvements stock'!$F$5:$F$3004,'Mouvements stock'!$D$5:$D$3004,$A36,'Mouvements stock'!$C$5:$C$3004,"Sortie"))</f>
        <v/>
      </c>
      <c r="M36" s="79">
        <f>IF($A36="","",N(J36)+N(K36)-N(L36))</f>
        <v/>
      </c>
      <c r="N36" s="67" t="n">
        <v>1</v>
      </c>
      <c r="O36" s="67" t="n">
        <v>3</v>
      </c>
      <c r="P36" s="67" t="n"/>
      <c r="Q36" s="67" t="n">
        <v>5</v>
      </c>
      <c r="R36" s="70">
        <f>IF($A36="","",MAX(0,M36)*N(I36))</f>
        <v/>
      </c>
      <c r="S36" s="9">
        <f>IF($A36="","",IF(M36&lt;=0,IF(N(P36)&gt;0,"Rupture - en cde","RUPTURE"),IF(M36+N(P36)&lt;=N36,"À COMMANDER",IF(M36&lt;=N36,"Commande en cours","OK"))))</f>
        <v/>
      </c>
      <c r="T36" s="68">
        <f>IF($A36="","",IF(OR(S36="À COMMANDER",S36="RUPTURE"),MAX(1,O36-M36-N(P36)),0))</f>
        <v/>
      </c>
      <c r="U36" s="68">
        <f>IF($A36="","",SUMIFS('Mouvements stock'!$F$5:$F$3004,'Mouvements stock'!$D$5:$D$3004,$A36,'Mouvements stock'!$C$5:$C$3004,"Sortie",'Mouvements stock'!$B$5:$B$3004,"&gt;="&amp;'Paramètres'!$AA$6,'Mouvements stock'!$B$5:$B$3004,"&lt;"&amp;('Paramètres'!$AA$7+1)))</f>
        <v/>
      </c>
      <c r="V36" s="78">
        <f>IF($A36="","",IF(COUNTIF('Mouvements stock'!$D$5:$D$3004,$A36)=0,"",_xlfn.MAXIFS('Mouvements stock'!$B$5:$B$3004,'Mouvements stock'!$D$5:$D$3004,$A36)))</f>
        <v/>
      </c>
    </row>
    <row r="37">
      <c r="A37" s="7" t="inlineStr">
        <is>
          <t>PD-0033</t>
        </is>
      </c>
      <c r="B37" s="7" t="inlineStr">
        <is>
          <t>Variateur de fréquence 4 kW</t>
        </is>
      </c>
      <c r="C37" s="7" t="inlineStr">
        <is>
          <t>Électricité</t>
        </is>
      </c>
      <c r="D37" s="7" t="inlineStr">
        <is>
          <t>ÉlecDistrib Pro</t>
        </is>
      </c>
      <c r="E37" s="7" t="inlineStr">
        <is>
          <t>F03-4208</t>
        </is>
      </c>
      <c r="F37" s="7" t="inlineStr">
        <is>
          <t>Mag. C-01-1</t>
        </is>
      </c>
      <c r="G37" s="7" t="inlineStr">
        <is>
          <t>Convoyeur, Cvc, Compresseur</t>
        </is>
      </c>
      <c r="H37" s="7" t="inlineStr">
        <is>
          <t>Stratégique</t>
        </is>
      </c>
      <c r="I37" s="80" t="n">
        <v>820</v>
      </c>
      <c r="J37" s="67" t="n">
        <v>1</v>
      </c>
      <c r="K37" s="68">
        <f>IF($A37="","",SUMIFS('Mouvements stock'!$F$5:$F$3004,'Mouvements stock'!$D$5:$D$3004,$A37,'Mouvements stock'!$C$5:$C$3004,"Entrée")+SUMIFS('Mouvements stock'!$F$5:$F$3004,'Mouvements stock'!$D$5:$D$3004,$A37,'Mouvements stock'!$C$5:$C$3004,"Retour"))</f>
        <v/>
      </c>
      <c r="L37" s="68">
        <f>IF($A37="","",SUMIFS('Mouvements stock'!$F$5:$F$3004,'Mouvements stock'!$D$5:$D$3004,$A37,'Mouvements stock'!$C$5:$C$3004,"Sortie"))</f>
        <v/>
      </c>
      <c r="M37" s="79">
        <f>IF($A37="","",N(J37)+N(K37)-N(L37))</f>
        <v/>
      </c>
      <c r="N37" s="67" t="n">
        <v>1</v>
      </c>
      <c r="O37" s="67" t="n">
        <v>1</v>
      </c>
      <c r="P37" s="67" t="n"/>
      <c r="Q37" s="67" t="n">
        <v>10</v>
      </c>
      <c r="R37" s="70">
        <f>IF($A37="","",MAX(0,M37)*N(I37))</f>
        <v/>
      </c>
      <c r="S37" s="9">
        <f>IF($A37="","",IF(M37&lt;=0,IF(N(P37)&gt;0,"Rupture - en cde","RUPTURE"),IF(M37+N(P37)&lt;=N37,"À COMMANDER",IF(M37&lt;=N37,"Commande en cours","OK"))))</f>
        <v/>
      </c>
      <c r="T37" s="68">
        <f>IF($A37="","",IF(OR(S37="À COMMANDER",S37="RUPTURE"),MAX(1,O37-M37-N(P37)),0))</f>
        <v/>
      </c>
      <c r="U37" s="68">
        <f>IF($A37="","",SUMIFS('Mouvements stock'!$F$5:$F$3004,'Mouvements stock'!$D$5:$D$3004,$A37,'Mouvements stock'!$C$5:$C$3004,"Sortie",'Mouvements stock'!$B$5:$B$3004,"&gt;="&amp;'Paramètres'!$AA$6,'Mouvements stock'!$B$5:$B$3004,"&lt;"&amp;('Paramètres'!$AA$7+1)))</f>
        <v/>
      </c>
      <c r="V37" s="78">
        <f>IF($A37="","",IF(COUNTIF('Mouvements stock'!$D$5:$D$3004,$A37)=0,"",_xlfn.MAXIFS('Mouvements stock'!$B$5:$B$3004,'Mouvements stock'!$D$5:$D$3004,$A37)))</f>
        <v/>
      </c>
    </row>
    <row r="38">
      <c r="A38" s="7" t="inlineStr">
        <is>
          <t>PD-0034</t>
        </is>
      </c>
      <c r="B38" s="7" t="inlineStr">
        <is>
          <t>Moteur asynchrone 2,2 kW</t>
        </is>
      </c>
      <c r="C38" s="7" t="inlineStr">
        <is>
          <t>Électricité</t>
        </is>
      </c>
      <c r="D38" s="7" t="inlineStr">
        <is>
          <t>ÉlecDistrib Pro</t>
        </is>
      </c>
      <c r="E38" s="7" t="inlineStr">
        <is>
          <t>F03-2487</t>
        </is>
      </c>
      <c r="F38" s="7" t="inlineStr">
        <is>
          <t>Mag. C-01-2</t>
        </is>
      </c>
      <c r="G38" s="7" t="inlineStr">
        <is>
          <t>Convoyeur, Scie, Cvc, Eau</t>
        </is>
      </c>
      <c r="H38" s="7" t="inlineStr">
        <is>
          <t>Courante</t>
        </is>
      </c>
      <c r="I38" s="80" t="n">
        <v>390</v>
      </c>
      <c r="J38" s="67" t="n">
        <v>2</v>
      </c>
      <c r="K38" s="68">
        <f>IF($A38="","",SUMIFS('Mouvements stock'!$F$5:$F$3004,'Mouvements stock'!$D$5:$D$3004,$A38,'Mouvements stock'!$C$5:$C$3004,"Entrée")+SUMIFS('Mouvements stock'!$F$5:$F$3004,'Mouvements stock'!$D$5:$D$3004,$A38,'Mouvements stock'!$C$5:$C$3004,"Retour"))</f>
        <v/>
      </c>
      <c r="L38" s="68">
        <f>IF($A38="","",SUMIFS('Mouvements stock'!$F$5:$F$3004,'Mouvements stock'!$D$5:$D$3004,$A38,'Mouvements stock'!$C$5:$C$3004,"Sortie"))</f>
        <v/>
      </c>
      <c r="M38" s="79">
        <f>IF($A38="","",N(J38)+N(K38)-N(L38))</f>
        <v/>
      </c>
      <c r="N38" s="67" t="n">
        <v>1</v>
      </c>
      <c r="O38" s="67" t="n">
        <v>2</v>
      </c>
      <c r="P38" s="67" t="n"/>
      <c r="Q38" s="67" t="n">
        <v>10</v>
      </c>
      <c r="R38" s="70">
        <f>IF($A38="","",MAX(0,M38)*N(I38))</f>
        <v/>
      </c>
      <c r="S38" s="9">
        <f>IF($A38="","",IF(M38&lt;=0,IF(N(P38)&gt;0,"Rupture - en cde","RUPTURE"),IF(M38+N(P38)&lt;=N38,"À COMMANDER",IF(M38&lt;=N38,"Commande en cours","OK"))))</f>
        <v/>
      </c>
      <c r="T38" s="68">
        <f>IF($A38="","",IF(OR(S38="À COMMANDER",S38="RUPTURE"),MAX(1,O38-M38-N(P38)),0))</f>
        <v/>
      </c>
      <c r="U38" s="68">
        <f>IF($A38="","",SUMIFS('Mouvements stock'!$F$5:$F$3004,'Mouvements stock'!$D$5:$D$3004,$A38,'Mouvements stock'!$C$5:$C$3004,"Sortie",'Mouvements stock'!$B$5:$B$3004,"&gt;="&amp;'Paramètres'!$AA$6,'Mouvements stock'!$B$5:$B$3004,"&lt;"&amp;('Paramètres'!$AA$7+1)))</f>
        <v/>
      </c>
      <c r="V38" s="78">
        <f>IF($A38="","",IF(COUNTIF('Mouvements stock'!$D$5:$D$3004,$A38)=0,"",_xlfn.MAXIFS('Mouvements stock'!$B$5:$B$3004,'Mouvements stock'!$D$5:$D$3004,$A38)))</f>
        <v/>
      </c>
    </row>
    <row r="39">
      <c r="A39" s="7" t="inlineStr">
        <is>
          <t>PD-0035</t>
        </is>
      </c>
      <c r="B39" s="7" t="inlineStr">
        <is>
          <t>Ventilateur d'armoire électrique 230 V</t>
        </is>
      </c>
      <c r="C39" s="7" t="inlineStr">
        <is>
          <t>Électricité</t>
        </is>
      </c>
      <c r="D39" s="7" t="inlineStr">
        <is>
          <t>ÉlecDistrib Pro</t>
        </is>
      </c>
      <c r="E39" s="7" t="inlineStr">
        <is>
          <t>F03-3809</t>
        </is>
      </c>
      <c r="F39" s="7" t="inlineStr">
        <is>
          <t>Mag. C-02-1</t>
        </is>
      </c>
      <c r="G39" s="7" t="inlineStr">
        <is>
          <t>CNC, Laser, Elec</t>
        </is>
      </c>
      <c r="H39" s="7" t="inlineStr">
        <is>
          <t>Courante</t>
        </is>
      </c>
      <c r="I39" s="80" t="n">
        <v>58</v>
      </c>
      <c r="J39" s="67" t="n">
        <v>6</v>
      </c>
      <c r="K39" s="68">
        <f>IF($A39="","",SUMIFS('Mouvements stock'!$F$5:$F$3004,'Mouvements stock'!$D$5:$D$3004,$A39,'Mouvements stock'!$C$5:$C$3004,"Entrée")+SUMIFS('Mouvements stock'!$F$5:$F$3004,'Mouvements stock'!$D$5:$D$3004,$A39,'Mouvements stock'!$C$5:$C$3004,"Retour"))</f>
        <v/>
      </c>
      <c r="L39" s="68">
        <f>IF($A39="","",SUMIFS('Mouvements stock'!$F$5:$F$3004,'Mouvements stock'!$D$5:$D$3004,$A39,'Mouvements stock'!$C$5:$C$3004,"Sortie"))</f>
        <v/>
      </c>
      <c r="M39" s="79">
        <f>IF($A39="","",N(J39)+N(K39)-N(L39))</f>
        <v/>
      </c>
      <c r="N39" s="67" t="n">
        <v>2</v>
      </c>
      <c r="O39" s="67" t="n">
        <v>6</v>
      </c>
      <c r="P39" s="67" t="n"/>
      <c r="Q39" s="67" t="n">
        <v>3</v>
      </c>
      <c r="R39" s="70">
        <f>IF($A39="","",MAX(0,M39)*N(I39))</f>
        <v/>
      </c>
      <c r="S39" s="9">
        <f>IF($A39="","",IF(M39&lt;=0,IF(N(P39)&gt;0,"Rupture - en cde","RUPTURE"),IF(M39+N(P39)&lt;=N39,"À COMMANDER",IF(M39&lt;=N39,"Commande en cours","OK"))))</f>
        <v/>
      </c>
      <c r="T39" s="68">
        <f>IF($A39="","",IF(OR(S39="À COMMANDER",S39="RUPTURE"),MAX(1,O39-M39-N(P39)),0))</f>
        <v/>
      </c>
      <c r="U39" s="68">
        <f>IF($A39="","",SUMIFS('Mouvements stock'!$F$5:$F$3004,'Mouvements stock'!$D$5:$D$3004,$A39,'Mouvements stock'!$C$5:$C$3004,"Sortie",'Mouvements stock'!$B$5:$B$3004,"&gt;="&amp;'Paramètres'!$AA$6,'Mouvements stock'!$B$5:$B$3004,"&lt;"&amp;('Paramètres'!$AA$7+1)))</f>
        <v/>
      </c>
      <c r="V39" s="78">
        <f>IF($A39="","",IF(COUNTIF('Mouvements stock'!$D$5:$D$3004,$A39)=0,"",_xlfn.MAXIFS('Mouvements stock'!$B$5:$B$3004,'Mouvements stock'!$D$5:$D$3004,$A39)))</f>
        <v/>
      </c>
    </row>
    <row r="40">
      <c r="A40" s="7" t="inlineStr">
        <is>
          <t>PD-0036</t>
        </is>
      </c>
      <c r="B40" s="7" t="inlineStr">
        <is>
          <t>Réglette LED 1500 mm</t>
        </is>
      </c>
      <c r="C40" s="7" t="inlineStr">
        <is>
          <t>Électricité</t>
        </is>
      </c>
      <c r="D40" s="7" t="inlineStr">
        <is>
          <t>ÉlecDistrib Pro</t>
        </is>
      </c>
      <c r="E40" s="7" t="inlineStr">
        <is>
          <t>F03-4037</t>
        </is>
      </c>
      <c r="F40" s="7" t="inlineStr">
        <is>
          <t>Mag. C-02-2</t>
        </is>
      </c>
      <c r="G40" s="7" t="inlineStr">
        <is>
          <t>Elec</t>
        </is>
      </c>
      <c r="H40" s="7" t="inlineStr">
        <is>
          <t>Courante</t>
        </is>
      </c>
      <c r="I40" s="80" t="n">
        <v>22</v>
      </c>
      <c r="J40" s="67" t="n">
        <v>30</v>
      </c>
      <c r="K40" s="68">
        <f>IF($A40="","",SUMIFS('Mouvements stock'!$F$5:$F$3004,'Mouvements stock'!$D$5:$D$3004,$A40,'Mouvements stock'!$C$5:$C$3004,"Entrée")+SUMIFS('Mouvements stock'!$F$5:$F$3004,'Mouvements stock'!$D$5:$D$3004,$A40,'Mouvements stock'!$C$5:$C$3004,"Retour"))</f>
        <v/>
      </c>
      <c r="L40" s="68">
        <f>IF($A40="","",SUMIFS('Mouvements stock'!$F$5:$F$3004,'Mouvements stock'!$D$5:$D$3004,$A40,'Mouvements stock'!$C$5:$C$3004,"Sortie"))</f>
        <v/>
      </c>
      <c r="M40" s="79">
        <f>IF($A40="","",N(J40)+N(K40)-N(L40))</f>
        <v/>
      </c>
      <c r="N40" s="67" t="n">
        <v>10</v>
      </c>
      <c r="O40" s="67" t="n">
        <v>30</v>
      </c>
      <c r="P40" s="67" t="n"/>
      <c r="Q40" s="67" t="n">
        <v>3</v>
      </c>
      <c r="R40" s="70">
        <f>IF($A40="","",MAX(0,M40)*N(I40))</f>
        <v/>
      </c>
      <c r="S40" s="9">
        <f>IF($A40="","",IF(M40&lt;=0,IF(N(P40)&gt;0,"Rupture - en cde","RUPTURE"),IF(M40+N(P40)&lt;=N40,"À COMMANDER",IF(M40&lt;=N40,"Commande en cours","OK"))))</f>
        <v/>
      </c>
      <c r="T40" s="68">
        <f>IF($A40="","",IF(OR(S40="À COMMANDER",S40="RUPTURE"),MAX(1,O40-M40-N(P40)),0))</f>
        <v/>
      </c>
      <c r="U40" s="68">
        <f>IF($A40="","",SUMIFS('Mouvements stock'!$F$5:$F$3004,'Mouvements stock'!$D$5:$D$3004,$A40,'Mouvements stock'!$C$5:$C$3004,"Sortie",'Mouvements stock'!$B$5:$B$3004,"&gt;="&amp;'Paramètres'!$AA$6,'Mouvements stock'!$B$5:$B$3004,"&lt;"&amp;('Paramètres'!$AA$7+1)))</f>
        <v/>
      </c>
      <c r="V40" s="78">
        <f>IF($A40="","",IF(COUNTIF('Mouvements stock'!$D$5:$D$3004,$A40)=0,"",_xlfn.MAXIFS('Mouvements stock'!$B$5:$B$3004,'Mouvements stock'!$D$5:$D$3004,$A40)))</f>
        <v/>
      </c>
    </row>
    <row r="41">
      <c r="A41" s="7" t="inlineStr">
        <is>
          <t>PD-0037</t>
        </is>
      </c>
      <c r="B41" s="7" t="inlineStr">
        <is>
          <t>Batterie de démarrage 12 V 180 Ah</t>
        </is>
      </c>
      <c r="C41" s="7" t="inlineStr">
        <is>
          <t>Électricité</t>
        </is>
      </c>
      <c r="D41" s="7" t="inlineStr">
        <is>
          <t>ÉlecDistrib Pro</t>
        </is>
      </c>
      <c r="E41" s="7" t="inlineStr">
        <is>
          <t>F03-6385</t>
        </is>
      </c>
      <c r="F41" s="7" t="inlineStr">
        <is>
          <t>Mag. C-03-1</t>
        </is>
      </c>
      <c r="G41" s="7" t="inlineStr">
        <is>
          <t>Elec, Chariot</t>
        </is>
      </c>
      <c r="H41" s="7" t="inlineStr">
        <is>
          <t>Courante</t>
        </is>
      </c>
      <c r="I41" s="80" t="n">
        <v>260</v>
      </c>
      <c r="J41" s="67" t="n">
        <v>1</v>
      </c>
      <c r="K41" s="68">
        <f>IF($A41="","",SUMIFS('Mouvements stock'!$F$5:$F$3004,'Mouvements stock'!$D$5:$D$3004,$A41,'Mouvements stock'!$C$5:$C$3004,"Entrée")+SUMIFS('Mouvements stock'!$F$5:$F$3004,'Mouvements stock'!$D$5:$D$3004,$A41,'Mouvements stock'!$C$5:$C$3004,"Retour"))</f>
        <v/>
      </c>
      <c r="L41" s="68">
        <f>IF($A41="","",SUMIFS('Mouvements stock'!$F$5:$F$3004,'Mouvements stock'!$D$5:$D$3004,$A41,'Mouvements stock'!$C$5:$C$3004,"Sortie"))</f>
        <v/>
      </c>
      <c r="M41" s="79">
        <f>IF($A41="","",N(J41)+N(K41)-N(L41))</f>
        <v/>
      </c>
      <c r="N41" s="67" t="n">
        <v>0</v>
      </c>
      <c r="O41" s="67" t="n">
        <v>1</v>
      </c>
      <c r="P41" s="67" t="n"/>
      <c r="Q41" s="67" t="n">
        <v>5</v>
      </c>
      <c r="R41" s="70">
        <f>IF($A41="","",MAX(0,M41)*N(I41))</f>
        <v/>
      </c>
      <c r="S41" s="9">
        <f>IF($A41="","",IF(M41&lt;=0,IF(N(P41)&gt;0,"Rupture - en cde","RUPTURE"),IF(M41+N(P41)&lt;=N41,"À COMMANDER",IF(M41&lt;=N41,"Commande en cours","OK"))))</f>
        <v/>
      </c>
      <c r="T41" s="68">
        <f>IF($A41="","",IF(OR(S41="À COMMANDER",S41="RUPTURE"),MAX(1,O41-M41-N(P41)),0))</f>
        <v/>
      </c>
      <c r="U41" s="68">
        <f>IF($A41="","",SUMIFS('Mouvements stock'!$F$5:$F$3004,'Mouvements stock'!$D$5:$D$3004,$A41,'Mouvements stock'!$C$5:$C$3004,"Sortie",'Mouvements stock'!$B$5:$B$3004,"&gt;="&amp;'Paramètres'!$AA$6,'Mouvements stock'!$B$5:$B$3004,"&lt;"&amp;('Paramètres'!$AA$7+1)))</f>
        <v/>
      </c>
      <c r="V41" s="78">
        <f>IF($A41="","",IF(COUNTIF('Mouvements stock'!$D$5:$D$3004,$A41)=0,"",_xlfn.MAXIFS('Mouvements stock'!$B$5:$B$3004,'Mouvements stock'!$D$5:$D$3004,$A41)))</f>
        <v/>
      </c>
    </row>
    <row r="42">
      <c r="A42" s="7" t="inlineStr">
        <is>
          <t>PD-0038</t>
        </is>
      </c>
      <c r="B42" s="7" t="inlineStr">
        <is>
          <t>Détecteur inductif M18 PNP</t>
        </is>
      </c>
      <c r="C42" s="7" t="inlineStr">
        <is>
          <t>Capteurs &amp; automatisme</t>
        </is>
      </c>
      <c r="D42" s="7" t="inlineStr">
        <is>
          <t>ÉlecDistrib Pro</t>
        </is>
      </c>
      <c r="E42" s="7" t="inlineStr">
        <is>
          <t>F03-1415</t>
        </is>
      </c>
      <c r="F42" s="7" t="inlineStr">
        <is>
          <t>Mag. C-03-2</t>
        </is>
      </c>
      <c r="G42" s="7" t="inlineStr">
        <is>
          <t>CNC, Convoyeur, Presse, Auto, Robot, Laser</t>
        </is>
      </c>
      <c r="H42" s="7" t="inlineStr">
        <is>
          <t>Courante</t>
        </is>
      </c>
      <c r="I42" s="80" t="n">
        <v>39</v>
      </c>
      <c r="J42" s="67" t="n">
        <v>8</v>
      </c>
      <c r="K42" s="68">
        <f>IF($A42="","",SUMIFS('Mouvements stock'!$F$5:$F$3004,'Mouvements stock'!$D$5:$D$3004,$A42,'Mouvements stock'!$C$5:$C$3004,"Entrée")+SUMIFS('Mouvements stock'!$F$5:$F$3004,'Mouvements stock'!$D$5:$D$3004,$A42,'Mouvements stock'!$C$5:$C$3004,"Retour"))</f>
        <v/>
      </c>
      <c r="L42" s="68">
        <f>IF($A42="","",SUMIFS('Mouvements stock'!$F$5:$F$3004,'Mouvements stock'!$D$5:$D$3004,$A42,'Mouvements stock'!$C$5:$C$3004,"Sortie"))</f>
        <v/>
      </c>
      <c r="M42" s="79">
        <f>IF($A42="","",N(J42)+N(K42)-N(L42))</f>
        <v/>
      </c>
      <c r="N42" s="67" t="n">
        <v>4</v>
      </c>
      <c r="O42" s="67" t="n">
        <v>10</v>
      </c>
      <c r="P42" s="67" t="n"/>
      <c r="Q42" s="67" t="n">
        <v>3</v>
      </c>
      <c r="R42" s="70">
        <f>IF($A42="","",MAX(0,M42)*N(I42))</f>
        <v/>
      </c>
      <c r="S42" s="9">
        <f>IF($A42="","",IF(M42&lt;=0,IF(N(P42)&gt;0,"Rupture - en cde","RUPTURE"),IF(M42+N(P42)&lt;=N42,"À COMMANDER",IF(M42&lt;=N42,"Commande en cours","OK"))))</f>
        <v/>
      </c>
      <c r="T42" s="68">
        <f>IF($A42="","",IF(OR(S42="À COMMANDER",S42="RUPTURE"),MAX(1,O42-M42-N(P42)),0))</f>
        <v/>
      </c>
      <c r="U42" s="68">
        <f>IF($A42="","",SUMIFS('Mouvements stock'!$F$5:$F$3004,'Mouvements stock'!$D$5:$D$3004,$A42,'Mouvements stock'!$C$5:$C$3004,"Sortie",'Mouvements stock'!$B$5:$B$3004,"&gt;="&amp;'Paramètres'!$AA$6,'Mouvements stock'!$B$5:$B$3004,"&lt;"&amp;('Paramètres'!$AA$7+1)))</f>
        <v/>
      </c>
      <c r="V42" s="78">
        <f>IF($A42="","",IF(COUNTIF('Mouvements stock'!$D$5:$D$3004,$A42)=0,"",_xlfn.MAXIFS('Mouvements stock'!$B$5:$B$3004,'Mouvements stock'!$D$5:$D$3004,$A42)))</f>
        <v/>
      </c>
    </row>
    <row r="43">
      <c r="A43" s="7" t="inlineStr">
        <is>
          <t>PD-0039</t>
        </is>
      </c>
      <c r="B43" s="7" t="inlineStr">
        <is>
          <t>Cellule photoélectrique reflex</t>
        </is>
      </c>
      <c r="C43" s="7" t="inlineStr">
        <is>
          <t>Capteurs &amp; automatisme</t>
        </is>
      </c>
      <c r="D43" s="7" t="inlineStr">
        <is>
          <t>ÉlecDistrib Pro</t>
        </is>
      </c>
      <c r="E43" s="7" t="inlineStr">
        <is>
          <t>F03-9304</t>
        </is>
      </c>
      <c r="F43" s="7" t="inlineStr">
        <is>
          <t>Mag. C-04-1</t>
        </is>
      </c>
      <c r="G43" s="7" t="inlineStr">
        <is>
          <t>Convoyeur, Batiment, Auto</t>
        </is>
      </c>
      <c r="H43" s="7" t="inlineStr">
        <is>
          <t>Courante</t>
        </is>
      </c>
      <c r="I43" s="80" t="n">
        <v>72</v>
      </c>
      <c r="J43" s="67" t="n">
        <v>6</v>
      </c>
      <c r="K43" s="68">
        <f>IF($A43="","",SUMIFS('Mouvements stock'!$F$5:$F$3004,'Mouvements stock'!$D$5:$D$3004,$A43,'Mouvements stock'!$C$5:$C$3004,"Entrée")+SUMIFS('Mouvements stock'!$F$5:$F$3004,'Mouvements stock'!$D$5:$D$3004,$A43,'Mouvements stock'!$C$5:$C$3004,"Retour"))</f>
        <v/>
      </c>
      <c r="L43" s="68">
        <f>IF($A43="","",SUMIFS('Mouvements stock'!$F$5:$F$3004,'Mouvements stock'!$D$5:$D$3004,$A43,'Mouvements stock'!$C$5:$C$3004,"Sortie"))</f>
        <v/>
      </c>
      <c r="M43" s="79">
        <f>IF($A43="","",N(J43)+N(K43)-N(L43))</f>
        <v/>
      </c>
      <c r="N43" s="67" t="n">
        <v>3</v>
      </c>
      <c r="O43" s="67" t="n">
        <v>8</v>
      </c>
      <c r="P43" s="67" t="n"/>
      <c r="Q43" s="67" t="n">
        <v>3</v>
      </c>
      <c r="R43" s="70">
        <f>IF($A43="","",MAX(0,M43)*N(I43))</f>
        <v/>
      </c>
      <c r="S43" s="9">
        <f>IF($A43="","",IF(M43&lt;=0,IF(N(P43)&gt;0,"Rupture - en cde","RUPTURE"),IF(M43+N(P43)&lt;=N43,"À COMMANDER",IF(M43&lt;=N43,"Commande en cours","OK"))))</f>
        <v/>
      </c>
      <c r="T43" s="68">
        <f>IF($A43="","",IF(OR(S43="À COMMANDER",S43="RUPTURE"),MAX(1,O43-M43-N(P43)),0))</f>
        <v/>
      </c>
      <c r="U43" s="68">
        <f>IF($A43="","",SUMIFS('Mouvements stock'!$F$5:$F$3004,'Mouvements stock'!$D$5:$D$3004,$A43,'Mouvements stock'!$C$5:$C$3004,"Sortie",'Mouvements stock'!$B$5:$B$3004,"&gt;="&amp;'Paramètres'!$AA$6,'Mouvements stock'!$B$5:$B$3004,"&lt;"&amp;('Paramètres'!$AA$7+1)))</f>
        <v/>
      </c>
      <c r="V43" s="78">
        <f>IF($A43="","",IF(COUNTIF('Mouvements stock'!$D$5:$D$3004,$A43)=0,"",_xlfn.MAXIFS('Mouvements stock'!$B$5:$B$3004,'Mouvements stock'!$D$5:$D$3004,$A43)))</f>
        <v/>
      </c>
    </row>
    <row r="44">
      <c r="A44" s="7" t="inlineStr">
        <is>
          <t>PD-0040</t>
        </is>
      </c>
      <c r="B44" s="7" t="inlineStr">
        <is>
          <t>Interrupteur de fin de course</t>
        </is>
      </c>
      <c r="C44" s="7" t="inlineStr">
        <is>
          <t>Capteurs &amp; automatisme</t>
        </is>
      </c>
      <c r="D44" s="7" t="inlineStr">
        <is>
          <t>ÉlecDistrib Pro</t>
        </is>
      </c>
      <c r="E44" s="7" t="inlineStr">
        <is>
          <t>F03-8947</t>
        </is>
      </c>
      <c r="F44" s="7" t="inlineStr">
        <is>
          <t>Mag. C-04-2</t>
        </is>
      </c>
      <c r="G44" s="7" t="inlineStr">
        <is>
          <t>Levage, Presse, Batiment</t>
        </is>
      </c>
      <c r="H44" s="7" t="inlineStr">
        <is>
          <t>Courante</t>
        </is>
      </c>
      <c r="I44" s="80" t="n">
        <v>45</v>
      </c>
      <c r="J44" s="67" t="n">
        <v>7</v>
      </c>
      <c r="K44" s="68">
        <f>IF($A44="","",SUMIFS('Mouvements stock'!$F$5:$F$3004,'Mouvements stock'!$D$5:$D$3004,$A44,'Mouvements stock'!$C$5:$C$3004,"Entrée")+SUMIFS('Mouvements stock'!$F$5:$F$3004,'Mouvements stock'!$D$5:$D$3004,$A44,'Mouvements stock'!$C$5:$C$3004,"Retour"))</f>
        <v/>
      </c>
      <c r="L44" s="68">
        <f>IF($A44="","",SUMIFS('Mouvements stock'!$F$5:$F$3004,'Mouvements stock'!$D$5:$D$3004,$A44,'Mouvements stock'!$C$5:$C$3004,"Sortie"))</f>
        <v/>
      </c>
      <c r="M44" s="79">
        <f>IF($A44="","",N(J44)+N(K44)-N(L44))</f>
        <v/>
      </c>
      <c r="N44" s="67" t="n">
        <v>3</v>
      </c>
      <c r="O44" s="67" t="n">
        <v>8</v>
      </c>
      <c r="P44" s="67" t="n"/>
      <c r="Q44" s="67" t="n">
        <v>3</v>
      </c>
      <c r="R44" s="70">
        <f>IF($A44="","",MAX(0,M44)*N(I44))</f>
        <v/>
      </c>
      <c r="S44" s="9">
        <f>IF($A44="","",IF(M44&lt;=0,IF(N(P44)&gt;0,"Rupture - en cde","RUPTURE"),IF(M44+N(P44)&lt;=N44,"À COMMANDER",IF(M44&lt;=N44,"Commande en cours","OK"))))</f>
        <v/>
      </c>
      <c r="T44" s="68">
        <f>IF($A44="","",IF(OR(S44="À COMMANDER",S44="RUPTURE"),MAX(1,O44-M44-N(P44)),0))</f>
        <v/>
      </c>
      <c r="U44" s="68">
        <f>IF($A44="","",SUMIFS('Mouvements stock'!$F$5:$F$3004,'Mouvements stock'!$D$5:$D$3004,$A44,'Mouvements stock'!$C$5:$C$3004,"Sortie",'Mouvements stock'!$B$5:$B$3004,"&gt;="&amp;'Paramètres'!$AA$6,'Mouvements stock'!$B$5:$B$3004,"&lt;"&amp;('Paramètres'!$AA$7+1)))</f>
        <v/>
      </c>
      <c r="V44" s="78">
        <f>IF($A44="","",IF(COUNTIF('Mouvements stock'!$D$5:$D$3004,$A44)=0,"",_xlfn.MAXIFS('Mouvements stock'!$B$5:$B$3004,'Mouvements stock'!$D$5:$D$3004,$A44)))</f>
        <v/>
      </c>
    </row>
    <row r="45">
      <c r="A45" s="7" t="inlineStr">
        <is>
          <t>PD-0041</t>
        </is>
      </c>
      <c r="B45" s="7" t="inlineStr">
        <is>
          <t>Codeur incrémental 1024 pts</t>
        </is>
      </c>
      <c r="C45" s="7" t="inlineStr">
        <is>
          <t>Capteurs &amp; automatisme</t>
        </is>
      </c>
      <c r="D45" s="7" t="inlineStr">
        <is>
          <t>AutomaSys Ingénierie</t>
        </is>
      </c>
      <c r="E45" s="7" t="inlineStr">
        <is>
          <t>F06-1052</t>
        </is>
      </c>
      <c r="F45" s="7" t="inlineStr">
        <is>
          <t>Mag. C-05-1</t>
        </is>
      </c>
      <c r="G45" s="7" t="inlineStr">
        <is>
          <t>CNC, Convoyeur</t>
        </is>
      </c>
      <c r="H45" s="7" t="inlineStr">
        <is>
          <t>Stratégique</t>
        </is>
      </c>
      <c r="I45" s="80" t="n">
        <v>340</v>
      </c>
      <c r="J45" s="67" t="n">
        <v>2</v>
      </c>
      <c r="K45" s="68">
        <f>IF($A45="","",SUMIFS('Mouvements stock'!$F$5:$F$3004,'Mouvements stock'!$D$5:$D$3004,$A45,'Mouvements stock'!$C$5:$C$3004,"Entrée")+SUMIFS('Mouvements stock'!$F$5:$F$3004,'Mouvements stock'!$D$5:$D$3004,$A45,'Mouvements stock'!$C$5:$C$3004,"Retour"))</f>
        <v/>
      </c>
      <c r="L45" s="68">
        <f>IF($A45="","",SUMIFS('Mouvements stock'!$F$5:$F$3004,'Mouvements stock'!$D$5:$D$3004,$A45,'Mouvements stock'!$C$5:$C$3004,"Sortie"))</f>
        <v/>
      </c>
      <c r="M45" s="79">
        <f>IF($A45="","",N(J45)+N(K45)-N(L45))</f>
        <v/>
      </c>
      <c r="N45" s="67" t="n">
        <v>1</v>
      </c>
      <c r="O45" s="67" t="n">
        <v>2</v>
      </c>
      <c r="P45" s="67" t="n"/>
      <c r="Q45" s="67" t="n">
        <v>10</v>
      </c>
      <c r="R45" s="70">
        <f>IF($A45="","",MAX(0,M45)*N(I45))</f>
        <v/>
      </c>
      <c r="S45" s="9">
        <f>IF($A45="","",IF(M45&lt;=0,IF(N(P45)&gt;0,"Rupture - en cde","RUPTURE"),IF(M45+N(P45)&lt;=N45,"À COMMANDER",IF(M45&lt;=N45,"Commande en cours","OK"))))</f>
        <v/>
      </c>
      <c r="T45" s="68">
        <f>IF($A45="","",IF(OR(S45="À COMMANDER",S45="RUPTURE"),MAX(1,O45-M45-N(P45)),0))</f>
        <v/>
      </c>
      <c r="U45" s="68">
        <f>IF($A45="","",SUMIFS('Mouvements stock'!$F$5:$F$3004,'Mouvements stock'!$D$5:$D$3004,$A45,'Mouvements stock'!$C$5:$C$3004,"Sortie",'Mouvements stock'!$B$5:$B$3004,"&gt;="&amp;'Paramètres'!$AA$6,'Mouvements stock'!$B$5:$B$3004,"&lt;"&amp;('Paramètres'!$AA$7+1)))</f>
        <v/>
      </c>
      <c r="V45" s="78">
        <f>IF($A45="","",IF(COUNTIF('Mouvements stock'!$D$5:$D$3004,$A45)=0,"",_xlfn.MAXIFS('Mouvements stock'!$B$5:$B$3004,'Mouvements stock'!$D$5:$D$3004,$A45)))</f>
        <v/>
      </c>
    </row>
    <row r="46">
      <c r="A46" s="7" t="inlineStr">
        <is>
          <t>PD-0042</t>
        </is>
      </c>
      <c r="B46" s="7" t="inlineStr">
        <is>
          <t>Barrage immatériel de sécurité (paire)</t>
        </is>
      </c>
      <c r="C46" s="7" t="inlineStr">
        <is>
          <t>Capteurs &amp; automatisme</t>
        </is>
      </c>
      <c r="D46" s="7" t="inlineStr">
        <is>
          <t>AutomaSys Ingénierie</t>
        </is>
      </c>
      <c r="E46" s="7" t="inlineStr">
        <is>
          <t>F06-6780</t>
        </is>
      </c>
      <c r="F46" s="7" t="inlineStr">
        <is>
          <t>Mag. C-05-2</t>
        </is>
      </c>
      <c r="G46" s="7" t="inlineStr">
        <is>
          <t>Presse</t>
        </is>
      </c>
      <c r="H46" s="7" t="inlineStr">
        <is>
          <t>Stratégique</t>
        </is>
      </c>
      <c r="I46" s="80" t="n">
        <v>1250</v>
      </c>
      <c r="J46" s="67" t="n">
        <v>1</v>
      </c>
      <c r="K46" s="68">
        <f>IF($A46="","",SUMIFS('Mouvements stock'!$F$5:$F$3004,'Mouvements stock'!$D$5:$D$3004,$A46,'Mouvements stock'!$C$5:$C$3004,"Entrée")+SUMIFS('Mouvements stock'!$F$5:$F$3004,'Mouvements stock'!$D$5:$D$3004,$A46,'Mouvements stock'!$C$5:$C$3004,"Retour"))</f>
        <v/>
      </c>
      <c r="L46" s="68">
        <f>IF($A46="","",SUMIFS('Mouvements stock'!$F$5:$F$3004,'Mouvements stock'!$D$5:$D$3004,$A46,'Mouvements stock'!$C$5:$C$3004,"Sortie"))</f>
        <v/>
      </c>
      <c r="M46" s="79">
        <f>IF($A46="","",N(J46)+N(K46)-N(L46))</f>
        <v/>
      </c>
      <c r="N46" s="67" t="n">
        <v>1</v>
      </c>
      <c r="O46" s="67" t="n">
        <v>1</v>
      </c>
      <c r="P46" s="67" t="n">
        <v>1</v>
      </c>
      <c r="Q46" s="67" t="n">
        <v>15</v>
      </c>
      <c r="R46" s="70">
        <f>IF($A46="","",MAX(0,M46)*N(I46))</f>
        <v/>
      </c>
      <c r="S46" s="9">
        <f>IF($A46="","",IF(M46&lt;=0,IF(N(P46)&gt;0,"Rupture - en cde","RUPTURE"),IF(M46+N(P46)&lt;=N46,"À COMMANDER",IF(M46&lt;=N46,"Commande en cours","OK"))))</f>
        <v/>
      </c>
      <c r="T46" s="68">
        <f>IF($A46="","",IF(OR(S46="À COMMANDER",S46="RUPTURE"),MAX(1,O46-M46-N(P46)),0))</f>
        <v/>
      </c>
      <c r="U46" s="68">
        <f>IF($A46="","",SUMIFS('Mouvements stock'!$F$5:$F$3004,'Mouvements stock'!$D$5:$D$3004,$A46,'Mouvements stock'!$C$5:$C$3004,"Sortie",'Mouvements stock'!$B$5:$B$3004,"&gt;="&amp;'Paramètres'!$AA$6,'Mouvements stock'!$B$5:$B$3004,"&lt;"&amp;('Paramètres'!$AA$7+1)))</f>
        <v/>
      </c>
      <c r="V46" s="78">
        <f>IF($A46="","",IF(COUNTIF('Mouvements stock'!$D$5:$D$3004,$A46)=0,"",_xlfn.MAXIFS('Mouvements stock'!$B$5:$B$3004,'Mouvements stock'!$D$5:$D$3004,$A46)))</f>
        <v/>
      </c>
    </row>
    <row r="47">
      <c r="A47" s="7" t="inlineStr">
        <is>
          <t>PD-0043</t>
        </is>
      </c>
      <c r="B47" s="7" t="inlineStr">
        <is>
          <t>Module E/S automate 16 entrées</t>
        </is>
      </c>
      <c r="C47" s="7" t="inlineStr">
        <is>
          <t>Capteurs &amp; automatisme</t>
        </is>
      </c>
      <c r="D47" s="7" t="inlineStr">
        <is>
          <t>AutomaSys Ingénierie</t>
        </is>
      </c>
      <c r="E47" s="7" t="inlineStr">
        <is>
          <t>F06-4781</t>
        </is>
      </c>
      <c r="F47" s="7" t="inlineStr">
        <is>
          <t>Mag. C-06-1</t>
        </is>
      </c>
      <c r="G47" s="7" t="inlineStr">
        <is>
          <t>Auto, Convoyeur, Peinture</t>
        </is>
      </c>
      <c r="H47" s="7" t="inlineStr">
        <is>
          <t>Stratégique</t>
        </is>
      </c>
      <c r="I47" s="80" t="n">
        <v>420</v>
      </c>
      <c r="J47" s="67" t="n">
        <v>1</v>
      </c>
      <c r="K47" s="68">
        <f>IF($A47="","",SUMIFS('Mouvements stock'!$F$5:$F$3004,'Mouvements stock'!$D$5:$D$3004,$A47,'Mouvements stock'!$C$5:$C$3004,"Entrée")+SUMIFS('Mouvements stock'!$F$5:$F$3004,'Mouvements stock'!$D$5:$D$3004,$A47,'Mouvements stock'!$C$5:$C$3004,"Retour"))</f>
        <v/>
      </c>
      <c r="L47" s="68">
        <f>IF($A47="","",SUMIFS('Mouvements stock'!$F$5:$F$3004,'Mouvements stock'!$D$5:$D$3004,$A47,'Mouvements stock'!$C$5:$C$3004,"Sortie"))</f>
        <v/>
      </c>
      <c r="M47" s="79">
        <f>IF($A47="","",N(J47)+N(K47)-N(L47))</f>
        <v/>
      </c>
      <c r="N47" s="67" t="n">
        <v>1</v>
      </c>
      <c r="O47" s="67" t="n">
        <v>1</v>
      </c>
      <c r="P47" s="67" t="n"/>
      <c r="Q47" s="67" t="n">
        <v>10</v>
      </c>
      <c r="R47" s="70">
        <f>IF($A47="","",MAX(0,M47)*N(I47))</f>
        <v/>
      </c>
      <c r="S47" s="9">
        <f>IF($A47="","",IF(M47&lt;=0,IF(N(P47)&gt;0,"Rupture - en cde","RUPTURE"),IF(M47+N(P47)&lt;=N47,"À COMMANDER",IF(M47&lt;=N47,"Commande en cours","OK"))))</f>
        <v/>
      </c>
      <c r="T47" s="68">
        <f>IF($A47="","",IF(OR(S47="À COMMANDER",S47="RUPTURE"),MAX(1,O47-M47-N(P47)),0))</f>
        <v/>
      </c>
      <c r="U47" s="68">
        <f>IF($A47="","",SUMIFS('Mouvements stock'!$F$5:$F$3004,'Mouvements stock'!$D$5:$D$3004,$A47,'Mouvements stock'!$C$5:$C$3004,"Sortie",'Mouvements stock'!$B$5:$B$3004,"&gt;="&amp;'Paramètres'!$AA$6,'Mouvements stock'!$B$5:$B$3004,"&lt;"&amp;('Paramètres'!$AA$7+1)))</f>
        <v/>
      </c>
      <c r="V47" s="78">
        <f>IF($A47="","",IF(COUNTIF('Mouvements stock'!$D$5:$D$3004,$A47)=0,"",_xlfn.MAXIFS('Mouvements stock'!$B$5:$B$3004,'Mouvements stock'!$D$5:$D$3004,$A47)))</f>
        <v/>
      </c>
    </row>
    <row r="48">
      <c r="A48" s="7" t="inlineStr">
        <is>
          <t>PD-0044</t>
        </is>
      </c>
      <c r="B48" s="7" t="inlineStr">
        <is>
          <t>Lot batteries codeurs robot</t>
        </is>
      </c>
      <c r="C48" s="7" t="inlineStr">
        <is>
          <t>Capteurs &amp; automatisme</t>
        </is>
      </c>
      <c r="D48" s="7" t="inlineStr">
        <is>
          <t>Robotique Services Ouest</t>
        </is>
      </c>
      <c r="E48" s="7" t="inlineStr">
        <is>
          <t>F16-4690</t>
        </is>
      </c>
      <c r="F48" s="7" t="inlineStr">
        <is>
          <t>Mag. C-06-2</t>
        </is>
      </c>
      <c r="G48" s="7" t="inlineStr">
        <is>
          <t>Robot</t>
        </is>
      </c>
      <c r="H48" s="7" t="inlineStr">
        <is>
          <t>Courante</t>
        </is>
      </c>
      <c r="I48" s="80" t="n">
        <v>145</v>
      </c>
      <c r="J48" s="67" t="n">
        <v>2</v>
      </c>
      <c r="K48" s="68">
        <f>IF($A48="","",SUMIFS('Mouvements stock'!$F$5:$F$3004,'Mouvements stock'!$D$5:$D$3004,$A48,'Mouvements stock'!$C$5:$C$3004,"Entrée")+SUMIFS('Mouvements stock'!$F$5:$F$3004,'Mouvements stock'!$D$5:$D$3004,$A48,'Mouvements stock'!$C$5:$C$3004,"Retour"))</f>
        <v/>
      </c>
      <c r="L48" s="68">
        <f>IF($A48="","",SUMIFS('Mouvements stock'!$F$5:$F$3004,'Mouvements stock'!$D$5:$D$3004,$A48,'Mouvements stock'!$C$5:$C$3004,"Sortie"))</f>
        <v/>
      </c>
      <c r="M48" s="79">
        <f>IF($A48="","",N(J48)+N(K48)-N(L48))</f>
        <v/>
      </c>
      <c r="N48" s="67" t="n">
        <v>1</v>
      </c>
      <c r="O48" s="67" t="n">
        <v>3</v>
      </c>
      <c r="P48" s="67" t="n"/>
      <c r="Q48" s="67" t="n">
        <v>10</v>
      </c>
      <c r="R48" s="70">
        <f>IF($A48="","",MAX(0,M48)*N(I48))</f>
        <v/>
      </c>
      <c r="S48" s="9">
        <f>IF($A48="","",IF(M48&lt;=0,IF(N(P48)&gt;0,"Rupture - en cde","RUPTURE"),IF(M48+N(P48)&lt;=N48,"À COMMANDER",IF(M48&lt;=N48,"Commande en cours","OK"))))</f>
        <v/>
      </c>
      <c r="T48" s="68">
        <f>IF($A48="","",IF(OR(S48="À COMMANDER",S48="RUPTURE"),MAX(1,O48-M48-N(P48)),0))</f>
        <v/>
      </c>
      <c r="U48" s="68">
        <f>IF($A48="","",SUMIFS('Mouvements stock'!$F$5:$F$3004,'Mouvements stock'!$D$5:$D$3004,$A48,'Mouvements stock'!$C$5:$C$3004,"Sortie",'Mouvements stock'!$B$5:$B$3004,"&gt;="&amp;'Paramètres'!$AA$6,'Mouvements stock'!$B$5:$B$3004,"&lt;"&amp;('Paramètres'!$AA$7+1)))</f>
        <v/>
      </c>
      <c r="V48" s="78">
        <f>IF($A48="","",IF(COUNTIF('Mouvements stock'!$D$5:$D$3004,$A48)=0,"",_xlfn.MAXIFS('Mouvements stock'!$B$5:$B$3004,'Mouvements stock'!$D$5:$D$3004,$A48)))</f>
        <v/>
      </c>
    </row>
    <row r="49">
      <c r="A49" s="7" t="inlineStr">
        <is>
          <t>PD-0045</t>
        </is>
      </c>
      <c r="B49" s="7" t="inlineStr">
        <is>
          <t>Sonde de température PT100</t>
        </is>
      </c>
      <c r="C49" s="7" t="inlineStr">
        <is>
          <t>Capteurs &amp; automatisme</t>
        </is>
      </c>
      <c r="D49" s="7" t="inlineStr">
        <is>
          <t>ÉlecDistrib Pro</t>
        </is>
      </c>
      <c r="E49" s="7" t="inlineStr">
        <is>
          <t>F03-9815</t>
        </is>
      </c>
      <c r="F49" s="7" t="inlineStr">
        <is>
          <t>Mag. C-07-1</t>
        </is>
      </c>
      <c r="G49" s="7" t="inlineStr">
        <is>
          <t>Peinture, Cvc, Compresseur, Eau</t>
        </is>
      </c>
      <c r="H49" s="7" t="inlineStr">
        <is>
          <t>Courante</t>
        </is>
      </c>
      <c r="I49" s="80" t="n">
        <v>88</v>
      </c>
      <c r="J49" s="67" t="n">
        <v>3</v>
      </c>
      <c r="K49" s="68">
        <f>IF($A49="","",SUMIFS('Mouvements stock'!$F$5:$F$3004,'Mouvements stock'!$D$5:$D$3004,$A49,'Mouvements stock'!$C$5:$C$3004,"Entrée")+SUMIFS('Mouvements stock'!$F$5:$F$3004,'Mouvements stock'!$D$5:$D$3004,$A49,'Mouvements stock'!$C$5:$C$3004,"Retour"))</f>
        <v/>
      </c>
      <c r="L49" s="68">
        <f>IF($A49="","",SUMIFS('Mouvements stock'!$F$5:$F$3004,'Mouvements stock'!$D$5:$D$3004,$A49,'Mouvements stock'!$C$5:$C$3004,"Sortie"))</f>
        <v/>
      </c>
      <c r="M49" s="79">
        <f>IF($A49="","",N(J49)+N(K49)-N(L49))</f>
        <v/>
      </c>
      <c r="N49" s="67" t="n">
        <v>2</v>
      </c>
      <c r="O49" s="67" t="n">
        <v>4</v>
      </c>
      <c r="P49" s="67" t="n"/>
      <c r="Q49" s="67" t="n">
        <v>5</v>
      </c>
      <c r="R49" s="70">
        <f>IF($A49="","",MAX(0,M49)*N(I49))</f>
        <v/>
      </c>
      <c r="S49" s="9">
        <f>IF($A49="","",IF(M49&lt;=0,IF(N(P49)&gt;0,"Rupture - en cde","RUPTURE"),IF(M49+N(P49)&lt;=N49,"À COMMANDER",IF(M49&lt;=N49,"Commande en cours","OK"))))</f>
        <v/>
      </c>
      <c r="T49" s="68">
        <f>IF($A49="","",IF(OR(S49="À COMMANDER",S49="RUPTURE"),MAX(1,O49-M49-N(P49)),0))</f>
        <v/>
      </c>
      <c r="U49" s="68">
        <f>IF($A49="","",SUMIFS('Mouvements stock'!$F$5:$F$3004,'Mouvements stock'!$D$5:$D$3004,$A49,'Mouvements stock'!$C$5:$C$3004,"Sortie",'Mouvements stock'!$B$5:$B$3004,"&gt;="&amp;'Paramètres'!$AA$6,'Mouvements stock'!$B$5:$B$3004,"&lt;"&amp;('Paramètres'!$AA$7+1)))</f>
        <v/>
      </c>
      <c r="V49" s="78">
        <f>IF($A49="","",IF(COUNTIF('Mouvements stock'!$D$5:$D$3004,$A49)=0,"",_xlfn.MAXIFS('Mouvements stock'!$B$5:$B$3004,'Mouvements stock'!$D$5:$D$3004,$A49)))</f>
        <v/>
      </c>
    </row>
    <row r="50">
      <c r="A50" s="7" t="inlineStr">
        <is>
          <t>PD-0046</t>
        </is>
      </c>
      <c r="B50" s="7" t="inlineStr">
        <is>
          <t>Capteur de pression 0-16 bar</t>
        </is>
      </c>
      <c r="C50" s="7" t="inlineStr">
        <is>
          <t>Capteurs &amp; automatisme</t>
        </is>
      </c>
      <c r="D50" s="7" t="inlineStr">
        <is>
          <t>PneumaPlus</t>
        </is>
      </c>
      <c r="E50" s="7" t="inlineStr">
        <is>
          <t>F04-8489</t>
        </is>
      </c>
      <c r="F50" s="7" t="inlineStr">
        <is>
          <t>Mag. C-07-2</t>
        </is>
      </c>
      <c r="G50" s="7" t="inlineStr">
        <is>
          <t>Compresseur, Presse, Mesure</t>
        </is>
      </c>
      <c r="H50" s="7" t="inlineStr">
        <is>
          <t>Courante</t>
        </is>
      </c>
      <c r="I50" s="80" t="n">
        <v>165</v>
      </c>
      <c r="J50" s="67" t="n">
        <v>2</v>
      </c>
      <c r="K50" s="68">
        <f>IF($A50="","",SUMIFS('Mouvements stock'!$F$5:$F$3004,'Mouvements stock'!$D$5:$D$3004,$A50,'Mouvements stock'!$C$5:$C$3004,"Entrée")+SUMIFS('Mouvements stock'!$F$5:$F$3004,'Mouvements stock'!$D$5:$D$3004,$A50,'Mouvements stock'!$C$5:$C$3004,"Retour"))</f>
        <v/>
      </c>
      <c r="L50" s="68">
        <f>IF($A50="","",SUMIFS('Mouvements stock'!$F$5:$F$3004,'Mouvements stock'!$D$5:$D$3004,$A50,'Mouvements stock'!$C$5:$C$3004,"Sortie"))</f>
        <v/>
      </c>
      <c r="M50" s="79">
        <f>IF($A50="","",N(J50)+N(K50)-N(L50))</f>
        <v/>
      </c>
      <c r="N50" s="67" t="n">
        <v>1</v>
      </c>
      <c r="O50" s="67" t="n">
        <v>2</v>
      </c>
      <c r="P50" s="67" t="n"/>
      <c r="Q50" s="67" t="n">
        <v>5</v>
      </c>
      <c r="R50" s="70">
        <f>IF($A50="","",MAX(0,M50)*N(I50))</f>
        <v/>
      </c>
      <c r="S50" s="9">
        <f>IF($A50="","",IF(M50&lt;=0,IF(N(P50)&gt;0,"Rupture - en cde","RUPTURE"),IF(M50+N(P50)&lt;=N50,"À COMMANDER",IF(M50&lt;=N50,"Commande en cours","OK"))))</f>
        <v/>
      </c>
      <c r="T50" s="68">
        <f>IF($A50="","",IF(OR(S50="À COMMANDER",S50="RUPTURE"),MAX(1,O50-M50-N(P50)),0))</f>
        <v/>
      </c>
      <c r="U50" s="68">
        <f>IF($A50="","",SUMIFS('Mouvements stock'!$F$5:$F$3004,'Mouvements stock'!$D$5:$D$3004,$A50,'Mouvements stock'!$C$5:$C$3004,"Sortie",'Mouvements stock'!$B$5:$B$3004,"&gt;="&amp;'Paramètres'!$AA$6,'Mouvements stock'!$B$5:$B$3004,"&lt;"&amp;('Paramètres'!$AA$7+1)))</f>
        <v/>
      </c>
      <c r="V50" s="78">
        <f>IF($A50="","",IF(COUNTIF('Mouvements stock'!$D$5:$D$3004,$A50)=0,"",_xlfn.MAXIFS('Mouvements stock'!$B$5:$B$3004,'Mouvements stock'!$D$5:$D$3004,$A50)))</f>
        <v/>
      </c>
    </row>
    <row r="51">
      <c r="A51" s="7" t="inlineStr">
        <is>
          <t>PD-0047</t>
        </is>
      </c>
      <c r="B51" s="7" t="inlineStr">
        <is>
          <t>Sonde pH industrielle</t>
        </is>
      </c>
      <c r="C51" s="7" t="inlineStr">
        <is>
          <t>Capteurs &amp; automatisme</t>
        </is>
      </c>
      <c r="D51" s="7" t="inlineStr">
        <is>
          <t>Surface Process Assistance</t>
        </is>
      </c>
      <c r="E51" s="7" t="inlineStr">
        <is>
          <t>F17-9066</t>
        </is>
      </c>
      <c r="F51" s="7" t="inlineStr">
        <is>
          <t>Mag. C-08-1</t>
        </is>
      </c>
      <c r="G51" s="7" t="inlineStr">
        <is>
          <t>Eau</t>
        </is>
      </c>
      <c r="H51" s="7" t="inlineStr">
        <is>
          <t>Courante</t>
        </is>
      </c>
      <c r="I51" s="80" t="n">
        <v>210</v>
      </c>
      <c r="J51" s="67" t="n">
        <v>3</v>
      </c>
      <c r="K51" s="68">
        <f>IF($A51="","",SUMIFS('Mouvements stock'!$F$5:$F$3004,'Mouvements stock'!$D$5:$D$3004,$A51,'Mouvements stock'!$C$5:$C$3004,"Entrée")+SUMIFS('Mouvements stock'!$F$5:$F$3004,'Mouvements stock'!$D$5:$D$3004,$A51,'Mouvements stock'!$C$5:$C$3004,"Retour"))</f>
        <v/>
      </c>
      <c r="L51" s="68">
        <f>IF($A51="","",SUMIFS('Mouvements stock'!$F$5:$F$3004,'Mouvements stock'!$D$5:$D$3004,$A51,'Mouvements stock'!$C$5:$C$3004,"Sortie"))</f>
        <v/>
      </c>
      <c r="M51" s="79">
        <f>IF($A51="","",N(J51)+N(K51)-N(L51))</f>
        <v/>
      </c>
      <c r="N51" s="67" t="n">
        <v>1</v>
      </c>
      <c r="O51" s="67" t="n">
        <v>3</v>
      </c>
      <c r="P51" s="67" t="n"/>
      <c r="Q51" s="67" t="n">
        <v>10</v>
      </c>
      <c r="R51" s="70">
        <f>IF($A51="","",MAX(0,M51)*N(I51))</f>
        <v/>
      </c>
      <c r="S51" s="9">
        <f>IF($A51="","",IF(M51&lt;=0,IF(N(P51)&gt;0,"Rupture - en cde","RUPTURE"),IF(M51+N(P51)&lt;=N51,"À COMMANDER",IF(M51&lt;=N51,"Commande en cours","OK"))))</f>
        <v/>
      </c>
      <c r="T51" s="68">
        <f>IF($A51="","",IF(OR(S51="À COMMANDER",S51="RUPTURE"),MAX(1,O51-M51-N(P51)),0))</f>
        <v/>
      </c>
      <c r="U51" s="68">
        <f>IF($A51="","",SUMIFS('Mouvements stock'!$F$5:$F$3004,'Mouvements stock'!$D$5:$D$3004,$A51,'Mouvements stock'!$C$5:$C$3004,"Sortie",'Mouvements stock'!$B$5:$B$3004,"&gt;="&amp;'Paramètres'!$AA$6,'Mouvements stock'!$B$5:$B$3004,"&lt;"&amp;('Paramètres'!$AA$7+1)))</f>
        <v/>
      </c>
      <c r="V51" s="78">
        <f>IF($A51="","",IF(COUNTIF('Mouvements stock'!$D$5:$D$3004,$A51)=0,"",_xlfn.MAXIFS('Mouvements stock'!$B$5:$B$3004,'Mouvements stock'!$D$5:$D$3004,$A51)))</f>
        <v/>
      </c>
    </row>
    <row r="52">
      <c r="A52" s="7" t="inlineStr">
        <is>
          <t>PD-0048</t>
        </is>
      </c>
      <c r="B52" s="7" t="inlineStr">
        <is>
          <t>Électrovanne 5/2 G1/4 24 V</t>
        </is>
      </c>
      <c r="C52" s="7" t="inlineStr">
        <is>
          <t>Pneumatique</t>
        </is>
      </c>
      <c r="D52" s="7" t="inlineStr">
        <is>
          <t>PneumaPlus</t>
        </is>
      </c>
      <c r="E52" s="7" t="inlineStr">
        <is>
          <t>F04-4386</t>
        </is>
      </c>
      <c r="F52" s="7" t="inlineStr">
        <is>
          <t>Mag. C-08-2</t>
        </is>
      </c>
      <c r="G52" s="7" t="inlineStr">
        <is>
          <t>CNC, Auto, Laser, Peinture, Robot, Mesure</t>
        </is>
      </c>
      <c r="H52" s="7" t="inlineStr">
        <is>
          <t>Courante</t>
        </is>
      </c>
      <c r="I52" s="80" t="n">
        <v>95</v>
      </c>
      <c r="J52" s="67" t="n">
        <v>5</v>
      </c>
      <c r="K52" s="68">
        <f>IF($A52="","",SUMIFS('Mouvements stock'!$F$5:$F$3004,'Mouvements stock'!$D$5:$D$3004,$A52,'Mouvements stock'!$C$5:$C$3004,"Entrée")+SUMIFS('Mouvements stock'!$F$5:$F$3004,'Mouvements stock'!$D$5:$D$3004,$A52,'Mouvements stock'!$C$5:$C$3004,"Retour"))</f>
        <v/>
      </c>
      <c r="L52" s="68">
        <f>IF($A52="","",SUMIFS('Mouvements stock'!$F$5:$F$3004,'Mouvements stock'!$D$5:$D$3004,$A52,'Mouvements stock'!$C$5:$C$3004,"Sortie"))</f>
        <v/>
      </c>
      <c r="M52" s="79">
        <f>IF($A52="","",N(J52)+N(K52)-N(L52))</f>
        <v/>
      </c>
      <c r="N52" s="67" t="n">
        <v>3</v>
      </c>
      <c r="O52" s="67" t="n">
        <v>6</v>
      </c>
      <c r="P52" s="67" t="n"/>
      <c r="Q52" s="67" t="n">
        <v>3</v>
      </c>
      <c r="R52" s="70">
        <f>IF($A52="","",MAX(0,M52)*N(I52))</f>
        <v/>
      </c>
      <c r="S52" s="9">
        <f>IF($A52="","",IF(M52&lt;=0,IF(N(P52)&gt;0,"Rupture - en cde","RUPTURE"),IF(M52+N(P52)&lt;=N52,"À COMMANDER",IF(M52&lt;=N52,"Commande en cours","OK"))))</f>
        <v/>
      </c>
      <c r="T52" s="68">
        <f>IF($A52="","",IF(OR(S52="À COMMANDER",S52="RUPTURE"),MAX(1,O52-M52-N(P52)),0))</f>
        <v/>
      </c>
      <c r="U52" s="68">
        <f>IF($A52="","",SUMIFS('Mouvements stock'!$F$5:$F$3004,'Mouvements stock'!$D$5:$D$3004,$A52,'Mouvements stock'!$C$5:$C$3004,"Sortie",'Mouvements stock'!$B$5:$B$3004,"&gt;="&amp;'Paramètres'!$AA$6,'Mouvements stock'!$B$5:$B$3004,"&lt;"&amp;('Paramètres'!$AA$7+1)))</f>
        <v/>
      </c>
      <c r="V52" s="78">
        <f>IF($A52="","",IF(COUNTIF('Mouvements stock'!$D$5:$D$3004,$A52)=0,"",_xlfn.MAXIFS('Mouvements stock'!$B$5:$B$3004,'Mouvements stock'!$D$5:$D$3004,$A52)))</f>
        <v/>
      </c>
    </row>
    <row r="53">
      <c r="A53" s="7" t="inlineStr">
        <is>
          <t>PD-0049</t>
        </is>
      </c>
      <c r="B53" s="7" t="inlineStr">
        <is>
          <t>Vérin pneumatique ISO Ø50 course 200</t>
        </is>
      </c>
      <c r="C53" s="7" t="inlineStr">
        <is>
          <t>Pneumatique</t>
        </is>
      </c>
      <c r="D53" s="7" t="inlineStr">
        <is>
          <t>PneumaPlus</t>
        </is>
      </c>
      <c r="E53" s="7" t="inlineStr">
        <is>
          <t>F04-7078</t>
        </is>
      </c>
      <c r="F53" s="7" t="inlineStr">
        <is>
          <t>Mag. D-01-1</t>
        </is>
      </c>
      <c r="G53" s="7" t="inlineStr">
        <is>
          <t>Auto, Convoyeur, Batiment</t>
        </is>
      </c>
      <c r="H53" s="7" t="inlineStr">
        <is>
          <t>Courante</t>
        </is>
      </c>
      <c r="I53" s="80" t="n">
        <v>145</v>
      </c>
      <c r="J53" s="67" t="n">
        <v>2</v>
      </c>
      <c r="K53" s="68">
        <f>IF($A53="","",SUMIFS('Mouvements stock'!$F$5:$F$3004,'Mouvements stock'!$D$5:$D$3004,$A53,'Mouvements stock'!$C$5:$C$3004,"Entrée")+SUMIFS('Mouvements stock'!$F$5:$F$3004,'Mouvements stock'!$D$5:$D$3004,$A53,'Mouvements stock'!$C$5:$C$3004,"Retour"))</f>
        <v/>
      </c>
      <c r="L53" s="68">
        <f>IF($A53="","",SUMIFS('Mouvements stock'!$F$5:$F$3004,'Mouvements stock'!$D$5:$D$3004,$A53,'Mouvements stock'!$C$5:$C$3004,"Sortie"))</f>
        <v/>
      </c>
      <c r="M53" s="79">
        <f>IF($A53="","",N(J53)+N(K53)-N(L53))</f>
        <v/>
      </c>
      <c r="N53" s="67" t="n">
        <v>1</v>
      </c>
      <c r="O53" s="67" t="n">
        <v>3</v>
      </c>
      <c r="P53" s="67" t="n"/>
      <c r="Q53" s="67" t="n">
        <v>5</v>
      </c>
      <c r="R53" s="70">
        <f>IF($A53="","",MAX(0,M53)*N(I53))</f>
        <v/>
      </c>
      <c r="S53" s="9">
        <f>IF($A53="","",IF(M53&lt;=0,IF(N(P53)&gt;0,"Rupture - en cde","RUPTURE"),IF(M53+N(P53)&lt;=N53,"À COMMANDER",IF(M53&lt;=N53,"Commande en cours","OK"))))</f>
        <v/>
      </c>
      <c r="T53" s="68">
        <f>IF($A53="","",IF(OR(S53="À COMMANDER",S53="RUPTURE"),MAX(1,O53-M53-N(P53)),0))</f>
        <v/>
      </c>
      <c r="U53" s="68">
        <f>IF($A53="","",SUMIFS('Mouvements stock'!$F$5:$F$3004,'Mouvements stock'!$D$5:$D$3004,$A53,'Mouvements stock'!$C$5:$C$3004,"Sortie",'Mouvements stock'!$B$5:$B$3004,"&gt;="&amp;'Paramètres'!$AA$6,'Mouvements stock'!$B$5:$B$3004,"&lt;"&amp;('Paramètres'!$AA$7+1)))</f>
        <v/>
      </c>
      <c r="V53" s="78">
        <f>IF($A53="","",IF(COUNTIF('Mouvements stock'!$D$5:$D$3004,$A53)=0,"",_xlfn.MAXIFS('Mouvements stock'!$B$5:$B$3004,'Mouvements stock'!$D$5:$D$3004,$A53)))</f>
        <v/>
      </c>
    </row>
    <row r="54">
      <c r="A54" s="7" t="inlineStr">
        <is>
          <t>PD-0050</t>
        </is>
      </c>
      <c r="B54" s="7" t="inlineStr">
        <is>
          <t>Raccords instantanés Ø8 (sachet de 10)</t>
        </is>
      </c>
      <c r="C54" s="7" t="inlineStr">
        <is>
          <t>Pneumatique</t>
        </is>
      </c>
      <c r="D54" s="7" t="inlineStr">
        <is>
          <t>PneumaPlus</t>
        </is>
      </c>
      <c r="E54" s="7" t="inlineStr">
        <is>
          <t>F04-1597</t>
        </is>
      </c>
      <c r="F54" s="7" t="inlineStr">
        <is>
          <t>Mag. D-01-2</t>
        </is>
      </c>
      <c r="G54" s="7" t="inlineStr">
        <is>
          <t>Compresseur, Auto, Mesure, Laser</t>
        </is>
      </c>
      <c r="H54" s="7" t="inlineStr">
        <is>
          <t>Courante</t>
        </is>
      </c>
      <c r="I54" s="80" t="n">
        <v>18</v>
      </c>
      <c r="J54" s="67" t="n">
        <v>6</v>
      </c>
      <c r="K54" s="68">
        <f>IF($A54="","",SUMIFS('Mouvements stock'!$F$5:$F$3004,'Mouvements stock'!$D$5:$D$3004,$A54,'Mouvements stock'!$C$5:$C$3004,"Entrée")+SUMIFS('Mouvements stock'!$F$5:$F$3004,'Mouvements stock'!$D$5:$D$3004,$A54,'Mouvements stock'!$C$5:$C$3004,"Retour"))</f>
        <v/>
      </c>
      <c r="L54" s="68">
        <f>IF($A54="","",SUMIFS('Mouvements stock'!$F$5:$F$3004,'Mouvements stock'!$D$5:$D$3004,$A54,'Mouvements stock'!$C$5:$C$3004,"Sortie"))</f>
        <v/>
      </c>
      <c r="M54" s="79">
        <f>IF($A54="","",N(J54)+N(K54)-N(L54))</f>
        <v/>
      </c>
      <c r="N54" s="67" t="n">
        <v>5</v>
      </c>
      <c r="O54" s="67" t="n">
        <v>15</v>
      </c>
      <c r="P54" s="67" t="n"/>
      <c r="Q54" s="67" t="n">
        <v>2</v>
      </c>
      <c r="R54" s="70">
        <f>IF($A54="","",MAX(0,M54)*N(I54))</f>
        <v/>
      </c>
      <c r="S54" s="9">
        <f>IF($A54="","",IF(M54&lt;=0,IF(N(P54)&gt;0,"Rupture - en cde","RUPTURE"),IF(M54+N(P54)&lt;=N54,"À COMMANDER",IF(M54&lt;=N54,"Commande en cours","OK"))))</f>
        <v/>
      </c>
      <c r="T54" s="68">
        <f>IF($A54="","",IF(OR(S54="À COMMANDER",S54="RUPTURE"),MAX(1,O54-M54-N(P54)),0))</f>
        <v/>
      </c>
      <c r="U54" s="68">
        <f>IF($A54="","",SUMIFS('Mouvements stock'!$F$5:$F$3004,'Mouvements stock'!$D$5:$D$3004,$A54,'Mouvements stock'!$C$5:$C$3004,"Sortie",'Mouvements stock'!$B$5:$B$3004,"&gt;="&amp;'Paramètres'!$AA$6,'Mouvements stock'!$B$5:$B$3004,"&lt;"&amp;('Paramètres'!$AA$7+1)))</f>
        <v/>
      </c>
      <c r="V54" s="78">
        <f>IF($A54="","",IF(COUNTIF('Mouvements stock'!$D$5:$D$3004,$A54)=0,"",_xlfn.MAXIFS('Mouvements stock'!$B$5:$B$3004,'Mouvements stock'!$D$5:$D$3004,$A54)))</f>
        <v/>
      </c>
    </row>
    <row r="55">
      <c r="A55" s="7" t="inlineStr">
        <is>
          <t>PD-0051</t>
        </is>
      </c>
      <c r="B55" s="7" t="inlineStr">
        <is>
          <t>Tube polyuréthane Ø8 (rouleau 25 m)</t>
        </is>
      </c>
      <c r="C55" s="7" t="inlineStr">
        <is>
          <t>Pneumatique</t>
        </is>
      </c>
      <c r="D55" s="7" t="inlineStr">
        <is>
          <t>PneumaPlus</t>
        </is>
      </c>
      <c r="E55" s="7" t="inlineStr">
        <is>
          <t>F04-9997</t>
        </is>
      </c>
      <c r="F55" s="7" t="inlineStr">
        <is>
          <t>Mag. D-02-1</t>
        </is>
      </c>
      <c r="G55" s="7" t="inlineStr">
        <is>
          <t>Compresseur, Auto, Mesure</t>
        </is>
      </c>
      <c r="H55" s="7" t="inlineStr">
        <is>
          <t>Courante</t>
        </is>
      </c>
      <c r="I55" s="80" t="n">
        <v>32</v>
      </c>
      <c r="J55" s="67" t="n">
        <v>4</v>
      </c>
      <c r="K55" s="68">
        <f>IF($A55="","",SUMIFS('Mouvements stock'!$F$5:$F$3004,'Mouvements stock'!$D$5:$D$3004,$A55,'Mouvements stock'!$C$5:$C$3004,"Entrée")+SUMIFS('Mouvements stock'!$F$5:$F$3004,'Mouvements stock'!$D$5:$D$3004,$A55,'Mouvements stock'!$C$5:$C$3004,"Retour"))</f>
        <v/>
      </c>
      <c r="L55" s="68">
        <f>IF($A55="","",SUMIFS('Mouvements stock'!$F$5:$F$3004,'Mouvements stock'!$D$5:$D$3004,$A55,'Mouvements stock'!$C$5:$C$3004,"Sortie"))</f>
        <v/>
      </c>
      <c r="M55" s="79">
        <f>IF($A55="","",N(J55)+N(K55)-N(L55))</f>
        <v/>
      </c>
      <c r="N55" s="67" t="n">
        <v>2</v>
      </c>
      <c r="O55" s="67" t="n">
        <v>6</v>
      </c>
      <c r="P55" s="67" t="n"/>
      <c r="Q55" s="67" t="n">
        <v>2</v>
      </c>
      <c r="R55" s="70">
        <f>IF($A55="","",MAX(0,M55)*N(I55))</f>
        <v/>
      </c>
      <c r="S55" s="9">
        <f>IF($A55="","",IF(M55&lt;=0,IF(N(P55)&gt;0,"Rupture - en cde","RUPTURE"),IF(M55+N(P55)&lt;=N55,"À COMMANDER",IF(M55&lt;=N55,"Commande en cours","OK"))))</f>
        <v/>
      </c>
      <c r="T55" s="68">
        <f>IF($A55="","",IF(OR(S55="À COMMANDER",S55="RUPTURE"),MAX(1,O55-M55-N(P55)),0))</f>
        <v/>
      </c>
      <c r="U55" s="68">
        <f>IF($A55="","",SUMIFS('Mouvements stock'!$F$5:$F$3004,'Mouvements stock'!$D$5:$D$3004,$A55,'Mouvements stock'!$C$5:$C$3004,"Sortie",'Mouvements stock'!$B$5:$B$3004,"&gt;="&amp;'Paramètres'!$AA$6,'Mouvements stock'!$B$5:$B$3004,"&lt;"&amp;('Paramètres'!$AA$7+1)))</f>
        <v/>
      </c>
      <c r="V55" s="78">
        <f>IF($A55="","",IF(COUNTIF('Mouvements stock'!$D$5:$D$3004,$A55)=0,"",_xlfn.MAXIFS('Mouvements stock'!$B$5:$B$3004,'Mouvements stock'!$D$5:$D$3004,$A55)))</f>
        <v/>
      </c>
    </row>
    <row r="56">
      <c r="A56" s="7" t="inlineStr">
        <is>
          <t>PD-0052</t>
        </is>
      </c>
      <c r="B56" s="7" t="inlineStr">
        <is>
          <t>Filtre-régulateur FRL 1/2"</t>
        </is>
      </c>
      <c r="C56" s="7" t="inlineStr">
        <is>
          <t>Pneumatique</t>
        </is>
      </c>
      <c r="D56" s="7" t="inlineStr">
        <is>
          <t>PneumaPlus</t>
        </is>
      </c>
      <c r="E56" s="7" t="inlineStr">
        <is>
          <t>F04-4191</t>
        </is>
      </c>
      <c r="F56" s="7" t="inlineStr">
        <is>
          <t>Mag. D-02-2</t>
        </is>
      </c>
      <c r="G56" s="7" t="inlineStr">
        <is>
          <t>Compresseur, Auto, Peinture</t>
        </is>
      </c>
      <c r="H56" s="7" t="inlineStr">
        <is>
          <t>Courante</t>
        </is>
      </c>
      <c r="I56" s="80" t="n">
        <v>120</v>
      </c>
      <c r="J56" s="67" t="n">
        <v>2</v>
      </c>
      <c r="K56" s="68">
        <f>IF($A56="","",SUMIFS('Mouvements stock'!$F$5:$F$3004,'Mouvements stock'!$D$5:$D$3004,$A56,'Mouvements stock'!$C$5:$C$3004,"Entrée")+SUMIFS('Mouvements stock'!$F$5:$F$3004,'Mouvements stock'!$D$5:$D$3004,$A56,'Mouvements stock'!$C$5:$C$3004,"Retour"))</f>
        <v/>
      </c>
      <c r="L56" s="68">
        <f>IF($A56="","",SUMIFS('Mouvements stock'!$F$5:$F$3004,'Mouvements stock'!$D$5:$D$3004,$A56,'Mouvements stock'!$C$5:$C$3004,"Sortie"))</f>
        <v/>
      </c>
      <c r="M56" s="79">
        <f>IF($A56="","",N(J56)+N(K56)-N(L56))</f>
        <v/>
      </c>
      <c r="N56" s="67" t="n">
        <v>1</v>
      </c>
      <c r="O56" s="67" t="n">
        <v>3</v>
      </c>
      <c r="P56" s="67" t="n"/>
      <c r="Q56" s="67" t="n">
        <v>5</v>
      </c>
      <c r="R56" s="70">
        <f>IF($A56="","",MAX(0,M56)*N(I56))</f>
        <v/>
      </c>
      <c r="S56" s="9">
        <f>IF($A56="","",IF(M56&lt;=0,IF(N(P56)&gt;0,"Rupture - en cde","RUPTURE"),IF(M56+N(P56)&lt;=N56,"À COMMANDER",IF(M56&lt;=N56,"Commande en cours","OK"))))</f>
        <v/>
      </c>
      <c r="T56" s="68">
        <f>IF($A56="","",IF(OR(S56="À COMMANDER",S56="RUPTURE"),MAX(1,O56-M56-N(P56)),0))</f>
        <v/>
      </c>
      <c r="U56" s="68">
        <f>IF($A56="","",SUMIFS('Mouvements stock'!$F$5:$F$3004,'Mouvements stock'!$D$5:$D$3004,$A56,'Mouvements stock'!$C$5:$C$3004,"Sortie",'Mouvements stock'!$B$5:$B$3004,"&gt;="&amp;'Paramètres'!$AA$6,'Mouvements stock'!$B$5:$B$3004,"&lt;"&amp;('Paramètres'!$AA$7+1)))</f>
        <v/>
      </c>
      <c r="V56" s="78">
        <f>IF($A56="","",IF(COUNTIF('Mouvements stock'!$D$5:$D$3004,$A56)=0,"",_xlfn.MAXIFS('Mouvements stock'!$B$5:$B$3004,'Mouvements stock'!$D$5:$D$3004,$A56)))</f>
        <v/>
      </c>
    </row>
    <row r="57">
      <c r="A57" s="7" t="inlineStr">
        <is>
          <t>PD-0053</t>
        </is>
      </c>
      <c r="B57" s="7" t="inlineStr">
        <is>
          <t>Purgeur électronique de condensats</t>
        </is>
      </c>
      <c r="C57" s="7" t="inlineStr">
        <is>
          <t>Pneumatique</t>
        </is>
      </c>
      <c r="D57" s="7" t="inlineStr">
        <is>
          <t>AirComp Maintenance</t>
        </is>
      </c>
      <c r="E57" s="7" t="inlineStr">
        <is>
          <t>F09-8368</t>
        </is>
      </c>
      <c r="F57" s="7" t="inlineStr">
        <is>
          <t>Mag. D-03-1</t>
        </is>
      </c>
      <c r="G57" s="7" t="inlineStr">
        <is>
          <t>Compresseur</t>
        </is>
      </c>
      <c r="H57" s="7" t="inlineStr">
        <is>
          <t>Courante</t>
        </is>
      </c>
      <c r="I57" s="80" t="n">
        <v>230</v>
      </c>
      <c r="J57" s="67" t="n">
        <v>2</v>
      </c>
      <c r="K57" s="68">
        <f>IF($A57="","",SUMIFS('Mouvements stock'!$F$5:$F$3004,'Mouvements stock'!$D$5:$D$3004,$A57,'Mouvements stock'!$C$5:$C$3004,"Entrée")+SUMIFS('Mouvements stock'!$F$5:$F$3004,'Mouvements stock'!$D$5:$D$3004,$A57,'Mouvements stock'!$C$5:$C$3004,"Retour"))</f>
        <v/>
      </c>
      <c r="L57" s="68">
        <f>IF($A57="","",SUMIFS('Mouvements stock'!$F$5:$F$3004,'Mouvements stock'!$D$5:$D$3004,$A57,'Mouvements stock'!$C$5:$C$3004,"Sortie"))</f>
        <v/>
      </c>
      <c r="M57" s="79">
        <f>IF($A57="","",N(J57)+N(K57)-N(L57))</f>
        <v/>
      </c>
      <c r="N57" s="67" t="n">
        <v>1</v>
      </c>
      <c r="O57" s="67" t="n">
        <v>2</v>
      </c>
      <c r="P57" s="67" t="n"/>
      <c r="Q57" s="67" t="n">
        <v>7</v>
      </c>
      <c r="R57" s="70">
        <f>IF($A57="","",MAX(0,M57)*N(I57))</f>
        <v/>
      </c>
      <c r="S57" s="9">
        <f>IF($A57="","",IF(M57&lt;=0,IF(N(P57)&gt;0,"Rupture - en cde","RUPTURE"),IF(M57+N(P57)&lt;=N57,"À COMMANDER",IF(M57&lt;=N57,"Commande en cours","OK"))))</f>
        <v/>
      </c>
      <c r="T57" s="68">
        <f>IF($A57="","",IF(OR(S57="À COMMANDER",S57="RUPTURE"),MAX(1,O57-M57-N(P57)),0))</f>
        <v/>
      </c>
      <c r="U57" s="68">
        <f>IF($A57="","",SUMIFS('Mouvements stock'!$F$5:$F$3004,'Mouvements stock'!$D$5:$D$3004,$A57,'Mouvements stock'!$C$5:$C$3004,"Sortie",'Mouvements stock'!$B$5:$B$3004,"&gt;="&amp;'Paramètres'!$AA$6,'Mouvements stock'!$B$5:$B$3004,"&lt;"&amp;('Paramètres'!$AA$7+1)))</f>
        <v/>
      </c>
      <c r="V57" s="78">
        <f>IF($A57="","",IF(COUNTIF('Mouvements stock'!$D$5:$D$3004,$A57)=0,"",_xlfn.MAXIFS('Mouvements stock'!$B$5:$B$3004,'Mouvements stock'!$D$5:$D$3004,$A57)))</f>
        <v/>
      </c>
    </row>
    <row r="58">
      <c r="A58" s="7" t="inlineStr">
        <is>
          <t>PD-0054</t>
        </is>
      </c>
      <c r="B58" s="7" t="inlineStr">
        <is>
          <t>Kit joints de vérin hydraulique</t>
        </is>
      </c>
      <c r="C58" s="7" t="inlineStr">
        <is>
          <t>Hydraulique</t>
        </is>
      </c>
      <c r="D58" s="7" t="inlineStr">
        <is>
          <t>HydroFluid Services</t>
        </is>
      </c>
      <c r="E58" s="7" t="inlineStr">
        <is>
          <t>F02-8053</t>
        </is>
      </c>
      <c r="F58" s="7" t="inlineStr">
        <is>
          <t>Mag. D-03-2</t>
        </is>
      </c>
      <c r="G58" s="7" t="inlineStr">
        <is>
          <t>Presse, Chariot, Levage, Scie</t>
        </is>
      </c>
      <c r="H58" s="7" t="inlineStr">
        <is>
          <t>Courante</t>
        </is>
      </c>
      <c r="I58" s="80" t="n">
        <v>125</v>
      </c>
      <c r="J58" s="67" t="n">
        <v>3</v>
      </c>
      <c r="K58" s="68">
        <f>IF($A58="","",SUMIFS('Mouvements stock'!$F$5:$F$3004,'Mouvements stock'!$D$5:$D$3004,$A58,'Mouvements stock'!$C$5:$C$3004,"Entrée")+SUMIFS('Mouvements stock'!$F$5:$F$3004,'Mouvements stock'!$D$5:$D$3004,$A58,'Mouvements stock'!$C$5:$C$3004,"Retour"))</f>
        <v/>
      </c>
      <c r="L58" s="68">
        <f>IF($A58="","",SUMIFS('Mouvements stock'!$F$5:$F$3004,'Mouvements stock'!$D$5:$D$3004,$A58,'Mouvements stock'!$C$5:$C$3004,"Sortie"))</f>
        <v/>
      </c>
      <c r="M58" s="79">
        <f>IF($A58="","",N(J58)+N(K58)-N(L58))</f>
        <v/>
      </c>
      <c r="N58" s="67" t="n">
        <v>2</v>
      </c>
      <c r="O58" s="67" t="n">
        <v>4</v>
      </c>
      <c r="P58" s="67" t="n"/>
      <c r="Q58" s="67" t="n">
        <v>7</v>
      </c>
      <c r="R58" s="70">
        <f>IF($A58="","",MAX(0,M58)*N(I58))</f>
        <v/>
      </c>
      <c r="S58" s="9">
        <f>IF($A58="","",IF(M58&lt;=0,IF(N(P58)&gt;0,"Rupture - en cde","RUPTURE"),IF(M58+N(P58)&lt;=N58,"À COMMANDER",IF(M58&lt;=N58,"Commande en cours","OK"))))</f>
        <v/>
      </c>
      <c r="T58" s="68">
        <f>IF($A58="","",IF(OR(S58="À COMMANDER",S58="RUPTURE"),MAX(1,O58-M58-N(P58)),0))</f>
        <v/>
      </c>
      <c r="U58" s="68">
        <f>IF($A58="","",SUMIFS('Mouvements stock'!$F$5:$F$3004,'Mouvements stock'!$D$5:$D$3004,$A58,'Mouvements stock'!$C$5:$C$3004,"Sortie",'Mouvements stock'!$B$5:$B$3004,"&gt;="&amp;'Paramètres'!$AA$6,'Mouvements stock'!$B$5:$B$3004,"&lt;"&amp;('Paramètres'!$AA$7+1)))</f>
        <v/>
      </c>
      <c r="V58" s="78">
        <f>IF($A58="","",IF(COUNTIF('Mouvements stock'!$D$5:$D$3004,$A58)=0,"",_xlfn.MAXIFS('Mouvements stock'!$B$5:$B$3004,'Mouvements stock'!$D$5:$D$3004,$A58)))</f>
        <v/>
      </c>
    </row>
    <row r="59">
      <c r="A59" s="7" t="inlineStr">
        <is>
          <t>PD-0055</t>
        </is>
      </c>
      <c r="B59" s="7" t="inlineStr">
        <is>
          <t>Flexible hydraulique 1/2" 1 m serti</t>
        </is>
      </c>
      <c r="C59" s="7" t="inlineStr">
        <is>
          <t>Hydraulique</t>
        </is>
      </c>
      <c r="D59" s="7" t="inlineStr">
        <is>
          <t>HydroFluid Services</t>
        </is>
      </c>
      <c r="E59" s="7" t="inlineStr">
        <is>
          <t>F02-1747</t>
        </is>
      </c>
      <c r="F59" s="7" t="inlineStr">
        <is>
          <t>Mag. D-04-1</t>
        </is>
      </c>
      <c r="G59" s="7" t="inlineStr">
        <is>
          <t>CNC, Presse, Chariot, Batiment, Scie</t>
        </is>
      </c>
      <c r="H59" s="7" t="inlineStr">
        <is>
          <t>Courante</t>
        </is>
      </c>
      <c r="I59" s="80" t="n">
        <v>48</v>
      </c>
      <c r="J59" s="67" t="n">
        <v>5</v>
      </c>
      <c r="K59" s="68">
        <f>IF($A59="","",SUMIFS('Mouvements stock'!$F$5:$F$3004,'Mouvements stock'!$D$5:$D$3004,$A59,'Mouvements stock'!$C$5:$C$3004,"Entrée")+SUMIFS('Mouvements stock'!$F$5:$F$3004,'Mouvements stock'!$D$5:$D$3004,$A59,'Mouvements stock'!$C$5:$C$3004,"Retour"))</f>
        <v/>
      </c>
      <c r="L59" s="68">
        <f>IF($A59="","",SUMIFS('Mouvements stock'!$F$5:$F$3004,'Mouvements stock'!$D$5:$D$3004,$A59,'Mouvements stock'!$C$5:$C$3004,"Sortie"))</f>
        <v/>
      </c>
      <c r="M59" s="79">
        <f>IF($A59="","",N(J59)+N(K59)-N(L59))</f>
        <v/>
      </c>
      <c r="N59" s="67" t="n">
        <v>4</v>
      </c>
      <c r="O59" s="67" t="n">
        <v>10</v>
      </c>
      <c r="P59" s="67" t="n"/>
      <c r="Q59" s="67" t="n">
        <v>2</v>
      </c>
      <c r="R59" s="70">
        <f>IF($A59="","",MAX(0,M59)*N(I59))</f>
        <v/>
      </c>
      <c r="S59" s="9">
        <f>IF($A59="","",IF(M59&lt;=0,IF(N(P59)&gt;0,"Rupture - en cde","RUPTURE"),IF(M59+N(P59)&lt;=N59,"À COMMANDER",IF(M59&lt;=N59,"Commande en cours","OK"))))</f>
        <v/>
      </c>
      <c r="T59" s="68">
        <f>IF($A59="","",IF(OR(S59="À COMMANDER",S59="RUPTURE"),MAX(1,O59-M59-N(P59)),0))</f>
        <v/>
      </c>
      <c r="U59" s="68">
        <f>IF($A59="","",SUMIFS('Mouvements stock'!$F$5:$F$3004,'Mouvements stock'!$D$5:$D$3004,$A59,'Mouvements stock'!$C$5:$C$3004,"Sortie",'Mouvements stock'!$B$5:$B$3004,"&gt;="&amp;'Paramètres'!$AA$6,'Mouvements stock'!$B$5:$B$3004,"&lt;"&amp;('Paramètres'!$AA$7+1)))</f>
        <v/>
      </c>
      <c r="V59" s="78">
        <f>IF($A59="","",IF(COUNTIF('Mouvements stock'!$D$5:$D$3004,$A59)=0,"",_xlfn.MAXIFS('Mouvements stock'!$B$5:$B$3004,'Mouvements stock'!$D$5:$D$3004,$A59)))</f>
        <v/>
      </c>
    </row>
    <row r="60">
      <c r="A60" s="7" t="inlineStr">
        <is>
          <t>PD-0056</t>
        </is>
      </c>
      <c r="B60" s="7" t="inlineStr">
        <is>
          <t>Distributeur hydraulique NG6 24 V</t>
        </is>
      </c>
      <c r="C60" s="7" t="inlineStr">
        <is>
          <t>Hydraulique</t>
        </is>
      </c>
      <c r="D60" s="7" t="inlineStr">
        <is>
          <t>HydroFluid Services</t>
        </is>
      </c>
      <c r="E60" s="7" t="inlineStr">
        <is>
          <t>F02-3860</t>
        </is>
      </c>
      <c r="F60" s="7" t="inlineStr">
        <is>
          <t>Mag. D-04-2</t>
        </is>
      </c>
      <c r="G60" s="7" t="inlineStr">
        <is>
          <t>Presse, CNC</t>
        </is>
      </c>
      <c r="H60" s="7" t="inlineStr">
        <is>
          <t>Courante</t>
        </is>
      </c>
      <c r="I60" s="80" t="n">
        <v>390</v>
      </c>
      <c r="J60" s="67" t="n">
        <v>2</v>
      </c>
      <c r="K60" s="68">
        <f>IF($A60="","",SUMIFS('Mouvements stock'!$F$5:$F$3004,'Mouvements stock'!$D$5:$D$3004,$A60,'Mouvements stock'!$C$5:$C$3004,"Entrée")+SUMIFS('Mouvements stock'!$F$5:$F$3004,'Mouvements stock'!$D$5:$D$3004,$A60,'Mouvements stock'!$C$5:$C$3004,"Retour"))</f>
        <v/>
      </c>
      <c r="L60" s="68">
        <f>IF($A60="","",SUMIFS('Mouvements stock'!$F$5:$F$3004,'Mouvements stock'!$D$5:$D$3004,$A60,'Mouvements stock'!$C$5:$C$3004,"Sortie"))</f>
        <v/>
      </c>
      <c r="M60" s="79">
        <f>IF($A60="","",N(J60)+N(K60)-N(L60))</f>
        <v/>
      </c>
      <c r="N60" s="67" t="n">
        <v>1</v>
      </c>
      <c r="O60" s="67" t="n">
        <v>2</v>
      </c>
      <c r="P60" s="67" t="n"/>
      <c r="Q60" s="67" t="n">
        <v>10</v>
      </c>
      <c r="R60" s="70">
        <f>IF($A60="","",MAX(0,M60)*N(I60))</f>
        <v/>
      </c>
      <c r="S60" s="9">
        <f>IF($A60="","",IF(M60&lt;=0,IF(N(P60)&gt;0,"Rupture - en cde","RUPTURE"),IF(M60+N(P60)&lt;=N60,"À COMMANDER",IF(M60&lt;=N60,"Commande en cours","OK"))))</f>
        <v/>
      </c>
      <c r="T60" s="68">
        <f>IF($A60="","",IF(OR(S60="À COMMANDER",S60="RUPTURE"),MAX(1,O60-M60-N(P60)),0))</f>
        <v/>
      </c>
      <c r="U60" s="68">
        <f>IF($A60="","",SUMIFS('Mouvements stock'!$F$5:$F$3004,'Mouvements stock'!$D$5:$D$3004,$A60,'Mouvements stock'!$C$5:$C$3004,"Sortie",'Mouvements stock'!$B$5:$B$3004,"&gt;="&amp;'Paramètres'!$AA$6,'Mouvements stock'!$B$5:$B$3004,"&lt;"&amp;('Paramètres'!$AA$7+1)))</f>
        <v/>
      </c>
      <c r="V60" s="78">
        <f>IF($A60="","",IF(COUNTIF('Mouvements stock'!$D$5:$D$3004,$A60)=0,"",_xlfn.MAXIFS('Mouvements stock'!$B$5:$B$3004,'Mouvements stock'!$D$5:$D$3004,$A60)))</f>
        <v/>
      </c>
    </row>
    <row r="61">
      <c r="A61" s="7" t="inlineStr">
        <is>
          <t>PD-0057</t>
        </is>
      </c>
      <c r="B61" s="7" t="inlineStr">
        <is>
          <t>Pompe hydraulique à palettes</t>
        </is>
      </c>
      <c r="C61" s="7" t="inlineStr">
        <is>
          <t>Hydraulique</t>
        </is>
      </c>
      <c r="D61" s="7" t="inlineStr">
        <is>
          <t>HydroFluid Services</t>
        </is>
      </c>
      <c r="E61" s="7" t="inlineStr">
        <is>
          <t>F02-5635</t>
        </is>
      </c>
      <c r="F61" s="7" t="inlineStr">
        <is>
          <t>Mag. D-05-1</t>
        </is>
      </c>
      <c r="G61" s="7" t="inlineStr">
        <is>
          <t>Presse, CNC</t>
        </is>
      </c>
      <c r="H61" s="7" t="inlineStr">
        <is>
          <t>Stratégique</t>
        </is>
      </c>
      <c r="I61" s="80" t="n">
        <v>1450</v>
      </c>
      <c r="J61" s="67" t="n">
        <v>1</v>
      </c>
      <c r="K61" s="68">
        <f>IF($A61="","",SUMIFS('Mouvements stock'!$F$5:$F$3004,'Mouvements stock'!$D$5:$D$3004,$A61,'Mouvements stock'!$C$5:$C$3004,"Entrée")+SUMIFS('Mouvements stock'!$F$5:$F$3004,'Mouvements stock'!$D$5:$D$3004,$A61,'Mouvements stock'!$C$5:$C$3004,"Retour"))</f>
        <v/>
      </c>
      <c r="L61" s="68">
        <f>IF($A61="","",SUMIFS('Mouvements stock'!$F$5:$F$3004,'Mouvements stock'!$D$5:$D$3004,$A61,'Mouvements stock'!$C$5:$C$3004,"Sortie"))</f>
        <v/>
      </c>
      <c r="M61" s="79">
        <f>IF($A61="","",N(J61)+N(K61)-N(L61))</f>
        <v/>
      </c>
      <c r="N61" s="67" t="n">
        <v>1</v>
      </c>
      <c r="O61" s="67" t="n">
        <v>1</v>
      </c>
      <c r="P61" s="67" t="n"/>
      <c r="Q61" s="67" t="n">
        <v>20</v>
      </c>
      <c r="R61" s="70">
        <f>IF($A61="","",MAX(0,M61)*N(I61))</f>
        <v/>
      </c>
      <c r="S61" s="9">
        <f>IF($A61="","",IF(M61&lt;=0,IF(N(P61)&gt;0,"Rupture - en cde","RUPTURE"),IF(M61+N(P61)&lt;=N61,"À COMMANDER",IF(M61&lt;=N61,"Commande en cours","OK"))))</f>
        <v/>
      </c>
      <c r="T61" s="68">
        <f>IF($A61="","",IF(OR(S61="À COMMANDER",S61="RUPTURE"),MAX(1,O61-M61-N(P61)),0))</f>
        <v/>
      </c>
      <c r="U61" s="68">
        <f>IF($A61="","",SUMIFS('Mouvements stock'!$F$5:$F$3004,'Mouvements stock'!$D$5:$D$3004,$A61,'Mouvements stock'!$C$5:$C$3004,"Sortie",'Mouvements stock'!$B$5:$B$3004,"&gt;="&amp;'Paramètres'!$AA$6,'Mouvements stock'!$B$5:$B$3004,"&lt;"&amp;('Paramètres'!$AA$7+1)))</f>
        <v/>
      </c>
      <c r="V61" s="78">
        <f>IF($A61="","",IF(COUNTIF('Mouvements stock'!$D$5:$D$3004,$A61)=0,"",_xlfn.MAXIFS('Mouvements stock'!$B$5:$B$3004,'Mouvements stock'!$D$5:$D$3004,$A61)))</f>
        <v/>
      </c>
    </row>
    <row r="62">
      <c r="A62" s="7" t="inlineStr">
        <is>
          <t>PD-0058</t>
        </is>
      </c>
      <c r="B62" s="7" t="inlineStr">
        <is>
          <t>Buses de coupe laser Ø1,5 (lot de 10)</t>
        </is>
      </c>
      <c r="C62" s="7" t="inlineStr">
        <is>
          <t>Consommables laser</t>
        </is>
      </c>
      <c r="D62" s="7" t="inlineStr">
        <is>
          <t>LaserCare Services</t>
        </is>
      </c>
      <c r="E62" s="7" t="inlineStr">
        <is>
          <t>F08-7917</t>
        </is>
      </c>
      <c r="F62" s="7" t="inlineStr">
        <is>
          <t>Mag. D-05-2</t>
        </is>
      </c>
      <c r="G62" s="7" t="inlineStr">
        <is>
          <t>Laser</t>
        </is>
      </c>
      <c r="H62" s="7" t="inlineStr">
        <is>
          <t>Courante</t>
        </is>
      </c>
      <c r="I62" s="80" t="n">
        <v>85</v>
      </c>
      <c r="J62" s="67" t="n">
        <v>5</v>
      </c>
      <c r="K62" s="68">
        <f>IF($A62="","",SUMIFS('Mouvements stock'!$F$5:$F$3004,'Mouvements stock'!$D$5:$D$3004,$A62,'Mouvements stock'!$C$5:$C$3004,"Entrée")+SUMIFS('Mouvements stock'!$F$5:$F$3004,'Mouvements stock'!$D$5:$D$3004,$A62,'Mouvements stock'!$C$5:$C$3004,"Retour"))</f>
        <v/>
      </c>
      <c r="L62" s="68">
        <f>IF($A62="","",SUMIFS('Mouvements stock'!$F$5:$F$3004,'Mouvements stock'!$D$5:$D$3004,$A62,'Mouvements stock'!$C$5:$C$3004,"Sortie"))</f>
        <v/>
      </c>
      <c r="M62" s="79">
        <f>IF($A62="","",N(J62)+N(K62)-N(L62))</f>
        <v/>
      </c>
      <c r="N62" s="67" t="n">
        <v>3</v>
      </c>
      <c r="O62" s="67" t="n">
        <v>10</v>
      </c>
      <c r="P62" s="67" t="n"/>
      <c r="Q62" s="67" t="n">
        <v>7</v>
      </c>
      <c r="R62" s="70">
        <f>IF($A62="","",MAX(0,M62)*N(I62))</f>
        <v/>
      </c>
      <c r="S62" s="9">
        <f>IF($A62="","",IF(M62&lt;=0,IF(N(P62)&gt;0,"Rupture - en cde","RUPTURE"),IF(M62+N(P62)&lt;=N62,"À COMMANDER",IF(M62&lt;=N62,"Commande en cours","OK"))))</f>
        <v/>
      </c>
      <c r="T62" s="68">
        <f>IF($A62="","",IF(OR(S62="À COMMANDER",S62="RUPTURE"),MAX(1,O62-M62-N(P62)),0))</f>
        <v/>
      </c>
      <c r="U62" s="68">
        <f>IF($A62="","",SUMIFS('Mouvements stock'!$F$5:$F$3004,'Mouvements stock'!$D$5:$D$3004,$A62,'Mouvements stock'!$C$5:$C$3004,"Sortie",'Mouvements stock'!$B$5:$B$3004,"&gt;="&amp;'Paramètres'!$AA$6,'Mouvements stock'!$B$5:$B$3004,"&lt;"&amp;('Paramètres'!$AA$7+1)))</f>
        <v/>
      </c>
      <c r="V62" s="78">
        <f>IF($A62="","",IF(COUNTIF('Mouvements stock'!$D$5:$D$3004,$A62)=0,"",_xlfn.MAXIFS('Mouvements stock'!$B$5:$B$3004,'Mouvements stock'!$D$5:$D$3004,$A62)))</f>
        <v/>
      </c>
    </row>
    <row r="63">
      <c r="A63" s="7" t="inlineStr">
        <is>
          <t>PD-0059</t>
        </is>
      </c>
      <c r="B63" s="7" t="inlineStr">
        <is>
          <t>Verres de protection (lot de 10)</t>
        </is>
      </c>
      <c r="C63" s="7" t="inlineStr">
        <is>
          <t>Consommables laser</t>
        </is>
      </c>
      <c r="D63" s="7" t="inlineStr">
        <is>
          <t>LaserCare Services</t>
        </is>
      </c>
      <c r="E63" s="7" t="inlineStr">
        <is>
          <t>F08-2259</t>
        </is>
      </c>
      <c r="F63" s="7" t="inlineStr">
        <is>
          <t>Mag. D-06-1</t>
        </is>
      </c>
      <c r="G63" s="7" t="inlineStr">
        <is>
          <t>Laser</t>
        </is>
      </c>
      <c r="H63" s="7" t="inlineStr">
        <is>
          <t>Courante</t>
        </is>
      </c>
      <c r="I63" s="80" t="n">
        <v>160</v>
      </c>
      <c r="J63" s="67" t="n">
        <v>3</v>
      </c>
      <c r="K63" s="68">
        <f>IF($A63="","",SUMIFS('Mouvements stock'!$F$5:$F$3004,'Mouvements stock'!$D$5:$D$3004,$A63,'Mouvements stock'!$C$5:$C$3004,"Entrée")+SUMIFS('Mouvements stock'!$F$5:$F$3004,'Mouvements stock'!$D$5:$D$3004,$A63,'Mouvements stock'!$C$5:$C$3004,"Retour"))</f>
        <v/>
      </c>
      <c r="L63" s="68">
        <f>IF($A63="","",SUMIFS('Mouvements stock'!$F$5:$F$3004,'Mouvements stock'!$D$5:$D$3004,$A63,'Mouvements stock'!$C$5:$C$3004,"Sortie"))</f>
        <v/>
      </c>
      <c r="M63" s="79">
        <f>IF($A63="","",N(J63)+N(K63)-N(L63))</f>
        <v/>
      </c>
      <c r="N63" s="67" t="n">
        <v>2</v>
      </c>
      <c r="O63" s="67" t="n">
        <v>6</v>
      </c>
      <c r="P63" s="67" t="n"/>
      <c r="Q63" s="67" t="n">
        <v>7</v>
      </c>
      <c r="R63" s="70">
        <f>IF($A63="","",MAX(0,M63)*N(I63))</f>
        <v/>
      </c>
      <c r="S63" s="9">
        <f>IF($A63="","",IF(M63&lt;=0,IF(N(P63)&gt;0,"Rupture - en cde","RUPTURE"),IF(M63+N(P63)&lt;=N63,"À COMMANDER",IF(M63&lt;=N63,"Commande en cours","OK"))))</f>
        <v/>
      </c>
      <c r="T63" s="68">
        <f>IF($A63="","",IF(OR(S63="À COMMANDER",S63="RUPTURE"),MAX(1,O63-M63-N(P63)),0))</f>
        <v/>
      </c>
      <c r="U63" s="68">
        <f>IF($A63="","",SUMIFS('Mouvements stock'!$F$5:$F$3004,'Mouvements stock'!$D$5:$D$3004,$A63,'Mouvements stock'!$C$5:$C$3004,"Sortie",'Mouvements stock'!$B$5:$B$3004,"&gt;="&amp;'Paramètres'!$AA$6,'Mouvements stock'!$B$5:$B$3004,"&lt;"&amp;('Paramètres'!$AA$7+1)))</f>
        <v/>
      </c>
      <c r="V63" s="78">
        <f>IF($A63="","",IF(COUNTIF('Mouvements stock'!$D$5:$D$3004,$A63)=0,"",_xlfn.MAXIFS('Mouvements stock'!$B$5:$B$3004,'Mouvements stock'!$D$5:$D$3004,$A63)))</f>
        <v/>
      </c>
    </row>
    <row r="64">
      <c r="A64" s="7" t="inlineStr">
        <is>
          <t>PD-0060</t>
        </is>
      </c>
      <c r="B64" s="7" t="inlineStr">
        <is>
          <t>Lentille de focalisation</t>
        </is>
      </c>
      <c r="C64" s="7" t="inlineStr">
        <is>
          <t>Consommables laser</t>
        </is>
      </c>
      <c r="D64" s="7" t="inlineStr">
        <is>
          <t>LaserCare Services</t>
        </is>
      </c>
      <c r="E64" s="7" t="inlineStr">
        <is>
          <t>F08-7588</t>
        </is>
      </c>
      <c r="F64" s="7" t="inlineStr">
        <is>
          <t>Mag. D-06-2</t>
        </is>
      </c>
      <c r="G64" s="7" t="inlineStr">
        <is>
          <t>Laser</t>
        </is>
      </c>
      <c r="H64" s="7" t="inlineStr">
        <is>
          <t>Stratégique</t>
        </is>
      </c>
      <c r="I64" s="80" t="n">
        <v>690</v>
      </c>
      <c r="J64" s="67" t="n">
        <v>2</v>
      </c>
      <c r="K64" s="68">
        <f>IF($A64="","",SUMIFS('Mouvements stock'!$F$5:$F$3004,'Mouvements stock'!$D$5:$D$3004,$A64,'Mouvements stock'!$C$5:$C$3004,"Entrée")+SUMIFS('Mouvements stock'!$F$5:$F$3004,'Mouvements stock'!$D$5:$D$3004,$A64,'Mouvements stock'!$C$5:$C$3004,"Retour"))</f>
        <v/>
      </c>
      <c r="L64" s="68">
        <f>IF($A64="","",SUMIFS('Mouvements stock'!$F$5:$F$3004,'Mouvements stock'!$D$5:$D$3004,$A64,'Mouvements stock'!$C$5:$C$3004,"Sortie"))</f>
        <v/>
      </c>
      <c r="M64" s="79">
        <f>IF($A64="","",N(J64)+N(K64)-N(L64))</f>
        <v/>
      </c>
      <c r="N64" s="67" t="n">
        <v>1</v>
      </c>
      <c r="O64" s="67" t="n">
        <v>2</v>
      </c>
      <c r="P64" s="67" t="n"/>
      <c r="Q64" s="67" t="n">
        <v>15</v>
      </c>
      <c r="R64" s="70">
        <f>IF($A64="","",MAX(0,M64)*N(I64))</f>
        <v/>
      </c>
      <c r="S64" s="9">
        <f>IF($A64="","",IF(M64&lt;=0,IF(N(P64)&gt;0,"Rupture - en cde","RUPTURE"),IF(M64+N(P64)&lt;=N64,"À COMMANDER",IF(M64&lt;=N64,"Commande en cours","OK"))))</f>
        <v/>
      </c>
      <c r="T64" s="68">
        <f>IF($A64="","",IF(OR(S64="À COMMANDER",S64="RUPTURE"),MAX(1,O64-M64-N(P64)),0))</f>
        <v/>
      </c>
      <c r="U64" s="68">
        <f>IF($A64="","",SUMIFS('Mouvements stock'!$F$5:$F$3004,'Mouvements stock'!$D$5:$D$3004,$A64,'Mouvements stock'!$C$5:$C$3004,"Sortie",'Mouvements stock'!$B$5:$B$3004,"&gt;="&amp;'Paramètres'!$AA$6,'Mouvements stock'!$B$5:$B$3004,"&lt;"&amp;('Paramètres'!$AA$7+1)))</f>
        <v/>
      </c>
      <c r="V64" s="78">
        <f>IF($A64="","",IF(COUNTIF('Mouvements stock'!$D$5:$D$3004,$A64)=0,"",_xlfn.MAXIFS('Mouvements stock'!$B$5:$B$3004,'Mouvements stock'!$D$5:$D$3004,$A64)))</f>
        <v/>
      </c>
    </row>
    <row r="65">
      <c r="A65" s="7" t="inlineStr">
        <is>
          <t>PD-0061</t>
        </is>
      </c>
      <c r="B65" s="7" t="inlineStr">
        <is>
          <t>Céramique de tête de coupe</t>
        </is>
      </c>
      <c r="C65" s="7" t="inlineStr">
        <is>
          <t>Consommables laser</t>
        </is>
      </c>
      <c r="D65" s="7" t="inlineStr">
        <is>
          <t>LaserCare Services</t>
        </is>
      </c>
      <c r="E65" s="7" t="inlineStr">
        <is>
          <t>F08-8972</t>
        </is>
      </c>
      <c r="F65" s="7" t="inlineStr">
        <is>
          <t>Mag. D-07-1</t>
        </is>
      </c>
      <c r="G65" s="7" t="inlineStr">
        <is>
          <t>Laser</t>
        </is>
      </c>
      <c r="H65" s="7" t="inlineStr">
        <is>
          <t>Courante</t>
        </is>
      </c>
      <c r="I65" s="80" t="n">
        <v>120</v>
      </c>
      <c r="J65" s="67" t="n">
        <v>4</v>
      </c>
      <c r="K65" s="68">
        <f>IF($A65="","",SUMIFS('Mouvements stock'!$F$5:$F$3004,'Mouvements stock'!$D$5:$D$3004,$A65,'Mouvements stock'!$C$5:$C$3004,"Entrée")+SUMIFS('Mouvements stock'!$F$5:$F$3004,'Mouvements stock'!$D$5:$D$3004,$A65,'Mouvements stock'!$C$5:$C$3004,"Retour"))</f>
        <v/>
      </c>
      <c r="L65" s="68">
        <f>IF($A65="","",SUMIFS('Mouvements stock'!$F$5:$F$3004,'Mouvements stock'!$D$5:$D$3004,$A65,'Mouvements stock'!$C$5:$C$3004,"Sortie"))</f>
        <v/>
      </c>
      <c r="M65" s="79">
        <f>IF($A65="","",N(J65)+N(K65)-N(L65))</f>
        <v/>
      </c>
      <c r="N65" s="67" t="n">
        <v>2</v>
      </c>
      <c r="O65" s="67" t="n">
        <v>4</v>
      </c>
      <c r="P65" s="67" t="n"/>
      <c r="Q65" s="67" t="n">
        <v>7</v>
      </c>
      <c r="R65" s="70">
        <f>IF($A65="","",MAX(0,M65)*N(I65))</f>
        <v/>
      </c>
      <c r="S65" s="9">
        <f>IF($A65="","",IF(M65&lt;=0,IF(N(P65)&gt;0,"Rupture - en cde","RUPTURE"),IF(M65+N(P65)&lt;=N65,"À COMMANDER",IF(M65&lt;=N65,"Commande en cours","OK"))))</f>
        <v/>
      </c>
      <c r="T65" s="68">
        <f>IF($A65="","",IF(OR(S65="À COMMANDER",S65="RUPTURE"),MAX(1,O65-M65-N(P65)),0))</f>
        <v/>
      </c>
      <c r="U65" s="68">
        <f>IF($A65="","",SUMIFS('Mouvements stock'!$F$5:$F$3004,'Mouvements stock'!$D$5:$D$3004,$A65,'Mouvements stock'!$C$5:$C$3004,"Sortie",'Mouvements stock'!$B$5:$B$3004,"&gt;="&amp;'Paramètres'!$AA$6,'Mouvements stock'!$B$5:$B$3004,"&lt;"&amp;('Paramètres'!$AA$7+1)))</f>
        <v/>
      </c>
      <c r="V65" s="78">
        <f>IF($A65="","",IF(COUNTIF('Mouvements stock'!$D$5:$D$3004,$A65)=0,"",_xlfn.MAXIFS('Mouvements stock'!$B$5:$B$3004,'Mouvements stock'!$D$5:$D$3004,$A65)))</f>
        <v/>
      </c>
    </row>
    <row r="66">
      <c r="A66" s="7" t="inlineStr">
        <is>
          <t>PD-0062</t>
        </is>
      </c>
      <c r="B66" s="7" t="inlineStr">
        <is>
          <t>Tubes contact M8 Ø1,2 (boîte de 10)</t>
        </is>
      </c>
      <c r="C66" s="7" t="inlineStr">
        <is>
          <t>Consommables soudage</t>
        </is>
      </c>
      <c r="D66" s="7" t="inlineStr">
        <is>
          <t>Fournitures Industrielles Générales</t>
        </is>
      </c>
      <c r="E66" s="7" t="inlineStr">
        <is>
          <t>F15-8970</t>
        </is>
      </c>
      <c r="F66" s="7" t="inlineStr">
        <is>
          <t>Mag. D-07-2</t>
        </is>
      </c>
      <c r="G66" s="7" t="inlineStr">
        <is>
          <t>Soudure, Robot</t>
        </is>
      </c>
      <c r="H66" s="7" t="inlineStr">
        <is>
          <t>Courante</t>
        </is>
      </c>
      <c r="I66" s="80" t="n">
        <v>12</v>
      </c>
      <c r="J66" s="67" t="n">
        <v>12</v>
      </c>
      <c r="K66" s="68">
        <f>IF($A66="","",SUMIFS('Mouvements stock'!$F$5:$F$3004,'Mouvements stock'!$D$5:$D$3004,$A66,'Mouvements stock'!$C$5:$C$3004,"Entrée")+SUMIFS('Mouvements stock'!$F$5:$F$3004,'Mouvements stock'!$D$5:$D$3004,$A66,'Mouvements stock'!$C$5:$C$3004,"Retour"))</f>
        <v/>
      </c>
      <c r="L66" s="68">
        <f>IF($A66="","",SUMIFS('Mouvements stock'!$F$5:$F$3004,'Mouvements stock'!$D$5:$D$3004,$A66,'Mouvements stock'!$C$5:$C$3004,"Sortie"))</f>
        <v/>
      </c>
      <c r="M66" s="79">
        <f>IF($A66="","",N(J66)+N(K66)-N(L66))</f>
        <v/>
      </c>
      <c r="N66" s="67" t="n">
        <v>5</v>
      </c>
      <c r="O66" s="67" t="n">
        <v>20</v>
      </c>
      <c r="P66" s="67" t="n"/>
      <c r="Q66" s="67" t="n">
        <v>2</v>
      </c>
      <c r="R66" s="70">
        <f>IF($A66="","",MAX(0,M66)*N(I66))</f>
        <v/>
      </c>
      <c r="S66" s="9">
        <f>IF($A66="","",IF(M66&lt;=0,IF(N(P66)&gt;0,"Rupture - en cde","RUPTURE"),IF(M66+N(P66)&lt;=N66,"À COMMANDER",IF(M66&lt;=N66,"Commande en cours","OK"))))</f>
        <v/>
      </c>
      <c r="T66" s="68">
        <f>IF($A66="","",IF(OR(S66="À COMMANDER",S66="RUPTURE"),MAX(1,O66-M66-N(P66)),0))</f>
        <v/>
      </c>
      <c r="U66" s="68">
        <f>IF($A66="","",SUMIFS('Mouvements stock'!$F$5:$F$3004,'Mouvements stock'!$D$5:$D$3004,$A66,'Mouvements stock'!$C$5:$C$3004,"Sortie",'Mouvements stock'!$B$5:$B$3004,"&gt;="&amp;'Paramètres'!$AA$6,'Mouvements stock'!$B$5:$B$3004,"&lt;"&amp;('Paramètres'!$AA$7+1)))</f>
        <v/>
      </c>
      <c r="V66" s="78">
        <f>IF($A66="","",IF(COUNTIF('Mouvements stock'!$D$5:$D$3004,$A66)=0,"",_xlfn.MAXIFS('Mouvements stock'!$B$5:$B$3004,'Mouvements stock'!$D$5:$D$3004,$A66)))</f>
        <v/>
      </c>
    </row>
    <row r="67">
      <c r="A67" s="7" t="inlineStr">
        <is>
          <t>PD-0063</t>
        </is>
      </c>
      <c r="B67" s="7" t="inlineStr">
        <is>
          <t>Buses gaz de torche (lot de 5)</t>
        </is>
      </c>
      <c r="C67" s="7" t="inlineStr">
        <is>
          <t>Consommables soudage</t>
        </is>
      </c>
      <c r="D67" s="7" t="inlineStr">
        <is>
          <t>Fournitures Industrielles Générales</t>
        </is>
      </c>
      <c r="E67" s="7" t="inlineStr">
        <is>
          <t>F15-2541</t>
        </is>
      </c>
      <c r="F67" s="7" t="inlineStr">
        <is>
          <t>Mag. D-08-1</t>
        </is>
      </c>
      <c r="G67" s="7" t="inlineStr">
        <is>
          <t>Soudure, Robot</t>
        </is>
      </c>
      <c r="H67" s="7" t="inlineStr">
        <is>
          <t>Courante</t>
        </is>
      </c>
      <c r="I67" s="80" t="n">
        <v>28</v>
      </c>
      <c r="J67" s="67" t="n">
        <v>6</v>
      </c>
      <c r="K67" s="68">
        <f>IF($A67="","",SUMIFS('Mouvements stock'!$F$5:$F$3004,'Mouvements stock'!$D$5:$D$3004,$A67,'Mouvements stock'!$C$5:$C$3004,"Entrée")+SUMIFS('Mouvements stock'!$F$5:$F$3004,'Mouvements stock'!$D$5:$D$3004,$A67,'Mouvements stock'!$C$5:$C$3004,"Retour"))</f>
        <v/>
      </c>
      <c r="L67" s="68">
        <f>IF($A67="","",SUMIFS('Mouvements stock'!$F$5:$F$3004,'Mouvements stock'!$D$5:$D$3004,$A67,'Mouvements stock'!$C$5:$C$3004,"Sortie"))</f>
        <v/>
      </c>
      <c r="M67" s="79">
        <f>IF($A67="","",N(J67)+N(K67)-N(L67))</f>
        <v/>
      </c>
      <c r="N67" s="67" t="n">
        <v>3</v>
      </c>
      <c r="O67" s="67" t="n">
        <v>10</v>
      </c>
      <c r="P67" s="67" t="n"/>
      <c r="Q67" s="67" t="n">
        <v>2</v>
      </c>
      <c r="R67" s="70">
        <f>IF($A67="","",MAX(0,M67)*N(I67))</f>
        <v/>
      </c>
      <c r="S67" s="9">
        <f>IF($A67="","",IF(M67&lt;=0,IF(N(P67)&gt;0,"Rupture - en cde","RUPTURE"),IF(M67+N(P67)&lt;=N67,"À COMMANDER",IF(M67&lt;=N67,"Commande en cours","OK"))))</f>
        <v/>
      </c>
      <c r="T67" s="68">
        <f>IF($A67="","",IF(OR(S67="À COMMANDER",S67="RUPTURE"),MAX(1,O67-M67-N(P67)),0))</f>
        <v/>
      </c>
      <c r="U67" s="68">
        <f>IF($A67="","",SUMIFS('Mouvements stock'!$F$5:$F$3004,'Mouvements stock'!$D$5:$D$3004,$A67,'Mouvements stock'!$C$5:$C$3004,"Sortie",'Mouvements stock'!$B$5:$B$3004,"&gt;="&amp;'Paramètres'!$AA$6,'Mouvements stock'!$B$5:$B$3004,"&lt;"&amp;('Paramètres'!$AA$7+1)))</f>
        <v/>
      </c>
      <c r="V67" s="78">
        <f>IF($A67="","",IF(COUNTIF('Mouvements stock'!$D$5:$D$3004,$A67)=0,"",_xlfn.MAXIFS('Mouvements stock'!$B$5:$B$3004,'Mouvements stock'!$D$5:$D$3004,$A67)))</f>
        <v/>
      </c>
    </row>
    <row r="68">
      <c r="A68" s="7" t="inlineStr">
        <is>
          <t>PD-0064</t>
        </is>
      </c>
      <c r="B68" s="7" t="inlineStr">
        <is>
          <t>Gaine guide-fil 4 m</t>
        </is>
      </c>
      <c r="C68" s="7" t="inlineStr">
        <is>
          <t>Consommables soudage</t>
        </is>
      </c>
      <c r="D68" s="7" t="inlineStr">
        <is>
          <t>Fournitures Industrielles Générales</t>
        </is>
      </c>
      <c r="E68" s="7" t="inlineStr">
        <is>
          <t>F15-7124</t>
        </is>
      </c>
      <c r="F68" s="7" t="inlineStr">
        <is>
          <t>Mag. D-08-2</t>
        </is>
      </c>
      <c r="G68" s="7" t="inlineStr">
        <is>
          <t>Soudure, Robot</t>
        </is>
      </c>
      <c r="H68" s="7" t="inlineStr">
        <is>
          <t>Courante</t>
        </is>
      </c>
      <c r="I68" s="80" t="n">
        <v>34</v>
      </c>
      <c r="J68" s="67" t="n">
        <v>5</v>
      </c>
      <c r="K68" s="68">
        <f>IF($A68="","",SUMIFS('Mouvements stock'!$F$5:$F$3004,'Mouvements stock'!$D$5:$D$3004,$A68,'Mouvements stock'!$C$5:$C$3004,"Entrée")+SUMIFS('Mouvements stock'!$F$5:$F$3004,'Mouvements stock'!$D$5:$D$3004,$A68,'Mouvements stock'!$C$5:$C$3004,"Retour"))</f>
        <v/>
      </c>
      <c r="L68" s="68">
        <f>IF($A68="","",SUMIFS('Mouvements stock'!$F$5:$F$3004,'Mouvements stock'!$D$5:$D$3004,$A68,'Mouvements stock'!$C$5:$C$3004,"Sortie"))</f>
        <v/>
      </c>
      <c r="M68" s="79">
        <f>IF($A68="","",N(J68)+N(K68)-N(L68))</f>
        <v/>
      </c>
      <c r="N68" s="67" t="n">
        <v>2</v>
      </c>
      <c r="O68" s="67" t="n">
        <v>6</v>
      </c>
      <c r="P68" s="67" t="n"/>
      <c r="Q68" s="67" t="n">
        <v>3</v>
      </c>
      <c r="R68" s="70">
        <f>IF($A68="","",MAX(0,M68)*N(I68))</f>
        <v/>
      </c>
      <c r="S68" s="9">
        <f>IF($A68="","",IF(M68&lt;=0,IF(N(P68)&gt;0,"Rupture - en cde","RUPTURE"),IF(M68+N(P68)&lt;=N68,"À COMMANDER",IF(M68&lt;=N68,"Commande en cours","OK"))))</f>
        <v/>
      </c>
      <c r="T68" s="68">
        <f>IF($A68="","",IF(OR(S68="À COMMANDER",S68="RUPTURE"),MAX(1,O68-M68-N(P68)),0))</f>
        <v/>
      </c>
      <c r="U68" s="68">
        <f>IF($A68="","",SUMIFS('Mouvements stock'!$F$5:$F$3004,'Mouvements stock'!$D$5:$D$3004,$A68,'Mouvements stock'!$C$5:$C$3004,"Sortie",'Mouvements stock'!$B$5:$B$3004,"&gt;="&amp;'Paramètres'!$AA$6,'Mouvements stock'!$B$5:$B$3004,"&lt;"&amp;('Paramètres'!$AA$7+1)))</f>
        <v/>
      </c>
      <c r="V68" s="78">
        <f>IF($A68="","",IF(COUNTIF('Mouvements stock'!$D$5:$D$3004,$A68)=0,"",_xlfn.MAXIFS('Mouvements stock'!$B$5:$B$3004,'Mouvements stock'!$D$5:$D$3004,$A68)))</f>
        <v/>
      </c>
    </row>
    <row r="69">
      <c r="A69" s="7" t="inlineStr">
        <is>
          <t>PD-0065</t>
        </is>
      </c>
      <c r="B69" s="7" t="inlineStr">
        <is>
          <t>Torche robot complète</t>
        </is>
      </c>
      <c r="C69" s="7" t="inlineStr">
        <is>
          <t>Consommables soudage</t>
        </is>
      </c>
      <c r="D69" s="7" t="inlineStr">
        <is>
          <t>Robotique Services Ouest</t>
        </is>
      </c>
      <c r="E69" s="7" t="inlineStr">
        <is>
          <t>F16-7931</t>
        </is>
      </c>
      <c r="F69" s="7" t="inlineStr">
        <is>
          <t>Mag. E-01-1</t>
        </is>
      </c>
      <c r="G69" s="7" t="inlineStr">
        <is>
          <t>Robot</t>
        </is>
      </c>
      <c r="H69" s="7" t="inlineStr">
        <is>
          <t>Stratégique</t>
        </is>
      </c>
      <c r="I69" s="80" t="n">
        <v>980</v>
      </c>
      <c r="J69" s="67" t="n">
        <v>1</v>
      </c>
      <c r="K69" s="68">
        <f>IF($A69="","",SUMIFS('Mouvements stock'!$F$5:$F$3004,'Mouvements stock'!$D$5:$D$3004,$A69,'Mouvements stock'!$C$5:$C$3004,"Entrée")+SUMIFS('Mouvements stock'!$F$5:$F$3004,'Mouvements stock'!$D$5:$D$3004,$A69,'Mouvements stock'!$C$5:$C$3004,"Retour"))</f>
        <v/>
      </c>
      <c r="L69" s="68">
        <f>IF($A69="","",SUMIFS('Mouvements stock'!$F$5:$F$3004,'Mouvements stock'!$D$5:$D$3004,$A69,'Mouvements stock'!$C$5:$C$3004,"Sortie"))</f>
        <v/>
      </c>
      <c r="M69" s="79">
        <f>IF($A69="","",N(J69)+N(K69)-N(L69))</f>
        <v/>
      </c>
      <c r="N69" s="67" t="n">
        <v>1</v>
      </c>
      <c r="O69" s="67" t="n">
        <v>1</v>
      </c>
      <c r="P69" s="67" t="n"/>
      <c r="Q69" s="67" t="n">
        <v>15</v>
      </c>
      <c r="R69" s="70">
        <f>IF($A69="","",MAX(0,M69)*N(I69))</f>
        <v/>
      </c>
      <c r="S69" s="9">
        <f>IF($A69="","",IF(M69&lt;=0,IF(N(P69)&gt;0,"Rupture - en cde","RUPTURE"),IF(M69+N(P69)&lt;=N69,"À COMMANDER",IF(M69&lt;=N69,"Commande en cours","OK"))))</f>
        <v/>
      </c>
      <c r="T69" s="68">
        <f>IF($A69="","",IF(OR(S69="À COMMANDER",S69="RUPTURE"),MAX(1,O69-M69-N(P69)),0))</f>
        <v/>
      </c>
      <c r="U69" s="68">
        <f>IF($A69="","",SUMIFS('Mouvements stock'!$F$5:$F$3004,'Mouvements stock'!$D$5:$D$3004,$A69,'Mouvements stock'!$C$5:$C$3004,"Sortie",'Mouvements stock'!$B$5:$B$3004,"&gt;="&amp;'Paramètres'!$AA$6,'Mouvements stock'!$B$5:$B$3004,"&lt;"&amp;('Paramètres'!$AA$7+1)))</f>
        <v/>
      </c>
      <c r="V69" s="78">
        <f>IF($A69="","",IF(COUNTIF('Mouvements stock'!$D$5:$D$3004,$A69)=0,"",_xlfn.MAXIFS('Mouvements stock'!$B$5:$B$3004,'Mouvements stock'!$D$5:$D$3004,$A69)))</f>
        <v/>
      </c>
    </row>
    <row r="70">
      <c r="A70" s="7" t="inlineStr">
        <is>
          <t>PD-0066</t>
        </is>
      </c>
      <c r="B70" s="7" t="inlineStr">
        <is>
          <t>Bandage roue porteuse chariot</t>
        </is>
      </c>
      <c r="C70" s="7" t="inlineStr">
        <is>
          <t>Manutention &amp; levage</t>
        </is>
      </c>
      <c r="D70" s="7" t="inlineStr">
        <is>
          <t>Manutention Services 44</t>
        </is>
      </c>
      <c r="E70" s="7" t="inlineStr">
        <is>
          <t>F10-2392</t>
        </is>
      </c>
      <c r="F70" s="7" t="inlineStr">
        <is>
          <t>Mag. E-01-2</t>
        </is>
      </c>
      <c r="G70" s="7" t="inlineStr">
        <is>
          <t>Chariot</t>
        </is>
      </c>
      <c r="H70" s="7" t="inlineStr">
        <is>
          <t>Courante</t>
        </is>
      </c>
      <c r="I70" s="80" t="n">
        <v>165</v>
      </c>
      <c r="J70" s="67" t="n">
        <v>4</v>
      </c>
      <c r="K70" s="68">
        <f>IF($A70="","",SUMIFS('Mouvements stock'!$F$5:$F$3004,'Mouvements stock'!$D$5:$D$3004,$A70,'Mouvements stock'!$C$5:$C$3004,"Entrée")+SUMIFS('Mouvements stock'!$F$5:$F$3004,'Mouvements stock'!$D$5:$D$3004,$A70,'Mouvements stock'!$C$5:$C$3004,"Retour"))</f>
        <v/>
      </c>
      <c r="L70" s="68">
        <f>IF($A70="","",SUMIFS('Mouvements stock'!$F$5:$F$3004,'Mouvements stock'!$D$5:$D$3004,$A70,'Mouvements stock'!$C$5:$C$3004,"Sortie"))</f>
        <v/>
      </c>
      <c r="M70" s="79">
        <f>IF($A70="","",N(J70)+N(K70)-N(L70))</f>
        <v/>
      </c>
      <c r="N70" s="67" t="n">
        <v>2</v>
      </c>
      <c r="O70" s="67" t="n">
        <v>4</v>
      </c>
      <c r="P70" s="67" t="n"/>
      <c r="Q70" s="67" t="n">
        <v>7</v>
      </c>
      <c r="R70" s="70">
        <f>IF($A70="","",MAX(0,M70)*N(I70))</f>
        <v/>
      </c>
      <c r="S70" s="9">
        <f>IF($A70="","",IF(M70&lt;=0,IF(N(P70)&gt;0,"Rupture - en cde","RUPTURE"),IF(M70+N(P70)&lt;=N70,"À COMMANDER",IF(M70&lt;=N70,"Commande en cours","OK"))))</f>
        <v/>
      </c>
      <c r="T70" s="68">
        <f>IF($A70="","",IF(OR(S70="À COMMANDER",S70="RUPTURE"),MAX(1,O70-M70-N(P70)),0))</f>
        <v/>
      </c>
      <c r="U70" s="68">
        <f>IF($A70="","",SUMIFS('Mouvements stock'!$F$5:$F$3004,'Mouvements stock'!$D$5:$D$3004,$A70,'Mouvements stock'!$C$5:$C$3004,"Sortie",'Mouvements stock'!$B$5:$B$3004,"&gt;="&amp;'Paramètres'!$AA$6,'Mouvements stock'!$B$5:$B$3004,"&lt;"&amp;('Paramètres'!$AA$7+1)))</f>
        <v/>
      </c>
      <c r="V70" s="78">
        <f>IF($A70="","",IF(COUNTIF('Mouvements stock'!$D$5:$D$3004,$A70)=0,"",_xlfn.MAXIFS('Mouvements stock'!$B$5:$B$3004,'Mouvements stock'!$D$5:$D$3004,$A70)))</f>
        <v/>
      </c>
    </row>
    <row r="71">
      <c r="A71" s="7" t="inlineStr">
        <is>
          <t>PD-0067</t>
        </is>
      </c>
      <c r="B71" s="7" t="inlineStr">
        <is>
          <t>Kit garnitures de frein</t>
        </is>
      </c>
      <c r="C71" s="7" t="inlineStr">
        <is>
          <t>Manutention &amp; levage</t>
        </is>
      </c>
      <c r="D71" s="7" t="inlineStr">
        <is>
          <t>Manutention Services 44</t>
        </is>
      </c>
      <c r="E71" s="7" t="inlineStr">
        <is>
          <t>F10-6042</t>
        </is>
      </c>
      <c r="F71" s="7" t="inlineStr">
        <is>
          <t>Mag. E-02-1</t>
        </is>
      </c>
      <c r="G71" s="7" t="inlineStr">
        <is>
          <t>Chariot, Levage</t>
        </is>
      </c>
      <c r="H71" s="7" t="inlineStr">
        <is>
          <t>Courante</t>
        </is>
      </c>
      <c r="I71" s="80" t="n">
        <v>85</v>
      </c>
      <c r="J71" s="67" t="n">
        <v>3</v>
      </c>
      <c r="K71" s="68">
        <f>IF($A71="","",SUMIFS('Mouvements stock'!$F$5:$F$3004,'Mouvements stock'!$D$5:$D$3004,$A71,'Mouvements stock'!$C$5:$C$3004,"Entrée")+SUMIFS('Mouvements stock'!$F$5:$F$3004,'Mouvements stock'!$D$5:$D$3004,$A71,'Mouvements stock'!$C$5:$C$3004,"Retour"))</f>
        <v/>
      </c>
      <c r="L71" s="68">
        <f>IF($A71="","",SUMIFS('Mouvements stock'!$F$5:$F$3004,'Mouvements stock'!$D$5:$D$3004,$A71,'Mouvements stock'!$C$5:$C$3004,"Sortie"))</f>
        <v/>
      </c>
      <c r="M71" s="79">
        <f>IF($A71="","",N(J71)+N(K71)-N(L71))</f>
        <v/>
      </c>
      <c r="N71" s="67" t="n">
        <v>1</v>
      </c>
      <c r="O71" s="67" t="n">
        <v>3</v>
      </c>
      <c r="P71" s="67" t="n"/>
      <c r="Q71" s="67" t="n">
        <v>7</v>
      </c>
      <c r="R71" s="70">
        <f>IF($A71="","",MAX(0,M71)*N(I71))</f>
        <v/>
      </c>
      <c r="S71" s="9">
        <f>IF($A71="","",IF(M71&lt;=0,IF(N(P71)&gt;0,"Rupture - en cde","RUPTURE"),IF(M71+N(P71)&lt;=N71,"À COMMANDER",IF(M71&lt;=N71,"Commande en cours","OK"))))</f>
        <v/>
      </c>
      <c r="T71" s="68">
        <f>IF($A71="","",IF(OR(S71="À COMMANDER",S71="RUPTURE"),MAX(1,O71-M71-N(P71)),0))</f>
        <v/>
      </c>
      <c r="U71" s="68">
        <f>IF($A71="","",SUMIFS('Mouvements stock'!$F$5:$F$3004,'Mouvements stock'!$D$5:$D$3004,$A71,'Mouvements stock'!$C$5:$C$3004,"Sortie",'Mouvements stock'!$B$5:$B$3004,"&gt;="&amp;'Paramètres'!$AA$6,'Mouvements stock'!$B$5:$B$3004,"&lt;"&amp;('Paramètres'!$AA$7+1)))</f>
        <v/>
      </c>
      <c r="V71" s="78">
        <f>IF($A71="","",IF(COUNTIF('Mouvements stock'!$D$5:$D$3004,$A71)=0,"",_xlfn.MAXIFS('Mouvements stock'!$B$5:$B$3004,'Mouvements stock'!$D$5:$D$3004,$A71)))</f>
        <v/>
      </c>
    </row>
    <row r="72">
      <c r="A72" s="7" t="inlineStr">
        <is>
          <t>PD-0068</t>
        </is>
      </c>
      <c r="B72" s="7" t="inlineStr">
        <is>
          <t>Câble acier de levage Ø10 (30 m)</t>
        </is>
      </c>
      <c r="C72" s="7" t="inlineStr">
        <is>
          <t>Manutention &amp; levage</t>
        </is>
      </c>
      <c r="D72" s="7" t="inlineStr">
        <is>
          <t>Levage Expertise Ouest</t>
        </is>
      </c>
      <c r="E72" s="7" t="inlineStr">
        <is>
          <t>F11-3329</t>
        </is>
      </c>
      <c r="F72" s="7" t="inlineStr">
        <is>
          <t>Mag. E-02-2</t>
        </is>
      </c>
      <c r="G72" s="7" t="inlineStr">
        <is>
          <t>Levage</t>
        </is>
      </c>
      <c r="H72" s="7" t="inlineStr">
        <is>
          <t>Stratégique</t>
        </is>
      </c>
      <c r="I72" s="80" t="n">
        <v>520</v>
      </c>
      <c r="J72" s="67" t="n">
        <v>1</v>
      </c>
      <c r="K72" s="68">
        <f>IF($A72="","",SUMIFS('Mouvements stock'!$F$5:$F$3004,'Mouvements stock'!$D$5:$D$3004,$A72,'Mouvements stock'!$C$5:$C$3004,"Entrée")+SUMIFS('Mouvements stock'!$F$5:$F$3004,'Mouvements stock'!$D$5:$D$3004,$A72,'Mouvements stock'!$C$5:$C$3004,"Retour"))</f>
        <v/>
      </c>
      <c r="L72" s="68">
        <f>IF($A72="","",SUMIFS('Mouvements stock'!$F$5:$F$3004,'Mouvements stock'!$D$5:$D$3004,$A72,'Mouvements stock'!$C$5:$C$3004,"Sortie"))</f>
        <v/>
      </c>
      <c r="M72" s="79">
        <f>IF($A72="","",N(J72)+N(K72)-N(L72))</f>
        <v/>
      </c>
      <c r="N72" s="67" t="n">
        <v>1</v>
      </c>
      <c r="O72" s="67" t="n">
        <v>1</v>
      </c>
      <c r="P72" s="67" t="n"/>
      <c r="Q72" s="67" t="n">
        <v>15</v>
      </c>
      <c r="R72" s="70">
        <f>IF($A72="","",MAX(0,M72)*N(I72))</f>
        <v/>
      </c>
      <c r="S72" s="9">
        <f>IF($A72="","",IF(M72&lt;=0,IF(N(P72)&gt;0,"Rupture - en cde","RUPTURE"),IF(M72+N(P72)&lt;=N72,"À COMMANDER",IF(M72&lt;=N72,"Commande en cours","OK"))))</f>
        <v/>
      </c>
      <c r="T72" s="68">
        <f>IF($A72="","",IF(OR(S72="À COMMANDER",S72="RUPTURE"),MAX(1,O72-M72-N(P72)),0))</f>
        <v/>
      </c>
      <c r="U72" s="68">
        <f>IF($A72="","",SUMIFS('Mouvements stock'!$F$5:$F$3004,'Mouvements stock'!$D$5:$D$3004,$A72,'Mouvements stock'!$C$5:$C$3004,"Sortie",'Mouvements stock'!$B$5:$B$3004,"&gt;="&amp;'Paramètres'!$AA$6,'Mouvements stock'!$B$5:$B$3004,"&lt;"&amp;('Paramètres'!$AA$7+1)))</f>
        <v/>
      </c>
      <c r="V72" s="78">
        <f>IF($A72="","",IF(COUNTIF('Mouvements stock'!$D$5:$D$3004,$A72)=0,"",_xlfn.MAXIFS('Mouvements stock'!$B$5:$B$3004,'Mouvements stock'!$D$5:$D$3004,$A72)))</f>
        <v/>
      </c>
    </row>
    <row r="73">
      <c r="A73" s="7" t="inlineStr">
        <is>
          <t>PD-0069</t>
        </is>
      </c>
      <c r="B73" s="7" t="inlineStr">
        <is>
          <t>Contacteur de boîte à boutons pont roulant</t>
        </is>
      </c>
      <c r="C73" s="7" t="inlineStr">
        <is>
          <t>Manutention &amp; levage</t>
        </is>
      </c>
      <c r="D73" s="7" t="inlineStr">
        <is>
          <t>Levage Expertise Ouest</t>
        </is>
      </c>
      <c r="E73" s="7" t="inlineStr">
        <is>
          <t>F11-3583</t>
        </is>
      </c>
      <c r="F73" s="7" t="inlineStr">
        <is>
          <t>Mag. E-03-1</t>
        </is>
      </c>
      <c r="G73" s="7" t="inlineStr">
        <is>
          <t>Levage</t>
        </is>
      </c>
      <c r="H73" s="7" t="inlineStr">
        <is>
          <t>Courante</t>
        </is>
      </c>
      <c r="I73" s="80" t="n">
        <v>210</v>
      </c>
      <c r="J73" s="67" t="n">
        <v>2</v>
      </c>
      <c r="K73" s="68">
        <f>IF($A73="","",SUMIFS('Mouvements stock'!$F$5:$F$3004,'Mouvements stock'!$D$5:$D$3004,$A73,'Mouvements stock'!$C$5:$C$3004,"Entrée")+SUMIFS('Mouvements stock'!$F$5:$F$3004,'Mouvements stock'!$D$5:$D$3004,$A73,'Mouvements stock'!$C$5:$C$3004,"Retour"))</f>
        <v/>
      </c>
      <c r="L73" s="68">
        <f>IF($A73="","",SUMIFS('Mouvements stock'!$F$5:$F$3004,'Mouvements stock'!$D$5:$D$3004,$A73,'Mouvements stock'!$C$5:$C$3004,"Sortie"))</f>
        <v/>
      </c>
      <c r="M73" s="79">
        <f>IF($A73="","",N(J73)+N(K73)-N(L73))</f>
        <v/>
      </c>
      <c r="N73" s="67" t="n">
        <v>1</v>
      </c>
      <c r="O73" s="67" t="n">
        <v>2</v>
      </c>
      <c r="P73" s="67" t="n"/>
      <c r="Q73" s="67" t="n">
        <v>7</v>
      </c>
      <c r="R73" s="70">
        <f>IF($A73="","",MAX(0,M73)*N(I73))</f>
        <v/>
      </c>
      <c r="S73" s="9">
        <f>IF($A73="","",IF(M73&lt;=0,IF(N(P73)&gt;0,"Rupture - en cde","RUPTURE"),IF(M73+N(P73)&lt;=N73,"À COMMANDER",IF(M73&lt;=N73,"Commande en cours","OK"))))</f>
        <v/>
      </c>
      <c r="T73" s="68">
        <f>IF($A73="","",IF(OR(S73="À COMMANDER",S73="RUPTURE"),MAX(1,O73-M73-N(P73)),0))</f>
        <v/>
      </c>
      <c r="U73" s="68">
        <f>IF($A73="","",SUMIFS('Mouvements stock'!$F$5:$F$3004,'Mouvements stock'!$D$5:$D$3004,$A73,'Mouvements stock'!$C$5:$C$3004,"Sortie",'Mouvements stock'!$B$5:$B$3004,"&gt;="&amp;'Paramètres'!$AA$6,'Mouvements stock'!$B$5:$B$3004,"&lt;"&amp;('Paramètres'!$AA$7+1)))</f>
        <v/>
      </c>
      <c r="V73" s="78">
        <f>IF($A73="","",IF(COUNTIF('Mouvements stock'!$D$5:$D$3004,$A73)=0,"",_xlfn.MAXIFS('Mouvements stock'!$B$5:$B$3004,'Mouvements stock'!$D$5:$D$3004,$A73)))</f>
        <v/>
      </c>
    </row>
    <row r="74">
      <c r="A74" s="7" t="inlineStr">
        <is>
          <t>PD-0070</t>
        </is>
      </c>
      <c r="B74" s="7" t="inlineStr">
        <is>
          <t>Batterie de traction 24 V transpalette</t>
        </is>
      </c>
      <c r="C74" s="7" t="inlineStr">
        <is>
          <t>Manutention &amp; levage</t>
        </is>
      </c>
      <c r="D74" s="7" t="inlineStr">
        <is>
          <t>Manutention Services 44</t>
        </is>
      </c>
      <c r="E74" s="7" t="inlineStr">
        <is>
          <t>F10-8340</t>
        </is>
      </c>
      <c r="F74" s="7" t="inlineStr">
        <is>
          <t>Mag. E-03-2</t>
        </is>
      </c>
      <c r="G74" s="7" t="inlineStr">
        <is>
          <t>Chariot</t>
        </is>
      </c>
      <c r="H74" s="7" t="inlineStr">
        <is>
          <t>Courante</t>
        </is>
      </c>
      <c r="I74" s="80" t="n">
        <v>690</v>
      </c>
      <c r="J74" s="67" t="n">
        <v>1</v>
      </c>
      <c r="K74" s="68">
        <f>IF($A74="","",SUMIFS('Mouvements stock'!$F$5:$F$3004,'Mouvements stock'!$D$5:$D$3004,$A74,'Mouvements stock'!$C$5:$C$3004,"Entrée")+SUMIFS('Mouvements stock'!$F$5:$F$3004,'Mouvements stock'!$D$5:$D$3004,$A74,'Mouvements stock'!$C$5:$C$3004,"Retour"))</f>
        <v/>
      </c>
      <c r="L74" s="68">
        <f>IF($A74="","",SUMIFS('Mouvements stock'!$F$5:$F$3004,'Mouvements stock'!$D$5:$D$3004,$A74,'Mouvements stock'!$C$5:$C$3004,"Sortie"))</f>
        <v/>
      </c>
      <c r="M74" s="79">
        <f>IF($A74="","",N(J74)+N(K74)-N(L74))</f>
        <v/>
      </c>
      <c r="N74" s="67" t="n">
        <v>0</v>
      </c>
      <c r="O74" s="67" t="n">
        <v>1</v>
      </c>
      <c r="P74" s="67" t="n">
        <v>1</v>
      </c>
      <c r="Q74" s="67" t="n">
        <v>15</v>
      </c>
      <c r="R74" s="70">
        <f>IF($A74="","",MAX(0,M74)*N(I74))</f>
        <v/>
      </c>
      <c r="S74" s="9">
        <f>IF($A74="","",IF(M74&lt;=0,IF(N(P74)&gt;0,"Rupture - en cde","RUPTURE"),IF(M74+N(P74)&lt;=N74,"À COMMANDER",IF(M74&lt;=N74,"Commande en cours","OK"))))</f>
        <v/>
      </c>
      <c r="T74" s="68">
        <f>IF($A74="","",IF(OR(S74="À COMMANDER",S74="RUPTURE"),MAX(1,O74-M74-N(P74)),0))</f>
        <v/>
      </c>
      <c r="U74" s="68">
        <f>IF($A74="","",SUMIFS('Mouvements stock'!$F$5:$F$3004,'Mouvements stock'!$D$5:$D$3004,$A74,'Mouvements stock'!$C$5:$C$3004,"Sortie",'Mouvements stock'!$B$5:$B$3004,"&gt;="&amp;'Paramètres'!$AA$6,'Mouvements stock'!$B$5:$B$3004,"&lt;"&amp;('Paramètres'!$AA$7+1)))</f>
        <v/>
      </c>
      <c r="V74" s="78">
        <f>IF($A74="","",IF(COUNTIF('Mouvements stock'!$D$5:$D$3004,$A74)=0,"",_xlfn.MAXIFS('Mouvements stock'!$B$5:$B$3004,'Mouvements stock'!$D$5:$D$3004,$A74)))</f>
        <v/>
      </c>
    </row>
    <row r="75">
      <c r="A75" s="7" t="inlineStr">
        <is>
          <t>PD-0071</t>
        </is>
      </c>
      <c r="B75" s="7" t="inlineStr">
        <is>
          <t>Injecteur poudre</t>
        </is>
      </c>
      <c r="C75" s="7" t="inlineStr">
        <is>
          <t>Peinture &amp; traitement</t>
        </is>
      </c>
      <c r="D75" s="7" t="inlineStr">
        <is>
          <t>Surface Process Assistance</t>
        </is>
      </c>
      <c r="E75" s="7" t="inlineStr">
        <is>
          <t>F17-6130</t>
        </is>
      </c>
      <c r="F75" s="7" t="inlineStr">
        <is>
          <t>Mag. E-04-1</t>
        </is>
      </c>
      <c r="G75" s="7" t="inlineStr">
        <is>
          <t>Peinture</t>
        </is>
      </c>
      <c r="H75" s="7" t="inlineStr">
        <is>
          <t>Courante</t>
        </is>
      </c>
      <c r="I75" s="80" t="n">
        <v>145</v>
      </c>
      <c r="J75" s="67" t="n">
        <v>6</v>
      </c>
      <c r="K75" s="68">
        <f>IF($A75="","",SUMIFS('Mouvements stock'!$F$5:$F$3004,'Mouvements stock'!$D$5:$D$3004,$A75,'Mouvements stock'!$C$5:$C$3004,"Entrée")+SUMIFS('Mouvements stock'!$F$5:$F$3004,'Mouvements stock'!$D$5:$D$3004,$A75,'Mouvements stock'!$C$5:$C$3004,"Retour"))</f>
        <v/>
      </c>
      <c r="L75" s="68">
        <f>IF($A75="","",SUMIFS('Mouvements stock'!$F$5:$F$3004,'Mouvements stock'!$D$5:$D$3004,$A75,'Mouvements stock'!$C$5:$C$3004,"Sortie"))</f>
        <v/>
      </c>
      <c r="M75" s="79">
        <f>IF($A75="","",N(J75)+N(K75)-N(L75))</f>
        <v/>
      </c>
      <c r="N75" s="67" t="n">
        <v>2</v>
      </c>
      <c r="O75" s="67" t="n">
        <v>6</v>
      </c>
      <c r="P75" s="67" t="n"/>
      <c r="Q75" s="67" t="n">
        <v>10</v>
      </c>
      <c r="R75" s="70">
        <f>IF($A75="","",MAX(0,M75)*N(I75))</f>
        <v/>
      </c>
      <c r="S75" s="9">
        <f>IF($A75="","",IF(M75&lt;=0,IF(N(P75)&gt;0,"Rupture - en cde","RUPTURE"),IF(M75+N(P75)&lt;=N75,"À COMMANDER",IF(M75&lt;=N75,"Commande en cours","OK"))))</f>
        <v/>
      </c>
      <c r="T75" s="68">
        <f>IF($A75="","",IF(OR(S75="À COMMANDER",S75="RUPTURE"),MAX(1,O75-M75-N(P75)),0))</f>
        <v/>
      </c>
      <c r="U75" s="68">
        <f>IF($A75="","",SUMIFS('Mouvements stock'!$F$5:$F$3004,'Mouvements stock'!$D$5:$D$3004,$A75,'Mouvements stock'!$C$5:$C$3004,"Sortie",'Mouvements stock'!$B$5:$B$3004,"&gt;="&amp;'Paramètres'!$AA$6,'Mouvements stock'!$B$5:$B$3004,"&lt;"&amp;('Paramètres'!$AA$7+1)))</f>
        <v/>
      </c>
      <c r="V75" s="78">
        <f>IF($A75="","",IF(COUNTIF('Mouvements stock'!$D$5:$D$3004,$A75)=0,"",_xlfn.MAXIFS('Mouvements stock'!$B$5:$B$3004,'Mouvements stock'!$D$5:$D$3004,$A75)))</f>
        <v/>
      </c>
    </row>
    <row r="76">
      <c r="A76" s="7" t="inlineStr">
        <is>
          <t>PD-0072</t>
        </is>
      </c>
      <c r="B76" s="7" t="inlineStr">
        <is>
          <t>Buses de pistolet poudre (lot de 5)</t>
        </is>
      </c>
      <c r="C76" s="7" t="inlineStr">
        <is>
          <t>Peinture &amp; traitement</t>
        </is>
      </c>
      <c r="D76" s="7" t="inlineStr">
        <is>
          <t>Surface Process Assistance</t>
        </is>
      </c>
      <c r="E76" s="7" t="inlineStr">
        <is>
          <t>F17-5365</t>
        </is>
      </c>
      <c r="F76" s="7" t="inlineStr">
        <is>
          <t>Mag. E-04-2</t>
        </is>
      </c>
      <c r="G76" s="7" t="inlineStr">
        <is>
          <t>Peinture</t>
        </is>
      </c>
      <c r="H76" s="7" t="inlineStr">
        <is>
          <t>Courante</t>
        </is>
      </c>
      <c r="I76" s="80" t="n">
        <v>65</v>
      </c>
      <c r="J76" s="67" t="n">
        <v>4</v>
      </c>
      <c r="K76" s="68">
        <f>IF($A76="","",SUMIFS('Mouvements stock'!$F$5:$F$3004,'Mouvements stock'!$D$5:$D$3004,$A76,'Mouvements stock'!$C$5:$C$3004,"Entrée")+SUMIFS('Mouvements stock'!$F$5:$F$3004,'Mouvements stock'!$D$5:$D$3004,$A76,'Mouvements stock'!$C$5:$C$3004,"Retour"))</f>
        <v/>
      </c>
      <c r="L76" s="68">
        <f>IF($A76="","",SUMIFS('Mouvements stock'!$F$5:$F$3004,'Mouvements stock'!$D$5:$D$3004,$A76,'Mouvements stock'!$C$5:$C$3004,"Sortie"))</f>
        <v/>
      </c>
      <c r="M76" s="79">
        <f>IF($A76="","",N(J76)+N(K76)-N(L76))</f>
        <v/>
      </c>
      <c r="N76" s="67" t="n">
        <v>2</v>
      </c>
      <c r="O76" s="67" t="n">
        <v>6</v>
      </c>
      <c r="P76" s="67" t="n"/>
      <c r="Q76" s="67" t="n">
        <v>10</v>
      </c>
      <c r="R76" s="70">
        <f>IF($A76="","",MAX(0,M76)*N(I76))</f>
        <v/>
      </c>
      <c r="S76" s="9">
        <f>IF($A76="","",IF(M76&lt;=0,IF(N(P76)&gt;0,"Rupture - en cde","RUPTURE"),IF(M76+N(P76)&lt;=N76,"À COMMANDER",IF(M76&lt;=N76,"Commande en cours","OK"))))</f>
        <v/>
      </c>
      <c r="T76" s="68">
        <f>IF($A76="","",IF(OR(S76="À COMMANDER",S76="RUPTURE"),MAX(1,O76-M76-N(P76)),0))</f>
        <v/>
      </c>
      <c r="U76" s="68">
        <f>IF($A76="","",SUMIFS('Mouvements stock'!$F$5:$F$3004,'Mouvements stock'!$D$5:$D$3004,$A76,'Mouvements stock'!$C$5:$C$3004,"Sortie",'Mouvements stock'!$B$5:$B$3004,"&gt;="&amp;'Paramètres'!$AA$6,'Mouvements stock'!$B$5:$B$3004,"&lt;"&amp;('Paramètres'!$AA$7+1)))</f>
        <v/>
      </c>
      <c r="V76" s="78">
        <f>IF($A76="","",IF(COUNTIF('Mouvements stock'!$D$5:$D$3004,$A76)=0,"",_xlfn.MAXIFS('Mouvements stock'!$B$5:$B$3004,'Mouvements stock'!$D$5:$D$3004,$A76)))</f>
        <v/>
      </c>
    </row>
    <row r="77">
      <c r="A77" s="7" t="inlineStr">
        <is>
          <t>PD-0073</t>
        </is>
      </c>
      <c r="B77" s="7" t="inlineStr">
        <is>
          <t>Pompe doseuse de bain</t>
        </is>
      </c>
      <c r="C77" s="7" t="inlineStr">
        <is>
          <t>Peinture &amp; traitement</t>
        </is>
      </c>
      <c r="D77" s="7" t="inlineStr">
        <is>
          <t>Surface Process Assistance</t>
        </is>
      </c>
      <c r="E77" s="7" t="inlineStr">
        <is>
          <t>F17-1951</t>
        </is>
      </c>
      <c r="F77" s="7" t="inlineStr">
        <is>
          <t>Mag. E-05-1</t>
        </is>
      </c>
      <c r="G77" s="7" t="inlineStr">
        <is>
          <t>Peinture, Eau</t>
        </is>
      </c>
      <c r="H77" s="7" t="inlineStr">
        <is>
          <t>Stratégique</t>
        </is>
      </c>
      <c r="I77" s="80" t="n">
        <v>560</v>
      </c>
      <c r="J77" s="67" t="n">
        <v>1</v>
      </c>
      <c r="K77" s="68">
        <f>IF($A77="","",SUMIFS('Mouvements stock'!$F$5:$F$3004,'Mouvements stock'!$D$5:$D$3004,$A77,'Mouvements stock'!$C$5:$C$3004,"Entrée")+SUMIFS('Mouvements stock'!$F$5:$F$3004,'Mouvements stock'!$D$5:$D$3004,$A77,'Mouvements stock'!$C$5:$C$3004,"Retour"))</f>
        <v/>
      </c>
      <c r="L77" s="68">
        <f>IF($A77="","",SUMIFS('Mouvements stock'!$F$5:$F$3004,'Mouvements stock'!$D$5:$D$3004,$A77,'Mouvements stock'!$C$5:$C$3004,"Sortie"))</f>
        <v/>
      </c>
      <c r="M77" s="79">
        <f>IF($A77="","",N(J77)+N(K77)-N(L77))</f>
        <v/>
      </c>
      <c r="N77" s="67" t="n">
        <v>1</v>
      </c>
      <c r="O77" s="67" t="n">
        <v>1</v>
      </c>
      <c r="P77" s="67" t="n"/>
      <c r="Q77" s="67" t="n">
        <v>15</v>
      </c>
      <c r="R77" s="70">
        <f>IF($A77="","",MAX(0,M77)*N(I77))</f>
        <v/>
      </c>
      <c r="S77" s="9">
        <f>IF($A77="","",IF(M77&lt;=0,IF(N(P77)&gt;0,"Rupture - en cde","RUPTURE"),IF(M77+N(P77)&lt;=N77,"À COMMANDER",IF(M77&lt;=N77,"Commande en cours","OK"))))</f>
        <v/>
      </c>
      <c r="T77" s="68">
        <f>IF($A77="","",IF(OR(S77="À COMMANDER",S77="RUPTURE"),MAX(1,O77-M77-N(P77)),0))</f>
        <v/>
      </c>
      <c r="U77" s="68">
        <f>IF($A77="","",SUMIFS('Mouvements stock'!$F$5:$F$3004,'Mouvements stock'!$D$5:$D$3004,$A77,'Mouvements stock'!$C$5:$C$3004,"Sortie",'Mouvements stock'!$B$5:$B$3004,"&gt;="&amp;'Paramètres'!$AA$6,'Mouvements stock'!$B$5:$B$3004,"&lt;"&amp;('Paramètres'!$AA$7+1)))</f>
        <v/>
      </c>
      <c r="V77" s="78">
        <f>IF($A77="","",IF(COUNTIF('Mouvements stock'!$D$5:$D$3004,$A77)=0,"",_xlfn.MAXIFS('Mouvements stock'!$B$5:$B$3004,'Mouvements stock'!$D$5:$D$3004,$A77)))</f>
        <v/>
      </c>
    </row>
    <row r="78">
      <c r="A78" s="7" t="inlineStr">
        <is>
          <t>PD-0074</t>
        </is>
      </c>
      <c r="B78" s="7" t="inlineStr">
        <is>
          <t>Lame de scie à ruban bimétal</t>
        </is>
      </c>
      <c r="C78" s="7" t="inlineStr">
        <is>
          <t>Divers</t>
        </is>
      </c>
      <c r="D78" s="7" t="inlineStr">
        <is>
          <t>Fournitures Industrielles Générales</t>
        </is>
      </c>
      <c r="E78" s="7" t="inlineStr">
        <is>
          <t>F15-1464</t>
        </is>
      </c>
      <c r="F78" s="7" t="inlineStr">
        <is>
          <t>Mag. E-05-2</t>
        </is>
      </c>
      <c r="G78" s="7" t="inlineStr">
        <is>
          <t>Scie</t>
        </is>
      </c>
      <c r="H78" s="7" t="inlineStr">
        <is>
          <t>Courante</t>
        </is>
      </c>
      <c r="I78" s="80" t="n">
        <v>78</v>
      </c>
      <c r="J78" s="67" t="n">
        <v>6</v>
      </c>
      <c r="K78" s="68">
        <f>IF($A78="","",SUMIFS('Mouvements stock'!$F$5:$F$3004,'Mouvements stock'!$D$5:$D$3004,$A78,'Mouvements stock'!$C$5:$C$3004,"Entrée")+SUMIFS('Mouvements stock'!$F$5:$F$3004,'Mouvements stock'!$D$5:$D$3004,$A78,'Mouvements stock'!$C$5:$C$3004,"Retour"))</f>
        <v/>
      </c>
      <c r="L78" s="68">
        <f>IF($A78="","",SUMIFS('Mouvements stock'!$F$5:$F$3004,'Mouvements stock'!$D$5:$D$3004,$A78,'Mouvements stock'!$C$5:$C$3004,"Sortie"))</f>
        <v/>
      </c>
      <c r="M78" s="79">
        <f>IF($A78="","",N(J78)+N(K78)-N(L78))</f>
        <v/>
      </c>
      <c r="N78" s="67" t="n">
        <v>3</v>
      </c>
      <c r="O78" s="67" t="n">
        <v>8</v>
      </c>
      <c r="P78" s="67" t="n"/>
      <c r="Q78" s="67" t="n">
        <v>5</v>
      </c>
      <c r="R78" s="70">
        <f>IF($A78="","",MAX(0,M78)*N(I78))</f>
        <v/>
      </c>
      <c r="S78" s="9">
        <f>IF($A78="","",IF(M78&lt;=0,IF(N(P78)&gt;0,"Rupture - en cde","RUPTURE"),IF(M78+N(P78)&lt;=N78,"À COMMANDER",IF(M78&lt;=N78,"Commande en cours","OK"))))</f>
        <v/>
      </c>
      <c r="T78" s="68">
        <f>IF($A78="","",IF(OR(S78="À COMMANDER",S78="RUPTURE"),MAX(1,O78-M78-N(P78)),0))</f>
        <v/>
      </c>
      <c r="U78" s="68">
        <f>IF($A78="","",SUMIFS('Mouvements stock'!$F$5:$F$3004,'Mouvements stock'!$D$5:$D$3004,$A78,'Mouvements stock'!$C$5:$C$3004,"Sortie",'Mouvements stock'!$B$5:$B$3004,"&gt;="&amp;'Paramètres'!$AA$6,'Mouvements stock'!$B$5:$B$3004,"&lt;"&amp;('Paramètres'!$AA$7+1)))</f>
        <v/>
      </c>
      <c r="V78" s="78">
        <f>IF($A78="","",IF(COUNTIF('Mouvements stock'!$D$5:$D$3004,$A78)=0,"",_xlfn.MAXIFS('Mouvements stock'!$B$5:$B$3004,'Mouvements stock'!$D$5:$D$3004,$A78)))</f>
        <v/>
      </c>
    </row>
    <row r="79">
      <c r="A79" s="7" t="inlineStr">
        <is>
          <t>PD-0075</t>
        </is>
      </c>
      <c r="B79" s="7" t="inlineStr">
        <is>
          <t>Assortiment visserie inox</t>
        </is>
      </c>
      <c r="C79" s="7" t="inlineStr">
        <is>
          <t>Divers</t>
        </is>
      </c>
      <c r="D79" s="7" t="inlineStr">
        <is>
          <t>Fournitures Industrielles Générales</t>
        </is>
      </c>
      <c r="E79" s="7" t="inlineStr">
        <is>
          <t>F15-1450</t>
        </is>
      </c>
      <c r="F79" s="7" t="inlineStr">
        <is>
          <t>Mag. E-06-1</t>
        </is>
      </c>
      <c r="G79" s="7" t="inlineStr">
        <is>
          <t>CNC, Convoyeur, Statique, Batiment, Mesure, Cvc</t>
        </is>
      </c>
      <c r="H79" s="7" t="inlineStr">
        <is>
          <t>Courante</t>
        </is>
      </c>
      <c r="I79" s="80" t="n">
        <v>45</v>
      </c>
      <c r="J79" s="67" t="n">
        <v>5</v>
      </c>
      <c r="K79" s="68">
        <f>IF($A79="","",SUMIFS('Mouvements stock'!$F$5:$F$3004,'Mouvements stock'!$D$5:$D$3004,$A79,'Mouvements stock'!$C$5:$C$3004,"Entrée")+SUMIFS('Mouvements stock'!$F$5:$F$3004,'Mouvements stock'!$D$5:$D$3004,$A79,'Mouvements stock'!$C$5:$C$3004,"Retour"))</f>
        <v/>
      </c>
      <c r="L79" s="68">
        <f>IF($A79="","",SUMIFS('Mouvements stock'!$F$5:$F$3004,'Mouvements stock'!$D$5:$D$3004,$A79,'Mouvements stock'!$C$5:$C$3004,"Sortie"))</f>
        <v/>
      </c>
      <c r="M79" s="79">
        <f>IF($A79="","",N(J79)+N(K79)-N(L79))</f>
        <v/>
      </c>
      <c r="N79" s="67" t="n">
        <v>2</v>
      </c>
      <c r="O79" s="67" t="n">
        <v>5</v>
      </c>
      <c r="P79" s="67" t="n"/>
      <c r="Q79" s="67" t="n">
        <v>2</v>
      </c>
      <c r="R79" s="70">
        <f>IF($A79="","",MAX(0,M79)*N(I79))</f>
        <v/>
      </c>
      <c r="S79" s="9">
        <f>IF($A79="","",IF(M79&lt;=0,IF(N(P79)&gt;0,"Rupture - en cde","RUPTURE"),IF(M79+N(P79)&lt;=N79,"À COMMANDER",IF(M79&lt;=N79,"Commande en cours","OK"))))</f>
        <v/>
      </c>
      <c r="T79" s="68">
        <f>IF($A79="","",IF(OR(S79="À COMMANDER",S79="RUPTURE"),MAX(1,O79-M79-N(P79)),0))</f>
        <v/>
      </c>
      <c r="U79" s="68">
        <f>IF($A79="","",SUMIFS('Mouvements stock'!$F$5:$F$3004,'Mouvements stock'!$D$5:$D$3004,$A79,'Mouvements stock'!$C$5:$C$3004,"Sortie",'Mouvements stock'!$B$5:$B$3004,"&gt;="&amp;'Paramètres'!$AA$6,'Mouvements stock'!$B$5:$B$3004,"&lt;"&amp;('Paramètres'!$AA$7+1)))</f>
        <v/>
      </c>
      <c r="V79" s="78">
        <f>IF($A79="","",IF(COUNTIF('Mouvements stock'!$D$5:$D$3004,$A79)=0,"",_xlfn.MAXIFS('Mouvements stock'!$B$5:$B$3004,'Mouvements stock'!$D$5:$D$3004,$A79)))</f>
        <v/>
      </c>
    </row>
    <row r="80">
      <c r="A80" s="7" t="inlineStr">
        <is>
          <t>PD-0076</t>
        </is>
      </c>
      <c r="B80" s="7" t="inlineStr">
        <is>
          <t>Coffret joints toriques assortis</t>
        </is>
      </c>
      <c r="C80" s="7" t="inlineStr">
        <is>
          <t>Divers</t>
        </is>
      </c>
      <c r="D80" s="7" t="inlineStr">
        <is>
          <t>Fournitures Industrielles Générales</t>
        </is>
      </c>
      <c r="E80" s="7" t="inlineStr">
        <is>
          <t>F15-1844</t>
        </is>
      </c>
      <c r="F80" s="7" t="inlineStr">
        <is>
          <t>Mag. E-06-2</t>
        </is>
      </c>
      <c r="G80" s="7" t="inlineStr">
        <is>
          <t>CNC, Presse, Compresseur, Statique</t>
        </is>
      </c>
      <c r="H80" s="7" t="inlineStr">
        <is>
          <t>Courante</t>
        </is>
      </c>
      <c r="I80" s="80" t="n">
        <v>65</v>
      </c>
      <c r="J80" s="67" t="n">
        <v>3</v>
      </c>
      <c r="K80" s="68">
        <f>IF($A80="","",SUMIFS('Mouvements stock'!$F$5:$F$3004,'Mouvements stock'!$D$5:$D$3004,$A80,'Mouvements stock'!$C$5:$C$3004,"Entrée")+SUMIFS('Mouvements stock'!$F$5:$F$3004,'Mouvements stock'!$D$5:$D$3004,$A80,'Mouvements stock'!$C$5:$C$3004,"Retour"))</f>
        <v/>
      </c>
      <c r="L80" s="68">
        <f>IF($A80="","",SUMIFS('Mouvements stock'!$F$5:$F$3004,'Mouvements stock'!$D$5:$D$3004,$A80,'Mouvements stock'!$C$5:$C$3004,"Sortie"))</f>
        <v/>
      </c>
      <c r="M80" s="79">
        <f>IF($A80="","",N(J80)+N(K80)-N(L80))</f>
        <v/>
      </c>
      <c r="N80" s="67" t="n">
        <v>1</v>
      </c>
      <c r="O80" s="67" t="n">
        <v>3</v>
      </c>
      <c r="P80" s="67" t="n"/>
      <c r="Q80" s="67" t="n">
        <v>3</v>
      </c>
      <c r="R80" s="70">
        <f>IF($A80="","",MAX(0,M80)*N(I80))</f>
        <v/>
      </c>
      <c r="S80" s="9">
        <f>IF($A80="","",IF(M80&lt;=0,IF(N(P80)&gt;0,"Rupture - en cde","RUPTURE"),IF(M80+N(P80)&lt;=N80,"À COMMANDER",IF(M80&lt;=N80,"Commande en cours","OK"))))</f>
        <v/>
      </c>
      <c r="T80" s="68">
        <f>IF($A80="","",IF(OR(S80="À COMMANDER",S80="RUPTURE"),MAX(1,O80-M80-N(P80)),0))</f>
        <v/>
      </c>
      <c r="U80" s="68">
        <f>IF($A80="","",SUMIFS('Mouvements stock'!$F$5:$F$3004,'Mouvements stock'!$D$5:$D$3004,$A80,'Mouvements stock'!$C$5:$C$3004,"Sortie",'Mouvements stock'!$B$5:$B$3004,"&gt;="&amp;'Paramètres'!$AA$6,'Mouvements stock'!$B$5:$B$3004,"&lt;"&amp;('Paramètres'!$AA$7+1)))</f>
        <v/>
      </c>
      <c r="V80" s="78">
        <f>IF($A80="","",IF(COUNTIF('Mouvements stock'!$D$5:$D$3004,$A80)=0,"",_xlfn.MAXIFS('Mouvements stock'!$B$5:$B$3004,'Mouvements stock'!$D$5:$D$3004,$A80)))</f>
        <v/>
      </c>
    </row>
    <row r="81">
      <c r="A81" s="7" t="n"/>
      <c r="B81" s="7" t="n"/>
      <c r="C81" s="7" t="n"/>
      <c r="D81" s="7" t="n"/>
      <c r="E81" s="7" t="n"/>
      <c r="F81" s="7" t="n"/>
      <c r="G81" s="7" t="n"/>
      <c r="H81" s="7" t="n"/>
      <c r="I81" s="80" t="n"/>
      <c r="J81" s="67" t="n"/>
      <c r="K81" s="68">
        <f>IF($A81="","",SUMIFS('Mouvements stock'!$F$5:$F$3004,'Mouvements stock'!$D$5:$D$3004,$A81,'Mouvements stock'!$C$5:$C$3004,"Entrée")+SUMIFS('Mouvements stock'!$F$5:$F$3004,'Mouvements stock'!$D$5:$D$3004,$A81,'Mouvements stock'!$C$5:$C$3004,"Retour"))</f>
        <v/>
      </c>
      <c r="L81" s="68">
        <f>IF($A81="","",SUMIFS('Mouvements stock'!$F$5:$F$3004,'Mouvements stock'!$D$5:$D$3004,$A81,'Mouvements stock'!$C$5:$C$3004,"Sortie"))</f>
        <v/>
      </c>
      <c r="M81" s="79">
        <f>IF($A81="","",N(J81)+N(K81)-N(L81))</f>
        <v/>
      </c>
      <c r="N81" s="67" t="n"/>
      <c r="O81" s="67" t="n"/>
      <c r="P81" s="67" t="n"/>
      <c r="Q81" s="67" t="n"/>
      <c r="R81" s="70">
        <f>IF($A81="","",MAX(0,M81)*N(I81))</f>
        <v/>
      </c>
      <c r="S81" s="9">
        <f>IF($A81="","",IF(M81&lt;=0,IF(N(P81)&gt;0,"Rupture - en cde","RUPTURE"),IF(M81+N(P81)&lt;=N81,"À COMMANDER",IF(M81&lt;=N81,"Commande en cours","OK"))))</f>
        <v/>
      </c>
      <c r="T81" s="68">
        <f>IF($A81="","",IF(OR(S81="À COMMANDER",S81="RUPTURE"),MAX(1,O81-M81-N(P81)),0))</f>
        <v/>
      </c>
      <c r="U81" s="68">
        <f>IF($A81="","",SUMIFS('Mouvements stock'!$F$5:$F$3004,'Mouvements stock'!$D$5:$D$3004,$A81,'Mouvements stock'!$C$5:$C$3004,"Sortie",'Mouvements stock'!$B$5:$B$3004,"&gt;="&amp;'Paramètres'!$AA$6,'Mouvements stock'!$B$5:$B$3004,"&lt;"&amp;('Paramètres'!$AA$7+1)))</f>
        <v/>
      </c>
      <c r="V81" s="78">
        <f>IF($A81="","",IF(COUNTIF('Mouvements stock'!$D$5:$D$3004,$A81)=0,"",_xlfn.MAXIFS('Mouvements stock'!$B$5:$B$3004,'Mouvements stock'!$D$5:$D$3004,$A81)))</f>
        <v/>
      </c>
    </row>
    <row r="82">
      <c r="A82" s="7" t="n"/>
      <c r="B82" s="7" t="n"/>
      <c r="C82" s="7" t="n"/>
      <c r="D82" s="7" t="n"/>
      <c r="E82" s="7" t="n"/>
      <c r="F82" s="7" t="n"/>
      <c r="G82" s="7" t="n"/>
      <c r="H82" s="7" t="n"/>
      <c r="I82" s="80" t="n"/>
      <c r="J82" s="67" t="n"/>
      <c r="K82" s="68">
        <f>IF($A82="","",SUMIFS('Mouvements stock'!$F$5:$F$3004,'Mouvements stock'!$D$5:$D$3004,$A82,'Mouvements stock'!$C$5:$C$3004,"Entrée")+SUMIFS('Mouvements stock'!$F$5:$F$3004,'Mouvements stock'!$D$5:$D$3004,$A82,'Mouvements stock'!$C$5:$C$3004,"Retour"))</f>
        <v/>
      </c>
      <c r="L82" s="68">
        <f>IF($A82="","",SUMIFS('Mouvements stock'!$F$5:$F$3004,'Mouvements stock'!$D$5:$D$3004,$A82,'Mouvements stock'!$C$5:$C$3004,"Sortie"))</f>
        <v/>
      </c>
      <c r="M82" s="79">
        <f>IF($A82="","",N(J82)+N(K82)-N(L82))</f>
        <v/>
      </c>
      <c r="N82" s="67" t="n"/>
      <c r="O82" s="67" t="n"/>
      <c r="P82" s="67" t="n"/>
      <c r="Q82" s="67" t="n"/>
      <c r="R82" s="70">
        <f>IF($A82="","",MAX(0,M82)*N(I82))</f>
        <v/>
      </c>
      <c r="S82" s="9">
        <f>IF($A82="","",IF(M82&lt;=0,IF(N(P82)&gt;0,"Rupture - en cde","RUPTURE"),IF(M82+N(P82)&lt;=N82,"À COMMANDER",IF(M82&lt;=N82,"Commande en cours","OK"))))</f>
        <v/>
      </c>
      <c r="T82" s="68">
        <f>IF($A82="","",IF(OR(S82="À COMMANDER",S82="RUPTURE"),MAX(1,O82-M82-N(P82)),0))</f>
        <v/>
      </c>
      <c r="U82" s="68">
        <f>IF($A82="","",SUMIFS('Mouvements stock'!$F$5:$F$3004,'Mouvements stock'!$D$5:$D$3004,$A82,'Mouvements stock'!$C$5:$C$3004,"Sortie",'Mouvements stock'!$B$5:$B$3004,"&gt;="&amp;'Paramètres'!$AA$6,'Mouvements stock'!$B$5:$B$3004,"&lt;"&amp;('Paramètres'!$AA$7+1)))</f>
        <v/>
      </c>
      <c r="V82" s="78">
        <f>IF($A82="","",IF(COUNTIF('Mouvements stock'!$D$5:$D$3004,$A82)=0,"",_xlfn.MAXIFS('Mouvements stock'!$B$5:$B$3004,'Mouvements stock'!$D$5:$D$3004,$A82)))</f>
        <v/>
      </c>
    </row>
    <row r="83">
      <c r="A83" s="7" t="n"/>
      <c r="B83" s="7" t="n"/>
      <c r="C83" s="7" t="n"/>
      <c r="D83" s="7" t="n"/>
      <c r="E83" s="7" t="n"/>
      <c r="F83" s="7" t="n"/>
      <c r="G83" s="7" t="n"/>
      <c r="H83" s="7" t="n"/>
      <c r="I83" s="80" t="n"/>
      <c r="J83" s="67" t="n"/>
      <c r="K83" s="68">
        <f>IF($A83="","",SUMIFS('Mouvements stock'!$F$5:$F$3004,'Mouvements stock'!$D$5:$D$3004,$A83,'Mouvements stock'!$C$5:$C$3004,"Entrée")+SUMIFS('Mouvements stock'!$F$5:$F$3004,'Mouvements stock'!$D$5:$D$3004,$A83,'Mouvements stock'!$C$5:$C$3004,"Retour"))</f>
        <v/>
      </c>
      <c r="L83" s="68">
        <f>IF($A83="","",SUMIFS('Mouvements stock'!$F$5:$F$3004,'Mouvements stock'!$D$5:$D$3004,$A83,'Mouvements stock'!$C$5:$C$3004,"Sortie"))</f>
        <v/>
      </c>
      <c r="M83" s="79">
        <f>IF($A83="","",N(J83)+N(K83)-N(L83))</f>
        <v/>
      </c>
      <c r="N83" s="67" t="n"/>
      <c r="O83" s="67" t="n"/>
      <c r="P83" s="67" t="n"/>
      <c r="Q83" s="67" t="n"/>
      <c r="R83" s="70">
        <f>IF($A83="","",MAX(0,M83)*N(I83))</f>
        <v/>
      </c>
      <c r="S83" s="9">
        <f>IF($A83="","",IF(M83&lt;=0,IF(N(P83)&gt;0,"Rupture - en cde","RUPTURE"),IF(M83+N(P83)&lt;=N83,"À COMMANDER",IF(M83&lt;=N83,"Commande en cours","OK"))))</f>
        <v/>
      </c>
      <c r="T83" s="68">
        <f>IF($A83="","",IF(OR(S83="À COMMANDER",S83="RUPTURE"),MAX(1,O83-M83-N(P83)),0))</f>
        <v/>
      </c>
      <c r="U83" s="68">
        <f>IF($A83="","",SUMIFS('Mouvements stock'!$F$5:$F$3004,'Mouvements stock'!$D$5:$D$3004,$A83,'Mouvements stock'!$C$5:$C$3004,"Sortie",'Mouvements stock'!$B$5:$B$3004,"&gt;="&amp;'Paramètres'!$AA$6,'Mouvements stock'!$B$5:$B$3004,"&lt;"&amp;('Paramètres'!$AA$7+1)))</f>
        <v/>
      </c>
      <c r="V83" s="78">
        <f>IF($A83="","",IF(COUNTIF('Mouvements stock'!$D$5:$D$3004,$A83)=0,"",_xlfn.MAXIFS('Mouvements stock'!$B$5:$B$3004,'Mouvements stock'!$D$5:$D$3004,$A83)))</f>
        <v/>
      </c>
    </row>
    <row r="84">
      <c r="A84" s="7" t="n"/>
      <c r="B84" s="7" t="n"/>
      <c r="C84" s="7" t="n"/>
      <c r="D84" s="7" t="n"/>
      <c r="E84" s="7" t="n"/>
      <c r="F84" s="7" t="n"/>
      <c r="G84" s="7" t="n"/>
      <c r="H84" s="7" t="n"/>
      <c r="I84" s="80" t="n"/>
      <c r="J84" s="67" t="n"/>
      <c r="K84" s="68">
        <f>IF($A84="","",SUMIFS('Mouvements stock'!$F$5:$F$3004,'Mouvements stock'!$D$5:$D$3004,$A84,'Mouvements stock'!$C$5:$C$3004,"Entrée")+SUMIFS('Mouvements stock'!$F$5:$F$3004,'Mouvements stock'!$D$5:$D$3004,$A84,'Mouvements stock'!$C$5:$C$3004,"Retour"))</f>
        <v/>
      </c>
      <c r="L84" s="68">
        <f>IF($A84="","",SUMIFS('Mouvements stock'!$F$5:$F$3004,'Mouvements stock'!$D$5:$D$3004,$A84,'Mouvements stock'!$C$5:$C$3004,"Sortie"))</f>
        <v/>
      </c>
      <c r="M84" s="79">
        <f>IF($A84="","",N(J84)+N(K84)-N(L84))</f>
        <v/>
      </c>
      <c r="N84" s="67" t="n"/>
      <c r="O84" s="67" t="n"/>
      <c r="P84" s="67" t="n"/>
      <c r="Q84" s="67" t="n"/>
      <c r="R84" s="70">
        <f>IF($A84="","",MAX(0,M84)*N(I84))</f>
        <v/>
      </c>
      <c r="S84" s="9">
        <f>IF($A84="","",IF(M84&lt;=0,IF(N(P84)&gt;0,"Rupture - en cde","RUPTURE"),IF(M84+N(P84)&lt;=N84,"À COMMANDER",IF(M84&lt;=N84,"Commande en cours","OK"))))</f>
        <v/>
      </c>
      <c r="T84" s="68">
        <f>IF($A84="","",IF(OR(S84="À COMMANDER",S84="RUPTURE"),MAX(1,O84-M84-N(P84)),0))</f>
        <v/>
      </c>
      <c r="U84" s="68">
        <f>IF($A84="","",SUMIFS('Mouvements stock'!$F$5:$F$3004,'Mouvements stock'!$D$5:$D$3004,$A84,'Mouvements stock'!$C$5:$C$3004,"Sortie",'Mouvements stock'!$B$5:$B$3004,"&gt;="&amp;'Paramètres'!$AA$6,'Mouvements stock'!$B$5:$B$3004,"&lt;"&amp;('Paramètres'!$AA$7+1)))</f>
        <v/>
      </c>
      <c r="V84" s="78">
        <f>IF($A84="","",IF(COUNTIF('Mouvements stock'!$D$5:$D$3004,$A84)=0,"",_xlfn.MAXIFS('Mouvements stock'!$B$5:$B$3004,'Mouvements stock'!$D$5:$D$3004,$A84)))</f>
        <v/>
      </c>
    </row>
    <row r="85">
      <c r="A85" s="7" t="n"/>
      <c r="B85" s="7" t="n"/>
      <c r="C85" s="7" t="n"/>
      <c r="D85" s="7" t="n"/>
      <c r="E85" s="7" t="n"/>
      <c r="F85" s="7" t="n"/>
      <c r="G85" s="7" t="n"/>
      <c r="H85" s="7" t="n"/>
      <c r="I85" s="80" t="n"/>
      <c r="J85" s="67" t="n"/>
      <c r="K85" s="68">
        <f>IF($A85="","",SUMIFS('Mouvements stock'!$F$5:$F$3004,'Mouvements stock'!$D$5:$D$3004,$A85,'Mouvements stock'!$C$5:$C$3004,"Entrée")+SUMIFS('Mouvements stock'!$F$5:$F$3004,'Mouvements stock'!$D$5:$D$3004,$A85,'Mouvements stock'!$C$5:$C$3004,"Retour"))</f>
        <v/>
      </c>
      <c r="L85" s="68">
        <f>IF($A85="","",SUMIFS('Mouvements stock'!$F$5:$F$3004,'Mouvements stock'!$D$5:$D$3004,$A85,'Mouvements stock'!$C$5:$C$3004,"Sortie"))</f>
        <v/>
      </c>
      <c r="M85" s="79">
        <f>IF($A85="","",N(J85)+N(K85)-N(L85))</f>
        <v/>
      </c>
      <c r="N85" s="67" t="n"/>
      <c r="O85" s="67" t="n"/>
      <c r="P85" s="67" t="n"/>
      <c r="Q85" s="67" t="n"/>
      <c r="R85" s="70">
        <f>IF($A85="","",MAX(0,M85)*N(I85))</f>
        <v/>
      </c>
      <c r="S85" s="9">
        <f>IF($A85="","",IF(M85&lt;=0,IF(N(P85)&gt;0,"Rupture - en cde","RUPTURE"),IF(M85+N(P85)&lt;=N85,"À COMMANDER",IF(M85&lt;=N85,"Commande en cours","OK"))))</f>
        <v/>
      </c>
      <c r="T85" s="68">
        <f>IF($A85="","",IF(OR(S85="À COMMANDER",S85="RUPTURE"),MAX(1,O85-M85-N(P85)),0))</f>
        <v/>
      </c>
      <c r="U85" s="68">
        <f>IF($A85="","",SUMIFS('Mouvements stock'!$F$5:$F$3004,'Mouvements stock'!$D$5:$D$3004,$A85,'Mouvements stock'!$C$5:$C$3004,"Sortie",'Mouvements stock'!$B$5:$B$3004,"&gt;="&amp;'Paramètres'!$AA$6,'Mouvements stock'!$B$5:$B$3004,"&lt;"&amp;('Paramètres'!$AA$7+1)))</f>
        <v/>
      </c>
      <c r="V85" s="78">
        <f>IF($A85="","",IF(COUNTIF('Mouvements stock'!$D$5:$D$3004,$A85)=0,"",_xlfn.MAXIFS('Mouvements stock'!$B$5:$B$3004,'Mouvements stock'!$D$5:$D$3004,$A85)))</f>
        <v/>
      </c>
    </row>
    <row r="86">
      <c r="A86" s="7" t="n"/>
      <c r="B86" s="7" t="n"/>
      <c r="C86" s="7" t="n"/>
      <c r="D86" s="7" t="n"/>
      <c r="E86" s="7" t="n"/>
      <c r="F86" s="7" t="n"/>
      <c r="G86" s="7" t="n"/>
      <c r="H86" s="7" t="n"/>
      <c r="I86" s="80" t="n"/>
      <c r="J86" s="67" t="n"/>
      <c r="K86" s="68">
        <f>IF($A86="","",SUMIFS('Mouvements stock'!$F$5:$F$3004,'Mouvements stock'!$D$5:$D$3004,$A86,'Mouvements stock'!$C$5:$C$3004,"Entrée")+SUMIFS('Mouvements stock'!$F$5:$F$3004,'Mouvements stock'!$D$5:$D$3004,$A86,'Mouvements stock'!$C$5:$C$3004,"Retour"))</f>
        <v/>
      </c>
      <c r="L86" s="68">
        <f>IF($A86="","",SUMIFS('Mouvements stock'!$F$5:$F$3004,'Mouvements stock'!$D$5:$D$3004,$A86,'Mouvements stock'!$C$5:$C$3004,"Sortie"))</f>
        <v/>
      </c>
      <c r="M86" s="79">
        <f>IF($A86="","",N(J86)+N(K86)-N(L86))</f>
        <v/>
      </c>
      <c r="N86" s="67" t="n"/>
      <c r="O86" s="67" t="n"/>
      <c r="P86" s="67" t="n"/>
      <c r="Q86" s="67" t="n"/>
      <c r="R86" s="70">
        <f>IF($A86="","",MAX(0,M86)*N(I86))</f>
        <v/>
      </c>
      <c r="S86" s="9">
        <f>IF($A86="","",IF(M86&lt;=0,IF(N(P86)&gt;0,"Rupture - en cde","RUPTURE"),IF(M86+N(P86)&lt;=N86,"À COMMANDER",IF(M86&lt;=N86,"Commande en cours","OK"))))</f>
        <v/>
      </c>
      <c r="T86" s="68">
        <f>IF($A86="","",IF(OR(S86="À COMMANDER",S86="RUPTURE"),MAX(1,O86-M86-N(P86)),0))</f>
        <v/>
      </c>
      <c r="U86" s="68">
        <f>IF($A86="","",SUMIFS('Mouvements stock'!$F$5:$F$3004,'Mouvements stock'!$D$5:$D$3004,$A86,'Mouvements stock'!$C$5:$C$3004,"Sortie",'Mouvements stock'!$B$5:$B$3004,"&gt;="&amp;'Paramètres'!$AA$6,'Mouvements stock'!$B$5:$B$3004,"&lt;"&amp;('Paramètres'!$AA$7+1)))</f>
        <v/>
      </c>
      <c r="V86" s="78">
        <f>IF($A86="","",IF(COUNTIF('Mouvements stock'!$D$5:$D$3004,$A86)=0,"",_xlfn.MAXIFS('Mouvements stock'!$B$5:$B$3004,'Mouvements stock'!$D$5:$D$3004,$A86)))</f>
        <v/>
      </c>
    </row>
    <row r="87">
      <c r="A87" s="7" t="n"/>
      <c r="B87" s="7" t="n"/>
      <c r="C87" s="7" t="n"/>
      <c r="D87" s="7" t="n"/>
      <c r="E87" s="7" t="n"/>
      <c r="F87" s="7" t="n"/>
      <c r="G87" s="7" t="n"/>
      <c r="H87" s="7" t="n"/>
      <c r="I87" s="80" t="n"/>
      <c r="J87" s="67" t="n"/>
      <c r="K87" s="68">
        <f>IF($A87="","",SUMIFS('Mouvements stock'!$F$5:$F$3004,'Mouvements stock'!$D$5:$D$3004,$A87,'Mouvements stock'!$C$5:$C$3004,"Entrée")+SUMIFS('Mouvements stock'!$F$5:$F$3004,'Mouvements stock'!$D$5:$D$3004,$A87,'Mouvements stock'!$C$5:$C$3004,"Retour"))</f>
        <v/>
      </c>
      <c r="L87" s="68">
        <f>IF($A87="","",SUMIFS('Mouvements stock'!$F$5:$F$3004,'Mouvements stock'!$D$5:$D$3004,$A87,'Mouvements stock'!$C$5:$C$3004,"Sortie"))</f>
        <v/>
      </c>
      <c r="M87" s="79">
        <f>IF($A87="","",N(J87)+N(K87)-N(L87))</f>
        <v/>
      </c>
      <c r="N87" s="67" t="n"/>
      <c r="O87" s="67" t="n"/>
      <c r="P87" s="67" t="n"/>
      <c r="Q87" s="67" t="n"/>
      <c r="R87" s="70">
        <f>IF($A87="","",MAX(0,M87)*N(I87))</f>
        <v/>
      </c>
      <c r="S87" s="9">
        <f>IF($A87="","",IF(M87&lt;=0,IF(N(P87)&gt;0,"Rupture - en cde","RUPTURE"),IF(M87+N(P87)&lt;=N87,"À COMMANDER",IF(M87&lt;=N87,"Commande en cours","OK"))))</f>
        <v/>
      </c>
      <c r="T87" s="68">
        <f>IF($A87="","",IF(OR(S87="À COMMANDER",S87="RUPTURE"),MAX(1,O87-M87-N(P87)),0))</f>
        <v/>
      </c>
      <c r="U87" s="68">
        <f>IF($A87="","",SUMIFS('Mouvements stock'!$F$5:$F$3004,'Mouvements stock'!$D$5:$D$3004,$A87,'Mouvements stock'!$C$5:$C$3004,"Sortie",'Mouvements stock'!$B$5:$B$3004,"&gt;="&amp;'Paramètres'!$AA$6,'Mouvements stock'!$B$5:$B$3004,"&lt;"&amp;('Paramètres'!$AA$7+1)))</f>
        <v/>
      </c>
      <c r="V87" s="78">
        <f>IF($A87="","",IF(COUNTIF('Mouvements stock'!$D$5:$D$3004,$A87)=0,"",_xlfn.MAXIFS('Mouvements stock'!$B$5:$B$3004,'Mouvements stock'!$D$5:$D$3004,$A87)))</f>
        <v/>
      </c>
    </row>
    <row r="88">
      <c r="A88" s="7" t="n"/>
      <c r="B88" s="7" t="n"/>
      <c r="C88" s="7" t="n"/>
      <c r="D88" s="7" t="n"/>
      <c r="E88" s="7" t="n"/>
      <c r="F88" s="7" t="n"/>
      <c r="G88" s="7" t="n"/>
      <c r="H88" s="7" t="n"/>
      <c r="I88" s="80" t="n"/>
      <c r="J88" s="67" t="n"/>
      <c r="K88" s="68">
        <f>IF($A88="","",SUMIFS('Mouvements stock'!$F$5:$F$3004,'Mouvements stock'!$D$5:$D$3004,$A88,'Mouvements stock'!$C$5:$C$3004,"Entrée")+SUMIFS('Mouvements stock'!$F$5:$F$3004,'Mouvements stock'!$D$5:$D$3004,$A88,'Mouvements stock'!$C$5:$C$3004,"Retour"))</f>
        <v/>
      </c>
      <c r="L88" s="68">
        <f>IF($A88="","",SUMIFS('Mouvements stock'!$F$5:$F$3004,'Mouvements stock'!$D$5:$D$3004,$A88,'Mouvements stock'!$C$5:$C$3004,"Sortie"))</f>
        <v/>
      </c>
      <c r="M88" s="79">
        <f>IF($A88="","",N(J88)+N(K88)-N(L88))</f>
        <v/>
      </c>
      <c r="N88" s="67" t="n"/>
      <c r="O88" s="67" t="n"/>
      <c r="P88" s="67" t="n"/>
      <c r="Q88" s="67" t="n"/>
      <c r="R88" s="70">
        <f>IF($A88="","",MAX(0,M88)*N(I88))</f>
        <v/>
      </c>
      <c r="S88" s="9">
        <f>IF($A88="","",IF(M88&lt;=0,IF(N(P88)&gt;0,"Rupture - en cde","RUPTURE"),IF(M88+N(P88)&lt;=N88,"À COMMANDER",IF(M88&lt;=N88,"Commande en cours","OK"))))</f>
        <v/>
      </c>
      <c r="T88" s="68">
        <f>IF($A88="","",IF(OR(S88="À COMMANDER",S88="RUPTURE"),MAX(1,O88-M88-N(P88)),0))</f>
        <v/>
      </c>
      <c r="U88" s="68">
        <f>IF($A88="","",SUMIFS('Mouvements stock'!$F$5:$F$3004,'Mouvements stock'!$D$5:$D$3004,$A88,'Mouvements stock'!$C$5:$C$3004,"Sortie",'Mouvements stock'!$B$5:$B$3004,"&gt;="&amp;'Paramètres'!$AA$6,'Mouvements stock'!$B$5:$B$3004,"&lt;"&amp;('Paramètres'!$AA$7+1)))</f>
        <v/>
      </c>
      <c r="V88" s="78">
        <f>IF($A88="","",IF(COUNTIF('Mouvements stock'!$D$5:$D$3004,$A88)=0,"",_xlfn.MAXIFS('Mouvements stock'!$B$5:$B$3004,'Mouvements stock'!$D$5:$D$3004,$A88)))</f>
        <v/>
      </c>
    </row>
    <row r="89">
      <c r="A89" s="7" t="n"/>
      <c r="B89" s="7" t="n"/>
      <c r="C89" s="7" t="n"/>
      <c r="D89" s="7" t="n"/>
      <c r="E89" s="7" t="n"/>
      <c r="F89" s="7" t="n"/>
      <c r="G89" s="7" t="n"/>
      <c r="H89" s="7" t="n"/>
      <c r="I89" s="80" t="n"/>
      <c r="J89" s="67" t="n"/>
      <c r="K89" s="68">
        <f>IF($A89="","",SUMIFS('Mouvements stock'!$F$5:$F$3004,'Mouvements stock'!$D$5:$D$3004,$A89,'Mouvements stock'!$C$5:$C$3004,"Entrée")+SUMIFS('Mouvements stock'!$F$5:$F$3004,'Mouvements stock'!$D$5:$D$3004,$A89,'Mouvements stock'!$C$5:$C$3004,"Retour"))</f>
        <v/>
      </c>
      <c r="L89" s="68">
        <f>IF($A89="","",SUMIFS('Mouvements stock'!$F$5:$F$3004,'Mouvements stock'!$D$5:$D$3004,$A89,'Mouvements stock'!$C$5:$C$3004,"Sortie"))</f>
        <v/>
      </c>
      <c r="M89" s="79">
        <f>IF($A89="","",N(J89)+N(K89)-N(L89))</f>
        <v/>
      </c>
      <c r="N89" s="67" t="n"/>
      <c r="O89" s="67" t="n"/>
      <c r="P89" s="67" t="n"/>
      <c r="Q89" s="67" t="n"/>
      <c r="R89" s="70">
        <f>IF($A89="","",MAX(0,M89)*N(I89))</f>
        <v/>
      </c>
      <c r="S89" s="9">
        <f>IF($A89="","",IF(M89&lt;=0,IF(N(P89)&gt;0,"Rupture - en cde","RUPTURE"),IF(M89+N(P89)&lt;=N89,"À COMMANDER",IF(M89&lt;=N89,"Commande en cours","OK"))))</f>
        <v/>
      </c>
      <c r="T89" s="68">
        <f>IF($A89="","",IF(OR(S89="À COMMANDER",S89="RUPTURE"),MAX(1,O89-M89-N(P89)),0))</f>
        <v/>
      </c>
      <c r="U89" s="68">
        <f>IF($A89="","",SUMIFS('Mouvements stock'!$F$5:$F$3004,'Mouvements stock'!$D$5:$D$3004,$A89,'Mouvements stock'!$C$5:$C$3004,"Sortie",'Mouvements stock'!$B$5:$B$3004,"&gt;="&amp;'Paramètres'!$AA$6,'Mouvements stock'!$B$5:$B$3004,"&lt;"&amp;('Paramètres'!$AA$7+1)))</f>
        <v/>
      </c>
      <c r="V89" s="78">
        <f>IF($A89="","",IF(COUNTIF('Mouvements stock'!$D$5:$D$3004,$A89)=0,"",_xlfn.MAXIFS('Mouvements stock'!$B$5:$B$3004,'Mouvements stock'!$D$5:$D$3004,$A89)))</f>
        <v/>
      </c>
    </row>
    <row r="90">
      <c r="A90" s="7" t="n"/>
      <c r="B90" s="7" t="n"/>
      <c r="C90" s="7" t="n"/>
      <c r="D90" s="7" t="n"/>
      <c r="E90" s="7" t="n"/>
      <c r="F90" s="7" t="n"/>
      <c r="G90" s="7" t="n"/>
      <c r="H90" s="7" t="n"/>
      <c r="I90" s="80" t="n"/>
      <c r="J90" s="67" t="n"/>
      <c r="K90" s="68">
        <f>IF($A90="","",SUMIFS('Mouvements stock'!$F$5:$F$3004,'Mouvements stock'!$D$5:$D$3004,$A90,'Mouvements stock'!$C$5:$C$3004,"Entrée")+SUMIFS('Mouvements stock'!$F$5:$F$3004,'Mouvements stock'!$D$5:$D$3004,$A90,'Mouvements stock'!$C$5:$C$3004,"Retour"))</f>
        <v/>
      </c>
      <c r="L90" s="68">
        <f>IF($A90="","",SUMIFS('Mouvements stock'!$F$5:$F$3004,'Mouvements stock'!$D$5:$D$3004,$A90,'Mouvements stock'!$C$5:$C$3004,"Sortie"))</f>
        <v/>
      </c>
      <c r="M90" s="79">
        <f>IF($A90="","",N(J90)+N(K90)-N(L90))</f>
        <v/>
      </c>
      <c r="N90" s="67" t="n"/>
      <c r="O90" s="67" t="n"/>
      <c r="P90" s="67" t="n"/>
      <c r="Q90" s="67" t="n"/>
      <c r="R90" s="70">
        <f>IF($A90="","",MAX(0,M90)*N(I90))</f>
        <v/>
      </c>
      <c r="S90" s="9">
        <f>IF($A90="","",IF(M90&lt;=0,IF(N(P90)&gt;0,"Rupture - en cde","RUPTURE"),IF(M90+N(P90)&lt;=N90,"À COMMANDER",IF(M90&lt;=N90,"Commande en cours","OK"))))</f>
        <v/>
      </c>
      <c r="T90" s="68">
        <f>IF($A90="","",IF(OR(S90="À COMMANDER",S90="RUPTURE"),MAX(1,O90-M90-N(P90)),0))</f>
        <v/>
      </c>
      <c r="U90" s="68">
        <f>IF($A90="","",SUMIFS('Mouvements stock'!$F$5:$F$3004,'Mouvements stock'!$D$5:$D$3004,$A90,'Mouvements stock'!$C$5:$C$3004,"Sortie",'Mouvements stock'!$B$5:$B$3004,"&gt;="&amp;'Paramètres'!$AA$6,'Mouvements stock'!$B$5:$B$3004,"&lt;"&amp;('Paramètres'!$AA$7+1)))</f>
        <v/>
      </c>
      <c r="V90" s="78">
        <f>IF($A90="","",IF(COUNTIF('Mouvements stock'!$D$5:$D$3004,$A90)=0,"",_xlfn.MAXIFS('Mouvements stock'!$B$5:$B$3004,'Mouvements stock'!$D$5:$D$3004,$A90)))</f>
        <v/>
      </c>
    </row>
    <row r="91">
      <c r="A91" s="7" t="n"/>
      <c r="B91" s="7" t="n"/>
      <c r="C91" s="7" t="n"/>
      <c r="D91" s="7" t="n"/>
      <c r="E91" s="7" t="n"/>
      <c r="F91" s="7" t="n"/>
      <c r="G91" s="7" t="n"/>
      <c r="H91" s="7" t="n"/>
      <c r="I91" s="80" t="n"/>
      <c r="J91" s="67" t="n"/>
      <c r="K91" s="68">
        <f>IF($A91="","",SUMIFS('Mouvements stock'!$F$5:$F$3004,'Mouvements stock'!$D$5:$D$3004,$A91,'Mouvements stock'!$C$5:$C$3004,"Entrée")+SUMIFS('Mouvements stock'!$F$5:$F$3004,'Mouvements stock'!$D$5:$D$3004,$A91,'Mouvements stock'!$C$5:$C$3004,"Retour"))</f>
        <v/>
      </c>
      <c r="L91" s="68">
        <f>IF($A91="","",SUMIFS('Mouvements stock'!$F$5:$F$3004,'Mouvements stock'!$D$5:$D$3004,$A91,'Mouvements stock'!$C$5:$C$3004,"Sortie"))</f>
        <v/>
      </c>
      <c r="M91" s="79">
        <f>IF($A91="","",N(J91)+N(K91)-N(L91))</f>
        <v/>
      </c>
      <c r="N91" s="67" t="n"/>
      <c r="O91" s="67" t="n"/>
      <c r="P91" s="67" t="n"/>
      <c r="Q91" s="67" t="n"/>
      <c r="R91" s="70">
        <f>IF($A91="","",MAX(0,M91)*N(I91))</f>
        <v/>
      </c>
      <c r="S91" s="9">
        <f>IF($A91="","",IF(M91&lt;=0,IF(N(P91)&gt;0,"Rupture - en cde","RUPTURE"),IF(M91+N(P91)&lt;=N91,"À COMMANDER",IF(M91&lt;=N91,"Commande en cours","OK"))))</f>
        <v/>
      </c>
      <c r="T91" s="68">
        <f>IF($A91="","",IF(OR(S91="À COMMANDER",S91="RUPTURE"),MAX(1,O91-M91-N(P91)),0))</f>
        <v/>
      </c>
      <c r="U91" s="68">
        <f>IF($A91="","",SUMIFS('Mouvements stock'!$F$5:$F$3004,'Mouvements stock'!$D$5:$D$3004,$A91,'Mouvements stock'!$C$5:$C$3004,"Sortie",'Mouvements stock'!$B$5:$B$3004,"&gt;="&amp;'Paramètres'!$AA$6,'Mouvements stock'!$B$5:$B$3004,"&lt;"&amp;('Paramètres'!$AA$7+1)))</f>
        <v/>
      </c>
      <c r="V91" s="78">
        <f>IF($A91="","",IF(COUNTIF('Mouvements stock'!$D$5:$D$3004,$A91)=0,"",_xlfn.MAXIFS('Mouvements stock'!$B$5:$B$3004,'Mouvements stock'!$D$5:$D$3004,$A91)))</f>
        <v/>
      </c>
    </row>
    <row r="92">
      <c r="A92" s="7" t="n"/>
      <c r="B92" s="7" t="n"/>
      <c r="C92" s="7" t="n"/>
      <c r="D92" s="7" t="n"/>
      <c r="E92" s="7" t="n"/>
      <c r="F92" s="7" t="n"/>
      <c r="G92" s="7" t="n"/>
      <c r="H92" s="7" t="n"/>
      <c r="I92" s="80" t="n"/>
      <c r="J92" s="67" t="n"/>
      <c r="K92" s="68">
        <f>IF($A92="","",SUMIFS('Mouvements stock'!$F$5:$F$3004,'Mouvements stock'!$D$5:$D$3004,$A92,'Mouvements stock'!$C$5:$C$3004,"Entrée")+SUMIFS('Mouvements stock'!$F$5:$F$3004,'Mouvements stock'!$D$5:$D$3004,$A92,'Mouvements stock'!$C$5:$C$3004,"Retour"))</f>
        <v/>
      </c>
      <c r="L92" s="68">
        <f>IF($A92="","",SUMIFS('Mouvements stock'!$F$5:$F$3004,'Mouvements stock'!$D$5:$D$3004,$A92,'Mouvements stock'!$C$5:$C$3004,"Sortie"))</f>
        <v/>
      </c>
      <c r="M92" s="79">
        <f>IF($A92="","",N(J92)+N(K92)-N(L92))</f>
        <v/>
      </c>
      <c r="N92" s="67" t="n"/>
      <c r="O92" s="67" t="n"/>
      <c r="P92" s="67" t="n"/>
      <c r="Q92" s="67" t="n"/>
      <c r="R92" s="70">
        <f>IF($A92="","",MAX(0,M92)*N(I92))</f>
        <v/>
      </c>
      <c r="S92" s="9">
        <f>IF($A92="","",IF(M92&lt;=0,IF(N(P92)&gt;0,"Rupture - en cde","RUPTURE"),IF(M92+N(P92)&lt;=N92,"À COMMANDER",IF(M92&lt;=N92,"Commande en cours","OK"))))</f>
        <v/>
      </c>
      <c r="T92" s="68">
        <f>IF($A92="","",IF(OR(S92="À COMMANDER",S92="RUPTURE"),MAX(1,O92-M92-N(P92)),0))</f>
        <v/>
      </c>
      <c r="U92" s="68">
        <f>IF($A92="","",SUMIFS('Mouvements stock'!$F$5:$F$3004,'Mouvements stock'!$D$5:$D$3004,$A92,'Mouvements stock'!$C$5:$C$3004,"Sortie",'Mouvements stock'!$B$5:$B$3004,"&gt;="&amp;'Paramètres'!$AA$6,'Mouvements stock'!$B$5:$B$3004,"&lt;"&amp;('Paramètres'!$AA$7+1)))</f>
        <v/>
      </c>
      <c r="V92" s="78">
        <f>IF($A92="","",IF(COUNTIF('Mouvements stock'!$D$5:$D$3004,$A92)=0,"",_xlfn.MAXIFS('Mouvements stock'!$B$5:$B$3004,'Mouvements stock'!$D$5:$D$3004,$A92)))</f>
        <v/>
      </c>
    </row>
    <row r="93">
      <c r="A93" s="7" t="n"/>
      <c r="B93" s="7" t="n"/>
      <c r="C93" s="7" t="n"/>
      <c r="D93" s="7" t="n"/>
      <c r="E93" s="7" t="n"/>
      <c r="F93" s="7" t="n"/>
      <c r="G93" s="7" t="n"/>
      <c r="H93" s="7" t="n"/>
      <c r="I93" s="80" t="n"/>
      <c r="J93" s="67" t="n"/>
      <c r="K93" s="68">
        <f>IF($A93="","",SUMIFS('Mouvements stock'!$F$5:$F$3004,'Mouvements stock'!$D$5:$D$3004,$A93,'Mouvements stock'!$C$5:$C$3004,"Entrée")+SUMIFS('Mouvements stock'!$F$5:$F$3004,'Mouvements stock'!$D$5:$D$3004,$A93,'Mouvements stock'!$C$5:$C$3004,"Retour"))</f>
        <v/>
      </c>
      <c r="L93" s="68">
        <f>IF($A93="","",SUMIFS('Mouvements stock'!$F$5:$F$3004,'Mouvements stock'!$D$5:$D$3004,$A93,'Mouvements stock'!$C$5:$C$3004,"Sortie"))</f>
        <v/>
      </c>
      <c r="M93" s="79">
        <f>IF($A93="","",N(J93)+N(K93)-N(L93))</f>
        <v/>
      </c>
      <c r="N93" s="67" t="n"/>
      <c r="O93" s="67" t="n"/>
      <c r="P93" s="67" t="n"/>
      <c r="Q93" s="67" t="n"/>
      <c r="R93" s="70">
        <f>IF($A93="","",MAX(0,M93)*N(I93))</f>
        <v/>
      </c>
      <c r="S93" s="9">
        <f>IF($A93="","",IF(M93&lt;=0,IF(N(P93)&gt;0,"Rupture - en cde","RUPTURE"),IF(M93+N(P93)&lt;=N93,"À COMMANDER",IF(M93&lt;=N93,"Commande en cours","OK"))))</f>
        <v/>
      </c>
      <c r="T93" s="68">
        <f>IF($A93="","",IF(OR(S93="À COMMANDER",S93="RUPTURE"),MAX(1,O93-M93-N(P93)),0))</f>
        <v/>
      </c>
      <c r="U93" s="68">
        <f>IF($A93="","",SUMIFS('Mouvements stock'!$F$5:$F$3004,'Mouvements stock'!$D$5:$D$3004,$A93,'Mouvements stock'!$C$5:$C$3004,"Sortie",'Mouvements stock'!$B$5:$B$3004,"&gt;="&amp;'Paramètres'!$AA$6,'Mouvements stock'!$B$5:$B$3004,"&lt;"&amp;('Paramètres'!$AA$7+1)))</f>
        <v/>
      </c>
      <c r="V93" s="78">
        <f>IF($A93="","",IF(COUNTIF('Mouvements stock'!$D$5:$D$3004,$A93)=0,"",_xlfn.MAXIFS('Mouvements stock'!$B$5:$B$3004,'Mouvements stock'!$D$5:$D$3004,$A93)))</f>
        <v/>
      </c>
    </row>
    <row r="94">
      <c r="A94" s="7" t="n"/>
      <c r="B94" s="7" t="n"/>
      <c r="C94" s="7" t="n"/>
      <c r="D94" s="7" t="n"/>
      <c r="E94" s="7" t="n"/>
      <c r="F94" s="7" t="n"/>
      <c r="G94" s="7" t="n"/>
      <c r="H94" s="7" t="n"/>
      <c r="I94" s="80" t="n"/>
      <c r="J94" s="67" t="n"/>
      <c r="K94" s="68">
        <f>IF($A94="","",SUMIFS('Mouvements stock'!$F$5:$F$3004,'Mouvements stock'!$D$5:$D$3004,$A94,'Mouvements stock'!$C$5:$C$3004,"Entrée")+SUMIFS('Mouvements stock'!$F$5:$F$3004,'Mouvements stock'!$D$5:$D$3004,$A94,'Mouvements stock'!$C$5:$C$3004,"Retour"))</f>
        <v/>
      </c>
      <c r="L94" s="68">
        <f>IF($A94="","",SUMIFS('Mouvements stock'!$F$5:$F$3004,'Mouvements stock'!$D$5:$D$3004,$A94,'Mouvements stock'!$C$5:$C$3004,"Sortie"))</f>
        <v/>
      </c>
      <c r="M94" s="79">
        <f>IF($A94="","",N(J94)+N(K94)-N(L94))</f>
        <v/>
      </c>
      <c r="N94" s="67" t="n"/>
      <c r="O94" s="67" t="n"/>
      <c r="P94" s="67" t="n"/>
      <c r="Q94" s="67" t="n"/>
      <c r="R94" s="70">
        <f>IF($A94="","",MAX(0,M94)*N(I94))</f>
        <v/>
      </c>
      <c r="S94" s="9">
        <f>IF($A94="","",IF(M94&lt;=0,IF(N(P94)&gt;0,"Rupture - en cde","RUPTURE"),IF(M94+N(P94)&lt;=N94,"À COMMANDER",IF(M94&lt;=N94,"Commande en cours","OK"))))</f>
        <v/>
      </c>
      <c r="T94" s="68">
        <f>IF($A94="","",IF(OR(S94="À COMMANDER",S94="RUPTURE"),MAX(1,O94-M94-N(P94)),0))</f>
        <v/>
      </c>
      <c r="U94" s="68">
        <f>IF($A94="","",SUMIFS('Mouvements stock'!$F$5:$F$3004,'Mouvements stock'!$D$5:$D$3004,$A94,'Mouvements stock'!$C$5:$C$3004,"Sortie",'Mouvements stock'!$B$5:$B$3004,"&gt;="&amp;'Paramètres'!$AA$6,'Mouvements stock'!$B$5:$B$3004,"&lt;"&amp;('Paramètres'!$AA$7+1)))</f>
        <v/>
      </c>
      <c r="V94" s="78">
        <f>IF($A94="","",IF(COUNTIF('Mouvements stock'!$D$5:$D$3004,$A94)=0,"",_xlfn.MAXIFS('Mouvements stock'!$B$5:$B$3004,'Mouvements stock'!$D$5:$D$3004,$A94)))</f>
        <v/>
      </c>
    </row>
    <row r="95">
      <c r="A95" s="7" t="n"/>
      <c r="B95" s="7" t="n"/>
      <c r="C95" s="7" t="n"/>
      <c r="D95" s="7" t="n"/>
      <c r="E95" s="7" t="n"/>
      <c r="F95" s="7" t="n"/>
      <c r="G95" s="7" t="n"/>
      <c r="H95" s="7" t="n"/>
      <c r="I95" s="80" t="n"/>
      <c r="J95" s="67" t="n"/>
      <c r="K95" s="68">
        <f>IF($A95="","",SUMIFS('Mouvements stock'!$F$5:$F$3004,'Mouvements stock'!$D$5:$D$3004,$A95,'Mouvements stock'!$C$5:$C$3004,"Entrée")+SUMIFS('Mouvements stock'!$F$5:$F$3004,'Mouvements stock'!$D$5:$D$3004,$A95,'Mouvements stock'!$C$5:$C$3004,"Retour"))</f>
        <v/>
      </c>
      <c r="L95" s="68">
        <f>IF($A95="","",SUMIFS('Mouvements stock'!$F$5:$F$3004,'Mouvements stock'!$D$5:$D$3004,$A95,'Mouvements stock'!$C$5:$C$3004,"Sortie"))</f>
        <v/>
      </c>
      <c r="M95" s="79">
        <f>IF($A95="","",N(J95)+N(K95)-N(L95))</f>
        <v/>
      </c>
      <c r="N95" s="67" t="n"/>
      <c r="O95" s="67" t="n"/>
      <c r="P95" s="67" t="n"/>
      <c r="Q95" s="67" t="n"/>
      <c r="R95" s="70">
        <f>IF($A95="","",MAX(0,M95)*N(I95))</f>
        <v/>
      </c>
      <c r="S95" s="9">
        <f>IF($A95="","",IF(M95&lt;=0,IF(N(P95)&gt;0,"Rupture - en cde","RUPTURE"),IF(M95+N(P95)&lt;=N95,"À COMMANDER",IF(M95&lt;=N95,"Commande en cours","OK"))))</f>
        <v/>
      </c>
      <c r="T95" s="68">
        <f>IF($A95="","",IF(OR(S95="À COMMANDER",S95="RUPTURE"),MAX(1,O95-M95-N(P95)),0))</f>
        <v/>
      </c>
      <c r="U95" s="68">
        <f>IF($A95="","",SUMIFS('Mouvements stock'!$F$5:$F$3004,'Mouvements stock'!$D$5:$D$3004,$A95,'Mouvements stock'!$C$5:$C$3004,"Sortie",'Mouvements stock'!$B$5:$B$3004,"&gt;="&amp;'Paramètres'!$AA$6,'Mouvements stock'!$B$5:$B$3004,"&lt;"&amp;('Paramètres'!$AA$7+1)))</f>
        <v/>
      </c>
      <c r="V95" s="78">
        <f>IF($A95="","",IF(COUNTIF('Mouvements stock'!$D$5:$D$3004,$A95)=0,"",_xlfn.MAXIFS('Mouvements stock'!$B$5:$B$3004,'Mouvements stock'!$D$5:$D$3004,$A95)))</f>
        <v/>
      </c>
    </row>
    <row r="96">
      <c r="A96" s="7" t="n"/>
      <c r="B96" s="7" t="n"/>
      <c r="C96" s="7" t="n"/>
      <c r="D96" s="7" t="n"/>
      <c r="E96" s="7" t="n"/>
      <c r="F96" s="7" t="n"/>
      <c r="G96" s="7" t="n"/>
      <c r="H96" s="7" t="n"/>
      <c r="I96" s="80" t="n"/>
      <c r="J96" s="67" t="n"/>
      <c r="K96" s="68">
        <f>IF($A96="","",SUMIFS('Mouvements stock'!$F$5:$F$3004,'Mouvements stock'!$D$5:$D$3004,$A96,'Mouvements stock'!$C$5:$C$3004,"Entrée")+SUMIFS('Mouvements stock'!$F$5:$F$3004,'Mouvements stock'!$D$5:$D$3004,$A96,'Mouvements stock'!$C$5:$C$3004,"Retour"))</f>
        <v/>
      </c>
      <c r="L96" s="68">
        <f>IF($A96="","",SUMIFS('Mouvements stock'!$F$5:$F$3004,'Mouvements stock'!$D$5:$D$3004,$A96,'Mouvements stock'!$C$5:$C$3004,"Sortie"))</f>
        <v/>
      </c>
      <c r="M96" s="79">
        <f>IF($A96="","",N(J96)+N(K96)-N(L96))</f>
        <v/>
      </c>
      <c r="N96" s="67" t="n"/>
      <c r="O96" s="67" t="n"/>
      <c r="P96" s="67" t="n"/>
      <c r="Q96" s="67" t="n"/>
      <c r="R96" s="70">
        <f>IF($A96="","",MAX(0,M96)*N(I96))</f>
        <v/>
      </c>
      <c r="S96" s="9">
        <f>IF($A96="","",IF(M96&lt;=0,IF(N(P96)&gt;0,"Rupture - en cde","RUPTURE"),IF(M96+N(P96)&lt;=N96,"À COMMANDER",IF(M96&lt;=N96,"Commande en cours","OK"))))</f>
        <v/>
      </c>
      <c r="T96" s="68">
        <f>IF($A96="","",IF(OR(S96="À COMMANDER",S96="RUPTURE"),MAX(1,O96-M96-N(P96)),0))</f>
        <v/>
      </c>
      <c r="U96" s="68">
        <f>IF($A96="","",SUMIFS('Mouvements stock'!$F$5:$F$3004,'Mouvements stock'!$D$5:$D$3004,$A96,'Mouvements stock'!$C$5:$C$3004,"Sortie",'Mouvements stock'!$B$5:$B$3004,"&gt;="&amp;'Paramètres'!$AA$6,'Mouvements stock'!$B$5:$B$3004,"&lt;"&amp;('Paramètres'!$AA$7+1)))</f>
        <v/>
      </c>
      <c r="V96" s="78">
        <f>IF($A96="","",IF(COUNTIF('Mouvements stock'!$D$5:$D$3004,$A96)=0,"",_xlfn.MAXIFS('Mouvements stock'!$B$5:$B$3004,'Mouvements stock'!$D$5:$D$3004,$A96)))</f>
        <v/>
      </c>
    </row>
    <row r="97">
      <c r="A97" s="7" t="n"/>
      <c r="B97" s="7" t="n"/>
      <c r="C97" s="7" t="n"/>
      <c r="D97" s="7" t="n"/>
      <c r="E97" s="7" t="n"/>
      <c r="F97" s="7" t="n"/>
      <c r="G97" s="7" t="n"/>
      <c r="H97" s="7" t="n"/>
      <c r="I97" s="80" t="n"/>
      <c r="J97" s="67" t="n"/>
      <c r="K97" s="68">
        <f>IF($A97="","",SUMIFS('Mouvements stock'!$F$5:$F$3004,'Mouvements stock'!$D$5:$D$3004,$A97,'Mouvements stock'!$C$5:$C$3004,"Entrée")+SUMIFS('Mouvements stock'!$F$5:$F$3004,'Mouvements stock'!$D$5:$D$3004,$A97,'Mouvements stock'!$C$5:$C$3004,"Retour"))</f>
        <v/>
      </c>
      <c r="L97" s="68">
        <f>IF($A97="","",SUMIFS('Mouvements stock'!$F$5:$F$3004,'Mouvements stock'!$D$5:$D$3004,$A97,'Mouvements stock'!$C$5:$C$3004,"Sortie"))</f>
        <v/>
      </c>
      <c r="M97" s="79">
        <f>IF($A97="","",N(J97)+N(K97)-N(L97))</f>
        <v/>
      </c>
      <c r="N97" s="67" t="n"/>
      <c r="O97" s="67" t="n"/>
      <c r="P97" s="67" t="n"/>
      <c r="Q97" s="67" t="n"/>
      <c r="R97" s="70">
        <f>IF($A97="","",MAX(0,M97)*N(I97))</f>
        <v/>
      </c>
      <c r="S97" s="9">
        <f>IF($A97="","",IF(M97&lt;=0,IF(N(P97)&gt;0,"Rupture - en cde","RUPTURE"),IF(M97+N(P97)&lt;=N97,"À COMMANDER",IF(M97&lt;=N97,"Commande en cours","OK"))))</f>
        <v/>
      </c>
      <c r="T97" s="68">
        <f>IF($A97="","",IF(OR(S97="À COMMANDER",S97="RUPTURE"),MAX(1,O97-M97-N(P97)),0))</f>
        <v/>
      </c>
      <c r="U97" s="68">
        <f>IF($A97="","",SUMIFS('Mouvements stock'!$F$5:$F$3004,'Mouvements stock'!$D$5:$D$3004,$A97,'Mouvements stock'!$C$5:$C$3004,"Sortie",'Mouvements stock'!$B$5:$B$3004,"&gt;="&amp;'Paramètres'!$AA$6,'Mouvements stock'!$B$5:$B$3004,"&lt;"&amp;('Paramètres'!$AA$7+1)))</f>
        <v/>
      </c>
      <c r="V97" s="78">
        <f>IF($A97="","",IF(COUNTIF('Mouvements stock'!$D$5:$D$3004,$A97)=0,"",_xlfn.MAXIFS('Mouvements stock'!$B$5:$B$3004,'Mouvements stock'!$D$5:$D$3004,$A97)))</f>
        <v/>
      </c>
    </row>
    <row r="98">
      <c r="A98" s="7" t="n"/>
      <c r="B98" s="7" t="n"/>
      <c r="C98" s="7" t="n"/>
      <c r="D98" s="7" t="n"/>
      <c r="E98" s="7" t="n"/>
      <c r="F98" s="7" t="n"/>
      <c r="G98" s="7" t="n"/>
      <c r="H98" s="7" t="n"/>
      <c r="I98" s="80" t="n"/>
      <c r="J98" s="67" t="n"/>
      <c r="K98" s="68">
        <f>IF($A98="","",SUMIFS('Mouvements stock'!$F$5:$F$3004,'Mouvements stock'!$D$5:$D$3004,$A98,'Mouvements stock'!$C$5:$C$3004,"Entrée")+SUMIFS('Mouvements stock'!$F$5:$F$3004,'Mouvements stock'!$D$5:$D$3004,$A98,'Mouvements stock'!$C$5:$C$3004,"Retour"))</f>
        <v/>
      </c>
      <c r="L98" s="68">
        <f>IF($A98="","",SUMIFS('Mouvements stock'!$F$5:$F$3004,'Mouvements stock'!$D$5:$D$3004,$A98,'Mouvements stock'!$C$5:$C$3004,"Sortie"))</f>
        <v/>
      </c>
      <c r="M98" s="79">
        <f>IF($A98="","",N(J98)+N(K98)-N(L98))</f>
        <v/>
      </c>
      <c r="N98" s="67" t="n"/>
      <c r="O98" s="67" t="n"/>
      <c r="P98" s="67" t="n"/>
      <c r="Q98" s="67" t="n"/>
      <c r="R98" s="70">
        <f>IF($A98="","",MAX(0,M98)*N(I98))</f>
        <v/>
      </c>
      <c r="S98" s="9">
        <f>IF($A98="","",IF(M98&lt;=0,IF(N(P98)&gt;0,"Rupture - en cde","RUPTURE"),IF(M98+N(P98)&lt;=N98,"À COMMANDER",IF(M98&lt;=N98,"Commande en cours","OK"))))</f>
        <v/>
      </c>
      <c r="T98" s="68">
        <f>IF($A98="","",IF(OR(S98="À COMMANDER",S98="RUPTURE"),MAX(1,O98-M98-N(P98)),0))</f>
        <v/>
      </c>
      <c r="U98" s="68">
        <f>IF($A98="","",SUMIFS('Mouvements stock'!$F$5:$F$3004,'Mouvements stock'!$D$5:$D$3004,$A98,'Mouvements stock'!$C$5:$C$3004,"Sortie",'Mouvements stock'!$B$5:$B$3004,"&gt;="&amp;'Paramètres'!$AA$6,'Mouvements stock'!$B$5:$B$3004,"&lt;"&amp;('Paramètres'!$AA$7+1)))</f>
        <v/>
      </c>
      <c r="V98" s="78">
        <f>IF($A98="","",IF(COUNTIF('Mouvements stock'!$D$5:$D$3004,$A98)=0,"",_xlfn.MAXIFS('Mouvements stock'!$B$5:$B$3004,'Mouvements stock'!$D$5:$D$3004,$A98)))</f>
        <v/>
      </c>
    </row>
    <row r="99">
      <c r="A99" s="7" t="n"/>
      <c r="B99" s="7" t="n"/>
      <c r="C99" s="7" t="n"/>
      <c r="D99" s="7" t="n"/>
      <c r="E99" s="7" t="n"/>
      <c r="F99" s="7" t="n"/>
      <c r="G99" s="7" t="n"/>
      <c r="H99" s="7" t="n"/>
      <c r="I99" s="80" t="n"/>
      <c r="J99" s="67" t="n"/>
      <c r="K99" s="68">
        <f>IF($A99="","",SUMIFS('Mouvements stock'!$F$5:$F$3004,'Mouvements stock'!$D$5:$D$3004,$A99,'Mouvements stock'!$C$5:$C$3004,"Entrée")+SUMIFS('Mouvements stock'!$F$5:$F$3004,'Mouvements stock'!$D$5:$D$3004,$A99,'Mouvements stock'!$C$5:$C$3004,"Retour"))</f>
        <v/>
      </c>
      <c r="L99" s="68">
        <f>IF($A99="","",SUMIFS('Mouvements stock'!$F$5:$F$3004,'Mouvements stock'!$D$5:$D$3004,$A99,'Mouvements stock'!$C$5:$C$3004,"Sortie"))</f>
        <v/>
      </c>
      <c r="M99" s="79">
        <f>IF($A99="","",N(J99)+N(K99)-N(L99))</f>
        <v/>
      </c>
      <c r="N99" s="67" t="n"/>
      <c r="O99" s="67" t="n"/>
      <c r="P99" s="67" t="n"/>
      <c r="Q99" s="67" t="n"/>
      <c r="R99" s="70">
        <f>IF($A99="","",MAX(0,M99)*N(I99))</f>
        <v/>
      </c>
      <c r="S99" s="9">
        <f>IF($A99="","",IF(M99&lt;=0,IF(N(P99)&gt;0,"Rupture - en cde","RUPTURE"),IF(M99+N(P99)&lt;=N99,"À COMMANDER",IF(M99&lt;=N99,"Commande en cours","OK"))))</f>
        <v/>
      </c>
      <c r="T99" s="68">
        <f>IF($A99="","",IF(OR(S99="À COMMANDER",S99="RUPTURE"),MAX(1,O99-M99-N(P99)),0))</f>
        <v/>
      </c>
      <c r="U99" s="68">
        <f>IF($A99="","",SUMIFS('Mouvements stock'!$F$5:$F$3004,'Mouvements stock'!$D$5:$D$3004,$A99,'Mouvements stock'!$C$5:$C$3004,"Sortie",'Mouvements stock'!$B$5:$B$3004,"&gt;="&amp;'Paramètres'!$AA$6,'Mouvements stock'!$B$5:$B$3004,"&lt;"&amp;('Paramètres'!$AA$7+1)))</f>
        <v/>
      </c>
      <c r="V99" s="78">
        <f>IF($A99="","",IF(COUNTIF('Mouvements stock'!$D$5:$D$3004,$A99)=0,"",_xlfn.MAXIFS('Mouvements stock'!$B$5:$B$3004,'Mouvements stock'!$D$5:$D$3004,$A99)))</f>
        <v/>
      </c>
    </row>
    <row r="100">
      <c r="A100" s="7" t="n"/>
      <c r="B100" s="7" t="n"/>
      <c r="C100" s="7" t="n"/>
      <c r="D100" s="7" t="n"/>
      <c r="E100" s="7" t="n"/>
      <c r="F100" s="7" t="n"/>
      <c r="G100" s="7" t="n"/>
      <c r="H100" s="7" t="n"/>
      <c r="I100" s="80" t="n"/>
      <c r="J100" s="67" t="n"/>
      <c r="K100" s="68">
        <f>IF($A100="","",SUMIFS('Mouvements stock'!$F$5:$F$3004,'Mouvements stock'!$D$5:$D$3004,$A100,'Mouvements stock'!$C$5:$C$3004,"Entrée")+SUMIFS('Mouvements stock'!$F$5:$F$3004,'Mouvements stock'!$D$5:$D$3004,$A100,'Mouvements stock'!$C$5:$C$3004,"Retour"))</f>
        <v/>
      </c>
      <c r="L100" s="68">
        <f>IF($A100="","",SUMIFS('Mouvements stock'!$F$5:$F$3004,'Mouvements stock'!$D$5:$D$3004,$A100,'Mouvements stock'!$C$5:$C$3004,"Sortie"))</f>
        <v/>
      </c>
      <c r="M100" s="79">
        <f>IF($A100="","",N(J100)+N(K100)-N(L100))</f>
        <v/>
      </c>
      <c r="N100" s="67" t="n"/>
      <c r="O100" s="67" t="n"/>
      <c r="P100" s="67" t="n"/>
      <c r="Q100" s="67" t="n"/>
      <c r="R100" s="70">
        <f>IF($A100="","",MAX(0,M100)*N(I100))</f>
        <v/>
      </c>
      <c r="S100" s="9">
        <f>IF($A100="","",IF(M100&lt;=0,IF(N(P100)&gt;0,"Rupture - en cde","RUPTURE"),IF(M100+N(P100)&lt;=N100,"À COMMANDER",IF(M100&lt;=N100,"Commande en cours","OK"))))</f>
        <v/>
      </c>
      <c r="T100" s="68">
        <f>IF($A100="","",IF(OR(S100="À COMMANDER",S100="RUPTURE"),MAX(1,O100-M100-N(P100)),0))</f>
        <v/>
      </c>
      <c r="U100" s="68">
        <f>IF($A100="","",SUMIFS('Mouvements stock'!$F$5:$F$3004,'Mouvements stock'!$D$5:$D$3004,$A100,'Mouvements stock'!$C$5:$C$3004,"Sortie",'Mouvements stock'!$B$5:$B$3004,"&gt;="&amp;'Paramètres'!$AA$6,'Mouvements stock'!$B$5:$B$3004,"&lt;"&amp;('Paramètres'!$AA$7+1)))</f>
        <v/>
      </c>
      <c r="V100" s="78">
        <f>IF($A100="","",IF(COUNTIF('Mouvements stock'!$D$5:$D$3004,$A100)=0,"",_xlfn.MAXIFS('Mouvements stock'!$B$5:$B$3004,'Mouvements stock'!$D$5:$D$3004,$A100)))</f>
        <v/>
      </c>
    </row>
    <row r="101">
      <c r="A101" s="7" t="n"/>
      <c r="B101" s="7" t="n"/>
      <c r="C101" s="7" t="n"/>
      <c r="D101" s="7" t="n"/>
      <c r="E101" s="7" t="n"/>
      <c r="F101" s="7" t="n"/>
      <c r="G101" s="7" t="n"/>
      <c r="H101" s="7" t="n"/>
      <c r="I101" s="80" t="n"/>
      <c r="J101" s="67" t="n"/>
      <c r="K101" s="68">
        <f>IF($A101="","",SUMIFS('Mouvements stock'!$F$5:$F$3004,'Mouvements stock'!$D$5:$D$3004,$A101,'Mouvements stock'!$C$5:$C$3004,"Entrée")+SUMIFS('Mouvements stock'!$F$5:$F$3004,'Mouvements stock'!$D$5:$D$3004,$A101,'Mouvements stock'!$C$5:$C$3004,"Retour"))</f>
        <v/>
      </c>
      <c r="L101" s="68">
        <f>IF($A101="","",SUMIFS('Mouvements stock'!$F$5:$F$3004,'Mouvements stock'!$D$5:$D$3004,$A101,'Mouvements stock'!$C$5:$C$3004,"Sortie"))</f>
        <v/>
      </c>
      <c r="M101" s="79">
        <f>IF($A101="","",N(J101)+N(K101)-N(L101))</f>
        <v/>
      </c>
      <c r="N101" s="67" t="n"/>
      <c r="O101" s="67" t="n"/>
      <c r="P101" s="67" t="n"/>
      <c r="Q101" s="67" t="n"/>
      <c r="R101" s="70">
        <f>IF($A101="","",MAX(0,M101)*N(I101))</f>
        <v/>
      </c>
      <c r="S101" s="9">
        <f>IF($A101="","",IF(M101&lt;=0,IF(N(P101)&gt;0,"Rupture - en cde","RUPTURE"),IF(M101+N(P101)&lt;=N101,"À COMMANDER",IF(M101&lt;=N101,"Commande en cours","OK"))))</f>
        <v/>
      </c>
      <c r="T101" s="68">
        <f>IF($A101="","",IF(OR(S101="À COMMANDER",S101="RUPTURE"),MAX(1,O101-M101-N(P101)),0))</f>
        <v/>
      </c>
      <c r="U101" s="68">
        <f>IF($A101="","",SUMIFS('Mouvements stock'!$F$5:$F$3004,'Mouvements stock'!$D$5:$D$3004,$A101,'Mouvements stock'!$C$5:$C$3004,"Sortie",'Mouvements stock'!$B$5:$B$3004,"&gt;="&amp;'Paramètres'!$AA$6,'Mouvements stock'!$B$5:$B$3004,"&lt;"&amp;('Paramètres'!$AA$7+1)))</f>
        <v/>
      </c>
      <c r="V101" s="78">
        <f>IF($A101="","",IF(COUNTIF('Mouvements stock'!$D$5:$D$3004,$A101)=0,"",_xlfn.MAXIFS('Mouvements stock'!$B$5:$B$3004,'Mouvements stock'!$D$5:$D$3004,$A101)))</f>
        <v/>
      </c>
    </row>
    <row r="102">
      <c r="A102" s="7" t="n"/>
      <c r="B102" s="7" t="n"/>
      <c r="C102" s="7" t="n"/>
      <c r="D102" s="7" t="n"/>
      <c r="E102" s="7" t="n"/>
      <c r="F102" s="7" t="n"/>
      <c r="G102" s="7" t="n"/>
      <c r="H102" s="7" t="n"/>
      <c r="I102" s="80" t="n"/>
      <c r="J102" s="67" t="n"/>
      <c r="K102" s="68">
        <f>IF($A102="","",SUMIFS('Mouvements stock'!$F$5:$F$3004,'Mouvements stock'!$D$5:$D$3004,$A102,'Mouvements stock'!$C$5:$C$3004,"Entrée")+SUMIFS('Mouvements stock'!$F$5:$F$3004,'Mouvements stock'!$D$5:$D$3004,$A102,'Mouvements stock'!$C$5:$C$3004,"Retour"))</f>
        <v/>
      </c>
      <c r="L102" s="68">
        <f>IF($A102="","",SUMIFS('Mouvements stock'!$F$5:$F$3004,'Mouvements stock'!$D$5:$D$3004,$A102,'Mouvements stock'!$C$5:$C$3004,"Sortie"))</f>
        <v/>
      </c>
      <c r="M102" s="79">
        <f>IF($A102="","",N(J102)+N(K102)-N(L102))</f>
        <v/>
      </c>
      <c r="N102" s="67" t="n"/>
      <c r="O102" s="67" t="n"/>
      <c r="P102" s="67" t="n"/>
      <c r="Q102" s="67" t="n"/>
      <c r="R102" s="70">
        <f>IF($A102="","",MAX(0,M102)*N(I102))</f>
        <v/>
      </c>
      <c r="S102" s="9">
        <f>IF($A102="","",IF(M102&lt;=0,IF(N(P102)&gt;0,"Rupture - en cde","RUPTURE"),IF(M102+N(P102)&lt;=N102,"À COMMANDER",IF(M102&lt;=N102,"Commande en cours","OK"))))</f>
        <v/>
      </c>
      <c r="T102" s="68">
        <f>IF($A102="","",IF(OR(S102="À COMMANDER",S102="RUPTURE"),MAX(1,O102-M102-N(P102)),0))</f>
        <v/>
      </c>
      <c r="U102" s="68">
        <f>IF($A102="","",SUMIFS('Mouvements stock'!$F$5:$F$3004,'Mouvements stock'!$D$5:$D$3004,$A102,'Mouvements stock'!$C$5:$C$3004,"Sortie",'Mouvements stock'!$B$5:$B$3004,"&gt;="&amp;'Paramètres'!$AA$6,'Mouvements stock'!$B$5:$B$3004,"&lt;"&amp;('Paramètres'!$AA$7+1)))</f>
        <v/>
      </c>
      <c r="V102" s="78">
        <f>IF($A102="","",IF(COUNTIF('Mouvements stock'!$D$5:$D$3004,$A102)=0,"",_xlfn.MAXIFS('Mouvements stock'!$B$5:$B$3004,'Mouvements stock'!$D$5:$D$3004,$A102)))</f>
        <v/>
      </c>
    </row>
    <row r="103">
      <c r="A103" s="7" t="n"/>
      <c r="B103" s="7" t="n"/>
      <c r="C103" s="7" t="n"/>
      <c r="D103" s="7" t="n"/>
      <c r="E103" s="7" t="n"/>
      <c r="F103" s="7" t="n"/>
      <c r="G103" s="7" t="n"/>
      <c r="H103" s="7" t="n"/>
      <c r="I103" s="80" t="n"/>
      <c r="J103" s="67" t="n"/>
      <c r="K103" s="68">
        <f>IF($A103="","",SUMIFS('Mouvements stock'!$F$5:$F$3004,'Mouvements stock'!$D$5:$D$3004,$A103,'Mouvements stock'!$C$5:$C$3004,"Entrée")+SUMIFS('Mouvements stock'!$F$5:$F$3004,'Mouvements stock'!$D$5:$D$3004,$A103,'Mouvements stock'!$C$5:$C$3004,"Retour"))</f>
        <v/>
      </c>
      <c r="L103" s="68">
        <f>IF($A103="","",SUMIFS('Mouvements stock'!$F$5:$F$3004,'Mouvements stock'!$D$5:$D$3004,$A103,'Mouvements stock'!$C$5:$C$3004,"Sortie"))</f>
        <v/>
      </c>
      <c r="M103" s="79">
        <f>IF($A103="","",N(J103)+N(K103)-N(L103))</f>
        <v/>
      </c>
      <c r="N103" s="67" t="n"/>
      <c r="O103" s="67" t="n"/>
      <c r="P103" s="67" t="n"/>
      <c r="Q103" s="67" t="n"/>
      <c r="R103" s="70">
        <f>IF($A103="","",MAX(0,M103)*N(I103))</f>
        <v/>
      </c>
      <c r="S103" s="9">
        <f>IF($A103="","",IF(M103&lt;=0,IF(N(P103)&gt;0,"Rupture - en cde","RUPTURE"),IF(M103+N(P103)&lt;=N103,"À COMMANDER",IF(M103&lt;=N103,"Commande en cours","OK"))))</f>
        <v/>
      </c>
      <c r="T103" s="68">
        <f>IF($A103="","",IF(OR(S103="À COMMANDER",S103="RUPTURE"),MAX(1,O103-M103-N(P103)),0))</f>
        <v/>
      </c>
      <c r="U103" s="68">
        <f>IF($A103="","",SUMIFS('Mouvements stock'!$F$5:$F$3004,'Mouvements stock'!$D$5:$D$3004,$A103,'Mouvements stock'!$C$5:$C$3004,"Sortie",'Mouvements stock'!$B$5:$B$3004,"&gt;="&amp;'Paramètres'!$AA$6,'Mouvements stock'!$B$5:$B$3004,"&lt;"&amp;('Paramètres'!$AA$7+1)))</f>
        <v/>
      </c>
      <c r="V103" s="78">
        <f>IF($A103="","",IF(COUNTIF('Mouvements stock'!$D$5:$D$3004,$A103)=0,"",_xlfn.MAXIFS('Mouvements stock'!$B$5:$B$3004,'Mouvements stock'!$D$5:$D$3004,$A103)))</f>
        <v/>
      </c>
    </row>
    <row r="104">
      <c r="A104" s="7" t="n"/>
      <c r="B104" s="7" t="n"/>
      <c r="C104" s="7" t="n"/>
      <c r="D104" s="7" t="n"/>
      <c r="E104" s="7" t="n"/>
      <c r="F104" s="7" t="n"/>
      <c r="G104" s="7" t="n"/>
      <c r="H104" s="7" t="n"/>
      <c r="I104" s="80" t="n"/>
      <c r="J104" s="67" t="n"/>
      <c r="K104" s="68">
        <f>IF($A104="","",SUMIFS('Mouvements stock'!$F$5:$F$3004,'Mouvements stock'!$D$5:$D$3004,$A104,'Mouvements stock'!$C$5:$C$3004,"Entrée")+SUMIFS('Mouvements stock'!$F$5:$F$3004,'Mouvements stock'!$D$5:$D$3004,$A104,'Mouvements stock'!$C$5:$C$3004,"Retour"))</f>
        <v/>
      </c>
      <c r="L104" s="68">
        <f>IF($A104="","",SUMIFS('Mouvements stock'!$F$5:$F$3004,'Mouvements stock'!$D$5:$D$3004,$A104,'Mouvements stock'!$C$5:$C$3004,"Sortie"))</f>
        <v/>
      </c>
      <c r="M104" s="79">
        <f>IF($A104="","",N(J104)+N(K104)-N(L104))</f>
        <v/>
      </c>
      <c r="N104" s="67" t="n"/>
      <c r="O104" s="67" t="n"/>
      <c r="P104" s="67" t="n"/>
      <c r="Q104" s="67" t="n"/>
      <c r="R104" s="70">
        <f>IF($A104="","",MAX(0,M104)*N(I104))</f>
        <v/>
      </c>
      <c r="S104" s="9">
        <f>IF($A104="","",IF(M104&lt;=0,IF(N(P104)&gt;0,"Rupture - en cde","RUPTURE"),IF(M104+N(P104)&lt;=N104,"À COMMANDER",IF(M104&lt;=N104,"Commande en cours","OK"))))</f>
        <v/>
      </c>
      <c r="T104" s="68">
        <f>IF($A104="","",IF(OR(S104="À COMMANDER",S104="RUPTURE"),MAX(1,O104-M104-N(P104)),0))</f>
        <v/>
      </c>
      <c r="U104" s="68">
        <f>IF($A104="","",SUMIFS('Mouvements stock'!$F$5:$F$3004,'Mouvements stock'!$D$5:$D$3004,$A104,'Mouvements stock'!$C$5:$C$3004,"Sortie",'Mouvements stock'!$B$5:$B$3004,"&gt;="&amp;'Paramètres'!$AA$6,'Mouvements stock'!$B$5:$B$3004,"&lt;"&amp;('Paramètres'!$AA$7+1)))</f>
        <v/>
      </c>
      <c r="V104" s="78">
        <f>IF($A104="","",IF(COUNTIF('Mouvements stock'!$D$5:$D$3004,$A104)=0,"",_xlfn.MAXIFS('Mouvements stock'!$B$5:$B$3004,'Mouvements stock'!$D$5:$D$3004,$A104)))</f>
        <v/>
      </c>
    </row>
    <row r="105">
      <c r="A105" s="7" t="n"/>
      <c r="B105" s="7" t="n"/>
      <c r="C105" s="7" t="n"/>
      <c r="D105" s="7" t="n"/>
      <c r="E105" s="7" t="n"/>
      <c r="F105" s="7" t="n"/>
      <c r="G105" s="7" t="n"/>
      <c r="H105" s="7" t="n"/>
      <c r="I105" s="80" t="n"/>
      <c r="J105" s="67" t="n"/>
      <c r="K105" s="68">
        <f>IF($A105="","",SUMIFS('Mouvements stock'!$F$5:$F$3004,'Mouvements stock'!$D$5:$D$3004,$A105,'Mouvements stock'!$C$5:$C$3004,"Entrée")+SUMIFS('Mouvements stock'!$F$5:$F$3004,'Mouvements stock'!$D$5:$D$3004,$A105,'Mouvements stock'!$C$5:$C$3004,"Retour"))</f>
        <v/>
      </c>
      <c r="L105" s="68">
        <f>IF($A105="","",SUMIFS('Mouvements stock'!$F$5:$F$3004,'Mouvements stock'!$D$5:$D$3004,$A105,'Mouvements stock'!$C$5:$C$3004,"Sortie"))</f>
        <v/>
      </c>
      <c r="M105" s="79">
        <f>IF($A105="","",N(J105)+N(K105)-N(L105))</f>
        <v/>
      </c>
      <c r="N105" s="67" t="n"/>
      <c r="O105" s="67" t="n"/>
      <c r="P105" s="67" t="n"/>
      <c r="Q105" s="67" t="n"/>
      <c r="R105" s="70">
        <f>IF($A105="","",MAX(0,M105)*N(I105))</f>
        <v/>
      </c>
      <c r="S105" s="9">
        <f>IF($A105="","",IF(M105&lt;=0,IF(N(P105)&gt;0,"Rupture - en cde","RUPTURE"),IF(M105+N(P105)&lt;=N105,"À COMMANDER",IF(M105&lt;=N105,"Commande en cours","OK"))))</f>
        <v/>
      </c>
      <c r="T105" s="68">
        <f>IF($A105="","",IF(OR(S105="À COMMANDER",S105="RUPTURE"),MAX(1,O105-M105-N(P105)),0))</f>
        <v/>
      </c>
      <c r="U105" s="68">
        <f>IF($A105="","",SUMIFS('Mouvements stock'!$F$5:$F$3004,'Mouvements stock'!$D$5:$D$3004,$A105,'Mouvements stock'!$C$5:$C$3004,"Sortie",'Mouvements stock'!$B$5:$B$3004,"&gt;="&amp;'Paramètres'!$AA$6,'Mouvements stock'!$B$5:$B$3004,"&lt;"&amp;('Paramètres'!$AA$7+1)))</f>
        <v/>
      </c>
      <c r="V105" s="78">
        <f>IF($A105="","",IF(COUNTIF('Mouvements stock'!$D$5:$D$3004,$A105)=0,"",_xlfn.MAXIFS('Mouvements stock'!$B$5:$B$3004,'Mouvements stock'!$D$5:$D$3004,$A105)))</f>
        <v/>
      </c>
    </row>
    <row r="106">
      <c r="A106" s="7" t="n"/>
      <c r="B106" s="7" t="n"/>
      <c r="C106" s="7" t="n"/>
      <c r="D106" s="7" t="n"/>
      <c r="E106" s="7" t="n"/>
      <c r="F106" s="7" t="n"/>
      <c r="G106" s="7" t="n"/>
      <c r="H106" s="7" t="n"/>
      <c r="I106" s="80" t="n"/>
      <c r="J106" s="67" t="n"/>
      <c r="K106" s="68">
        <f>IF($A106="","",SUMIFS('Mouvements stock'!$F$5:$F$3004,'Mouvements stock'!$D$5:$D$3004,$A106,'Mouvements stock'!$C$5:$C$3004,"Entrée")+SUMIFS('Mouvements stock'!$F$5:$F$3004,'Mouvements stock'!$D$5:$D$3004,$A106,'Mouvements stock'!$C$5:$C$3004,"Retour"))</f>
        <v/>
      </c>
      <c r="L106" s="68">
        <f>IF($A106="","",SUMIFS('Mouvements stock'!$F$5:$F$3004,'Mouvements stock'!$D$5:$D$3004,$A106,'Mouvements stock'!$C$5:$C$3004,"Sortie"))</f>
        <v/>
      </c>
      <c r="M106" s="79">
        <f>IF($A106="","",N(J106)+N(K106)-N(L106))</f>
        <v/>
      </c>
      <c r="N106" s="67" t="n"/>
      <c r="O106" s="67" t="n"/>
      <c r="P106" s="67" t="n"/>
      <c r="Q106" s="67" t="n"/>
      <c r="R106" s="70">
        <f>IF($A106="","",MAX(0,M106)*N(I106))</f>
        <v/>
      </c>
      <c r="S106" s="9">
        <f>IF($A106="","",IF(M106&lt;=0,IF(N(P106)&gt;0,"Rupture - en cde","RUPTURE"),IF(M106+N(P106)&lt;=N106,"À COMMANDER",IF(M106&lt;=N106,"Commande en cours","OK"))))</f>
        <v/>
      </c>
      <c r="T106" s="68">
        <f>IF($A106="","",IF(OR(S106="À COMMANDER",S106="RUPTURE"),MAX(1,O106-M106-N(P106)),0))</f>
        <v/>
      </c>
      <c r="U106" s="68">
        <f>IF($A106="","",SUMIFS('Mouvements stock'!$F$5:$F$3004,'Mouvements stock'!$D$5:$D$3004,$A106,'Mouvements stock'!$C$5:$C$3004,"Sortie",'Mouvements stock'!$B$5:$B$3004,"&gt;="&amp;'Paramètres'!$AA$6,'Mouvements stock'!$B$5:$B$3004,"&lt;"&amp;('Paramètres'!$AA$7+1)))</f>
        <v/>
      </c>
      <c r="V106" s="78">
        <f>IF($A106="","",IF(COUNTIF('Mouvements stock'!$D$5:$D$3004,$A106)=0,"",_xlfn.MAXIFS('Mouvements stock'!$B$5:$B$3004,'Mouvements stock'!$D$5:$D$3004,$A106)))</f>
        <v/>
      </c>
    </row>
    <row r="107">
      <c r="A107" s="7" t="n"/>
      <c r="B107" s="7" t="n"/>
      <c r="C107" s="7" t="n"/>
      <c r="D107" s="7" t="n"/>
      <c r="E107" s="7" t="n"/>
      <c r="F107" s="7" t="n"/>
      <c r="G107" s="7" t="n"/>
      <c r="H107" s="7" t="n"/>
      <c r="I107" s="80" t="n"/>
      <c r="J107" s="67" t="n"/>
      <c r="K107" s="68">
        <f>IF($A107="","",SUMIFS('Mouvements stock'!$F$5:$F$3004,'Mouvements stock'!$D$5:$D$3004,$A107,'Mouvements stock'!$C$5:$C$3004,"Entrée")+SUMIFS('Mouvements stock'!$F$5:$F$3004,'Mouvements stock'!$D$5:$D$3004,$A107,'Mouvements stock'!$C$5:$C$3004,"Retour"))</f>
        <v/>
      </c>
      <c r="L107" s="68">
        <f>IF($A107="","",SUMIFS('Mouvements stock'!$F$5:$F$3004,'Mouvements stock'!$D$5:$D$3004,$A107,'Mouvements stock'!$C$5:$C$3004,"Sortie"))</f>
        <v/>
      </c>
      <c r="M107" s="79">
        <f>IF($A107="","",N(J107)+N(K107)-N(L107))</f>
        <v/>
      </c>
      <c r="N107" s="67" t="n"/>
      <c r="O107" s="67" t="n"/>
      <c r="P107" s="67" t="n"/>
      <c r="Q107" s="67" t="n"/>
      <c r="R107" s="70">
        <f>IF($A107="","",MAX(0,M107)*N(I107))</f>
        <v/>
      </c>
      <c r="S107" s="9">
        <f>IF($A107="","",IF(M107&lt;=0,IF(N(P107)&gt;0,"Rupture - en cde","RUPTURE"),IF(M107+N(P107)&lt;=N107,"À COMMANDER",IF(M107&lt;=N107,"Commande en cours","OK"))))</f>
        <v/>
      </c>
      <c r="T107" s="68">
        <f>IF($A107="","",IF(OR(S107="À COMMANDER",S107="RUPTURE"),MAX(1,O107-M107-N(P107)),0))</f>
        <v/>
      </c>
      <c r="U107" s="68">
        <f>IF($A107="","",SUMIFS('Mouvements stock'!$F$5:$F$3004,'Mouvements stock'!$D$5:$D$3004,$A107,'Mouvements stock'!$C$5:$C$3004,"Sortie",'Mouvements stock'!$B$5:$B$3004,"&gt;="&amp;'Paramètres'!$AA$6,'Mouvements stock'!$B$5:$B$3004,"&lt;"&amp;('Paramètres'!$AA$7+1)))</f>
        <v/>
      </c>
      <c r="V107" s="78">
        <f>IF($A107="","",IF(COUNTIF('Mouvements stock'!$D$5:$D$3004,$A107)=0,"",_xlfn.MAXIFS('Mouvements stock'!$B$5:$B$3004,'Mouvements stock'!$D$5:$D$3004,$A107)))</f>
        <v/>
      </c>
    </row>
    <row r="108">
      <c r="A108" s="7" t="n"/>
      <c r="B108" s="7" t="n"/>
      <c r="C108" s="7" t="n"/>
      <c r="D108" s="7" t="n"/>
      <c r="E108" s="7" t="n"/>
      <c r="F108" s="7" t="n"/>
      <c r="G108" s="7" t="n"/>
      <c r="H108" s="7" t="n"/>
      <c r="I108" s="80" t="n"/>
      <c r="J108" s="67" t="n"/>
      <c r="K108" s="68">
        <f>IF($A108="","",SUMIFS('Mouvements stock'!$F$5:$F$3004,'Mouvements stock'!$D$5:$D$3004,$A108,'Mouvements stock'!$C$5:$C$3004,"Entrée")+SUMIFS('Mouvements stock'!$F$5:$F$3004,'Mouvements stock'!$D$5:$D$3004,$A108,'Mouvements stock'!$C$5:$C$3004,"Retour"))</f>
        <v/>
      </c>
      <c r="L108" s="68">
        <f>IF($A108="","",SUMIFS('Mouvements stock'!$F$5:$F$3004,'Mouvements stock'!$D$5:$D$3004,$A108,'Mouvements stock'!$C$5:$C$3004,"Sortie"))</f>
        <v/>
      </c>
      <c r="M108" s="79">
        <f>IF($A108="","",N(J108)+N(K108)-N(L108))</f>
        <v/>
      </c>
      <c r="N108" s="67" t="n"/>
      <c r="O108" s="67" t="n"/>
      <c r="P108" s="67" t="n"/>
      <c r="Q108" s="67" t="n"/>
      <c r="R108" s="70">
        <f>IF($A108="","",MAX(0,M108)*N(I108))</f>
        <v/>
      </c>
      <c r="S108" s="9">
        <f>IF($A108="","",IF(M108&lt;=0,IF(N(P108)&gt;0,"Rupture - en cde","RUPTURE"),IF(M108+N(P108)&lt;=N108,"À COMMANDER",IF(M108&lt;=N108,"Commande en cours","OK"))))</f>
        <v/>
      </c>
      <c r="T108" s="68">
        <f>IF($A108="","",IF(OR(S108="À COMMANDER",S108="RUPTURE"),MAX(1,O108-M108-N(P108)),0))</f>
        <v/>
      </c>
      <c r="U108" s="68">
        <f>IF($A108="","",SUMIFS('Mouvements stock'!$F$5:$F$3004,'Mouvements stock'!$D$5:$D$3004,$A108,'Mouvements stock'!$C$5:$C$3004,"Sortie",'Mouvements stock'!$B$5:$B$3004,"&gt;="&amp;'Paramètres'!$AA$6,'Mouvements stock'!$B$5:$B$3004,"&lt;"&amp;('Paramètres'!$AA$7+1)))</f>
        <v/>
      </c>
      <c r="V108" s="78">
        <f>IF($A108="","",IF(COUNTIF('Mouvements stock'!$D$5:$D$3004,$A108)=0,"",_xlfn.MAXIFS('Mouvements stock'!$B$5:$B$3004,'Mouvements stock'!$D$5:$D$3004,$A108)))</f>
        <v/>
      </c>
    </row>
    <row r="109">
      <c r="A109" s="7" t="n"/>
      <c r="B109" s="7" t="n"/>
      <c r="C109" s="7" t="n"/>
      <c r="D109" s="7" t="n"/>
      <c r="E109" s="7" t="n"/>
      <c r="F109" s="7" t="n"/>
      <c r="G109" s="7" t="n"/>
      <c r="H109" s="7" t="n"/>
      <c r="I109" s="80" t="n"/>
      <c r="J109" s="67" t="n"/>
      <c r="K109" s="68">
        <f>IF($A109="","",SUMIFS('Mouvements stock'!$F$5:$F$3004,'Mouvements stock'!$D$5:$D$3004,$A109,'Mouvements stock'!$C$5:$C$3004,"Entrée")+SUMIFS('Mouvements stock'!$F$5:$F$3004,'Mouvements stock'!$D$5:$D$3004,$A109,'Mouvements stock'!$C$5:$C$3004,"Retour"))</f>
        <v/>
      </c>
      <c r="L109" s="68">
        <f>IF($A109="","",SUMIFS('Mouvements stock'!$F$5:$F$3004,'Mouvements stock'!$D$5:$D$3004,$A109,'Mouvements stock'!$C$5:$C$3004,"Sortie"))</f>
        <v/>
      </c>
      <c r="M109" s="79">
        <f>IF($A109="","",N(J109)+N(K109)-N(L109))</f>
        <v/>
      </c>
      <c r="N109" s="67" t="n"/>
      <c r="O109" s="67" t="n"/>
      <c r="P109" s="67" t="n"/>
      <c r="Q109" s="67" t="n"/>
      <c r="R109" s="70">
        <f>IF($A109="","",MAX(0,M109)*N(I109))</f>
        <v/>
      </c>
      <c r="S109" s="9">
        <f>IF($A109="","",IF(M109&lt;=0,IF(N(P109)&gt;0,"Rupture - en cde","RUPTURE"),IF(M109+N(P109)&lt;=N109,"À COMMANDER",IF(M109&lt;=N109,"Commande en cours","OK"))))</f>
        <v/>
      </c>
      <c r="T109" s="68">
        <f>IF($A109="","",IF(OR(S109="À COMMANDER",S109="RUPTURE"),MAX(1,O109-M109-N(P109)),0))</f>
        <v/>
      </c>
      <c r="U109" s="68">
        <f>IF($A109="","",SUMIFS('Mouvements stock'!$F$5:$F$3004,'Mouvements stock'!$D$5:$D$3004,$A109,'Mouvements stock'!$C$5:$C$3004,"Sortie",'Mouvements stock'!$B$5:$B$3004,"&gt;="&amp;'Paramètres'!$AA$6,'Mouvements stock'!$B$5:$B$3004,"&lt;"&amp;('Paramètres'!$AA$7+1)))</f>
        <v/>
      </c>
      <c r="V109" s="78">
        <f>IF($A109="","",IF(COUNTIF('Mouvements stock'!$D$5:$D$3004,$A109)=0,"",_xlfn.MAXIFS('Mouvements stock'!$B$5:$B$3004,'Mouvements stock'!$D$5:$D$3004,$A109)))</f>
        <v/>
      </c>
    </row>
    <row r="110">
      <c r="A110" s="7" t="n"/>
      <c r="B110" s="7" t="n"/>
      <c r="C110" s="7" t="n"/>
      <c r="D110" s="7" t="n"/>
      <c r="E110" s="7" t="n"/>
      <c r="F110" s="7" t="n"/>
      <c r="G110" s="7" t="n"/>
      <c r="H110" s="7" t="n"/>
      <c r="I110" s="80" t="n"/>
      <c r="J110" s="67" t="n"/>
      <c r="K110" s="68">
        <f>IF($A110="","",SUMIFS('Mouvements stock'!$F$5:$F$3004,'Mouvements stock'!$D$5:$D$3004,$A110,'Mouvements stock'!$C$5:$C$3004,"Entrée")+SUMIFS('Mouvements stock'!$F$5:$F$3004,'Mouvements stock'!$D$5:$D$3004,$A110,'Mouvements stock'!$C$5:$C$3004,"Retour"))</f>
        <v/>
      </c>
      <c r="L110" s="68">
        <f>IF($A110="","",SUMIFS('Mouvements stock'!$F$5:$F$3004,'Mouvements stock'!$D$5:$D$3004,$A110,'Mouvements stock'!$C$5:$C$3004,"Sortie"))</f>
        <v/>
      </c>
      <c r="M110" s="79">
        <f>IF($A110="","",N(J110)+N(K110)-N(L110))</f>
        <v/>
      </c>
      <c r="N110" s="67" t="n"/>
      <c r="O110" s="67" t="n"/>
      <c r="P110" s="67" t="n"/>
      <c r="Q110" s="67" t="n"/>
      <c r="R110" s="70">
        <f>IF($A110="","",MAX(0,M110)*N(I110))</f>
        <v/>
      </c>
      <c r="S110" s="9">
        <f>IF($A110="","",IF(M110&lt;=0,IF(N(P110)&gt;0,"Rupture - en cde","RUPTURE"),IF(M110+N(P110)&lt;=N110,"À COMMANDER",IF(M110&lt;=N110,"Commande en cours","OK"))))</f>
        <v/>
      </c>
      <c r="T110" s="68">
        <f>IF($A110="","",IF(OR(S110="À COMMANDER",S110="RUPTURE"),MAX(1,O110-M110-N(P110)),0))</f>
        <v/>
      </c>
      <c r="U110" s="68">
        <f>IF($A110="","",SUMIFS('Mouvements stock'!$F$5:$F$3004,'Mouvements stock'!$D$5:$D$3004,$A110,'Mouvements stock'!$C$5:$C$3004,"Sortie",'Mouvements stock'!$B$5:$B$3004,"&gt;="&amp;'Paramètres'!$AA$6,'Mouvements stock'!$B$5:$B$3004,"&lt;"&amp;('Paramètres'!$AA$7+1)))</f>
        <v/>
      </c>
      <c r="V110" s="78">
        <f>IF($A110="","",IF(COUNTIF('Mouvements stock'!$D$5:$D$3004,$A110)=0,"",_xlfn.MAXIFS('Mouvements stock'!$B$5:$B$3004,'Mouvements stock'!$D$5:$D$3004,$A110)))</f>
        <v/>
      </c>
    </row>
    <row r="111">
      <c r="A111" s="7" t="n"/>
      <c r="B111" s="7" t="n"/>
      <c r="C111" s="7" t="n"/>
      <c r="D111" s="7" t="n"/>
      <c r="E111" s="7" t="n"/>
      <c r="F111" s="7" t="n"/>
      <c r="G111" s="7" t="n"/>
      <c r="H111" s="7" t="n"/>
      <c r="I111" s="80" t="n"/>
      <c r="J111" s="67" t="n"/>
      <c r="K111" s="68">
        <f>IF($A111="","",SUMIFS('Mouvements stock'!$F$5:$F$3004,'Mouvements stock'!$D$5:$D$3004,$A111,'Mouvements stock'!$C$5:$C$3004,"Entrée")+SUMIFS('Mouvements stock'!$F$5:$F$3004,'Mouvements stock'!$D$5:$D$3004,$A111,'Mouvements stock'!$C$5:$C$3004,"Retour"))</f>
        <v/>
      </c>
      <c r="L111" s="68">
        <f>IF($A111="","",SUMIFS('Mouvements stock'!$F$5:$F$3004,'Mouvements stock'!$D$5:$D$3004,$A111,'Mouvements stock'!$C$5:$C$3004,"Sortie"))</f>
        <v/>
      </c>
      <c r="M111" s="79">
        <f>IF($A111="","",N(J111)+N(K111)-N(L111))</f>
        <v/>
      </c>
      <c r="N111" s="67" t="n"/>
      <c r="O111" s="67" t="n"/>
      <c r="P111" s="67" t="n"/>
      <c r="Q111" s="67" t="n"/>
      <c r="R111" s="70">
        <f>IF($A111="","",MAX(0,M111)*N(I111))</f>
        <v/>
      </c>
      <c r="S111" s="9">
        <f>IF($A111="","",IF(M111&lt;=0,IF(N(P111)&gt;0,"Rupture - en cde","RUPTURE"),IF(M111+N(P111)&lt;=N111,"À COMMANDER",IF(M111&lt;=N111,"Commande en cours","OK"))))</f>
        <v/>
      </c>
      <c r="T111" s="68">
        <f>IF($A111="","",IF(OR(S111="À COMMANDER",S111="RUPTURE"),MAX(1,O111-M111-N(P111)),0))</f>
        <v/>
      </c>
      <c r="U111" s="68">
        <f>IF($A111="","",SUMIFS('Mouvements stock'!$F$5:$F$3004,'Mouvements stock'!$D$5:$D$3004,$A111,'Mouvements stock'!$C$5:$C$3004,"Sortie",'Mouvements stock'!$B$5:$B$3004,"&gt;="&amp;'Paramètres'!$AA$6,'Mouvements stock'!$B$5:$B$3004,"&lt;"&amp;('Paramètres'!$AA$7+1)))</f>
        <v/>
      </c>
      <c r="V111" s="78">
        <f>IF($A111="","",IF(COUNTIF('Mouvements stock'!$D$5:$D$3004,$A111)=0,"",_xlfn.MAXIFS('Mouvements stock'!$B$5:$B$3004,'Mouvements stock'!$D$5:$D$3004,$A111)))</f>
        <v/>
      </c>
    </row>
    <row r="112">
      <c r="A112" s="7" t="n"/>
      <c r="B112" s="7" t="n"/>
      <c r="C112" s="7" t="n"/>
      <c r="D112" s="7" t="n"/>
      <c r="E112" s="7" t="n"/>
      <c r="F112" s="7" t="n"/>
      <c r="G112" s="7" t="n"/>
      <c r="H112" s="7" t="n"/>
      <c r="I112" s="80" t="n"/>
      <c r="J112" s="67" t="n"/>
      <c r="K112" s="68">
        <f>IF($A112="","",SUMIFS('Mouvements stock'!$F$5:$F$3004,'Mouvements stock'!$D$5:$D$3004,$A112,'Mouvements stock'!$C$5:$C$3004,"Entrée")+SUMIFS('Mouvements stock'!$F$5:$F$3004,'Mouvements stock'!$D$5:$D$3004,$A112,'Mouvements stock'!$C$5:$C$3004,"Retour"))</f>
        <v/>
      </c>
      <c r="L112" s="68">
        <f>IF($A112="","",SUMIFS('Mouvements stock'!$F$5:$F$3004,'Mouvements stock'!$D$5:$D$3004,$A112,'Mouvements stock'!$C$5:$C$3004,"Sortie"))</f>
        <v/>
      </c>
      <c r="M112" s="79">
        <f>IF($A112="","",N(J112)+N(K112)-N(L112))</f>
        <v/>
      </c>
      <c r="N112" s="67" t="n"/>
      <c r="O112" s="67" t="n"/>
      <c r="P112" s="67" t="n"/>
      <c r="Q112" s="67" t="n"/>
      <c r="R112" s="70">
        <f>IF($A112="","",MAX(0,M112)*N(I112))</f>
        <v/>
      </c>
      <c r="S112" s="9">
        <f>IF($A112="","",IF(M112&lt;=0,IF(N(P112)&gt;0,"Rupture - en cde","RUPTURE"),IF(M112+N(P112)&lt;=N112,"À COMMANDER",IF(M112&lt;=N112,"Commande en cours","OK"))))</f>
        <v/>
      </c>
      <c r="T112" s="68">
        <f>IF($A112="","",IF(OR(S112="À COMMANDER",S112="RUPTURE"),MAX(1,O112-M112-N(P112)),0))</f>
        <v/>
      </c>
      <c r="U112" s="68">
        <f>IF($A112="","",SUMIFS('Mouvements stock'!$F$5:$F$3004,'Mouvements stock'!$D$5:$D$3004,$A112,'Mouvements stock'!$C$5:$C$3004,"Sortie",'Mouvements stock'!$B$5:$B$3004,"&gt;="&amp;'Paramètres'!$AA$6,'Mouvements stock'!$B$5:$B$3004,"&lt;"&amp;('Paramètres'!$AA$7+1)))</f>
        <v/>
      </c>
      <c r="V112" s="78">
        <f>IF($A112="","",IF(COUNTIF('Mouvements stock'!$D$5:$D$3004,$A112)=0,"",_xlfn.MAXIFS('Mouvements stock'!$B$5:$B$3004,'Mouvements stock'!$D$5:$D$3004,$A112)))</f>
        <v/>
      </c>
    </row>
    <row r="113">
      <c r="A113" s="7" t="n"/>
      <c r="B113" s="7" t="n"/>
      <c r="C113" s="7" t="n"/>
      <c r="D113" s="7" t="n"/>
      <c r="E113" s="7" t="n"/>
      <c r="F113" s="7" t="n"/>
      <c r="G113" s="7" t="n"/>
      <c r="H113" s="7" t="n"/>
      <c r="I113" s="80" t="n"/>
      <c r="J113" s="67" t="n"/>
      <c r="K113" s="68">
        <f>IF($A113="","",SUMIFS('Mouvements stock'!$F$5:$F$3004,'Mouvements stock'!$D$5:$D$3004,$A113,'Mouvements stock'!$C$5:$C$3004,"Entrée")+SUMIFS('Mouvements stock'!$F$5:$F$3004,'Mouvements stock'!$D$5:$D$3004,$A113,'Mouvements stock'!$C$5:$C$3004,"Retour"))</f>
        <v/>
      </c>
      <c r="L113" s="68">
        <f>IF($A113="","",SUMIFS('Mouvements stock'!$F$5:$F$3004,'Mouvements stock'!$D$5:$D$3004,$A113,'Mouvements stock'!$C$5:$C$3004,"Sortie"))</f>
        <v/>
      </c>
      <c r="M113" s="79">
        <f>IF($A113="","",N(J113)+N(K113)-N(L113))</f>
        <v/>
      </c>
      <c r="N113" s="67" t="n"/>
      <c r="O113" s="67" t="n"/>
      <c r="P113" s="67" t="n"/>
      <c r="Q113" s="67" t="n"/>
      <c r="R113" s="70">
        <f>IF($A113="","",MAX(0,M113)*N(I113))</f>
        <v/>
      </c>
      <c r="S113" s="9">
        <f>IF($A113="","",IF(M113&lt;=0,IF(N(P113)&gt;0,"Rupture - en cde","RUPTURE"),IF(M113+N(P113)&lt;=N113,"À COMMANDER",IF(M113&lt;=N113,"Commande en cours","OK"))))</f>
        <v/>
      </c>
      <c r="T113" s="68">
        <f>IF($A113="","",IF(OR(S113="À COMMANDER",S113="RUPTURE"),MAX(1,O113-M113-N(P113)),0))</f>
        <v/>
      </c>
      <c r="U113" s="68">
        <f>IF($A113="","",SUMIFS('Mouvements stock'!$F$5:$F$3004,'Mouvements stock'!$D$5:$D$3004,$A113,'Mouvements stock'!$C$5:$C$3004,"Sortie",'Mouvements stock'!$B$5:$B$3004,"&gt;="&amp;'Paramètres'!$AA$6,'Mouvements stock'!$B$5:$B$3004,"&lt;"&amp;('Paramètres'!$AA$7+1)))</f>
        <v/>
      </c>
      <c r="V113" s="78">
        <f>IF($A113="","",IF(COUNTIF('Mouvements stock'!$D$5:$D$3004,$A113)=0,"",_xlfn.MAXIFS('Mouvements stock'!$B$5:$B$3004,'Mouvements stock'!$D$5:$D$3004,$A113)))</f>
        <v/>
      </c>
    </row>
    <row r="114">
      <c r="A114" s="7" t="n"/>
      <c r="B114" s="7" t="n"/>
      <c r="C114" s="7" t="n"/>
      <c r="D114" s="7" t="n"/>
      <c r="E114" s="7" t="n"/>
      <c r="F114" s="7" t="n"/>
      <c r="G114" s="7" t="n"/>
      <c r="H114" s="7" t="n"/>
      <c r="I114" s="80" t="n"/>
      <c r="J114" s="67" t="n"/>
      <c r="K114" s="68">
        <f>IF($A114="","",SUMIFS('Mouvements stock'!$F$5:$F$3004,'Mouvements stock'!$D$5:$D$3004,$A114,'Mouvements stock'!$C$5:$C$3004,"Entrée")+SUMIFS('Mouvements stock'!$F$5:$F$3004,'Mouvements stock'!$D$5:$D$3004,$A114,'Mouvements stock'!$C$5:$C$3004,"Retour"))</f>
        <v/>
      </c>
      <c r="L114" s="68">
        <f>IF($A114="","",SUMIFS('Mouvements stock'!$F$5:$F$3004,'Mouvements stock'!$D$5:$D$3004,$A114,'Mouvements stock'!$C$5:$C$3004,"Sortie"))</f>
        <v/>
      </c>
      <c r="M114" s="79">
        <f>IF($A114="","",N(J114)+N(K114)-N(L114))</f>
        <v/>
      </c>
      <c r="N114" s="67" t="n"/>
      <c r="O114" s="67" t="n"/>
      <c r="P114" s="67" t="n"/>
      <c r="Q114" s="67" t="n"/>
      <c r="R114" s="70">
        <f>IF($A114="","",MAX(0,M114)*N(I114))</f>
        <v/>
      </c>
      <c r="S114" s="9">
        <f>IF($A114="","",IF(M114&lt;=0,IF(N(P114)&gt;0,"Rupture - en cde","RUPTURE"),IF(M114+N(P114)&lt;=N114,"À COMMANDER",IF(M114&lt;=N114,"Commande en cours","OK"))))</f>
        <v/>
      </c>
      <c r="T114" s="68">
        <f>IF($A114="","",IF(OR(S114="À COMMANDER",S114="RUPTURE"),MAX(1,O114-M114-N(P114)),0))</f>
        <v/>
      </c>
      <c r="U114" s="68">
        <f>IF($A114="","",SUMIFS('Mouvements stock'!$F$5:$F$3004,'Mouvements stock'!$D$5:$D$3004,$A114,'Mouvements stock'!$C$5:$C$3004,"Sortie",'Mouvements stock'!$B$5:$B$3004,"&gt;="&amp;'Paramètres'!$AA$6,'Mouvements stock'!$B$5:$B$3004,"&lt;"&amp;('Paramètres'!$AA$7+1)))</f>
        <v/>
      </c>
      <c r="V114" s="78">
        <f>IF($A114="","",IF(COUNTIF('Mouvements stock'!$D$5:$D$3004,$A114)=0,"",_xlfn.MAXIFS('Mouvements stock'!$B$5:$B$3004,'Mouvements stock'!$D$5:$D$3004,$A114)))</f>
        <v/>
      </c>
    </row>
    <row r="115">
      <c r="A115" s="7" t="n"/>
      <c r="B115" s="7" t="n"/>
      <c r="C115" s="7" t="n"/>
      <c r="D115" s="7" t="n"/>
      <c r="E115" s="7" t="n"/>
      <c r="F115" s="7" t="n"/>
      <c r="G115" s="7" t="n"/>
      <c r="H115" s="7" t="n"/>
      <c r="I115" s="80" t="n"/>
      <c r="J115" s="67" t="n"/>
      <c r="K115" s="68">
        <f>IF($A115="","",SUMIFS('Mouvements stock'!$F$5:$F$3004,'Mouvements stock'!$D$5:$D$3004,$A115,'Mouvements stock'!$C$5:$C$3004,"Entrée")+SUMIFS('Mouvements stock'!$F$5:$F$3004,'Mouvements stock'!$D$5:$D$3004,$A115,'Mouvements stock'!$C$5:$C$3004,"Retour"))</f>
        <v/>
      </c>
      <c r="L115" s="68">
        <f>IF($A115="","",SUMIFS('Mouvements stock'!$F$5:$F$3004,'Mouvements stock'!$D$5:$D$3004,$A115,'Mouvements stock'!$C$5:$C$3004,"Sortie"))</f>
        <v/>
      </c>
      <c r="M115" s="79">
        <f>IF($A115="","",N(J115)+N(K115)-N(L115))</f>
        <v/>
      </c>
      <c r="N115" s="67" t="n"/>
      <c r="O115" s="67" t="n"/>
      <c r="P115" s="67" t="n"/>
      <c r="Q115" s="67" t="n"/>
      <c r="R115" s="70">
        <f>IF($A115="","",MAX(0,M115)*N(I115))</f>
        <v/>
      </c>
      <c r="S115" s="9">
        <f>IF($A115="","",IF(M115&lt;=0,IF(N(P115)&gt;0,"Rupture - en cde","RUPTURE"),IF(M115+N(P115)&lt;=N115,"À COMMANDER",IF(M115&lt;=N115,"Commande en cours","OK"))))</f>
        <v/>
      </c>
      <c r="T115" s="68">
        <f>IF($A115="","",IF(OR(S115="À COMMANDER",S115="RUPTURE"),MAX(1,O115-M115-N(P115)),0))</f>
        <v/>
      </c>
      <c r="U115" s="68">
        <f>IF($A115="","",SUMIFS('Mouvements stock'!$F$5:$F$3004,'Mouvements stock'!$D$5:$D$3004,$A115,'Mouvements stock'!$C$5:$C$3004,"Sortie",'Mouvements stock'!$B$5:$B$3004,"&gt;="&amp;'Paramètres'!$AA$6,'Mouvements stock'!$B$5:$B$3004,"&lt;"&amp;('Paramètres'!$AA$7+1)))</f>
        <v/>
      </c>
      <c r="V115" s="78">
        <f>IF($A115="","",IF(COUNTIF('Mouvements stock'!$D$5:$D$3004,$A115)=0,"",_xlfn.MAXIFS('Mouvements stock'!$B$5:$B$3004,'Mouvements stock'!$D$5:$D$3004,$A115)))</f>
        <v/>
      </c>
    </row>
    <row r="116">
      <c r="A116" s="7" t="n"/>
      <c r="B116" s="7" t="n"/>
      <c r="C116" s="7" t="n"/>
      <c r="D116" s="7" t="n"/>
      <c r="E116" s="7" t="n"/>
      <c r="F116" s="7" t="n"/>
      <c r="G116" s="7" t="n"/>
      <c r="H116" s="7" t="n"/>
      <c r="I116" s="80" t="n"/>
      <c r="J116" s="67" t="n"/>
      <c r="K116" s="68">
        <f>IF($A116="","",SUMIFS('Mouvements stock'!$F$5:$F$3004,'Mouvements stock'!$D$5:$D$3004,$A116,'Mouvements stock'!$C$5:$C$3004,"Entrée")+SUMIFS('Mouvements stock'!$F$5:$F$3004,'Mouvements stock'!$D$5:$D$3004,$A116,'Mouvements stock'!$C$5:$C$3004,"Retour"))</f>
        <v/>
      </c>
      <c r="L116" s="68">
        <f>IF($A116="","",SUMIFS('Mouvements stock'!$F$5:$F$3004,'Mouvements stock'!$D$5:$D$3004,$A116,'Mouvements stock'!$C$5:$C$3004,"Sortie"))</f>
        <v/>
      </c>
      <c r="M116" s="79">
        <f>IF($A116="","",N(J116)+N(K116)-N(L116))</f>
        <v/>
      </c>
      <c r="N116" s="67" t="n"/>
      <c r="O116" s="67" t="n"/>
      <c r="P116" s="67" t="n"/>
      <c r="Q116" s="67" t="n"/>
      <c r="R116" s="70">
        <f>IF($A116="","",MAX(0,M116)*N(I116))</f>
        <v/>
      </c>
      <c r="S116" s="9">
        <f>IF($A116="","",IF(M116&lt;=0,IF(N(P116)&gt;0,"Rupture - en cde","RUPTURE"),IF(M116+N(P116)&lt;=N116,"À COMMANDER",IF(M116&lt;=N116,"Commande en cours","OK"))))</f>
        <v/>
      </c>
      <c r="T116" s="68">
        <f>IF($A116="","",IF(OR(S116="À COMMANDER",S116="RUPTURE"),MAX(1,O116-M116-N(P116)),0))</f>
        <v/>
      </c>
      <c r="U116" s="68">
        <f>IF($A116="","",SUMIFS('Mouvements stock'!$F$5:$F$3004,'Mouvements stock'!$D$5:$D$3004,$A116,'Mouvements stock'!$C$5:$C$3004,"Sortie",'Mouvements stock'!$B$5:$B$3004,"&gt;="&amp;'Paramètres'!$AA$6,'Mouvements stock'!$B$5:$B$3004,"&lt;"&amp;('Paramètres'!$AA$7+1)))</f>
        <v/>
      </c>
      <c r="V116" s="78">
        <f>IF($A116="","",IF(COUNTIF('Mouvements stock'!$D$5:$D$3004,$A116)=0,"",_xlfn.MAXIFS('Mouvements stock'!$B$5:$B$3004,'Mouvements stock'!$D$5:$D$3004,$A116)))</f>
        <v/>
      </c>
    </row>
    <row r="117">
      <c r="A117" s="7" t="n"/>
      <c r="B117" s="7" t="n"/>
      <c r="C117" s="7" t="n"/>
      <c r="D117" s="7" t="n"/>
      <c r="E117" s="7" t="n"/>
      <c r="F117" s="7" t="n"/>
      <c r="G117" s="7" t="n"/>
      <c r="H117" s="7" t="n"/>
      <c r="I117" s="80" t="n"/>
      <c r="J117" s="67" t="n"/>
      <c r="K117" s="68">
        <f>IF($A117="","",SUMIFS('Mouvements stock'!$F$5:$F$3004,'Mouvements stock'!$D$5:$D$3004,$A117,'Mouvements stock'!$C$5:$C$3004,"Entrée")+SUMIFS('Mouvements stock'!$F$5:$F$3004,'Mouvements stock'!$D$5:$D$3004,$A117,'Mouvements stock'!$C$5:$C$3004,"Retour"))</f>
        <v/>
      </c>
      <c r="L117" s="68">
        <f>IF($A117="","",SUMIFS('Mouvements stock'!$F$5:$F$3004,'Mouvements stock'!$D$5:$D$3004,$A117,'Mouvements stock'!$C$5:$C$3004,"Sortie"))</f>
        <v/>
      </c>
      <c r="M117" s="79">
        <f>IF($A117="","",N(J117)+N(K117)-N(L117))</f>
        <v/>
      </c>
      <c r="N117" s="67" t="n"/>
      <c r="O117" s="67" t="n"/>
      <c r="P117" s="67" t="n"/>
      <c r="Q117" s="67" t="n"/>
      <c r="R117" s="70">
        <f>IF($A117="","",MAX(0,M117)*N(I117))</f>
        <v/>
      </c>
      <c r="S117" s="9">
        <f>IF($A117="","",IF(M117&lt;=0,IF(N(P117)&gt;0,"Rupture - en cde","RUPTURE"),IF(M117+N(P117)&lt;=N117,"À COMMANDER",IF(M117&lt;=N117,"Commande en cours","OK"))))</f>
        <v/>
      </c>
      <c r="T117" s="68">
        <f>IF($A117="","",IF(OR(S117="À COMMANDER",S117="RUPTURE"),MAX(1,O117-M117-N(P117)),0))</f>
        <v/>
      </c>
      <c r="U117" s="68">
        <f>IF($A117="","",SUMIFS('Mouvements stock'!$F$5:$F$3004,'Mouvements stock'!$D$5:$D$3004,$A117,'Mouvements stock'!$C$5:$C$3004,"Sortie",'Mouvements stock'!$B$5:$B$3004,"&gt;="&amp;'Paramètres'!$AA$6,'Mouvements stock'!$B$5:$B$3004,"&lt;"&amp;('Paramètres'!$AA$7+1)))</f>
        <v/>
      </c>
      <c r="V117" s="78">
        <f>IF($A117="","",IF(COUNTIF('Mouvements stock'!$D$5:$D$3004,$A117)=0,"",_xlfn.MAXIFS('Mouvements stock'!$B$5:$B$3004,'Mouvements stock'!$D$5:$D$3004,$A117)))</f>
        <v/>
      </c>
    </row>
    <row r="118">
      <c r="A118" s="7" t="n"/>
      <c r="B118" s="7" t="n"/>
      <c r="C118" s="7" t="n"/>
      <c r="D118" s="7" t="n"/>
      <c r="E118" s="7" t="n"/>
      <c r="F118" s="7" t="n"/>
      <c r="G118" s="7" t="n"/>
      <c r="H118" s="7" t="n"/>
      <c r="I118" s="80" t="n"/>
      <c r="J118" s="67" t="n"/>
      <c r="K118" s="68">
        <f>IF($A118="","",SUMIFS('Mouvements stock'!$F$5:$F$3004,'Mouvements stock'!$D$5:$D$3004,$A118,'Mouvements stock'!$C$5:$C$3004,"Entrée")+SUMIFS('Mouvements stock'!$F$5:$F$3004,'Mouvements stock'!$D$5:$D$3004,$A118,'Mouvements stock'!$C$5:$C$3004,"Retour"))</f>
        <v/>
      </c>
      <c r="L118" s="68">
        <f>IF($A118="","",SUMIFS('Mouvements stock'!$F$5:$F$3004,'Mouvements stock'!$D$5:$D$3004,$A118,'Mouvements stock'!$C$5:$C$3004,"Sortie"))</f>
        <v/>
      </c>
      <c r="M118" s="79">
        <f>IF($A118="","",N(J118)+N(K118)-N(L118))</f>
        <v/>
      </c>
      <c r="N118" s="67" t="n"/>
      <c r="O118" s="67" t="n"/>
      <c r="P118" s="67" t="n"/>
      <c r="Q118" s="67" t="n"/>
      <c r="R118" s="70">
        <f>IF($A118="","",MAX(0,M118)*N(I118))</f>
        <v/>
      </c>
      <c r="S118" s="9">
        <f>IF($A118="","",IF(M118&lt;=0,IF(N(P118)&gt;0,"Rupture - en cde","RUPTURE"),IF(M118+N(P118)&lt;=N118,"À COMMANDER",IF(M118&lt;=N118,"Commande en cours","OK"))))</f>
        <v/>
      </c>
      <c r="T118" s="68">
        <f>IF($A118="","",IF(OR(S118="À COMMANDER",S118="RUPTURE"),MAX(1,O118-M118-N(P118)),0))</f>
        <v/>
      </c>
      <c r="U118" s="68">
        <f>IF($A118="","",SUMIFS('Mouvements stock'!$F$5:$F$3004,'Mouvements stock'!$D$5:$D$3004,$A118,'Mouvements stock'!$C$5:$C$3004,"Sortie",'Mouvements stock'!$B$5:$B$3004,"&gt;="&amp;'Paramètres'!$AA$6,'Mouvements stock'!$B$5:$B$3004,"&lt;"&amp;('Paramètres'!$AA$7+1)))</f>
        <v/>
      </c>
      <c r="V118" s="78">
        <f>IF($A118="","",IF(COUNTIF('Mouvements stock'!$D$5:$D$3004,$A118)=0,"",_xlfn.MAXIFS('Mouvements stock'!$B$5:$B$3004,'Mouvements stock'!$D$5:$D$3004,$A118)))</f>
        <v/>
      </c>
    </row>
    <row r="119">
      <c r="A119" s="7" t="n"/>
      <c r="B119" s="7" t="n"/>
      <c r="C119" s="7" t="n"/>
      <c r="D119" s="7" t="n"/>
      <c r="E119" s="7" t="n"/>
      <c r="F119" s="7" t="n"/>
      <c r="G119" s="7" t="n"/>
      <c r="H119" s="7" t="n"/>
      <c r="I119" s="80" t="n"/>
      <c r="J119" s="67" t="n"/>
      <c r="K119" s="68">
        <f>IF($A119="","",SUMIFS('Mouvements stock'!$F$5:$F$3004,'Mouvements stock'!$D$5:$D$3004,$A119,'Mouvements stock'!$C$5:$C$3004,"Entrée")+SUMIFS('Mouvements stock'!$F$5:$F$3004,'Mouvements stock'!$D$5:$D$3004,$A119,'Mouvements stock'!$C$5:$C$3004,"Retour"))</f>
        <v/>
      </c>
      <c r="L119" s="68">
        <f>IF($A119="","",SUMIFS('Mouvements stock'!$F$5:$F$3004,'Mouvements stock'!$D$5:$D$3004,$A119,'Mouvements stock'!$C$5:$C$3004,"Sortie"))</f>
        <v/>
      </c>
      <c r="M119" s="79">
        <f>IF($A119="","",N(J119)+N(K119)-N(L119))</f>
        <v/>
      </c>
      <c r="N119" s="67" t="n"/>
      <c r="O119" s="67" t="n"/>
      <c r="P119" s="67" t="n"/>
      <c r="Q119" s="67" t="n"/>
      <c r="R119" s="70">
        <f>IF($A119="","",MAX(0,M119)*N(I119))</f>
        <v/>
      </c>
      <c r="S119" s="9">
        <f>IF($A119="","",IF(M119&lt;=0,IF(N(P119)&gt;0,"Rupture - en cde","RUPTURE"),IF(M119+N(P119)&lt;=N119,"À COMMANDER",IF(M119&lt;=N119,"Commande en cours","OK"))))</f>
        <v/>
      </c>
      <c r="T119" s="68">
        <f>IF($A119="","",IF(OR(S119="À COMMANDER",S119="RUPTURE"),MAX(1,O119-M119-N(P119)),0))</f>
        <v/>
      </c>
      <c r="U119" s="68">
        <f>IF($A119="","",SUMIFS('Mouvements stock'!$F$5:$F$3004,'Mouvements stock'!$D$5:$D$3004,$A119,'Mouvements stock'!$C$5:$C$3004,"Sortie",'Mouvements stock'!$B$5:$B$3004,"&gt;="&amp;'Paramètres'!$AA$6,'Mouvements stock'!$B$5:$B$3004,"&lt;"&amp;('Paramètres'!$AA$7+1)))</f>
        <v/>
      </c>
      <c r="V119" s="78">
        <f>IF($A119="","",IF(COUNTIF('Mouvements stock'!$D$5:$D$3004,$A119)=0,"",_xlfn.MAXIFS('Mouvements stock'!$B$5:$B$3004,'Mouvements stock'!$D$5:$D$3004,$A119)))</f>
        <v/>
      </c>
    </row>
    <row r="120">
      <c r="A120" s="7" t="n"/>
      <c r="B120" s="7" t="n"/>
      <c r="C120" s="7" t="n"/>
      <c r="D120" s="7" t="n"/>
      <c r="E120" s="7" t="n"/>
      <c r="F120" s="7" t="n"/>
      <c r="G120" s="7" t="n"/>
      <c r="H120" s="7" t="n"/>
      <c r="I120" s="80" t="n"/>
      <c r="J120" s="67" t="n"/>
      <c r="K120" s="68">
        <f>IF($A120="","",SUMIFS('Mouvements stock'!$F$5:$F$3004,'Mouvements stock'!$D$5:$D$3004,$A120,'Mouvements stock'!$C$5:$C$3004,"Entrée")+SUMIFS('Mouvements stock'!$F$5:$F$3004,'Mouvements stock'!$D$5:$D$3004,$A120,'Mouvements stock'!$C$5:$C$3004,"Retour"))</f>
        <v/>
      </c>
      <c r="L120" s="68">
        <f>IF($A120="","",SUMIFS('Mouvements stock'!$F$5:$F$3004,'Mouvements stock'!$D$5:$D$3004,$A120,'Mouvements stock'!$C$5:$C$3004,"Sortie"))</f>
        <v/>
      </c>
      <c r="M120" s="79">
        <f>IF($A120="","",N(J120)+N(K120)-N(L120))</f>
        <v/>
      </c>
      <c r="N120" s="67" t="n"/>
      <c r="O120" s="67" t="n"/>
      <c r="P120" s="67" t="n"/>
      <c r="Q120" s="67" t="n"/>
      <c r="R120" s="70">
        <f>IF($A120="","",MAX(0,M120)*N(I120))</f>
        <v/>
      </c>
      <c r="S120" s="9">
        <f>IF($A120="","",IF(M120&lt;=0,IF(N(P120)&gt;0,"Rupture - en cde","RUPTURE"),IF(M120+N(P120)&lt;=N120,"À COMMANDER",IF(M120&lt;=N120,"Commande en cours","OK"))))</f>
        <v/>
      </c>
      <c r="T120" s="68">
        <f>IF($A120="","",IF(OR(S120="À COMMANDER",S120="RUPTURE"),MAX(1,O120-M120-N(P120)),0))</f>
        <v/>
      </c>
      <c r="U120" s="68">
        <f>IF($A120="","",SUMIFS('Mouvements stock'!$F$5:$F$3004,'Mouvements stock'!$D$5:$D$3004,$A120,'Mouvements stock'!$C$5:$C$3004,"Sortie",'Mouvements stock'!$B$5:$B$3004,"&gt;="&amp;'Paramètres'!$AA$6,'Mouvements stock'!$B$5:$B$3004,"&lt;"&amp;('Paramètres'!$AA$7+1)))</f>
        <v/>
      </c>
      <c r="V120" s="78">
        <f>IF($A120="","",IF(COUNTIF('Mouvements stock'!$D$5:$D$3004,$A120)=0,"",_xlfn.MAXIFS('Mouvements stock'!$B$5:$B$3004,'Mouvements stock'!$D$5:$D$3004,$A120)))</f>
        <v/>
      </c>
    </row>
    <row r="121">
      <c r="A121" s="7" t="n"/>
      <c r="B121" s="7" t="n"/>
      <c r="C121" s="7" t="n"/>
      <c r="D121" s="7" t="n"/>
      <c r="E121" s="7" t="n"/>
      <c r="F121" s="7" t="n"/>
      <c r="G121" s="7" t="n"/>
      <c r="H121" s="7" t="n"/>
      <c r="I121" s="80" t="n"/>
      <c r="J121" s="67" t="n"/>
      <c r="K121" s="68">
        <f>IF($A121="","",SUMIFS('Mouvements stock'!$F$5:$F$3004,'Mouvements stock'!$D$5:$D$3004,$A121,'Mouvements stock'!$C$5:$C$3004,"Entrée")+SUMIFS('Mouvements stock'!$F$5:$F$3004,'Mouvements stock'!$D$5:$D$3004,$A121,'Mouvements stock'!$C$5:$C$3004,"Retour"))</f>
        <v/>
      </c>
      <c r="L121" s="68">
        <f>IF($A121="","",SUMIFS('Mouvements stock'!$F$5:$F$3004,'Mouvements stock'!$D$5:$D$3004,$A121,'Mouvements stock'!$C$5:$C$3004,"Sortie"))</f>
        <v/>
      </c>
      <c r="M121" s="79">
        <f>IF($A121="","",N(J121)+N(K121)-N(L121))</f>
        <v/>
      </c>
      <c r="N121" s="67" t="n"/>
      <c r="O121" s="67" t="n"/>
      <c r="P121" s="67" t="n"/>
      <c r="Q121" s="67" t="n"/>
      <c r="R121" s="70">
        <f>IF($A121="","",MAX(0,M121)*N(I121))</f>
        <v/>
      </c>
      <c r="S121" s="9">
        <f>IF($A121="","",IF(M121&lt;=0,IF(N(P121)&gt;0,"Rupture - en cde","RUPTURE"),IF(M121+N(P121)&lt;=N121,"À COMMANDER",IF(M121&lt;=N121,"Commande en cours","OK"))))</f>
        <v/>
      </c>
      <c r="T121" s="68">
        <f>IF($A121="","",IF(OR(S121="À COMMANDER",S121="RUPTURE"),MAX(1,O121-M121-N(P121)),0))</f>
        <v/>
      </c>
      <c r="U121" s="68">
        <f>IF($A121="","",SUMIFS('Mouvements stock'!$F$5:$F$3004,'Mouvements stock'!$D$5:$D$3004,$A121,'Mouvements stock'!$C$5:$C$3004,"Sortie",'Mouvements stock'!$B$5:$B$3004,"&gt;="&amp;'Paramètres'!$AA$6,'Mouvements stock'!$B$5:$B$3004,"&lt;"&amp;('Paramètres'!$AA$7+1)))</f>
        <v/>
      </c>
      <c r="V121" s="78">
        <f>IF($A121="","",IF(COUNTIF('Mouvements stock'!$D$5:$D$3004,$A121)=0,"",_xlfn.MAXIFS('Mouvements stock'!$B$5:$B$3004,'Mouvements stock'!$D$5:$D$3004,$A121)))</f>
        <v/>
      </c>
    </row>
    <row r="122">
      <c r="A122" s="7" t="n"/>
      <c r="B122" s="7" t="n"/>
      <c r="C122" s="7" t="n"/>
      <c r="D122" s="7" t="n"/>
      <c r="E122" s="7" t="n"/>
      <c r="F122" s="7" t="n"/>
      <c r="G122" s="7" t="n"/>
      <c r="H122" s="7" t="n"/>
      <c r="I122" s="80" t="n"/>
      <c r="J122" s="67" t="n"/>
      <c r="K122" s="68">
        <f>IF($A122="","",SUMIFS('Mouvements stock'!$F$5:$F$3004,'Mouvements stock'!$D$5:$D$3004,$A122,'Mouvements stock'!$C$5:$C$3004,"Entrée")+SUMIFS('Mouvements stock'!$F$5:$F$3004,'Mouvements stock'!$D$5:$D$3004,$A122,'Mouvements stock'!$C$5:$C$3004,"Retour"))</f>
        <v/>
      </c>
      <c r="L122" s="68">
        <f>IF($A122="","",SUMIFS('Mouvements stock'!$F$5:$F$3004,'Mouvements stock'!$D$5:$D$3004,$A122,'Mouvements stock'!$C$5:$C$3004,"Sortie"))</f>
        <v/>
      </c>
      <c r="M122" s="79">
        <f>IF($A122="","",N(J122)+N(K122)-N(L122))</f>
        <v/>
      </c>
      <c r="N122" s="67" t="n"/>
      <c r="O122" s="67" t="n"/>
      <c r="P122" s="67" t="n"/>
      <c r="Q122" s="67" t="n"/>
      <c r="R122" s="70">
        <f>IF($A122="","",MAX(0,M122)*N(I122))</f>
        <v/>
      </c>
      <c r="S122" s="9">
        <f>IF($A122="","",IF(M122&lt;=0,IF(N(P122)&gt;0,"Rupture - en cde","RUPTURE"),IF(M122+N(P122)&lt;=N122,"À COMMANDER",IF(M122&lt;=N122,"Commande en cours","OK"))))</f>
        <v/>
      </c>
      <c r="T122" s="68">
        <f>IF($A122="","",IF(OR(S122="À COMMANDER",S122="RUPTURE"),MAX(1,O122-M122-N(P122)),0))</f>
        <v/>
      </c>
      <c r="U122" s="68">
        <f>IF($A122="","",SUMIFS('Mouvements stock'!$F$5:$F$3004,'Mouvements stock'!$D$5:$D$3004,$A122,'Mouvements stock'!$C$5:$C$3004,"Sortie",'Mouvements stock'!$B$5:$B$3004,"&gt;="&amp;'Paramètres'!$AA$6,'Mouvements stock'!$B$5:$B$3004,"&lt;"&amp;('Paramètres'!$AA$7+1)))</f>
        <v/>
      </c>
      <c r="V122" s="78">
        <f>IF($A122="","",IF(COUNTIF('Mouvements stock'!$D$5:$D$3004,$A122)=0,"",_xlfn.MAXIFS('Mouvements stock'!$B$5:$B$3004,'Mouvements stock'!$D$5:$D$3004,$A122)))</f>
        <v/>
      </c>
    </row>
    <row r="123">
      <c r="A123" s="7" t="n"/>
      <c r="B123" s="7" t="n"/>
      <c r="C123" s="7" t="n"/>
      <c r="D123" s="7" t="n"/>
      <c r="E123" s="7" t="n"/>
      <c r="F123" s="7" t="n"/>
      <c r="G123" s="7" t="n"/>
      <c r="H123" s="7" t="n"/>
      <c r="I123" s="80" t="n"/>
      <c r="J123" s="67" t="n"/>
      <c r="K123" s="68">
        <f>IF($A123="","",SUMIFS('Mouvements stock'!$F$5:$F$3004,'Mouvements stock'!$D$5:$D$3004,$A123,'Mouvements stock'!$C$5:$C$3004,"Entrée")+SUMIFS('Mouvements stock'!$F$5:$F$3004,'Mouvements stock'!$D$5:$D$3004,$A123,'Mouvements stock'!$C$5:$C$3004,"Retour"))</f>
        <v/>
      </c>
      <c r="L123" s="68">
        <f>IF($A123="","",SUMIFS('Mouvements stock'!$F$5:$F$3004,'Mouvements stock'!$D$5:$D$3004,$A123,'Mouvements stock'!$C$5:$C$3004,"Sortie"))</f>
        <v/>
      </c>
      <c r="M123" s="79">
        <f>IF($A123="","",N(J123)+N(K123)-N(L123))</f>
        <v/>
      </c>
      <c r="N123" s="67" t="n"/>
      <c r="O123" s="67" t="n"/>
      <c r="P123" s="67" t="n"/>
      <c r="Q123" s="67" t="n"/>
      <c r="R123" s="70">
        <f>IF($A123="","",MAX(0,M123)*N(I123))</f>
        <v/>
      </c>
      <c r="S123" s="9">
        <f>IF($A123="","",IF(M123&lt;=0,IF(N(P123)&gt;0,"Rupture - en cde","RUPTURE"),IF(M123+N(P123)&lt;=N123,"À COMMANDER",IF(M123&lt;=N123,"Commande en cours","OK"))))</f>
        <v/>
      </c>
      <c r="T123" s="68">
        <f>IF($A123="","",IF(OR(S123="À COMMANDER",S123="RUPTURE"),MAX(1,O123-M123-N(P123)),0))</f>
        <v/>
      </c>
      <c r="U123" s="68">
        <f>IF($A123="","",SUMIFS('Mouvements stock'!$F$5:$F$3004,'Mouvements stock'!$D$5:$D$3004,$A123,'Mouvements stock'!$C$5:$C$3004,"Sortie",'Mouvements stock'!$B$5:$B$3004,"&gt;="&amp;'Paramètres'!$AA$6,'Mouvements stock'!$B$5:$B$3004,"&lt;"&amp;('Paramètres'!$AA$7+1)))</f>
        <v/>
      </c>
      <c r="V123" s="78">
        <f>IF($A123="","",IF(COUNTIF('Mouvements stock'!$D$5:$D$3004,$A123)=0,"",_xlfn.MAXIFS('Mouvements stock'!$B$5:$B$3004,'Mouvements stock'!$D$5:$D$3004,$A123)))</f>
        <v/>
      </c>
    </row>
    <row r="124">
      <c r="A124" s="7" t="n"/>
      <c r="B124" s="7" t="n"/>
      <c r="C124" s="7" t="n"/>
      <c r="D124" s="7" t="n"/>
      <c r="E124" s="7" t="n"/>
      <c r="F124" s="7" t="n"/>
      <c r="G124" s="7" t="n"/>
      <c r="H124" s="7" t="n"/>
      <c r="I124" s="80" t="n"/>
      <c r="J124" s="67" t="n"/>
      <c r="K124" s="68">
        <f>IF($A124="","",SUMIFS('Mouvements stock'!$F$5:$F$3004,'Mouvements stock'!$D$5:$D$3004,$A124,'Mouvements stock'!$C$5:$C$3004,"Entrée")+SUMIFS('Mouvements stock'!$F$5:$F$3004,'Mouvements stock'!$D$5:$D$3004,$A124,'Mouvements stock'!$C$5:$C$3004,"Retour"))</f>
        <v/>
      </c>
      <c r="L124" s="68">
        <f>IF($A124="","",SUMIFS('Mouvements stock'!$F$5:$F$3004,'Mouvements stock'!$D$5:$D$3004,$A124,'Mouvements stock'!$C$5:$C$3004,"Sortie"))</f>
        <v/>
      </c>
      <c r="M124" s="79">
        <f>IF($A124="","",N(J124)+N(K124)-N(L124))</f>
        <v/>
      </c>
      <c r="N124" s="67" t="n"/>
      <c r="O124" s="67" t="n"/>
      <c r="P124" s="67" t="n"/>
      <c r="Q124" s="67" t="n"/>
      <c r="R124" s="70">
        <f>IF($A124="","",MAX(0,M124)*N(I124))</f>
        <v/>
      </c>
      <c r="S124" s="9">
        <f>IF($A124="","",IF(M124&lt;=0,IF(N(P124)&gt;0,"Rupture - en cde","RUPTURE"),IF(M124+N(P124)&lt;=N124,"À COMMANDER",IF(M124&lt;=N124,"Commande en cours","OK"))))</f>
        <v/>
      </c>
      <c r="T124" s="68">
        <f>IF($A124="","",IF(OR(S124="À COMMANDER",S124="RUPTURE"),MAX(1,O124-M124-N(P124)),0))</f>
        <v/>
      </c>
      <c r="U124" s="68">
        <f>IF($A124="","",SUMIFS('Mouvements stock'!$F$5:$F$3004,'Mouvements stock'!$D$5:$D$3004,$A124,'Mouvements stock'!$C$5:$C$3004,"Sortie",'Mouvements stock'!$B$5:$B$3004,"&gt;="&amp;'Paramètres'!$AA$6,'Mouvements stock'!$B$5:$B$3004,"&lt;"&amp;('Paramètres'!$AA$7+1)))</f>
        <v/>
      </c>
      <c r="V124" s="78">
        <f>IF($A124="","",IF(COUNTIF('Mouvements stock'!$D$5:$D$3004,$A124)=0,"",_xlfn.MAXIFS('Mouvements stock'!$B$5:$B$3004,'Mouvements stock'!$D$5:$D$3004,$A124)))</f>
        <v/>
      </c>
    </row>
    <row r="125">
      <c r="A125" s="7" t="n"/>
      <c r="B125" s="7" t="n"/>
      <c r="C125" s="7" t="n"/>
      <c r="D125" s="7" t="n"/>
      <c r="E125" s="7" t="n"/>
      <c r="F125" s="7" t="n"/>
      <c r="G125" s="7" t="n"/>
      <c r="H125" s="7" t="n"/>
      <c r="I125" s="80" t="n"/>
      <c r="J125" s="67" t="n"/>
      <c r="K125" s="68">
        <f>IF($A125="","",SUMIFS('Mouvements stock'!$F$5:$F$3004,'Mouvements stock'!$D$5:$D$3004,$A125,'Mouvements stock'!$C$5:$C$3004,"Entrée")+SUMIFS('Mouvements stock'!$F$5:$F$3004,'Mouvements stock'!$D$5:$D$3004,$A125,'Mouvements stock'!$C$5:$C$3004,"Retour"))</f>
        <v/>
      </c>
      <c r="L125" s="68">
        <f>IF($A125="","",SUMIFS('Mouvements stock'!$F$5:$F$3004,'Mouvements stock'!$D$5:$D$3004,$A125,'Mouvements stock'!$C$5:$C$3004,"Sortie"))</f>
        <v/>
      </c>
      <c r="M125" s="79">
        <f>IF($A125="","",N(J125)+N(K125)-N(L125))</f>
        <v/>
      </c>
      <c r="N125" s="67" t="n"/>
      <c r="O125" s="67" t="n"/>
      <c r="P125" s="67" t="n"/>
      <c r="Q125" s="67" t="n"/>
      <c r="R125" s="70">
        <f>IF($A125="","",MAX(0,M125)*N(I125))</f>
        <v/>
      </c>
      <c r="S125" s="9">
        <f>IF($A125="","",IF(M125&lt;=0,IF(N(P125)&gt;0,"Rupture - en cde","RUPTURE"),IF(M125+N(P125)&lt;=N125,"À COMMANDER",IF(M125&lt;=N125,"Commande en cours","OK"))))</f>
        <v/>
      </c>
      <c r="T125" s="68">
        <f>IF($A125="","",IF(OR(S125="À COMMANDER",S125="RUPTURE"),MAX(1,O125-M125-N(P125)),0))</f>
        <v/>
      </c>
      <c r="U125" s="68">
        <f>IF($A125="","",SUMIFS('Mouvements stock'!$F$5:$F$3004,'Mouvements stock'!$D$5:$D$3004,$A125,'Mouvements stock'!$C$5:$C$3004,"Sortie",'Mouvements stock'!$B$5:$B$3004,"&gt;="&amp;'Paramètres'!$AA$6,'Mouvements stock'!$B$5:$B$3004,"&lt;"&amp;('Paramètres'!$AA$7+1)))</f>
        <v/>
      </c>
      <c r="V125" s="78">
        <f>IF($A125="","",IF(COUNTIF('Mouvements stock'!$D$5:$D$3004,$A125)=0,"",_xlfn.MAXIFS('Mouvements stock'!$B$5:$B$3004,'Mouvements stock'!$D$5:$D$3004,$A125)))</f>
        <v/>
      </c>
    </row>
    <row r="126">
      <c r="A126" s="7" t="n"/>
      <c r="B126" s="7" t="n"/>
      <c r="C126" s="7" t="n"/>
      <c r="D126" s="7" t="n"/>
      <c r="E126" s="7" t="n"/>
      <c r="F126" s="7" t="n"/>
      <c r="G126" s="7" t="n"/>
      <c r="H126" s="7" t="n"/>
      <c r="I126" s="80" t="n"/>
      <c r="J126" s="67" t="n"/>
      <c r="K126" s="68">
        <f>IF($A126="","",SUMIFS('Mouvements stock'!$F$5:$F$3004,'Mouvements stock'!$D$5:$D$3004,$A126,'Mouvements stock'!$C$5:$C$3004,"Entrée")+SUMIFS('Mouvements stock'!$F$5:$F$3004,'Mouvements stock'!$D$5:$D$3004,$A126,'Mouvements stock'!$C$5:$C$3004,"Retour"))</f>
        <v/>
      </c>
      <c r="L126" s="68">
        <f>IF($A126="","",SUMIFS('Mouvements stock'!$F$5:$F$3004,'Mouvements stock'!$D$5:$D$3004,$A126,'Mouvements stock'!$C$5:$C$3004,"Sortie"))</f>
        <v/>
      </c>
      <c r="M126" s="79">
        <f>IF($A126="","",N(J126)+N(K126)-N(L126))</f>
        <v/>
      </c>
      <c r="N126" s="67" t="n"/>
      <c r="O126" s="67" t="n"/>
      <c r="P126" s="67" t="n"/>
      <c r="Q126" s="67" t="n"/>
      <c r="R126" s="70">
        <f>IF($A126="","",MAX(0,M126)*N(I126))</f>
        <v/>
      </c>
      <c r="S126" s="9">
        <f>IF($A126="","",IF(M126&lt;=0,IF(N(P126)&gt;0,"Rupture - en cde","RUPTURE"),IF(M126+N(P126)&lt;=N126,"À COMMANDER",IF(M126&lt;=N126,"Commande en cours","OK"))))</f>
        <v/>
      </c>
      <c r="T126" s="68">
        <f>IF($A126="","",IF(OR(S126="À COMMANDER",S126="RUPTURE"),MAX(1,O126-M126-N(P126)),0))</f>
        <v/>
      </c>
      <c r="U126" s="68">
        <f>IF($A126="","",SUMIFS('Mouvements stock'!$F$5:$F$3004,'Mouvements stock'!$D$5:$D$3004,$A126,'Mouvements stock'!$C$5:$C$3004,"Sortie",'Mouvements stock'!$B$5:$B$3004,"&gt;="&amp;'Paramètres'!$AA$6,'Mouvements stock'!$B$5:$B$3004,"&lt;"&amp;('Paramètres'!$AA$7+1)))</f>
        <v/>
      </c>
      <c r="V126" s="78">
        <f>IF($A126="","",IF(COUNTIF('Mouvements stock'!$D$5:$D$3004,$A126)=0,"",_xlfn.MAXIFS('Mouvements stock'!$B$5:$B$3004,'Mouvements stock'!$D$5:$D$3004,$A126)))</f>
        <v/>
      </c>
    </row>
    <row r="127">
      <c r="A127" s="7" t="n"/>
      <c r="B127" s="7" t="n"/>
      <c r="C127" s="7" t="n"/>
      <c r="D127" s="7" t="n"/>
      <c r="E127" s="7" t="n"/>
      <c r="F127" s="7" t="n"/>
      <c r="G127" s="7" t="n"/>
      <c r="H127" s="7" t="n"/>
      <c r="I127" s="80" t="n"/>
      <c r="J127" s="67" t="n"/>
      <c r="K127" s="68">
        <f>IF($A127="","",SUMIFS('Mouvements stock'!$F$5:$F$3004,'Mouvements stock'!$D$5:$D$3004,$A127,'Mouvements stock'!$C$5:$C$3004,"Entrée")+SUMIFS('Mouvements stock'!$F$5:$F$3004,'Mouvements stock'!$D$5:$D$3004,$A127,'Mouvements stock'!$C$5:$C$3004,"Retour"))</f>
        <v/>
      </c>
      <c r="L127" s="68">
        <f>IF($A127="","",SUMIFS('Mouvements stock'!$F$5:$F$3004,'Mouvements stock'!$D$5:$D$3004,$A127,'Mouvements stock'!$C$5:$C$3004,"Sortie"))</f>
        <v/>
      </c>
      <c r="M127" s="79">
        <f>IF($A127="","",N(J127)+N(K127)-N(L127))</f>
        <v/>
      </c>
      <c r="N127" s="67" t="n"/>
      <c r="O127" s="67" t="n"/>
      <c r="P127" s="67" t="n"/>
      <c r="Q127" s="67" t="n"/>
      <c r="R127" s="70">
        <f>IF($A127="","",MAX(0,M127)*N(I127))</f>
        <v/>
      </c>
      <c r="S127" s="9">
        <f>IF($A127="","",IF(M127&lt;=0,IF(N(P127)&gt;0,"Rupture - en cde","RUPTURE"),IF(M127+N(P127)&lt;=N127,"À COMMANDER",IF(M127&lt;=N127,"Commande en cours","OK"))))</f>
        <v/>
      </c>
      <c r="T127" s="68">
        <f>IF($A127="","",IF(OR(S127="À COMMANDER",S127="RUPTURE"),MAX(1,O127-M127-N(P127)),0))</f>
        <v/>
      </c>
      <c r="U127" s="68">
        <f>IF($A127="","",SUMIFS('Mouvements stock'!$F$5:$F$3004,'Mouvements stock'!$D$5:$D$3004,$A127,'Mouvements stock'!$C$5:$C$3004,"Sortie",'Mouvements stock'!$B$5:$B$3004,"&gt;="&amp;'Paramètres'!$AA$6,'Mouvements stock'!$B$5:$B$3004,"&lt;"&amp;('Paramètres'!$AA$7+1)))</f>
        <v/>
      </c>
      <c r="V127" s="78">
        <f>IF($A127="","",IF(COUNTIF('Mouvements stock'!$D$5:$D$3004,$A127)=0,"",_xlfn.MAXIFS('Mouvements stock'!$B$5:$B$3004,'Mouvements stock'!$D$5:$D$3004,$A127)))</f>
        <v/>
      </c>
    </row>
    <row r="128">
      <c r="A128" s="7" t="n"/>
      <c r="B128" s="7" t="n"/>
      <c r="C128" s="7" t="n"/>
      <c r="D128" s="7" t="n"/>
      <c r="E128" s="7" t="n"/>
      <c r="F128" s="7" t="n"/>
      <c r="G128" s="7" t="n"/>
      <c r="H128" s="7" t="n"/>
      <c r="I128" s="80" t="n"/>
      <c r="J128" s="67" t="n"/>
      <c r="K128" s="68">
        <f>IF($A128="","",SUMIFS('Mouvements stock'!$F$5:$F$3004,'Mouvements stock'!$D$5:$D$3004,$A128,'Mouvements stock'!$C$5:$C$3004,"Entrée")+SUMIFS('Mouvements stock'!$F$5:$F$3004,'Mouvements stock'!$D$5:$D$3004,$A128,'Mouvements stock'!$C$5:$C$3004,"Retour"))</f>
        <v/>
      </c>
      <c r="L128" s="68">
        <f>IF($A128="","",SUMIFS('Mouvements stock'!$F$5:$F$3004,'Mouvements stock'!$D$5:$D$3004,$A128,'Mouvements stock'!$C$5:$C$3004,"Sortie"))</f>
        <v/>
      </c>
      <c r="M128" s="79">
        <f>IF($A128="","",N(J128)+N(K128)-N(L128))</f>
        <v/>
      </c>
      <c r="N128" s="67" t="n"/>
      <c r="O128" s="67" t="n"/>
      <c r="P128" s="67" t="n"/>
      <c r="Q128" s="67" t="n"/>
      <c r="R128" s="70">
        <f>IF($A128="","",MAX(0,M128)*N(I128))</f>
        <v/>
      </c>
      <c r="S128" s="9">
        <f>IF($A128="","",IF(M128&lt;=0,IF(N(P128)&gt;0,"Rupture - en cde","RUPTURE"),IF(M128+N(P128)&lt;=N128,"À COMMANDER",IF(M128&lt;=N128,"Commande en cours","OK"))))</f>
        <v/>
      </c>
      <c r="T128" s="68">
        <f>IF($A128="","",IF(OR(S128="À COMMANDER",S128="RUPTURE"),MAX(1,O128-M128-N(P128)),0))</f>
        <v/>
      </c>
      <c r="U128" s="68">
        <f>IF($A128="","",SUMIFS('Mouvements stock'!$F$5:$F$3004,'Mouvements stock'!$D$5:$D$3004,$A128,'Mouvements stock'!$C$5:$C$3004,"Sortie",'Mouvements stock'!$B$5:$B$3004,"&gt;="&amp;'Paramètres'!$AA$6,'Mouvements stock'!$B$5:$B$3004,"&lt;"&amp;('Paramètres'!$AA$7+1)))</f>
        <v/>
      </c>
      <c r="V128" s="78">
        <f>IF($A128="","",IF(COUNTIF('Mouvements stock'!$D$5:$D$3004,$A128)=0,"",_xlfn.MAXIFS('Mouvements stock'!$B$5:$B$3004,'Mouvements stock'!$D$5:$D$3004,$A128)))</f>
        <v/>
      </c>
    </row>
    <row r="129">
      <c r="A129" s="7" t="n"/>
      <c r="B129" s="7" t="n"/>
      <c r="C129" s="7" t="n"/>
      <c r="D129" s="7" t="n"/>
      <c r="E129" s="7" t="n"/>
      <c r="F129" s="7" t="n"/>
      <c r="G129" s="7" t="n"/>
      <c r="H129" s="7" t="n"/>
      <c r="I129" s="80" t="n"/>
      <c r="J129" s="67" t="n"/>
      <c r="K129" s="68">
        <f>IF($A129="","",SUMIFS('Mouvements stock'!$F$5:$F$3004,'Mouvements stock'!$D$5:$D$3004,$A129,'Mouvements stock'!$C$5:$C$3004,"Entrée")+SUMIFS('Mouvements stock'!$F$5:$F$3004,'Mouvements stock'!$D$5:$D$3004,$A129,'Mouvements stock'!$C$5:$C$3004,"Retour"))</f>
        <v/>
      </c>
      <c r="L129" s="68">
        <f>IF($A129="","",SUMIFS('Mouvements stock'!$F$5:$F$3004,'Mouvements stock'!$D$5:$D$3004,$A129,'Mouvements stock'!$C$5:$C$3004,"Sortie"))</f>
        <v/>
      </c>
      <c r="M129" s="79">
        <f>IF($A129="","",N(J129)+N(K129)-N(L129))</f>
        <v/>
      </c>
      <c r="N129" s="67" t="n"/>
      <c r="O129" s="67" t="n"/>
      <c r="P129" s="67" t="n"/>
      <c r="Q129" s="67" t="n"/>
      <c r="R129" s="70">
        <f>IF($A129="","",MAX(0,M129)*N(I129))</f>
        <v/>
      </c>
      <c r="S129" s="9">
        <f>IF($A129="","",IF(M129&lt;=0,IF(N(P129)&gt;0,"Rupture - en cde","RUPTURE"),IF(M129+N(P129)&lt;=N129,"À COMMANDER",IF(M129&lt;=N129,"Commande en cours","OK"))))</f>
        <v/>
      </c>
      <c r="T129" s="68">
        <f>IF($A129="","",IF(OR(S129="À COMMANDER",S129="RUPTURE"),MAX(1,O129-M129-N(P129)),0))</f>
        <v/>
      </c>
      <c r="U129" s="68">
        <f>IF($A129="","",SUMIFS('Mouvements stock'!$F$5:$F$3004,'Mouvements stock'!$D$5:$D$3004,$A129,'Mouvements stock'!$C$5:$C$3004,"Sortie",'Mouvements stock'!$B$5:$B$3004,"&gt;="&amp;'Paramètres'!$AA$6,'Mouvements stock'!$B$5:$B$3004,"&lt;"&amp;('Paramètres'!$AA$7+1)))</f>
        <v/>
      </c>
      <c r="V129" s="78">
        <f>IF($A129="","",IF(COUNTIF('Mouvements stock'!$D$5:$D$3004,$A129)=0,"",_xlfn.MAXIFS('Mouvements stock'!$B$5:$B$3004,'Mouvements stock'!$D$5:$D$3004,$A129)))</f>
        <v/>
      </c>
    </row>
    <row r="130">
      <c r="A130" s="7" t="n"/>
      <c r="B130" s="7" t="n"/>
      <c r="C130" s="7" t="n"/>
      <c r="D130" s="7" t="n"/>
      <c r="E130" s="7" t="n"/>
      <c r="F130" s="7" t="n"/>
      <c r="G130" s="7" t="n"/>
      <c r="H130" s="7" t="n"/>
      <c r="I130" s="80" t="n"/>
      <c r="J130" s="67" t="n"/>
      <c r="K130" s="68">
        <f>IF($A130="","",SUMIFS('Mouvements stock'!$F$5:$F$3004,'Mouvements stock'!$D$5:$D$3004,$A130,'Mouvements stock'!$C$5:$C$3004,"Entrée")+SUMIFS('Mouvements stock'!$F$5:$F$3004,'Mouvements stock'!$D$5:$D$3004,$A130,'Mouvements stock'!$C$5:$C$3004,"Retour"))</f>
        <v/>
      </c>
      <c r="L130" s="68">
        <f>IF($A130="","",SUMIFS('Mouvements stock'!$F$5:$F$3004,'Mouvements stock'!$D$5:$D$3004,$A130,'Mouvements stock'!$C$5:$C$3004,"Sortie"))</f>
        <v/>
      </c>
      <c r="M130" s="79">
        <f>IF($A130="","",N(J130)+N(K130)-N(L130))</f>
        <v/>
      </c>
      <c r="N130" s="67" t="n"/>
      <c r="O130" s="67" t="n"/>
      <c r="P130" s="67" t="n"/>
      <c r="Q130" s="67" t="n"/>
      <c r="R130" s="70">
        <f>IF($A130="","",MAX(0,M130)*N(I130))</f>
        <v/>
      </c>
      <c r="S130" s="9">
        <f>IF($A130="","",IF(M130&lt;=0,IF(N(P130)&gt;0,"Rupture - en cde","RUPTURE"),IF(M130+N(P130)&lt;=N130,"À COMMANDER",IF(M130&lt;=N130,"Commande en cours","OK"))))</f>
        <v/>
      </c>
      <c r="T130" s="68">
        <f>IF($A130="","",IF(OR(S130="À COMMANDER",S130="RUPTURE"),MAX(1,O130-M130-N(P130)),0))</f>
        <v/>
      </c>
      <c r="U130" s="68">
        <f>IF($A130="","",SUMIFS('Mouvements stock'!$F$5:$F$3004,'Mouvements stock'!$D$5:$D$3004,$A130,'Mouvements stock'!$C$5:$C$3004,"Sortie",'Mouvements stock'!$B$5:$B$3004,"&gt;="&amp;'Paramètres'!$AA$6,'Mouvements stock'!$B$5:$B$3004,"&lt;"&amp;('Paramètres'!$AA$7+1)))</f>
        <v/>
      </c>
      <c r="V130" s="78">
        <f>IF($A130="","",IF(COUNTIF('Mouvements stock'!$D$5:$D$3004,$A130)=0,"",_xlfn.MAXIFS('Mouvements stock'!$B$5:$B$3004,'Mouvements stock'!$D$5:$D$3004,$A130)))</f>
        <v/>
      </c>
    </row>
    <row r="131">
      <c r="A131" s="7" t="n"/>
      <c r="B131" s="7" t="n"/>
      <c r="C131" s="7" t="n"/>
      <c r="D131" s="7" t="n"/>
      <c r="E131" s="7" t="n"/>
      <c r="F131" s="7" t="n"/>
      <c r="G131" s="7" t="n"/>
      <c r="H131" s="7" t="n"/>
      <c r="I131" s="80" t="n"/>
      <c r="J131" s="67" t="n"/>
      <c r="K131" s="68">
        <f>IF($A131="","",SUMIFS('Mouvements stock'!$F$5:$F$3004,'Mouvements stock'!$D$5:$D$3004,$A131,'Mouvements stock'!$C$5:$C$3004,"Entrée")+SUMIFS('Mouvements stock'!$F$5:$F$3004,'Mouvements stock'!$D$5:$D$3004,$A131,'Mouvements stock'!$C$5:$C$3004,"Retour"))</f>
        <v/>
      </c>
      <c r="L131" s="68">
        <f>IF($A131="","",SUMIFS('Mouvements stock'!$F$5:$F$3004,'Mouvements stock'!$D$5:$D$3004,$A131,'Mouvements stock'!$C$5:$C$3004,"Sortie"))</f>
        <v/>
      </c>
      <c r="M131" s="79">
        <f>IF($A131="","",N(J131)+N(K131)-N(L131))</f>
        <v/>
      </c>
      <c r="N131" s="67" t="n"/>
      <c r="O131" s="67" t="n"/>
      <c r="P131" s="67" t="n"/>
      <c r="Q131" s="67" t="n"/>
      <c r="R131" s="70">
        <f>IF($A131="","",MAX(0,M131)*N(I131))</f>
        <v/>
      </c>
      <c r="S131" s="9">
        <f>IF($A131="","",IF(M131&lt;=0,IF(N(P131)&gt;0,"Rupture - en cde","RUPTURE"),IF(M131+N(P131)&lt;=N131,"À COMMANDER",IF(M131&lt;=N131,"Commande en cours","OK"))))</f>
        <v/>
      </c>
      <c r="T131" s="68">
        <f>IF($A131="","",IF(OR(S131="À COMMANDER",S131="RUPTURE"),MAX(1,O131-M131-N(P131)),0))</f>
        <v/>
      </c>
      <c r="U131" s="68">
        <f>IF($A131="","",SUMIFS('Mouvements stock'!$F$5:$F$3004,'Mouvements stock'!$D$5:$D$3004,$A131,'Mouvements stock'!$C$5:$C$3004,"Sortie",'Mouvements stock'!$B$5:$B$3004,"&gt;="&amp;'Paramètres'!$AA$6,'Mouvements stock'!$B$5:$B$3004,"&lt;"&amp;('Paramètres'!$AA$7+1)))</f>
        <v/>
      </c>
      <c r="V131" s="78">
        <f>IF($A131="","",IF(COUNTIF('Mouvements stock'!$D$5:$D$3004,$A131)=0,"",_xlfn.MAXIFS('Mouvements stock'!$B$5:$B$3004,'Mouvements stock'!$D$5:$D$3004,$A131)))</f>
        <v/>
      </c>
    </row>
    <row r="132">
      <c r="A132" s="7" t="n"/>
      <c r="B132" s="7" t="n"/>
      <c r="C132" s="7" t="n"/>
      <c r="D132" s="7" t="n"/>
      <c r="E132" s="7" t="n"/>
      <c r="F132" s="7" t="n"/>
      <c r="G132" s="7" t="n"/>
      <c r="H132" s="7" t="n"/>
      <c r="I132" s="80" t="n"/>
      <c r="J132" s="67" t="n"/>
      <c r="K132" s="68">
        <f>IF($A132="","",SUMIFS('Mouvements stock'!$F$5:$F$3004,'Mouvements stock'!$D$5:$D$3004,$A132,'Mouvements stock'!$C$5:$C$3004,"Entrée")+SUMIFS('Mouvements stock'!$F$5:$F$3004,'Mouvements stock'!$D$5:$D$3004,$A132,'Mouvements stock'!$C$5:$C$3004,"Retour"))</f>
        <v/>
      </c>
      <c r="L132" s="68">
        <f>IF($A132="","",SUMIFS('Mouvements stock'!$F$5:$F$3004,'Mouvements stock'!$D$5:$D$3004,$A132,'Mouvements stock'!$C$5:$C$3004,"Sortie"))</f>
        <v/>
      </c>
      <c r="M132" s="79">
        <f>IF($A132="","",N(J132)+N(K132)-N(L132))</f>
        <v/>
      </c>
      <c r="N132" s="67" t="n"/>
      <c r="O132" s="67" t="n"/>
      <c r="P132" s="67" t="n"/>
      <c r="Q132" s="67" t="n"/>
      <c r="R132" s="70">
        <f>IF($A132="","",MAX(0,M132)*N(I132))</f>
        <v/>
      </c>
      <c r="S132" s="9">
        <f>IF($A132="","",IF(M132&lt;=0,IF(N(P132)&gt;0,"Rupture - en cde","RUPTURE"),IF(M132+N(P132)&lt;=N132,"À COMMANDER",IF(M132&lt;=N132,"Commande en cours","OK"))))</f>
        <v/>
      </c>
      <c r="T132" s="68">
        <f>IF($A132="","",IF(OR(S132="À COMMANDER",S132="RUPTURE"),MAX(1,O132-M132-N(P132)),0))</f>
        <v/>
      </c>
      <c r="U132" s="68">
        <f>IF($A132="","",SUMIFS('Mouvements stock'!$F$5:$F$3004,'Mouvements stock'!$D$5:$D$3004,$A132,'Mouvements stock'!$C$5:$C$3004,"Sortie",'Mouvements stock'!$B$5:$B$3004,"&gt;="&amp;'Paramètres'!$AA$6,'Mouvements stock'!$B$5:$B$3004,"&lt;"&amp;('Paramètres'!$AA$7+1)))</f>
        <v/>
      </c>
      <c r="V132" s="78">
        <f>IF($A132="","",IF(COUNTIF('Mouvements stock'!$D$5:$D$3004,$A132)=0,"",_xlfn.MAXIFS('Mouvements stock'!$B$5:$B$3004,'Mouvements stock'!$D$5:$D$3004,$A132)))</f>
        <v/>
      </c>
    </row>
    <row r="133">
      <c r="A133" s="7" t="n"/>
      <c r="B133" s="7" t="n"/>
      <c r="C133" s="7" t="n"/>
      <c r="D133" s="7" t="n"/>
      <c r="E133" s="7" t="n"/>
      <c r="F133" s="7" t="n"/>
      <c r="G133" s="7" t="n"/>
      <c r="H133" s="7" t="n"/>
      <c r="I133" s="80" t="n"/>
      <c r="J133" s="67" t="n"/>
      <c r="K133" s="68">
        <f>IF($A133="","",SUMIFS('Mouvements stock'!$F$5:$F$3004,'Mouvements stock'!$D$5:$D$3004,$A133,'Mouvements stock'!$C$5:$C$3004,"Entrée")+SUMIFS('Mouvements stock'!$F$5:$F$3004,'Mouvements stock'!$D$5:$D$3004,$A133,'Mouvements stock'!$C$5:$C$3004,"Retour"))</f>
        <v/>
      </c>
      <c r="L133" s="68">
        <f>IF($A133="","",SUMIFS('Mouvements stock'!$F$5:$F$3004,'Mouvements stock'!$D$5:$D$3004,$A133,'Mouvements stock'!$C$5:$C$3004,"Sortie"))</f>
        <v/>
      </c>
      <c r="M133" s="79">
        <f>IF($A133="","",N(J133)+N(K133)-N(L133))</f>
        <v/>
      </c>
      <c r="N133" s="67" t="n"/>
      <c r="O133" s="67" t="n"/>
      <c r="P133" s="67" t="n"/>
      <c r="Q133" s="67" t="n"/>
      <c r="R133" s="70">
        <f>IF($A133="","",MAX(0,M133)*N(I133))</f>
        <v/>
      </c>
      <c r="S133" s="9">
        <f>IF($A133="","",IF(M133&lt;=0,IF(N(P133)&gt;0,"Rupture - en cde","RUPTURE"),IF(M133+N(P133)&lt;=N133,"À COMMANDER",IF(M133&lt;=N133,"Commande en cours","OK"))))</f>
        <v/>
      </c>
      <c r="T133" s="68">
        <f>IF($A133="","",IF(OR(S133="À COMMANDER",S133="RUPTURE"),MAX(1,O133-M133-N(P133)),0))</f>
        <v/>
      </c>
      <c r="U133" s="68">
        <f>IF($A133="","",SUMIFS('Mouvements stock'!$F$5:$F$3004,'Mouvements stock'!$D$5:$D$3004,$A133,'Mouvements stock'!$C$5:$C$3004,"Sortie",'Mouvements stock'!$B$5:$B$3004,"&gt;="&amp;'Paramètres'!$AA$6,'Mouvements stock'!$B$5:$B$3004,"&lt;"&amp;('Paramètres'!$AA$7+1)))</f>
        <v/>
      </c>
      <c r="V133" s="78">
        <f>IF($A133="","",IF(COUNTIF('Mouvements stock'!$D$5:$D$3004,$A133)=0,"",_xlfn.MAXIFS('Mouvements stock'!$B$5:$B$3004,'Mouvements stock'!$D$5:$D$3004,$A133)))</f>
        <v/>
      </c>
    </row>
    <row r="134">
      <c r="A134" s="7" t="n"/>
      <c r="B134" s="7" t="n"/>
      <c r="C134" s="7" t="n"/>
      <c r="D134" s="7" t="n"/>
      <c r="E134" s="7" t="n"/>
      <c r="F134" s="7" t="n"/>
      <c r="G134" s="7" t="n"/>
      <c r="H134" s="7" t="n"/>
      <c r="I134" s="80" t="n"/>
      <c r="J134" s="67" t="n"/>
      <c r="K134" s="68">
        <f>IF($A134="","",SUMIFS('Mouvements stock'!$F$5:$F$3004,'Mouvements stock'!$D$5:$D$3004,$A134,'Mouvements stock'!$C$5:$C$3004,"Entrée")+SUMIFS('Mouvements stock'!$F$5:$F$3004,'Mouvements stock'!$D$5:$D$3004,$A134,'Mouvements stock'!$C$5:$C$3004,"Retour"))</f>
        <v/>
      </c>
      <c r="L134" s="68">
        <f>IF($A134="","",SUMIFS('Mouvements stock'!$F$5:$F$3004,'Mouvements stock'!$D$5:$D$3004,$A134,'Mouvements stock'!$C$5:$C$3004,"Sortie"))</f>
        <v/>
      </c>
      <c r="M134" s="79">
        <f>IF($A134="","",N(J134)+N(K134)-N(L134))</f>
        <v/>
      </c>
      <c r="N134" s="67" t="n"/>
      <c r="O134" s="67" t="n"/>
      <c r="P134" s="67" t="n"/>
      <c r="Q134" s="67" t="n"/>
      <c r="R134" s="70">
        <f>IF($A134="","",MAX(0,M134)*N(I134))</f>
        <v/>
      </c>
      <c r="S134" s="9">
        <f>IF($A134="","",IF(M134&lt;=0,IF(N(P134)&gt;0,"Rupture - en cde","RUPTURE"),IF(M134+N(P134)&lt;=N134,"À COMMANDER",IF(M134&lt;=N134,"Commande en cours","OK"))))</f>
        <v/>
      </c>
      <c r="T134" s="68">
        <f>IF($A134="","",IF(OR(S134="À COMMANDER",S134="RUPTURE"),MAX(1,O134-M134-N(P134)),0))</f>
        <v/>
      </c>
      <c r="U134" s="68">
        <f>IF($A134="","",SUMIFS('Mouvements stock'!$F$5:$F$3004,'Mouvements stock'!$D$5:$D$3004,$A134,'Mouvements stock'!$C$5:$C$3004,"Sortie",'Mouvements stock'!$B$5:$B$3004,"&gt;="&amp;'Paramètres'!$AA$6,'Mouvements stock'!$B$5:$B$3004,"&lt;"&amp;('Paramètres'!$AA$7+1)))</f>
        <v/>
      </c>
      <c r="V134" s="78">
        <f>IF($A134="","",IF(COUNTIF('Mouvements stock'!$D$5:$D$3004,$A134)=0,"",_xlfn.MAXIFS('Mouvements stock'!$B$5:$B$3004,'Mouvements stock'!$D$5:$D$3004,$A134)))</f>
        <v/>
      </c>
    </row>
    <row r="135">
      <c r="A135" s="7" t="n"/>
      <c r="B135" s="7" t="n"/>
      <c r="C135" s="7" t="n"/>
      <c r="D135" s="7" t="n"/>
      <c r="E135" s="7" t="n"/>
      <c r="F135" s="7" t="n"/>
      <c r="G135" s="7" t="n"/>
      <c r="H135" s="7" t="n"/>
      <c r="I135" s="80" t="n"/>
      <c r="J135" s="67" t="n"/>
      <c r="K135" s="68">
        <f>IF($A135="","",SUMIFS('Mouvements stock'!$F$5:$F$3004,'Mouvements stock'!$D$5:$D$3004,$A135,'Mouvements stock'!$C$5:$C$3004,"Entrée")+SUMIFS('Mouvements stock'!$F$5:$F$3004,'Mouvements stock'!$D$5:$D$3004,$A135,'Mouvements stock'!$C$5:$C$3004,"Retour"))</f>
        <v/>
      </c>
      <c r="L135" s="68">
        <f>IF($A135="","",SUMIFS('Mouvements stock'!$F$5:$F$3004,'Mouvements stock'!$D$5:$D$3004,$A135,'Mouvements stock'!$C$5:$C$3004,"Sortie"))</f>
        <v/>
      </c>
      <c r="M135" s="79">
        <f>IF($A135="","",N(J135)+N(K135)-N(L135))</f>
        <v/>
      </c>
      <c r="N135" s="67" t="n"/>
      <c r="O135" s="67" t="n"/>
      <c r="P135" s="67" t="n"/>
      <c r="Q135" s="67" t="n"/>
      <c r="R135" s="70">
        <f>IF($A135="","",MAX(0,M135)*N(I135))</f>
        <v/>
      </c>
      <c r="S135" s="9">
        <f>IF($A135="","",IF(M135&lt;=0,IF(N(P135)&gt;0,"Rupture - en cde","RUPTURE"),IF(M135+N(P135)&lt;=N135,"À COMMANDER",IF(M135&lt;=N135,"Commande en cours","OK"))))</f>
        <v/>
      </c>
      <c r="T135" s="68">
        <f>IF($A135="","",IF(OR(S135="À COMMANDER",S135="RUPTURE"),MAX(1,O135-M135-N(P135)),0))</f>
        <v/>
      </c>
      <c r="U135" s="68">
        <f>IF($A135="","",SUMIFS('Mouvements stock'!$F$5:$F$3004,'Mouvements stock'!$D$5:$D$3004,$A135,'Mouvements stock'!$C$5:$C$3004,"Sortie",'Mouvements stock'!$B$5:$B$3004,"&gt;="&amp;'Paramètres'!$AA$6,'Mouvements stock'!$B$5:$B$3004,"&lt;"&amp;('Paramètres'!$AA$7+1)))</f>
        <v/>
      </c>
      <c r="V135" s="78">
        <f>IF($A135="","",IF(COUNTIF('Mouvements stock'!$D$5:$D$3004,$A135)=0,"",_xlfn.MAXIFS('Mouvements stock'!$B$5:$B$3004,'Mouvements stock'!$D$5:$D$3004,$A135)))</f>
        <v/>
      </c>
    </row>
    <row r="136">
      <c r="A136" s="7" t="n"/>
      <c r="B136" s="7" t="n"/>
      <c r="C136" s="7" t="n"/>
      <c r="D136" s="7" t="n"/>
      <c r="E136" s="7" t="n"/>
      <c r="F136" s="7" t="n"/>
      <c r="G136" s="7" t="n"/>
      <c r="H136" s="7" t="n"/>
      <c r="I136" s="80" t="n"/>
      <c r="J136" s="67" t="n"/>
      <c r="K136" s="68">
        <f>IF($A136="","",SUMIFS('Mouvements stock'!$F$5:$F$3004,'Mouvements stock'!$D$5:$D$3004,$A136,'Mouvements stock'!$C$5:$C$3004,"Entrée")+SUMIFS('Mouvements stock'!$F$5:$F$3004,'Mouvements stock'!$D$5:$D$3004,$A136,'Mouvements stock'!$C$5:$C$3004,"Retour"))</f>
        <v/>
      </c>
      <c r="L136" s="68">
        <f>IF($A136="","",SUMIFS('Mouvements stock'!$F$5:$F$3004,'Mouvements stock'!$D$5:$D$3004,$A136,'Mouvements stock'!$C$5:$C$3004,"Sortie"))</f>
        <v/>
      </c>
      <c r="M136" s="79">
        <f>IF($A136="","",N(J136)+N(K136)-N(L136))</f>
        <v/>
      </c>
      <c r="N136" s="67" t="n"/>
      <c r="O136" s="67" t="n"/>
      <c r="P136" s="67" t="n"/>
      <c r="Q136" s="67" t="n"/>
      <c r="R136" s="70">
        <f>IF($A136="","",MAX(0,M136)*N(I136))</f>
        <v/>
      </c>
      <c r="S136" s="9">
        <f>IF($A136="","",IF(M136&lt;=0,IF(N(P136)&gt;0,"Rupture - en cde","RUPTURE"),IF(M136+N(P136)&lt;=N136,"À COMMANDER",IF(M136&lt;=N136,"Commande en cours","OK"))))</f>
        <v/>
      </c>
      <c r="T136" s="68">
        <f>IF($A136="","",IF(OR(S136="À COMMANDER",S136="RUPTURE"),MAX(1,O136-M136-N(P136)),0))</f>
        <v/>
      </c>
      <c r="U136" s="68">
        <f>IF($A136="","",SUMIFS('Mouvements stock'!$F$5:$F$3004,'Mouvements stock'!$D$5:$D$3004,$A136,'Mouvements stock'!$C$5:$C$3004,"Sortie",'Mouvements stock'!$B$5:$B$3004,"&gt;="&amp;'Paramètres'!$AA$6,'Mouvements stock'!$B$5:$B$3004,"&lt;"&amp;('Paramètres'!$AA$7+1)))</f>
        <v/>
      </c>
      <c r="V136" s="78">
        <f>IF($A136="","",IF(COUNTIF('Mouvements stock'!$D$5:$D$3004,$A136)=0,"",_xlfn.MAXIFS('Mouvements stock'!$B$5:$B$3004,'Mouvements stock'!$D$5:$D$3004,$A136)))</f>
        <v/>
      </c>
    </row>
    <row r="137">
      <c r="A137" s="7" t="n"/>
      <c r="B137" s="7" t="n"/>
      <c r="C137" s="7" t="n"/>
      <c r="D137" s="7" t="n"/>
      <c r="E137" s="7" t="n"/>
      <c r="F137" s="7" t="n"/>
      <c r="G137" s="7" t="n"/>
      <c r="H137" s="7" t="n"/>
      <c r="I137" s="80" t="n"/>
      <c r="J137" s="67" t="n"/>
      <c r="K137" s="68">
        <f>IF($A137="","",SUMIFS('Mouvements stock'!$F$5:$F$3004,'Mouvements stock'!$D$5:$D$3004,$A137,'Mouvements stock'!$C$5:$C$3004,"Entrée")+SUMIFS('Mouvements stock'!$F$5:$F$3004,'Mouvements stock'!$D$5:$D$3004,$A137,'Mouvements stock'!$C$5:$C$3004,"Retour"))</f>
        <v/>
      </c>
      <c r="L137" s="68">
        <f>IF($A137="","",SUMIFS('Mouvements stock'!$F$5:$F$3004,'Mouvements stock'!$D$5:$D$3004,$A137,'Mouvements stock'!$C$5:$C$3004,"Sortie"))</f>
        <v/>
      </c>
      <c r="M137" s="79">
        <f>IF($A137="","",N(J137)+N(K137)-N(L137))</f>
        <v/>
      </c>
      <c r="N137" s="67" t="n"/>
      <c r="O137" s="67" t="n"/>
      <c r="P137" s="67" t="n"/>
      <c r="Q137" s="67" t="n"/>
      <c r="R137" s="70">
        <f>IF($A137="","",MAX(0,M137)*N(I137))</f>
        <v/>
      </c>
      <c r="S137" s="9">
        <f>IF($A137="","",IF(M137&lt;=0,IF(N(P137)&gt;0,"Rupture - en cde","RUPTURE"),IF(M137+N(P137)&lt;=N137,"À COMMANDER",IF(M137&lt;=N137,"Commande en cours","OK"))))</f>
        <v/>
      </c>
      <c r="T137" s="68">
        <f>IF($A137="","",IF(OR(S137="À COMMANDER",S137="RUPTURE"),MAX(1,O137-M137-N(P137)),0))</f>
        <v/>
      </c>
      <c r="U137" s="68">
        <f>IF($A137="","",SUMIFS('Mouvements stock'!$F$5:$F$3004,'Mouvements stock'!$D$5:$D$3004,$A137,'Mouvements stock'!$C$5:$C$3004,"Sortie",'Mouvements stock'!$B$5:$B$3004,"&gt;="&amp;'Paramètres'!$AA$6,'Mouvements stock'!$B$5:$B$3004,"&lt;"&amp;('Paramètres'!$AA$7+1)))</f>
        <v/>
      </c>
      <c r="V137" s="78">
        <f>IF($A137="","",IF(COUNTIF('Mouvements stock'!$D$5:$D$3004,$A137)=0,"",_xlfn.MAXIFS('Mouvements stock'!$B$5:$B$3004,'Mouvements stock'!$D$5:$D$3004,$A137)))</f>
        <v/>
      </c>
    </row>
    <row r="138">
      <c r="A138" s="7" t="n"/>
      <c r="B138" s="7" t="n"/>
      <c r="C138" s="7" t="n"/>
      <c r="D138" s="7" t="n"/>
      <c r="E138" s="7" t="n"/>
      <c r="F138" s="7" t="n"/>
      <c r="G138" s="7" t="n"/>
      <c r="H138" s="7" t="n"/>
      <c r="I138" s="80" t="n"/>
      <c r="J138" s="67" t="n"/>
      <c r="K138" s="68">
        <f>IF($A138="","",SUMIFS('Mouvements stock'!$F$5:$F$3004,'Mouvements stock'!$D$5:$D$3004,$A138,'Mouvements stock'!$C$5:$C$3004,"Entrée")+SUMIFS('Mouvements stock'!$F$5:$F$3004,'Mouvements stock'!$D$5:$D$3004,$A138,'Mouvements stock'!$C$5:$C$3004,"Retour"))</f>
        <v/>
      </c>
      <c r="L138" s="68">
        <f>IF($A138="","",SUMIFS('Mouvements stock'!$F$5:$F$3004,'Mouvements stock'!$D$5:$D$3004,$A138,'Mouvements stock'!$C$5:$C$3004,"Sortie"))</f>
        <v/>
      </c>
      <c r="M138" s="79">
        <f>IF($A138="","",N(J138)+N(K138)-N(L138))</f>
        <v/>
      </c>
      <c r="N138" s="67" t="n"/>
      <c r="O138" s="67" t="n"/>
      <c r="P138" s="67" t="n"/>
      <c r="Q138" s="67" t="n"/>
      <c r="R138" s="70">
        <f>IF($A138="","",MAX(0,M138)*N(I138))</f>
        <v/>
      </c>
      <c r="S138" s="9">
        <f>IF($A138="","",IF(M138&lt;=0,IF(N(P138)&gt;0,"Rupture - en cde","RUPTURE"),IF(M138+N(P138)&lt;=N138,"À COMMANDER",IF(M138&lt;=N138,"Commande en cours","OK"))))</f>
        <v/>
      </c>
      <c r="T138" s="68">
        <f>IF($A138="","",IF(OR(S138="À COMMANDER",S138="RUPTURE"),MAX(1,O138-M138-N(P138)),0))</f>
        <v/>
      </c>
      <c r="U138" s="68">
        <f>IF($A138="","",SUMIFS('Mouvements stock'!$F$5:$F$3004,'Mouvements stock'!$D$5:$D$3004,$A138,'Mouvements stock'!$C$5:$C$3004,"Sortie",'Mouvements stock'!$B$5:$B$3004,"&gt;="&amp;'Paramètres'!$AA$6,'Mouvements stock'!$B$5:$B$3004,"&lt;"&amp;('Paramètres'!$AA$7+1)))</f>
        <v/>
      </c>
      <c r="V138" s="78">
        <f>IF($A138="","",IF(COUNTIF('Mouvements stock'!$D$5:$D$3004,$A138)=0,"",_xlfn.MAXIFS('Mouvements stock'!$B$5:$B$3004,'Mouvements stock'!$D$5:$D$3004,$A138)))</f>
        <v/>
      </c>
    </row>
    <row r="139">
      <c r="A139" s="7" t="n"/>
      <c r="B139" s="7" t="n"/>
      <c r="C139" s="7" t="n"/>
      <c r="D139" s="7" t="n"/>
      <c r="E139" s="7" t="n"/>
      <c r="F139" s="7" t="n"/>
      <c r="G139" s="7" t="n"/>
      <c r="H139" s="7" t="n"/>
      <c r="I139" s="80" t="n"/>
      <c r="J139" s="67" t="n"/>
      <c r="K139" s="68">
        <f>IF($A139="","",SUMIFS('Mouvements stock'!$F$5:$F$3004,'Mouvements stock'!$D$5:$D$3004,$A139,'Mouvements stock'!$C$5:$C$3004,"Entrée")+SUMIFS('Mouvements stock'!$F$5:$F$3004,'Mouvements stock'!$D$5:$D$3004,$A139,'Mouvements stock'!$C$5:$C$3004,"Retour"))</f>
        <v/>
      </c>
      <c r="L139" s="68">
        <f>IF($A139="","",SUMIFS('Mouvements stock'!$F$5:$F$3004,'Mouvements stock'!$D$5:$D$3004,$A139,'Mouvements stock'!$C$5:$C$3004,"Sortie"))</f>
        <v/>
      </c>
      <c r="M139" s="79">
        <f>IF($A139="","",N(J139)+N(K139)-N(L139))</f>
        <v/>
      </c>
      <c r="N139" s="67" t="n"/>
      <c r="O139" s="67" t="n"/>
      <c r="P139" s="67" t="n"/>
      <c r="Q139" s="67" t="n"/>
      <c r="R139" s="70">
        <f>IF($A139="","",MAX(0,M139)*N(I139))</f>
        <v/>
      </c>
      <c r="S139" s="9">
        <f>IF($A139="","",IF(M139&lt;=0,IF(N(P139)&gt;0,"Rupture - en cde","RUPTURE"),IF(M139+N(P139)&lt;=N139,"À COMMANDER",IF(M139&lt;=N139,"Commande en cours","OK"))))</f>
        <v/>
      </c>
      <c r="T139" s="68">
        <f>IF($A139="","",IF(OR(S139="À COMMANDER",S139="RUPTURE"),MAX(1,O139-M139-N(P139)),0))</f>
        <v/>
      </c>
      <c r="U139" s="68">
        <f>IF($A139="","",SUMIFS('Mouvements stock'!$F$5:$F$3004,'Mouvements stock'!$D$5:$D$3004,$A139,'Mouvements stock'!$C$5:$C$3004,"Sortie",'Mouvements stock'!$B$5:$B$3004,"&gt;="&amp;'Paramètres'!$AA$6,'Mouvements stock'!$B$5:$B$3004,"&lt;"&amp;('Paramètres'!$AA$7+1)))</f>
        <v/>
      </c>
      <c r="V139" s="78">
        <f>IF($A139="","",IF(COUNTIF('Mouvements stock'!$D$5:$D$3004,$A139)=0,"",_xlfn.MAXIFS('Mouvements stock'!$B$5:$B$3004,'Mouvements stock'!$D$5:$D$3004,$A139)))</f>
        <v/>
      </c>
    </row>
    <row r="140">
      <c r="A140" s="7" t="n"/>
      <c r="B140" s="7" t="n"/>
      <c r="C140" s="7" t="n"/>
      <c r="D140" s="7" t="n"/>
      <c r="E140" s="7" t="n"/>
      <c r="F140" s="7" t="n"/>
      <c r="G140" s="7" t="n"/>
      <c r="H140" s="7" t="n"/>
      <c r="I140" s="80" t="n"/>
      <c r="J140" s="67" t="n"/>
      <c r="K140" s="68">
        <f>IF($A140="","",SUMIFS('Mouvements stock'!$F$5:$F$3004,'Mouvements stock'!$D$5:$D$3004,$A140,'Mouvements stock'!$C$5:$C$3004,"Entrée")+SUMIFS('Mouvements stock'!$F$5:$F$3004,'Mouvements stock'!$D$5:$D$3004,$A140,'Mouvements stock'!$C$5:$C$3004,"Retour"))</f>
        <v/>
      </c>
      <c r="L140" s="68">
        <f>IF($A140="","",SUMIFS('Mouvements stock'!$F$5:$F$3004,'Mouvements stock'!$D$5:$D$3004,$A140,'Mouvements stock'!$C$5:$C$3004,"Sortie"))</f>
        <v/>
      </c>
      <c r="M140" s="79">
        <f>IF($A140="","",N(J140)+N(K140)-N(L140))</f>
        <v/>
      </c>
      <c r="N140" s="67" t="n"/>
      <c r="O140" s="67" t="n"/>
      <c r="P140" s="67" t="n"/>
      <c r="Q140" s="67" t="n"/>
      <c r="R140" s="70">
        <f>IF($A140="","",MAX(0,M140)*N(I140))</f>
        <v/>
      </c>
      <c r="S140" s="9">
        <f>IF($A140="","",IF(M140&lt;=0,IF(N(P140)&gt;0,"Rupture - en cde","RUPTURE"),IF(M140+N(P140)&lt;=N140,"À COMMANDER",IF(M140&lt;=N140,"Commande en cours","OK"))))</f>
        <v/>
      </c>
      <c r="T140" s="68">
        <f>IF($A140="","",IF(OR(S140="À COMMANDER",S140="RUPTURE"),MAX(1,O140-M140-N(P140)),0))</f>
        <v/>
      </c>
      <c r="U140" s="68">
        <f>IF($A140="","",SUMIFS('Mouvements stock'!$F$5:$F$3004,'Mouvements stock'!$D$5:$D$3004,$A140,'Mouvements stock'!$C$5:$C$3004,"Sortie",'Mouvements stock'!$B$5:$B$3004,"&gt;="&amp;'Paramètres'!$AA$6,'Mouvements stock'!$B$5:$B$3004,"&lt;"&amp;('Paramètres'!$AA$7+1)))</f>
        <v/>
      </c>
      <c r="V140" s="78">
        <f>IF($A140="","",IF(COUNTIF('Mouvements stock'!$D$5:$D$3004,$A140)=0,"",_xlfn.MAXIFS('Mouvements stock'!$B$5:$B$3004,'Mouvements stock'!$D$5:$D$3004,$A140)))</f>
        <v/>
      </c>
    </row>
    <row r="141">
      <c r="A141" s="7" t="n"/>
      <c r="B141" s="7" t="n"/>
      <c r="C141" s="7" t="n"/>
      <c r="D141" s="7" t="n"/>
      <c r="E141" s="7" t="n"/>
      <c r="F141" s="7" t="n"/>
      <c r="G141" s="7" t="n"/>
      <c r="H141" s="7" t="n"/>
      <c r="I141" s="80" t="n"/>
      <c r="J141" s="67" t="n"/>
      <c r="K141" s="68">
        <f>IF($A141="","",SUMIFS('Mouvements stock'!$F$5:$F$3004,'Mouvements stock'!$D$5:$D$3004,$A141,'Mouvements stock'!$C$5:$C$3004,"Entrée")+SUMIFS('Mouvements stock'!$F$5:$F$3004,'Mouvements stock'!$D$5:$D$3004,$A141,'Mouvements stock'!$C$5:$C$3004,"Retour"))</f>
        <v/>
      </c>
      <c r="L141" s="68">
        <f>IF($A141="","",SUMIFS('Mouvements stock'!$F$5:$F$3004,'Mouvements stock'!$D$5:$D$3004,$A141,'Mouvements stock'!$C$5:$C$3004,"Sortie"))</f>
        <v/>
      </c>
      <c r="M141" s="79">
        <f>IF($A141="","",N(J141)+N(K141)-N(L141))</f>
        <v/>
      </c>
      <c r="N141" s="67" t="n"/>
      <c r="O141" s="67" t="n"/>
      <c r="P141" s="67" t="n"/>
      <c r="Q141" s="67" t="n"/>
      <c r="R141" s="70">
        <f>IF($A141="","",MAX(0,M141)*N(I141))</f>
        <v/>
      </c>
      <c r="S141" s="9">
        <f>IF($A141="","",IF(M141&lt;=0,IF(N(P141)&gt;0,"Rupture - en cde","RUPTURE"),IF(M141+N(P141)&lt;=N141,"À COMMANDER",IF(M141&lt;=N141,"Commande en cours","OK"))))</f>
        <v/>
      </c>
      <c r="T141" s="68">
        <f>IF($A141="","",IF(OR(S141="À COMMANDER",S141="RUPTURE"),MAX(1,O141-M141-N(P141)),0))</f>
        <v/>
      </c>
      <c r="U141" s="68">
        <f>IF($A141="","",SUMIFS('Mouvements stock'!$F$5:$F$3004,'Mouvements stock'!$D$5:$D$3004,$A141,'Mouvements stock'!$C$5:$C$3004,"Sortie",'Mouvements stock'!$B$5:$B$3004,"&gt;="&amp;'Paramètres'!$AA$6,'Mouvements stock'!$B$5:$B$3004,"&lt;"&amp;('Paramètres'!$AA$7+1)))</f>
        <v/>
      </c>
      <c r="V141" s="78">
        <f>IF($A141="","",IF(COUNTIF('Mouvements stock'!$D$5:$D$3004,$A141)=0,"",_xlfn.MAXIFS('Mouvements stock'!$B$5:$B$3004,'Mouvements stock'!$D$5:$D$3004,$A141)))</f>
        <v/>
      </c>
    </row>
    <row r="142">
      <c r="A142" s="7" t="n"/>
      <c r="B142" s="7" t="n"/>
      <c r="C142" s="7" t="n"/>
      <c r="D142" s="7" t="n"/>
      <c r="E142" s="7" t="n"/>
      <c r="F142" s="7" t="n"/>
      <c r="G142" s="7" t="n"/>
      <c r="H142" s="7" t="n"/>
      <c r="I142" s="80" t="n"/>
      <c r="J142" s="67" t="n"/>
      <c r="K142" s="68">
        <f>IF($A142="","",SUMIFS('Mouvements stock'!$F$5:$F$3004,'Mouvements stock'!$D$5:$D$3004,$A142,'Mouvements stock'!$C$5:$C$3004,"Entrée")+SUMIFS('Mouvements stock'!$F$5:$F$3004,'Mouvements stock'!$D$5:$D$3004,$A142,'Mouvements stock'!$C$5:$C$3004,"Retour"))</f>
        <v/>
      </c>
      <c r="L142" s="68">
        <f>IF($A142="","",SUMIFS('Mouvements stock'!$F$5:$F$3004,'Mouvements stock'!$D$5:$D$3004,$A142,'Mouvements stock'!$C$5:$C$3004,"Sortie"))</f>
        <v/>
      </c>
      <c r="M142" s="79">
        <f>IF($A142="","",N(J142)+N(K142)-N(L142))</f>
        <v/>
      </c>
      <c r="N142" s="67" t="n"/>
      <c r="O142" s="67" t="n"/>
      <c r="P142" s="67" t="n"/>
      <c r="Q142" s="67" t="n"/>
      <c r="R142" s="70">
        <f>IF($A142="","",MAX(0,M142)*N(I142))</f>
        <v/>
      </c>
      <c r="S142" s="9">
        <f>IF($A142="","",IF(M142&lt;=0,IF(N(P142)&gt;0,"Rupture - en cde","RUPTURE"),IF(M142+N(P142)&lt;=N142,"À COMMANDER",IF(M142&lt;=N142,"Commande en cours","OK"))))</f>
        <v/>
      </c>
      <c r="T142" s="68">
        <f>IF($A142="","",IF(OR(S142="À COMMANDER",S142="RUPTURE"),MAX(1,O142-M142-N(P142)),0))</f>
        <v/>
      </c>
      <c r="U142" s="68">
        <f>IF($A142="","",SUMIFS('Mouvements stock'!$F$5:$F$3004,'Mouvements stock'!$D$5:$D$3004,$A142,'Mouvements stock'!$C$5:$C$3004,"Sortie",'Mouvements stock'!$B$5:$B$3004,"&gt;="&amp;'Paramètres'!$AA$6,'Mouvements stock'!$B$5:$B$3004,"&lt;"&amp;('Paramètres'!$AA$7+1)))</f>
        <v/>
      </c>
      <c r="V142" s="78">
        <f>IF($A142="","",IF(COUNTIF('Mouvements stock'!$D$5:$D$3004,$A142)=0,"",_xlfn.MAXIFS('Mouvements stock'!$B$5:$B$3004,'Mouvements stock'!$D$5:$D$3004,$A142)))</f>
        <v/>
      </c>
    </row>
    <row r="143">
      <c r="A143" s="7" t="n"/>
      <c r="B143" s="7" t="n"/>
      <c r="C143" s="7" t="n"/>
      <c r="D143" s="7" t="n"/>
      <c r="E143" s="7" t="n"/>
      <c r="F143" s="7" t="n"/>
      <c r="G143" s="7" t="n"/>
      <c r="H143" s="7" t="n"/>
      <c r="I143" s="80" t="n"/>
      <c r="J143" s="67" t="n"/>
      <c r="K143" s="68">
        <f>IF($A143="","",SUMIFS('Mouvements stock'!$F$5:$F$3004,'Mouvements stock'!$D$5:$D$3004,$A143,'Mouvements stock'!$C$5:$C$3004,"Entrée")+SUMIFS('Mouvements stock'!$F$5:$F$3004,'Mouvements stock'!$D$5:$D$3004,$A143,'Mouvements stock'!$C$5:$C$3004,"Retour"))</f>
        <v/>
      </c>
      <c r="L143" s="68">
        <f>IF($A143="","",SUMIFS('Mouvements stock'!$F$5:$F$3004,'Mouvements stock'!$D$5:$D$3004,$A143,'Mouvements stock'!$C$5:$C$3004,"Sortie"))</f>
        <v/>
      </c>
      <c r="M143" s="79">
        <f>IF($A143="","",N(J143)+N(K143)-N(L143))</f>
        <v/>
      </c>
      <c r="N143" s="67" t="n"/>
      <c r="O143" s="67" t="n"/>
      <c r="P143" s="67" t="n"/>
      <c r="Q143" s="67" t="n"/>
      <c r="R143" s="70">
        <f>IF($A143="","",MAX(0,M143)*N(I143))</f>
        <v/>
      </c>
      <c r="S143" s="9">
        <f>IF($A143="","",IF(M143&lt;=0,IF(N(P143)&gt;0,"Rupture - en cde","RUPTURE"),IF(M143+N(P143)&lt;=N143,"À COMMANDER",IF(M143&lt;=N143,"Commande en cours","OK"))))</f>
        <v/>
      </c>
      <c r="T143" s="68">
        <f>IF($A143="","",IF(OR(S143="À COMMANDER",S143="RUPTURE"),MAX(1,O143-M143-N(P143)),0))</f>
        <v/>
      </c>
      <c r="U143" s="68">
        <f>IF($A143="","",SUMIFS('Mouvements stock'!$F$5:$F$3004,'Mouvements stock'!$D$5:$D$3004,$A143,'Mouvements stock'!$C$5:$C$3004,"Sortie",'Mouvements stock'!$B$5:$B$3004,"&gt;="&amp;'Paramètres'!$AA$6,'Mouvements stock'!$B$5:$B$3004,"&lt;"&amp;('Paramètres'!$AA$7+1)))</f>
        <v/>
      </c>
      <c r="V143" s="78">
        <f>IF($A143="","",IF(COUNTIF('Mouvements stock'!$D$5:$D$3004,$A143)=0,"",_xlfn.MAXIFS('Mouvements stock'!$B$5:$B$3004,'Mouvements stock'!$D$5:$D$3004,$A143)))</f>
        <v/>
      </c>
    </row>
    <row r="144">
      <c r="A144" s="7" t="n"/>
      <c r="B144" s="7" t="n"/>
      <c r="C144" s="7" t="n"/>
      <c r="D144" s="7" t="n"/>
      <c r="E144" s="7" t="n"/>
      <c r="F144" s="7" t="n"/>
      <c r="G144" s="7" t="n"/>
      <c r="H144" s="7" t="n"/>
      <c r="I144" s="80" t="n"/>
      <c r="J144" s="67" t="n"/>
      <c r="K144" s="68">
        <f>IF($A144="","",SUMIFS('Mouvements stock'!$F$5:$F$3004,'Mouvements stock'!$D$5:$D$3004,$A144,'Mouvements stock'!$C$5:$C$3004,"Entrée")+SUMIFS('Mouvements stock'!$F$5:$F$3004,'Mouvements stock'!$D$5:$D$3004,$A144,'Mouvements stock'!$C$5:$C$3004,"Retour"))</f>
        <v/>
      </c>
      <c r="L144" s="68">
        <f>IF($A144="","",SUMIFS('Mouvements stock'!$F$5:$F$3004,'Mouvements stock'!$D$5:$D$3004,$A144,'Mouvements stock'!$C$5:$C$3004,"Sortie"))</f>
        <v/>
      </c>
      <c r="M144" s="79">
        <f>IF($A144="","",N(J144)+N(K144)-N(L144))</f>
        <v/>
      </c>
      <c r="N144" s="67" t="n"/>
      <c r="O144" s="67" t="n"/>
      <c r="P144" s="67" t="n"/>
      <c r="Q144" s="67" t="n"/>
      <c r="R144" s="70">
        <f>IF($A144="","",MAX(0,M144)*N(I144))</f>
        <v/>
      </c>
      <c r="S144" s="9">
        <f>IF($A144="","",IF(M144&lt;=0,IF(N(P144)&gt;0,"Rupture - en cde","RUPTURE"),IF(M144+N(P144)&lt;=N144,"À COMMANDER",IF(M144&lt;=N144,"Commande en cours","OK"))))</f>
        <v/>
      </c>
      <c r="T144" s="68">
        <f>IF($A144="","",IF(OR(S144="À COMMANDER",S144="RUPTURE"),MAX(1,O144-M144-N(P144)),0))</f>
        <v/>
      </c>
      <c r="U144" s="68">
        <f>IF($A144="","",SUMIFS('Mouvements stock'!$F$5:$F$3004,'Mouvements stock'!$D$5:$D$3004,$A144,'Mouvements stock'!$C$5:$C$3004,"Sortie",'Mouvements stock'!$B$5:$B$3004,"&gt;="&amp;'Paramètres'!$AA$6,'Mouvements stock'!$B$5:$B$3004,"&lt;"&amp;('Paramètres'!$AA$7+1)))</f>
        <v/>
      </c>
      <c r="V144" s="78">
        <f>IF($A144="","",IF(COUNTIF('Mouvements stock'!$D$5:$D$3004,$A144)=0,"",_xlfn.MAXIFS('Mouvements stock'!$B$5:$B$3004,'Mouvements stock'!$D$5:$D$3004,$A144)))</f>
        <v/>
      </c>
    </row>
    <row r="145">
      <c r="A145" s="7" t="n"/>
      <c r="B145" s="7" t="n"/>
      <c r="C145" s="7" t="n"/>
      <c r="D145" s="7" t="n"/>
      <c r="E145" s="7" t="n"/>
      <c r="F145" s="7" t="n"/>
      <c r="G145" s="7" t="n"/>
      <c r="H145" s="7" t="n"/>
      <c r="I145" s="80" t="n"/>
      <c r="J145" s="67" t="n"/>
      <c r="K145" s="68">
        <f>IF($A145="","",SUMIFS('Mouvements stock'!$F$5:$F$3004,'Mouvements stock'!$D$5:$D$3004,$A145,'Mouvements stock'!$C$5:$C$3004,"Entrée")+SUMIFS('Mouvements stock'!$F$5:$F$3004,'Mouvements stock'!$D$5:$D$3004,$A145,'Mouvements stock'!$C$5:$C$3004,"Retour"))</f>
        <v/>
      </c>
      <c r="L145" s="68">
        <f>IF($A145="","",SUMIFS('Mouvements stock'!$F$5:$F$3004,'Mouvements stock'!$D$5:$D$3004,$A145,'Mouvements stock'!$C$5:$C$3004,"Sortie"))</f>
        <v/>
      </c>
      <c r="M145" s="79">
        <f>IF($A145="","",N(J145)+N(K145)-N(L145))</f>
        <v/>
      </c>
      <c r="N145" s="67" t="n"/>
      <c r="O145" s="67" t="n"/>
      <c r="P145" s="67" t="n"/>
      <c r="Q145" s="67" t="n"/>
      <c r="R145" s="70">
        <f>IF($A145="","",MAX(0,M145)*N(I145))</f>
        <v/>
      </c>
      <c r="S145" s="9">
        <f>IF($A145="","",IF(M145&lt;=0,IF(N(P145)&gt;0,"Rupture - en cde","RUPTURE"),IF(M145+N(P145)&lt;=N145,"À COMMANDER",IF(M145&lt;=N145,"Commande en cours","OK"))))</f>
        <v/>
      </c>
      <c r="T145" s="68">
        <f>IF($A145="","",IF(OR(S145="À COMMANDER",S145="RUPTURE"),MAX(1,O145-M145-N(P145)),0))</f>
        <v/>
      </c>
      <c r="U145" s="68">
        <f>IF($A145="","",SUMIFS('Mouvements stock'!$F$5:$F$3004,'Mouvements stock'!$D$5:$D$3004,$A145,'Mouvements stock'!$C$5:$C$3004,"Sortie",'Mouvements stock'!$B$5:$B$3004,"&gt;="&amp;'Paramètres'!$AA$6,'Mouvements stock'!$B$5:$B$3004,"&lt;"&amp;('Paramètres'!$AA$7+1)))</f>
        <v/>
      </c>
      <c r="V145" s="78">
        <f>IF($A145="","",IF(COUNTIF('Mouvements stock'!$D$5:$D$3004,$A145)=0,"",_xlfn.MAXIFS('Mouvements stock'!$B$5:$B$3004,'Mouvements stock'!$D$5:$D$3004,$A145)))</f>
        <v/>
      </c>
    </row>
    <row r="146">
      <c r="A146" s="7" t="n"/>
      <c r="B146" s="7" t="n"/>
      <c r="C146" s="7" t="n"/>
      <c r="D146" s="7" t="n"/>
      <c r="E146" s="7" t="n"/>
      <c r="F146" s="7" t="n"/>
      <c r="G146" s="7" t="n"/>
      <c r="H146" s="7" t="n"/>
      <c r="I146" s="80" t="n"/>
      <c r="J146" s="67" t="n"/>
      <c r="K146" s="68">
        <f>IF($A146="","",SUMIFS('Mouvements stock'!$F$5:$F$3004,'Mouvements stock'!$D$5:$D$3004,$A146,'Mouvements stock'!$C$5:$C$3004,"Entrée")+SUMIFS('Mouvements stock'!$F$5:$F$3004,'Mouvements stock'!$D$5:$D$3004,$A146,'Mouvements stock'!$C$5:$C$3004,"Retour"))</f>
        <v/>
      </c>
      <c r="L146" s="68">
        <f>IF($A146="","",SUMIFS('Mouvements stock'!$F$5:$F$3004,'Mouvements stock'!$D$5:$D$3004,$A146,'Mouvements stock'!$C$5:$C$3004,"Sortie"))</f>
        <v/>
      </c>
      <c r="M146" s="79">
        <f>IF($A146="","",N(J146)+N(K146)-N(L146))</f>
        <v/>
      </c>
      <c r="N146" s="67" t="n"/>
      <c r="O146" s="67" t="n"/>
      <c r="P146" s="67" t="n"/>
      <c r="Q146" s="67" t="n"/>
      <c r="R146" s="70">
        <f>IF($A146="","",MAX(0,M146)*N(I146))</f>
        <v/>
      </c>
      <c r="S146" s="9">
        <f>IF($A146="","",IF(M146&lt;=0,IF(N(P146)&gt;0,"Rupture - en cde","RUPTURE"),IF(M146+N(P146)&lt;=N146,"À COMMANDER",IF(M146&lt;=N146,"Commande en cours","OK"))))</f>
        <v/>
      </c>
      <c r="T146" s="68">
        <f>IF($A146="","",IF(OR(S146="À COMMANDER",S146="RUPTURE"),MAX(1,O146-M146-N(P146)),0))</f>
        <v/>
      </c>
      <c r="U146" s="68">
        <f>IF($A146="","",SUMIFS('Mouvements stock'!$F$5:$F$3004,'Mouvements stock'!$D$5:$D$3004,$A146,'Mouvements stock'!$C$5:$C$3004,"Sortie",'Mouvements stock'!$B$5:$B$3004,"&gt;="&amp;'Paramètres'!$AA$6,'Mouvements stock'!$B$5:$B$3004,"&lt;"&amp;('Paramètres'!$AA$7+1)))</f>
        <v/>
      </c>
      <c r="V146" s="78">
        <f>IF($A146="","",IF(COUNTIF('Mouvements stock'!$D$5:$D$3004,$A146)=0,"",_xlfn.MAXIFS('Mouvements stock'!$B$5:$B$3004,'Mouvements stock'!$D$5:$D$3004,$A146)))</f>
        <v/>
      </c>
    </row>
    <row r="147">
      <c r="A147" s="7" t="n"/>
      <c r="B147" s="7" t="n"/>
      <c r="C147" s="7" t="n"/>
      <c r="D147" s="7" t="n"/>
      <c r="E147" s="7" t="n"/>
      <c r="F147" s="7" t="n"/>
      <c r="G147" s="7" t="n"/>
      <c r="H147" s="7" t="n"/>
      <c r="I147" s="80" t="n"/>
      <c r="J147" s="67" t="n"/>
      <c r="K147" s="68">
        <f>IF($A147="","",SUMIFS('Mouvements stock'!$F$5:$F$3004,'Mouvements stock'!$D$5:$D$3004,$A147,'Mouvements stock'!$C$5:$C$3004,"Entrée")+SUMIFS('Mouvements stock'!$F$5:$F$3004,'Mouvements stock'!$D$5:$D$3004,$A147,'Mouvements stock'!$C$5:$C$3004,"Retour"))</f>
        <v/>
      </c>
      <c r="L147" s="68">
        <f>IF($A147="","",SUMIFS('Mouvements stock'!$F$5:$F$3004,'Mouvements stock'!$D$5:$D$3004,$A147,'Mouvements stock'!$C$5:$C$3004,"Sortie"))</f>
        <v/>
      </c>
      <c r="M147" s="79">
        <f>IF($A147="","",N(J147)+N(K147)-N(L147))</f>
        <v/>
      </c>
      <c r="N147" s="67" t="n"/>
      <c r="O147" s="67" t="n"/>
      <c r="P147" s="67" t="n"/>
      <c r="Q147" s="67" t="n"/>
      <c r="R147" s="70">
        <f>IF($A147="","",MAX(0,M147)*N(I147))</f>
        <v/>
      </c>
      <c r="S147" s="9">
        <f>IF($A147="","",IF(M147&lt;=0,IF(N(P147)&gt;0,"Rupture - en cde","RUPTURE"),IF(M147+N(P147)&lt;=N147,"À COMMANDER",IF(M147&lt;=N147,"Commande en cours","OK"))))</f>
        <v/>
      </c>
      <c r="T147" s="68">
        <f>IF($A147="","",IF(OR(S147="À COMMANDER",S147="RUPTURE"),MAX(1,O147-M147-N(P147)),0))</f>
        <v/>
      </c>
      <c r="U147" s="68">
        <f>IF($A147="","",SUMIFS('Mouvements stock'!$F$5:$F$3004,'Mouvements stock'!$D$5:$D$3004,$A147,'Mouvements stock'!$C$5:$C$3004,"Sortie",'Mouvements stock'!$B$5:$B$3004,"&gt;="&amp;'Paramètres'!$AA$6,'Mouvements stock'!$B$5:$B$3004,"&lt;"&amp;('Paramètres'!$AA$7+1)))</f>
        <v/>
      </c>
      <c r="V147" s="78">
        <f>IF($A147="","",IF(COUNTIF('Mouvements stock'!$D$5:$D$3004,$A147)=0,"",_xlfn.MAXIFS('Mouvements stock'!$B$5:$B$3004,'Mouvements stock'!$D$5:$D$3004,$A147)))</f>
        <v/>
      </c>
    </row>
    <row r="148">
      <c r="A148" s="7" t="n"/>
      <c r="B148" s="7" t="n"/>
      <c r="C148" s="7" t="n"/>
      <c r="D148" s="7" t="n"/>
      <c r="E148" s="7" t="n"/>
      <c r="F148" s="7" t="n"/>
      <c r="G148" s="7" t="n"/>
      <c r="H148" s="7" t="n"/>
      <c r="I148" s="80" t="n"/>
      <c r="J148" s="67" t="n"/>
      <c r="K148" s="68">
        <f>IF($A148="","",SUMIFS('Mouvements stock'!$F$5:$F$3004,'Mouvements stock'!$D$5:$D$3004,$A148,'Mouvements stock'!$C$5:$C$3004,"Entrée")+SUMIFS('Mouvements stock'!$F$5:$F$3004,'Mouvements stock'!$D$5:$D$3004,$A148,'Mouvements stock'!$C$5:$C$3004,"Retour"))</f>
        <v/>
      </c>
      <c r="L148" s="68">
        <f>IF($A148="","",SUMIFS('Mouvements stock'!$F$5:$F$3004,'Mouvements stock'!$D$5:$D$3004,$A148,'Mouvements stock'!$C$5:$C$3004,"Sortie"))</f>
        <v/>
      </c>
      <c r="M148" s="79">
        <f>IF($A148="","",N(J148)+N(K148)-N(L148))</f>
        <v/>
      </c>
      <c r="N148" s="67" t="n"/>
      <c r="O148" s="67" t="n"/>
      <c r="P148" s="67" t="n"/>
      <c r="Q148" s="67" t="n"/>
      <c r="R148" s="70">
        <f>IF($A148="","",MAX(0,M148)*N(I148))</f>
        <v/>
      </c>
      <c r="S148" s="9">
        <f>IF($A148="","",IF(M148&lt;=0,IF(N(P148)&gt;0,"Rupture - en cde","RUPTURE"),IF(M148+N(P148)&lt;=N148,"À COMMANDER",IF(M148&lt;=N148,"Commande en cours","OK"))))</f>
        <v/>
      </c>
      <c r="T148" s="68">
        <f>IF($A148="","",IF(OR(S148="À COMMANDER",S148="RUPTURE"),MAX(1,O148-M148-N(P148)),0))</f>
        <v/>
      </c>
      <c r="U148" s="68">
        <f>IF($A148="","",SUMIFS('Mouvements stock'!$F$5:$F$3004,'Mouvements stock'!$D$5:$D$3004,$A148,'Mouvements stock'!$C$5:$C$3004,"Sortie",'Mouvements stock'!$B$5:$B$3004,"&gt;="&amp;'Paramètres'!$AA$6,'Mouvements stock'!$B$5:$B$3004,"&lt;"&amp;('Paramètres'!$AA$7+1)))</f>
        <v/>
      </c>
      <c r="V148" s="78">
        <f>IF($A148="","",IF(COUNTIF('Mouvements stock'!$D$5:$D$3004,$A148)=0,"",_xlfn.MAXIFS('Mouvements stock'!$B$5:$B$3004,'Mouvements stock'!$D$5:$D$3004,$A148)))</f>
        <v/>
      </c>
    </row>
    <row r="149">
      <c r="A149" s="7" t="n"/>
      <c r="B149" s="7" t="n"/>
      <c r="C149" s="7" t="n"/>
      <c r="D149" s="7" t="n"/>
      <c r="E149" s="7" t="n"/>
      <c r="F149" s="7" t="n"/>
      <c r="G149" s="7" t="n"/>
      <c r="H149" s="7" t="n"/>
      <c r="I149" s="80" t="n"/>
      <c r="J149" s="67" t="n"/>
      <c r="K149" s="68">
        <f>IF($A149="","",SUMIFS('Mouvements stock'!$F$5:$F$3004,'Mouvements stock'!$D$5:$D$3004,$A149,'Mouvements stock'!$C$5:$C$3004,"Entrée")+SUMIFS('Mouvements stock'!$F$5:$F$3004,'Mouvements stock'!$D$5:$D$3004,$A149,'Mouvements stock'!$C$5:$C$3004,"Retour"))</f>
        <v/>
      </c>
      <c r="L149" s="68">
        <f>IF($A149="","",SUMIFS('Mouvements stock'!$F$5:$F$3004,'Mouvements stock'!$D$5:$D$3004,$A149,'Mouvements stock'!$C$5:$C$3004,"Sortie"))</f>
        <v/>
      </c>
      <c r="M149" s="79">
        <f>IF($A149="","",N(J149)+N(K149)-N(L149))</f>
        <v/>
      </c>
      <c r="N149" s="67" t="n"/>
      <c r="O149" s="67" t="n"/>
      <c r="P149" s="67" t="n"/>
      <c r="Q149" s="67" t="n"/>
      <c r="R149" s="70">
        <f>IF($A149="","",MAX(0,M149)*N(I149))</f>
        <v/>
      </c>
      <c r="S149" s="9">
        <f>IF($A149="","",IF(M149&lt;=0,IF(N(P149)&gt;0,"Rupture - en cde","RUPTURE"),IF(M149+N(P149)&lt;=N149,"À COMMANDER",IF(M149&lt;=N149,"Commande en cours","OK"))))</f>
        <v/>
      </c>
      <c r="T149" s="68">
        <f>IF($A149="","",IF(OR(S149="À COMMANDER",S149="RUPTURE"),MAX(1,O149-M149-N(P149)),0))</f>
        <v/>
      </c>
      <c r="U149" s="68">
        <f>IF($A149="","",SUMIFS('Mouvements stock'!$F$5:$F$3004,'Mouvements stock'!$D$5:$D$3004,$A149,'Mouvements stock'!$C$5:$C$3004,"Sortie",'Mouvements stock'!$B$5:$B$3004,"&gt;="&amp;'Paramètres'!$AA$6,'Mouvements stock'!$B$5:$B$3004,"&lt;"&amp;('Paramètres'!$AA$7+1)))</f>
        <v/>
      </c>
      <c r="V149" s="78">
        <f>IF($A149="","",IF(COUNTIF('Mouvements stock'!$D$5:$D$3004,$A149)=0,"",_xlfn.MAXIFS('Mouvements stock'!$B$5:$B$3004,'Mouvements stock'!$D$5:$D$3004,$A149)))</f>
        <v/>
      </c>
    </row>
    <row r="150">
      <c r="A150" s="7" t="n"/>
      <c r="B150" s="7" t="n"/>
      <c r="C150" s="7" t="n"/>
      <c r="D150" s="7" t="n"/>
      <c r="E150" s="7" t="n"/>
      <c r="F150" s="7" t="n"/>
      <c r="G150" s="7" t="n"/>
      <c r="H150" s="7" t="n"/>
      <c r="I150" s="80" t="n"/>
      <c r="J150" s="67" t="n"/>
      <c r="K150" s="68">
        <f>IF($A150="","",SUMIFS('Mouvements stock'!$F$5:$F$3004,'Mouvements stock'!$D$5:$D$3004,$A150,'Mouvements stock'!$C$5:$C$3004,"Entrée")+SUMIFS('Mouvements stock'!$F$5:$F$3004,'Mouvements stock'!$D$5:$D$3004,$A150,'Mouvements stock'!$C$5:$C$3004,"Retour"))</f>
        <v/>
      </c>
      <c r="L150" s="68">
        <f>IF($A150="","",SUMIFS('Mouvements stock'!$F$5:$F$3004,'Mouvements stock'!$D$5:$D$3004,$A150,'Mouvements stock'!$C$5:$C$3004,"Sortie"))</f>
        <v/>
      </c>
      <c r="M150" s="79">
        <f>IF($A150="","",N(J150)+N(K150)-N(L150))</f>
        <v/>
      </c>
      <c r="N150" s="67" t="n"/>
      <c r="O150" s="67" t="n"/>
      <c r="P150" s="67" t="n"/>
      <c r="Q150" s="67" t="n"/>
      <c r="R150" s="70">
        <f>IF($A150="","",MAX(0,M150)*N(I150))</f>
        <v/>
      </c>
      <c r="S150" s="9">
        <f>IF($A150="","",IF(M150&lt;=0,IF(N(P150)&gt;0,"Rupture - en cde","RUPTURE"),IF(M150+N(P150)&lt;=N150,"À COMMANDER",IF(M150&lt;=N150,"Commande en cours","OK"))))</f>
        <v/>
      </c>
      <c r="T150" s="68">
        <f>IF($A150="","",IF(OR(S150="À COMMANDER",S150="RUPTURE"),MAX(1,O150-M150-N(P150)),0))</f>
        <v/>
      </c>
      <c r="U150" s="68">
        <f>IF($A150="","",SUMIFS('Mouvements stock'!$F$5:$F$3004,'Mouvements stock'!$D$5:$D$3004,$A150,'Mouvements stock'!$C$5:$C$3004,"Sortie",'Mouvements stock'!$B$5:$B$3004,"&gt;="&amp;'Paramètres'!$AA$6,'Mouvements stock'!$B$5:$B$3004,"&lt;"&amp;('Paramètres'!$AA$7+1)))</f>
        <v/>
      </c>
      <c r="V150" s="78">
        <f>IF($A150="","",IF(COUNTIF('Mouvements stock'!$D$5:$D$3004,$A150)=0,"",_xlfn.MAXIFS('Mouvements stock'!$B$5:$B$3004,'Mouvements stock'!$D$5:$D$3004,$A150)))</f>
        <v/>
      </c>
    </row>
    <row r="151">
      <c r="A151" s="7" t="n"/>
      <c r="B151" s="7" t="n"/>
      <c r="C151" s="7" t="n"/>
      <c r="D151" s="7" t="n"/>
      <c r="E151" s="7" t="n"/>
      <c r="F151" s="7" t="n"/>
      <c r="G151" s="7" t="n"/>
      <c r="H151" s="7" t="n"/>
      <c r="I151" s="80" t="n"/>
      <c r="J151" s="67" t="n"/>
      <c r="K151" s="68">
        <f>IF($A151="","",SUMIFS('Mouvements stock'!$F$5:$F$3004,'Mouvements stock'!$D$5:$D$3004,$A151,'Mouvements stock'!$C$5:$C$3004,"Entrée")+SUMIFS('Mouvements stock'!$F$5:$F$3004,'Mouvements stock'!$D$5:$D$3004,$A151,'Mouvements stock'!$C$5:$C$3004,"Retour"))</f>
        <v/>
      </c>
      <c r="L151" s="68">
        <f>IF($A151="","",SUMIFS('Mouvements stock'!$F$5:$F$3004,'Mouvements stock'!$D$5:$D$3004,$A151,'Mouvements stock'!$C$5:$C$3004,"Sortie"))</f>
        <v/>
      </c>
      <c r="M151" s="79">
        <f>IF($A151="","",N(J151)+N(K151)-N(L151))</f>
        <v/>
      </c>
      <c r="N151" s="67" t="n"/>
      <c r="O151" s="67" t="n"/>
      <c r="P151" s="67" t="n"/>
      <c r="Q151" s="67" t="n"/>
      <c r="R151" s="70">
        <f>IF($A151="","",MAX(0,M151)*N(I151))</f>
        <v/>
      </c>
      <c r="S151" s="9">
        <f>IF($A151="","",IF(M151&lt;=0,IF(N(P151)&gt;0,"Rupture - en cde","RUPTURE"),IF(M151+N(P151)&lt;=N151,"À COMMANDER",IF(M151&lt;=N151,"Commande en cours","OK"))))</f>
        <v/>
      </c>
      <c r="T151" s="68">
        <f>IF($A151="","",IF(OR(S151="À COMMANDER",S151="RUPTURE"),MAX(1,O151-M151-N(P151)),0))</f>
        <v/>
      </c>
      <c r="U151" s="68">
        <f>IF($A151="","",SUMIFS('Mouvements stock'!$F$5:$F$3004,'Mouvements stock'!$D$5:$D$3004,$A151,'Mouvements stock'!$C$5:$C$3004,"Sortie",'Mouvements stock'!$B$5:$B$3004,"&gt;="&amp;'Paramètres'!$AA$6,'Mouvements stock'!$B$5:$B$3004,"&lt;"&amp;('Paramètres'!$AA$7+1)))</f>
        <v/>
      </c>
      <c r="V151" s="78">
        <f>IF($A151="","",IF(COUNTIF('Mouvements stock'!$D$5:$D$3004,$A151)=0,"",_xlfn.MAXIFS('Mouvements stock'!$B$5:$B$3004,'Mouvements stock'!$D$5:$D$3004,$A151)))</f>
        <v/>
      </c>
    </row>
    <row r="152">
      <c r="A152" s="7" t="n"/>
      <c r="B152" s="7" t="n"/>
      <c r="C152" s="7" t="n"/>
      <c r="D152" s="7" t="n"/>
      <c r="E152" s="7" t="n"/>
      <c r="F152" s="7" t="n"/>
      <c r="G152" s="7" t="n"/>
      <c r="H152" s="7" t="n"/>
      <c r="I152" s="80" t="n"/>
      <c r="J152" s="67" t="n"/>
      <c r="K152" s="68">
        <f>IF($A152="","",SUMIFS('Mouvements stock'!$F$5:$F$3004,'Mouvements stock'!$D$5:$D$3004,$A152,'Mouvements stock'!$C$5:$C$3004,"Entrée")+SUMIFS('Mouvements stock'!$F$5:$F$3004,'Mouvements stock'!$D$5:$D$3004,$A152,'Mouvements stock'!$C$5:$C$3004,"Retour"))</f>
        <v/>
      </c>
      <c r="L152" s="68">
        <f>IF($A152="","",SUMIFS('Mouvements stock'!$F$5:$F$3004,'Mouvements stock'!$D$5:$D$3004,$A152,'Mouvements stock'!$C$5:$C$3004,"Sortie"))</f>
        <v/>
      </c>
      <c r="M152" s="79">
        <f>IF($A152="","",N(J152)+N(K152)-N(L152))</f>
        <v/>
      </c>
      <c r="N152" s="67" t="n"/>
      <c r="O152" s="67" t="n"/>
      <c r="P152" s="67" t="n"/>
      <c r="Q152" s="67" t="n"/>
      <c r="R152" s="70">
        <f>IF($A152="","",MAX(0,M152)*N(I152))</f>
        <v/>
      </c>
      <c r="S152" s="9">
        <f>IF($A152="","",IF(M152&lt;=0,IF(N(P152)&gt;0,"Rupture - en cde","RUPTURE"),IF(M152+N(P152)&lt;=N152,"À COMMANDER",IF(M152&lt;=N152,"Commande en cours","OK"))))</f>
        <v/>
      </c>
      <c r="T152" s="68">
        <f>IF($A152="","",IF(OR(S152="À COMMANDER",S152="RUPTURE"),MAX(1,O152-M152-N(P152)),0))</f>
        <v/>
      </c>
      <c r="U152" s="68">
        <f>IF($A152="","",SUMIFS('Mouvements stock'!$F$5:$F$3004,'Mouvements stock'!$D$5:$D$3004,$A152,'Mouvements stock'!$C$5:$C$3004,"Sortie",'Mouvements stock'!$B$5:$B$3004,"&gt;="&amp;'Paramètres'!$AA$6,'Mouvements stock'!$B$5:$B$3004,"&lt;"&amp;('Paramètres'!$AA$7+1)))</f>
        <v/>
      </c>
      <c r="V152" s="78">
        <f>IF($A152="","",IF(COUNTIF('Mouvements stock'!$D$5:$D$3004,$A152)=0,"",_xlfn.MAXIFS('Mouvements stock'!$B$5:$B$3004,'Mouvements stock'!$D$5:$D$3004,$A152)))</f>
        <v/>
      </c>
    </row>
    <row r="153">
      <c r="A153" s="7" t="n"/>
      <c r="B153" s="7" t="n"/>
      <c r="C153" s="7" t="n"/>
      <c r="D153" s="7" t="n"/>
      <c r="E153" s="7" t="n"/>
      <c r="F153" s="7" t="n"/>
      <c r="G153" s="7" t="n"/>
      <c r="H153" s="7" t="n"/>
      <c r="I153" s="80" t="n"/>
      <c r="J153" s="67" t="n"/>
      <c r="K153" s="68">
        <f>IF($A153="","",SUMIFS('Mouvements stock'!$F$5:$F$3004,'Mouvements stock'!$D$5:$D$3004,$A153,'Mouvements stock'!$C$5:$C$3004,"Entrée")+SUMIFS('Mouvements stock'!$F$5:$F$3004,'Mouvements stock'!$D$5:$D$3004,$A153,'Mouvements stock'!$C$5:$C$3004,"Retour"))</f>
        <v/>
      </c>
      <c r="L153" s="68">
        <f>IF($A153="","",SUMIFS('Mouvements stock'!$F$5:$F$3004,'Mouvements stock'!$D$5:$D$3004,$A153,'Mouvements stock'!$C$5:$C$3004,"Sortie"))</f>
        <v/>
      </c>
      <c r="M153" s="79">
        <f>IF($A153="","",N(J153)+N(K153)-N(L153))</f>
        <v/>
      </c>
      <c r="N153" s="67" t="n"/>
      <c r="O153" s="67" t="n"/>
      <c r="P153" s="67" t="n"/>
      <c r="Q153" s="67" t="n"/>
      <c r="R153" s="70">
        <f>IF($A153="","",MAX(0,M153)*N(I153))</f>
        <v/>
      </c>
      <c r="S153" s="9">
        <f>IF($A153="","",IF(M153&lt;=0,IF(N(P153)&gt;0,"Rupture - en cde","RUPTURE"),IF(M153+N(P153)&lt;=N153,"À COMMANDER",IF(M153&lt;=N153,"Commande en cours","OK"))))</f>
        <v/>
      </c>
      <c r="T153" s="68">
        <f>IF($A153="","",IF(OR(S153="À COMMANDER",S153="RUPTURE"),MAX(1,O153-M153-N(P153)),0))</f>
        <v/>
      </c>
      <c r="U153" s="68">
        <f>IF($A153="","",SUMIFS('Mouvements stock'!$F$5:$F$3004,'Mouvements stock'!$D$5:$D$3004,$A153,'Mouvements stock'!$C$5:$C$3004,"Sortie",'Mouvements stock'!$B$5:$B$3004,"&gt;="&amp;'Paramètres'!$AA$6,'Mouvements stock'!$B$5:$B$3004,"&lt;"&amp;('Paramètres'!$AA$7+1)))</f>
        <v/>
      </c>
      <c r="V153" s="78">
        <f>IF($A153="","",IF(COUNTIF('Mouvements stock'!$D$5:$D$3004,$A153)=0,"",_xlfn.MAXIFS('Mouvements stock'!$B$5:$B$3004,'Mouvements stock'!$D$5:$D$3004,$A153)))</f>
        <v/>
      </c>
    </row>
    <row r="154">
      <c r="A154" s="7" t="n"/>
      <c r="B154" s="7" t="n"/>
      <c r="C154" s="7" t="n"/>
      <c r="D154" s="7" t="n"/>
      <c r="E154" s="7" t="n"/>
      <c r="F154" s="7" t="n"/>
      <c r="G154" s="7" t="n"/>
      <c r="H154" s="7" t="n"/>
      <c r="I154" s="80" t="n"/>
      <c r="J154" s="67" t="n"/>
      <c r="K154" s="68">
        <f>IF($A154="","",SUMIFS('Mouvements stock'!$F$5:$F$3004,'Mouvements stock'!$D$5:$D$3004,$A154,'Mouvements stock'!$C$5:$C$3004,"Entrée")+SUMIFS('Mouvements stock'!$F$5:$F$3004,'Mouvements stock'!$D$5:$D$3004,$A154,'Mouvements stock'!$C$5:$C$3004,"Retour"))</f>
        <v/>
      </c>
      <c r="L154" s="68">
        <f>IF($A154="","",SUMIFS('Mouvements stock'!$F$5:$F$3004,'Mouvements stock'!$D$5:$D$3004,$A154,'Mouvements stock'!$C$5:$C$3004,"Sortie"))</f>
        <v/>
      </c>
      <c r="M154" s="79">
        <f>IF($A154="","",N(J154)+N(K154)-N(L154))</f>
        <v/>
      </c>
      <c r="N154" s="67" t="n"/>
      <c r="O154" s="67" t="n"/>
      <c r="P154" s="67" t="n"/>
      <c r="Q154" s="67" t="n"/>
      <c r="R154" s="70">
        <f>IF($A154="","",MAX(0,M154)*N(I154))</f>
        <v/>
      </c>
      <c r="S154" s="9">
        <f>IF($A154="","",IF(M154&lt;=0,IF(N(P154)&gt;0,"Rupture - en cde","RUPTURE"),IF(M154+N(P154)&lt;=N154,"À COMMANDER",IF(M154&lt;=N154,"Commande en cours","OK"))))</f>
        <v/>
      </c>
      <c r="T154" s="68">
        <f>IF($A154="","",IF(OR(S154="À COMMANDER",S154="RUPTURE"),MAX(1,O154-M154-N(P154)),0))</f>
        <v/>
      </c>
      <c r="U154" s="68">
        <f>IF($A154="","",SUMIFS('Mouvements stock'!$F$5:$F$3004,'Mouvements stock'!$D$5:$D$3004,$A154,'Mouvements stock'!$C$5:$C$3004,"Sortie",'Mouvements stock'!$B$5:$B$3004,"&gt;="&amp;'Paramètres'!$AA$6,'Mouvements stock'!$B$5:$B$3004,"&lt;"&amp;('Paramètres'!$AA$7+1)))</f>
        <v/>
      </c>
      <c r="V154" s="78">
        <f>IF($A154="","",IF(COUNTIF('Mouvements stock'!$D$5:$D$3004,$A154)=0,"",_xlfn.MAXIFS('Mouvements stock'!$B$5:$B$3004,'Mouvements stock'!$D$5:$D$3004,$A154)))</f>
        <v/>
      </c>
    </row>
    <row r="155">
      <c r="A155" s="7" t="n"/>
      <c r="B155" s="7" t="n"/>
      <c r="C155" s="7" t="n"/>
      <c r="D155" s="7" t="n"/>
      <c r="E155" s="7" t="n"/>
      <c r="F155" s="7" t="n"/>
      <c r="G155" s="7" t="n"/>
      <c r="H155" s="7" t="n"/>
      <c r="I155" s="80" t="n"/>
      <c r="J155" s="67" t="n"/>
      <c r="K155" s="68">
        <f>IF($A155="","",SUMIFS('Mouvements stock'!$F$5:$F$3004,'Mouvements stock'!$D$5:$D$3004,$A155,'Mouvements stock'!$C$5:$C$3004,"Entrée")+SUMIFS('Mouvements stock'!$F$5:$F$3004,'Mouvements stock'!$D$5:$D$3004,$A155,'Mouvements stock'!$C$5:$C$3004,"Retour"))</f>
        <v/>
      </c>
      <c r="L155" s="68">
        <f>IF($A155="","",SUMIFS('Mouvements stock'!$F$5:$F$3004,'Mouvements stock'!$D$5:$D$3004,$A155,'Mouvements stock'!$C$5:$C$3004,"Sortie"))</f>
        <v/>
      </c>
      <c r="M155" s="79">
        <f>IF($A155="","",N(J155)+N(K155)-N(L155))</f>
        <v/>
      </c>
      <c r="N155" s="67" t="n"/>
      <c r="O155" s="67" t="n"/>
      <c r="P155" s="67" t="n"/>
      <c r="Q155" s="67" t="n"/>
      <c r="R155" s="70">
        <f>IF($A155="","",MAX(0,M155)*N(I155))</f>
        <v/>
      </c>
      <c r="S155" s="9">
        <f>IF($A155="","",IF(M155&lt;=0,IF(N(P155)&gt;0,"Rupture - en cde","RUPTURE"),IF(M155+N(P155)&lt;=N155,"À COMMANDER",IF(M155&lt;=N155,"Commande en cours","OK"))))</f>
        <v/>
      </c>
      <c r="T155" s="68">
        <f>IF($A155="","",IF(OR(S155="À COMMANDER",S155="RUPTURE"),MAX(1,O155-M155-N(P155)),0))</f>
        <v/>
      </c>
      <c r="U155" s="68">
        <f>IF($A155="","",SUMIFS('Mouvements stock'!$F$5:$F$3004,'Mouvements stock'!$D$5:$D$3004,$A155,'Mouvements stock'!$C$5:$C$3004,"Sortie",'Mouvements stock'!$B$5:$B$3004,"&gt;="&amp;'Paramètres'!$AA$6,'Mouvements stock'!$B$5:$B$3004,"&lt;"&amp;('Paramètres'!$AA$7+1)))</f>
        <v/>
      </c>
      <c r="V155" s="78">
        <f>IF($A155="","",IF(COUNTIF('Mouvements stock'!$D$5:$D$3004,$A155)=0,"",_xlfn.MAXIFS('Mouvements stock'!$B$5:$B$3004,'Mouvements stock'!$D$5:$D$3004,$A155)))</f>
        <v/>
      </c>
    </row>
    <row r="156">
      <c r="A156" s="7" t="n"/>
      <c r="B156" s="7" t="n"/>
      <c r="C156" s="7" t="n"/>
      <c r="D156" s="7" t="n"/>
      <c r="E156" s="7" t="n"/>
      <c r="F156" s="7" t="n"/>
      <c r="G156" s="7" t="n"/>
      <c r="H156" s="7" t="n"/>
      <c r="I156" s="80" t="n"/>
      <c r="J156" s="67" t="n"/>
      <c r="K156" s="68">
        <f>IF($A156="","",SUMIFS('Mouvements stock'!$F$5:$F$3004,'Mouvements stock'!$D$5:$D$3004,$A156,'Mouvements stock'!$C$5:$C$3004,"Entrée")+SUMIFS('Mouvements stock'!$F$5:$F$3004,'Mouvements stock'!$D$5:$D$3004,$A156,'Mouvements stock'!$C$5:$C$3004,"Retour"))</f>
        <v/>
      </c>
      <c r="L156" s="68">
        <f>IF($A156="","",SUMIFS('Mouvements stock'!$F$5:$F$3004,'Mouvements stock'!$D$5:$D$3004,$A156,'Mouvements stock'!$C$5:$C$3004,"Sortie"))</f>
        <v/>
      </c>
      <c r="M156" s="79">
        <f>IF($A156="","",N(J156)+N(K156)-N(L156))</f>
        <v/>
      </c>
      <c r="N156" s="67" t="n"/>
      <c r="O156" s="67" t="n"/>
      <c r="P156" s="67" t="n"/>
      <c r="Q156" s="67" t="n"/>
      <c r="R156" s="70">
        <f>IF($A156="","",MAX(0,M156)*N(I156))</f>
        <v/>
      </c>
      <c r="S156" s="9">
        <f>IF($A156="","",IF(M156&lt;=0,IF(N(P156)&gt;0,"Rupture - en cde","RUPTURE"),IF(M156+N(P156)&lt;=N156,"À COMMANDER",IF(M156&lt;=N156,"Commande en cours","OK"))))</f>
        <v/>
      </c>
      <c r="T156" s="68">
        <f>IF($A156="","",IF(OR(S156="À COMMANDER",S156="RUPTURE"),MAX(1,O156-M156-N(P156)),0))</f>
        <v/>
      </c>
      <c r="U156" s="68">
        <f>IF($A156="","",SUMIFS('Mouvements stock'!$F$5:$F$3004,'Mouvements stock'!$D$5:$D$3004,$A156,'Mouvements stock'!$C$5:$C$3004,"Sortie",'Mouvements stock'!$B$5:$B$3004,"&gt;="&amp;'Paramètres'!$AA$6,'Mouvements stock'!$B$5:$B$3004,"&lt;"&amp;('Paramètres'!$AA$7+1)))</f>
        <v/>
      </c>
      <c r="V156" s="78">
        <f>IF($A156="","",IF(COUNTIF('Mouvements stock'!$D$5:$D$3004,$A156)=0,"",_xlfn.MAXIFS('Mouvements stock'!$B$5:$B$3004,'Mouvements stock'!$D$5:$D$3004,$A156)))</f>
        <v/>
      </c>
    </row>
    <row r="157">
      <c r="A157" s="7" t="n"/>
      <c r="B157" s="7" t="n"/>
      <c r="C157" s="7" t="n"/>
      <c r="D157" s="7" t="n"/>
      <c r="E157" s="7" t="n"/>
      <c r="F157" s="7" t="n"/>
      <c r="G157" s="7" t="n"/>
      <c r="H157" s="7" t="n"/>
      <c r="I157" s="80" t="n"/>
      <c r="J157" s="67" t="n"/>
      <c r="K157" s="68">
        <f>IF($A157="","",SUMIFS('Mouvements stock'!$F$5:$F$3004,'Mouvements stock'!$D$5:$D$3004,$A157,'Mouvements stock'!$C$5:$C$3004,"Entrée")+SUMIFS('Mouvements stock'!$F$5:$F$3004,'Mouvements stock'!$D$5:$D$3004,$A157,'Mouvements stock'!$C$5:$C$3004,"Retour"))</f>
        <v/>
      </c>
      <c r="L157" s="68">
        <f>IF($A157="","",SUMIFS('Mouvements stock'!$F$5:$F$3004,'Mouvements stock'!$D$5:$D$3004,$A157,'Mouvements stock'!$C$5:$C$3004,"Sortie"))</f>
        <v/>
      </c>
      <c r="M157" s="79">
        <f>IF($A157="","",N(J157)+N(K157)-N(L157))</f>
        <v/>
      </c>
      <c r="N157" s="67" t="n"/>
      <c r="O157" s="67" t="n"/>
      <c r="P157" s="67" t="n"/>
      <c r="Q157" s="67" t="n"/>
      <c r="R157" s="70">
        <f>IF($A157="","",MAX(0,M157)*N(I157))</f>
        <v/>
      </c>
      <c r="S157" s="9">
        <f>IF($A157="","",IF(M157&lt;=0,IF(N(P157)&gt;0,"Rupture - en cde","RUPTURE"),IF(M157+N(P157)&lt;=N157,"À COMMANDER",IF(M157&lt;=N157,"Commande en cours","OK"))))</f>
        <v/>
      </c>
      <c r="T157" s="68">
        <f>IF($A157="","",IF(OR(S157="À COMMANDER",S157="RUPTURE"),MAX(1,O157-M157-N(P157)),0))</f>
        <v/>
      </c>
      <c r="U157" s="68">
        <f>IF($A157="","",SUMIFS('Mouvements stock'!$F$5:$F$3004,'Mouvements stock'!$D$5:$D$3004,$A157,'Mouvements stock'!$C$5:$C$3004,"Sortie",'Mouvements stock'!$B$5:$B$3004,"&gt;="&amp;'Paramètres'!$AA$6,'Mouvements stock'!$B$5:$B$3004,"&lt;"&amp;('Paramètres'!$AA$7+1)))</f>
        <v/>
      </c>
      <c r="V157" s="78">
        <f>IF($A157="","",IF(COUNTIF('Mouvements stock'!$D$5:$D$3004,$A157)=0,"",_xlfn.MAXIFS('Mouvements stock'!$B$5:$B$3004,'Mouvements stock'!$D$5:$D$3004,$A157)))</f>
        <v/>
      </c>
    </row>
    <row r="158">
      <c r="A158" s="7" t="n"/>
      <c r="B158" s="7" t="n"/>
      <c r="C158" s="7" t="n"/>
      <c r="D158" s="7" t="n"/>
      <c r="E158" s="7" t="n"/>
      <c r="F158" s="7" t="n"/>
      <c r="G158" s="7" t="n"/>
      <c r="H158" s="7" t="n"/>
      <c r="I158" s="80" t="n"/>
      <c r="J158" s="67" t="n"/>
      <c r="K158" s="68">
        <f>IF($A158="","",SUMIFS('Mouvements stock'!$F$5:$F$3004,'Mouvements stock'!$D$5:$D$3004,$A158,'Mouvements stock'!$C$5:$C$3004,"Entrée")+SUMIFS('Mouvements stock'!$F$5:$F$3004,'Mouvements stock'!$D$5:$D$3004,$A158,'Mouvements stock'!$C$5:$C$3004,"Retour"))</f>
        <v/>
      </c>
      <c r="L158" s="68">
        <f>IF($A158="","",SUMIFS('Mouvements stock'!$F$5:$F$3004,'Mouvements stock'!$D$5:$D$3004,$A158,'Mouvements stock'!$C$5:$C$3004,"Sortie"))</f>
        <v/>
      </c>
      <c r="M158" s="79">
        <f>IF($A158="","",N(J158)+N(K158)-N(L158))</f>
        <v/>
      </c>
      <c r="N158" s="67" t="n"/>
      <c r="O158" s="67" t="n"/>
      <c r="P158" s="67" t="n"/>
      <c r="Q158" s="67" t="n"/>
      <c r="R158" s="70">
        <f>IF($A158="","",MAX(0,M158)*N(I158))</f>
        <v/>
      </c>
      <c r="S158" s="9">
        <f>IF($A158="","",IF(M158&lt;=0,IF(N(P158)&gt;0,"Rupture - en cde","RUPTURE"),IF(M158+N(P158)&lt;=N158,"À COMMANDER",IF(M158&lt;=N158,"Commande en cours","OK"))))</f>
        <v/>
      </c>
      <c r="T158" s="68">
        <f>IF($A158="","",IF(OR(S158="À COMMANDER",S158="RUPTURE"),MAX(1,O158-M158-N(P158)),0))</f>
        <v/>
      </c>
      <c r="U158" s="68">
        <f>IF($A158="","",SUMIFS('Mouvements stock'!$F$5:$F$3004,'Mouvements stock'!$D$5:$D$3004,$A158,'Mouvements stock'!$C$5:$C$3004,"Sortie",'Mouvements stock'!$B$5:$B$3004,"&gt;="&amp;'Paramètres'!$AA$6,'Mouvements stock'!$B$5:$B$3004,"&lt;"&amp;('Paramètres'!$AA$7+1)))</f>
        <v/>
      </c>
      <c r="V158" s="78">
        <f>IF($A158="","",IF(COUNTIF('Mouvements stock'!$D$5:$D$3004,$A158)=0,"",_xlfn.MAXIFS('Mouvements stock'!$B$5:$B$3004,'Mouvements stock'!$D$5:$D$3004,$A158)))</f>
        <v/>
      </c>
    </row>
    <row r="159">
      <c r="A159" s="7" t="n"/>
      <c r="B159" s="7" t="n"/>
      <c r="C159" s="7" t="n"/>
      <c r="D159" s="7" t="n"/>
      <c r="E159" s="7" t="n"/>
      <c r="F159" s="7" t="n"/>
      <c r="G159" s="7" t="n"/>
      <c r="H159" s="7" t="n"/>
      <c r="I159" s="80" t="n"/>
      <c r="J159" s="67" t="n"/>
      <c r="K159" s="68">
        <f>IF($A159="","",SUMIFS('Mouvements stock'!$F$5:$F$3004,'Mouvements stock'!$D$5:$D$3004,$A159,'Mouvements stock'!$C$5:$C$3004,"Entrée")+SUMIFS('Mouvements stock'!$F$5:$F$3004,'Mouvements stock'!$D$5:$D$3004,$A159,'Mouvements stock'!$C$5:$C$3004,"Retour"))</f>
        <v/>
      </c>
      <c r="L159" s="68">
        <f>IF($A159="","",SUMIFS('Mouvements stock'!$F$5:$F$3004,'Mouvements stock'!$D$5:$D$3004,$A159,'Mouvements stock'!$C$5:$C$3004,"Sortie"))</f>
        <v/>
      </c>
      <c r="M159" s="79">
        <f>IF($A159="","",N(J159)+N(K159)-N(L159))</f>
        <v/>
      </c>
      <c r="N159" s="67" t="n"/>
      <c r="O159" s="67" t="n"/>
      <c r="P159" s="67" t="n"/>
      <c r="Q159" s="67" t="n"/>
      <c r="R159" s="70">
        <f>IF($A159="","",MAX(0,M159)*N(I159))</f>
        <v/>
      </c>
      <c r="S159" s="9">
        <f>IF($A159="","",IF(M159&lt;=0,IF(N(P159)&gt;0,"Rupture - en cde","RUPTURE"),IF(M159+N(P159)&lt;=N159,"À COMMANDER",IF(M159&lt;=N159,"Commande en cours","OK"))))</f>
        <v/>
      </c>
      <c r="T159" s="68">
        <f>IF($A159="","",IF(OR(S159="À COMMANDER",S159="RUPTURE"),MAX(1,O159-M159-N(P159)),0))</f>
        <v/>
      </c>
      <c r="U159" s="68">
        <f>IF($A159="","",SUMIFS('Mouvements stock'!$F$5:$F$3004,'Mouvements stock'!$D$5:$D$3004,$A159,'Mouvements stock'!$C$5:$C$3004,"Sortie",'Mouvements stock'!$B$5:$B$3004,"&gt;="&amp;'Paramètres'!$AA$6,'Mouvements stock'!$B$5:$B$3004,"&lt;"&amp;('Paramètres'!$AA$7+1)))</f>
        <v/>
      </c>
      <c r="V159" s="78">
        <f>IF($A159="","",IF(COUNTIF('Mouvements stock'!$D$5:$D$3004,$A159)=0,"",_xlfn.MAXIFS('Mouvements stock'!$B$5:$B$3004,'Mouvements stock'!$D$5:$D$3004,$A159)))</f>
        <v/>
      </c>
    </row>
    <row r="160">
      <c r="A160" s="7" t="n"/>
      <c r="B160" s="7" t="n"/>
      <c r="C160" s="7" t="n"/>
      <c r="D160" s="7" t="n"/>
      <c r="E160" s="7" t="n"/>
      <c r="F160" s="7" t="n"/>
      <c r="G160" s="7" t="n"/>
      <c r="H160" s="7" t="n"/>
      <c r="I160" s="80" t="n"/>
      <c r="J160" s="67" t="n"/>
      <c r="K160" s="68">
        <f>IF($A160="","",SUMIFS('Mouvements stock'!$F$5:$F$3004,'Mouvements stock'!$D$5:$D$3004,$A160,'Mouvements stock'!$C$5:$C$3004,"Entrée")+SUMIFS('Mouvements stock'!$F$5:$F$3004,'Mouvements stock'!$D$5:$D$3004,$A160,'Mouvements stock'!$C$5:$C$3004,"Retour"))</f>
        <v/>
      </c>
      <c r="L160" s="68">
        <f>IF($A160="","",SUMIFS('Mouvements stock'!$F$5:$F$3004,'Mouvements stock'!$D$5:$D$3004,$A160,'Mouvements stock'!$C$5:$C$3004,"Sortie"))</f>
        <v/>
      </c>
      <c r="M160" s="79">
        <f>IF($A160="","",N(J160)+N(K160)-N(L160))</f>
        <v/>
      </c>
      <c r="N160" s="67" t="n"/>
      <c r="O160" s="67" t="n"/>
      <c r="P160" s="67" t="n"/>
      <c r="Q160" s="67" t="n"/>
      <c r="R160" s="70">
        <f>IF($A160="","",MAX(0,M160)*N(I160))</f>
        <v/>
      </c>
      <c r="S160" s="9">
        <f>IF($A160="","",IF(M160&lt;=0,IF(N(P160)&gt;0,"Rupture - en cde","RUPTURE"),IF(M160+N(P160)&lt;=N160,"À COMMANDER",IF(M160&lt;=N160,"Commande en cours","OK"))))</f>
        <v/>
      </c>
      <c r="T160" s="68">
        <f>IF($A160="","",IF(OR(S160="À COMMANDER",S160="RUPTURE"),MAX(1,O160-M160-N(P160)),0))</f>
        <v/>
      </c>
      <c r="U160" s="68">
        <f>IF($A160="","",SUMIFS('Mouvements stock'!$F$5:$F$3004,'Mouvements stock'!$D$5:$D$3004,$A160,'Mouvements stock'!$C$5:$C$3004,"Sortie",'Mouvements stock'!$B$5:$B$3004,"&gt;="&amp;'Paramètres'!$AA$6,'Mouvements stock'!$B$5:$B$3004,"&lt;"&amp;('Paramètres'!$AA$7+1)))</f>
        <v/>
      </c>
      <c r="V160" s="78">
        <f>IF($A160="","",IF(COUNTIF('Mouvements stock'!$D$5:$D$3004,$A160)=0,"",_xlfn.MAXIFS('Mouvements stock'!$B$5:$B$3004,'Mouvements stock'!$D$5:$D$3004,$A160)))</f>
        <v/>
      </c>
    </row>
    <row r="161">
      <c r="A161" s="7" t="n"/>
      <c r="B161" s="7" t="n"/>
      <c r="C161" s="7" t="n"/>
      <c r="D161" s="7" t="n"/>
      <c r="E161" s="7" t="n"/>
      <c r="F161" s="7" t="n"/>
      <c r="G161" s="7" t="n"/>
      <c r="H161" s="7" t="n"/>
      <c r="I161" s="80" t="n"/>
      <c r="J161" s="67" t="n"/>
      <c r="K161" s="68">
        <f>IF($A161="","",SUMIFS('Mouvements stock'!$F$5:$F$3004,'Mouvements stock'!$D$5:$D$3004,$A161,'Mouvements stock'!$C$5:$C$3004,"Entrée")+SUMIFS('Mouvements stock'!$F$5:$F$3004,'Mouvements stock'!$D$5:$D$3004,$A161,'Mouvements stock'!$C$5:$C$3004,"Retour"))</f>
        <v/>
      </c>
      <c r="L161" s="68">
        <f>IF($A161="","",SUMIFS('Mouvements stock'!$F$5:$F$3004,'Mouvements stock'!$D$5:$D$3004,$A161,'Mouvements stock'!$C$5:$C$3004,"Sortie"))</f>
        <v/>
      </c>
      <c r="M161" s="79">
        <f>IF($A161="","",N(J161)+N(K161)-N(L161))</f>
        <v/>
      </c>
      <c r="N161" s="67" t="n"/>
      <c r="O161" s="67" t="n"/>
      <c r="P161" s="67" t="n"/>
      <c r="Q161" s="67" t="n"/>
      <c r="R161" s="70">
        <f>IF($A161="","",MAX(0,M161)*N(I161))</f>
        <v/>
      </c>
      <c r="S161" s="9">
        <f>IF($A161="","",IF(M161&lt;=0,IF(N(P161)&gt;0,"Rupture - en cde","RUPTURE"),IF(M161+N(P161)&lt;=N161,"À COMMANDER",IF(M161&lt;=N161,"Commande en cours","OK"))))</f>
        <v/>
      </c>
      <c r="T161" s="68">
        <f>IF($A161="","",IF(OR(S161="À COMMANDER",S161="RUPTURE"),MAX(1,O161-M161-N(P161)),0))</f>
        <v/>
      </c>
      <c r="U161" s="68">
        <f>IF($A161="","",SUMIFS('Mouvements stock'!$F$5:$F$3004,'Mouvements stock'!$D$5:$D$3004,$A161,'Mouvements stock'!$C$5:$C$3004,"Sortie",'Mouvements stock'!$B$5:$B$3004,"&gt;="&amp;'Paramètres'!$AA$6,'Mouvements stock'!$B$5:$B$3004,"&lt;"&amp;('Paramètres'!$AA$7+1)))</f>
        <v/>
      </c>
      <c r="V161" s="78">
        <f>IF($A161="","",IF(COUNTIF('Mouvements stock'!$D$5:$D$3004,$A161)=0,"",_xlfn.MAXIFS('Mouvements stock'!$B$5:$B$3004,'Mouvements stock'!$D$5:$D$3004,$A161)))</f>
        <v/>
      </c>
    </row>
    <row r="162">
      <c r="A162" s="7" t="n"/>
      <c r="B162" s="7" t="n"/>
      <c r="C162" s="7" t="n"/>
      <c r="D162" s="7" t="n"/>
      <c r="E162" s="7" t="n"/>
      <c r="F162" s="7" t="n"/>
      <c r="G162" s="7" t="n"/>
      <c r="H162" s="7" t="n"/>
      <c r="I162" s="80" t="n"/>
      <c r="J162" s="67" t="n"/>
      <c r="K162" s="68">
        <f>IF($A162="","",SUMIFS('Mouvements stock'!$F$5:$F$3004,'Mouvements stock'!$D$5:$D$3004,$A162,'Mouvements stock'!$C$5:$C$3004,"Entrée")+SUMIFS('Mouvements stock'!$F$5:$F$3004,'Mouvements stock'!$D$5:$D$3004,$A162,'Mouvements stock'!$C$5:$C$3004,"Retour"))</f>
        <v/>
      </c>
      <c r="L162" s="68">
        <f>IF($A162="","",SUMIFS('Mouvements stock'!$F$5:$F$3004,'Mouvements stock'!$D$5:$D$3004,$A162,'Mouvements stock'!$C$5:$C$3004,"Sortie"))</f>
        <v/>
      </c>
      <c r="M162" s="79">
        <f>IF($A162="","",N(J162)+N(K162)-N(L162))</f>
        <v/>
      </c>
      <c r="N162" s="67" t="n"/>
      <c r="O162" s="67" t="n"/>
      <c r="P162" s="67" t="n"/>
      <c r="Q162" s="67" t="n"/>
      <c r="R162" s="70">
        <f>IF($A162="","",MAX(0,M162)*N(I162))</f>
        <v/>
      </c>
      <c r="S162" s="9">
        <f>IF($A162="","",IF(M162&lt;=0,IF(N(P162)&gt;0,"Rupture - en cde","RUPTURE"),IF(M162+N(P162)&lt;=N162,"À COMMANDER",IF(M162&lt;=N162,"Commande en cours","OK"))))</f>
        <v/>
      </c>
      <c r="T162" s="68">
        <f>IF($A162="","",IF(OR(S162="À COMMANDER",S162="RUPTURE"),MAX(1,O162-M162-N(P162)),0))</f>
        <v/>
      </c>
      <c r="U162" s="68">
        <f>IF($A162="","",SUMIFS('Mouvements stock'!$F$5:$F$3004,'Mouvements stock'!$D$5:$D$3004,$A162,'Mouvements stock'!$C$5:$C$3004,"Sortie",'Mouvements stock'!$B$5:$B$3004,"&gt;="&amp;'Paramètres'!$AA$6,'Mouvements stock'!$B$5:$B$3004,"&lt;"&amp;('Paramètres'!$AA$7+1)))</f>
        <v/>
      </c>
      <c r="V162" s="78">
        <f>IF($A162="","",IF(COUNTIF('Mouvements stock'!$D$5:$D$3004,$A162)=0,"",_xlfn.MAXIFS('Mouvements stock'!$B$5:$B$3004,'Mouvements stock'!$D$5:$D$3004,$A162)))</f>
        <v/>
      </c>
    </row>
    <row r="163">
      <c r="A163" s="7" t="n"/>
      <c r="B163" s="7" t="n"/>
      <c r="C163" s="7" t="n"/>
      <c r="D163" s="7" t="n"/>
      <c r="E163" s="7" t="n"/>
      <c r="F163" s="7" t="n"/>
      <c r="G163" s="7" t="n"/>
      <c r="H163" s="7" t="n"/>
      <c r="I163" s="80" t="n"/>
      <c r="J163" s="67" t="n"/>
      <c r="K163" s="68">
        <f>IF($A163="","",SUMIFS('Mouvements stock'!$F$5:$F$3004,'Mouvements stock'!$D$5:$D$3004,$A163,'Mouvements stock'!$C$5:$C$3004,"Entrée")+SUMIFS('Mouvements stock'!$F$5:$F$3004,'Mouvements stock'!$D$5:$D$3004,$A163,'Mouvements stock'!$C$5:$C$3004,"Retour"))</f>
        <v/>
      </c>
      <c r="L163" s="68">
        <f>IF($A163="","",SUMIFS('Mouvements stock'!$F$5:$F$3004,'Mouvements stock'!$D$5:$D$3004,$A163,'Mouvements stock'!$C$5:$C$3004,"Sortie"))</f>
        <v/>
      </c>
      <c r="M163" s="79">
        <f>IF($A163="","",N(J163)+N(K163)-N(L163))</f>
        <v/>
      </c>
      <c r="N163" s="67" t="n"/>
      <c r="O163" s="67" t="n"/>
      <c r="P163" s="67" t="n"/>
      <c r="Q163" s="67" t="n"/>
      <c r="R163" s="70">
        <f>IF($A163="","",MAX(0,M163)*N(I163))</f>
        <v/>
      </c>
      <c r="S163" s="9">
        <f>IF($A163="","",IF(M163&lt;=0,IF(N(P163)&gt;0,"Rupture - en cde","RUPTURE"),IF(M163+N(P163)&lt;=N163,"À COMMANDER",IF(M163&lt;=N163,"Commande en cours","OK"))))</f>
        <v/>
      </c>
      <c r="T163" s="68">
        <f>IF($A163="","",IF(OR(S163="À COMMANDER",S163="RUPTURE"),MAX(1,O163-M163-N(P163)),0))</f>
        <v/>
      </c>
      <c r="U163" s="68">
        <f>IF($A163="","",SUMIFS('Mouvements stock'!$F$5:$F$3004,'Mouvements stock'!$D$5:$D$3004,$A163,'Mouvements stock'!$C$5:$C$3004,"Sortie",'Mouvements stock'!$B$5:$B$3004,"&gt;="&amp;'Paramètres'!$AA$6,'Mouvements stock'!$B$5:$B$3004,"&lt;"&amp;('Paramètres'!$AA$7+1)))</f>
        <v/>
      </c>
      <c r="V163" s="78">
        <f>IF($A163="","",IF(COUNTIF('Mouvements stock'!$D$5:$D$3004,$A163)=0,"",_xlfn.MAXIFS('Mouvements stock'!$B$5:$B$3004,'Mouvements stock'!$D$5:$D$3004,$A163)))</f>
        <v/>
      </c>
    </row>
    <row r="164">
      <c r="A164" s="7" t="n"/>
      <c r="B164" s="7" t="n"/>
      <c r="C164" s="7" t="n"/>
      <c r="D164" s="7" t="n"/>
      <c r="E164" s="7" t="n"/>
      <c r="F164" s="7" t="n"/>
      <c r="G164" s="7" t="n"/>
      <c r="H164" s="7" t="n"/>
      <c r="I164" s="80" t="n"/>
      <c r="J164" s="67" t="n"/>
      <c r="K164" s="68">
        <f>IF($A164="","",SUMIFS('Mouvements stock'!$F$5:$F$3004,'Mouvements stock'!$D$5:$D$3004,$A164,'Mouvements stock'!$C$5:$C$3004,"Entrée")+SUMIFS('Mouvements stock'!$F$5:$F$3004,'Mouvements stock'!$D$5:$D$3004,$A164,'Mouvements stock'!$C$5:$C$3004,"Retour"))</f>
        <v/>
      </c>
      <c r="L164" s="68">
        <f>IF($A164="","",SUMIFS('Mouvements stock'!$F$5:$F$3004,'Mouvements stock'!$D$5:$D$3004,$A164,'Mouvements stock'!$C$5:$C$3004,"Sortie"))</f>
        <v/>
      </c>
      <c r="M164" s="79">
        <f>IF($A164="","",N(J164)+N(K164)-N(L164))</f>
        <v/>
      </c>
      <c r="N164" s="67" t="n"/>
      <c r="O164" s="67" t="n"/>
      <c r="P164" s="67" t="n"/>
      <c r="Q164" s="67" t="n"/>
      <c r="R164" s="70">
        <f>IF($A164="","",MAX(0,M164)*N(I164))</f>
        <v/>
      </c>
      <c r="S164" s="9">
        <f>IF($A164="","",IF(M164&lt;=0,IF(N(P164)&gt;0,"Rupture - en cde","RUPTURE"),IF(M164+N(P164)&lt;=N164,"À COMMANDER",IF(M164&lt;=N164,"Commande en cours","OK"))))</f>
        <v/>
      </c>
      <c r="T164" s="68">
        <f>IF($A164="","",IF(OR(S164="À COMMANDER",S164="RUPTURE"),MAX(1,O164-M164-N(P164)),0))</f>
        <v/>
      </c>
      <c r="U164" s="68">
        <f>IF($A164="","",SUMIFS('Mouvements stock'!$F$5:$F$3004,'Mouvements stock'!$D$5:$D$3004,$A164,'Mouvements stock'!$C$5:$C$3004,"Sortie",'Mouvements stock'!$B$5:$B$3004,"&gt;="&amp;'Paramètres'!$AA$6,'Mouvements stock'!$B$5:$B$3004,"&lt;"&amp;('Paramètres'!$AA$7+1)))</f>
        <v/>
      </c>
      <c r="V164" s="78">
        <f>IF($A164="","",IF(COUNTIF('Mouvements stock'!$D$5:$D$3004,$A164)=0,"",_xlfn.MAXIFS('Mouvements stock'!$B$5:$B$3004,'Mouvements stock'!$D$5:$D$3004,$A164)))</f>
        <v/>
      </c>
    </row>
    <row r="165">
      <c r="A165" s="7" t="n"/>
      <c r="B165" s="7" t="n"/>
      <c r="C165" s="7" t="n"/>
      <c r="D165" s="7" t="n"/>
      <c r="E165" s="7" t="n"/>
      <c r="F165" s="7" t="n"/>
      <c r="G165" s="7" t="n"/>
      <c r="H165" s="7" t="n"/>
      <c r="I165" s="80" t="n"/>
      <c r="J165" s="67" t="n"/>
      <c r="K165" s="68">
        <f>IF($A165="","",SUMIFS('Mouvements stock'!$F$5:$F$3004,'Mouvements stock'!$D$5:$D$3004,$A165,'Mouvements stock'!$C$5:$C$3004,"Entrée")+SUMIFS('Mouvements stock'!$F$5:$F$3004,'Mouvements stock'!$D$5:$D$3004,$A165,'Mouvements stock'!$C$5:$C$3004,"Retour"))</f>
        <v/>
      </c>
      <c r="L165" s="68">
        <f>IF($A165="","",SUMIFS('Mouvements stock'!$F$5:$F$3004,'Mouvements stock'!$D$5:$D$3004,$A165,'Mouvements stock'!$C$5:$C$3004,"Sortie"))</f>
        <v/>
      </c>
      <c r="M165" s="79">
        <f>IF($A165="","",N(J165)+N(K165)-N(L165))</f>
        <v/>
      </c>
      <c r="N165" s="67" t="n"/>
      <c r="O165" s="67" t="n"/>
      <c r="P165" s="67" t="n"/>
      <c r="Q165" s="67" t="n"/>
      <c r="R165" s="70">
        <f>IF($A165="","",MAX(0,M165)*N(I165))</f>
        <v/>
      </c>
      <c r="S165" s="9">
        <f>IF($A165="","",IF(M165&lt;=0,IF(N(P165)&gt;0,"Rupture - en cde","RUPTURE"),IF(M165+N(P165)&lt;=N165,"À COMMANDER",IF(M165&lt;=N165,"Commande en cours","OK"))))</f>
        <v/>
      </c>
      <c r="T165" s="68">
        <f>IF($A165="","",IF(OR(S165="À COMMANDER",S165="RUPTURE"),MAX(1,O165-M165-N(P165)),0))</f>
        <v/>
      </c>
      <c r="U165" s="68">
        <f>IF($A165="","",SUMIFS('Mouvements stock'!$F$5:$F$3004,'Mouvements stock'!$D$5:$D$3004,$A165,'Mouvements stock'!$C$5:$C$3004,"Sortie",'Mouvements stock'!$B$5:$B$3004,"&gt;="&amp;'Paramètres'!$AA$6,'Mouvements stock'!$B$5:$B$3004,"&lt;"&amp;('Paramètres'!$AA$7+1)))</f>
        <v/>
      </c>
      <c r="V165" s="78">
        <f>IF($A165="","",IF(COUNTIF('Mouvements stock'!$D$5:$D$3004,$A165)=0,"",_xlfn.MAXIFS('Mouvements stock'!$B$5:$B$3004,'Mouvements stock'!$D$5:$D$3004,$A165)))</f>
        <v/>
      </c>
    </row>
    <row r="166">
      <c r="A166" s="7" t="n"/>
      <c r="B166" s="7" t="n"/>
      <c r="C166" s="7" t="n"/>
      <c r="D166" s="7" t="n"/>
      <c r="E166" s="7" t="n"/>
      <c r="F166" s="7" t="n"/>
      <c r="G166" s="7" t="n"/>
      <c r="H166" s="7" t="n"/>
      <c r="I166" s="80" t="n"/>
      <c r="J166" s="67" t="n"/>
      <c r="K166" s="68">
        <f>IF($A166="","",SUMIFS('Mouvements stock'!$F$5:$F$3004,'Mouvements stock'!$D$5:$D$3004,$A166,'Mouvements stock'!$C$5:$C$3004,"Entrée")+SUMIFS('Mouvements stock'!$F$5:$F$3004,'Mouvements stock'!$D$5:$D$3004,$A166,'Mouvements stock'!$C$5:$C$3004,"Retour"))</f>
        <v/>
      </c>
      <c r="L166" s="68">
        <f>IF($A166="","",SUMIFS('Mouvements stock'!$F$5:$F$3004,'Mouvements stock'!$D$5:$D$3004,$A166,'Mouvements stock'!$C$5:$C$3004,"Sortie"))</f>
        <v/>
      </c>
      <c r="M166" s="79">
        <f>IF($A166="","",N(J166)+N(K166)-N(L166))</f>
        <v/>
      </c>
      <c r="N166" s="67" t="n"/>
      <c r="O166" s="67" t="n"/>
      <c r="P166" s="67" t="n"/>
      <c r="Q166" s="67" t="n"/>
      <c r="R166" s="70">
        <f>IF($A166="","",MAX(0,M166)*N(I166))</f>
        <v/>
      </c>
      <c r="S166" s="9">
        <f>IF($A166="","",IF(M166&lt;=0,IF(N(P166)&gt;0,"Rupture - en cde","RUPTURE"),IF(M166+N(P166)&lt;=N166,"À COMMANDER",IF(M166&lt;=N166,"Commande en cours","OK"))))</f>
        <v/>
      </c>
      <c r="T166" s="68">
        <f>IF($A166="","",IF(OR(S166="À COMMANDER",S166="RUPTURE"),MAX(1,O166-M166-N(P166)),0))</f>
        <v/>
      </c>
      <c r="U166" s="68">
        <f>IF($A166="","",SUMIFS('Mouvements stock'!$F$5:$F$3004,'Mouvements stock'!$D$5:$D$3004,$A166,'Mouvements stock'!$C$5:$C$3004,"Sortie",'Mouvements stock'!$B$5:$B$3004,"&gt;="&amp;'Paramètres'!$AA$6,'Mouvements stock'!$B$5:$B$3004,"&lt;"&amp;('Paramètres'!$AA$7+1)))</f>
        <v/>
      </c>
      <c r="V166" s="78">
        <f>IF($A166="","",IF(COUNTIF('Mouvements stock'!$D$5:$D$3004,$A166)=0,"",_xlfn.MAXIFS('Mouvements stock'!$B$5:$B$3004,'Mouvements stock'!$D$5:$D$3004,$A166)))</f>
        <v/>
      </c>
    </row>
    <row r="167">
      <c r="A167" s="7" t="n"/>
      <c r="B167" s="7" t="n"/>
      <c r="C167" s="7" t="n"/>
      <c r="D167" s="7" t="n"/>
      <c r="E167" s="7" t="n"/>
      <c r="F167" s="7" t="n"/>
      <c r="G167" s="7" t="n"/>
      <c r="H167" s="7" t="n"/>
      <c r="I167" s="80" t="n"/>
      <c r="J167" s="67" t="n"/>
      <c r="K167" s="68">
        <f>IF($A167="","",SUMIFS('Mouvements stock'!$F$5:$F$3004,'Mouvements stock'!$D$5:$D$3004,$A167,'Mouvements stock'!$C$5:$C$3004,"Entrée")+SUMIFS('Mouvements stock'!$F$5:$F$3004,'Mouvements stock'!$D$5:$D$3004,$A167,'Mouvements stock'!$C$5:$C$3004,"Retour"))</f>
        <v/>
      </c>
      <c r="L167" s="68">
        <f>IF($A167="","",SUMIFS('Mouvements stock'!$F$5:$F$3004,'Mouvements stock'!$D$5:$D$3004,$A167,'Mouvements stock'!$C$5:$C$3004,"Sortie"))</f>
        <v/>
      </c>
      <c r="M167" s="79">
        <f>IF($A167="","",N(J167)+N(K167)-N(L167))</f>
        <v/>
      </c>
      <c r="N167" s="67" t="n"/>
      <c r="O167" s="67" t="n"/>
      <c r="P167" s="67" t="n"/>
      <c r="Q167" s="67" t="n"/>
      <c r="R167" s="70">
        <f>IF($A167="","",MAX(0,M167)*N(I167))</f>
        <v/>
      </c>
      <c r="S167" s="9">
        <f>IF($A167="","",IF(M167&lt;=0,IF(N(P167)&gt;0,"Rupture - en cde","RUPTURE"),IF(M167+N(P167)&lt;=N167,"À COMMANDER",IF(M167&lt;=N167,"Commande en cours","OK"))))</f>
        <v/>
      </c>
      <c r="T167" s="68">
        <f>IF($A167="","",IF(OR(S167="À COMMANDER",S167="RUPTURE"),MAX(1,O167-M167-N(P167)),0))</f>
        <v/>
      </c>
      <c r="U167" s="68">
        <f>IF($A167="","",SUMIFS('Mouvements stock'!$F$5:$F$3004,'Mouvements stock'!$D$5:$D$3004,$A167,'Mouvements stock'!$C$5:$C$3004,"Sortie",'Mouvements stock'!$B$5:$B$3004,"&gt;="&amp;'Paramètres'!$AA$6,'Mouvements stock'!$B$5:$B$3004,"&lt;"&amp;('Paramètres'!$AA$7+1)))</f>
        <v/>
      </c>
      <c r="V167" s="78">
        <f>IF($A167="","",IF(COUNTIF('Mouvements stock'!$D$5:$D$3004,$A167)=0,"",_xlfn.MAXIFS('Mouvements stock'!$B$5:$B$3004,'Mouvements stock'!$D$5:$D$3004,$A167)))</f>
        <v/>
      </c>
    </row>
    <row r="168">
      <c r="A168" s="7" t="n"/>
      <c r="B168" s="7" t="n"/>
      <c r="C168" s="7" t="n"/>
      <c r="D168" s="7" t="n"/>
      <c r="E168" s="7" t="n"/>
      <c r="F168" s="7" t="n"/>
      <c r="G168" s="7" t="n"/>
      <c r="H168" s="7" t="n"/>
      <c r="I168" s="80" t="n"/>
      <c r="J168" s="67" t="n"/>
      <c r="K168" s="68">
        <f>IF($A168="","",SUMIFS('Mouvements stock'!$F$5:$F$3004,'Mouvements stock'!$D$5:$D$3004,$A168,'Mouvements stock'!$C$5:$C$3004,"Entrée")+SUMIFS('Mouvements stock'!$F$5:$F$3004,'Mouvements stock'!$D$5:$D$3004,$A168,'Mouvements stock'!$C$5:$C$3004,"Retour"))</f>
        <v/>
      </c>
      <c r="L168" s="68">
        <f>IF($A168="","",SUMIFS('Mouvements stock'!$F$5:$F$3004,'Mouvements stock'!$D$5:$D$3004,$A168,'Mouvements stock'!$C$5:$C$3004,"Sortie"))</f>
        <v/>
      </c>
      <c r="M168" s="79">
        <f>IF($A168="","",N(J168)+N(K168)-N(L168))</f>
        <v/>
      </c>
      <c r="N168" s="67" t="n"/>
      <c r="O168" s="67" t="n"/>
      <c r="P168" s="67" t="n"/>
      <c r="Q168" s="67" t="n"/>
      <c r="R168" s="70">
        <f>IF($A168="","",MAX(0,M168)*N(I168))</f>
        <v/>
      </c>
      <c r="S168" s="9">
        <f>IF($A168="","",IF(M168&lt;=0,IF(N(P168)&gt;0,"Rupture - en cde","RUPTURE"),IF(M168+N(P168)&lt;=N168,"À COMMANDER",IF(M168&lt;=N168,"Commande en cours","OK"))))</f>
        <v/>
      </c>
      <c r="T168" s="68">
        <f>IF($A168="","",IF(OR(S168="À COMMANDER",S168="RUPTURE"),MAX(1,O168-M168-N(P168)),0))</f>
        <v/>
      </c>
      <c r="U168" s="68">
        <f>IF($A168="","",SUMIFS('Mouvements stock'!$F$5:$F$3004,'Mouvements stock'!$D$5:$D$3004,$A168,'Mouvements stock'!$C$5:$C$3004,"Sortie",'Mouvements stock'!$B$5:$B$3004,"&gt;="&amp;'Paramètres'!$AA$6,'Mouvements stock'!$B$5:$B$3004,"&lt;"&amp;('Paramètres'!$AA$7+1)))</f>
        <v/>
      </c>
      <c r="V168" s="78">
        <f>IF($A168="","",IF(COUNTIF('Mouvements stock'!$D$5:$D$3004,$A168)=0,"",_xlfn.MAXIFS('Mouvements stock'!$B$5:$B$3004,'Mouvements stock'!$D$5:$D$3004,$A168)))</f>
        <v/>
      </c>
    </row>
    <row r="169">
      <c r="A169" s="7" t="n"/>
      <c r="B169" s="7" t="n"/>
      <c r="C169" s="7" t="n"/>
      <c r="D169" s="7" t="n"/>
      <c r="E169" s="7" t="n"/>
      <c r="F169" s="7" t="n"/>
      <c r="G169" s="7" t="n"/>
      <c r="H169" s="7" t="n"/>
      <c r="I169" s="80" t="n"/>
      <c r="J169" s="67" t="n"/>
      <c r="K169" s="68">
        <f>IF($A169="","",SUMIFS('Mouvements stock'!$F$5:$F$3004,'Mouvements stock'!$D$5:$D$3004,$A169,'Mouvements stock'!$C$5:$C$3004,"Entrée")+SUMIFS('Mouvements stock'!$F$5:$F$3004,'Mouvements stock'!$D$5:$D$3004,$A169,'Mouvements stock'!$C$5:$C$3004,"Retour"))</f>
        <v/>
      </c>
      <c r="L169" s="68">
        <f>IF($A169="","",SUMIFS('Mouvements stock'!$F$5:$F$3004,'Mouvements stock'!$D$5:$D$3004,$A169,'Mouvements stock'!$C$5:$C$3004,"Sortie"))</f>
        <v/>
      </c>
      <c r="M169" s="79">
        <f>IF($A169="","",N(J169)+N(K169)-N(L169))</f>
        <v/>
      </c>
      <c r="N169" s="67" t="n"/>
      <c r="O169" s="67" t="n"/>
      <c r="P169" s="67" t="n"/>
      <c r="Q169" s="67" t="n"/>
      <c r="R169" s="70">
        <f>IF($A169="","",MAX(0,M169)*N(I169))</f>
        <v/>
      </c>
      <c r="S169" s="9">
        <f>IF($A169="","",IF(M169&lt;=0,IF(N(P169)&gt;0,"Rupture - en cde","RUPTURE"),IF(M169+N(P169)&lt;=N169,"À COMMANDER",IF(M169&lt;=N169,"Commande en cours","OK"))))</f>
        <v/>
      </c>
      <c r="T169" s="68">
        <f>IF($A169="","",IF(OR(S169="À COMMANDER",S169="RUPTURE"),MAX(1,O169-M169-N(P169)),0))</f>
        <v/>
      </c>
      <c r="U169" s="68">
        <f>IF($A169="","",SUMIFS('Mouvements stock'!$F$5:$F$3004,'Mouvements stock'!$D$5:$D$3004,$A169,'Mouvements stock'!$C$5:$C$3004,"Sortie",'Mouvements stock'!$B$5:$B$3004,"&gt;="&amp;'Paramètres'!$AA$6,'Mouvements stock'!$B$5:$B$3004,"&lt;"&amp;('Paramètres'!$AA$7+1)))</f>
        <v/>
      </c>
      <c r="V169" s="78">
        <f>IF($A169="","",IF(COUNTIF('Mouvements stock'!$D$5:$D$3004,$A169)=0,"",_xlfn.MAXIFS('Mouvements stock'!$B$5:$B$3004,'Mouvements stock'!$D$5:$D$3004,$A169)))</f>
        <v/>
      </c>
    </row>
    <row r="170">
      <c r="A170" s="7" t="n"/>
      <c r="B170" s="7" t="n"/>
      <c r="C170" s="7" t="n"/>
      <c r="D170" s="7" t="n"/>
      <c r="E170" s="7" t="n"/>
      <c r="F170" s="7" t="n"/>
      <c r="G170" s="7" t="n"/>
      <c r="H170" s="7" t="n"/>
      <c r="I170" s="80" t="n"/>
      <c r="J170" s="67" t="n"/>
      <c r="K170" s="68">
        <f>IF($A170="","",SUMIFS('Mouvements stock'!$F$5:$F$3004,'Mouvements stock'!$D$5:$D$3004,$A170,'Mouvements stock'!$C$5:$C$3004,"Entrée")+SUMIFS('Mouvements stock'!$F$5:$F$3004,'Mouvements stock'!$D$5:$D$3004,$A170,'Mouvements stock'!$C$5:$C$3004,"Retour"))</f>
        <v/>
      </c>
      <c r="L170" s="68">
        <f>IF($A170="","",SUMIFS('Mouvements stock'!$F$5:$F$3004,'Mouvements stock'!$D$5:$D$3004,$A170,'Mouvements stock'!$C$5:$C$3004,"Sortie"))</f>
        <v/>
      </c>
      <c r="M170" s="79">
        <f>IF($A170="","",N(J170)+N(K170)-N(L170))</f>
        <v/>
      </c>
      <c r="N170" s="67" t="n"/>
      <c r="O170" s="67" t="n"/>
      <c r="P170" s="67" t="n"/>
      <c r="Q170" s="67" t="n"/>
      <c r="R170" s="70">
        <f>IF($A170="","",MAX(0,M170)*N(I170))</f>
        <v/>
      </c>
      <c r="S170" s="9">
        <f>IF($A170="","",IF(M170&lt;=0,IF(N(P170)&gt;0,"Rupture - en cde","RUPTURE"),IF(M170+N(P170)&lt;=N170,"À COMMANDER",IF(M170&lt;=N170,"Commande en cours","OK"))))</f>
        <v/>
      </c>
      <c r="T170" s="68">
        <f>IF($A170="","",IF(OR(S170="À COMMANDER",S170="RUPTURE"),MAX(1,O170-M170-N(P170)),0))</f>
        <v/>
      </c>
      <c r="U170" s="68">
        <f>IF($A170="","",SUMIFS('Mouvements stock'!$F$5:$F$3004,'Mouvements stock'!$D$5:$D$3004,$A170,'Mouvements stock'!$C$5:$C$3004,"Sortie",'Mouvements stock'!$B$5:$B$3004,"&gt;="&amp;'Paramètres'!$AA$6,'Mouvements stock'!$B$5:$B$3004,"&lt;"&amp;('Paramètres'!$AA$7+1)))</f>
        <v/>
      </c>
      <c r="V170" s="78">
        <f>IF($A170="","",IF(COUNTIF('Mouvements stock'!$D$5:$D$3004,$A170)=0,"",_xlfn.MAXIFS('Mouvements stock'!$B$5:$B$3004,'Mouvements stock'!$D$5:$D$3004,$A170)))</f>
        <v/>
      </c>
    </row>
    <row r="171">
      <c r="A171" s="7" t="n"/>
      <c r="B171" s="7" t="n"/>
      <c r="C171" s="7" t="n"/>
      <c r="D171" s="7" t="n"/>
      <c r="E171" s="7" t="n"/>
      <c r="F171" s="7" t="n"/>
      <c r="G171" s="7" t="n"/>
      <c r="H171" s="7" t="n"/>
      <c r="I171" s="80" t="n"/>
      <c r="J171" s="67" t="n"/>
      <c r="K171" s="68">
        <f>IF($A171="","",SUMIFS('Mouvements stock'!$F$5:$F$3004,'Mouvements stock'!$D$5:$D$3004,$A171,'Mouvements stock'!$C$5:$C$3004,"Entrée")+SUMIFS('Mouvements stock'!$F$5:$F$3004,'Mouvements stock'!$D$5:$D$3004,$A171,'Mouvements stock'!$C$5:$C$3004,"Retour"))</f>
        <v/>
      </c>
      <c r="L171" s="68">
        <f>IF($A171="","",SUMIFS('Mouvements stock'!$F$5:$F$3004,'Mouvements stock'!$D$5:$D$3004,$A171,'Mouvements stock'!$C$5:$C$3004,"Sortie"))</f>
        <v/>
      </c>
      <c r="M171" s="79">
        <f>IF($A171="","",N(J171)+N(K171)-N(L171))</f>
        <v/>
      </c>
      <c r="N171" s="67" t="n"/>
      <c r="O171" s="67" t="n"/>
      <c r="P171" s="67" t="n"/>
      <c r="Q171" s="67" t="n"/>
      <c r="R171" s="70">
        <f>IF($A171="","",MAX(0,M171)*N(I171))</f>
        <v/>
      </c>
      <c r="S171" s="9">
        <f>IF($A171="","",IF(M171&lt;=0,IF(N(P171)&gt;0,"Rupture - en cde","RUPTURE"),IF(M171+N(P171)&lt;=N171,"À COMMANDER",IF(M171&lt;=N171,"Commande en cours","OK"))))</f>
        <v/>
      </c>
      <c r="T171" s="68">
        <f>IF($A171="","",IF(OR(S171="À COMMANDER",S171="RUPTURE"),MAX(1,O171-M171-N(P171)),0))</f>
        <v/>
      </c>
      <c r="U171" s="68">
        <f>IF($A171="","",SUMIFS('Mouvements stock'!$F$5:$F$3004,'Mouvements stock'!$D$5:$D$3004,$A171,'Mouvements stock'!$C$5:$C$3004,"Sortie",'Mouvements stock'!$B$5:$B$3004,"&gt;="&amp;'Paramètres'!$AA$6,'Mouvements stock'!$B$5:$B$3004,"&lt;"&amp;('Paramètres'!$AA$7+1)))</f>
        <v/>
      </c>
      <c r="V171" s="78">
        <f>IF($A171="","",IF(COUNTIF('Mouvements stock'!$D$5:$D$3004,$A171)=0,"",_xlfn.MAXIFS('Mouvements stock'!$B$5:$B$3004,'Mouvements stock'!$D$5:$D$3004,$A171)))</f>
        <v/>
      </c>
    </row>
    <row r="172">
      <c r="A172" s="7" t="n"/>
      <c r="B172" s="7" t="n"/>
      <c r="C172" s="7" t="n"/>
      <c r="D172" s="7" t="n"/>
      <c r="E172" s="7" t="n"/>
      <c r="F172" s="7" t="n"/>
      <c r="G172" s="7" t="n"/>
      <c r="H172" s="7" t="n"/>
      <c r="I172" s="80" t="n"/>
      <c r="J172" s="67" t="n"/>
      <c r="K172" s="68">
        <f>IF($A172="","",SUMIFS('Mouvements stock'!$F$5:$F$3004,'Mouvements stock'!$D$5:$D$3004,$A172,'Mouvements stock'!$C$5:$C$3004,"Entrée")+SUMIFS('Mouvements stock'!$F$5:$F$3004,'Mouvements stock'!$D$5:$D$3004,$A172,'Mouvements stock'!$C$5:$C$3004,"Retour"))</f>
        <v/>
      </c>
      <c r="L172" s="68">
        <f>IF($A172="","",SUMIFS('Mouvements stock'!$F$5:$F$3004,'Mouvements stock'!$D$5:$D$3004,$A172,'Mouvements stock'!$C$5:$C$3004,"Sortie"))</f>
        <v/>
      </c>
      <c r="M172" s="79">
        <f>IF($A172="","",N(J172)+N(K172)-N(L172))</f>
        <v/>
      </c>
      <c r="N172" s="67" t="n"/>
      <c r="O172" s="67" t="n"/>
      <c r="P172" s="67" t="n"/>
      <c r="Q172" s="67" t="n"/>
      <c r="R172" s="70">
        <f>IF($A172="","",MAX(0,M172)*N(I172))</f>
        <v/>
      </c>
      <c r="S172" s="9">
        <f>IF($A172="","",IF(M172&lt;=0,IF(N(P172)&gt;0,"Rupture - en cde","RUPTURE"),IF(M172+N(P172)&lt;=N172,"À COMMANDER",IF(M172&lt;=N172,"Commande en cours","OK"))))</f>
        <v/>
      </c>
      <c r="T172" s="68">
        <f>IF($A172="","",IF(OR(S172="À COMMANDER",S172="RUPTURE"),MAX(1,O172-M172-N(P172)),0))</f>
        <v/>
      </c>
      <c r="U172" s="68">
        <f>IF($A172="","",SUMIFS('Mouvements stock'!$F$5:$F$3004,'Mouvements stock'!$D$5:$D$3004,$A172,'Mouvements stock'!$C$5:$C$3004,"Sortie",'Mouvements stock'!$B$5:$B$3004,"&gt;="&amp;'Paramètres'!$AA$6,'Mouvements stock'!$B$5:$B$3004,"&lt;"&amp;('Paramètres'!$AA$7+1)))</f>
        <v/>
      </c>
      <c r="V172" s="78">
        <f>IF($A172="","",IF(COUNTIF('Mouvements stock'!$D$5:$D$3004,$A172)=0,"",_xlfn.MAXIFS('Mouvements stock'!$B$5:$B$3004,'Mouvements stock'!$D$5:$D$3004,$A172)))</f>
        <v/>
      </c>
    </row>
    <row r="173">
      <c r="A173" s="7" t="n"/>
      <c r="B173" s="7" t="n"/>
      <c r="C173" s="7" t="n"/>
      <c r="D173" s="7" t="n"/>
      <c r="E173" s="7" t="n"/>
      <c r="F173" s="7" t="n"/>
      <c r="G173" s="7" t="n"/>
      <c r="H173" s="7" t="n"/>
      <c r="I173" s="80" t="n"/>
      <c r="J173" s="67" t="n"/>
      <c r="K173" s="68">
        <f>IF($A173="","",SUMIFS('Mouvements stock'!$F$5:$F$3004,'Mouvements stock'!$D$5:$D$3004,$A173,'Mouvements stock'!$C$5:$C$3004,"Entrée")+SUMIFS('Mouvements stock'!$F$5:$F$3004,'Mouvements stock'!$D$5:$D$3004,$A173,'Mouvements stock'!$C$5:$C$3004,"Retour"))</f>
        <v/>
      </c>
      <c r="L173" s="68">
        <f>IF($A173="","",SUMIFS('Mouvements stock'!$F$5:$F$3004,'Mouvements stock'!$D$5:$D$3004,$A173,'Mouvements stock'!$C$5:$C$3004,"Sortie"))</f>
        <v/>
      </c>
      <c r="M173" s="79">
        <f>IF($A173="","",N(J173)+N(K173)-N(L173))</f>
        <v/>
      </c>
      <c r="N173" s="67" t="n"/>
      <c r="O173" s="67" t="n"/>
      <c r="P173" s="67" t="n"/>
      <c r="Q173" s="67" t="n"/>
      <c r="R173" s="70">
        <f>IF($A173="","",MAX(0,M173)*N(I173))</f>
        <v/>
      </c>
      <c r="S173" s="9">
        <f>IF($A173="","",IF(M173&lt;=0,IF(N(P173)&gt;0,"Rupture - en cde","RUPTURE"),IF(M173+N(P173)&lt;=N173,"À COMMANDER",IF(M173&lt;=N173,"Commande en cours","OK"))))</f>
        <v/>
      </c>
      <c r="T173" s="68">
        <f>IF($A173="","",IF(OR(S173="À COMMANDER",S173="RUPTURE"),MAX(1,O173-M173-N(P173)),0))</f>
        <v/>
      </c>
      <c r="U173" s="68">
        <f>IF($A173="","",SUMIFS('Mouvements stock'!$F$5:$F$3004,'Mouvements stock'!$D$5:$D$3004,$A173,'Mouvements stock'!$C$5:$C$3004,"Sortie",'Mouvements stock'!$B$5:$B$3004,"&gt;="&amp;'Paramètres'!$AA$6,'Mouvements stock'!$B$5:$B$3004,"&lt;"&amp;('Paramètres'!$AA$7+1)))</f>
        <v/>
      </c>
      <c r="V173" s="78">
        <f>IF($A173="","",IF(COUNTIF('Mouvements stock'!$D$5:$D$3004,$A173)=0,"",_xlfn.MAXIFS('Mouvements stock'!$B$5:$B$3004,'Mouvements stock'!$D$5:$D$3004,$A173)))</f>
        <v/>
      </c>
    </row>
    <row r="174">
      <c r="A174" s="7" t="n"/>
      <c r="B174" s="7" t="n"/>
      <c r="C174" s="7" t="n"/>
      <c r="D174" s="7" t="n"/>
      <c r="E174" s="7" t="n"/>
      <c r="F174" s="7" t="n"/>
      <c r="G174" s="7" t="n"/>
      <c r="H174" s="7" t="n"/>
      <c r="I174" s="80" t="n"/>
      <c r="J174" s="67" t="n"/>
      <c r="K174" s="68">
        <f>IF($A174="","",SUMIFS('Mouvements stock'!$F$5:$F$3004,'Mouvements stock'!$D$5:$D$3004,$A174,'Mouvements stock'!$C$5:$C$3004,"Entrée")+SUMIFS('Mouvements stock'!$F$5:$F$3004,'Mouvements stock'!$D$5:$D$3004,$A174,'Mouvements stock'!$C$5:$C$3004,"Retour"))</f>
        <v/>
      </c>
      <c r="L174" s="68">
        <f>IF($A174="","",SUMIFS('Mouvements stock'!$F$5:$F$3004,'Mouvements stock'!$D$5:$D$3004,$A174,'Mouvements stock'!$C$5:$C$3004,"Sortie"))</f>
        <v/>
      </c>
      <c r="M174" s="79">
        <f>IF($A174="","",N(J174)+N(K174)-N(L174))</f>
        <v/>
      </c>
      <c r="N174" s="67" t="n"/>
      <c r="O174" s="67" t="n"/>
      <c r="P174" s="67" t="n"/>
      <c r="Q174" s="67" t="n"/>
      <c r="R174" s="70">
        <f>IF($A174="","",MAX(0,M174)*N(I174))</f>
        <v/>
      </c>
      <c r="S174" s="9">
        <f>IF($A174="","",IF(M174&lt;=0,IF(N(P174)&gt;0,"Rupture - en cde","RUPTURE"),IF(M174+N(P174)&lt;=N174,"À COMMANDER",IF(M174&lt;=N174,"Commande en cours","OK"))))</f>
        <v/>
      </c>
      <c r="T174" s="68">
        <f>IF($A174="","",IF(OR(S174="À COMMANDER",S174="RUPTURE"),MAX(1,O174-M174-N(P174)),0))</f>
        <v/>
      </c>
      <c r="U174" s="68">
        <f>IF($A174="","",SUMIFS('Mouvements stock'!$F$5:$F$3004,'Mouvements stock'!$D$5:$D$3004,$A174,'Mouvements stock'!$C$5:$C$3004,"Sortie",'Mouvements stock'!$B$5:$B$3004,"&gt;="&amp;'Paramètres'!$AA$6,'Mouvements stock'!$B$5:$B$3004,"&lt;"&amp;('Paramètres'!$AA$7+1)))</f>
        <v/>
      </c>
      <c r="V174" s="78">
        <f>IF($A174="","",IF(COUNTIF('Mouvements stock'!$D$5:$D$3004,$A174)=0,"",_xlfn.MAXIFS('Mouvements stock'!$B$5:$B$3004,'Mouvements stock'!$D$5:$D$3004,$A174)))</f>
        <v/>
      </c>
    </row>
    <row r="175">
      <c r="A175" s="7" t="n"/>
      <c r="B175" s="7" t="n"/>
      <c r="C175" s="7" t="n"/>
      <c r="D175" s="7" t="n"/>
      <c r="E175" s="7" t="n"/>
      <c r="F175" s="7" t="n"/>
      <c r="G175" s="7" t="n"/>
      <c r="H175" s="7" t="n"/>
      <c r="I175" s="80" t="n"/>
      <c r="J175" s="67" t="n"/>
      <c r="K175" s="68">
        <f>IF($A175="","",SUMIFS('Mouvements stock'!$F$5:$F$3004,'Mouvements stock'!$D$5:$D$3004,$A175,'Mouvements stock'!$C$5:$C$3004,"Entrée")+SUMIFS('Mouvements stock'!$F$5:$F$3004,'Mouvements stock'!$D$5:$D$3004,$A175,'Mouvements stock'!$C$5:$C$3004,"Retour"))</f>
        <v/>
      </c>
      <c r="L175" s="68">
        <f>IF($A175="","",SUMIFS('Mouvements stock'!$F$5:$F$3004,'Mouvements stock'!$D$5:$D$3004,$A175,'Mouvements stock'!$C$5:$C$3004,"Sortie"))</f>
        <v/>
      </c>
      <c r="M175" s="79">
        <f>IF($A175="","",N(J175)+N(K175)-N(L175))</f>
        <v/>
      </c>
      <c r="N175" s="67" t="n"/>
      <c r="O175" s="67" t="n"/>
      <c r="P175" s="67" t="n"/>
      <c r="Q175" s="67" t="n"/>
      <c r="R175" s="70">
        <f>IF($A175="","",MAX(0,M175)*N(I175))</f>
        <v/>
      </c>
      <c r="S175" s="9">
        <f>IF($A175="","",IF(M175&lt;=0,IF(N(P175)&gt;0,"Rupture - en cde","RUPTURE"),IF(M175+N(P175)&lt;=N175,"À COMMANDER",IF(M175&lt;=N175,"Commande en cours","OK"))))</f>
        <v/>
      </c>
      <c r="T175" s="68">
        <f>IF($A175="","",IF(OR(S175="À COMMANDER",S175="RUPTURE"),MAX(1,O175-M175-N(P175)),0))</f>
        <v/>
      </c>
      <c r="U175" s="68">
        <f>IF($A175="","",SUMIFS('Mouvements stock'!$F$5:$F$3004,'Mouvements stock'!$D$5:$D$3004,$A175,'Mouvements stock'!$C$5:$C$3004,"Sortie",'Mouvements stock'!$B$5:$B$3004,"&gt;="&amp;'Paramètres'!$AA$6,'Mouvements stock'!$B$5:$B$3004,"&lt;"&amp;('Paramètres'!$AA$7+1)))</f>
        <v/>
      </c>
      <c r="V175" s="78">
        <f>IF($A175="","",IF(COUNTIF('Mouvements stock'!$D$5:$D$3004,$A175)=0,"",_xlfn.MAXIFS('Mouvements stock'!$B$5:$B$3004,'Mouvements stock'!$D$5:$D$3004,$A175)))</f>
        <v/>
      </c>
    </row>
    <row r="176">
      <c r="A176" s="7" t="n"/>
      <c r="B176" s="7" t="n"/>
      <c r="C176" s="7" t="n"/>
      <c r="D176" s="7" t="n"/>
      <c r="E176" s="7" t="n"/>
      <c r="F176" s="7" t="n"/>
      <c r="G176" s="7" t="n"/>
      <c r="H176" s="7" t="n"/>
      <c r="I176" s="80" t="n"/>
      <c r="J176" s="67" t="n"/>
      <c r="K176" s="68">
        <f>IF($A176="","",SUMIFS('Mouvements stock'!$F$5:$F$3004,'Mouvements stock'!$D$5:$D$3004,$A176,'Mouvements stock'!$C$5:$C$3004,"Entrée")+SUMIFS('Mouvements stock'!$F$5:$F$3004,'Mouvements stock'!$D$5:$D$3004,$A176,'Mouvements stock'!$C$5:$C$3004,"Retour"))</f>
        <v/>
      </c>
      <c r="L176" s="68">
        <f>IF($A176="","",SUMIFS('Mouvements stock'!$F$5:$F$3004,'Mouvements stock'!$D$5:$D$3004,$A176,'Mouvements stock'!$C$5:$C$3004,"Sortie"))</f>
        <v/>
      </c>
      <c r="M176" s="79">
        <f>IF($A176="","",N(J176)+N(K176)-N(L176))</f>
        <v/>
      </c>
      <c r="N176" s="67" t="n"/>
      <c r="O176" s="67" t="n"/>
      <c r="P176" s="67" t="n"/>
      <c r="Q176" s="67" t="n"/>
      <c r="R176" s="70">
        <f>IF($A176="","",MAX(0,M176)*N(I176))</f>
        <v/>
      </c>
      <c r="S176" s="9">
        <f>IF($A176="","",IF(M176&lt;=0,IF(N(P176)&gt;0,"Rupture - en cde","RUPTURE"),IF(M176+N(P176)&lt;=N176,"À COMMANDER",IF(M176&lt;=N176,"Commande en cours","OK"))))</f>
        <v/>
      </c>
      <c r="T176" s="68">
        <f>IF($A176="","",IF(OR(S176="À COMMANDER",S176="RUPTURE"),MAX(1,O176-M176-N(P176)),0))</f>
        <v/>
      </c>
      <c r="U176" s="68">
        <f>IF($A176="","",SUMIFS('Mouvements stock'!$F$5:$F$3004,'Mouvements stock'!$D$5:$D$3004,$A176,'Mouvements stock'!$C$5:$C$3004,"Sortie",'Mouvements stock'!$B$5:$B$3004,"&gt;="&amp;'Paramètres'!$AA$6,'Mouvements stock'!$B$5:$B$3004,"&lt;"&amp;('Paramètres'!$AA$7+1)))</f>
        <v/>
      </c>
      <c r="V176" s="78">
        <f>IF($A176="","",IF(COUNTIF('Mouvements stock'!$D$5:$D$3004,$A176)=0,"",_xlfn.MAXIFS('Mouvements stock'!$B$5:$B$3004,'Mouvements stock'!$D$5:$D$3004,$A176)))</f>
        <v/>
      </c>
    </row>
    <row r="177">
      <c r="A177" s="7" t="n"/>
      <c r="B177" s="7" t="n"/>
      <c r="C177" s="7" t="n"/>
      <c r="D177" s="7" t="n"/>
      <c r="E177" s="7" t="n"/>
      <c r="F177" s="7" t="n"/>
      <c r="G177" s="7" t="n"/>
      <c r="H177" s="7" t="n"/>
      <c r="I177" s="80" t="n"/>
      <c r="J177" s="67" t="n"/>
      <c r="K177" s="68">
        <f>IF($A177="","",SUMIFS('Mouvements stock'!$F$5:$F$3004,'Mouvements stock'!$D$5:$D$3004,$A177,'Mouvements stock'!$C$5:$C$3004,"Entrée")+SUMIFS('Mouvements stock'!$F$5:$F$3004,'Mouvements stock'!$D$5:$D$3004,$A177,'Mouvements stock'!$C$5:$C$3004,"Retour"))</f>
        <v/>
      </c>
      <c r="L177" s="68">
        <f>IF($A177="","",SUMIFS('Mouvements stock'!$F$5:$F$3004,'Mouvements stock'!$D$5:$D$3004,$A177,'Mouvements stock'!$C$5:$C$3004,"Sortie"))</f>
        <v/>
      </c>
      <c r="M177" s="79">
        <f>IF($A177="","",N(J177)+N(K177)-N(L177))</f>
        <v/>
      </c>
      <c r="N177" s="67" t="n"/>
      <c r="O177" s="67" t="n"/>
      <c r="P177" s="67" t="n"/>
      <c r="Q177" s="67" t="n"/>
      <c r="R177" s="70">
        <f>IF($A177="","",MAX(0,M177)*N(I177))</f>
        <v/>
      </c>
      <c r="S177" s="9">
        <f>IF($A177="","",IF(M177&lt;=0,IF(N(P177)&gt;0,"Rupture - en cde","RUPTURE"),IF(M177+N(P177)&lt;=N177,"À COMMANDER",IF(M177&lt;=N177,"Commande en cours","OK"))))</f>
        <v/>
      </c>
      <c r="T177" s="68">
        <f>IF($A177="","",IF(OR(S177="À COMMANDER",S177="RUPTURE"),MAX(1,O177-M177-N(P177)),0))</f>
        <v/>
      </c>
      <c r="U177" s="68">
        <f>IF($A177="","",SUMIFS('Mouvements stock'!$F$5:$F$3004,'Mouvements stock'!$D$5:$D$3004,$A177,'Mouvements stock'!$C$5:$C$3004,"Sortie",'Mouvements stock'!$B$5:$B$3004,"&gt;="&amp;'Paramètres'!$AA$6,'Mouvements stock'!$B$5:$B$3004,"&lt;"&amp;('Paramètres'!$AA$7+1)))</f>
        <v/>
      </c>
      <c r="V177" s="78">
        <f>IF($A177="","",IF(COUNTIF('Mouvements stock'!$D$5:$D$3004,$A177)=0,"",_xlfn.MAXIFS('Mouvements stock'!$B$5:$B$3004,'Mouvements stock'!$D$5:$D$3004,$A177)))</f>
        <v/>
      </c>
    </row>
    <row r="178">
      <c r="A178" s="7" t="n"/>
      <c r="B178" s="7" t="n"/>
      <c r="C178" s="7" t="n"/>
      <c r="D178" s="7" t="n"/>
      <c r="E178" s="7" t="n"/>
      <c r="F178" s="7" t="n"/>
      <c r="G178" s="7" t="n"/>
      <c r="H178" s="7" t="n"/>
      <c r="I178" s="80" t="n"/>
      <c r="J178" s="67" t="n"/>
      <c r="K178" s="68">
        <f>IF($A178="","",SUMIFS('Mouvements stock'!$F$5:$F$3004,'Mouvements stock'!$D$5:$D$3004,$A178,'Mouvements stock'!$C$5:$C$3004,"Entrée")+SUMIFS('Mouvements stock'!$F$5:$F$3004,'Mouvements stock'!$D$5:$D$3004,$A178,'Mouvements stock'!$C$5:$C$3004,"Retour"))</f>
        <v/>
      </c>
      <c r="L178" s="68">
        <f>IF($A178="","",SUMIFS('Mouvements stock'!$F$5:$F$3004,'Mouvements stock'!$D$5:$D$3004,$A178,'Mouvements stock'!$C$5:$C$3004,"Sortie"))</f>
        <v/>
      </c>
      <c r="M178" s="79">
        <f>IF($A178="","",N(J178)+N(K178)-N(L178))</f>
        <v/>
      </c>
      <c r="N178" s="67" t="n"/>
      <c r="O178" s="67" t="n"/>
      <c r="P178" s="67" t="n"/>
      <c r="Q178" s="67" t="n"/>
      <c r="R178" s="70">
        <f>IF($A178="","",MAX(0,M178)*N(I178))</f>
        <v/>
      </c>
      <c r="S178" s="9">
        <f>IF($A178="","",IF(M178&lt;=0,IF(N(P178)&gt;0,"Rupture - en cde","RUPTURE"),IF(M178+N(P178)&lt;=N178,"À COMMANDER",IF(M178&lt;=N178,"Commande en cours","OK"))))</f>
        <v/>
      </c>
      <c r="T178" s="68">
        <f>IF($A178="","",IF(OR(S178="À COMMANDER",S178="RUPTURE"),MAX(1,O178-M178-N(P178)),0))</f>
        <v/>
      </c>
      <c r="U178" s="68">
        <f>IF($A178="","",SUMIFS('Mouvements stock'!$F$5:$F$3004,'Mouvements stock'!$D$5:$D$3004,$A178,'Mouvements stock'!$C$5:$C$3004,"Sortie",'Mouvements stock'!$B$5:$B$3004,"&gt;="&amp;'Paramètres'!$AA$6,'Mouvements stock'!$B$5:$B$3004,"&lt;"&amp;('Paramètres'!$AA$7+1)))</f>
        <v/>
      </c>
      <c r="V178" s="78">
        <f>IF($A178="","",IF(COUNTIF('Mouvements stock'!$D$5:$D$3004,$A178)=0,"",_xlfn.MAXIFS('Mouvements stock'!$B$5:$B$3004,'Mouvements stock'!$D$5:$D$3004,$A178)))</f>
        <v/>
      </c>
    </row>
    <row r="179">
      <c r="A179" s="7" t="n"/>
      <c r="B179" s="7" t="n"/>
      <c r="C179" s="7" t="n"/>
      <c r="D179" s="7" t="n"/>
      <c r="E179" s="7" t="n"/>
      <c r="F179" s="7" t="n"/>
      <c r="G179" s="7" t="n"/>
      <c r="H179" s="7" t="n"/>
      <c r="I179" s="80" t="n"/>
      <c r="J179" s="67" t="n"/>
      <c r="K179" s="68">
        <f>IF($A179="","",SUMIFS('Mouvements stock'!$F$5:$F$3004,'Mouvements stock'!$D$5:$D$3004,$A179,'Mouvements stock'!$C$5:$C$3004,"Entrée")+SUMIFS('Mouvements stock'!$F$5:$F$3004,'Mouvements stock'!$D$5:$D$3004,$A179,'Mouvements stock'!$C$5:$C$3004,"Retour"))</f>
        <v/>
      </c>
      <c r="L179" s="68">
        <f>IF($A179="","",SUMIFS('Mouvements stock'!$F$5:$F$3004,'Mouvements stock'!$D$5:$D$3004,$A179,'Mouvements stock'!$C$5:$C$3004,"Sortie"))</f>
        <v/>
      </c>
      <c r="M179" s="79">
        <f>IF($A179="","",N(J179)+N(K179)-N(L179))</f>
        <v/>
      </c>
      <c r="N179" s="67" t="n"/>
      <c r="O179" s="67" t="n"/>
      <c r="P179" s="67" t="n"/>
      <c r="Q179" s="67" t="n"/>
      <c r="R179" s="70">
        <f>IF($A179="","",MAX(0,M179)*N(I179))</f>
        <v/>
      </c>
      <c r="S179" s="9">
        <f>IF($A179="","",IF(M179&lt;=0,IF(N(P179)&gt;0,"Rupture - en cde","RUPTURE"),IF(M179+N(P179)&lt;=N179,"À COMMANDER",IF(M179&lt;=N179,"Commande en cours","OK"))))</f>
        <v/>
      </c>
      <c r="T179" s="68">
        <f>IF($A179="","",IF(OR(S179="À COMMANDER",S179="RUPTURE"),MAX(1,O179-M179-N(P179)),0))</f>
        <v/>
      </c>
      <c r="U179" s="68">
        <f>IF($A179="","",SUMIFS('Mouvements stock'!$F$5:$F$3004,'Mouvements stock'!$D$5:$D$3004,$A179,'Mouvements stock'!$C$5:$C$3004,"Sortie",'Mouvements stock'!$B$5:$B$3004,"&gt;="&amp;'Paramètres'!$AA$6,'Mouvements stock'!$B$5:$B$3004,"&lt;"&amp;('Paramètres'!$AA$7+1)))</f>
        <v/>
      </c>
      <c r="V179" s="78">
        <f>IF($A179="","",IF(COUNTIF('Mouvements stock'!$D$5:$D$3004,$A179)=0,"",_xlfn.MAXIFS('Mouvements stock'!$B$5:$B$3004,'Mouvements stock'!$D$5:$D$3004,$A179)))</f>
        <v/>
      </c>
    </row>
    <row r="180">
      <c r="A180" s="7" t="n"/>
      <c r="B180" s="7" t="n"/>
      <c r="C180" s="7" t="n"/>
      <c r="D180" s="7" t="n"/>
      <c r="E180" s="7" t="n"/>
      <c r="F180" s="7" t="n"/>
      <c r="G180" s="7" t="n"/>
      <c r="H180" s="7" t="n"/>
      <c r="I180" s="80" t="n"/>
      <c r="J180" s="67" t="n"/>
      <c r="K180" s="68">
        <f>IF($A180="","",SUMIFS('Mouvements stock'!$F$5:$F$3004,'Mouvements stock'!$D$5:$D$3004,$A180,'Mouvements stock'!$C$5:$C$3004,"Entrée")+SUMIFS('Mouvements stock'!$F$5:$F$3004,'Mouvements stock'!$D$5:$D$3004,$A180,'Mouvements stock'!$C$5:$C$3004,"Retour"))</f>
        <v/>
      </c>
      <c r="L180" s="68">
        <f>IF($A180="","",SUMIFS('Mouvements stock'!$F$5:$F$3004,'Mouvements stock'!$D$5:$D$3004,$A180,'Mouvements stock'!$C$5:$C$3004,"Sortie"))</f>
        <v/>
      </c>
      <c r="M180" s="79">
        <f>IF($A180="","",N(J180)+N(K180)-N(L180))</f>
        <v/>
      </c>
      <c r="N180" s="67" t="n"/>
      <c r="O180" s="67" t="n"/>
      <c r="P180" s="67" t="n"/>
      <c r="Q180" s="67" t="n"/>
      <c r="R180" s="70">
        <f>IF($A180="","",MAX(0,M180)*N(I180))</f>
        <v/>
      </c>
      <c r="S180" s="9">
        <f>IF($A180="","",IF(M180&lt;=0,IF(N(P180)&gt;0,"Rupture - en cde","RUPTURE"),IF(M180+N(P180)&lt;=N180,"À COMMANDER",IF(M180&lt;=N180,"Commande en cours","OK"))))</f>
        <v/>
      </c>
      <c r="T180" s="68">
        <f>IF($A180="","",IF(OR(S180="À COMMANDER",S180="RUPTURE"),MAX(1,O180-M180-N(P180)),0))</f>
        <v/>
      </c>
      <c r="U180" s="68">
        <f>IF($A180="","",SUMIFS('Mouvements stock'!$F$5:$F$3004,'Mouvements stock'!$D$5:$D$3004,$A180,'Mouvements stock'!$C$5:$C$3004,"Sortie",'Mouvements stock'!$B$5:$B$3004,"&gt;="&amp;'Paramètres'!$AA$6,'Mouvements stock'!$B$5:$B$3004,"&lt;"&amp;('Paramètres'!$AA$7+1)))</f>
        <v/>
      </c>
      <c r="V180" s="78">
        <f>IF($A180="","",IF(COUNTIF('Mouvements stock'!$D$5:$D$3004,$A180)=0,"",_xlfn.MAXIFS('Mouvements stock'!$B$5:$B$3004,'Mouvements stock'!$D$5:$D$3004,$A180)))</f>
        <v/>
      </c>
    </row>
    <row r="181">
      <c r="A181" s="7" t="n"/>
      <c r="B181" s="7" t="n"/>
      <c r="C181" s="7" t="n"/>
      <c r="D181" s="7" t="n"/>
      <c r="E181" s="7" t="n"/>
      <c r="F181" s="7" t="n"/>
      <c r="G181" s="7" t="n"/>
      <c r="H181" s="7" t="n"/>
      <c r="I181" s="80" t="n"/>
      <c r="J181" s="67" t="n"/>
      <c r="K181" s="68">
        <f>IF($A181="","",SUMIFS('Mouvements stock'!$F$5:$F$3004,'Mouvements stock'!$D$5:$D$3004,$A181,'Mouvements stock'!$C$5:$C$3004,"Entrée")+SUMIFS('Mouvements stock'!$F$5:$F$3004,'Mouvements stock'!$D$5:$D$3004,$A181,'Mouvements stock'!$C$5:$C$3004,"Retour"))</f>
        <v/>
      </c>
      <c r="L181" s="68">
        <f>IF($A181="","",SUMIFS('Mouvements stock'!$F$5:$F$3004,'Mouvements stock'!$D$5:$D$3004,$A181,'Mouvements stock'!$C$5:$C$3004,"Sortie"))</f>
        <v/>
      </c>
      <c r="M181" s="79">
        <f>IF($A181="","",N(J181)+N(K181)-N(L181))</f>
        <v/>
      </c>
      <c r="N181" s="67" t="n"/>
      <c r="O181" s="67" t="n"/>
      <c r="P181" s="67" t="n"/>
      <c r="Q181" s="67" t="n"/>
      <c r="R181" s="70">
        <f>IF($A181="","",MAX(0,M181)*N(I181))</f>
        <v/>
      </c>
      <c r="S181" s="9">
        <f>IF($A181="","",IF(M181&lt;=0,IF(N(P181)&gt;0,"Rupture - en cde","RUPTURE"),IF(M181+N(P181)&lt;=N181,"À COMMANDER",IF(M181&lt;=N181,"Commande en cours","OK"))))</f>
        <v/>
      </c>
      <c r="T181" s="68">
        <f>IF($A181="","",IF(OR(S181="À COMMANDER",S181="RUPTURE"),MAX(1,O181-M181-N(P181)),0))</f>
        <v/>
      </c>
      <c r="U181" s="68">
        <f>IF($A181="","",SUMIFS('Mouvements stock'!$F$5:$F$3004,'Mouvements stock'!$D$5:$D$3004,$A181,'Mouvements stock'!$C$5:$C$3004,"Sortie",'Mouvements stock'!$B$5:$B$3004,"&gt;="&amp;'Paramètres'!$AA$6,'Mouvements stock'!$B$5:$B$3004,"&lt;"&amp;('Paramètres'!$AA$7+1)))</f>
        <v/>
      </c>
      <c r="V181" s="78">
        <f>IF($A181="","",IF(COUNTIF('Mouvements stock'!$D$5:$D$3004,$A181)=0,"",_xlfn.MAXIFS('Mouvements stock'!$B$5:$B$3004,'Mouvements stock'!$D$5:$D$3004,$A181)))</f>
        <v/>
      </c>
    </row>
    <row r="182">
      <c r="A182" s="7" t="n"/>
      <c r="B182" s="7" t="n"/>
      <c r="C182" s="7" t="n"/>
      <c r="D182" s="7" t="n"/>
      <c r="E182" s="7" t="n"/>
      <c r="F182" s="7" t="n"/>
      <c r="G182" s="7" t="n"/>
      <c r="H182" s="7" t="n"/>
      <c r="I182" s="80" t="n"/>
      <c r="J182" s="67" t="n"/>
      <c r="K182" s="68">
        <f>IF($A182="","",SUMIFS('Mouvements stock'!$F$5:$F$3004,'Mouvements stock'!$D$5:$D$3004,$A182,'Mouvements stock'!$C$5:$C$3004,"Entrée")+SUMIFS('Mouvements stock'!$F$5:$F$3004,'Mouvements stock'!$D$5:$D$3004,$A182,'Mouvements stock'!$C$5:$C$3004,"Retour"))</f>
        <v/>
      </c>
      <c r="L182" s="68">
        <f>IF($A182="","",SUMIFS('Mouvements stock'!$F$5:$F$3004,'Mouvements stock'!$D$5:$D$3004,$A182,'Mouvements stock'!$C$5:$C$3004,"Sortie"))</f>
        <v/>
      </c>
      <c r="M182" s="79">
        <f>IF($A182="","",N(J182)+N(K182)-N(L182))</f>
        <v/>
      </c>
      <c r="N182" s="67" t="n"/>
      <c r="O182" s="67" t="n"/>
      <c r="P182" s="67" t="n"/>
      <c r="Q182" s="67" t="n"/>
      <c r="R182" s="70">
        <f>IF($A182="","",MAX(0,M182)*N(I182))</f>
        <v/>
      </c>
      <c r="S182" s="9">
        <f>IF($A182="","",IF(M182&lt;=0,IF(N(P182)&gt;0,"Rupture - en cde","RUPTURE"),IF(M182+N(P182)&lt;=N182,"À COMMANDER",IF(M182&lt;=N182,"Commande en cours","OK"))))</f>
        <v/>
      </c>
      <c r="T182" s="68">
        <f>IF($A182="","",IF(OR(S182="À COMMANDER",S182="RUPTURE"),MAX(1,O182-M182-N(P182)),0))</f>
        <v/>
      </c>
      <c r="U182" s="68">
        <f>IF($A182="","",SUMIFS('Mouvements stock'!$F$5:$F$3004,'Mouvements stock'!$D$5:$D$3004,$A182,'Mouvements stock'!$C$5:$C$3004,"Sortie",'Mouvements stock'!$B$5:$B$3004,"&gt;="&amp;'Paramètres'!$AA$6,'Mouvements stock'!$B$5:$B$3004,"&lt;"&amp;('Paramètres'!$AA$7+1)))</f>
        <v/>
      </c>
      <c r="V182" s="78">
        <f>IF($A182="","",IF(COUNTIF('Mouvements stock'!$D$5:$D$3004,$A182)=0,"",_xlfn.MAXIFS('Mouvements stock'!$B$5:$B$3004,'Mouvements stock'!$D$5:$D$3004,$A182)))</f>
        <v/>
      </c>
    </row>
    <row r="183">
      <c r="A183" s="7" t="n"/>
      <c r="B183" s="7" t="n"/>
      <c r="C183" s="7" t="n"/>
      <c r="D183" s="7" t="n"/>
      <c r="E183" s="7" t="n"/>
      <c r="F183" s="7" t="n"/>
      <c r="G183" s="7" t="n"/>
      <c r="H183" s="7" t="n"/>
      <c r="I183" s="80" t="n"/>
      <c r="J183" s="67" t="n"/>
      <c r="K183" s="68">
        <f>IF($A183="","",SUMIFS('Mouvements stock'!$F$5:$F$3004,'Mouvements stock'!$D$5:$D$3004,$A183,'Mouvements stock'!$C$5:$C$3004,"Entrée")+SUMIFS('Mouvements stock'!$F$5:$F$3004,'Mouvements stock'!$D$5:$D$3004,$A183,'Mouvements stock'!$C$5:$C$3004,"Retour"))</f>
        <v/>
      </c>
      <c r="L183" s="68">
        <f>IF($A183="","",SUMIFS('Mouvements stock'!$F$5:$F$3004,'Mouvements stock'!$D$5:$D$3004,$A183,'Mouvements stock'!$C$5:$C$3004,"Sortie"))</f>
        <v/>
      </c>
      <c r="M183" s="79">
        <f>IF($A183="","",N(J183)+N(K183)-N(L183))</f>
        <v/>
      </c>
      <c r="N183" s="67" t="n"/>
      <c r="O183" s="67" t="n"/>
      <c r="P183" s="67" t="n"/>
      <c r="Q183" s="67" t="n"/>
      <c r="R183" s="70">
        <f>IF($A183="","",MAX(0,M183)*N(I183))</f>
        <v/>
      </c>
      <c r="S183" s="9">
        <f>IF($A183="","",IF(M183&lt;=0,IF(N(P183)&gt;0,"Rupture - en cde","RUPTURE"),IF(M183+N(P183)&lt;=N183,"À COMMANDER",IF(M183&lt;=N183,"Commande en cours","OK"))))</f>
        <v/>
      </c>
      <c r="T183" s="68">
        <f>IF($A183="","",IF(OR(S183="À COMMANDER",S183="RUPTURE"),MAX(1,O183-M183-N(P183)),0))</f>
        <v/>
      </c>
      <c r="U183" s="68">
        <f>IF($A183="","",SUMIFS('Mouvements stock'!$F$5:$F$3004,'Mouvements stock'!$D$5:$D$3004,$A183,'Mouvements stock'!$C$5:$C$3004,"Sortie",'Mouvements stock'!$B$5:$B$3004,"&gt;="&amp;'Paramètres'!$AA$6,'Mouvements stock'!$B$5:$B$3004,"&lt;"&amp;('Paramètres'!$AA$7+1)))</f>
        <v/>
      </c>
      <c r="V183" s="78">
        <f>IF($A183="","",IF(COUNTIF('Mouvements stock'!$D$5:$D$3004,$A183)=0,"",_xlfn.MAXIFS('Mouvements stock'!$B$5:$B$3004,'Mouvements stock'!$D$5:$D$3004,$A183)))</f>
        <v/>
      </c>
    </row>
    <row r="184">
      <c r="A184" s="7" t="n"/>
      <c r="B184" s="7" t="n"/>
      <c r="C184" s="7" t="n"/>
      <c r="D184" s="7" t="n"/>
      <c r="E184" s="7" t="n"/>
      <c r="F184" s="7" t="n"/>
      <c r="G184" s="7" t="n"/>
      <c r="H184" s="7" t="n"/>
      <c r="I184" s="80" t="n"/>
      <c r="J184" s="67" t="n"/>
      <c r="K184" s="68">
        <f>IF($A184="","",SUMIFS('Mouvements stock'!$F$5:$F$3004,'Mouvements stock'!$D$5:$D$3004,$A184,'Mouvements stock'!$C$5:$C$3004,"Entrée")+SUMIFS('Mouvements stock'!$F$5:$F$3004,'Mouvements stock'!$D$5:$D$3004,$A184,'Mouvements stock'!$C$5:$C$3004,"Retour"))</f>
        <v/>
      </c>
      <c r="L184" s="68">
        <f>IF($A184="","",SUMIFS('Mouvements stock'!$F$5:$F$3004,'Mouvements stock'!$D$5:$D$3004,$A184,'Mouvements stock'!$C$5:$C$3004,"Sortie"))</f>
        <v/>
      </c>
      <c r="M184" s="79">
        <f>IF($A184="","",N(J184)+N(K184)-N(L184))</f>
        <v/>
      </c>
      <c r="N184" s="67" t="n"/>
      <c r="O184" s="67" t="n"/>
      <c r="P184" s="67" t="n"/>
      <c r="Q184" s="67" t="n"/>
      <c r="R184" s="70">
        <f>IF($A184="","",MAX(0,M184)*N(I184))</f>
        <v/>
      </c>
      <c r="S184" s="9">
        <f>IF($A184="","",IF(M184&lt;=0,IF(N(P184)&gt;0,"Rupture - en cde","RUPTURE"),IF(M184+N(P184)&lt;=N184,"À COMMANDER",IF(M184&lt;=N184,"Commande en cours","OK"))))</f>
        <v/>
      </c>
      <c r="T184" s="68">
        <f>IF($A184="","",IF(OR(S184="À COMMANDER",S184="RUPTURE"),MAX(1,O184-M184-N(P184)),0))</f>
        <v/>
      </c>
      <c r="U184" s="68">
        <f>IF($A184="","",SUMIFS('Mouvements stock'!$F$5:$F$3004,'Mouvements stock'!$D$5:$D$3004,$A184,'Mouvements stock'!$C$5:$C$3004,"Sortie",'Mouvements stock'!$B$5:$B$3004,"&gt;="&amp;'Paramètres'!$AA$6,'Mouvements stock'!$B$5:$B$3004,"&lt;"&amp;('Paramètres'!$AA$7+1)))</f>
        <v/>
      </c>
      <c r="V184" s="78">
        <f>IF($A184="","",IF(COUNTIF('Mouvements stock'!$D$5:$D$3004,$A184)=0,"",_xlfn.MAXIFS('Mouvements stock'!$B$5:$B$3004,'Mouvements stock'!$D$5:$D$3004,$A184)))</f>
        <v/>
      </c>
    </row>
    <row r="185">
      <c r="A185" s="7" t="n"/>
      <c r="B185" s="7" t="n"/>
      <c r="C185" s="7" t="n"/>
      <c r="D185" s="7" t="n"/>
      <c r="E185" s="7" t="n"/>
      <c r="F185" s="7" t="n"/>
      <c r="G185" s="7" t="n"/>
      <c r="H185" s="7" t="n"/>
      <c r="I185" s="80" t="n"/>
      <c r="J185" s="67" t="n"/>
      <c r="K185" s="68">
        <f>IF($A185="","",SUMIFS('Mouvements stock'!$F$5:$F$3004,'Mouvements stock'!$D$5:$D$3004,$A185,'Mouvements stock'!$C$5:$C$3004,"Entrée")+SUMIFS('Mouvements stock'!$F$5:$F$3004,'Mouvements stock'!$D$5:$D$3004,$A185,'Mouvements stock'!$C$5:$C$3004,"Retour"))</f>
        <v/>
      </c>
      <c r="L185" s="68">
        <f>IF($A185="","",SUMIFS('Mouvements stock'!$F$5:$F$3004,'Mouvements stock'!$D$5:$D$3004,$A185,'Mouvements stock'!$C$5:$C$3004,"Sortie"))</f>
        <v/>
      </c>
      <c r="M185" s="79">
        <f>IF($A185="","",N(J185)+N(K185)-N(L185))</f>
        <v/>
      </c>
      <c r="N185" s="67" t="n"/>
      <c r="O185" s="67" t="n"/>
      <c r="P185" s="67" t="n"/>
      <c r="Q185" s="67" t="n"/>
      <c r="R185" s="70">
        <f>IF($A185="","",MAX(0,M185)*N(I185))</f>
        <v/>
      </c>
      <c r="S185" s="9">
        <f>IF($A185="","",IF(M185&lt;=0,IF(N(P185)&gt;0,"Rupture - en cde","RUPTURE"),IF(M185+N(P185)&lt;=N185,"À COMMANDER",IF(M185&lt;=N185,"Commande en cours","OK"))))</f>
        <v/>
      </c>
      <c r="T185" s="68">
        <f>IF($A185="","",IF(OR(S185="À COMMANDER",S185="RUPTURE"),MAX(1,O185-M185-N(P185)),0))</f>
        <v/>
      </c>
      <c r="U185" s="68">
        <f>IF($A185="","",SUMIFS('Mouvements stock'!$F$5:$F$3004,'Mouvements stock'!$D$5:$D$3004,$A185,'Mouvements stock'!$C$5:$C$3004,"Sortie",'Mouvements stock'!$B$5:$B$3004,"&gt;="&amp;'Paramètres'!$AA$6,'Mouvements stock'!$B$5:$B$3004,"&lt;"&amp;('Paramètres'!$AA$7+1)))</f>
        <v/>
      </c>
      <c r="V185" s="78">
        <f>IF($A185="","",IF(COUNTIF('Mouvements stock'!$D$5:$D$3004,$A185)=0,"",_xlfn.MAXIFS('Mouvements stock'!$B$5:$B$3004,'Mouvements stock'!$D$5:$D$3004,$A185)))</f>
        <v/>
      </c>
    </row>
    <row r="186">
      <c r="A186" s="7" t="n"/>
      <c r="B186" s="7" t="n"/>
      <c r="C186" s="7" t="n"/>
      <c r="D186" s="7" t="n"/>
      <c r="E186" s="7" t="n"/>
      <c r="F186" s="7" t="n"/>
      <c r="G186" s="7" t="n"/>
      <c r="H186" s="7" t="n"/>
      <c r="I186" s="80" t="n"/>
      <c r="J186" s="67" t="n"/>
      <c r="K186" s="68">
        <f>IF($A186="","",SUMIFS('Mouvements stock'!$F$5:$F$3004,'Mouvements stock'!$D$5:$D$3004,$A186,'Mouvements stock'!$C$5:$C$3004,"Entrée")+SUMIFS('Mouvements stock'!$F$5:$F$3004,'Mouvements stock'!$D$5:$D$3004,$A186,'Mouvements stock'!$C$5:$C$3004,"Retour"))</f>
        <v/>
      </c>
      <c r="L186" s="68">
        <f>IF($A186="","",SUMIFS('Mouvements stock'!$F$5:$F$3004,'Mouvements stock'!$D$5:$D$3004,$A186,'Mouvements stock'!$C$5:$C$3004,"Sortie"))</f>
        <v/>
      </c>
      <c r="M186" s="79">
        <f>IF($A186="","",N(J186)+N(K186)-N(L186))</f>
        <v/>
      </c>
      <c r="N186" s="67" t="n"/>
      <c r="O186" s="67" t="n"/>
      <c r="P186" s="67" t="n"/>
      <c r="Q186" s="67" t="n"/>
      <c r="R186" s="70">
        <f>IF($A186="","",MAX(0,M186)*N(I186))</f>
        <v/>
      </c>
      <c r="S186" s="9">
        <f>IF($A186="","",IF(M186&lt;=0,IF(N(P186)&gt;0,"Rupture - en cde","RUPTURE"),IF(M186+N(P186)&lt;=N186,"À COMMANDER",IF(M186&lt;=N186,"Commande en cours","OK"))))</f>
        <v/>
      </c>
      <c r="T186" s="68">
        <f>IF($A186="","",IF(OR(S186="À COMMANDER",S186="RUPTURE"),MAX(1,O186-M186-N(P186)),0))</f>
        <v/>
      </c>
      <c r="U186" s="68">
        <f>IF($A186="","",SUMIFS('Mouvements stock'!$F$5:$F$3004,'Mouvements stock'!$D$5:$D$3004,$A186,'Mouvements stock'!$C$5:$C$3004,"Sortie",'Mouvements stock'!$B$5:$B$3004,"&gt;="&amp;'Paramètres'!$AA$6,'Mouvements stock'!$B$5:$B$3004,"&lt;"&amp;('Paramètres'!$AA$7+1)))</f>
        <v/>
      </c>
      <c r="V186" s="78">
        <f>IF($A186="","",IF(COUNTIF('Mouvements stock'!$D$5:$D$3004,$A186)=0,"",_xlfn.MAXIFS('Mouvements stock'!$B$5:$B$3004,'Mouvements stock'!$D$5:$D$3004,$A186)))</f>
        <v/>
      </c>
    </row>
    <row r="187">
      <c r="A187" s="7" t="n"/>
      <c r="B187" s="7" t="n"/>
      <c r="C187" s="7" t="n"/>
      <c r="D187" s="7" t="n"/>
      <c r="E187" s="7" t="n"/>
      <c r="F187" s="7" t="n"/>
      <c r="G187" s="7" t="n"/>
      <c r="H187" s="7" t="n"/>
      <c r="I187" s="80" t="n"/>
      <c r="J187" s="67" t="n"/>
      <c r="K187" s="68">
        <f>IF($A187="","",SUMIFS('Mouvements stock'!$F$5:$F$3004,'Mouvements stock'!$D$5:$D$3004,$A187,'Mouvements stock'!$C$5:$C$3004,"Entrée")+SUMIFS('Mouvements stock'!$F$5:$F$3004,'Mouvements stock'!$D$5:$D$3004,$A187,'Mouvements stock'!$C$5:$C$3004,"Retour"))</f>
        <v/>
      </c>
      <c r="L187" s="68">
        <f>IF($A187="","",SUMIFS('Mouvements stock'!$F$5:$F$3004,'Mouvements stock'!$D$5:$D$3004,$A187,'Mouvements stock'!$C$5:$C$3004,"Sortie"))</f>
        <v/>
      </c>
      <c r="M187" s="79">
        <f>IF($A187="","",N(J187)+N(K187)-N(L187))</f>
        <v/>
      </c>
      <c r="N187" s="67" t="n"/>
      <c r="O187" s="67" t="n"/>
      <c r="P187" s="67" t="n"/>
      <c r="Q187" s="67" t="n"/>
      <c r="R187" s="70">
        <f>IF($A187="","",MAX(0,M187)*N(I187))</f>
        <v/>
      </c>
      <c r="S187" s="9">
        <f>IF($A187="","",IF(M187&lt;=0,IF(N(P187)&gt;0,"Rupture - en cde","RUPTURE"),IF(M187+N(P187)&lt;=N187,"À COMMANDER",IF(M187&lt;=N187,"Commande en cours","OK"))))</f>
        <v/>
      </c>
      <c r="T187" s="68">
        <f>IF($A187="","",IF(OR(S187="À COMMANDER",S187="RUPTURE"),MAX(1,O187-M187-N(P187)),0))</f>
        <v/>
      </c>
      <c r="U187" s="68">
        <f>IF($A187="","",SUMIFS('Mouvements stock'!$F$5:$F$3004,'Mouvements stock'!$D$5:$D$3004,$A187,'Mouvements stock'!$C$5:$C$3004,"Sortie",'Mouvements stock'!$B$5:$B$3004,"&gt;="&amp;'Paramètres'!$AA$6,'Mouvements stock'!$B$5:$B$3004,"&lt;"&amp;('Paramètres'!$AA$7+1)))</f>
        <v/>
      </c>
      <c r="V187" s="78">
        <f>IF($A187="","",IF(COUNTIF('Mouvements stock'!$D$5:$D$3004,$A187)=0,"",_xlfn.MAXIFS('Mouvements stock'!$B$5:$B$3004,'Mouvements stock'!$D$5:$D$3004,$A187)))</f>
        <v/>
      </c>
    </row>
    <row r="188">
      <c r="A188" s="7" t="n"/>
      <c r="B188" s="7" t="n"/>
      <c r="C188" s="7" t="n"/>
      <c r="D188" s="7" t="n"/>
      <c r="E188" s="7" t="n"/>
      <c r="F188" s="7" t="n"/>
      <c r="G188" s="7" t="n"/>
      <c r="H188" s="7" t="n"/>
      <c r="I188" s="80" t="n"/>
      <c r="J188" s="67" t="n"/>
      <c r="K188" s="68">
        <f>IF($A188="","",SUMIFS('Mouvements stock'!$F$5:$F$3004,'Mouvements stock'!$D$5:$D$3004,$A188,'Mouvements stock'!$C$5:$C$3004,"Entrée")+SUMIFS('Mouvements stock'!$F$5:$F$3004,'Mouvements stock'!$D$5:$D$3004,$A188,'Mouvements stock'!$C$5:$C$3004,"Retour"))</f>
        <v/>
      </c>
      <c r="L188" s="68">
        <f>IF($A188="","",SUMIFS('Mouvements stock'!$F$5:$F$3004,'Mouvements stock'!$D$5:$D$3004,$A188,'Mouvements stock'!$C$5:$C$3004,"Sortie"))</f>
        <v/>
      </c>
      <c r="M188" s="79">
        <f>IF($A188="","",N(J188)+N(K188)-N(L188))</f>
        <v/>
      </c>
      <c r="N188" s="67" t="n"/>
      <c r="O188" s="67" t="n"/>
      <c r="P188" s="67" t="n"/>
      <c r="Q188" s="67" t="n"/>
      <c r="R188" s="70">
        <f>IF($A188="","",MAX(0,M188)*N(I188))</f>
        <v/>
      </c>
      <c r="S188" s="9">
        <f>IF($A188="","",IF(M188&lt;=0,IF(N(P188)&gt;0,"Rupture - en cde","RUPTURE"),IF(M188+N(P188)&lt;=N188,"À COMMANDER",IF(M188&lt;=N188,"Commande en cours","OK"))))</f>
        <v/>
      </c>
      <c r="T188" s="68">
        <f>IF($A188="","",IF(OR(S188="À COMMANDER",S188="RUPTURE"),MAX(1,O188-M188-N(P188)),0))</f>
        <v/>
      </c>
      <c r="U188" s="68">
        <f>IF($A188="","",SUMIFS('Mouvements stock'!$F$5:$F$3004,'Mouvements stock'!$D$5:$D$3004,$A188,'Mouvements stock'!$C$5:$C$3004,"Sortie",'Mouvements stock'!$B$5:$B$3004,"&gt;="&amp;'Paramètres'!$AA$6,'Mouvements stock'!$B$5:$B$3004,"&lt;"&amp;('Paramètres'!$AA$7+1)))</f>
        <v/>
      </c>
      <c r="V188" s="78">
        <f>IF($A188="","",IF(COUNTIF('Mouvements stock'!$D$5:$D$3004,$A188)=0,"",_xlfn.MAXIFS('Mouvements stock'!$B$5:$B$3004,'Mouvements stock'!$D$5:$D$3004,$A188)))</f>
        <v/>
      </c>
    </row>
    <row r="189">
      <c r="A189" s="7" t="n"/>
      <c r="B189" s="7" t="n"/>
      <c r="C189" s="7" t="n"/>
      <c r="D189" s="7" t="n"/>
      <c r="E189" s="7" t="n"/>
      <c r="F189" s="7" t="n"/>
      <c r="G189" s="7" t="n"/>
      <c r="H189" s="7" t="n"/>
      <c r="I189" s="80" t="n"/>
      <c r="J189" s="67" t="n"/>
      <c r="K189" s="68">
        <f>IF($A189="","",SUMIFS('Mouvements stock'!$F$5:$F$3004,'Mouvements stock'!$D$5:$D$3004,$A189,'Mouvements stock'!$C$5:$C$3004,"Entrée")+SUMIFS('Mouvements stock'!$F$5:$F$3004,'Mouvements stock'!$D$5:$D$3004,$A189,'Mouvements stock'!$C$5:$C$3004,"Retour"))</f>
        <v/>
      </c>
      <c r="L189" s="68">
        <f>IF($A189="","",SUMIFS('Mouvements stock'!$F$5:$F$3004,'Mouvements stock'!$D$5:$D$3004,$A189,'Mouvements stock'!$C$5:$C$3004,"Sortie"))</f>
        <v/>
      </c>
      <c r="M189" s="79">
        <f>IF($A189="","",N(J189)+N(K189)-N(L189))</f>
        <v/>
      </c>
      <c r="N189" s="67" t="n"/>
      <c r="O189" s="67" t="n"/>
      <c r="P189" s="67" t="n"/>
      <c r="Q189" s="67" t="n"/>
      <c r="R189" s="70">
        <f>IF($A189="","",MAX(0,M189)*N(I189))</f>
        <v/>
      </c>
      <c r="S189" s="9">
        <f>IF($A189="","",IF(M189&lt;=0,IF(N(P189)&gt;0,"Rupture - en cde","RUPTURE"),IF(M189+N(P189)&lt;=N189,"À COMMANDER",IF(M189&lt;=N189,"Commande en cours","OK"))))</f>
        <v/>
      </c>
      <c r="T189" s="68">
        <f>IF($A189="","",IF(OR(S189="À COMMANDER",S189="RUPTURE"),MAX(1,O189-M189-N(P189)),0))</f>
        <v/>
      </c>
      <c r="U189" s="68">
        <f>IF($A189="","",SUMIFS('Mouvements stock'!$F$5:$F$3004,'Mouvements stock'!$D$5:$D$3004,$A189,'Mouvements stock'!$C$5:$C$3004,"Sortie",'Mouvements stock'!$B$5:$B$3004,"&gt;="&amp;'Paramètres'!$AA$6,'Mouvements stock'!$B$5:$B$3004,"&lt;"&amp;('Paramètres'!$AA$7+1)))</f>
        <v/>
      </c>
      <c r="V189" s="78">
        <f>IF($A189="","",IF(COUNTIF('Mouvements stock'!$D$5:$D$3004,$A189)=0,"",_xlfn.MAXIFS('Mouvements stock'!$B$5:$B$3004,'Mouvements stock'!$D$5:$D$3004,$A189)))</f>
        <v/>
      </c>
    </row>
    <row r="190">
      <c r="A190" s="7" t="n"/>
      <c r="B190" s="7" t="n"/>
      <c r="C190" s="7" t="n"/>
      <c r="D190" s="7" t="n"/>
      <c r="E190" s="7" t="n"/>
      <c r="F190" s="7" t="n"/>
      <c r="G190" s="7" t="n"/>
      <c r="H190" s="7" t="n"/>
      <c r="I190" s="80" t="n"/>
      <c r="J190" s="67" t="n"/>
      <c r="K190" s="68">
        <f>IF($A190="","",SUMIFS('Mouvements stock'!$F$5:$F$3004,'Mouvements stock'!$D$5:$D$3004,$A190,'Mouvements stock'!$C$5:$C$3004,"Entrée")+SUMIFS('Mouvements stock'!$F$5:$F$3004,'Mouvements stock'!$D$5:$D$3004,$A190,'Mouvements stock'!$C$5:$C$3004,"Retour"))</f>
        <v/>
      </c>
      <c r="L190" s="68">
        <f>IF($A190="","",SUMIFS('Mouvements stock'!$F$5:$F$3004,'Mouvements stock'!$D$5:$D$3004,$A190,'Mouvements stock'!$C$5:$C$3004,"Sortie"))</f>
        <v/>
      </c>
      <c r="M190" s="79">
        <f>IF($A190="","",N(J190)+N(K190)-N(L190))</f>
        <v/>
      </c>
      <c r="N190" s="67" t="n"/>
      <c r="O190" s="67" t="n"/>
      <c r="P190" s="67" t="n"/>
      <c r="Q190" s="67" t="n"/>
      <c r="R190" s="70">
        <f>IF($A190="","",MAX(0,M190)*N(I190))</f>
        <v/>
      </c>
      <c r="S190" s="9">
        <f>IF($A190="","",IF(M190&lt;=0,IF(N(P190)&gt;0,"Rupture - en cde","RUPTURE"),IF(M190+N(P190)&lt;=N190,"À COMMANDER",IF(M190&lt;=N190,"Commande en cours","OK"))))</f>
        <v/>
      </c>
      <c r="T190" s="68">
        <f>IF($A190="","",IF(OR(S190="À COMMANDER",S190="RUPTURE"),MAX(1,O190-M190-N(P190)),0))</f>
        <v/>
      </c>
      <c r="U190" s="68">
        <f>IF($A190="","",SUMIFS('Mouvements stock'!$F$5:$F$3004,'Mouvements stock'!$D$5:$D$3004,$A190,'Mouvements stock'!$C$5:$C$3004,"Sortie",'Mouvements stock'!$B$5:$B$3004,"&gt;="&amp;'Paramètres'!$AA$6,'Mouvements stock'!$B$5:$B$3004,"&lt;"&amp;('Paramètres'!$AA$7+1)))</f>
        <v/>
      </c>
      <c r="V190" s="78">
        <f>IF($A190="","",IF(COUNTIF('Mouvements stock'!$D$5:$D$3004,$A190)=0,"",_xlfn.MAXIFS('Mouvements stock'!$B$5:$B$3004,'Mouvements stock'!$D$5:$D$3004,$A190)))</f>
        <v/>
      </c>
    </row>
    <row r="191">
      <c r="A191" s="7" t="n"/>
      <c r="B191" s="7" t="n"/>
      <c r="C191" s="7" t="n"/>
      <c r="D191" s="7" t="n"/>
      <c r="E191" s="7" t="n"/>
      <c r="F191" s="7" t="n"/>
      <c r="G191" s="7" t="n"/>
      <c r="H191" s="7" t="n"/>
      <c r="I191" s="80" t="n"/>
      <c r="J191" s="67" t="n"/>
      <c r="K191" s="68">
        <f>IF($A191="","",SUMIFS('Mouvements stock'!$F$5:$F$3004,'Mouvements stock'!$D$5:$D$3004,$A191,'Mouvements stock'!$C$5:$C$3004,"Entrée")+SUMIFS('Mouvements stock'!$F$5:$F$3004,'Mouvements stock'!$D$5:$D$3004,$A191,'Mouvements stock'!$C$5:$C$3004,"Retour"))</f>
        <v/>
      </c>
      <c r="L191" s="68">
        <f>IF($A191="","",SUMIFS('Mouvements stock'!$F$5:$F$3004,'Mouvements stock'!$D$5:$D$3004,$A191,'Mouvements stock'!$C$5:$C$3004,"Sortie"))</f>
        <v/>
      </c>
      <c r="M191" s="79">
        <f>IF($A191="","",N(J191)+N(K191)-N(L191))</f>
        <v/>
      </c>
      <c r="N191" s="67" t="n"/>
      <c r="O191" s="67" t="n"/>
      <c r="P191" s="67" t="n"/>
      <c r="Q191" s="67" t="n"/>
      <c r="R191" s="70">
        <f>IF($A191="","",MAX(0,M191)*N(I191))</f>
        <v/>
      </c>
      <c r="S191" s="9">
        <f>IF($A191="","",IF(M191&lt;=0,IF(N(P191)&gt;0,"Rupture - en cde","RUPTURE"),IF(M191+N(P191)&lt;=N191,"À COMMANDER",IF(M191&lt;=N191,"Commande en cours","OK"))))</f>
        <v/>
      </c>
      <c r="T191" s="68">
        <f>IF($A191="","",IF(OR(S191="À COMMANDER",S191="RUPTURE"),MAX(1,O191-M191-N(P191)),0))</f>
        <v/>
      </c>
      <c r="U191" s="68">
        <f>IF($A191="","",SUMIFS('Mouvements stock'!$F$5:$F$3004,'Mouvements stock'!$D$5:$D$3004,$A191,'Mouvements stock'!$C$5:$C$3004,"Sortie",'Mouvements stock'!$B$5:$B$3004,"&gt;="&amp;'Paramètres'!$AA$6,'Mouvements stock'!$B$5:$B$3004,"&lt;"&amp;('Paramètres'!$AA$7+1)))</f>
        <v/>
      </c>
      <c r="V191" s="78">
        <f>IF($A191="","",IF(COUNTIF('Mouvements stock'!$D$5:$D$3004,$A191)=0,"",_xlfn.MAXIFS('Mouvements stock'!$B$5:$B$3004,'Mouvements stock'!$D$5:$D$3004,$A191)))</f>
        <v/>
      </c>
    </row>
    <row r="192">
      <c r="A192" s="7" t="n"/>
      <c r="B192" s="7" t="n"/>
      <c r="C192" s="7" t="n"/>
      <c r="D192" s="7" t="n"/>
      <c r="E192" s="7" t="n"/>
      <c r="F192" s="7" t="n"/>
      <c r="G192" s="7" t="n"/>
      <c r="H192" s="7" t="n"/>
      <c r="I192" s="80" t="n"/>
      <c r="J192" s="67" t="n"/>
      <c r="K192" s="68">
        <f>IF($A192="","",SUMIFS('Mouvements stock'!$F$5:$F$3004,'Mouvements stock'!$D$5:$D$3004,$A192,'Mouvements stock'!$C$5:$C$3004,"Entrée")+SUMIFS('Mouvements stock'!$F$5:$F$3004,'Mouvements stock'!$D$5:$D$3004,$A192,'Mouvements stock'!$C$5:$C$3004,"Retour"))</f>
        <v/>
      </c>
      <c r="L192" s="68">
        <f>IF($A192="","",SUMIFS('Mouvements stock'!$F$5:$F$3004,'Mouvements stock'!$D$5:$D$3004,$A192,'Mouvements stock'!$C$5:$C$3004,"Sortie"))</f>
        <v/>
      </c>
      <c r="M192" s="79">
        <f>IF($A192="","",N(J192)+N(K192)-N(L192))</f>
        <v/>
      </c>
      <c r="N192" s="67" t="n"/>
      <c r="O192" s="67" t="n"/>
      <c r="P192" s="67" t="n"/>
      <c r="Q192" s="67" t="n"/>
      <c r="R192" s="70">
        <f>IF($A192="","",MAX(0,M192)*N(I192))</f>
        <v/>
      </c>
      <c r="S192" s="9">
        <f>IF($A192="","",IF(M192&lt;=0,IF(N(P192)&gt;0,"Rupture - en cde","RUPTURE"),IF(M192+N(P192)&lt;=N192,"À COMMANDER",IF(M192&lt;=N192,"Commande en cours","OK"))))</f>
        <v/>
      </c>
      <c r="T192" s="68">
        <f>IF($A192="","",IF(OR(S192="À COMMANDER",S192="RUPTURE"),MAX(1,O192-M192-N(P192)),0))</f>
        <v/>
      </c>
      <c r="U192" s="68">
        <f>IF($A192="","",SUMIFS('Mouvements stock'!$F$5:$F$3004,'Mouvements stock'!$D$5:$D$3004,$A192,'Mouvements stock'!$C$5:$C$3004,"Sortie",'Mouvements stock'!$B$5:$B$3004,"&gt;="&amp;'Paramètres'!$AA$6,'Mouvements stock'!$B$5:$B$3004,"&lt;"&amp;('Paramètres'!$AA$7+1)))</f>
        <v/>
      </c>
      <c r="V192" s="78">
        <f>IF($A192="","",IF(COUNTIF('Mouvements stock'!$D$5:$D$3004,$A192)=0,"",_xlfn.MAXIFS('Mouvements stock'!$B$5:$B$3004,'Mouvements stock'!$D$5:$D$3004,$A192)))</f>
        <v/>
      </c>
    </row>
    <row r="193">
      <c r="A193" s="7" t="n"/>
      <c r="B193" s="7" t="n"/>
      <c r="C193" s="7" t="n"/>
      <c r="D193" s="7" t="n"/>
      <c r="E193" s="7" t="n"/>
      <c r="F193" s="7" t="n"/>
      <c r="G193" s="7" t="n"/>
      <c r="H193" s="7" t="n"/>
      <c r="I193" s="80" t="n"/>
      <c r="J193" s="67" t="n"/>
      <c r="K193" s="68">
        <f>IF($A193="","",SUMIFS('Mouvements stock'!$F$5:$F$3004,'Mouvements stock'!$D$5:$D$3004,$A193,'Mouvements stock'!$C$5:$C$3004,"Entrée")+SUMIFS('Mouvements stock'!$F$5:$F$3004,'Mouvements stock'!$D$5:$D$3004,$A193,'Mouvements stock'!$C$5:$C$3004,"Retour"))</f>
        <v/>
      </c>
      <c r="L193" s="68">
        <f>IF($A193="","",SUMIFS('Mouvements stock'!$F$5:$F$3004,'Mouvements stock'!$D$5:$D$3004,$A193,'Mouvements stock'!$C$5:$C$3004,"Sortie"))</f>
        <v/>
      </c>
      <c r="M193" s="79">
        <f>IF($A193="","",N(J193)+N(K193)-N(L193))</f>
        <v/>
      </c>
      <c r="N193" s="67" t="n"/>
      <c r="O193" s="67" t="n"/>
      <c r="P193" s="67" t="n"/>
      <c r="Q193" s="67" t="n"/>
      <c r="R193" s="70">
        <f>IF($A193="","",MAX(0,M193)*N(I193))</f>
        <v/>
      </c>
      <c r="S193" s="9">
        <f>IF($A193="","",IF(M193&lt;=0,IF(N(P193)&gt;0,"Rupture - en cde","RUPTURE"),IF(M193+N(P193)&lt;=N193,"À COMMANDER",IF(M193&lt;=N193,"Commande en cours","OK"))))</f>
        <v/>
      </c>
      <c r="T193" s="68">
        <f>IF($A193="","",IF(OR(S193="À COMMANDER",S193="RUPTURE"),MAX(1,O193-M193-N(P193)),0))</f>
        <v/>
      </c>
      <c r="U193" s="68">
        <f>IF($A193="","",SUMIFS('Mouvements stock'!$F$5:$F$3004,'Mouvements stock'!$D$5:$D$3004,$A193,'Mouvements stock'!$C$5:$C$3004,"Sortie",'Mouvements stock'!$B$5:$B$3004,"&gt;="&amp;'Paramètres'!$AA$6,'Mouvements stock'!$B$5:$B$3004,"&lt;"&amp;('Paramètres'!$AA$7+1)))</f>
        <v/>
      </c>
      <c r="V193" s="78">
        <f>IF($A193="","",IF(COUNTIF('Mouvements stock'!$D$5:$D$3004,$A193)=0,"",_xlfn.MAXIFS('Mouvements stock'!$B$5:$B$3004,'Mouvements stock'!$D$5:$D$3004,$A193)))</f>
        <v/>
      </c>
    </row>
    <row r="194">
      <c r="A194" s="7" t="n"/>
      <c r="B194" s="7" t="n"/>
      <c r="C194" s="7" t="n"/>
      <c r="D194" s="7" t="n"/>
      <c r="E194" s="7" t="n"/>
      <c r="F194" s="7" t="n"/>
      <c r="G194" s="7" t="n"/>
      <c r="H194" s="7" t="n"/>
      <c r="I194" s="80" t="n"/>
      <c r="J194" s="67" t="n"/>
      <c r="K194" s="68">
        <f>IF($A194="","",SUMIFS('Mouvements stock'!$F$5:$F$3004,'Mouvements stock'!$D$5:$D$3004,$A194,'Mouvements stock'!$C$5:$C$3004,"Entrée")+SUMIFS('Mouvements stock'!$F$5:$F$3004,'Mouvements stock'!$D$5:$D$3004,$A194,'Mouvements stock'!$C$5:$C$3004,"Retour"))</f>
        <v/>
      </c>
      <c r="L194" s="68">
        <f>IF($A194="","",SUMIFS('Mouvements stock'!$F$5:$F$3004,'Mouvements stock'!$D$5:$D$3004,$A194,'Mouvements stock'!$C$5:$C$3004,"Sortie"))</f>
        <v/>
      </c>
      <c r="M194" s="79">
        <f>IF($A194="","",N(J194)+N(K194)-N(L194))</f>
        <v/>
      </c>
      <c r="N194" s="67" t="n"/>
      <c r="O194" s="67" t="n"/>
      <c r="P194" s="67" t="n"/>
      <c r="Q194" s="67" t="n"/>
      <c r="R194" s="70">
        <f>IF($A194="","",MAX(0,M194)*N(I194))</f>
        <v/>
      </c>
      <c r="S194" s="9">
        <f>IF($A194="","",IF(M194&lt;=0,IF(N(P194)&gt;0,"Rupture - en cde","RUPTURE"),IF(M194+N(P194)&lt;=N194,"À COMMANDER",IF(M194&lt;=N194,"Commande en cours","OK"))))</f>
        <v/>
      </c>
      <c r="T194" s="68">
        <f>IF($A194="","",IF(OR(S194="À COMMANDER",S194="RUPTURE"),MAX(1,O194-M194-N(P194)),0))</f>
        <v/>
      </c>
      <c r="U194" s="68">
        <f>IF($A194="","",SUMIFS('Mouvements stock'!$F$5:$F$3004,'Mouvements stock'!$D$5:$D$3004,$A194,'Mouvements stock'!$C$5:$C$3004,"Sortie",'Mouvements stock'!$B$5:$B$3004,"&gt;="&amp;'Paramètres'!$AA$6,'Mouvements stock'!$B$5:$B$3004,"&lt;"&amp;('Paramètres'!$AA$7+1)))</f>
        <v/>
      </c>
      <c r="V194" s="78">
        <f>IF($A194="","",IF(COUNTIF('Mouvements stock'!$D$5:$D$3004,$A194)=0,"",_xlfn.MAXIFS('Mouvements stock'!$B$5:$B$3004,'Mouvements stock'!$D$5:$D$3004,$A194)))</f>
        <v/>
      </c>
    </row>
    <row r="195">
      <c r="A195" s="7" t="n"/>
      <c r="B195" s="7" t="n"/>
      <c r="C195" s="7" t="n"/>
      <c r="D195" s="7" t="n"/>
      <c r="E195" s="7" t="n"/>
      <c r="F195" s="7" t="n"/>
      <c r="G195" s="7" t="n"/>
      <c r="H195" s="7" t="n"/>
      <c r="I195" s="80" t="n"/>
      <c r="J195" s="67" t="n"/>
      <c r="K195" s="68">
        <f>IF($A195="","",SUMIFS('Mouvements stock'!$F$5:$F$3004,'Mouvements stock'!$D$5:$D$3004,$A195,'Mouvements stock'!$C$5:$C$3004,"Entrée")+SUMIFS('Mouvements stock'!$F$5:$F$3004,'Mouvements stock'!$D$5:$D$3004,$A195,'Mouvements stock'!$C$5:$C$3004,"Retour"))</f>
        <v/>
      </c>
      <c r="L195" s="68">
        <f>IF($A195="","",SUMIFS('Mouvements stock'!$F$5:$F$3004,'Mouvements stock'!$D$5:$D$3004,$A195,'Mouvements stock'!$C$5:$C$3004,"Sortie"))</f>
        <v/>
      </c>
      <c r="M195" s="79">
        <f>IF($A195="","",N(J195)+N(K195)-N(L195))</f>
        <v/>
      </c>
      <c r="N195" s="67" t="n"/>
      <c r="O195" s="67" t="n"/>
      <c r="P195" s="67" t="n"/>
      <c r="Q195" s="67" t="n"/>
      <c r="R195" s="70">
        <f>IF($A195="","",MAX(0,M195)*N(I195))</f>
        <v/>
      </c>
      <c r="S195" s="9">
        <f>IF($A195="","",IF(M195&lt;=0,IF(N(P195)&gt;0,"Rupture - en cde","RUPTURE"),IF(M195+N(P195)&lt;=N195,"À COMMANDER",IF(M195&lt;=N195,"Commande en cours","OK"))))</f>
        <v/>
      </c>
      <c r="T195" s="68">
        <f>IF($A195="","",IF(OR(S195="À COMMANDER",S195="RUPTURE"),MAX(1,O195-M195-N(P195)),0))</f>
        <v/>
      </c>
      <c r="U195" s="68">
        <f>IF($A195="","",SUMIFS('Mouvements stock'!$F$5:$F$3004,'Mouvements stock'!$D$5:$D$3004,$A195,'Mouvements stock'!$C$5:$C$3004,"Sortie",'Mouvements stock'!$B$5:$B$3004,"&gt;="&amp;'Paramètres'!$AA$6,'Mouvements stock'!$B$5:$B$3004,"&lt;"&amp;('Paramètres'!$AA$7+1)))</f>
        <v/>
      </c>
      <c r="V195" s="78">
        <f>IF($A195="","",IF(COUNTIF('Mouvements stock'!$D$5:$D$3004,$A195)=0,"",_xlfn.MAXIFS('Mouvements stock'!$B$5:$B$3004,'Mouvements stock'!$D$5:$D$3004,$A195)))</f>
        <v/>
      </c>
    </row>
    <row r="196">
      <c r="A196" s="7" t="n"/>
      <c r="B196" s="7" t="n"/>
      <c r="C196" s="7" t="n"/>
      <c r="D196" s="7" t="n"/>
      <c r="E196" s="7" t="n"/>
      <c r="F196" s="7" t="n"/>
      <c r="G196" s="7" t="n"/>
      <c r="H196" s="7" t="n"/>
      <c r="I196" s="80" t="n"/>
      <c r="J196" s="67" t="n"/>
      <c r="K196" s="68">
        <f>IF($A196="","",SUMIFS('Mouvements stock'!$F$5:$F$3004,'Mouvements stock'!$D$5:$D$3004,$A196,'Mouvements stock'!$C$5:$C$3004,"Entrée")+SUMIFS('Mouvements stock'!$F$5:$F$3004,'Mouvements stock'!$D$5:$D$3004,$A196,'Mouvements stock'!$C$5:$C$3004,"Retour"))</f>
        <v/>
      </c>
      <c r="L196" s="68">
        <f>IF($A196="","",SUMIFS('Mouvements stock'!$F$5:$F$3004,'Mouvements stock'!$D$5:$D$3004,$A196,'Mouvements stock'!$C$5:$C$3004,"Sortie"))</f>
        <v/>
      </c>
      <c r="M196" s="79">
        <f>IF($A196="","",N(J196)+N(K196)-N(L196))</f>
        <v/>
      </c>
      <c r="N196" s="67" t="n"/>
      <c r="O196" s="67" t="n"/>
      <c r="P196" s="67" t="n"/>
      <c r="Q196" s="67" t="n"/>
      <c r="R196" s="70">
        <f>IF($A196="","",MAX(0,M196)*N(I196))</f>
        <v/>
      </c>
      <c r="S196" s="9">
        <f>IF($A196="","",IF(M196&lt;=0,IF(N(P196)&gt;0,"Rupture - en cde","RUPTURE"),IF(M196+N(P196)&lt;=N196,"À COMMANDER",IF(M196&lt;=N196,"Commande en cours","OK"))))</f>
        <v/>
      </c>
      <c r="T196" s="68">
        <f>IF($A196="","",IF(OR(S196="À COMMANDER",S196="RUPTURE"),MAX(1,O196-M196-N(P196)),0))</f>
        <v/>
      </c>
      <c r="U196" s="68">
        <f>IF($A196="","",SUMIFS('Mouvements stock'!$F$5:$F$3004,'Mouvements stock'!$D$5:$D$3004,$A196,'Mouvements stock'!$C$5:$C$3004,"Sortie",'Mouvements stock'!$B$5:$B$3004,"&gt;="&amp;'Paramètres'!$AA$6,'Mouvements stock'!$B$5:$B$3004,"&lt;"&amp;('Paramètres'!$AA$7+1)))</f>
        <v/>
      </c>
      <c r="V196" s="78">
        <f>IF($A196="","",IF(COUNTIF('Mouvements stock'!$D$5:$D$3004,$A196)=0,"",_xlfn.MAXIFS('Mouvements stock'!$B$5:$B$3004,'Mouvements stock'!$D$5:$D$3004,$A196)))</f>
        <v/>
      </c>
    </row>
    <row r="197">
      <c r="A197" s="7" t="n"/>
      <c r="B197" s="7" t="n"/>
      <c r="C197" s="7" t="n"/>
      <c r="D197" s="7" t="n"/>
      <c r="E197" s="7" t="n"/>
      <c r="F197" s="7" t="n"/>
      <c r="G197" s="7" t="n"/>
      <c r="H197" s="7" t="n"/>
      <c r="I197" s="80" t="n"/>
      <c r="J197" s="67" t="n"/>
      <c r="K197" s="68">
        <f>IF($A197="","",SUMIFS('Mouvements stock'!$F$5:$F$3004,'Mouvements stock'!$D$5:$D$3004,$A197,'Mouvements stock'!$C$5:$C$3004,"Entrée")+SUMIFS('Mouvements stock'!$F$5:$F$3004,'Mouvements stock'!$D$5:$D$3004,$A197,'Mouvements stock'!$C$5:$C$3004,"Retour"))</f>
        <v/>
      </c>
      <c r="L197" s="68">
        <f>IF($A197="","",SUMIFS('Mouvements stock'!$F$5:$F$3004,'Mouvements stock'!$D$5:$D$3004,$A197,'Mouvements stock'!$C$5:$C$3004,"Sortie"))</f>
        <v/>
      </c>
      <c r="M197" s="79">
        <f>IF($A197="","",N(J197)+N(K197)-N(L197))</f>
        <v/>
      </c>
      <c r="N197" s="67" t="n"/>
      <c r="O197" s="67" t="n"/>
      <c r="P197" s="67" t="n"/>
      <c r="Q197" s="67" t="n"/>
      <c r="R197" s="70">
        <f>IF($A197="","",MAX(0,M197)*N(I197))</f>
        <v/>
      </c>
      <c r="S197" s="9">
        <f>IF($A197="","",IF(M197&lt;=0,IF(N(P197)&gt;0,"Rupture - en cde","RUPTURE"),IF(M197+N(P197)&lt;=N197,"À COMMANDER",IF(M197&lt;=N197,"Commande en cours","OK"))))</f>
        <v/>
      </c>
      <c r="T197" s="68">
        <f>IF($A197="","",IF(OR(S197="À COMMANDER",S197="RUPTURE"),MAX(1,O197-M197-N(P197)),0))</f>
        <v/>
      </c>
      <c r="U197" s="68">
        <f>IF($A197="","",SUMIFS('Mouvements stock'!$F$5:$F$3004,'Mouvements stock'!$D$5:$D$3004,$A197,'Mouvements stock'!$C$5:$C$3004,"Sortie",'Mouvements stock'!$B$5:$B$3004,"&gt;="&amp;'Paramètres'!$AA$6,'Mouvements stock'!$B$5:$B$3004,"&lt;"&amp;('Paramètres'!$AA$7+1)))</f>
        <v/>
      </c>
      <c r="V197" s="78">
        <f>IF($A197="","",IF(COUNTIF('Mouvements stock'!$D$5:$D$3004,$A197)=0,"",_xlfn.MAXIFS('Mouvements stock'!$B$5:$B$3004,'Mouvements stock'!$D$5:$D$3004,$A197)))</f>
        <v/>
      </c>
    </row>
    <row r="198">
      <c r="A198" s="7" t="n"/>
      <c r="B198" s="7" t="n"/>
      <c r="C198" s="7" t="n"/>
      <c r="D198" s="7" t="n"/>
      <c r="E198" s="7" t="n"/>
      <c r="F198" s="7" t="n"/>
      <c r="G198" s="7" t="n"/>
      <c r="H198" s="7" t="n"/>
      <c r="I198" s="80" t="n"/>
      <c r="J198" s="67" t="n"/>
      <c r="K198" s="68">
        <f>IF($A198="","",SUMIFS('Mouvements stock'!$F$5:$F$3004,'Mouvements stock'!$D$5:$D$3004,$A198,'Mouvements stock'!$C$5:$C$3004,"Entrée")+SUMIFS('Mouvements stock'!$F$5:$F$3004,'Mouvements stock'!$D$5:$D$3004,$A198,'Mouvements stock'!$C$5:$C$3004,"Retour"))</f>
        <v/>
      </c>
      <c r="L198" s="68">
        <f>IF($A198="","",SUMIFS('Mouvements stock'!$F$5:$F$3004,'Mouvements stock'!$D$5:$D$3004,$A198,'Mouvements stock'!$C$5:$C$3004,"Sortie"))</f>
        <v/>
      </c>
      <c r="M198" s="79">
        <f>IF($A198="","",N(J198)+N(K198)-N(L198))</f>
        <v/>
      </c>
      <c r="N198" s="67" t="n"/>
      <c r="O198" s="67" t="n"/>
      <c r="P198" s="67" t="n"/>
      <c r="Q198" s="67" t="n"/>
      <c r="R198" s="70">
        <f>IF($A198="","",MAX(0,M198)*N(I198))</f>
        <v/>
      </c>
      <c r="S198" s="9">
        <f>IF($A198="","",IF(M198&lt;=0,IF(N(P198)&gt;0,"Rupture - en cde","RUPTURE"),IF(M198+N(P198)&lt;=N198,"À COMMANDER",IF(M198&lt;=N198,"Commande en cours","OK"))))</f>
        <v/>
      </c>
      <c r="T198" s="68">
        <f>IF($A198="","",IF(OR(S198="À COMMANDER",S198="RUPTURE"),MAX(1,O198-M198-N(P198)),0))</f>
        <v/>
      </c>
      <c r="U198" s="68">
        <f>IF($A198="","",SUMIFS('Mouvements stock'!$F$5:$F$3004,'Mouvements stock'!$D$5:$D$3004,$A198,'Mouvements stock'!$C$5:$C$3004,"Sortie",'Mouvements stock'!$B$5:$B$3004,"&gt;="&amp;'Paramètres'!$AA$6,'Mouvements stock'!$B$5:$B$3004,"&lt;"&amp;('Paramètres'!$AA$7+1)))</f>
        <v/>
      </c>
      <c r="V198" s="78">
        <f>IF($A198="","",IF(COUNTIF('Mouvements stock'!$D$5:$D$3004,$A198)=0,"",_xlfn.MAXIFS('Mouvements stock'!$B$5:$B$3004,'Mouvements stock'!$D$5:$D$3004,$A198)))</f>
        <v/>
      </c>
    </row>
    <row r="199">
      <c r="A199" s="7" t="n"/>
      <c r="B199" s="7" t="n"/>
      <c r="C199" s="7" t="n"/>
      <c r="D199" s="7" t="n"/>
      <c r="E199" s="7" t="n"/>
      <c r="F199" s="7" t="n"/>
      <c r="G199" s="7" t="n"/>
      <c r="H199" s="7" t="n"/>
      <c r="I199" s="80" t="n"/>
      <c r="J199" s="67" t="n"/>
      <c r="K199" s="68">
        <f>IF($A199="","",SUMIFS('Mouvements stock'!$F$5:$F$3004,'Mouvements stock'!$D$5:$D$3004,$A199,'Mouvements stock'!$C$5:$C$3004,"Entrée")+SUMIFS('Mouvements stock'!$F$5:$F$3004,'Mouvements stock'!$D$5:$D$3004,$A199,'Mouvements stock'!$C$5:$C$3004,"Retour"))</f>
        <v/>
      </c>
      <c r="L199" s="68">
        <f>IF($A199="","",SUMIFS('Mouvements stock'!$F$5:$F$3004,'Mouvements stock'!$D$5:$D$3004,$A199,'Mouvements stock'!$C$5:$C$3004,"Sortie"))</f>
        <v/>
      </c>
      <c r="M199" s="79">
        <f>IF($A199="","",N(J199)+N(K199)-N(L199))</f>
        <v/>
      </c>
      <c r="N199" s="67" t="n"/>
      <c r="O199" s="67" t="n"/>
      <c r="P199" s="67" t="n"/>
      <c r="Q199" s="67" t="n"/>
      <c r="R199" s="70">
        <f>IF($A199="","",MAX(0,M199)*N(I199))</f>
        <v/>
      </c>
      <c r="S199" s="9">
        <f>IF($A199="","",IF(M199&lt;=0,IF(N(P199)&gt;0,"Rupture - en cde","RUPTURE"),IF(M199+N(P199)&lt;=N199,"À COMMANDER",IF(M199&lt;=N199,"Commande en cours","OK"))))</f>
        <v/>
      </c>
      <c r="T199" s="68">
        <f>IF($A199="","",IF(OR(S199="À COMMANDER",S199="RUPTURE"),MAX(1,O199-M199-N(P199)),0))</f>
        <v/>
      </c>
      <c r="U199" s="68">
        <f>IF($A199="","",SUMIFS('Mouvements stock'!$F$5:$F$3004,'Mouvements stock'!$D$5:$D$3004,$A199,'Mouvements stock'!$C$5:$C$3004,"Sortie",'Mouvements stock'!$B$5:$B$3004,"&gt;="&amp;'Paramètres'!$AA$6,'Mouvements stock'!$B$5:$B$3004,"&lt;"&amp;('Paramètres'!$AA$7+1)))</f>
        <v/>
      </c>
      <c r="V199" s="78">
        <f>IF($A199="","",IF(COUNTIF('Mouvements stock'!$D$5:$D$3004,$A199)=0,"",_xlfn.MAXIFS('Mouvements stock'!$B$5:$B$3004,'Mouvements stock'!$D$5:$D$3004,$A199)))</f>
        <v/>
      </c>
    </row>
    <row r="200">
      <c r="A200" s="7" t="n"/>
      <c r="B200" s="7" t="n"/>
      <c r="C200" s="7" t="n"/>
      <c r="D200" s="7" t="n"/>
      <c r="E200" s="7" t="n"/>
      <c r="F200" s="7" t="n"/>
      <c r="G200" s="7" t="n"/>
      <c r="H200" s="7" t="n"/>
      <c r="I200" s="80" t="n"/>
      <c r="J200" s="67" t="n"/>
      <c r="K200" s="68">
        <f>IF($A200="","",SUMIFS('Mouvements stock'!$F$5:$F$3004,'Mouvements stock'!$D$5:$D$3004,$A200,'Mouvements stock'!$C$5:$C$3004,"Entrée")+SUMIFS('Mouvements stock'!$F$5:$F$3004,'Mouvements stock'!$D$5:$D$3004,$A200,'Mouvements stock'!$C$5:$C$3004,"Retour"))</f>
        <v/>
      </c>
      <c r="L200" s="68">
        <f>IF($A200="","",SUMIFS('Mouvements stock'!$F$5:$F$3004,'Mouvements stock'!$D$5:$D$3004,$A200,'Mouvements stock'!$C$5:$C$3004,"Sortie"))</f>
        <v/>
      </c>
      <c r="M200" s="79">
        <f>IF($A200="","",N(J200)+N(K200)-N(L200))</f>
        <v/>
      </c>
      <c r="N200" s="67" t="n"/>
      <c r="O200" s="67" t="n"/>
      <c r="P200" s="67" t="n"/>
      <c r="Q200" s="67" t="n"/>
      <c r="R200" s="70">
        <f>IF($A200="","",MAX(0,M200)*N(I200))</f>
        <v/>
      </c>
      <c r="S200" s="9">
        <f>IF($A200="","",IF(M200&lt;=0,IF(N(P200)&gt;0,"Rupture - en cde","RUPTURE"),IF(M200+N(P200)&lt;=N200,"À COMMANDER",IF(M200&lt;=N200,"Commande en cours","OK"))))</f>
        <v/>
      </c>
      <c r="T200" s="68">
        <f>IF($A200="","",IF(OR(S200="À COMMANDER",S200="RUPTURE"),MAX(1,O200-M200-N(P200)),0))</f>
        <v/>
      </c>
      <c r="U200" s="68">
        <f>IF($A200="","",SUMIFS('Mouvements stock'!$F$5:$F$3004,'Mouvements stock'!$D$5:$D$3004,$A200,'Mouvements stock'!$C$5:$C$3004,"Sortie",'Mouvements stock'!$B$5:$B$3004,"&gt;="&amp;'Paramètres'!$AA$6,'Mouvements stock'!$B$5:$B$3004,"&lt;"&amp;('Paramètres'!$AA$7+1)))</f>
        <v/>
      </c>
      <c r="V200" s="78">
        <f>IF($A200="","",IF(COUNTIF('Mouvements stock'!$D$5:$D$3004,$A200)=0,"",_xlfn.MAXIFS('Mouvements stock'!$B$5:$B$3004,'Mouvements stock'!$D$5:$D$3004,$A200)))</f>
        <v/>
      </c>
    </row>
    <row r="201">
      <c r="A201" s="7" t="n"/>
      <c r="B201" s="7" t="n"/>
      <c r="C201" s="7" t="n"/>
      <c r="D201" s="7" t="n"/>
      <c r="E201" s="7" t="n"/>
      <c r="F201" s="7" t="n"/>
      <c r="G201" s="7" t="n"/>
      <c r="H201" s="7" t="n"/>
      <c r="I201" s="80" t="n"/>
      <c r="J201" s="67" t="n"/>
      <c r="K201" s="68">
        <f>IF($A201="","",SUMIFS('Mouvements stock'!$F$5:$F$3004,'Mouvements stock'!$D$5:$D$3004,$A201,'Mouvements stock'!$C$5:$C$3004,"Entrée")+SUMIFS('Mouvements stock'!$F$5:$F$3004,'Mouvements stock'!$D$5:$D$3004,$A201,'Mouvements stock'!$C$5:$C$3004,"Retour"))</f>
        <v/>
      </c>
      <c r="L201" s="68">
        <f>IF($A201="","",SUMIFS('Mouvements stock'!$F$5:$F$3004,'Mouvements stock'!$D$5:$D$3004,$A201,'Mouvements stock'!$C$5:$C$3004,"Sortie"))</f>
        <v/>
      </c>
      <c r="M201" s="79">
        <f>IF($A201="","",N(J201)+N(K201)-N(L201))</f>
        <v/>
      </c>
      <c r="N201" s="67" t="n"/>
      <c r="O201" s="67" t="n"/>
      <c r="P201" s="67" t="n"/>
      <c r="Q201" s="67" t="n"/>
      <c r="R201" s="70">
        <f>IF($A201="","",MAX(0,M201)*N(I201))</f>
        <v/>
      </c>
      <c r="S201" s="9">
        <f>IF($A201="","",IF(M201&lt;=0,IF(N(P201)&gt;0,"Rupture - en cde","RUPTURE"),IF(M201+N(P201)&lt;=N201,"À COMMANDER",IF(M201&lt;=N201,"Commande en cours","OK"))))</f>
        <v/>
      </c>
      <c r="T201" s="68">
        <f>IF($A201="","",IF(OR(S201="À COMMANDER",S201="RUPTURE"),MAX(1,O201-M201-N(P201)),0))</f>
        <v/>
      </c>
      <c r="U201" s="68">
        <f>IF($A201="","",SUMIFS('Mouvements stock'!$F$5:$F$3004,'Mouvements stock'!$D$5:$D$3004,$A201,'Mouvements stock'!$C$5:$C$3004,"Sortie",'Mouvements stock'!$B$5:$B$3004,"&gt;="&amp;'Paramètres'!$AA$6,'Mouvements stock'!$B$5:$B$3004,"&lt;"&amp;('Paramètres'!$AA$7+1)))</f>
        <v/>
      </c>
      <c r="V201" s="78">
        <f>IF($A201="","",IF(COUNTIF('Mouvements stock'!$D$5:$D$3004,$A201)=0,"",_xlfn.MAXIFS('Mouvements stock'!$B$5:$B$3004,'Mouvements stock'!$D$5:$D$3004,$A201)))</f>
        <v/>
      </c>
    </row>
    <row r="202">
      <c r="A202" s="7" t="n"/>
      <c r="B202" s="7" t="n"/>
      <c r="C202" s="7" t="n"/>
      <c r="D202" s="7" t="n"/>
      <c r="E202" s="7" t="n"/>
      <c r="F202" s="7" t="n"/>
      <c r="G202" s="7" t="n"/>
      <c r="H202" s="7" t="n"/>
      <c r="I202" s="80" t="n"/>
      <c r="J202" s="67" t="n"/>
      <c r="K202" s="68">
        <f>IF($A202="","",SUMIFS('Mouvements stock'!$F$5:$F$3004,'Mouvements stock'!$D$5:$D$3004,$A202,'Mouvements stock'!$C$5:$C$3004,"Entrée")+SUMIFS('Mouvements stock'!$F$5:$F$3004,'Mouvements stock'!$D$5:$D$3004,$A202,'Mouvements stock'!$C$5:$C$3004,"Retour"))</f>
        <v/>
      </c>
      <c r="L202" s="68">
        <f>IF($A202="","",SUMIFS('Mouvements stock'!$F$5:$F$3004,'Mouvements stock'!$D$5:$D$3004,$A202,'Mouvements stock'!$C$5:$C$3004,"Sortie"))</f>
        <v/>
      </c>
      <c r="M202" s="79">
        <f>IF($A202="","",N(J202)+N(K202)-N(L202))</f>
        <v/>
      </c>
      <c r="N202" s="67" t="n"/>
      <c r="O202" s="67" t="n"/>
      <c r="P202" s="67" t="n"/>
      <c r="Q202" s="67" t="n"/>
      <c r="R202" s="70">
        <f>IF($A202="","",MAX(0,M202)*N(I202))</f>
        <v/>
      </c>
      <c r="S202" s="9">
        <f>IF($A202="","",IF(M202&lt;=0,IF(N(P202)&gt;0,"Rupture - en cde","RUPTURE"),IF(M202+N(P202)&lt;=N202,"À COMMANDER",IF(M202&lt;=N202,"Commande en cours","OK"))))</f>
        <v/>
      </c>
      <c r="T202" s="68">
        <f>IF($A202="","",IF(OR(S202="À COMMANDER",S202="RUPTURE"),MAX(1,O202-M202-N(P202)),0))</f>
        <v/>
      </c>
      <c r="U202" s="68">
        <f>IF($A202="","",SUMIFS('Mouvements stock'!$F$5:$F$3004,'Mouvements stock'!$D$5:$D$3004,$A202,'Mouvements stock'!$C$5:$C$3004,"Sortie",'Mouvements stock'!$B$5:$B$3004,"&gt;="&amp;'Paramètres'!$AA$6,'Mouvements stock'!$B$5:$B$3004,"&lt;"&amp;('Paramètres'!$AA$7+1)))</f>
        <v/>
      </c>
      <c r="V202" s="78">
        <f>IF($A202="","",IF(COUNTIF('Mouvements stock'!$D$5:$D$3004,$A202)=0,"",_xlfn.MAXIFS('Mouvements stock'!$B$5:$B$3004,'Mouvements stock'!$D$5:$D$3004,$A202)))</f>
        <v/>
      </c>
    </row>
    <row r="203">
      <c r="A203" s="7" t="n"/>
      <c r="B203" s="7" t="n"/>
      <c r="C203" s="7" t="n"/>
      <c r="D203" s="7" t="n"/>
      <c r="E203" s="7" t="n"/>
      <c r="F203" s="7" t="n"/>
      <c r="G203" s="7" t="n"/>
      <c r="H203" s="7" t="n"/>
      <c r="I203" s="80" t="n"/>
      <c r="J203" s="67" t="n"/>
      <c r="K203" s="68">
        <f>IF($A203="","",SUMIFS('Mouvements stock'!$F$5:$F$3004,'Mouvements stock'!$D$5:$D$3004,$A203,'Mouvements stock'!$C$5:$C$3004,"Entrée")+SUMIFS('Mouvements stock'!$F$5:$F$3004,'Mouvements stock'!$D$5:$D$3004,$A203,'Mouvements stock'!$C$5:$C$3004,"Retour"))</f>
        <v/>
      </c>
      <c r="L203" s="68">
        <f>IF($A203="","",SUMIFS('Mouvements stock'!$F$5:$F$3004,'Mouvements stock'!$D$5:$D$3004,$A203,'Mouvements stock'!$C$5:$C$3004,"Sortie"))</f>
        <v/>
      </c>
      <c r="M203" s="79">
        <f>IF($A203="","",N(J203)+N(K203)-N(L203))</f>
        <v/>
      </c>
      <c r="N203" s="67" t="n"/>
      <c r="O203" s="67" t="n"/>
      <c r="P203" s="67" t="n"/>
      <c r="Q203" s="67" t="n"/>
      <c r="R203" s="70">
        <f>IF($A203="","",MAX(0,M203)*N(I203))</f>
        <v/>
      </c>
      <c r="S203" s="9">
        <f>IF($A203="","",IF(M203&lt;=0,IF(N(P203)&gt;0,"Rupture - en cde","RUPTURE"),IF(M203+N(P203)&lt;=N203,"À COMMANDER",IF(M203&lt;=N203,"Commande en cours","OK"))))</f>
        <v/>
      </c>
      <c r="T203" s="68">
        <f>IF($A203="","",IF(OR(S203="À COMMANDER",S203="RUPTURE"),MAX(1,O203-M203-N(P203)),0))</f>
        <v/>
      </c>
      <c r="U203" s="68">
        <f>IF($A203="","",SUMIFS('Mouvements stock'!$F$5:$F$3004,'Mouvements stock'!$D$5:$D$3004,$A203,'Mouvements stock'!$C$5:$C$3004,"Sortie",'Mouvements stock'!$B$5:$B$3004,"&gt;="&amp;'Paramètres'!$AA$6,'Mouvements stock'!$B$5:$B$3004,"&lt;"&amp;('Paramètres'!$AA$7+1)))</f>
        <v/>
      </c>
      <c r="V203" s="78">
        <f>IF($A203="","",IF(COUNTIF('Mouvements stock'!$D$5:$D$3004,$A203)=0,"",_xlfn.MAXIFS('Mouvements stock'!$B$5:$B$3004,'Mouvements stock'!$D$5:$D$3004,$A203)))</f>
        <v/>
      </c>
    </row>
    <row r="204">
      <c r="A204" s="7" t="n"/>
      <c r="B204" s="7" t="n"/>
      <c r="C204" s="7" t="n"/>
      <c r="D204" s="7" t="n"/>
      <c r="E204" s="7" t="n"/>
      <c r="F204" s="7" t="n"/>
      <c r="G204" s="7" t="n"/>
      <c r="H204" s="7" t="n"/>
      <c r="I204" s="80" t="n"/>
      <c r="J204" s="67" t="n"/>
      <c r="K204" s="68">
        <f>IF($A204="","",SUMIFS('Mouvements stock'!$F$5:$F$3004,'Mouvements stock'!$D$5:$D$3004,$A204,'Mouvements stock'!$C$5:$C$3004,"Entrée")+SUMIFS('Mouvements stock'!$F$5:$F$3004,'Mouvements stock'!$D$5:$D$3004,$A204,'Mouvements stock'!$C$5:$C$3004,"Retour"))</f>
        <v/>
      </c>
      <c r="L204" s="68">
        <f>IF($A204="","",SUMIFS('Mouvements stock'!$F$5:$F$3004,'Mouvements stock'!$D$5:$D$3004,$A204,'Mouvements stock'!$C$5:$C$3004,"Sortie"))</f>
        <v/>
      </c>
      <c r="M204" s="79">
        <f>IF($A204="","",N(J204)+N(K204)-N(L204))</f>
        <v/>
      </c>
      <c r="N204" s="67" t="n"/>
      <c r="O204" s="67" t="n"/>
      <c r="P204" s="67" t="n"/>
      <c r="Q204" s="67" t="n"/>
      <c r="R204" s="70">
        <f>IF($A204="","",MAX(0,M204)*N(I204))</f>
        <v/>
      </c>
      <c r="S204" s="9">
        <f>IF($A204="","",IF(M204&lt;=0,IF(N(P204)&gt;0,"Rupture - en cde","RUPTURE"),IF(M204+N(P204)&lt;=N204,"À COMMANDER",IF(M204&lt;=N204,"Commande en cours","OK"))))</f>
        <v/>
      </c>
      <c r="T204" s="68">
        <f>IF($A204="","",IF(OR(S204="À COMMANDER",S204="RUPTURE"),MAX(1,O204-M204-N(P204)),0))</f>
        <v/>
      </c>
      <c r="U204" s="68">
        <f>IF($A204="","",SUMIFS('Mouvements stock'!$F$5:$F$3004,'Mouvements stock'!$D$5:$D$3004,$A204,'Mouvements stock'!$C$5:$C$3004,"Sortie",'Mouvements stock'!$B$5:$B$3004,"&gt;="&amp;'Paramètres'!$AA$6,'Mouvements stock'!$B$5:$B$3004,"&lt;"&amp;('Paramètres'!$AA$7+1)))</f>
        <v/>
      </c>
      <c r="V204" s="78">
        <f>IF($A204="","",IF(COUNTIF('Mouvements stock'!$D$5:$D$3004,$A204)=0,"",_xlfn.MAXIFS('Mouvements stock'!$B$5:$B$3004,'Mouvements stock'!$D$5:$D$3004,$A204)))</f>
        <v/>
      </c>
    </row>
    <row r="205">
      <c r="A205" s="7" t="n"/>
      <c r="B205" s="7" t="n"/>
      <c r="C205" s="7" t="n"/>
      <c r="D205" s="7" t="n"/>
      <c r="E205" s="7" t="n"/>
      <c r="F205" s="7" t="n"/>
      <c r="G205" s="7" t="n"/>
      <c r="H205" s="7" t="n"/>
      <c r="I205" s="80" t="n"/>
      <c r="J205" s="67" t="n"/>
      <c r="K205" s="68">
        <f>IF($A205="","",SUMIFS('Mouvements stock'!$F$5:$F$3004,'Mouvements stock'!$D$5:$D$3004,$A205,'Mouvements stock'!$C$5:$C$3004,"Entrée")+SUMIFS('Mouvements stock'!$F$5:$F$3004,'Mouvements stock'!$D$5:$D$3004,$A205,'Mouvements stock'!$C$5:$C$3004,"Retour"))</f>
        <v/>
      </c>
      <c r="L205" s="68">
        <f>IF($A205="","",SUMIFS('Mouvements stock'!$F$5:$F$3004,'Mouvements stock'!$D$5:$D$3004,$A205,'Mouvements stock'!$C$5:$C$3004,"Sortie"))</f>
        <v/>
      </c>
      <c r="M205" s="79">
        <f>IF($A205="","",N(J205)+N(K205)-N(L205))</f>
        <v/>
      </c>
      <c r="N205" s="67" t="n"/>
      <c r="O205" s="67" t="n"/>
      <c r="P205" s="67" t="n"/>
      <c r="Q205" s="67" t="n"/>
      <c r="R205" s="70">
        <f>IF($A205="","",MAX(0,M205)*N(I205))</f>
        <v/>
      </c>
      <c r="S205" s="9">
        <f>IF($A205="","",IF(M205&lt;=0,IF(N(P205)&gt;0,"Rupture - en cde","RUPTURE"),IF(M205+N(P205)&lt;=N205,"À COMMANDER",IF(M205&lt;=N205,"Commande en cours","OK"))))</f>
        <v/>
      </c>
      <c r="T205" s="68">
        <f>IF($A205="","",IF(OR(S205="À COMMANDER",S205="RUPTURE"),MAX(1,O205-M205-N(P205)),0))</f>
        <v/>
      </c>
      <c r="U205" s="68">
        <f>IF($A205="","",SUMIFS('Mouvements stock'!$F$5:$F$3004,'Mouvements stock'!$D$5:$D$3004,$A205,'Mouvements stock'!$C$5:$C$3004,"Sortie",'Mouvements stock'!$B$5:$B$3004,"&gt;="&amp;'Paramètres'!$AA$6,'Mouvements stock'!$B$5:$B$3004,"&lt;"&amp;('Paramètres'!$AA$7+1)))</f>
        <v/>
      </c>
      <c r="V205" s="78">
        <f>IF($A205="","",IF(COUNTIF('Mouvements stock'!$D$5:$D$3004,$A205)=0,"",_xlfn.MAXIFS('Mouvements stock'!$B$5:$B$3004,'Mouvements stock'!$D$5:$D$3004,$A205)))</f>
        <v/>
      </c>
    </row>
    <row r="206">
      <c r="A206" s="7" t="n"/>
      <c r="B206" s="7" t="n"/>
      <c r="C206" s="7" t="n"/>
      <c r="D206" s="7" t="n"/>
      <c r="E206" s="7" t="n"/>
      <c r="F206" s="7" t="n"/>
      <c r="G206" s="7" t="n"/>
      <c r="H206" s="7" t="n"/>
      <c r="I206" s="80" t="n"/>
      <c r="J206" s="67" t="n"/>
      <c r="K206" s="68">
        <f>IF($A206="","",SUMIFS('Mouvements stock'!$F$5:$F$3004,'Mouvements stock'!$D$5:$D$3004,$A206,'Mouvements stock'!$C$5:$C$3004,"Entrée")+SUMIFS('Mouvements stock'!$F$5:$F$3004,'Mouvements stock'!$D$5:$D$3004,$A206,'Mouvements stock'!$C$5:$C$3004,"Retour"))</f>
        <v/>
      </c>
      <c r="L206" s="68">
        <f>IF($A206="","",SUMIFS('Mouvements stock'!$F$5:$F$3004,'Mouvements stock'!$D$5:$D$3004,$A206,'Mouvements stock'!$C$5:$C$3004,"Sortie"))</f>
        <v/>
      </c>
      <c r="M206" s="79">
        <f>IF($A206="","",N(J206)+N(K206)-N(L206))</f>
        <v/>
      </c>
      <c r="N206" s="67" t="n"/>
      <c r="O206" s="67" t="n"/>
      <c r="P206" s="67" t="n"/>
      <c r="Q206" s="67" t="n"/>
      <c r="R206" s="70">
        <f>IF($A206="","",MAX(0,M206)*N(I206))</f>
        <v/>
      </c>
      <c r="S206" s="9">
        <f>IF($A206="","",IF(M206&lt;=0,IF(N(P206)&gt;0,"Rupture - en cde","RUPTURE"),IF(M206+N(P206)&lt;=N206,"À COMMANDER",IF(M206&lt;=N206,"Commande en cours","OK"))))</f>
        <v/>
      </c>
      <c r="T206" s="68">
        <f>IF($A206="","",IF(OR(S206="À COMMANDER",S206="RUPTURE"),MAX(1,O206-M206-N(P206)),0))</f>
        <v/>
      </c>
      <c r="U206" s="68">
        <f>IF($A206="","",SUMIFS('Mouvements stock'!$F$5:$F$3004,'Mouvements stock'!$D$5:$D$3004,$A206,'Mouvements stock'!$C$5:$C$3004,"Sortie",'Mouvements stock'!$B$5:$B$3004,"&gt;="&amp;'Paramètres'!$AA$6,'Mouvements stock'!$B$5:$B$3004,"&lt;"&amp;('Paramètres'!$AA$7+1)))</f>
        <v/>
      </c>
      <c r="V206" s="78">
        <f>IF($A206="","",IF(COUNTIF('Mouvements stock'!$D$5:$D$3004,$A206)=0,"",_xlfn.MAXIFS('Mouvements stock'!$B$5:$B$3004,'Mouvements stock'!$D$5:$D$3004,$A206)))</f>
        <v/>
      </c>
    </row>
    <row r="207">
      <c r="A207" s="7" t="n"/>
      <c r="B207" s="7" t="n"/>
      <c r="C207" s="7" t="n"/>
      <c r="D207" s="7" t="n"/>
      <c r="E207" s="7" t="n"/>
      <c r="F207" s="7" t="n"/>
      <c r="G207" s="7" t="n"/>
      <c r="H207" s="7" t="n"/>
      <c r="I207" s="80" t="n"/>
      <c r="J207" s="67" t="n"/>
      <c r="K207" s="68">
        <f>IF($A207="","",SUMIFS('Mouvements stock'!$F$5:$F$3004,'Mouvements stock'!$D$5:$D$3004,$A207,'Mouvements stock'!$C$5:$C$3004,"Entrée")+SUMIFS('Mouvements stock'!$F$5:$F$3004,'Mouvements stock'!$D$5:$D$3004,$A207,'Mouvements stock'!$C$5:$C$3004,"Retour"))</f>
        <v/>
      </c>
      <c r="L207" s="68">
        <f>IF($A207="","",SUMIFS('Mouvements stock'!$F$5:$F$3004,'Mouvements stock'!$D$5:$D$3004,$A207,'Mouvements stock'!$C$5:$C$3004,"Sortie"))</f>
        <v/>
      </c>
      <c r="M207" s="79">
        <f>IF($A207="","",N(J207)+N(K207)-N(L207))</f>
        <v/>
      </c>
      <c r="N207" s="67" t="n"/>
      <c r="O207" s="67" t="n"/>
      <c r="P207" s="67" t="n"/>
      <c r="Q207" s="67" t="n"/>
      <c r="R207" s="70">
        <f>IF($A207="","",MAX(0,M207)*N(I207))</f>
        <v/>
      </c>
      <c r="S207" s="9">
        <f>IF($A207="","",IF(M207&lt;=0,IF(N(P207)&gt;0,"Rupture - en cde","RUPTURE"),IF(M207+N(P207)&lt;=N207,"À COMMANDER",IF(M207&lt;=N207,"Commande en cours","OK"))))</f>
        <v/>
      </c>
      <c r="T207" s="68">
        <f>IF($A207="","",IF(OR(S207="À COMMANDER",S207="RUPTURE"),MAX(1,O207-M207-N(P207)),0))</f>
        <v/>
      </c>
      <c r="U207" s="68">
        <f>IF($A207="","",SUMIFS('Mouvements stock'!$F$5:$F$3004,'Mouvements stock'!$D$5:$D$3004,$A207,'Mouvements stock'!$C$5:$C$3004,"Sortie",'Mouvements stock'!$B$5:$B$3004,"&gt;="&amp;'Paramètres'!$AA$6,'Mouvements stock'!$B$5:$B$3004,"&lt;"&amp;('Paramètres'!$AA$7+1)))</f>
        <v/>
      </c>
      <c r="V207" s="78">
        <f>IF($A207="","",IF(COUNTIF('Mouvements stock'!$D$5:$D$3004,$A207)=0,"",_xlfn.MAXIFS('Mouvements stock'!$B$5:$B$3004,'Mouvements stock'!$D$5:$D$3004,$A207)))</f>
        <v/>
      </c>
    </row>
    <row r="208">
      <c r="A208" s="7" t="n"/>
      <c r="B208" s="7" t="n"/>
      <c r="C208" s="7" t="n"/>
      <c r="D208" s="7" t="n"/>
      <c r="E208" s="7" t="n"/>
      <c r="F208" s="7" t="n"/>
      <c r="G208" s="7" t="n"/>
      <c r="H208" s="7" t="n"/>
      <c r="I208" s="80" t="n"/>
      <c r="J208" s="67" t="n"/>
      <c r="K208" s="68">
        <f>IF($A208="","",SUMIFS('Mouvements stock'!$F$5:$F$3004,'Mouvements stock'!$D$5:$D$3004,$A208,'Mouvements stock'!$C$5:$C$3004,"Entrée")+SUMIFS('Mouvements stock'!$F$5:$F$3004,'Mouvements stock'!$D$5:$D$3004,$A208,'Mouvements stock'!$C$5:$C$3004,"Retour"))</f>
        <v/>
      </c>
      <c r="L208" s="68">
        <f>IF($A208="","",SUMIFS('Mouvements stock'!$F$5:$F$3004,'Mouvements stock'!$D$5:$D$3004,$A208,'Mouvements stock'!$C$5:$C$3004,"Sortie"))</f>
        <v/>
      </c>
      <c r="M208" s="79">
        <f>IF($A208="","",N(J208)+N(K208)-N(L208))</f>
        <v/>
      </c>
      <c r="N208" s="67" t="n"/>
      <c r="O208" s="67" t="n"/>
      <c r="P208" s="67" t="n"/>
      <c r="Q208" s="67" t="n"/>
      <c r="R208" s="70">
        <f>IF($A208="","",MAX(0,M208)*N(I208))</f>
        <v/>
      </c>
      <c r="S208" s="9">
        <f>IF($A208="","",IF(M208&lt;=0,IF(N(P208)&gt;0,"Rupture - en cde","RUPTURE"),IF(M208+N(P208)&lt;=N208,"À COMMANDER",IF(M208&lt;=N208,"Commande en cours","OK"))))</f>
        <v/>
      </c>
      <c r="T208" s="68">
        <f>IF($A208="","",IF(OR(S208="À COMMANDER",S208="RUPTURE"),MAX(1,O208-M208-N(P208)),0))</f>
        <v/>
      </c>
      <c r="U208" s="68">
        <f>IF($A208="","",SUMIFS('Mouvements stock'!$F$5:$F$3004,'Mouvements stock'!$D$5:$D$3004,$A208,'Mouvements stock'!$C$5:$C$3004,"Sortie",'Mouvements stock'!$B$5:$B$3004,"&gt;="&amp;'Paramètres'!$AA$6,'Mouvements stock'!$B$5:$B$3004,"&lt;"&amp;('Paramètres'!$AA$7+1)))</f>
        <v/>
      </c>
      <c r="V208" s="78">
        <f>IF($A208="","",IF(COUNTIF('Mouvements stock'!$D$5:$D$3004,$A208)=0,"",_xlfn.MAXIFS('Mouvements stock'!$B$5:$B$3004,'Mouvements stock'!$D$5:$D$3004,$A208)))</f>
        <v/>
      </c>
    </row>
    <row r="209">
      <c r="A209" s="7" t="n"/>
      <c r="B209" s="7" t="n"/>
      <c r="C209" s="7" t="n"/>
      <c r="D209" s="7" t="n"/>
      <c r="E209" s="7" t="n"/>
      <c r="F209" s="7" t="n"/>
      <c r="G209" s="7" t="n"/>
      <c r="H209" s="7" t="n"/>
      <c r="I209" s="80" t="n"/>
      <c r="J209" s="67" t="n"/>
      <c r="K209" s="68">
        <f>IF($A209="","",SUMIFS('Mouvements stock'!$F$5:$F$3004,'Mouvements stock'!$D$5:$D$3004,$A209,'Mouvements stock'!$C$5:$C$3004,"Entrée")+SUMIFS('Mouvements stock'!$F$5:$F$3004,'Mouvements stock'!$D$5:$D$3004,$A209,'Mouvements stock'!$C$5:$C$3004,"Retour"))</f>
        <v/>
      </c>
      <c r="L209" s="68">
        <f>IF($A209="","",SUMIFS('Mouvements stock'!$F$5:$F$3004,'Mouvements stock'!$D$5:$D$3004,$A209,'Mouvements stock'!$C$5:$C$3004,"Sortie"))</f>
        <v/>
      </c>
      <c r="M209" s="79">
        <f>IF($A209="","",N(J209)+N(K209)-N(L209))</f>
        <v/>
      </c>
      <c r="N209" s="67" t="n"/>
      <c r="O209" s="67" t="n"/>
      <c r="P209" s="67" t="n"/>
      <c r="Q209" s="67" t="n"/>
      <c r="R209" s="70">
        <f>IF($A209="","",MAX(0,M209)*N(I209))</f>
        <v/>
      </c>
      <c r="S209" s="9">
        <f>IF($A209="","",IF(M209&lt;=0,IF(N(P209)&gt;0,"Rupture - en cde","RUPTURE"),IF(M209+N(P209)&lt;=N209,"À COMMANDER",IF(M209&lt;=N209,"Commande en cours","OK"))))</f>
        <v/>
      </c>
      <c r="T209" s="68">
        <f>IF($A209="","",IF(OR(S209="À COMMANDER",S209="RUPTURE"),MAX(1,O209-M209-N(P209)),0))</f>
        <v/>
      </c>
      <c r="U209" s="68">
        <f>IF($A209="","",SUMIFS('Mouvements stock'!$F$5:$F$3004,'Mouvements stock'!$D$5:$D$3004,$A209,'Mouvements stock'!$C$5:$C$3004,"Sortie",'Mouvements stock'!$B$5:$B$3004,"&gt;="&amp;'Paramètres'!$AA$6,'Mouvements stock'!$B$5:$B$3004,"&lt;"&amp;('Paramètres'!$AA$7+1)))</f>
        <v/>
      </c>
      <c r="V209" s="78">
        <f>IF($A209="","",IF(COUNTIF('Mouvements stock'!$D$5:$D$3004,$A209)=0,"",_xlfn.MAXIFS('Mouvements stock'!$B$5:$B$3004,'Mouvements stock'!$D$5:$D$3004,$A209)))</f>
        <v/>
      </c>
    </row>
    <row r="210">
      <c r="A210" s="7" t="n"/>
      <c r="B210" s="7" t="n"/>
      <c r="C210" s="7" t="n"/>
      <c r="D210" s="7" t="n"/>
      <c r="E210" s="7" t="n"/>
      <c r="F210" s="7" t="n"/>
      <c r="G210" s="7" t="n"/>
      <c r="H210" s="7" t="n"/>
      <c r="I210" s="80" t="n"/>
      <c r="J210" s="67" t="n"/>
      <c r="K210" s="68">
        <f>IF($A210="","",SUMIFS('Mouvements stock'!$F$5:$F$3004,'Mouvements stock'!$D$5:$D$3004,$A210,'Mouvements stock'!$C$5:$C$3004,"Entrée")+SUMIFS('Mouvements stock'!$F$5:$F$3004,'Mouvements stock'!$D$5:$D$3004,$A210,'Mouvements stock'!$C$5:$C$3004,"Retour"))</f>
        <v/>
      </c>
      <c r="L210" s="68">
        <f>IF($A210="","",SUMIFS('Mouvements stock'!$F$5:$F$3004,'Mouvements stock'!$D$5:$D$3004,$A210,'Mouvements stock'!$C$5:$C$3004,"Sortie"))</f>
        <v/>
      </c>
      <c r="M210" s="79">
        <f>IF($A210="","",N(J210)+N(K210)-N(L210))</f>
        <v/>
      </c>
      <c r="N210" s="67" t="n"/>
      <c r="O210" s="67" t="n"/>
      <c r="P210" s="67" t="n"/>
      <c r="Q210" s="67" t="n"/>
      <c r="R210" s="70">
        <f>IF($A210="","",MAX(0,M210)*N(I210))</f>
        <v/>
      </c>
      <c r="S210" s="9">
        <f>IF($A210="","",IF(M210&lt;=0,IF(N(P210)&gt;0,"Rupture - en cde","RUPTURE"),IF(M210+N(P210)&lt;=N210,"À COMMANDER",IF(M210&lt;=N210,"Commande en cours","OK"))))</f>
        <v/>
      </c>
      <c r="T210" s="68">
        <f>IF($A210="","",IF(OR(S210="À COMMANDER",S210="RUPTURE"),MAX(1,O210-M210-N(P210)),0))</f>
        <v/>
      </c>
      <c r="U210" s="68">
        <f>IF($A210="","",SUMIFS('Mouvements stock'!$F$5:$F$3004,'Mouvements stock'!$D$5:$D$3004,$A210,'Mouvements stock'!$C$5:$C$3004,"Sortie",'Mouvements stock'!$B$5:$B$3004,"&gt;="&amp;'Paramètres'!$AA$6,'Mouvements stock'!$B$5:$B$3004,"&lt;"&amp;('Paramètres'!$AA$7+1)))</f>
        <v/>
      </c>
      <c r="V210" s="78">
        <f>IF($A210="","",IF(COUNTIF('Mouvements stock'!$D$5:$D$3004,$A210)=0,"",_xlfn.MAXIFS('Mouvements stock'!$B$5:$B$3004,'Mouvements stock'!$D$5:$D$3004,$A210)))</f>
        <v/>
      </c>
    </row>
    <row r="211">
      <c r="A211" s="7" t="n"/>
      <c r="B211" s="7" t="n"/>
      <c r="C211" s="7" t="n"/>
      <c r="D211" s="7" t="n"/>
      <c r="E211" s="7" t="n"/>
      <c r="F211" s="7" t="n"/>
      <c r="G211" s="7" t="n"/>
      <c r="H211" s="7" t="n"/>
      <c r="I211" s="80" t="n"/>
      <c r="J211" s="67" t="n"/>
      <c r="K211" s="68">
        <f>IF($A211="","",SUMIFS('Mouvements stock'!$F$5:$F$3004,'Mouvements stock'!$D$5:$D$3004,$A211,'Mouvements stock'!$C$5:$C$3004,"Entrée")+SUMIFS('Mouvements stock'!$F$5:$F$3004,'Mouvements stock'!$D$5:$D$3004,$A211,'Mouvements stock'!$C$5:$C$3004,"Retour"))</f>
        <v/>
      </c>
      <c r="L211" s="68">
        <f>IF($A211="","",SUMIFS('Mouvements stock'!$F$5:$F$3004,'Mouvements stock'!$D$5:$D$3004,$A211,'Mouvements stock'!$C$5:$C$3004,"Sortie"))</f>
        <v/>
      </c>
      <c r="M211" s="79">
        <f>IF($A211="","",N(J211)+N(K211)-N(L211))</f>
        <v/>
      </c>
      <c r="N211" s="67" t="n"/>
      <c r="O211" s="67" t="n"/>
      <c r="P211" s="67" t="n"/>
      <c r="Q211" s="67" t="n"/>
      <c r="R211" s="70">
        <f>IF($A211="","",MAX(0,M211)*N(I211))</f>
        <v/>
      </c>
      <c r="S211" s="9">
        <f>IF($A211="","",IF(M211&lt;=0,IF(N(P211)&gt;0,"Rupture - en cde","RUPTURE"),IF(M211+N(P211)&lt;=N211,"À COMMANDER",IF(M211&lt;=N211,"Commande en cours","OK"))))</f>
        <v/>
      </c>
      <c r="T211" s="68">
        <f>IF($A211="","",IF(OR(S211="À COMMANDER",S211="RUPTURE"),MAX(1,O211-M211-N(P211)),0))</f>
        <v/>
      </c>
      <c r="U211" s="68">
        <f>IF($A211="","",SUMIFS('Mouvements stock'!$F$5:$F$3004,'Mouvements stock'!$D$5:$D$3004,$A211,'Mouvements stock'!$C$5:$C$3004,"Sortie",'Mouvements stock'!$B$5:$B$3004,"&gt;="&amp;'Paramètres'!$AA$6,'Mouvements stock'!$B$5:$B$3004,"&lt;"&amp;('Paramètres'!$AA$7+1)))</f>
        <v/>
      </c>
      <c r="V211" s="78">
        <f>IF($A211="","",IF(COUNTIF('Mouvements stock'!$D$5:$D$3004,$A211)=0,"",_xlfn.MAXIFS('Mouvements stock'!$B$5:$B$3004,'Mouvements stock'!$D$5:$D$3004,$A211)))</f>
        <v/>
      </c>
    </row>
    <row r="212">
      <c r="A212" s="7" t="n"/>
      <c r="B212" s="7" t="n"/>
      <c r="C212" s="7" t="n"/>
      <c r="D212" s="7" t="n"/>
      <c r="E212" s="7" t="n"/>
      <c r="F212" s="7" t="n"/>
      <c r="G212" s="7" t="n"/>
      <c r="H212" s="7" t="n"/>
      <c r="I212" s="80" t="n"/>
      <c r="J212" s="67" t="n"/>
      <c r="K212" s="68">
        <f>IF($A212="","",SUMIFS('Mouvements stock'!$F$5:$F$3004,'Mouvements stock'!$D$5:$D$3004,$A212,'Mouvements stock'!$C$5:$C$3004,"Entrée")+SUMIFS('Mouvements stock'!$F$5:$F$3004,'Mouvements stock'!$D$5:$D$3004,$A212,'Mouvements stock'!$C$5:$C$3004,"Retour"))</f>
        <v/>
      </c>
      <c r="L212" s="68">
        <f>IF($A212="","",SUMIFS('Mouvements stock'!$F$5:$F$3004,'Mouvements stock'!$D$5:$D$3004,$A212,'Mouvements stock'!$C$5:$C$3004,"Sortie"))</f>
        <v/>
      </c>
      <c r="M212" s="79">
        <f>IF($A212="","",N(J212)+N(K212)-N(L212))</f>
        <v/>
      </c>
      <c r="N212" s="67" t="n"/>
      <c r="O212" s="67" t="n"/>
      <c r="P212" s="67" t="n"/>
      <c r="Q212" s="67" t="n"/>
      <c r="R212" s="70">
        <f>IF($A212="","",MAX(0,M212)*N(I212))</f>
        <v/>
      </c>
      <c r="S212" s="9">
        <f>IF($A212="","",IF(M212&lt;=0,IF(N(P212)&gt;0,"Rupture - en cde","RUPTURE"),IF(M212+N(P212)&lt;=N212,"À COMMANDER",IF(M212&lt;=N212,"Commande en cours","OK"))))</f>
        <v/>
      </c>
      <c r="T212" s="68">
        <f>IF($A212="","",IF(OR(S212="À COMMANDER",S212="RUPTURE"),MAX(1,O212-M212-N(P212)),0))</f>
        <v/>
      </c>
      <c r="U212" s="68">
        <f>IF($A212="","",SUMIFS('Mouvements stock'!$F$5:$F$3004,'Mouvements stock'!$D$5:$D$3004,$A212,'Mouvements stock'!$C$5:$C$3004,"Sortie",'Mouvements stock'!$B$5:$B$3004,"&gt;="&amp;'Paramètres'!$AA$6,'Mouvements stock'!$B$5:$B$3004,"&lt;"&amp;('Paramètres'!$AA$7+1)))</f>
        <v/>
      </c>
      <c r="V212" s="78">
        <f>IF($A212="","",IF(COUNTIF('Mouvements stock'!$D$5:$D$3004,$A212)=0,"",_xlfn.MAXIFS('Mouvements stock'!$B$5:$B$3004,'Mouvements stock'!$D$5:$D$3004,$A212)))</f>
        <v/>
      </c>
    </row>
    <row r="213">
      <c r="A213" s="7" t="n"/>
      <c r="B213" s="7" t="n"/>
      <c r="C213" s="7" t="n"/>
      <c r="D213" s="7" t="n"/>
      <c r="E213" s="7" t="n"/>
      <c r="F213" s="7" t="n"/>
      <c r="G213" s="7" t="n"/>
      <c r="H213" s="7" t="n"/>
      <c r="I213" s="80" t="n"/>
      <c r="J213" s="67" t="n"/>
      <c r="K213" s="68">
        <f>IF($A213="","",SUMIFS('Mouvements stock'!$F$5:$F$3004,'Mouvements stock'!$D$5:$D$3004,$A213,'Mouvements stock'!$C$5:$C$3004,"Entrée")+SUMIFS('Mouvements stock'!$F$5:$F$3004,'Mouvements stock'!$D$5:$D$3004,$A213,'Mouvements stock'!$C$5:$C$3004,"Retour"))</f>
        <v/>
      </c>
      <c r="L213" s="68">
        <f>IF($A213="","",SUMIFS('Mouvements stock'!$F$5:$F$3004,'Mouvements stock'!$D$5:$D$3004,$A213,'Mouvements stock'!$C$5:$C$3004,"Sortie"))</f>
        <v/>
      </c>
      <c r="M213" s="79">
        <f>IF($A213="","",N(J213)+N(K213)-N(L213))</f>
        <v/>
      </c>
      <c r="N213" s="67" t="n"/>
      <c r="O213" s="67" t="n"/>
      <c r="P213" s="67" t="n"/>
      <c r="Q213" s="67" t="n"/>
      <c r="R213" s="70">
        <f>IF($A213="","",MAX(0,M213)*N(I213))</f>
        <v/>
      </c>
      <c r="S213" s="9">
        <f>IF($A213="","",IF(M213&lt;=0,IF(N(P213)&gt;0,"Rupture - en cde","RUPTURE"),IF(M213+N(P213)&lt;=N213,"À COMMANDER",IF(M213&lt;=N213,"Commande en cours","OK"))))</f>
        <v/>
      </c>
      <c r="T213" s="68">
        <f>IF($A213="","",IF(OR(S213="À COMMANDER",S213="RUPTURE"),MAX(1,O213-M213-N(P213)),0))</f>
        <v/>
      </c>
      <c r="U213" s="68">
        <f>IF($A213="","",SUMIFS('Mouvements stock'!$F$5:$F$3004,'Mouvements stock'!$D$5:$D$3004,$A213,'Mouvements stock'!$C$5:$C$3004,"Sortie",'Mouvements stock'!$B$5:$B$3004,"&gt;="&amp;'Paramètres'!$AA$6,'Mouvements stock'!$B$5:$B$3004,"&lt;"&amp;('Paramètres'!$AA$7+1)))</f>
        <v/>
      </c>
      <c r="V213" s="78">
        <f>IF($A213="","",IF(COUNTIF('Mouvements stock'!$D$5:$D$3004,$A213)=0,"",_xlfn.MAXIFS('Mouvements stock'!$B$5:$B$3004,'Mouvements stock'!$D$5:$D$3004,$A213)))</f>
        <v/>
      </c>
    </row>
    <row r="214">
      <c r="A214" s="7" t="n"/>
      <c r="B214" s="7" t="n"/>
      <c r="C214" s="7" t="n"/>
      <c r="D214" s="7" t="n"/>
      <c r="E214" s="7" t="n"/>
      <c r="F214" s="7" t="n"/>
      <c r="G214" s="7" t="n"/>
      <c r="H214" s="7" t="n"/>
      <c r="I214" s="80" t="n"/>
      <c r="J214" s="67" t="n"/>
      <c r="K214" s="68">
        <f>IF($A214="","",SUMIFS('Mouvements stock'!$F$5:$F$3004,'Mouvements stock'!$D$5:$D$3004,$A214,'Mouvements stock'!$C$5:$C$3004,"Entrée")+SUMIFS('Mouvements stock'!$F$5:$F$3004,'Mouvements stock'!$D$5:$D$3004,$A214,'Mouvements stock'!$C$5:$C$3004,"Retour"))</f>
        <v/>
      </c>
      <c r="L214" s="68">
        <f>IF($A214="","",SUMIFS('Mouvements stock'!$F$5:$F$3004,'Mouvements stock'!$D$5:$D$3004,$A214,'Mouvements stock'!$C$5:$C$3004,"Sortie"))</f>
        <v/>
      </c>
      <c r="M214" s="79">
        <f>IF($A214="","",N(J214)+N(K214)-N(L214))</f>
        <v/>
      </c>
      <c r="N214" s="67" t="n"/>
      <c r="O214" s="67" t="n"/>
      <c r="P214" s="67" t="n"/>
      <c r="Q214" s="67" t="n"/>
      <c r="R214" s="70">
        <f>IF($A214="","",MAX(0,M214)*N(I214))</f>
        <v/>
      </c>
      <c r="S214" s="9">
        <f>IF($A214="","",IF(M214&lt;=0,IF(N(P214)&gt;0,"Rupture - en cde","RUPTURE"),IF(M214+N(P214)&lt;=N214,"À COMMANDER",IF(M214&lt;=N214,"Commande en cours","OK"))))</f>
        <v/>
      </c>
      <c r="T214" s="68">
        <f>IF($A214="","",IF(OR(S214="À COMMANDER",S214="RUPTURE"),MAX(1,O214-M214-N(P214)),0))</f>
        <v/>
      </c>
      <c r="U214" s="68">
        <f>IF($A214="","",SUMIFS('Mouvements stock'!$F$5:$F$3004,'Mouvements stock'!$D$5:$D$3004,$A214,'Mouvements stock'!$C$5:$C$3004,"Sortie",'Mouvements stock'!$B$5:$B$3004,"&gt;="&amp;'Paramètres'!$AA$6,'Mouvements stock'!$B$5:$B$3004,"&lt;"&amp;('Paramètres'!$AA$7+1)))</f>
        <v/>
      </c>
      <c r="V214" s="78">
        <f>IF($A214="","",IF(COUNTIF('Mouvements stock'!$D$5:$D$3004,$A214)=0,"",_xlfn.MAXIFS('Mouvements stock'!$B$5:$B$3004,'Mouvements stock'!$D$5:$D$3004,$A214)))</f>
        <v/>
      </c>
    </row>
    <row r="215">
      <c r="A215" s="7" t="n"/>
      <c r="B215" s="7" t="n"/>
      <c r="C215" s="7" t="n"/>
      <c r="D215" s="7" t="n"/>
      <c r="E215" s="7" t="n"/>
      <c r="F215" s="7" t="n"/>
      <c r="G215" s="7" t="n"/>
      <c r="H215" s="7" t="n"/>
      <c r="I215" s="80" t="n"/>
      <c r="J215" s="67" t="n"/>
      <c r="K215" s="68">
        <f>IF($A215="","",SUMIFS('Mouvements stock'!$F$5:$F$3004,'Mouvements stock'!$D$5:$D$3004,$A215,'Mouvements stock'!$C$5:$C$3004,"Entrée")+SUMIFS('Mouvements stock'!$F$5:$F$3004,'Mouvements stock'!$D$5:$D$3004,$A215,'Mouvements stock'!$C$5:$C$3004,"Retour"))</f>
        <v/>
      </c>
      <c r="L215" s="68">
        <f>IF($A215="","",SUMIFS('Mouvements stock'!$F$5:$F$3004,'Mouvements stock'!$D$5:$D$3004,$A215,'Mouvements stock'!$C$5:$C$3004,"Sortie"))</f>
        <v/>
      </c>
      <c r="M215" s="79">
        <f>IF($A215="","",N(J215)+N(K215)-N(L215))</f>
        <v/>
      </c>
      <c r="N215" s="67" t="n"/>
      <c r="O215" s="67" t="n"/>
      <c r="P215" s="67" t="n"/>
      <c r="Q215" s="67" t="n"/>
      <c r="R215" s="70">
        <f>IF($A215="","",MAX(0,M215)*N(I215))</f>
        <v/>
      </c>
      <c r="S215" s="9">
        <f>IF($A215="","",IF(M215&lt;=0,IF(N(P215)&gt;0,"Rupture - en cde","RUPTURE"),IF(M215+N(P215)&lt;=N215,"À COMMANDER",IF(M215&lt;=N215,"Commande en cours","OK"))))</f>
        <v/>
      </c>
      <c r="T215" s="68">
        <f>IF($A215="","",IF(OR(S215="À COMMANDER",S215="RUPTURE"),MAX(1,O215-M215-N(P215)),0))</f>
        <v/>
      </c>
      <c r="U215" s="68">
        <f>IF($A215="","",SUMIFS('Mouvements stock'!$F$5:$F$3004,'Mouvements stock'!$D$5:$D$3004,$A215,'Mouvements stock'!$C$5:$C$3004,"Sortie",'Mouvements stock'!$B$5:$B$3004,"&gt;="&amp;'Paramètres'!$AA$6,'Mouvements stock'!$B$5:$B$3004,"&lt;"&amp;('Paramètres'!$AA$7+1)))</f>
        <v/>
      </c>
      <c r="V215" s="78">
        <f>IF($A215="","",IF(COUNTIF('Mouvements stock'!$D$5:$D$3004,$A215)=0,"",_xlfn.MAXIFS('Mouvements stock'!$B$5:$B$3004,'Mouvements stock'!$D$5:$D$3004,$A215)))</f>
        <v/>
      </c>
    </row>
    <row r="216">
      <c r="A216" s="7" t="n"/>
      <c r="B216" s="7" t="n"/>
      <c r="C216" s="7" t="n"/>
      <c r="D216" s="7" t="n"/>
      <c r="E216" s="7" t="n"/>
      <c r="F216" s="7" t="n"/>
      <c r="G216" s="7" t="n"/>
      <c r="H216" s="7" t="n"/>
      <c r="I216" s="80" t="n"/>
      <c r="J216" s="67" t="n"/>
      <c r="K216" s="68">
        <f>IF($A216="","",SUMIFS('Mouvements stock'!$F$5:$F$3004,'Mouvements stock'!$D$5:$D$3004,$A216,'Mouvements stock'!$C$5:$C$3004,"Entrée")+SUMIFS('Mouvements stock'!$F$5:$F$3004,'Mouvements stock'!$D$5:$D$3004,$A216,'Mouvements stock'!$C$5:$C$3004,"Retour"))</f>
        <v/>
      </c>
      <c r="L216" s="68">
        <f>IF($A216="","",SUMIFS('Mouvements stock'!$F$5:$F$3004,'Mouvements stock'!$D$5:$D$3004,$A216,'Mouvements stock'!$C$5:$C$3004,"Sortie"))</f>
        <v/>
      </c>
      <c r="M216" s="79">
        <f>IF($A216="","",N(J216)+N(K216)-N(L216))</f>
        <v/>
      </c>
      <c r="N216" s="67" t="n"/>
      <c r="O216" s="67" t="n"/>
      <c r="P216" s="67" t="n"/>
      <c r="Q216" s="67" t="n"/>
      <c r="R216" s="70">
        <f>IF($A216="","",MAX(0,M216)*N(I216))</f>
        <v/>
      </c>
      <c r="S216" s="9">
        <f>IF($A216="","",IF(M216&lt;=0,IF(N(P216)&gt;0,"Rupture - en cde","RUPTURE"),IF(M216+N(P216)&lt;=N216,"À COMMANDER",IF(M216&lt;=N216,"Commande en cours","OK"))))</f>
        <v/>
      </c>
      <c r="T216" s="68">
        <f>IF($A216="","",IF(OR(S216="À COMMANDER",S216="RUPTURE"),MAX(1,O216-M216-N(P216)),0))</f>
        <v/>
      </c>
      <c r="U216" s="68">
        <f>IF($A216="","",SUMIFS('Mouvements stock'!$F$5:$F$3004,'Mouvements stock'!$D$5:$D$3004,$A216,'Mouvements stock'!$C$5:$C$3004,"Sortie",'Mouvements stock'!$B$5:$B$3004,"&gt;="&amp;'Paramètres'!$AA$6,'Mouvements stock'!$B$5:$B$3004,"&lt;"&amp;('Paramètres'!$AA$7+1)))</f>
        <v/>
      </c>
      <c r="V216" s="78">
        <f>IF($A216="","",IF(COUNTIF('Mouvements stock'!$D$5:$D$3004,$A216)=0,"",_xlfn.MAXIFS('Mouvements stock'!$B$5:$B$3004,'Mouvements stock'!$D$5:$D$3004,$A216)))</f>
        <v/>
      </c>
    </row>
    <row r="217">
      <c r="A217" s="7" t="n"/>
      <c r="B217" s="7" t="n"/>
      <c r="C217" s="7" t="n"/>
      <c r="D217" s="7" t="n"/>
      <c r="E217" s="7" t="n"/>
      <c r="F217" s="7" t="n"/>
      <c r="G217" s="7" t="n"/>
      <c r="H217" s="7" t="n"/>
      <c r="I217" s="80" t="n"/>
      <c r="J217" s="67" t="n"/>
      <c r="K217" s="68">
        <f>IF($A217="","",SUMIFS('Mouvements stock'!$F$5:$F$3004,'Mouvements stock'!$D$5:$D$3004,$A217,'Mouvements stock'!$C$5:$C$3004,"Entrée")+SUMIFS('Mouvements stock'!$F$5:$F$3004,'Mouvements stock'!$D$5:$D$3004,$A217,'Mouvements stock'!$C$5:$C$3004,"Retour"))</f>
        <v/>
      </c>
      <c r="L217" s="68">
        <f>IF($A217="","",SUMIFS('Mouvements stock'!$F$5:$F$3004,'Mouvements stock'!$D$5:$D$3004,$A217,'Mouvements stock'!$C$5:$C$3004,"Sortie"))</f>
        <v/>
      </c>
      <c r="M217" s="79">
        <f>IF($A217="","",N(J217)+N(K217)-N(L217))</f>
        <v/>
      </c>
      <c r="N217" s="67" t="n"/>
      <c r="O217" s="67" t="n"/>
      <c r="P217" s="67" t="n"/>
      <c r="Q217" s="67" t="n"/>
      <c r="R217" s="70">
        <f>IF($A217="","",MAX(0,M217)*N(I217))</f>
        <v/>
      </c>
      <c r="S217" s="9">
        <f>IF($A217="","",IF(M217&lt;=0,IF(N(P217)&gt;0,"Rupture - en cde","RUPTURE"),IF(M217+N(P217)&lt;=N217,"À COMMANDER",IF(M217&lt;=N217,"Commande en cours","OK"))))</f>
        <v/>
      </c>
      <c r="T217" s="68">
        <f>IF($A217="","",IF(OR(S217="À COMMANDER",S217="RUPTURE"),MAX(1,O217-M217-N(P217)),0))</f>
        <v/>
      </c>
      <c r="U217" s="68">
        <f>IF($A217="","",SUMIFS('Mouvements stock'!$F$5:$F$3004,'Mouvements stock'!$D$5:$D$3004,$A217,'Mouvements stock'!$C$5:$C$3004,"Sortie",'Mouvements stock'!$B$5:$B$3004,"&gt;="&amp;'Paramètres'!$AA$6,'Mouvements stock'!$B$5:$B$3004,"&lt;"&amp;('Paramètres'!$AA$7+1)))</f>
        <v/>
      </c>
      <c r="V217" s="78">
        <f>IF($A217="","",IF(COUNTIF('Mouvements stock'!$D$5:$D$3004,$A217)=0,"",_xlfn.MAXIFS('Mouvements stock'!$B$5:$B$3004,'Mouvements stock'!$D$5:$D$3004,$A217)))</f>
        <v/>
      </c>
    </row>
    <row r="218">
      <c r="A218" s="7" t="n"/>
      <c r="B218" s="7" t="n"/>
      <c r="C218" s="7" t="n"/>
      <c r="D218" s="7" t="n"/>
      <c r="E218" s="7" t="n"/>
      <c r="F218" s="7" t="n"/>
      <c r="G218" s="7" t="n"/>
      <c r="H218" s="7" t="n"/>
      <c r="I218" s="80" t="n"/>
      <c r="J218" s="67" t="n"/>
      <c r="K218" s="68">
        <f>IF($A218="","",SUMIFS('Mouvements stock'!$F$5:$F$3004,'Mouvements stock'!$D$5:$D$3004,$A218,'Mouvements stock'!$C$5:$C$3004,"Entrée")+SUMIFS('Mouvements stock'!$F$5:$F$3004,'Mouvements stock'!$D$5:$D$3004,$A218,'Mouvements stock'!$C$5:$C$3004,"Retour"))</f>
        <v/>
      </c>
      <c r="L218" s="68">
        <f>IF($A218="","",SUMIFS('Mouvements stock'!$F$5:$F$3004,'Mouvements stock'!$D$5:$D$3004,$A218,'Mouvements stock'!$C$5:$C$3004,"Sortie"))</f>
        <v/>
      </c>
      <c r="M218" s="79">
        <f>IF($A218="","",N(J218)+N(K218)-N(L218))</f>
        <v/>
      </c>
      <c r="N218" s="67" t="n"/>
      <c r="O218" s="67" t="n"/>
      <c r="P218" s="67" t="n"/>
      <c r="Q218" s="67" t="n"/>
      <c r="R218" s="70">
        <f>IF($A218="","",MAX(0,M218)*N(I218))</f>
        <v/>
      </c>
      <c r="S218" s="9">
        <f>IF($A218="","",IF(M218&lt;=0,IF(N(P218)&gt;0,"Rupture - en cde","RUPTURE"),IF(M218+N(P218)&lt;=N218,"À COMMANDER",IF(M218&lt;=N218,"Commande en cours","OK"))))</f>
        <v/>
      </c>
      <c r="T218" s="68">
        <f>IF($A218="","",IF(OR(S218="À COMMANDER",S218="RUPTURE"),MAX(1,O218-M218-N(P218)),0))</f>
        <v/>
      </c>
      <c r="U218" s="68">
        <f>IF($A218="","",SUMIFS('Mouvements stock'!$F$5:$F$3004,'Mouvements stock'!$D$5:$D$3004,$A218,'Mouvements stock'!$C$5:$C$3004,"Sortie",'Mouvements stock'!$B$5:$B$3004,"&gt;="&amp;'Paramètres'!$AA$6,'Mouvements stock'!$B$5:$B$3004,"&lt;"&amp;('Paramètres'!$AA$7+1)))</f>
        <v/>
      </c>
      <c r="V218" s="78">
        <f>IF($A218="","",IF(COUNTIF('Mouvements stock'!$D$5:$D$3004,$A218)=0,"",_xlfn.MAXIFS('Mouvements stock'!$B$5:$B$3004,'Mouvements stock'!$D$5:$D$3004,$A218)))</f>
        <v/>
      </c>
    </row>
    <row r="219">
      <c r="A219" s="7" t="n"/>
      <c r="B219" s="7" t="n"/>
      <c r="C219" s="7" t="n"/>
      <c r="D219" s="7" t="n"/>
      <c r="E219" s="7" t="n"/>
      <c r="F219" s="7" t="n"/>
      <c r="G219" s="7" t="n"/>
      <c r="H219" s="7" t="n"/>
      <c r="I219" s="80" t="n"/>
      <c r="J219" s="67" t="n"/>
      <c r="K219" s="68">
        <f>IF($A219="","",SUMIFS('Mouvements stock'!$F$5:$F$3004,'Mouvements stock'!$D$5:$D$3004,$A219,'Mouvements stock'!$C$5:$C$3004,"Entrée")+SUMIFS('Mouvements stock'!$F$5:$F$3004,'Mouvements stock'!$D$5:$D$3004,$A219,'Mouvements stock'!$C$5:$C$3004,"Retour"))</f>
        <v/>
      </c>
      <c r="L219" s="68">
        <f>IF($A219="","",SUMIFS('Mouvements stock'!$F$5:$F$3004,'Mouvements stock'!$D$5:$D$3004,$A219,'Mouvements stock'!$C$5:$C$3004,"Sortie"))</f>
        <v/>
      </c>
      <c r="M219" s="79">
        <f>IF($A219="","",N(J219)+N(K219)-N(L219))</f>
        <v/>
      </c>
      <c r="N219" s="67" t="n"/>
      <c r="O219" s="67" t="n"/>
      <c r="P219" s="67" t="n"/>
      <c r="Q219" s="67" t="n"/>
      <c r="R219" s="70">
        <f>IF($A219="","",MAX(0,M219)*N(I219))</f>
        <v/>
      </c>
      <c r="S219" s="9">
        <f>IF($A219="","",IF(M219&lt;=0,IF(N(P219)&gt;0,"Rupture - en cde","RUPTURE"),IF(M219+N(P219)&lt;=N219,"À COMMANDER",IF(M219&lt;=N219,"Commande en cours","OK"))))</f>
        <v/>
      </c>
      <c r="T219" s="68">
        <f>IF($A219="","",IF(OR(S219="À COMMANDER",S219="RUPTURE"),MAX(1,O219-M219-N(P219)),0))</f>
        <v/>
      </c>
      <c r="U219" s="68">
        <f>IF($A219="","",SUMIFS('Mouvements stock'!$F$5:$F$3004,'Mouvements stock'!$D$5:$D$3004,$A219,'Mouvements stock'!$C$5:$C$3004,"Sortie",'Mouvements stock'!$B$5:$B$3004,"&gt;="&amp;'Paramètres'!$AA$6,'Mouvements stock'!$B$5:$B$3004,"&lt;"&amp;('Paramètres'!$AA$7+1)))</f>
        <v/>
      </c>
      <c r="V219" s="78">
        <f>IF($A219="","",IF(COUNTIF('Mouvements stock'!$D$5:$D$3004,$A219)=0,"",_xlfn.MAXIFS('Mouvements stock'!$B$5:$B$3004,'Mouvements stock'!$D$5:$D$3004,$A219)))</f>
        <v/>
      </c>
    </row>
    <row r="220">
      <c r="A220" s="7" t="n"/>
      <c r="B220" s="7" t="n"/>
      <c r="C220" s="7" t="n"/>
      <c r="D220" s="7" t="n"/>
      <c r="E220" s="7" t="n"/>
      <c r="F220" s="7" t="n"/>
      <c r="G220" s="7" t="n"/>
      <c r="H220" s="7" t="n"/>
      <c r="I220" s="80" t="n"/>
      <c r="J220" s="67" t="n"/>
      <c r="K220" s="68">
        <f>IF($A220="","",SUMIFS('Mouvements stock'!$F$5:$F$3004,'Mouvements stock'!$D$5:$D$3004,$A220,'Mouvements stock'!$C$5:$C$3004,"Entrée")+SUMIFS('Mouvements stock'!$F$5:$F$3004,'Mouvements stock'!$D$5:$D$3004,$A220,'Mouvements stock'!$C$5:$C$3004,"Retour"))</f>
        <v/>
      </c>
      <c r="L220" s="68">
        <f>IF($A220="","",SUMIFS('Mouvements stock'!$F$5:$F$3004,'Mouvements stock'!$D$5:$D$3004,$A220,'Mouvements stock'!$C$5:$C$3004,"Sortie"))</f>
        <v/>
      </c>
      <c r="M220" s="79">
        <f>IF($A220="","",N(J220)+N(K220)-N(L220))</f>
        <v/>
      </c>
      <c r="N220" s="67" t="n"/>
      <c r="O220" s="67" t="n"/>
      <c r="P220" s="67" t="n"/>
      <c r="Q220" s="67" t="n"/>
      <c r="R220" s="70">
        <f>IF($A220="","",MAX(0,M220)*N(I220))</f>
        <v/>
      </c>
      <c r="S220" s="9">
        <f>IF($A220="","",IF(M220&lt;=0,IF(N(P220)&gt;0,"Rupture - en cde","RUPTURE"),IF(M220+N(P220)&lt;=N220,"À COMMANDER",IF(M220&lt;=N220,"Commande en cours","OK"))))</f>
        <v/>
      </c>
      <c r="T220" s="68">
        <f>IF($A220="","",IF(OR(S220="À COMMANDER",S220="RUPTURE"),MAX(1,O220-M220-N(P220)),0))</f>
        <v/>
      </c>
      <c r="U220" s="68">
        <f>IF($A220="","",SUMIFS('Mouvements stock'!$F$5:$F$3004,'Mouvements stock'!$D$5:$D$3004,$A220,'Mouvements stock'!$C$5:$C$3004,"Sortie",'Mouvements stock'!$B$5:$B$3004,"&gt;="&amp;'Paramètres'!$AA$6,'Mouvements stock'!$B$5:$B$3004,"&lt;"&amp;('Paramètres'!$AA$7+1)))</f>
        <v/>
      </c>
      <c r="V220" s="78">
        <f>IF($A220="","",IF(COUNTIF('Mouvements stock'!$D$5:$D$3004,$A220)=0,"",_xlfn.MAXIFS('Mouvements stock'!$B$5:$B$3004,'Mouvements stock'!$D$5:$D$3004,$A220)))</f>
        <v/>
      </c>
    </row>
    <row r="221">
      <c r="A221" s="7" t="n"/>
      <c r="B221" s="7" t="n"/>
      <c r="C221" s="7" t="n"/>
      <c r="D221" s="7" t="n"/>
      <c r="E221" s="7" t="n"/>
      <c r="F221" s="7" t="n"/>
      <c r="G221" s="7" t="n"/>
      <c r="H221" s="7" t="n"/>
      <c r="I221" s="80" t="n"/>
      <c r="J221" s="67" t="n"/>
      <c r="K221" s="68">
        <f>IF($A221="","",SUMIFS('Mouvements stock'!$F$5:$F$3004,'Mouvements stock'!$D$5:$D$3004,$A221,'Mouvements stock'!$C$5:$C$3004,"Entrée")+SUMIFS('Mouvements stock'!$F$5:$F$3004,'Mouvements stock'!$D$5:$D$3004,$A221,'Mouvements stock'!$C$5:$C$3004,"Retour"))</f>
        <v/>
      </c>
      <c r="L221" s="68">
        <f>IF($A221="","",SUMIFS('Mouvements stock'!$F$5:$F$3004,'Mouvements stock'!$D$5:$D$3004,$A221,'Mouvements stock'!$C$5:$C$3004,"Sortie"))</f>
        <v/>
      </c>
      <c r="M221" s="79">
        <f>IF($A221="","",N(J221)+N(K221)-N(L221))</f>
        <v/>
      </c>
      <c r="N221" s="67" t="n"/>
      <c r="O221" s="67" t="n"/>
      <c r="P221" s="67" t="n"/>
      <c r="Q221" s="67" t="n"/>
      <c r="R221" s="70">
        <f>IF($A221="","",MAX(0,M221)*N(I221))</f>
        <v/>
      </c>
      <c r="S221" s="9">
        <f>IF($A221="","",IF(M221&lt;=0,IF(N(P221)&gt;0,"Rupture - en cde","RUPTURE"),IF(M221+N(P221)&lt;=N221,"À COMMANDER",IF(M221&lt;=N221,"Commande en cours","OK"))))</f>
        <v/>
      </c>
      <c r="T221" s="68">
        <f>IF($A221="","",IF(OR(S221="À COMMANDER",S221="RUPTURE"),MAX(1,O221-M221-N(P221)),0))</f>
        <v/>
      </c>
      <c r="U221" s="68">
        <f>IF($A221="","",SUMIFS('Mouvements stock'!$F$5:$F$3004,'Mouvements stock'!$D$5:$D$3004,$A221,'Mouvements stock'!$C$5:$C$3004,"Sortie",'Mouvements stock'!$B$5:$B$3004,"&gt;="&amp;'Paramètres'!$AA$6,'Mouvements stock'!$B$5:$B$3004,"&lt;"&amp;('Paramètres'!$AA$7+1)))</f>
        <v/>
      </c>
      <c r="V221" s="78">
        <f>IF($A221="","",IF(COUNTIF('Mouvements stock'!$D$5:$D$3004,$A221)=0,"",_xlfn.MAXIFS('Mouvements stock'!$B$5:$B$3004,'Mouvements stock'!$D$5:$D$3004,$A221)))</f>
        <v/>
      </c>
    </row>
    <row r="222">
      <c r="A222" s="7" t="n"/>
      <c r="B222" s="7" t="n"/>
      <c r="C222" s="7" t="n"/>
      <c r="D222" s="7" t="n"/>
      <c r="E222" s="7" t="n"/>
      <c r="F222" s="7" t="n"/>
      <c r="G222" s="7" t="n"/>
      <c r="H222" s="7" t="n"/>
      <c r="I222" s="80" t="n"/>
      <c r="J222" s="67" t="n"/>
      <c r="K222" s="68">
        <f>IF($A222="","",SUMIFS('Mouvements stock'!$F$5:$F$3004,'Mouvements stock'!$D$5:$D$3004,$A222,'Mouvements stock'!$C$5:$C$3004,"Entrée")+SUMIFS('Mouvements stock'!$F$5:$F$3004,'Mouvements stock'!$D$5:$D$3004,$A222,'Mouvements stock'!$C$5:$C$3004,"Retour"))</f>
        <v/>
      </c>
      <c r="L222" s="68">
        <f>IF($A222="","",SUMIFS('Mouvements stock'!$F$5:$F$3004,'Mouvements stock'!$D$5:$D$3004,$A222,'Mouvements stock'!$C$5:$C$3004,"Sortie"))</f>
        <v/>
      </c>
      <c r="M222" s="79">
        <f>IF($A222="","",N(J222)+N(K222)-N(L222))</f>
        <v/>
      </c>
      <c r="N222" s="67" t="n"/>
      <c r="O222" s="67" t="n"/>
      <c r="P222" s="67" t="n"/>
      <c r="Q222" s="67" t="n"/>
      <c r="R222" s="70">
        <f>IF($A222="","",MAX(0,M222)*N(I222))</f>
        <v/>
      </c>
      <c r="S222" s="9">
        <f>IF($A222="","",IF(M222&lt;=0,IF(N(P222)&gt;0,"Rupture - en cde","RUPTURE"),IF(M222+N(P222)&lt;=N222,"À COMMANDER",IF(M222&lt;=N222,"Commande en cours","OK"))))</f>
        <v/>
      </c>
      <c r="T222" s="68">
        <f>IF($A222="","",IF(OR(S222="À COMMANDER",S222="RUPTURE"),MAX(1,O222-M222-N(P222)),0))</f>
        <v/>
      </c>
      <c r="U222" s="68">
        <f>IF($A222="","",SUMIFS('Mouvements stock'!$F$5:$F$3004,'Mouvements stock'!$D$5:$D$3004,$A222,'Mouvements stock'!$C$5:$C$3004,"Sortie",'Mouvements stock'!$B$5:$B$3004,"&gt;="&amp;'Paramètres'!$AA$6,'Mouvements stock'!$B$5:$B$3004,"&lt;"&amp;('Paramètres'!$AA$7+1)))</f>
        <v/>
      </c>
      <c r="V222" s="78">
        <f>IF($A222="","",IF(COUNTIF('Mouvements stock'!$D$5:$D$3004,$A222)=0,"",_xlfn.MAXIFS('Mouvements stock'!$B$5:$B$3004,'Mouvements stock'!$D$5:$D$3004,$A222)))</f>
        <v/>
      </c>
    </row>
    <row r="223">
      <c r="A223" s="7" t="n"/>
      <c r="B223" s="7" t="n"/>
      <c r="C223" s="7" t="n"/>
      <c r="D223" s="7" t="n"/>
      <c r="E223" s="7" t="n"/>
      <c r="F223" s="7" t="n"/>
      <c r="G223" s="7" t="n"/>
      <c r="H223" s="7" t="n"/>
      <c r="I223" s="80" t="n"/>
      <c r="J223" s="67" t="n"/>
      <c r="K223" s="68">
        <f>IF($A223="","",SUMIFS('Mouvements stock'!$F$5:$F$3004,'Mouvements stock'!$D$5:$D$3004,$A223,'Mouvements stock'!$C$5:$C$3004,"Entrée")+SUMIFS('Mouvements stock'!$F$5:$F$3004,'Mouvements stock'!$D$5:$D$3004,$A223,'Mouvements stock'!$C$5:$C$3004,"Retour"))</f>
        <v/>
      </c>
      <c r="L223" s="68">
        <f>IF($A223="","",SUMIFS('Mouvements stock'!$F$5:$F$3004,'Mouvements stock'!$D$5:$D$3004,$A223,'Mouvements stock'!$C$5:$C$3004,"Sortie"))</f>
        <v/>
      </c>
      <c r="M223" s="79">
        <f>IF($A223="","",N(J223)+N(K223)-N(L223))</f>
        <v/>
      </c>
      <c r="N223" s="67" t="n"/>
      <c r="O223" s="67" t="n"/>
      <c r="P223" s="67" t="n"/>
      <c r="Q223" s="67" t="n"/>
      <c r="R223" s="70">
        <f>IF($A223="","",MAX(0,M223)*N(I223))</f>
        <v/>
      </c>
      <c r="S223" s="9">
        <f>IF($A223="","",IF(M223&lt;=0,IF(N(P223)&gt;0,"Rupture - en cde","RUPTURE"),IF(M223+N(P223)&lt;=N223,"À COMMANDER",IF(M223&lt;=N223,"Commande en cours","OK"))))</f>
        <v/>
      </c>
      <c r="T223" s="68">
        <f>IF($A223="","",IF(OR(S223="À COMMANDER",S223="RUPTURE"),MAX(1,O223-M223-N(P223)),0))</f>
        <v/>
      </c>
      <c r="U223" s="68">
        <f>IF($A223="","",SUMIFS('Mouvements stock'!$F$5:$F$3004,'Mouvements stock'!$D$5:$D$3004,$A223,'Mouvements stock'!$C$5:$C$3004,"Sortie",'Mouvements stock'!$B$5:$B$3004,"&gt;="&amp;'Paramètres'!$AA$6,'Mouvements stock'!$B$5:$B$3004,"&lt;"&amp;('Paramètres'!$AA$7+1)))</f>
        <v/>
      </c>
      <c r="V223" s="78">
        <f>IF($A223="","",IF(COUNTIF('Mouvements stock'!$D$5:$D$3004,$A223)=0,"",_xlfn.MAXIFS('Mouvements stock'!$B$5:$B$3004,'Mouvements stock'!$D$5:$D$3004,$A223)))</f>
        <v/>
      </c>
    </row>
    <row r="224">
      <c r="A224" s="7" t="n"/>
      <c r="B224" s="7" t="n"/>
      <c r="C224" s="7" t="n"/>
      <c r="D224" s="7" t="n"/>
      <c r="E224" s="7" t="n"/>
      <c r="F224" s="7" t="n"/>
      <c r="G224" s="7" t="n"/>
      <c r="H224" s="7" t="n"/>
      <c r="I224" s="80" t="n"/>
      <c r="J224" s="67" t="n"/>
      <c r="K224" s="68">
        <f>IF($A224="","",SUMIFS('Mouvements stock'!$F$5:$F$3004,'Mouvements stock'!$D$5:$D$3004,$A224,'Mouvements stock'!$C$5:$C$3004,"Entrée")+SUMIFS('Mouvements stock'!$F$5:$F$3004,'Mouvements stock'!$D$5:$D$3004,$A224,'Mouvements stock'!$C$5:$C$3004,"Retour"))</f>
        <v/>
      </c>
      <c r="L224" s="68">
        <f>IF($A224="","",SUMIFS('Mouvements stock'!$F$5:$F$3004,'Mouvements stock'!$D$5:$D$3004,$A224,'Mouvements stock'!$C$5:$C$3004,"Sortie"))</f>
        <v/>
      </c>
      <c r="M224" s="79">
        <f>IF($A224="","",N(J224)+N(K224)-N(L224))</f>
        <v/>
      </c>
      <c r="N224" s="67" t="n"/>
      <c r="O224" s="67" t="n"/>
      <c r="P224" s="67" t="n"/>
      <c r="Q224" s="67" t="n"/>
      <c r="R224" s="70">
        <f>IF($A224="","",MAX(0,M224)*N(I224))</f>
        <v/>
      </c>
      <c r="S224" s="9">
        <f>IF($A224="","",IF(M224&lt;=0,IF(N(P224)&gt;0,"Rupture - en cde","RUPTURE"),IF(M224+N(P224)&lt;=N224,"À COMMANDER",IF(M224&lt;=N224,"Commande en cours","OK"))))</f>
        <v/>
      </c>
      <c r="T224" s="68">
        <f>IF($A224="","",IF(OR(S224="À COMMANDER",S224="RUPTURE"),MAX(1,O224-M224-N(P224)),0))</f>
        <v/>
      </c>
      <c r="U224" s="68">
        <f>IF($A224="","",SUMIFS('Mouvements stock'!$F$5:$F$3004,'Mouvements stock'!$D$5:$D$3004,$A224,'Mouvements stock'!$C$5:$C$3004,"Sortie",'Mouvements stock'!$B$5:$B$3004,"&gt;="&amp;'Paramètres'!$AA$6,'Mouvements stock'!$B$5:$B$3004,"&lt;"&amp;('Paramètres'!$AA$7+1)))</f>
        <v/>
      </c>
      <c r="V224" s="78">
        <f>IF($A224="","",IF(COUNTIF('Mouvements stock'!$D$5:$D$3004,$A224)=0,"",_xlfn.MAXIFS('Mouvements stock'!$B$5:$B$3004,'Mouvements stock'!$D$5:$D$3004,$A224)))</f>
        <v/>
      </c>
    </row>
    <row r="225">
      <c r="A225" s="7" t="n"/>
      <c r="B225" s="7" t="n"/>
      <c r="C225" s="7" t="n"/>
      <c r="D225" s="7" t="n"/>
      <c r="E225" s="7" t="n"/>
      <c r="F225" s="7" t="n"/>
      <c r="G225" s="7" t="n"/>
      <c r="H225" s="7" t="n"/>
      <c r="I225" s="80" t="n"/>
      <c r="J225" s="67" t="n"/>
      <c r="K225" s="68">
        <f>IF($A225="","",SUMIFS('Mouvements stock'!$F$5:$F$3004,'Mouvements stock'!$D$5:$D$3004,$A225,'Mouvements stock'!$C$5:$C$3004,"Entrée")+SUMIFS('Mouvements stock'!$F$5:$F$3004,'Mouvements stock'!$D$5:$D$3004,$A225,'Mouvements stock'!$C$5:$C$3004,"Retour"))</f>
        <v/>
      </c>
      <c r="L225" s="68">
        <f>IF($A225="","",SUMIFS('Mouvements stock'!$F$5:$F$3004,'Mouvements stock'!$D$5:$D$3004,$A225,'Mouvements stock'!$C$5:$C$3004,"Sortie"))</f>
        <v/>
      </c>
      <c r="M225" s="79">
        <f>IF($A225="","",N(J225)+N(K225)-N(L225))</f>
        <v/>
      </c>
      <c r="N225" s="67" t="n"/>
      <c r="O225" s="67" t="n"/>
      <c r="P225" s="67" t="n"/>
      <c r="Q225" s="67" t="n"/>
      <c r="R225" s="70">
        <f>IF($A225="","",MAX(0,M225)*N(I225))</f>
        <v/>
      </c>
      <c r="S225" s="9">
        <f>IF($A225="","",IF(M225&lt;=0,IF(N(P225)&gt;0,"Rupture - en cde","RUPTURE"),IF(M225+N(P225)&lt;=N225,"À COMMANDER",IF(M225&lt;=N225,"Commande en cours","OK"))))</f>
        <v/>
      </c>
      <c r="T225" s="68">
        <f>IF($A225="","",IF(OR(S225="À COMMANDER",S225="RUPTURE"),MAX(1,O225-M225-N(P225)),0))</f>
        <v/>
      </c>
      <c r="U225" s="68">
        <f>IF($A225="","",SUMIFS('Mouvements stock'!$F$5:$F$3004,'Mouvements stock'!$D$5:$D$3004,$A225,'Mouvements stock'!$C$5:$C$3004,"Sortie",'Mouvements stock'!$B$5:$B$3004,"&gt;="&amp;'Paramètres'!$AA$6,'Mouvements stock'!$B$5:$B$3004,"&lt;"&amp;('Paramètres'!$AA$7+1)))</f>
        <v/>
      </c>
      <c r="V225" s="78">
        <f>IF($A225="","",IF(COUNTIF('Mouvements stock'!$D$5:$D$3004,$A225)=0,"",_xlfn.MAXIFS('Mouvements stock'!$B$5:$B$3004,'Mouvements stock'!$D$5:$D$3004,$A225)))</f>
        <v/>
      </c>
    </row>
    <row r="226">
      <c r="A226" s="7" t="n"/>
      <c r="B226" s="7" t="n"/>
      <c r="C226" s="7" t="n"/>
      <c r="D226" s="7" t="n"/>
      <c r="E226" s="7" t="n"/>
      <c r="F226" s="7" t="n"/>
      <c r="G226" s="7" t="n"/>
      <c r="H226" s="7" t="n"/>
      <c r="I226" s="80" t="n"/>
      <c r="J226" s="67" t="n"/>
      <c r="K226" s="68">
        <f>IF($A226="","",SUMIFS('Mouvements stock'!$F$5:$F$3004,'Mouvements stock'!$D$5:$D$3004,$A226,'Mouvements stock'!$C$5:$C$3004,"Entrée")+SUMIFS('Mouvements stock'!$F$5:$F$3004,'Mouvements stock'!$D$5:$D$3004,$A226,'Mouvements stock'!$C$5:$C$3004,"Retour"))</f>
        <v/>
      </c>
      <c r="L226" s="68">
        <f>IF($A226="","",SUMIFS('Mouvements stock'!$F$5:$F$3004,'Mouvements stock'!$D$5:$D$3004,$A226,'Mouvements stock'!$C$5:$C$3004,"Sortie"))</f>
        <v/>
      </c>
      <c r="M226" s="79">
        <f>IF($A226="","",N(J226)+N(K226)-N(L226))</f>
        <v/>
      </c>
      <c r="N226" s="67" t="n"/>
      <c r="O226" s="67" t="n"/>
      <c r="P226" s="67" t="n"/>
      <c r="Q226" s="67" t="n"/>
      <c r="R226" s="70">
        <f>IF($A226="","",MAX(0,M226)*N(I226))</f>
        <v/>
      </c>
      <c r="S226" s="9">
        <f>IF($A226="","",IF(M226&lt;=0,IF(N(P226)&gt;0,"Rupture - en cde","RUPTURE"),IF(M226+N(P226)&lt;=N226,"À COMMANDER",IF(M226&lt;=N226,"Commande en cours","OK"))))</f>
        <v/>
      </c>
      <c r="T226" s="68">
        <f>IF($A226="","",IF(OR(S226="À COMMANDER",S226="RUPTURE"),MAX(1,O226-M226-N(P226)),0))</f>
        <v/>
      </c>
      <c r="U226" s="68">
        <f>IF($A226="","",SUMIFS('Mouvements stock'!$F$5:$F$3004,'Mouvements stock'!$D$5:$D$3004,$A226,'Mouvements stock'!$C$5:$C$3004,"Sortie",'Mouvements stock'!$B$5:$B$3004,"&gt;="&amp;'Paramètres'!$AA$6,'Mouvements stock'!$B$5:$B$3004,"&lt;"&amp;('Paramètres'!$AA$7+1)))</f>
        <v/>
      </c>
      <c r="V226" s="78">
        <f>IF($A226="","",IF(COUNTIF('Mouvements stock'!$D$5:$D$3004,$A226)=0,"",_xlfn.MAXIFS('Mouvements stock'!$B$5:$B$3004,'Mouvements stock'!$D$5:$D$3004,$A226)))</f>
        <v/>
      </c>
    </row>
    <row r="227">
      <c r="A227" s="7" t="n"/>
      <c r="B227" s="7" t="n"/>
      <c r="C227" s="7" t="n"/>
      <c r="D227" s="7" t="n"/>
      <c r="E227" s="7" t="n"/>
      <c r="F227" s="7" t="n"/>
      <c r="G227" s="7" t="n"/>
      <c r="H227" s="7" t="n"/>
      <c r="I227" s="80" t="n"/>
      <c r="J227" s="67" t="n"/>
      <c r="K227" s="68">
        <f>IF($A227="","",SUMIFS('Mouvements stock'!$F$5:$F$3004,'Mouvements stock'!$D$5:$D$3004,$A227,'Mouvements stock'!$C$5:$C$3004,"Entrée")+SUMIFS('Mouvements stock'!$F$5:$F$3004,'Mouvements stock'!$D$5:$D$3004,$A227,'Mouvements stock'!$C$5:$C$3004,"Retour"))</f>
        <v/>
      </c>
      <c r="L227" s="68">
        <f>IF($A227="","",SUMIFS('Mouvements stock'!$F$5:$F$3004,'Mouvements stock'!$D$5:$D$3004,$A227,'Mouvements stock'!$C$5:$C$3004,"Sortie"))</f>
        <v/>
      </c>
      <c r="M227" s="79">
        <f>IF($A227="","",N(J227)+N(K227)-N(L227))</f>
        <v/>
      </c>
      <c r="N227" s="67" t="n"/>
      <c r="O227" s="67" t="n"/>
      <c r="P227" s="67" t="n"/>
      <c r="Q227" s="67" t="n"/>
      <c r="R227" s="70">
        <f>IF($A227="","",MAX(0,M227)*N(I227))</f>
        <v/>
      </c>
      <c r="S227" s="9">
        <f>IF($A227="","",IF(M227&lt;=0,IF(N(P227)&gt;0,"Rupture - en cde","RUPTURE"),IF(M227+N(P227)&lt;=N227,"À COMMANDER",IF(M227&lt;=N227,"Commande en cours","OK"))))</f>
        <v/>
      </c>
      <c r="T227" s="68">
        <f>IF($A227="","",IF(OR(S227="À COMMANDER",S227="RUPTURE"),MAX(1,O227-M227-N(P227)),0))</f>
        <v/>
      </c>
      <c r="U227" s="68">
        <f>IF($A227="","",SUMIFS('Mouvements stock'!$F$5:$F$3004,'Mouvements stock'!$D$5:$D$3004,$A227,'Mouvements stock'!$C$5:$C$3004,"Sortie",'Mouvements stock'!$B$5:$B$3004,"&gt;="&amp;'Paramètres'!$AA$6,'Mouvements stock'!$B$5:$B$3004,"&lt;"&amp;('Paramètres'!$AA$7+1)))</f>
        <v/>
      </c>
      <c r="V227" s="78">
        <f>IF($A227="","",IF(COUNTIF('Mouvements stock'!$D$5:$D$3004,$A227)=0,"",_xlfn.MAXIFS('Mouvements stock'!$B$5:$B$3004,'Mouvements stock'!$D$5:$D$3004,$A227)))</f>
        <v/>
      </c>
    </row>
    <row r="228">
      <c r="A228" s="7" t="n"/>
      <c r="B228" s="7" t="n"/>
      <c r="C228" s="7" t="n"/>
      <c r="D228" s="7" t="n"/>
      <c r="E228" s="7" t="n"/>
      <c r="F228" s="7" t="n"/>
      <c r="G228" s="7" t="n"/>
      <c r="H228" s="7" t="n"/>
      <c r="I228" s="80" t="n"/>
      <c r="J228" s="67" t="n"/>
      <c r="K228" s="68">
        <f>IF($A228="","",SUMIFS('Mouvements stock'!$F$5:$F$3004,'Mouvements stock'!$D$5:$D$3004,$A228,'Mouvements stock'!$C$5:$C$3004,"Entrée")+SUMIFS('Mouvements stock'!$F$5:$F$3004,'Mouvements stock'!$D$5:$D$3004,$A228,'Mouvements stock'!$C$5:$C$3004,"Retour"))</f>
        <v/>
      </c>
      <c r="L228" s="68">
        <f>IF($A228="","",SUMIFS('Mouvements stock'!$F$5:$F$3004,'Mouvements stock'!$D$5:$D$3004,$A228,'Mouvements stock'!$C$5:$C$3004,"Sortie"))</f>
        <v/>
      </c>
      <c r="M228" s="79">
        <f>IF($A228="","",N(J228)+N(K228)-N(L228))</f>
        <v/>
      </c>
      <c r="N228" s="67" t="n"/>
      <c r="O228" s="67" t="n"/>
      <c r="P228" s="67" t="n"/>
      <c r="Q228" s="67" t="n"/>
      <c r="R228" s="70">
        <f>IF($A228="","",MAX(0,M228)*N(I228))</f>
        <v/>
      </c>
      <c r="S228" s="9">
        <f>IF($A228="","",IF(M228&lt;=0,IF(N(P228)&gt;0,"Rupture - en cde","RUPTURE"),IF(M228+N(P228)&lt;=N228,"À COMMANDER",IF(M228&lt;=N228,"Commande en cours","OK"))))</f>
        <v/>
      </c>
      <c r="T228" s="68">
        <f>IF($A228="","",IF(OR(S228="À COMMANDER",S228="RUPTURE"),MAX(1,O228-M228-N(P228)),0))</f>
        <v/>
      </c>
      <c r="U228" s="68">
        <f>IF($A228="","",SUMIFS('Mouvements stock'!$F$5:$F$3004,'Mouvements stock'!$D$5:$D$3004,$A228,'Mouvements stock'!$C$5:$C$3004,"Sortie",'Mouvements stock'!$B$5:$B$3004,"&gt;="&amp;'Paramètres'!$AA$6,'Mouvements stock'!$B$5:$B$3004,"&lt;"&amp;('Paramètres'!$AA$7+1)))</f>
        <v/>
      </c>
      <c r="V228" s="78">
        <f>IF($A228="","",IF(COUNTIF('Mouvements stock'!$D$5:$D$3004,$A228)=0,"",_xlfn.MAXIFS('Mouvements stock'!$B$5:$B$3004,'Mouvements stock'!$D$5:$D$3004,$A228)))</f>
        <v/>
      </c>
    </row>
    <row r="229">
      <c r="A229" s="7" t="n"/>
      <c r="B229" s="7" t="n"/>
      <c r="C229" s="7" t="n"/>
      <c r="D229" s="7" t="n"/>
      <c r="E229" s="7" t="n"/>
      <c r="F229" s="7" t="n"/>
      <c r="G229" s="7" t="n"/>
      <c r="H229" s="7" t="n"/>
      <c r="I229" s="80" t="n"/>
      <c r="J229" s="67" t="n"/>
      <c r="K229" s="68">
        <f>IF($A229="","",SUMIFS('Mouvements stock'!$F$5:$F$3004,'Mouvements stock'!$D$5:$D$3004,$A229,'Mouvements stock'!$C$5:$C$3004,"Entrée")+SUMIFS('Mouvements stock'!$F$5:$F$3004,'Mouvements stock'!$D$5:$D$3004,$A229,'Mouvements stock'!$C$5:$C$3004,"Retour"))</f>
        <v/>
      </c>
      <c r="L229" s="68">
        <f>IF($A229="","",SUMIFS('Mouvements stock'!$F$5:$F$3004,'Mouvements stock'!$D$5:$D$3004,$A229,'Mouvements stock'!$C$5:$C$3004,"Sortie"))</f>
        <v/>
      </c>
      <c r="M229" s="79">
        <f>IF($A229="","",N(J229)+N(K229)-N(L229))</f>
        <v/>
      </c>
      <c r="N229" s="67" t="n"/>
      <c r="O229" s="67" t="n"/>
      <c r="P229" s="67" t="n"/>
      <c r="Q229" s="67" t="n"/>
      <c r="R229" s="70">
        <f>IF($A229="","",MAX(0,M229)*N(I229))</f>
        <v/>
      </c>
      <c r="S229" s="9">
        <f>IF($A229="","",IF(M229&lt;=0,IF(N(P229)&gt;0,"Rupture - en cde","RUPTURE"),IF(M229+N(P229)&lt;=N229,"À COMMANDER",IF(M229&lt;=N229,"Commande en cours","OK"))))</f>
        <v/>
      </c>
      <c r="T229" s="68">
        <f>IF($A229="","",IF(OR(S229="À COMMANDER",S229="RUPTURE"),MAX(1,O229-M229-N(P229)),0))</f>
        <v/>
      </c>
      <c r="U229" s="68">
        <f>IF($A229="","",SUMIFS('Mouvements stock'!$F$5:$F$3004,'Mouvements stock'!$D$5:$D$3004,$A229,'Mouvements stock'!$C$5:$C$3004,"Sortie",'Mouvements stock'!$B$5:$B$3004,"&gt;="&amp;'Paramètres'!$AA$6,'Mouvements stock'!$B$5:$B$3004,"&lt;"&amp;('Paramètres'!$AA$7+1)))</f>
        <v/>
      </c>
      <c r="V229" s="78">
        <f>IF($A229="","",IF(COUNTIF('Mouvements stock'!$D$5:$D$3004,$A229)=0,"",_xlfn.MAXIFS('Mouvements stock'!$B$5:$B$3004,'Mouvements stock'!$D$5:$D$3004,$A229)))</f>
        <v/>
      </c>
    </row>
    <row r="230">
      <c r="A230" s="7" t="n"/>
      <c r="B230" s="7" t="n"/>
      <c r="C230" s="7" t="n"/>
      <c r="D230" s="7" t="n"/>
      <c r="E230" s="7" t="n"/>
      <c r="F230" s="7" t="n"/>
      <c r="G230" s="7" t="n"/>
      <c r="H230" s="7" t="n"/>
      <c r="I230" s="80" t="n"/>
      <c r="J230" s="67" t="n"/>
      <c r="K230" s="68">
        <f>IF($A230="","",SUMIFS('Mouvements stock'!$F$5:$F$3004,'Mouvements stock'!$D$5:$D$3004,$A230,'Mouvements stock'!$C$5:$C$3004,"Entrée")+SUMIFS('Mouvements stock'!$F$5:$F$3004,'Mouvements stock'!$D$5:$D$3004,$A230,'Mouvements stock'!$C$5:$C$3004,"Retour"))</f>
        <v/>
      </c>
      <c r="L230" s="68">
        <f>IF($A230="","",SUMIFS('Mouvements stock'!$F$5:$F$3004,'Mouvements stock'!$D$5:$D$3004,$A230,'Mouvements stock'!$C$5:$C$3004,"Sortie"))</f>
        <v/>
      </c>
      <c r="M230" s="79">
        <f>IF($A230="","",N(J230)+N(K230)-N(L230))</f>
        <v/>
      </c>
      <c r="N230" s="67" t="n"/>
      <c r="O230" s="67" t="n"/>
      <c r="P230" s="67" t="n"/>
      <c r="Q230" s="67" t="n"/>
      <c r="R230" s="70">
        <f>IF($A230="","",MAX(0,M230)*N(I230))</f>
        <v/>
      </c>
      <c r="S230" s="9">
        <f>IF($A230="","",IF(M230&lt;=0,IF(N(P230)&gt;0,"Rupture - en cde","RUPTURE"),IF(M230+N(P230)&lt;=N230,"À COMMANDER",IF(M230&lt;=N230,"Commande en cours","OK"))))</f>
        <v/>
      </c>
      <c r="T230" s="68">
        <f>IF($A230="","",IF(OR(S230="À COMMANDER",S230="RUPTURE"),MAX(1,O230-M230-N(P230)),0))</f>
        <v/>
      </c>
      <c r="U230" s="68">
        <f>IF($A230="","",SUMIFS('Mouvements stock'!$F$5:$F$3004,'Mouvements stock'!$D$5:$D$3004,$A230,'Mouvements stock'!$C$5:$C$3004,"Sortie",'Mouvements stock'!$B$5:$B$3004,"&gt;="&amp;'Paramètres'!$AA$6,'Mouvements stock'!$B$5:$B$3004,"&lt;"&amp;('Paramètres'!$AA$7+1)))</f>
        <v/>
      </c>
      <c r="V230" s="78">
        <f>IF($A230="","",IF(COUNTIF('Mouvements stock'!$D$5:$D$3004,$A230)=0,"",_xlfn.MAXIFS('Mouvements stock'!$B$5:$B$3004,'Mouvements stock'!$D$5:$D$3004,$A230)))</f>
        <v/>
      </c>
    </row>
    <row r="231">
      <c r="A231" s="7" t="n"/>
      <c r="B231" s="7" t="n"/>
      <c r="C231" s="7" t="n"/>
      <c r="D231" s="7" t="n"/>
      <c r="E231" s="7" t="n"/>
      <c r="F231" s="7" t="n"/>
      <c r="G231" s="7" t="n"/>
      <c r="H231" s="7" t="n"/>
      <c r="I231" s="80" t="n"/>
      <c r="J231" s="67" t="n"/>
      <c r="K231" s="68">
        <f>IF($A231="","",SUMIFS('Mouvements stock'!$F$5:$F$3004,'Mouvements stock'!$D$5:$D$3004,$A231,'Mouvements stock'!$C$5:$C$3004,"Entrée")+SUMIFS('Mouvements stock'!$F$5:$F$3004,'Mouvements stock'!$D$5:$D$3004,$A231,'Mouvements stock'!$C$5:$C$3004,"Retour"))</f>
        <v/>
      </c>
      <c r="L231" s="68">
        <f>IF($A231="","",SUMIFS('Mouvements stock'!$F$5:$F$3004,'Mouvements stock'!$D$5:$D$3004,$A231,'Mouvements stock'!$C$5:$C$3004,"Sortie"))</f>
        <v/>
      </c>
      <c r="M231" s="79">
        <f>IF($A231="","",N(J231)+N(K231)-N(L231))</f>
        <v/>
      </c>
      <c r="N231" s="67" t="n"/>
      <c r="O231" s="67" t="n"/>
      <c r="P231" s="67" t="n"/>
      <c r="Q231" s="67" t="n"/>
      <c r="R231" s="70">
        <f>IF($A231="","",MAX(0,M231)*N(I231))</f>
        <v/>
      </c>
      <c r="S231" s="9">
        <f>IF($A231="","",IF(M231&lt;=0,IF(N(P231)&gt;0,"Rupture - en cde","RUPTURE"),IF(M231+N(P231)&lt;=N231,"À COMMANDER",IF(M231&lt;=N231,"Commande en cours","OK"))))</f>
        <v/>
      </c>
      <c r="T231" s="68">
        <f>IF($A231="","",IF(OR(S231="À COMMANDER",S231="RUPTURE"),MAX(1,O231-M231-N(P231)),0))</f>
        <v/>
      </c>
      <c r="U231" s="68">
        <f>IF($A231="","",SUMIFS('Mouvements stock'!$F$5:$F$3004,'Mouvements stock'!$D$5:$D$3004,$A231,'Mouvements stock'!$C$5:$C$3004,"Sortie",'Mouvements stock'!$B$5:$B$3004,"&gt;="&amp;'Paramètres'!$AA$6,'Mouvements stock'!$B$5:$B$3004,"&lt;"&amp;('Paramètres'!$AA$7+1)))</f>
        <v/>
      </c>
      <c r="V231" s="78">
        <f>IF($A231="","",IF(COUNTIF('Mouvements stock'!$D$5:$D$3004,$A231)=0,"",_xlfn.MAXIFS('Mouvements stock'!$B$5:$B$3004,'Mouvements stock'!$D$5:$D$3004,$A231)))</f>
        <v/>
      </c>
    </row>
    <row r="232">
      <c r="A232" s="7" t="n"/>
      <c r="B232" s="7" t="n"/>
      <c r="C232" s="7" t="n"/>
      <c r="D232" s="7" t="n"/>
      <c r="E232" s="7" t="n"/>
      <c r="F232" s="7" t="n"/>
      <c r="G232" s="7" t="n"/>
      <c r="H232" s="7" t="n"/>
      <c r="I232" s="80" t="n"/>
      <c r="J232" s="67" t="n"/>
      <c r="K232" s="68">
        <f>IF($A232="","",SUMIFS('Mouvements stock'!$F$5:$F$3004,'Mouvements stock'!$D$5:$D$3004,$A232,'Mouvements stock'!$C$5:$C$3004,"Entrée")+SUMIFS('Mouvements stock'!$F$5:$F$3004,'Mouvements stock'!$D$5:$D$3004,$A232,'Mouvements stock'!$C$5:$C$3004,"Retour"))</f>
        <v/>
      </c>
      <c r="L232" s="68">
        <f>IF($A232="","",SUMIFS('Mouvements stock'!$F$5:$F$3004,'Mouvements stock'!$D$5:$D$3004,$A232,'Mouvements stock'!$C$5:$C$3004,"Sortie"))</f>
        <v/>
      </c>
      <c r="M232" s="79">
        <f>IF($A232="","",N(J232)+N(K232)-N(L232))</f>
        <v/>
      </c>
      <c r="N232" s="67" t="n"/>
      <c r="O232" s="67" t="n"/>
      <c r="P232" s="67" t="n"/>
      <c r="Q232" s="67" t="n"/>
      <c r="R232" s="70">
        <f>IF($A232="","",MAX(0,M232)*N(I232))</f>
        <v/>
      </c>
      <c r="S232" s="9">
        <f>IF($A232="","",IF(M232&lt;=0,IF(N(P232)&gt;0,"Rupture - en cde","RUPTURE"),IF(M232+N(P232)&lt;=N232,"À COMMANDER",IF(M232&lt;=N232,"Commande en cours","OK"))))</f>
        <v/>
      </c>
      <c r="T232" s="68">
        <f>IF($A232="","",IF(OR(S232="À COMMANDER",S232="RUPTURE"),MAX(1,O232-M232-N(P232)),0))</f>
        <v/>
      </c>
      <c r="U232" s="68">
        <f>IF($A232="","",SUMIFS('Mouvements stock'!$F$5:$F$3004,'Mouvements stock'!$D$5:$D$3004,$A232,'Mouvements stock'!$C$5:$C$3004,"Sortie",'Mouvements stock'!$B$5:$B$3004,"&gt;="&amp;'Paramètres'!$AA$6,'Mouvements stock'!$B$5:$B$3004,"&lt;"&amp;('Paramètres'!$AA$7+1)))</f>
        <v/>
      </c>
      <c r="V232" s="78">
        <f>IF($A232="","",IF(COUNTIF('Mouvements stock'!$D$5:$D$3004,$A232)=0,"",_xlfn.MAXIFS('Mouvements stock'!$B$5:$B$3004,'Mouvements stock'!$D$5:$D$3004,$A232)))</f>
        <v/>
      </c>
    </row>
    <row r="233">
      <c r="A233" s="7" t="n"/>
      <c r="B233" s="7" t="n"/>
      <c r="C233" s="7" t="n"/>
      <c r="D233" s="7" t="n"/>
      <c r="E233" s="7" t="n"/>
      <c r="F233" s="7" t="n"/>
      <c r="G233" s="7" t="n"/>
      <c r="H233" s="7" t="n"/>
      <c r="I233" s="80" t="n"/>
      <c r="J233" s="67" t="n"/>
      <c r="K233" s="68">
        <f>IF($A233="","",SUMIFS('Mouvements stock'!$F$5:$F$3004,'Mouvements stock'!$D$5:$D$3004,$A233,'Mouvements stock'!$C$5:$C$3004,"Entrée")+SUMIFS('Mouvements stock'!$F$5:$F$3004,'Mouvements stock'!$D$5:$D$3004,$A233,'Mouvements stock'!$C$5:$C$3004,"Retour"))</f>
        <v/>
      </c>
      <c r="L233" s="68">
        <f>IF($A233="","",SUMIFS('Mouvements stock'!$F$5:$F$3004,'Mouvements stock'!$D$5:$D$3004,$A233,'Mouvements stock'!$C$5:$C$3004,"Sortie"))</f>
        <v/>
      </c>
      <c r="M233" s="79">
        <f>IF($A233="","",N(J233)+N(K233)-N(L233))</f>
        <v/>
      </c>
      <c r="N233" s="67" t="n"/>
      <c r="O233" s="67" t="n"/>
      <c r="P233" s="67" t="n"/>
      <c r="Q233" s="67" t="n"/>
      <c r="R233" s="70">
        <f>IF($A233="","",MAX(0,M233)*N(I233))</f>
        <v/>
      </c>
      <c r="S233" s="9">
        <f>IF($A233="","",IF(M233&lt;=0,IF(N(P233)&gt;0,"Rupture - en cde","RUPTURE"),IF(M233+N(P233)&lt;=N233,"À COMMANDER",IF(M233&lt;=N233,"Commande en cours","OK"))))</f>
        <v/>
      </c>
      <c r="T233" s="68">
        <f>IF($A233="","",IF(OR(S233="À COMMANDER",S233="RUPTURE"),MAX(1,O233-M233-N(P233)),0))</f>
        <v/>
      </c>
      <c r="U233" s="68">
        <f>IF($A233="","",SUMIFS('Mouvements stock'!$F$5:$F$3004,'Mouvements stock'!$D$5:$D$3004,$A233,'Mouvements stock'!$C$5:$C$3004,"Sortie",'Mouvements stock'!$B$5:$B$3004,"&gt;="&amp;'Paramètres'!$AA$6,'Mouvements stock'!$B$5:$B$3004,"&lt;"&amp;('Paramètres'!$AA$7+1)))</f>
        <v/>
      </c>
      <c r="V233" s="78">
        <f>IF($A233="","",IF(COUNTIF('Mouvements stock'!$D$5:$D$3004,$A233)=0,"",_xlfn.MAXIFS('Mouvements stock'!$B$5:$B$3004,'Mouvements stock'!$D$5:$D$3004,$A233)))</f>
        <v/>
      </c>
    </row>
    <row r="234">
      <c r="A234" s="7" t="n"/>
      <c r="B234" s="7" t="n"/>
      <c r="C234" s="7" t="n"/>
      <c r="D234" s="7" t="n"/>
      <c r="E234" s="7" t="n"/>
      <c r="F234" s="7" t="n"/>
      <c r="G234" s="7" t="n"/>
      <c r="H234" s="7" t="n"/>
      <c r="I234" s="80" t="n"/>
      <c r="J234" s="67" t="n"/>
      <c r="K234" s="68">
        <f>IF($A234="","",SUMIFS('Mouvements stock'!$F$5:$F$3004,'Mouvements stock'!$D$5:$D$3004,$A234,'Mouvements stock'!$C$5:$C$3004,"Entrée")+SUMIFS('Mouvements stock'!$F$5:$F$3004,'Mouvements stock'!$D$5:$D$3004,$A234,'Mouvements stock'!$C$5:$C$3004,"Retour"))</f>
        <v/>
      </c>
      <c r="L234" s="68">
        <f>IF($A234="","",SUMIFS('Mouvements stock'!$F$5:$F$3004,'Mouvements stock'!$D$5:$D$3004,$A234,'Mouvements stock'!$C$5:$C$3004,"Sortie"))</f>
        <v/>
      </c>
      <c r="M234" s="79">
        <f>IF($A234="","",N(J234)+N(K234)-N(L234))</f>
        <v/>
      </c>
      <c r="N234" s="67" t="n"/>
      <c r="O234" s="67" t="n"/>
      <c r="P234" s="67" t="n"/>
      <c r="Q234" s="67" t="n"/>
      <c r="R234" s="70">
        <f>IF($A234="","",MAX(0,M234)*N(I234))</f>
        <v/>
      </c>
      <c r="S234" s="9">
        <f>IF($A234="","",IF(M234&lt;=0,IF(N(P234)&gt;0,"Rupture - en cde","RUPTURE"),IF(M234+N(P234)&lt;=N234,"À COMMANDER",IF(M234&lt;=N234,"Commande en cours","OK"))))</f>
        <v/>
      </c>
      <c r="T234" s="68">
        <f>IF($A234="","",IF(OR(S234="À COMMANDER",S234="RUPTURE"),MAX(1,O234-M234-N(P234)),0))</f>
        <v/>
      </c>
      <c r="U234" s="68">
        <f>IF($A234="","",SUMIFS('Mouvements stock'!$F$5:$F$3004,'Mouvements stock'!$D$5:$D$3004,$A234,'Mouvements stock'!$C$5:$C$3004,"Sortie",'Mouvements stock'!$B$5:$B$3004,"&gt;="&amp;'Paramètres'!$AA$6,'Mouvements stock'!$B$5:$B$3004,"&lt;"&amp;('Paramètres'!$AA$7+1)))</f>
        <v/>
      </c>
      <c r="V234" s="78">
        <f>IF($A234="","",IF(COUNTIF('Mouvements stock'!$D$5:$D$3004,$A234)=0,"",_xlfn.MAXIFS('Mouvements stock'!$B$5:$B$3004,'Mouvements stock'!$D$5:$D$3004,$A234)))</f>
        <v/>
      </c>
    </row>
    <row r="235">
      <c r="A235" s="7" t="n"/>
      <c r="B235" s="7" t="n"/>
      <c r="C235" s="7" t="n"/>
      <c r="D235" s="7" t="n"/>
      <c r="E235" s="7" t="n"/>
      <c r="F235" s="7" t="n"/>
      <c r="G235" s="7" t="n"/>
      <c r="H235" s="7" t="n"/>
      <c r="I235" s="80" t="n"/>
      <c r="J235" s="67" t="n"/>
      <c r="K235" s="68">
        <f>IF($A235="","",SUMIFS('Mouvements stock'!$F$5:$F$3004,'Mouvements stock'!$D$5:$D$3004,$A235,'Mouvements stock'!$C$5:$C$3004,"Entrée")+SUMIFS('Mouvements stock'!$F$5:$F$3004,'Mouvements stock'!$D$5:$D$3004,$A235,'Mouvements stock'!$C$5:$C$3004,"Retour"))</f>
        <v/>
      </c>
      <c r="L235" s="68">
        <f>IF($A235="","",SUMIFS('Mouvements stock'!$F$5:$F$3004,'Mouvements stock'!$D$5:$D$3004,$A235,'Mouvements stock'!$C$5:$C$3004,"Sortie"))</f>
        <v/>
      </c>
      <c r="M235" s="79">
        <f>IF($A235="","",N(J235)+N(K235)-N(L235))</f>
        <v/>
      </c>
      <c r="N235" s="67" t="n"/>
      <c r="O235" s="67" t="n"/>
      <c r="P235" s="67" t="n"/>
      <c r="Q235" s="67" t="n"/>
      <c r="R235" s="70">
        <f>IF($A235="","",MAX(0,M235)*N(I235))</f>
        <v/>
      </c>
      <c r="S235" s="9">
        <f>IF($A235="","",IF(M235&lt;=0,IF(N(P235)&gt;0,"Rupture - en cde","RUPTURE"),IF(M235+N(P235)&lt;=N235,"À COMMANDER",IF(M235&lt;=N235,"Commande en cours","OK"))))</f>
        <v/>
      </c>
      <c r="T235" s="68">
        <f>IF($A235="","",IF(OR(S235="À COMMANDER",S235="RUPTURE"),MAX(1,O235-M235-N(P235)),0))</f>
        <v/>
      </c>
      <c r="U235" s="68">
        <f>IF($A235="","",SUMIFS('Mouvements stock'!$F$5:$F$3004,'Mouvements stock'!$D$5:$D$3004,$A235,'Mouvements stock'!$C$5:$C$3004,"Sortie",'Mouvements stock'!$B$5:$B$3004,"&gt;="&amp;'Paramètres'!$AA$6,'Mouvements stock'!$B$5:$B$3004,"&lt;"&amp;('Paramètres'!$AA$7+1)))</f>
        <v/>
      </c>
      <c r="V235" s="78">
        <f>IF($A235="","",IF(COUNTIF('Mouvements stock'!$D$5:$D$3004,$A235)=0,"",_xlfn.MAXIFS('Mouvements stock'!$B$5:$B$3004,'Mouvements stock'!$D$5:$D$3004,$A235)))</f>
        <v/>
      </c>
    </row>
    <row r="236">
      <c r="A236" s="7" t="n"/>
      <c r="B236" s="7" t="n"/>
      <c r="C236" s="7" t="n"/>
      <c r="D236" s="7" t="n"/>
      <c r="E236" s="7" t="n"/>
      <c r="F236" s="7" t="n"/>
      <c r="G236" s="7" t="n"/>
      <c r="H236" s="7" t="n"/>
      <c r="I236" s="80" t="n"/>
      <c r="J236" s="67" t="n"/>
      <c r="K236" s="68">
        <f>IF($A236="","",SUMIFS('Mouvements stock'!$F$5:$F$3004,'Mouvements stock'!$D$5:$D$3004,$A236,'Mouvements stock'!$C$5:$C$3004,"Entrée")+SUMIFS('Mouvements stock'!$F$5:$F$3004,'Mouvements stock'!$D$5:$D$3004,$A236,'Mouvements stock'!$C$5:$C$3004,"Retour"))</f>
        <v/>
      </c>
      <c r="L236" s="68">
        <f>IF($A236="","",SUMIFS('Mouvements stock'!$F$5:$F$3004,'Mouvements stock'!$D$5:$D$3004,$A236,'Mouvements stock'!$C$5:$C$3004,"Sortie"))</f>
        <v/>
      </c>
      <c r="M236" s="79">
        <f>IF($A236="","",N(J236)+N(K236)-N(L236))</f>
        <v/>
      </c>
      <c r="N236" s="67" t="n"/>
      <c r="O236" s="67" t="n"/>
      <c r="P236" s="67" t="n"/>
      <c r="Q236" s="67" t="n"/>
      <c r="R236" s="70">
        <f>IF($A236="","",MAX(0,M236)*N(I236))</f>
        <v/>
      </c>
      <c r="S236" s="9">
        <f>IF($A236="","",IF(M236&lt;=0,IF(N(P236)&gt;0,"Rupture - en cde","RUPTURE"),IF(M236+N(P236)&lt;=N236,"À COMMANDER",IF(M236&lt;=N236,"Commande en cours","OK"))))</f>
        <v/>
      </c>
      <c r="T236" s="68">
        <f>IF($A236="","",IF(OR(S236="À COMMANDER",S236="RUPTURE"),MAX(1,O236-M236-N(P236)),0))</f>
        <v/>
      </c>
      <c r="U236" s="68">
        <f>IF($A236="","",SUMIFS('Mouvements stock'!$F$5:$F$3004,'Mouvements stock'!$D$5:$D$3004,$A236,'Mouvements stock'!$C$5:$C$3004,"Sortie",'Mouvements stock'!$B$5:$B$3004,"&gt;="&amp;'Paramètres'!$AA$6,'Mouvements stock'!$B$5:$B$3004,"&lt;"&amp;('Paramètres'!$AA$7+1)))</f>
        <v/>
      </c>
      <c r="V236" s="78">
        <f>IF($A236="","",IF(COUNTIF('Mouvements stock'!$D$5:$D$3004,$A236)=0,"",_xlfn.MAXIFS('Mouvements stock'!$B$5:$B$3004,'Mouvements stock'!$D$5:$D$3004,$A236)))</f>
        <v/>
      </c>
    </row>
    <row r="237">
      <c r="A237" s="7" t="n"/>
      <c r="B237" s="7" t="n"/>
      <c r="C237" s="7" t="n"/>
      <c r="D237" s="7" t="n"/>
      <c r="E237" s="7" t="n"/>
      <c r="F237" s="7" t="n"/>
      <c r="G237" s="7" t="n"/>
      <c r="H237" s="7" t="n"/>
      <c r="I237" s="80" t="n"/>
      <c r="J237" s="67" t="n"/>
      <c r="K237" s="68">
        <f>IF($A237="","",SUMIFS('Mouvements stock'!$F$5:$F$3004,'Mouvements stock'!$D$5:$D$3004,$A237,'Mouvements stock'!$C$5:$C$3004,"Entrée")+SUMIFS('Mouvements stock'!$F$5:$F$3004,'Mouvements stock'!$D$5:$D$3004,$A237,'Mouvements stock'!$C$5:$C$3004,"Retour"))</f>
        <v/>
      </c>
      <c r="L237" s="68">
        <f>IF($A237="","",SUMIFS('Mouvements stock'!$F$5:$F$3004,'Mouvements stock'!$D$5:$D$3004,$A237,'Mouvements stock'!$C$5:$C$3004,"Sortie"))</f>
        <v/>
      </c>
      <c r="M237" s="79">
        <f>IF($A237="","",N(J237)+N(K237)-N(L237))</f>
        <v/>
      </c>
      <c r="N237" s="67" t="n"/>
      <c r="O237" s="67" t="n"/>
      <c r="P237" s="67" t="n"/>
      <c r="Q237" s="67" t="n"/>
      <c r="R237" s="70">
        <f>IF($A237="","",MAX(0,M237)*N(I237))</f>
        <v/>
      </c>
      <c r="S237" s="9">
        <f>IF($A237="","",IF(M237&lt;=0,IF(N(P237)&gt;0,"Rupture - en cde","RUPTURE"),IF(M237+N(P237)&lt;=N237,"À COMMANDER",IF(M237&lt;=N237,"Commande en cours","OK"))))</f>
        <v/>
      </c>
      <c r="T237" s="68">
        <f>IF($A237="","",IF(OR(S237="À COMMANDER",S237="RUPTURE"),MAX(1,O237-M237-N(P237)),0))</f>
        <v/>
      </c>
      <c r="U237" s="68">
        <f>IF($A237="","",SUMIFS('Mouvements stock'!$F$5:$F$3004,'Mouvements stock'!$D$5:$D$3004,$A237,'Mouvements stock'!$C$5:$C$3004,"Sortie",'Mouvements stock'!$B$5:$B$3004,"&gt;="&amp;'Paramètres'!$AA$6,'Mouvements stock'!$B$5:$B$3004,"&lt;"&amp;('Paramètres'!$AA$7+1)))</f>
        <v/>
      </c>
      <c r="V237" s="78">
        <f>IF($A237="","",IF(COUNTIF('Mouvements stock'!$D$5:$D$3004,$A237)=0,"",_xlfn.MAXIFS('Mouvements stock'!$B$5:$B$3004,'Mouvements stock'!$D$5:$D$3004,$A237)))</f>
        <v/>
      </c>
    </row>
    <row r="238">
      <c r="A238" s="7" t="n"/>
      <c r="B238" s="7" t="n"/>
      <c r="C238" s="7" t="n"/>
      <c r="D238" s="7" t="n"/>
      <c r="E238" s="7" t="n"/>
      <c r="F238" s="7" t="n"/>
      <c r="G238" s="7" t="n"/>
      <c r="H238" s="7" t="n"/>
      <c r="I238" s="80" t="n"/>
      <c r="J238" s="67" t="n"/>
      <c r="K238" s="68">
        <f>IF($A238="","",SUMIFS('Mouvements stock'!$F$5:$F$3004,'Mouvements stock'!$D$5:$D$3004,$A238,'Mouvements stock'!$C$5:$C$3004,"Entrée")+SUMIFS('Mouvements stock'!$F$5:$F$3004,'Mouvements stock'!$D$5:$D$3004,$A238,'Mouvements stock'!$C$5:$C$3004,"Retour"))</f>
        <v/>
      </c>
      <c r="L238" s="68">
        <f>IF($A238="","",SUMIFS('Mouvements stock'!$F$5:$F$3004,'Mouvements stock'!$D$5:$D$3004,$A238,'Mouvements stock'!$C$5:$C$3004,"Sortie"))</f>
        <v/>
      </c>
      <c r="M238" s="79">
        <f>IF($A238="","",N(J238)+N(K238)-N(L238))</f>
        <v/>
      </c>
      <c r="N238" s="67" t="n"/>
      <c r="O238" s="67" t="n"/>
      <c r="P238" s="67" t="n"/>
      <c r="Q238" s="67" t="n"/>
      <c r="R238" s="70">
        <f>IF($A238="","",MAX(0,M238)*N(I238))</f>
        <v/>
      </c>
      <c r="S238" s="9">
        <f>IF($A238="","",IF(M238&lt;=0,IF(N(P238)&gt;0,"Rupture - en cde","RUPTURE"),IF(M238+N(P238)&lt;=N238,"À COMMANDER",IF(M238&lt;=N238,"Commande en cours","OK"))))</f>
        <v/>
      </c>
      <c r="T238" s="68">
        <f>IF($A238="","",IF(OR(S238="À COMMANDER",S238="RUPTURE"),MAX(1,O238-M238-N(P238)),0))</f>
        <v/>
      </c>
      <c r="U238" s="68">
        <f>IF($A238="","",SUMIFS('Mouvements stock'!$F$5:$F$3004,'Mouvements stock'!$D$5:$D$3004,$A238,'Mouvements stock'!$C$5:$C$3004,"Sortie",'Mouvements stock'!$B$5:$B$3004,"&gt;="&amp;'Paramètres'!$AA$6,'Mouvements stock'!$B$5:$B$3004,"&lt;"&amp;('Paramètres'!$AA$7+1)))</f>
        <v/>
      </c>
      <c r="V238" s="78">
        <f>IF($A238="","",IF(COUNTIF('Mouvements stock'!$D$5:$D$3004,$A238)=0,"",_xlfn.MAXIFS('Mouvements stock'!$B$5:$B$3004,'Mouvements stock'!$D$5:$D$3004,$A238)))</f>
        <v/>
      </c>
    </row>
    <row r="239">
      <c r="A239" s="7" t="n"/>
      <c r="B239" s="7" t="n"/>
      <c r="C239" s="7" t="n"/>
      <c r="D239" s="7" t="n"/>
      <c r="E239" s="7" t="n"/>
      <c r="F239" s="7" t="n"/>
      <c r="G239" s="7" t="n"/>
      <c r="H239" s="7" t="n"/>
      <c r="I239" s="80" t="n"/>
      <c r="J239" s="67" t="n"/>
      <c r="K239" s="68">
        <f>IF($A239="","",SUMIFS('Mouvements stock'!$F$5:$F$3004,'Mouvements stock'!$D$5:$D$3004,$A239,'Mouvements stock'!$C$5:$C$3004,"Entrée")+SUMIFS('Mouvements stock'!$F$5:$F$3004,'Mouvements stock'!$D$5:$D$3004,$A239,'Mouvements stock'!$C$5:$C$3004,"Retour"))</f>
        <v/>
      </c>
      <c r="L239" s="68">
        <f>IF($A239="","",SUMIFS('Mouvements stock'!$F$5:$F$3004,'Mouvements stock'!$D$5:$D$3004,$A239,'Mouvements stock'!$C$5:$C$3004,"Sortie"))</f>
        <v/>
      </c>
      <c r="M239" s="79">
        <f>IF($A239="","",N(J239)+N(K239)-N(L239))</f>
        <v/>
      </c>
      <c r="N239" s="67" t="n"/>
      <c r="O239" s="67" t="n"/>
      <c r="P239" s="67" t="n"/>
      <c r="Q239" s="67" t="n"/>
      <c r="R239" s="70">
        <f>IF($A239="","",MAX(0,M239)*N(I239))</f>
        <v/>
      </c>
      <c r="S239" s="9">
        <f>IF($A239="","",IF(M239&lt;=0,IF(N(P239)&gt;0,"Rupture - en cde","RUPTURE"),IF(M239+N(P239)&lt;=N239,"À COMMANDER",IF(M239&lt;=N239,"Commande en cours","OK"))))</f>
        <v/>
      </c>
      <c r="T239" s="68">
        <f>IF($A239="","",IF(OR(S239="À COMMANDER",S239="RUPTURE"),MAX(1,O239-M239-N(P239)),0))</f>
        <v/>
      </c>
      <c r="U239" s="68">
        <f>IF($A239="","",SUMIFS('Mouvements stock'!$F$5:$F$3004,'Mouvements stock'!$D$5:$D$3004,$A239,'Mouvements stock'!$C$5:$C$3004,"Sortie",'Mouvements stock'!$B$5:$B$3004,"&gt;="&amp;'Paramètres'!$AA$6,'Mouvements stock'!$B$5:$B$3004,"&lt;"&amp;('Paramètres'!$AA$7+1)))</f>
        <v/>
      </c>
      <c r="V239" s="78">
        <f>IF($A239="","",IF(COUNTIF('Mouvements stock'!$D$5:$D$3004,$A239)=0,"",_xlfn.MAXIFS('Mouvements stock'!$B$5:$B$3004,'Mouvements stock'!$D$5:$D$3004,$A239)))</f>
        <v/>
      </c>
    </row>
    <row r="240">
      <c r="A240" s="7" t="n"/>
      <c r="B240" s="7" t="n"/>
      <c r="C240" s="7" t="n"/>
      <c r="D240" s="7" t="n"/>
      <c r="E240" s="7" t="n"/>
      <c r="F240" s="7" t="n"/>
      <c r="G240" s="7" t="n"/>
      <c r="H240" s="7" t="n"/>
      <c r="I240" s="80" t="n"/>
      <c r="J240" s="67" t="n"/>
      <c r="K240" s="68">
        <f>IF($A240="","",SUMIFS('Mouvements stock'!$F$5:$F$3004,'Mouvements stock'!$D$5:$D$3004,$A240,'Mouvements stock'!$C$5:$C$3004,"Entrée")+SUMIFS('Mouvements stock'!$F$5:$F$3004,'Mouvements stock'!$D$5:$D$3004,$A240,'Mouvements stock'!$C$5:$C$3004,"Retour"))</f>
        <v/>
      </c>
      <c r="L240" s="68">
        <f>IF($A240="","",SUMIFS('Mouvements stock'!$F$5:$F$3004,'Mouvements stock'!$D$5:$D$3004,$A240,'Mouvements stock'!$C$5:$C$3004,"Sortie"))</f>
        <v/>
      </c>
      <c r="M240" s="79">
        <f>IF($A240="","",N(J240)+N(K240)-N(L240))</f>
        <v/>
      </c>
      <c r="N240" s="67" t="n"/>
      <c r="O240" s="67" t="n"/>
      <c r="P240" s="67" t="n"/>
      <c r="Q240" s="67" t="n"/>
      <c r="R240" s="70">
        <f>IF($A240="","",MAX(0,M240)*N(I240))</f>
        <v/>
      </c>
      <c r="S240" s="9">
        <f>IF($A240="","",IF(M240&lt;=0,IF(N(P240)&gt;0,"Rupture - en cde","RUPTURE"),IF(M240+N(P240)&lt;=N240,"À COMMANDER",IF(M240&lt;=N240,"Commande en cours","OK"))))</f>
        <v/>
      </c>
      <c r="T240" s="68">
        <f>IF($A240="","",IF(OR(S240="À COMMANDER",S240="RUPTURE"),MAX(1,O240-M240-N(P240)),0))</f>
        <v/>
      </c>
      <c r="U240" s="68">
        <f>IF($A240="","",SUMIFS('Mouvements stock'!$F$5:$F$3004,'Mouvements stock'!$D$5:$D$3004,$A240,'Mouvements stock'!$C$5:$C$3004,"Sortie",'Mouvements stock'!$B$5:$B$3004,"&gt;="&amp;'Paramètres'!$AA$6,'Mouvements stock'!$B$5:$B$3004,"&lt;"&amp;('Paramètres'!$AA$7+1)))</f>
        <v/>
      </c>
      <c r="V240" s="78">
        <f>IF($A240="","",IF(COUNTIF('Mouvements stock'!$D$5:$D$3004,$A240)=0,"",_xlfn.MAXIFS('Mouvements stock'!$B$5:$B$3004,'Mouvements stock'!$D$5:$D$3004,$A240)))</f>
        <v/>
      </c>
    </row>
    <row r="241">
      <c r="A241" s="7" t="n"/>
      <c r="B241" s="7" t="n"/>
      <c r="C241" s="7" t="n"/>
      <c r="D241" s="7" t="n"/>
      <c r="E241" s="7" t="n"/>
      <c r="F241" s="7" t="n"/>
      <c r="G241" s="7" t="n"/>
      <c r="H241" s="7" t="n"/>
      <c r="I241" s="80" t="n"/>
      <c r="J241" s="67" t="n"/>
      <c r="K241" s="68">
        <f>IF($A241="","",SUMIFS('Mouvements stock'!$F$5:$F$3004,'Mouvements stock'!$D$5:$D$3004,$A241,'Mouvements stock'!$C$5:$C$3004,"Entrée")+SUMIFS('Mouvements stock'!$F$5:$F$3004,'Mouvements stock'!$D$5:$D$3004,$A241,'Mouvements stock'!$C$5:$C$3004,"Retour"))</f>
        <v/>
      </c>
      <c r="L241" s="68">
        <f>IF($A241="","",SUMIFS('Mouvements stock'!$F$5:$F$3004,'Mouvements stock'!$D$5:$D$3004,$A241,'Mouvements stock'!$C$5:$C$3004,"Sortie"))</f>
        <v/>
      </c>
      <c r="M241" s="79">
        <f>IF($A241="","",N(J241)+N(K241)-N(L241))</f>
        <v/>
      </c>
      <c r="N241" s="67" t="n"/>
      <c r="O241" s="67" t="n"/>
      <c r="P241" s="67" t="n"/>
      <c r="Q241" s="67" t="n"/>
      <c r="R241" s="70">
        <f>IF($A241="","",MAX(0,M241)*N(I241))</f>
        <v/>
      </c>
      <c r="S241" s="9">
        <f>IF($A241="","",IF(M241&lt;=0,IF(N(P241)&gt;0,"Rupture - en cde","RUPTURE"),IF(M241+N(P241)&lt;=N241,"À COMMANDER",IF(M241&lt;=N241,"Commande en cours","OK"))))</f>
        <v/>
      </c>
      <c r="T241" s="68">
        <f>IF($A241="","",IF(OR(S241="À COMMANDER",S241="RUPTURE"),MAX(1,O241-M241-N(P241)),0))</f>
        <v/>
      </c>
      <c r="U241" s="68">
        <f>IF($A241="","",SUMIFS('Mouvements stock'!$F$5:$F$3004,'Mouvements stock'!$D$5:$D$3004,$A241,'Mouvements stock'!$C$5:$C$3004,"Sortie",'Mouvements stock'!$B$5:$B$3004,"&gt;="&amp;'Paramètres'!$AA$6,'Mouvements stock'!$B$5:$B$3004,"&lt;"&amp;('Paramètres'!$AA$7+1)))</f>
        <v/>
      </c>
      <c r="V241" s="78">
        <f>IF($A241="","",IF(COUNTIF('Mouvements stock'!$D$5:$D$3004,$A241)=0,"",_xlfn.MAXIFS('Mouvements stock'!$B$5:$B$3004,'Mouvements stock'!$D$5:$D$3004,$A241)))</f>
        <v/>
      </c>
    </row>
    <row r="242">
      <c r="A242" s="7" t="n"/>
      <c r="B242" s="7" t="n"/>
      <c r="C242" s="7" t="n"/>
      <c r="D242" s="7" t="n"/>
      <c r="E242" s="7" t="n"/>
      <c r="F242" s="7" t="n"/>
      <c r="G242" s="7" t="n"/>
      <c r="H242" s="7" t="n"/>
      <c r="I242" s="80" t="n"/>
      <c r="J242" s="67" t="n"/>
      <c r="K242" s="68">
        <f>IF($A242="","",SUMIFS('Mouvements stock'!$F$5:$F$3004,'Mouvements stock'!$D$5:$D$3004,$A242,'Mouvements stock'!$C$5:$C$3004,"Entrée")+SUMIFS('Mouvements stock'!$F$5:$F$3004,'Mouvements stock'!$D$5:$D$3004,$A242,'Mouvements stock'!$C$5:$C$3004,"Retour"))</f>
        <v/>
      </c>
      <c r="L242" s="68">
        <f>IF($A242="","",SUMIFS('Mouvements stock'!$F$5:$F$3004,'Mouvements stock'!$D$5:$D$3004,$A242,'Mouvements stock'!$C$5:$C$3004,"Sortie"))</f>
        <v/>
      </c>
      <c r="M242" s="79">
        <f>IF($A242="","",N(J242)+N(K242)-N(L242))</f>
        <v/>
      </c>
      <c r="N242" s="67" t="n"/>
      <c r="O242" s="67" t="n"/>
      <c r="P242" s="67" t="n"/>
      <c r="Q242" s="67" t="n"/>
      <c r="R242" s="70">
        <f>IF($A242="","",MAX(0,M242)*N(I242))</f>
        <v/>
      </c>
      <c r="S242" s="9">
        <f>IF($A242="","",IF(M242&lt;=0,IF(N(P242)&gt;0,"Rupture - en cde","RUPTURE"),IF(M242+N(P242)&lt;=N242,"À COMMANDER",IF(M242&lt;=N242,"Commande en cours","OK"))))</f>
        <v/>
      </c>
      <c r="T242" s="68">
        <f>IF($A242="","",IF(OR(S242="À COMMANDER",S242="RUPTURE"),MAX(1,O242-M242-N(P242)),0))</f>
        <v/>
      </c>
      <c r="U242" s="68">
        <f>IF($A242="","",SUMIFS('Mouvements stock'!$F$5:$F$3004,'Mouvements stock'!$D$5:$D$3004,$A242,'Mouvements stock'!$C$5:$C$3004,"Sortie",'Mouvements stock'!$B$5:$B$3004,"&gt;="&amp;'Paramètres'!$AA$6,'Mouvements stock'!$B$5:$B$3004,"&lt;"&amp;('Paramètres'!$AA$7+1)))</f>
        <v/>
      </c>
      <c r="V242" s="78">
        <f>IF($A242="","",IF(COUNTIF('Mouvements stock'!$D$5:$D$3004,$A242)=0,"",_xlfn.MAXIFS('Mouvements stock'!$B$5:$B$3004,'Mouvements stock'!$D$5:$D$3004,$A242)))</f>
        <v/>
      </c>
    </row>
    <row r="243">
      <c r="A243" s="7" t="n"/>
      <c r="B243" s="7" t="n"/>
      <c r="C243" s="7" t="n"/>
      <c r="D243" s="7" t="n"/>
      <c r="E243" s="7" t="n"/>
      <c r="F243" s="7" t="n"/>
      <c r="G243" s="7" t="n"/>
      <c r="H243" s="7" t="n"/>
      <c r="I243" s="80" t="n"/>
      <c r="J243" s="67" t="n"/>
      <c r="K243" s="68">
        <f>IF($A243="","",SUMIFS('Mouvements stock'!$F$5:$F$3004,'Mouvements stock'!$D$5:$D$3004,$A243,'Mouvements stock'!$C$5:$C$3004,"Entrée")+SUMIFS('Mouvements stock'!$F$5:$F$3004,'Mouvements stock'!$D$5:$D$3004,$A243,'Mouvements stock'!$C$5:$C$3004,"Retour"))</f>
        <v/>
      </c>
      <c r="L243" s="68">
        <f>IF($A243="","",SUMIFS('Mouvements stock'!$F$5:$F$3004,'Mouvements stock'!$D$5:$D$3004,$A243,'Mouvements stock'!$C$5:$C$3004,"Sortie"))</f>
        <v/>
      </c>
      <c r="M243" s="79">
        <f>IF($A243="","",N(J243)+N(K243)-N(L243))</f>
        <v/>
      </c>
      <c r="N243" s="67" t="n"/>
      <c r="O243" s="67" t="n"/>
      <c r="P243" s="67" t="n"/>
      <c r="Q243" s="67" t="n"/>
      <c r="R243" s="70">
        <f>IF($A243="","",MAX(0,M243)*N(I243))</f>
        <v/>
      </c>
      <c r="S243" s="9">
        <f>IF($A243="","",IF(M243&lt;=0,IF(N(P243)&gt;0,"Rupture - en cde","RUPTURE"),IF(M243+N(P243)&lt;=N243,"À COMMANDER",IF(M243&lt;=N243,"Commande en cours","OK"))))</f>
        <v/>
      </c>
      <c r="T243" s="68">
        <f>IF($A243="","",IF(OR(S243="À COMMANDER",S243="RUPTURE"),MAX(1,O243-M243-N(P243)),0))</f>
        <v/>
      </c>
      <c r="U243" s="68">
        <f>IF($A243="","",SUMIFS('Mouvements stock'!$F$5:$F$3004,'Mouvements stock'!$D$5:$D$3004,$A243,'Mouvements stock'!$C$5:$C$3004,"Sortie",'Mouvements stock'!$B$5:$B$3004,"&gt;="&amp;'Paramètres'!$AA$6,'Mouvements stock'!$B$5:$B$3004,"&lt;"&amp;('Paramètres'!$AA$7+1)))</f>
        <v/>
      </c>
      <c r="V243" s="78">
        <f>IF($A243="","",IF(COUNTIF('Mouvements stock'!$D$5:$D$3004,$A243)=0,"",_xlfn.MAXIFS('Mouvements stock'!$B$5:$B$3004,'Mouvements stock'!$D$5:$D$3004,$A243)))</f>
        <v/>
      </c>
    </row>
    <row r="244">
      <c r="A244" s="7" t="n"/>
      <c r="B244" s="7" t="n"/>
      <c r="C244" s="7" t="n"/>
      <c r="D244" s="7" t="n"/>
      <c r="E244" s="7" t="n"/>
      <c r="F244" s="7" t="n"/>
      <c r="G244" s="7" t="n"/>
      <c r="H244" s="7" t="n"/>
      <c r="I244" s="80" t="n"/>
      <c r="J244" s="67" t="n"/>
      <c r="K244" s="68">
        <f>IF($A244="","",SUMIFS('Mouvements stock'!$F$5:$F$3004,'Mouvements stock'!$D$5:$D$3004,$A244,'Mouvements stock'!$C$5:$C$3004,"Entrée")+SUMIFS('Mouvements stock'!$F$5:$F$3004,'Mouvements stock'!$D$5:$D$3004,$A244,'Mouvements stock'!$C$5:$C$3004,"Retour"))</f>
        <v/>
      </c>
      <c r="L244" s="68">
        <f>IF($A244="","",SUMIFS('Mouvements stock'!$F$5:$F$3004,'Mouvements stock'!$D$5:$D$3004,$A244,'Mouvements stock'!$C$5:$C$3004,"Sortie"))</f>
        <v/>
      </c>
      <c r="M244" s="79">
        <f>IF($A244="","",N(J244)+N(K244)-N(L244))</f>
        <v/>
      </c>
      <c r="N244" s="67" t="n"/>
      <c r="O244" s="67" t="n"/>
      <c r="P244" s="67" t="n"/>
      <c r="Q244" s="67" t="n"/>
      <c r="R244" s="70">
        <f>IF($A244="","",MAX(0,M244)*N(I244))</f>
        <v/>
      </c>
      <c r="S244" s="9">
        <f>IF($A244="","",IF(M244&lt;=0,IF(N(P244)&gt;0,"Rupture - en cde","RUPTURE"),IF(M244+N(P244)&lt;=N244,"À COMMANDER",IF(M244&lt;=N244,"Commande en cours","OK"))))</f>
        <v/>
      </c>
      <c r="T244" s="68">
        <f>IF($A244="","",IF(OR(S244="À COMMANDER",S244="RUPTURE"),MAX(1,O244-M244-N(P244)),0))</f>
        <v/>
      </c>
      <c r="U244" s="68">
        <f>IF($A244="","",SUMIFS('Mouvements stock'!$F$5:$F$3004,'Mouvements stock'!$D$5:$D$3004,$A244,'Mouvements stock'!$C$5:$C$3004,"Sortie",'Mouvements stock'!$B$5:$B$3004,"&gt;="&amp;'Paramètres'!$AA$6,'Mouvements stock'!$B$5:$B$3004,"&lt;"&amp;('Paramètres'!$AA$7+1)))</f>
        <v/>
      </c>
      <c r="V244" s="78">
        <f>IF($A244="","",IF(COUNTIF('Mouvements stock'!$D$5:$D$3004,$A244)=0,"",_xlfn.MAXIFS('Mouvements stock'!$B$5:$B$3004,'Mouvements stock'!$D$5:$D$3004,$A244)))</f>
        <v/>
      </c>
    </row>
    <row r="245">
      <c r="A245" s="7" t="n"/>
      <c r="B245" s="7" t="n"/>
      <c r="C245" s="7" t="n"/>
      <c r="D245" s="7" t="n"/>
      <c r="E245" s="7" t="n"/>
      <c r="F245" s="7" t="n"/>
      <c r="G245" s="7" t="n"/>
      <c r="H245" s="7" t="n"/>
      <c r="I245" s="80" t="n"/>
      <c r="J245" s="67" t="n"/>
      <c r="K245" s="68">
        <f>IF($A245="","",SUMIFS('Mouvements stock'!$F$5:$F$3004,'Mouvements stock'!$D$5:$D$3004,$A245,'Mouvements stock'!$C$5:$C$3004,"Entrée")+SUMIFS('Mouvements stock'!$F$5:$F$3004,'Mouvements stock'!$D$5:$D$3004,$A245,'Mouvements stock'!$C$5:$C$3004,"Retour"))</f>
        <v/>
      </c>
      <c r="L245" s="68">
        <f>IF($A245="","",SUMIFS('Mouvements stock'!$F$5:$F$3004,'Mouvements stock'!$D$5:$D$3004,$A245,'Mouvements stock'!$C$5:$C$3004,"Sortie"))</f>
        <v/>
      </c>
      <c r="M245" s="79">
        <f>IF($A245="","",N(J245)+N(K245)-N(L245))</f>
        <v/>
      </c>
      <c r="N245" s="67" t="n"/>
      <c r="O245" s="67" t="n"/>
      <c r="P245" s="67" t="n"/>
      <c r="Q245" s="67" t="n"/>
      <c r="R245" s="70">
        <f>IF($A245="","",MAX(0,M245)*N(I245))</f>
        <v/>
      </c>
      <c r="S245" s="9">
        <f>IF($A245="","",IF(M245&lt;=0,IF(N(P245)&gt;0,"Rupture - en cde","RUPTURE"),IF(M245+N(P245)&lt;=N245,"À COMMANDER",IF(M245&lt;=N245,"Commande en cours","OK"))))</f>
        <v/>
      </c>
      <c r="T245" s="68">
        <f>IF($A245="","",IF(OR(S245="À COMMANDER",S245="RUPTURE"),MAX(1,O245-M245-N(P245)),0))</f>
        <v/>
      </c>
      <c r="U245" s="68">
        <f>IF($A245="","",SUMIFS('Mouvements stock'!$F$5:$F$3004,'Mouvements stock'!$D$5:$D$3004,$A245,'Mouvements stock'!$C$5:$C$3004,"Sortie",'Mouvements stock'!$B$5:$B$3004,"&gt;="&amp;'Paramètres'!$AA$6,'Mouvements stock'!$B$5:$B$3004,"&lt;"&amp;('Paramètres'!$AA$7+1)))</f>
        <v/>
      </c>
      <c r="V245" s="78">
        <f>IF($A245="","",IF(COUNTIF('Mouvements stock'!$D$5:$D$3004,$A245)=0,"",_xlfn.MAXIFS('Mouvements stock'!$B$5:$B$3004,'Mouvements stock'!$D$5:$D$3004,$A245)))</f>
        <v/>
      </c>
    </row>
    <row r="246">
      <c r="A246" s="7" t="n"/>
      <c r="B246" s="7" t="n"/>
      <c r="C246" s="7" t="n"/>
      <c r="D246" s="7" t="n"/>
      <c r="E246" s="7" t="n"/>
      <c r="F246" s="7" t="n"/>
      <c r="G246" s="7" t="n"/>
      <c r="H246" s="7" t="n"/>
      <c r="I246" s="80" t="n"/>
      <c r="J246" s="67" t="n"/>
      <c r="K246" s="68">
        <f>IF($A246="","",SUMIFS('Mouvements stock'!$F$5:$F$3004,'Mouvements stock'!$D$5:$D$3004,$A246,'Mouvements stock'!$C$5:$C$3004,"Entrée")+SUMIFS('Mouvements stock'!$F$5:$F$3004,'Mouvements stock'!$D$5:$D$3004,$A246,'Mouvements stock'!$C$5:$C$3004,"Retour"))</f>
        <v/>
      </c>
      <c r="L246" s="68">
        <f>IF($A246="","",SUMIFS('Mouvements stock'!$F$5:$F$3004,'Mouvements stock'!$D$5:$D$3004,$A246,'Mouvements stock'!$C$5:$C$3004,"Sortie"))</f>
        <v/>
      </c>
      <c r="M246" s="79">
        <f>IF($A246="","",N(J246)+N(K246)-N(L246))</f>
        <v/>
      </c>
      <c r="N246" s="67" t="n"/>
      <c r="O246" s="67" t="n"/>
      <c r="P246" s="67" t="n"/>
      <c r="Q246" s="67" t="n"/>
      <c r="R246" s="70">
        <f>IF($A246="","",MAX(0,M246)*N(I246))</f>
        <v/>
      </c>
      <c r="S246" s="9">
        <f>IF($A246="","",IF(M246&lt;=0,IF(N(P246)&gt;0,"Rupture - en cde","RUPTURE"),IF(M246+N(P246)&lt;=N246,"À COMMANDER",IF(M246&lt;=N246,"Commande en cours","OK"))))</f>
        <v/>
      </c>
      <c r="T246" s="68">
        <f>IF($A246="","",IF(OR(S246="À COMMANDER",S246="RUPTURE"),MAX(1,O246-M246-N(P246)),0))</f>
        <v/>
      </c>
      <c r="U246" s="68">
        <f>IF($A246="","",SUMIFS('Mouvements stock'!$F$5:$F$3004,'Mouvements stock'!$D$5:$D$3004,$A246,'Mouvements stock'!$C$5:$C$3004,"Sortie",'Mouvements stock'!$B$5:$B$3004,"&gt;="&amp;'Paramètres'!$AA$6,'Mouvements stock'!$B$5:$B$3004,"&lt;"&amp;('Paramètres'!$AA$7+1)))</f>
        <v/>
      </c>
      <c r="V246" s="78">
        <f>IF($A246="","",IF(COUNTIF('Mouvements stock'!$D$5:$D$3004,$A246)=0,"",_xlfn.MAXIFS('Mouvements stock'!$B$5:$B$3004,'Mouvements stock'!$D$5:$D$3004,$A246)))</f>
        <v/>
      </c>
    </row>
    <row r="247">
      <c r="A247" s="7" t="n"/>
      <c r="B247" s="7" t="n"/>
      <c r="C247" s="7" t="n"/>
      <c r="D247" s="7" t="n"/>
      <c r="E247" s="7" t="n"/>
      <c r="F247" s="7" t="n"/>
      <c r="G247" s="7" t="n"/>
      <c r="H247" s="7" t="n"/>
      <c r="I247" s="80" t="n"/>
      <c r="J247" s="67" t="n"/>
      <c r="K247" s="68">
        <f>IF($A247="","",SUMIFS('Mouvements stock'!$F$5:$F$3004,'Mouvements stock'!$D$5:$D$3004,$A247,'Mouvements stock'!$C$5:$C$3004,"Entrée")+SUMIFS('Mouvements stock'!$F$5:$F$3004,'Mouvements stock'!$D$5:$D$3004,$A247,'Mouvements stock'!$C$5:$C$3004,"Retour"))</f>
        <v/>
      </c>
      <c r="L247" s="68">
        <f>IF($A247="","",SUMIFS('Mouvements stock'!$F$5:$F$3004,'Mouvements stock'!$D$5:$D$3004,$A247,'Mouvements stock'!$C$5:$C$3004,"Sortie"))</f>
        <v/>
      </c>
      <c r="M247" s="79">
        <f>IF($A247="","",N(J247)+N(K247)-N(L247))</f>
        <v/>
      </c>
      <c r="N247" s="67" t="n"/>
      <c r="O247" s="67" t="n"/>
      <c r="P247" s="67" t="n"/>
      <c r="Q247" s="67" t="n"/>
      <c r="R247" s="70">
        <f>IF($A247="","",MAX(0,M247)*N(I247))</f>
        <v/>
      </c>
      <c r="S247" s="9">
        <f>IF($A247="","",IF(M247&lt;=0,IF(N(P247)&gt;0,"Rupture - en cde","RUPTURE"),IF(M247+N(P247)&lt;=N247,"À COMMANDER",IF(M247&lt;=N247,"Commande en cours","OK"))))</f>
        <v/>
      </c>
      <c r="T247" s="68">
        <f>IF($A247="","",IF(OR(S247="À COMMANDER",S247="RUPTURE"),MAX(1,O247-M247-N(P247)),0))</f>
        <v/>
      </c>
      <c r="U247" s="68">
        <f>IF($A247="","",SUMIFS('Mouvements stock'!$F$5:$F$3004,'Mouvements stock'!$D$5:$D$3004,$A247,'Mouvements stock'!$C$5:$C$3004,"Sortie",'Mouvements stock'!$B$5:$B$3004,"&gt;="&amp;'Paramètres'!$AA$6,'Mouvements stock'!$B$5:$B$3004,"&lt;"&amp;('Paramètres'!$AA$7+1)))</f>
        <v/>
      </c>
      <c r="V247" s="78">
        <f>IF($A247="","",IF(COUNTIF('Mouvements stock'!$D$5:$D$3004,$A247)=0,"",_xlfn.MAXIFS('Mouvements stock'!$B$5:$B$3004,'Mouvements stock'!$D$5:$D$3004,$A247)))</f>
        <v/>
      </c>
    </row>
    <row r="248">
      <c r="A248" s="7" t="n"/>
      <c r="B248" s="7" t="n"/>
      <c r="C248" s="7" t="n"/>
      <c r="D248" s="7" t="n"/>
      <c r="E248" s="7" t="n"/>
      <c r="F248" s="7" t="n"/>
      <c r="G248" s="7" t="n"/>
      <c r="H248" s="7" t="n"/>
      <c r="I248" s="80" t="n"/>
      <c r="J248" s="67" t="n"/>
      <c r="K248" s="68">
        <f>IF($A248="","",SUMIFS('Mouvements stock'!$F$5:$F$3004,'Mouvements stock'!$D$5:$D$3004,$A248,'Mouvements stock'!$C$5:$C$3004,"Entrée")+SUMIFS('Mouvements stock'!$F$5:$F$3004,'Mouvements stock'!$D$5:$D$3004,$A248,'Mouvements stock'!$C$5:$C$3004,"Retour"))</f>
        <v/>
      </c>
      <c r="L248" s="68">
        <f>IF($A248="","",SUMIFS('Mouvements stock'!$F$5:$F$3004,'Mouvements stock'!$D$5:$D$3004,$A248,'Mouvements stock'!$C$5:$C$3004,"Sortie"))</f>
        <v/>
      </c>
      <c r="M248" s="79">
        <f>IF($A248="","",N(J248)+N(K248)-N(L248))</f>
        <v/>
      </c>
      <c r="N248" s="67" t="n"/>
      <c r="O248" s="67" t="n"/>
      <c r="P248" s="67" t="n"/>
      <c r="Q248" s="67" t="n"/>
      <c r="R248" s="70">
        <f>IF($A248="","",MAX(0,M248)*N(I248))</f>
        <v/>
      </c>
      <c r="S248" s="9">
        <f>IF($A248="","",IF(M248&lt;=0,IF(N(P248)&gt;0,"Rupture - en cde","RUPTURE"),IF(M248+N(P248)&lt;=N248,"À COMMANDER",IF(M248&lt;=N248,"Commande en cours","OK"))))</f>
        <v/>
      </c>
      <c r="T248" s="68">
        <f>IF($A248="","",IF(OR(S248="À COMMANDER",S248="RUPTURE"),MAX(1,O248-M248-N(P248)),0))</f>
        <v/>
      </c>
      <c r="U248" s="68">
        <f>IF($A248="","",SUMIFS('Mouvements stock'!$F$5:$F$3004,'Mouvements stock'!$D$5:$D$3004,$A248,'Mouvements stock'!$C$5:$C$3004,"Sortie",'Mouvements stock'!$B$5:$B$3004,"&gt;="&amp;'Paramètres'!$AA$6,'Mouvements stock'!$B$5:$B$3004,"&lt;"&amp;('Paramètres'!$AA$7+1)))</f>
        <v/>
      </c>
      <c r="V248" s="78">
        <f>IF($A248="","",IF(COUNTIF('Mouvements stock'!$D$5:$D$3004,$A248)=0,"",_xlfn.MAXIFS('Mouvements stock'!$B$5:$B$3004,'Mouvements stock'!$D$5:$D$3004,$A248)))</f>
        <v/>
      </c>
    </row>
    <row r="249">
      <c r="A249" s="7" t="n"/>
      <c r="B249" s="7" t="n"/>
      <c r="C249" s="7" t="n"/>
      <c r="D249" s="7" t="n"/>
      <c r="E249" s="7" t="n"/>
      <c r="F249" s="7" t="n"/>
      <c r="G249" s="7" t="n"/>
      <c r="H249" s="7" t="n"/>
      <c r="I249" s="80" t="n"/>
      <c r="J249" s="67" t="n"/>
      <c r="K249" s="68">
        <f>IF($A249="","",SUMIFS('Mouvements stock'!$F$5:$F$3004,'Mouvements stock'!$D$5:$D$3004,$A249,'Mouvements stock'!$C$5:$C$3004,"Entrée")+SUMIFS('Mouvements stock'!$F$5:$F$3004,'Mouvements stock'!$D$5:$D$3004,$A249,'Mouvements stock'!$C$5:$C$3004,"Retour"))</f>
        <v/>
      </c>
      <c r="L249" s="68">
        <f>IF($A249="","",SUMIFS('Mouvements stock'!$F$5:$F$3004,'Mouvements stock'!$D$5:$D$3004,$A249,'Mouvements stock'!$C$5:$C$3004,"Sortie"))</f>
        <v/>
      </c>
      <c r="M249" s="79">
        <f>IF($A249="","",N(J249)+N(K249)-N(L249))</f>
        <v/>
      </c>
      <c r="N249" s="67" t="n"/>
      <c r="O249" s="67" t="n"/>
      <c r="P249" s="67" t="n"/>
      <c r="Q249" s="67" t="n"/>
      <c r="R249" s="70">
        <f>IF($A249="","",MAX(0,M249)*N(I249))</f>
        <v/>
      </c>
      <c r="S249" s="9">
        <f>IF($A249="","",IF(M249&lt;=0,IF(N(P249)&gt;0,"Rupture - en cde","RUPTURE"),IF(M249+N(P249)&lt;=N249,"À COMMANDER",IF(M249&lt;=N249,"Commande en cours","OK"))))</f>
        <v/>
      </c>
      <c r="T249" s="68">
        <f>IF($A249="","",IF(OR(S249="À COMMANDER",S249="RUPTURE"),MAX(1,O249-M249-N(P249)),0))</f>
        <v/>
      </c>
      <c r="U249" s="68">
        <f>IF($A249="","",SUMIFS('Mouvements stock'!$F$5:$F$3004,'Mouvements stock'!$D$5:$D$3004,$A249,'Mouvements stock'!$C$5:$C$3004,"Sortie",'Mouvements stock'!$B$5:$B$3004,"&gt;="&amp;'Paramètres'!$AA$6,'Mouvements stock'!$B$5:$B$3004,"&lt;"&amp;('Paramètres'!$AA$7+1)))</f>
        <v/>
      </c>
      <c r="V249" s="78">
        <f>IF($A249="","",IF(COUNTIF('Mouvements stock'!$D$5:$D$3004,$A249)=0,"",_xlfn.MAXIFS('Mouvements stock'!$B$5:$B$3004,'Mouvements stock'!$D$5:$D$3004,$A249)))</f>
        <v/>
      </c>
    </row>
    <row r="250">
      <c r="A250" s="7" t="n"/>
      <c r="B250" s="7" t="n"/>
      <c r="C250" s="7" t="n"/>
      <c r="D250" s="7" t="n"/>
      <c r="E250" s="7" t="n"/>
      <c r="F250" s="7" t="n"/>
      <c r="G250" s="7" t="n"/>
      <c r="H250" s="7" t="n"/>
      <c r="I250" s="80" t="n"/>
      <c r="J250" s="67" t="n"/>
      <c r="K250" s="68">
        <f>IF($A250="","",SUMIFS('Mouvements stock'!$F$5:$F$3004,'Mouvements stock'!$D$5:$D$3004,$A250,'Mouvements stock'!$C$5:$C$3004,"Entrée")+SUMIFS('Mouvements stock'!$F$5:$F$3004,'Mouvements stock'!$D$5:$D$3004,$A250,'Mouvements stock'!$C$5:$C$3004,"Retour"))</f>
        <v/>
      </c>
      <c r="L250" s="68">
        <f>IF($A250="","",SUMIFS('Mouvements stock'!$F$5:$F$3004,'Mouvements stock'!$D$5:$D$3004,$A250,'Mouvements stock'!$C$5:$C$3004,"Sortie"))</f>
        <v/>
      </c>
      <c r="M250" s="79">
        <f>IF($A250="","",N(J250)+N(K250)-N(L250))</f>
        <v/>
      </c>
      <c r="N250" s="67" t="n"/>
      <c r="O250" s="67" t="n"/>
      <c r="P250" s="67" t="n"/>
      <c r="Q250" s="67" t="n"/>
      <c r="R250" s="70">
        <f>IF($A250="","",MAX(0,M250)*N(I250))</f>
        <v/>
      </c>
      <c r="S250" s="9">
        <f>IF($A250="","",IF(M250&lt;=0,IF(N(P250)&gt;0,"Rupture - en cde","RUPTURE"),IF(M250+N(P250)&lt;=N250,"À COMMANDER",IF(M250&lt;=N250,"Commande en cours","OK"))))</f>
        <v/>
      </c>
      <c r="T250" s="68">
        <f>IF($A250="","",IF(OR(S250="À COMMANDER",S250="RUPTURE"),MAX(1,O250-M250-N(P250)),0))</f>
        <v/>
      </c>
      <c r="U250" s="68">
        <f>IF($A250="","",SUMIFS('Mouvements stock'!$F$5:$F$3004,'Mouvements stock'!$D$5:$D$3004,$A250,'Mouvements stock'!$C$5:$C$3004,"Sortie",'Mouvements stock'!$B$5:$B$3004,"&gt;="&amp;'Paramètres'!$AA$6,'Mouvements stock'!$B$5:$B$3004,"&lt;"&amp;('Paramètres'!$AA$7+1)))</f>
        <v/>
      </c>
      <c r="V250" s="78">
        <f>IF($A250="","",IF(COUNTIF('Mouvements stock'!$D$5:$D$3004,$A250)=0,"",_xlfn.MAXIFS('Mouvements stock'!$B$5:$B$3004,'Mouvements stock'!$D$5:$D$3004,$A250)))</f>
        <v/>
      </c>
    </row>
    <row r="251">
      <c r="A251" s="7" t="n"/>
      <c r="B251" s="7" t="n"/>
      <c r="C251" s="7" t="n"/>
      <c r="D251" s="7" t="n"/>
      <c r="E251" s="7" t="n"/>
      <c r="F251" s="7" t="n"/>
      <c r="G251" s="7" t="n"/>
      <c r="H251" s="7" t="n"/>
      <c r="I251" s="80" t="n"/>
      <c r="J251" s="67" t="n"/>
      <c r="K251" s="68">
        <f>IF($A251="","",SUMIFS('Mouvements stock'!$F$5:$F$3004,'Mouvements stock'!$D$5:$D$3004,$A251,'Mouvements stock'!$C$5:$C$3004,"Entrée")+SUMIFS('Mouvements stock'!$F$5:$F$3004,'Mouvements stock'!$D$5:$D$3004,$A251,'Mouvements stock'!$C$5:$C$3004,"Retour"))</f>
        <v/>
      </c>
      <c r="L251" s="68">
        <f>IF($A251="","",SUMIFS('Mouvements stock'!$F$5:$F$3004,'Mouvements stock'!$D$5:$D$3004,$A251,'Mouvements stock'!$C$5:$C$3004,"Sortie"))</f>
        <v/>
      </c>
      <c r="M251" s="79">
        <f>IF($A251="","",N(J251)+N(K251)-N(L251))</f>
        <v/>
      </c>
      <c r="N251" s="67" t="n"/>
      <c r="O251" s="67" t="n"/>
      <c r="P251" s="67" t="n"/>
      <c r="Q251" s="67" t="n"/>
      <c r="R251" s="70">
        <f>IF($A251="","",MAX(0,M251)*N(I251))</f>
        <v/>
      </c>
      <c r="S251" s="9">
        <f>IF($A251="","",IF(M251&lt;=0,IF(N(P251)&gt;0,"Rupture - en cde","RUPTURE"),IF(M251+N(P251)&lt;=N251,"À COMMANDER",IF(M251&lt;=N251,"Commande en cours","OK"))))</f>
        <v/>
      </c>
      <c r="T251" s="68">
        <f>IF($A251="","",IF(OR(S251="À COMMANDER",S251="RUPTURE"),MAX(1,O251-M251-N(P251)),0))</f>
        <v/>
      </c>
      <c r="U251" s="68">
        <f>IF($A251="","",SUMIFS('Mouvements stock'!$F$5:$F$3004,'Mouvements stock'!$D$5:$D$3004,$A251,'Mouvements stock'!$C$5:$C$3004,"Sortie",'Mouvements stock'!$B$5:$B$3004,"&gt;="&amp;'Paramètres'!$AA$6,'Mouvements stock'!$B$5:$B$3004,"&lt;"&amp;('Paramètres'!$AA$7+1)))</f>
        <v/>
      </c>
      <c r="V251" s="78">
        <f>IF($A251="","",IF(COUNTIF('Mouvements stock'!$D$5:$D$3004,$A251)=0,"",_xlfn.MAXIFS('Mouvements stock'!$B$5:$B$3004,'Mouvements stock'!$D$5:$D$3004,$A251)))</f>
        <v/>
      </c>
    </row>
    <row r="252">
      <c r="A252" s="7" t="n"/>
      <c r="B252" s="7" t="n"/>
      <c r="C252" s="7" t="n"/>
      <c r="D252" s="7" t="n"/>
      <c r="E252" s="7" t="n"/>
      <c r="F252" s="7" t="n"/>
      <c r="G252" s="7" t="n"/>
      <c r="H252" s="7" t="n"/>
      <c r="I252" s="80" t="n"/>
      <c r="J252" s="67" t="n"/>
      <c r="K252" s="68">
        <f>IF($A252="","",SUMIFS('Mouvements stock'!$F$5:$F$3004,'Mouvements stock'!$D$5:$D$3004,$A252,'Mouvements stock'!$C$5:$C$3004,"Entrée")+SUMIFS('Mouvements stock'!$F$5:$F$3004,'Mouvements stock'!$D$5:$D$3004,$A252,'Mouvements stock'!$C$5:$C$3004,"Retour"))</f>
        <v/>
      </c>
      <c r="L252" s="68">
        <f>IF($A252="","",SUMIFS('Mouvements stock'!$F$5:$F$3004,'Mouvements stock'!$D$5:$D$3004,$A252,'Mouvements stock'!$C$5:$C$3004,"Sortie"))</f>
        <v/>
      </c>
      <c r="M252" s="79">
        <f>IF($A252="","",N(J252)+N(K252)-N(L252))</f>
        <v/>
      </c>
      <c r="N252" s="67" t="n"/>
      <c r="O252" s="67" t="n"/>
      <c r="P252" s="67" t="n"/>
      <c r="Q252" s="67" t="n"/>
      <c r="R252" s="70">
        <f>IF($A252="","",MAX(0,M252)*N(I252))</f>
        <v/>
      </c>
      <c r="S252" s="9">
        <f>IF($A252="","",IF(M252&lt;=0,IF(N(P252)&gt;0,"Rupture - en cde","RUPTURE"),IF(M252+N(P252)&lt;=N252,"À COMMANDER",IF(M252&lt;=N252,"Commande en cours","OK"))))</f>
        <v/>
      </c>
      <c r="T252" s="68">
        <f>IF($A252="","",IF(OR(S252="À COMMANDER",S252="RUPTURE"),MAX(1,O252-M252-N(P252)),0))</f>
        <v/>
      </c>
      <c r="U252" s="68">
        <f>IF($A252="","",SUMIFS('Mouvements stock'!$F$5:$F$3004,'Mouvements stock'!$D$5:$D$3004,$A252,'Mouvements stock'!$C$5:$C$3004,"Sortie",'Mouvements stock'!$B$5:$B$3004,"&gt;="&amp;'Paramètres'!$AA$6,'Mouvements stock'!$B$5:$B$3004,"&lt;"&amp;('Paramètres'!$AA$7+1)))</f>
        <v/>
      </c>
      <c r="V252" s="78">
        <f>IF($A252="","",IF(COUNTIF('Mouvements stock'!$D$5:$D$3004,$A252)=0,"",_xlfn.MAXIFS('Mouvements stock'!$B$5:$B$3004,'Mouvements stock'!$D$5:$D$3004,$A252)))</f>
        <v/>
      </c>
    </row>
    <row r="253">
      <c r="A253" s="7" t="n"/>
      <c r="B253" s="7" t="n"/>
      <c r="C253" s="7" t="n"/>
      <c r="D253" s="7" t="n"/>
      <c r="E253" s="7" t="n"/>
      <c r="F253" s="7" t="n"/>
      <c r="G253" s="7" t="n"/>
      <c r="H253" s="7" t="n"/>
      <c r="I253" s="80" t="n"/>
      <c r="J253" s="67" t="n"/>
      <c r="K253" s="68">
        <f>IF($A253="","",SUMIFS('Mouvements stock'!$F$5:$F$3004,'Mouvements stock'!$D$5:$D$3004,$A253,'Mouvements stock'!$C$5:$C$3004,"Entrée")+SUMIFS('Mouvements stock'!$F$5:$F$3004,'Mouvements stock'!$D$5:$D$3004,$A253,'Mouvements stock'!$C$5:$C$3004,"Retour"))</f>
        <v/>
      </c>
      <c r="L253" s="68">
        <f>IF($A253="","",SUMIFS('Mouvements stock'!$F$5:$F$3004,'Mouvements stock'!$D$5:$D$3004,$A253,'Mouvements stock'!$C$5:$C$3004,"Sortie"))</f>
        <v/>
      </c>
      <c r="M253" s="79">
        <f>IF($A253="","",N(J253)+N(K253)-N(L253))</f>
        <v/>
      </c>
      <c r="N253" s="67" t="n"/>
      <c r="O253" s="67" t="n"/>
      <c r="P253" s="67" t="n"/>
      <c r="Q253" s="67" t="n"/>
      <c r="R253" s="70">
        <f>IF($A253="","",MAX(0,M253)*N(I253))</f>
        <v/>
      </c>
      <c r="S253" s="9">
        <f>IF($A253="","",IF(M253&lt;=0,IF(N(P253)&gt;0,"Rupture - en cde","RUPTURE"),IF(M253+N(P253)&lt;=N253,"À COMMANDER",IF(M253&lt;=N253,"Commande en cours","OK"))))</f>
        <v/>
      </c>
      <c r="T253" s="68">
        <f>IF($A253="","",IF(OR(S253="À COMMANDER",S253="RUPTURE"),MAX(1,O253-M253-N(P253)),0))</f>
        <v/>
      </c>
      <c r="U253" s="68">
        <f>IF($A253="","",SUMIFS('Mouvements stock'!$F$5:$F$3004,'Mouvements stock'!$D$5:$D$3004,$A253,'Mouvements stock'!$C$5:$C$3004,"Sortie",'Mouvements stock'!$B$5:$B$3004,"&gt;="&amp;'Paramètres'!$AA$6,'Mouvements stock'!$B$5:$B$3004,"&lt;"&amp;('Paramètres'!$AA$7+1)))</f>
        <v/>
      </c>
      <c r="V253" s="78">
        <f>IF($A253="","",IF(COUNTIF('Mouvements stock'!$D$5:$D$3004,$A253)=0,"",_xlfn.MAXIFS('Mouvements stock'!$B$5:$B$3004,'Mouvements stock'!$D$5:$D$3004,$A253)))</f>
        <v/>
      </c>
    </row>
    <row r="254">
      <c r="A254" s="7" t="n"/>
      <c r="B254" s="7" t="n"/>
      <c r="C254" s="7" t="n"/>
      <c r="D254" s="7" t="n"/>
      <c r="E254" s="7" t="n"/>
      <c r="F254" s="7" t="n"/>
      <c r="G254" s="7" t="n"/>
      <c r="H254" s="7" t="n"/>
      <c r="I254" s="80" t="n"/>
      <c r="J254" s="67" t="n"/>
      <c r="K254" s="68">
        <f>IF($A254="","",SUMIFS('Mouvements stock'!$F$5:$F$3004,'Mouvements stock'!$D$5:$D$3004,$A254,'Mouvements stock'!$C$5:$C$3004,"Entrée")+SUMIFS('Mouvements stock'!$F$5:$F$3004,'Mouvements stock'!$D$5:$D$3004,$A254,'Mouvements stock'!$C$5:$C$3004,"Retour"))</f>
        <v/>
      </c>
      <c r="L254" s="68">
        <f>IF($A254="","",SUMIFS('Mouvements stock'!$F$5:$F$3004,'Mouvements stock'!$D$5:$D$3004,$A254,'Mouvements stock'!$C$5:$C$3004,"Sortie"))</f>
        <v/>
      </c>
      <c r="M254" s="79">
        <f>IF($A254="","",N(J254)+N(K254)-N(L254))</f>
        <v/>
      </c>
      <c r="N254" s="67" t="n"/>
      <c r="O254" s="67" t="n"/>
      <c r="P254" s="67" t="n"/>
      <c r="Q254" s="67" t="n"/>
      <c r="R254" s="70">
        <f>IF($A254="","",MAX(0,M254)*N(I254))</f>
        <v/>
      </c>
      <c r="S254" s="9">
        <f>IF($A254="","",IF(M254&lt;=0,IF(N(P254)&gt;0,"Rupture - en cde","RUPTURE"),IF(M254+N(P254)&lt;=N254,"À COMMANDER",IF(M254&lt;=N254,"Commande en cours","OK"))))</f>
        <v/>
      </c>
      <c r="T254" s="68">
        <f>IF($A254="","",IF(OR(S254="À COMMANDER",S254="RUPTURE"),MAX(1,O254-M254-N(P254)),0))</f>
        <v/>
      </c>
      <c r="U254" s="68">
        <f>IF($A254="","",SUMIFS('Mouvements stock'!$F$5:$F$3004,'Mouvements stock'!$D$5:$D$3004,$A254,'Mouvements stock'!$C$5:$C$3004,"Sortie",'Mouvements stock'!$B$5:$B$3004,"&gt;="&amp;'Paramètres'!$AA$6,'Mouvements stock'!$B$5:$B$3004,"&lt;"&amp;('Paramètres'!$AA$7+1)))</f>
        <v/>
      </c>
      <c r="V254" s="78">
        <f>IF($A254="","",IF(COUNTIF('Mouvements stock'!$D$5:$D$3004,$A254)=0,"",_xlfn.MAXIFS('Mouvements stock'!$B$5:$B$3004,'Mouvements stock'!$D$5:$D$3004,$A254)))</f>
        <v/>
      </c>
    </row>
    <row r="255">
      <c r="A255" s="7" t="n"/>
      <c r="B255" s="7" t="n"/>
      <c r="C255" s="7" t="n"/>
      <c r="D255" s="7" t="n"/>
      <c r="E255" s="7" t="n"/>
      <c r="F255" s="7" t="n"/>
      <c r="G255" s="7" t="n"/>
      <c r="H255" s="7" t="n"/>
      <c r="I255" s="80" t="n"/>
      <c r="J255" s="67" t="n"/>
      <c r="K255" s="68">
        <f>IF($A255="","",SUMIFS('Mouvements stock'!$F$5:$F$3004,'Mouvements stock'!$D$5:$D$3004,$A255,'Mouvements stock'!$C$5:$C$3004,"Entrée")+SUMIFS('Mouvements stock'!$F$5:$F$3004,'Mouvements stock'!$D$5:$D$3004,$A255,'Mouvements stock'!$C$5:$C$3004,"Retour"))</f>
        <v/>
      </c>
      <c r="L255" s="68">
        <f>IF($A255="","",SUMIFS('Mouvements stock'!$F$5:$F$3004,'Mouvements stock'!$D$5:$D$3004,$A255,'Mouvements stock'!$C$5:$C$3004,"Sortie"))</f>
        <v/>
      </c>
      <c r="M255" s="79">
        <f>IF($A255="","",N(J255)+N(K255)-N(L255))</f>
        <v/>
      </c>
      <c r="N255" s="67" t="n"/>
      <c r="O255" s="67" t="n"/>
      <c r="P255" s="67" t="n"/>
      <c r="Q255" s="67" t="n"/>
      <c r="R255" s="70">
        <f>IF($A255="","",MAX(0,M255)*N(I255))</f>
        <v/>
      </c>
      <c r="S255" s="9">
        <f>IF($A255="","",IF(M255&lt;=0,IF(N(P255)&gt;0,"Rupture - en cde","RUPTURE"),IF(M255+N(P255)&lt;=N255,"À COMMANDER",IF(M255&lt;=N255,"Commande en cours","OK"))))</f>
        <v/>
      </c>
      <c r="T255" s="68">
        <f>IF($A255="","",IF(OR(S255="À COMMANDER",S255="RUPTURE"),MAX(1,O255-M255-N(P255)),0))</f>
        <v/>
      </c>
      <c r="U255" s="68">
        <f>IF($A255="","",SUMIFS('Mouvements stock'!$F$5:$F$3004,'Mouvements stock'!$D$5:$D$3004,$A255,'Mouvements stock'!$C$5:$C$3004,"Sortie",'Mouvements stock'!$B$5:$B$3004,"&gt;="&amp;'Paramètres'!$AA$6,'Mouvements stock'!$B$5:$B$3004,"&lt;"&amp;('Paramètres'!$AA$7+1)))</f>
        <v/>
      </c>
      <c r="V255" s="78">
        <f>IF($A255="","",IF(COUNTIF('Mouvements stock'!$D$5:$D$3004,$A255)=0,"",_xlfn.MAXIFS('Mouvements stock'!$B$5:$B$3004,'Mouvements stock'!$D$5:$D$3004,$A255)))</f>
        <v/>
      </c>
    </row>
    <row r="256">
      <c r="A256" s="7" t="n"/>
      <c r="B256" s="7" t="n"/>
      <c r="C256" s="7" t="n"/>
      <c r="D256" s="7" t="n"/>
      <c r="E256" s="7" t="n"/>
      <c r="F256" s="7" t="n"/>
      <c r="G256" s="7" t="n"/>
      <c r="H256" s="7" t="n"/>
      <c r="I256" s="80" t="n"/>
      <c r="J256" s="67" t="n"/>
      <c r="K256" s="68">
        <f>IF($A256="","",SUMIFS('Mouvements stock'!$F$5:$F$3004,'Mouvements stock'!$D$5:$D$3004,$A256,'Mouvements stock'!$C$5:$C$3004,"Entrée")+SUMIFS('Mouvements stock'!$F$5:$F$3004,'Mouvements stock'!$D$5:$D$3004,$A256,'Mouvements stock'!$C$5:$C$3004,"Retour"))</f>
        <v/>
      </c>
      <c r="L256" s="68">
        <f>IF($A256="","",SUMIFS('Mouvements stock'!$F$5:$F$3004,'Mouvements stock'!$D$5:$D$3004,$A256,'Mouvements stock'!$C$5:$C$3004,"Sortie"))</f>
        <v/>
      </c>
      <c r="M256" s="79">
        <f>IF($A256="","",N(J256)+N(K256)-N(L256))</f>
        <v/>
      </c>
      <c r="N256" s="67" t="n"/>
      <c r="O256" s="67" t="n"/>
      <c r="P256" s="67" t="n"/>
      <c r="Q256" s="67" t="n"/>
      <c r="R256" s="70">
        <f>IF($A256="","",MAX(0,M256)*N(I256))</f>
        <v/>
      </c>
      <c r="S256" s="9">
        <f>IF($A256="","",IF(M256&lt;=0,IF(N(P256)&gt;0,"Rupture - en cde","RUPTURE"),IF(M256+N(P256)&lt;=N256,"À COMMANDER",IF(M256&lt;=N256,"Commande en cours","OK"))))</f>
        <v/>
      </c>
      <c r="T256" s="68">
        <f>IF($A256="","",IF(OR(S256="À COMMANDER",S256="RUPTURE"),MAX(1,O256-M256-N(P256)),0))</f>
        <v/>
      </c>
      <c r="U256" s="68">
        <f>IF($A256="","",SUMIFS('Mouvements stock'!$F$5:$F$3004,'Mouvements stock'!$D$5:$D$3004,$A256,'Mouvements stock'!$C$5:$C$3004,"Sortie",'Mouvements stock'!$B$5:$B$3004,"&gt;="&amp;'Paramètres'!$AA$6,'Mouvements stock'!$B$5:$B$3004,"&lt;"&amp;('Paramètres'!$AA$7+1)))</f>
        <v/>
      </c>
      <c r="V256" s="78">
        <f>IF($A256="","",IF(COUNTIF('Mouvements stock'!$D$5:$D$3004,$A256)=0,"",_xlfn.MAXIFS('Mouvements stock'!$B$5:$B$3004,'Mouvements stock'!$D$5:$D$3004,$A256)))</f>
        <v/>
      </c>
    </row>
    <row r="257">
      <c r="A257" s="7" t="n"/>
      <c r="B257" s="7" t="n"/>
      <c r="C257" s="7" t="n"/>
      <c r="D257" s="7" t="n"/>
      <c r="E257" s="7" t="n"/>
      <c r="F257" s="7" t="n"/>
      <c r="G257" s="7" t="n"/>
      <c r="H257" s="7" t="n"/>
      <c r="I257" s="80" t="n"/>
      <c r="J257" s="67" t="n"/>
      <c r="K257" s="68">
        <f>IF($A257="","",SUMIFS('Mouvements stock'!$F$5:$F$3004,'Mouvements stock'!$D$5:$D$3004,$A257,'Mouvements stock'!$C$5:$C$3004,"Entrée")+SUMIFS('Mouvements stock'!$F$5:$F$3004,'Mouvements stock'!$D$5:$D$3004,$A257,'Mouvements stock'!$C$5:$C$3004,"Retour"))</f>
        <v/>
      </c>
      <c r="L257" s="68">
        <f>IF($A257="","",SUMIFS('Mouvements stock'!$F$5:$F$3004,'Mouvements stock'!$D$5:$D$3004,$A257,'Mouvements stock'!$C$5:$C$3004,"Sortie"))</f>
        <v/>
      </c>
      <c r="M257" s="79">
        <f>IF($A257="","",N(J257)+N(K257)-N(L257))</f>
        <v/>
      </c>
      <c r="N257" s="67" t="n"/>
      <c r="O257" s="67" t="n"/>
      <c r="P257" s="67" t="n"/>
      <c r="Q257" s="67" t="n"/>
      <c r="R257" s="70">
        <f>IF($A257="","",MAX(0,M257)*N(I257))</f>
        <v/>
      </c>
      <c r="S257" s="9">
        <f>IF($A257="","",IF(M257&lt;=0,IF(N(P257)&gt;0,"Rupture - en cde","RUPTURE"),IF(M257+N(P257)&lt;=N257,"À COMMANDER",IF(M257&lt;=N257,"Commande en cours","OK"))))</f>
        <v/>
      </c>
      <c r="T257" s="68">
        <f>IF($A257="","",IF(OR(S257="À COMMANDER",S257="RUPTURE"),MAX(1,O257-M257-N(P257)),0))</f>
        <v/>
      </c>
      <c r="U257" s="68">
        <f>IF($A257="","",SUMIFS('Mouvements stock'!$F$5:$F$3004,'Mouvements stock'!$D$5:$D$3004,$A257,'Mouvements stock'!$C$5:$C$3004,"Sortie",'Mouvements stock'!$B$5:$B$3004,"&gt;="&amp;'Paramètres'!$AA$6,'Mouvements stock'!$B$5:$B$3004,"&lt;"&amp;('Paramètres'!$AA$7+1)))</f>
        <v/>
      </c>
      <c r="V257" s="78">
        <f>IF($A257="","",IF(COUNTIF('Mouvements stock'!$D$5:$D$3004,$A257)=0,"",_xlfn.MAXIFS('Mouvements stock'!$B$5:$B$3004,'Mouvements stock'!$D$5:$D$3004,$A257)))</f>
        <v/>
      </c>
    </row>
    <row r="258">
      <c r="A258" s="7" t="n"/>
      <c r="B258" s="7" t="n"/>
      <c r="C258" s="7" t="n"/>
      <c r="D258" s="7" t="n"/>
      <c r="E258" s="7" t="n"/>
      <c r="F258" s="7" t="n"/>
      <c r="G258" s="7" t="n"/>
      <c r="H258" s="7" t="n"/>
      <c r="I258" s="80" t="n"/>
      <c r="J258" s="67" t="n"/>
      <c r="K258" s="68">
        <f>IF($A258="","",SUMIFS('Mouvements stock'!$F$5:$F$3004,'Mouvements stock'!$D$5:$D$3004,$A258,'Mouvements stock'!$C$5:$C$3004,"Entrée")+SUMIFS('Mouvements stock'!$F$5:$F$3004,'Mouvements stock'!$D$5:$D$3004,$A258,'Mouvements stock'!$C$5:$C$3004,"Retour"))</f>
        <v/>
      </c>
      <c r="L258" s="68">
        <f>IF($A258="","",SUMIFS('Mouvements stock'!$F$5:$F$3004,'Mouvements stock'!$D$5:$D$3004,$A258,'Mouvements stock'!$C$5:$C$3004,"Sortie"))</f>
        <v/>
      </c>
      <c r="M258" s="79">
        <f>IF($A258="","",N(J258)+N(K258)-N(L258))</f>
        <v/>
      </c>
      <c r="N258" s="67" t="n"/>
      <c r="O258" s="67" t="n"/>
      <c r="P258" s="67" t="n"/>
      <c r="Q258" s="67" t="n"/>
      <c r="R258" s="70">
        <f>IF($A258="","",MAX(0,M258)*N(I258))</f>
        <v/>
      </c>
      <c r="S258" s="9">
        <f>IF($A258="","",IF(M258&lt;=0,IF(N(P258)&gt;0,"Rupture - en cde","RUPTURE"),IF(M258+N(P258)&lt;=N258,"À COMMANDER",IF(M258&lt;=N258,"Commande en cours","OK"))))</f>
        <v/>
      </c>
      <c r="T258" s="68">
        <f>IF($A258="","",IF(OR(S258="À COMMANDER",S258="RUPTURE"),MAX(1,O258-M258-N(P258)),0))</f>
        <v/>
      </c>
      <c r="U258" s="68">
        <f>IF($A258="","",SUMIFS('Mouvements stock'!$F$5:$F$3004,'Mouvements stock'!$D$5:$D$3004,$A258,'Mouvements stock'!$C$5:$C$3004,"Sortie",'Mouvements stock'!$B$5:$B$3004,"&gt;="&amp;'Paramètres'!$AA$6,'Mouvements stock'!$B$5:$B$3004,"&lt;"&amp;('Paramètres'!$AA$7+1)))</f>
        <v/>
      </c>
      <c r="V258" s="78">
        <f>IF($A258="","",IF(COUNTIF('Mouvements stock'!$D$5:$D$3004,$A258)=0,"",_xlfn.MAXIFS('Mouvements stock'!$B$5:$B$3004,'Mouvements stock'!$D$5:$D$3004,$A258)))</f>
        <v/>
      </c>
    </row>
    <row r="259">
      <c r="A259" s="7" t="n"/>
      <c r="B259" s="7" t="n"/>
      <c r="C259" s="7" t="n"/>
      <c r="D259" s="7" t="n"/>
      <c r="E259" s="7" t="n"/>
      <c r="F259" s="7" t="n"/>
      <c r="G259" s="7" t="n"/>
      <c r="H259" s="7" t="n"/>
      <c r="I259" s="80" t="n"/>
      <c r="J259" s="67" t="n"/>
      <c r="K259" s="68">
        <f>IF($A259="","",SUMIFS('Mouvements stock'!$F$5:$F$3004,'Mouvements stock'!$D$5:$D$3004,$A259,'Mouvements stock'!$C$5:$C$3004,"Entrée")+SUMIFS('Mouvements stock'!$F$5:$F$3004,'Mouvements stock'!$D$5:$D$3004,$A259,'Mouvements stock'!$C$5:$C$3004,"Retour"))</f>
        <v/>
      </c>
      <c r="L259" s="68">
        <f>IF($A259="","",SUMIFS('Mouvements stock'!$F$5:$F$3004,'Mouvements stock'!$D$5:$D$3004,$A259,'Mouvements stock'!$C$5:$C$3004,"Sortie"))</f>
        <v/>
      </c>
      <c r="M259" s="79">
        <f>IF($A259="","",N(J259)+N(K259)-N(L259))</f>
        <v/>
      </c>
      <c r="N259" s="67" t="n"/>
      <c r="O259" s="67" t="n"/>
      <c r="P259" s="67" t="n"/>
      <c r="Q259" s="67" t="n"/>
      <c r="R259" s="70">
        <f>IF($A259="","",MAX(0,M259)*N(I259))</f>
        <v/>
      </c>
      <c r="S259" s="9">
        <f>IF($A259="","",IF(M259&lt;=0,IF(N(P259)&gt;0,"Rupture - en cde","RUPTURE"),IF(M259+N(P259)&lt;=N259,"À COMMANDER",IF(M259&lt;=N259,"Commande en cours","OK"))))</f>
        <v/>
      </c>
      <c r="T259" s="68">
        <f>IF($A259="","",IF(OR(S259="À COMMANDER",S259="RUPTURE"),MAX(1,O259-M259-N(P259)),0))</f>
        <v/>
      </c>
      <c r="U259" s="68">
        <f>IF($A259="","",SUMIFS('Mouvements stock'!$F$5:$F$3004,'Mouvements stock'!$D$5:$D$3004,$A259,'Mouvements stock'!$C$5:$C$3004,"Sortie",'Mouvements stock'!$B$5:$B$3004,"&gt;="&amp;'Paramètres'!$AA$6,'Mouvements stock'!$B$5:$B$3004,"&lt;"&amp;('Paramètres'!$AA$7+1)))</f>
        <v/>
      </c>
      <c r="V259" s="78">
        <f>IF($A259="","",IF(COUNTIF('Mouvements stock'!$D$5:$D$3004,$A259)=0,"",_xlfn.MAXIFS('Mouvements stock'!$B$5:$B$3004,'Mouvements stock'!$D$5:$D$3004,$A259)))</f>
        <v/>
      </c>
    </row>
    <row r="260">
      <c r="A260" s="7" t="n"/>
      <c r="B260" s="7" t="n"/>
      <c r="C260" s="7" t="n"/>
      <c r="D260" s="7" t="n"/>
      <c r="E260" s="7" t="n"/>
      <c r="F260" s="7" t="n"/>
      <c r="G260" s="7" t="n"/>
      <c r="H260" s="7" t="n"/>
      <c r="I260" s="80" t="n"/>
      <c r="J260" s="67" t="n"/>
      <c r="K260" s="68">
        <f>IF($A260="","",SUMIFS('Mouvements stock'!$F$5:$F$3004,'Mouvements stock'!$D$5:$D$3004,$A260,'Mouvements stock'!$C$5:$C$3004,"Entrée")+SUMIFS('Mouvements stock'!$F$5:$F$3004,'Mouvements stock'!$D$5:$D$3004,$A260,'Mouvements stock'!$C$5:$C$3004,"Retour"))</f>
        <v/>
      </c>
      <c r="L260" s="68">
        <f>IF($A260="","",SUMIFS('Mouvements stock'!$F$5:$F$3004,'Mouvements stock'!$D$5:$D$3004,$A260,'Mouvements stock'!$C$5:$C$3004,"Sortie"))</f>
        <v/>
      </c>
      <c r="M260" s="79">
        <f>IF($A260="","",N(J260)+N(K260)-N(L260))</f>
        <v/>
      </c>
      <c r="N260" s="67" t="n"/>
      <c r="O260" s="67" t="n"/>
      <c r="P260" s="67" t="n"/>
      <c r="Q260" s="67" t="n"/>
      <c r="R260" s="70">
        <f>IF($A260="","",MAX(0,M260)*N(I260))</f>
        <v/>
      </c>
      <c r="S260" s="9">
        <f>IF($A260="","",IF(M260&lt;=0,IF(N(P260)&gt;0,"Rupture - en cde","RUPTURE"),IF(M260+N(P260)&lt;=N260,"À COMMANDER",IF(M260&lt;=N260,"Commande en cours","OK"))))</f>
        <v/>
      </c>
      <c r="T260" s="68">
        <f>IF($A260="","",IF(OR(S260="À COMMANDER",S260="RUPTURE"),MAX(1,O260-M260-N(P260)),0))</f>
        <v/>
      </c>
      <c r="U260" s="68">
        <f>IF($A260="","",SUMIFS('Mouvements stock'!$F$5:$F$3004,'Mouvements stock'!$D$5:$D$3004,$A260,'Mouvements stock'!$C$5:$C$3004,"Sortie",'Mouvements stock'!$B$5:$B$3004,"&gt;="&amp;'Paramètres'!$AA$6,'Mouvements stock'!$B$5:$B$3004,"&lt;"&amp;('Paramètres'!$AA$7+1)))</f>
        <v/>
      </c>
      <c r="V260" s="78">
        <f>IF($A260="","",IF(COUNTIF('Mouvements stock'!$D$5:$D$3004,$A260)=0,"",_xlfn.MAXIFS('Mouvements stock'!$B$5:$B$3004,'Mouvements stock'!$D$5:$D$3004,$A260)))</f>
        <v/>
      </c>
    </row>
    <row r="261">
      <c r="A261" s="7" t="n"/>
      <c r="B261" s="7" t="n"/>
      <c r="C261" s="7" t="n"/>
      <c r="D261" s="7" t="n"/>
      <c r="E261" s="7" t="n"/>
      <c r="F261" s="7" t="n"/>
      <c r="G261" s="7" t="n"/>
      <c r="H261" s="7" t="n"/>
      <c r="I261" s="80" t="n"/>
      <c r="J261" s="67" t="n"/>
      <c r="K261" s="68">
        <f>IF($A261="","",SUMIFS('Mouvements stock'!$F$5:$F$3004,'Mouvements stock'!$D$5:$D$3004,$A261,'Mouvements stock'!$C$5:$C$3004,"Entrée")+SUMIFS('Mouvements stock'!$F$5:$F$3004,'Mouvements stock'!$D$5:$D$3004,$A261,'Mouvements stock'!$C$5:$C$3004,"Retour"))</f>
        <v/>
      </c>
      <c r="L261" s="68">
        <f>IF($A261="","",SUMIFS('Mouvements stock'!$F$5:$F$3004,'Mouvements stock'!$D$5:$D$3004,$A261,'Mouvements stock'!$C$5:$C$3004,"Sortie"))</f>
        <v/>
      </c>
      <c r="M261" s="79">
        <f>IF($A261="","",N(J261)+N(K261)-N(L261))</f>
        <v/>
      </c>
      <c r="N261" s="67" t="n"/>
      <c r="O261" s="67" t="n"/>
      <c r="P261" s="67" t="n"/>
      <c r="Q261" s="67" t="n"/>
      <c r="R261" s="70">
        <f>IF($A261="","",MAX(0,M261)*N(I261))</f>
        <v/>
      </c>
      <c r="S261" s="9">
        <f>IF($A261="","",IF(M261&lt;=0,IF(N(P261)&gt;0,"Rupture - en cde","RUPTURE"),IF(M261+N(P261)&lt;=N261,"À COMMANDER",IF(M261&lt;=N261,"Commande en cours","OK"))))</f>
        <v/>
      </c>
      <c r="T261" s="68">
        <f>IF($A261="","",IF(OR(S261="À COMMANDER",S261="RUPTURE"),MAX(1,O261-M261-N(P261)),0))</f>
        <v/>
      </c>
      <c r="U261" s="68">
        <f>IF($A261="","",SUMIFS('Mouvements stock'!$F$5:$F$3004,'Mouvements stock'!$D$5:$D$3004,$A261,'Mouvements stock'!$C$5:$C$3004,"Sortie",'Mouvements stock'!$B$5:$B$3004,"&gt;="&amp;'Paramètres'!$AA$6,'Mouvements stock'!$B$5:$B$3004,"&lt;"&amp;('Paramètres'!$AA$7+1)))</f>
        <v/>
      </c>
      <c r="V261" s="78">
        <f>IF($A261="","",IF(COUNTIF('Mouvements stock'!$D$5:$D$3004,$A261)=0,"",_xlfn.MAXIFS('Mouvements stock'!$B$5:$B$3004,'Mouvements stock'!$D$5:$D$3004,$A261)))</f>
        <v/>
      </c>
    </row>
    <row r="262">
      <c r="A262" s="7" t="n"/>
      <c r="B262" s="7" t="n"/>
      <c r="C262" s="7" t="n"/>
      <c r="D262" s="7" t="n"/>
      <c r="E262" s="7" t="n"/>
      <c r="F262" s="7" t="n"/>
      <c r="G262" s="7" t="n"/>
      <c r="H262" s="7" t="n"/>
      <c r="I262" s="80" t="n"/>
      <c r="J262" s="67" t="n"/>
      <c r="K262" s="68">
        <f>IF($A262="","",SUMIFS('Mouvements stock'!$F$5:$F$3004,'Mouvements stock'!$D$5:$D$3004,$A262,'Mouvements stock'!$C$5:$C$3004,"Entrée")+SUMIFS('Mouvements stock'!$F$5:$F$3004,'Mouvements stock'!$D$5:$D$3004,$A262,'Mouvements stock'!$C$5:$C$3004,"Retour"))</f>
        <v/>
      </c>
      <c r="L262" s="68">
        <f>IF($A262="","",SUMIFS('Mouvements stock'!$F$5:$F$3004,'Mouvements stock'!$D$5:$D$3004,$A262,'Mouvements stock'!$C$5:$C$3004,"Sortie"))</f>
        <v/>
      </c>
      <c r="M262" s="79">
        <f>IF($A262="","",N(J262)+N(K262)-N(L262))</f>
        <v/>
      </c>
      <c r="N262" s="67" t="n"/>
      <c r="O262" s="67" t="n"/>
      <c r="P262" s="67" t="n"/>
      <c r="Q262" s="67" t="n"/>
      <c r="R262" s="70">
        <f>IF($A262="","",MAX(0,M262)*N(I262))</f>
        <v/>
      </c>
      <c r="S262" s="9">
        <f>IF($A262="","",IF(M262&lt;=0,IF(N(P262)&gt;0,"Rupture - en cde","RUPTURE"),IF(M262+N(P262)&lt;=N262,"À COMMANDER",IF(M262&lt;=N262,"Commande en cours","OK"))))</f>
        <v/>
      </c>
      <c r="T262" s="68">
        <f>IF($A262="","",IF(OR(S262="À COMMANDER",S262="RUPTURE"),MAX(1,O262-M262-N(P262)),0))</f>
        <v/>
      </c>
      <c r="U262" s="68">
        <f>IF($A262="","",SUMIFS('Mouvements stock'!$F$5:$F$3004,'Mouvements stock'!$D$5:$D$3004,$A262,'Mouvements stock'!$C$5:$C$3004,"Sortie",'Mouvements stock'!$B$5:$B$3004,"&gt;="&amp;'Paramètres'!$AA$6,'Mouvements stock'!$B$5:$B$3004,"&lt;"&amp;('Paramètres'!$AA$7+1)))</f>
        <v/>
      </c>
      <c r="V262" s="78">
        <f>IF($A262="","",IF(COUNTIF('Mouvements stock'!$D$5:$D$3004,$A262)=0,"",_xlfn.MAXIFS('Mouvements stock'!$B$5:$B$3004,'Mouvements stock'!$D$5:$D$3004,$A262)))</f>
        <v/>
      </c>
    </row>
    <row r="263">
      <c r="A263" s="7" t="n"/>
      <c r="B263" s="7" t="n"/>
      <c r="C263" s="7" t="n"/>
      <c r="D263" s="7" t="n"/>
      <c r="E263" s="7" t="n"/>
      <c r="F263" s="7" t="n"/>
      <c r="G263" s="7" t="n"/>
      <c r="H263" s="7" t="n"/>
      <c r="I263" s="80" t="n"/>
      <c r="J263" s="67" t="n"/>
      <c r="K263" s="68">
        <f>IF($A263="","",SUMIFS('Mouvements stock'!$F$5:$F$3004,'Mouvements stock'!$D$5:$D$3004,$A263,'Mouvements stock'!$C$5:$C$3004,"Entrée")+SUMIFS('Mouvements stock'!$F$5:$F$3004,'Mouvements stock'!$D$5:$D$3004,$A263,'Mouvements stock'!$C$5:$C$3004,"Retour"))</f>
        <v/>
      </c>
      <c r="L263" s="68">
        <f>IF($A263="","",SUMIFS('Mouvements stock'!$F$5:$F$3004,'Mouvements stock'!$D$5:$D$3004,$A263,'Mouvements stock'!$C$5:$C$3004,"Sortie"))</f>
        <v/>
      </c>
      <c r="M263" s="79">
        <f>IF($A263="","",N(J263)+N(K263)-N(L263))</f>
        <v/>
      </c>
      <c r="N263" s="67" t="n"/>
      <c r="O263" s="67" t="n"/>
      <c r="P263" s="67" t="n"/>
      <c r="Q263" s="67" t="n"/>
      <c r="R263" s="70">
        <f>IF($A263="","",MAX(0,M263)*N(I263))</f>
        <v/>
      </c>
      <c r="S263" s="9">
        <f>IF($A263="","",IF(M263&lt;=0,IF(N(P263)&gt;0,"Rupture - en cde","RUPTURE"),IF(M263+N(P263)&lt;=N263,"À COMMANDER",IF(M263&lt;=N263,"Commande en cours","OK"))))</f>
        <v/>
      </c>
      <c r="T263" s="68">
        <f>IF($A263="","",IF(OR(S263="À COMMANDER",S263="RUPTURE"),MAX(1,O263-M263-N(P263)),0))</f>
        <v/>
      </c>
      <c r="U263" s="68">
        <f>IF($A263="","",SUMIFS('Mouvements stock'!$F$5:$F$3004,'Mouvements stock'!$D$5:$D$3004,$A263,'Mouvements stock'!$C$5:$C$3004,"Sortie",'Mouvements stock'!$B$5:$B$3004,"&gt;="&amp;'Paramètres'!$AA$6,'Mouvements stock'!$B$5:$B$3004,"&lt;"&amp;('Paramètres'!$AA$7+1)))</f>
        <v/>
      </c>
      <c r="V263" s="78">
        <f>IF($A263="","",IF(COUNTIF('Mouvements stock'!$D$5:$D$3004,$A263)=0,"",_xlfn.MAXIFS('Mouvements stock'!$B$5:$B$3004,'Mouvements stock'!$D$5:$D$3004,$A263)))</f>
        <v/>
      </c>
    </row>
    <row r="264">
      <c r="A264" s="7" t="n"/>
      <c r="B264" s="7" t="n"/>
      <c r="C264" s="7" t="n"/>
      <c r="D264" s="7" t="n"/>
      <c r="E264" s="7" t="n"/>
      <c r="F264" s="7" t="n"/>
      <c r="G264" s="7" t="n"/>
      <c r="H264" s="7" t="n"/>
      <c r="I264" s="80" t="n"/>
      <c r="J264" s="67" t="n"/>
      <c r="K264" s="68">
        <f>IF($A264="","",SUMIFS('Mouvements stock'!$F$5:$F$3004,'Mouvements stock'!$D$5:$D$3004,$A264,'Mouvements stock'!$C$5:$C$3004,"Entrée")+SUMIFS('Mouvements stock'!$F$5:$F$3004,'Mouvements stock'!$D$5:$D$3004,$A264,'Mouvements stock'!$C$5:$C$3004,"Retour"))</f>
        <v/>
      </c>
      <c r="L264" s="68">
        <f>IF($A264="","",SUMIFS('Mouvements stock'!$F$5:$F$3004,'Mouvements stock'!$D$5:$D$3004,$A264,'Mouvements stock'!$C$5:$C$3004,"Sortie"))</f>
        <v/>
      </c>
      <c r="M264" s="79">
        <f>IF($A264="","",N(J264)+N(K264)-N(L264))</f>
        <v/>
      </c>
      <c r="N264" s="67" t="n"/>
      <c r="O264" s="67" t="n"/>
      <c r="P264" s="67" t="n"/>
      <c r="Q264" s="67" t="n"/>
      <c r="R264" s="70">
        <f>IF($A264="","",MAX(0,M264)*N(I264))</f>
        <v/>
      </c>
      <c r="S264" s="9">
        <f>IF($A264="","",IF(M264&lt;=0,IF(N(P264)&gt;0,"Rupture - en cde","RUPTURE"),IF(M264+N(P264)&lt;=N264,"À COMMANDER",IF(M264&lt;=N264,"Commande en cours","OK"))))</f>
        <v/>
      </c>
      <c r="T264" s="68">
        <f>IF($A264="","",IF(OR(S264="À COMMANDER",S264="RUPTURE"),MAX(1,O264-M264-N(P264)),0))</f>
        <v/>
      </c>
      <c r="U264" s="68">
        <f>IF($A264="","",SUMIFS('Mouvements stock'!$F$5:$F$3004,'Mouvements stock'!$D$5:$D$3004,$A264,'Mouvements stock'!$C$5:$C$3004,"Sortie",'Mouvements stock'!$B$5:$B$3004,"&gt;="&amp;'Paramètres'!$AA$6,'Mouvements stock'!$B$5:$B$3004,"&lt;"&amp;('Paramètres'!$AA$7+1)))</f>
        <v/>
      </c>
      <c r="V264" s="78">
        <f>IF($A264="","",IF(COUNTIF('Mouvements stock'!$D$5:$D$3004,$A264)=0,"",_xlfn.MAXIFS('Mouvements stock'!$B$5:$B$3004,'Mouvements stock'!$D$5:$D$3004,$A264)))</f>
        <v/>
      </c>
    </row>
    <row r="265">
      <c r="A265" s="7" t="n"/>
      <c r="B265" s="7" t="n"/>
      <c r="C265" s="7" t="n"/>
      <c r="D265" s="7" t="n"/>
      <c r="E265" s="7" t="n"/>
      <c r="F265" s="7" t="n"/>
      <c r="G265" s="7" t="n"/>
      <c r="H265" s="7" t="n"/>
      <c r="I265" s="80" t="n"/>
      <c r="J265" s="67" t="n"/>
      <c r="K265" s="68">
        <f>IF($A265="","",SUMIFS('Mouvements stock'!$F$5:$F$3004,'Mouvements stock'!$D$5:$D$3004,$A265,'Mouvements stock'!$C$5:$C$3004,"Entrée")+SUMIFS('Mouvements stock'!$F$5:$F$3004,'Mouvements stock'!$D$5:$D$3004,$A265,'Mouvements stock'!$C$5:$C$3004,"Retour"))</f>
        <v/>
      </c>
      <c r="L265" s="68">
        <f>IF($A265="","",SUMIFS('Mouvements stock'!$F$5:$F$3004,'Mouvements stock'!$D$5:$D$3004,$A265,'Mouvements stock'!$C$5:$C$3004,"Sortie"))</f>
        <v/>
      </c>
      <c r="M265" s="79">
        <f>IF($A265="","",N(J265)+N(K265)-N(L265))</f>
        <v/>
      </c>
      <c r="N265" s="67" t="n"/>
      <c r="O265" s="67" t="n"/>
      <c r="P265" s="67" t="n"/>
      <c r="Q265" s="67" t="n"/>
      <c r="R265" s="70">
        <f>IF($A265="","",MAX(0,M265)*N(I265))</f>
        <v/>
      </c>
      <c r="S265" s="9">
        <f>IF($A265="","",IF(M265&lt;=0,IF(N(P265)&gt;0,"Rupture - en cde","RUPTURE"),IF(M265+N(P265)&lt;=N265,"À COMMANDER",IF(M265&lt;=N265,"Commande en cours","OK"))))</f>
        <v/>
      </c>
      <c r="T265" s="68">
        <f>IF($A265="","",IF(OR(S265="À COMMANDER",S265="RUPTURE"),MAX(1,O265-M265-N(P265)),0))</f>
        <v/>
      </c>
      <c r="U265" s="68">
        <f>IF($A265="","",SUMIFS('Mouvements stock'!$F$5:$F$3004,'Mouvements stock'!$D$5:$D$3004,$A265,'Mouvements stock'!$C$5:$C$3004,"Sortie",'Mouvements stock'!$B$5:$B$3004,"&gt;="&amp;'Paramètres'!$AA$6,'Mouvements stock'!$B$5:$B$3004,"&lt;"&amp;('Paramètres'!$AA$7+1)))</f>
        <v/>
      </c>
      <c r="V265" s="78">
        <f>IF($A265="","",IF(COUNTIF('Mouvements stock'!$D$5:$D$3004,$A265)=0,"",_xlfn.MAXIFS('Mouvements stock'!$B$5:$B$3004,'Mouvements stock'!$D$5:$D$3004,$A265)))</f>
        <v/>
      </c>
    </row>
    <row r="266">
      <c r="A266" s="7" t="n"/>
      <c r="B266" s="7" t="n"/>
      <c r="C266" s="7" t="n"/>
      <c r="D266" s="7" t="n"/>
      <c r="E266" s="7" t="n"/>
      <c r="F266" s="7" t="n"/>
      <c r="G266" s="7" t="n"/>
      <c r="H266" s="7" t="n"/>
      <c r="I266" s="80" t="n"/>
      <c r="J266" s="67" t="n"/>
      <c r="K266" s="68">
        <f>IF($A266="","",SUMIFS('Mouvements stock'!$F$5:$F$3004,'Mouvements stock'!$D$5:$D$3004,$A266,'Mouvements stock'!$C$5:$C$3004,"Entrée")+SUMIFS('Mouvements stock'!$F$5:$F$3004,'Mouvements stock'!$D$5:$D$3004,$A266,'Mouvements stock'!$C$5:$C$3004,"Retour"))</f>
        <v/>
      </c>
      <c r="L266" s="68">
        <f>IF($A266="","",SUMIFS('Mouvements stock'!$F$5:$F$3004,'Mouvements stock'!$D$5:$D$3004,$A266,'Mouvements stock'!$C$5:$C$3004,"Sortie"))</f>
        <v/>
      </c>
      <c r="M266" s="79">
        <f>IF($A266="","",N(J266)+N(K266)-N(L266))</f>
        <v/>
      </c>
      <c r="N266" s="67" t="n"/>
      <c r="O266" s="67" t="n"/>
      <c r="P266" s="67" t="n"/>
      <c r="Q266" s="67" t="n"/>
      <c r="R266" s="70">
        <f>IF($A266="","",MAX(0,M266)*N(I266))</f>
        <v/>
      </c>
      <c r="S266" s="9">
        <f>IF($A266="","",IF(M266&lt;=0,IF(N(P266)&gt;0,"Rupture - en cde","RUPTURE"),IF(M266+N(P266)&lt;=N266,"À COMMANDER",IF(M266&lt;=N266,"Commande en cours","OK"))))</f>
        <v/>
      </c>
      <c r="T266" s="68">
        <f>IF($A266="","",IF(OR(S266="À COMMANDER",S266="RUPTURE"),MAX(1,O266-M266-N(P266)),0))</f>
        <v/>
      </c>
      <c r="U266" s="68">
        <f>IF($A266="","",SUMIFS('Mouvements stock'!$F$5:$F$3004,'Mouvements stock'!$D$5:$D$3004,$A266,'Mouvements stock'!$C$5:$C$3004,"Sortie",'Mouvements stock'!$B$5:$B$3004,"&gt;="&amp;'Paramètres'!$AA$6,'Mouvements stock'!$B$5:$B$3004,"&lt;"&amp;('Paramètres'!$AA$7+1)))</f>
        <v/>
      </c>
      <c r="V266" s="78">
        <f>IF($A266="","",IF(COUNTIF('Mouvements stock'!$D$5:$D$3004,$A266)=0,"",_xlfn.MAXIFS('Mouvements stock'!$B$5:$B$3004,'Mouvements stock'!$D$5:$D$3004,$A266)))</f>
        <v/>
      </c>
    </row>
    <row r="267">
      <c r="A267" s="7" t="n"/>
      <c r="B267" s="7" t="n"/>
      <c r="C267" s="7" t="n"/>
      <c r="D267" s="7" t="n"/>
      <c r="E267" s="7" t="n"/>
      <c r="F267" s="7" t="n"/>
      <c r="G267" s="7" t="n"/>
      <c r="H267" s="7" t="n"/>
      <c r="I267" s="80" t="n"/>
      <c r="J267" s="67" t="n"/>
      <c r="K267" s="68">
        <f>IF($A267="","",SUMIFS('Mouvements stock'!$F$5:$F$3004,'Mouvements stock'!$D$5:$D$3004,$A267,'Mouvements stock'!$C$5:$C$3004,"Entrée")+SUMIFS('Mouvements stock'!$F$5:$F$3004,'Mouvements stock'!$D$5:$D$3004,$A267,'Mouvements stock'!$C$5:$C$3004,"Retour"))</f>
        <v/>
      </c>
      <c r="L267" s="68">
        <f>IF($A267="","",SUMIFS('Mouvements stock'!$F$5:$F$3004,'Mouvements stock'!$D$5:$D$3004,$A267,'Mouvements stock'!$C$5:$C$3004,"Sortie"))</f>
        <v/>
      </c>
      <c r="M267" s="79">
        <f>IF($A267="","",N(J267)+N(K267)-N(L267))</f>
        <v/>
      </c>
      <c r="N267" s="67" t="n"/>
      <c r="O267" s="67" t="n"/>
      <c r="P267" s="67" t="n"/>
      <c r="Q267" s="67" t="n"/>
      <c r="R267" s="70">
        <f>IF($A267="","",MAX(0,M267)*N(I267))</f>
        <v/>
      </c>
      <c r="S267" s="9">
        <f>IF($A267="","",IF(M267&lt;=0,IF(N(P267)&gt;0,"Rupture - en cde","RUPTURE"),IF(M267+N(P267)&lt;=N267,"À COMMANDER",IF(M267&lt;=N267,"Commande en cours","OK"))))</f>
        <v/>
      </c>
      <c r="T267" s="68">
        <f>IF($A267="","",IF(OR(S267="À COMMANDER",S267="RUPTURE"),MAX(1,O267-M267-N(P267)),0))</f>
        <v/>
      </c>
      <c r="U267" s="68">
        <f>IF($A267="","",SUMIFS('Mouvements stock'!$F$5:$F$3004,'Mouvements stock'!$D$5:$D$3004,$A267,'Mouvements stock'!$C$5:$C$3004,"Sortie",'Mouvements stock'!$B$5:$B$3004,"&gt;="&amp;'Paramètres'!$AA$6,'Mouvements stock'!$B$5:$B$3004,"&lt;"&amp;('Paramètres'!$AA$7+1)))</f>
        <v/>
      </c>
      <c r="V267" s="78">
        <f>IF($A267="","",IF(COUNTIF('Mouvements stock'!$D$5:$D$3004,$A267)=0,"",_xlfn.MAXIFS('Mouvements stock'!$B$5:$B$3004,'Mouvements stock'!$D$5:$D$3004,$A267)))</f>
        <v/>
      </c>
    </row>
    <row r="268">
      <c r="A268" s="7" t="n"/>
      <c r="B268" s="7" t="n"/>
      <c r="C268" s="7" t="n"/>
      <c r="D268" s="7" t="n"/>
      <c r="E268" s="7" t="n"/>
      <c r="F268" s="7" t="n"/>
      <c r="G268" s="7" t="n"/>
      <c r="H268" s="7" t="n"/>
      <c r="I268" s="80" t="n"/>
      <c r="J268" s="67" t="n"/>
      <c r="K268" s="68">
        <f>IF($A268="","",SUMIFS('Mouvements stock'!$F$5:$F$3004,'Mouvements stock'!$D$5:$D$3004,$A268,'Mouvements stock'!$C$5:$C$3004,"Entrée")+SUMIFS('Mouvements stock'!$F$5:$F$3004,'Mouvements stock'!$D$5:$D$3004,$A268,'Mouvements stock'!$C$5:$C$3004,"Retour"))</f>
        <v/>
      </c>
      <c r="L268" s="68">
        <f>IF($A268="","",SUMIFS('Mouvements stock'!$F$5:$F$3004,'Mouvements stock'!$D$5:$D$3004,$A268,'Mouvements stock'!$C$5:$C$3004,"Sortie"))</f>
        <v/>
      </c>
      <c r="M268" s="79">
        <f>IF($A268="","",N(J268)+N(K268)-N(L268))</f>
        <v/>
      </c>
      <c r="N268" s="67" t="n"/>
      <c r="O268" s="67" t="n"/>
      <c r="P268" s="67" t="n"/>
      <c r="Q268" s="67" t="n"/>
      <c r="R268" s="70">
        <f>IF($A268="","",MAX(0,M268)*N(I268))</f>
        <v/>
      </c>
      <c r="S268" s="9">
        <f>IF($A268="","",IF(M268&lt;=0,IF(N(P268)&gt;0,"Rupture - en cde","RUPTURE"),IF(M268+N(P268)&lt;=N268,"À COMMANDER",IF(M268&lt;=N268,"Commande en cours","OK"))))</f>
        <v/>
      </c>
      <c r="T268" s="68">
        <f>IF($A268="","",IF(OR(S268="À COMMANDER",S268="RUPTURE"),MAX(1,O268-M268-N(P268)),0))</f>
        <v/>
      </c>
      <c r="U268" s="68">
        <f>IF($A268="","",SUMIFS('Mouvements stock'!$F$5:$F$3004,'Mouvements stock'!$D$5:$D$3004,$A268,'Mouvements stock'!$C$5:$C$3004,"Sortie",'Mouvements stock'!$B$5:$B$3004,"&gt;="&amp;'Paramètres'!$AA$6,'Mouvements stock'!$B$5:$B$3004,"&lt;"&amp;('Paramètres'!$AA$7+1)))</f>
        <v/>
      </c>
      <c r="V268" s="78">
        <f>IF($A268="","",IF(COUNTIF('Mouvements stock'!$D$5:$D$3004,$A268)=0,"",_xlfn.MAXIFS('Mouvements stock'!$B$5:$B$3004,'Mouvements stock'!$D$5:$D$3004,$A268)))</f>
        <v/>
      </c>
    </row>
    <row r="269">
      <c r="A269" s="7" t="n"/>
      <c r="B269" s="7" t="n"/>
      <c r="C269" s="7" t="n"/>
      <c r="D269" s="7" t="n"/>
      <c r="E269" s="7" t="n"/>
      <c r="F269" s="7" t="n"/>
      <c r="G269" s="7" t="n"/>
      <c r="H269" s="7" t="n"/>
      <c r="I269" s="80" t="n"/>
      <c r="J269" s="67" t="n"/>
      <c r="K269" s="68">
        <f>IF($A269="","",SUMIFS('Mouvements stock'!$F$5:$F$3004,'Mouvements stock'!$D$5:$D$3004,$A269,'Mouvements stock'!$C$5:$C$3004,"Entrée")+SUMIFS('Mouvements stock'!$F$5:$F$3004,'Mouvements stock'!$D$5:$D$3004,$A269,'Mouvements stock'!$C$5:$C$3004,"Retour"))</f>
        <v/>
      </c>
      <c r="L269" s="68">
        <f>IF($A269="","",SUMIFS('Mouvements stock'!$F$5:$F$3004,'Mouvements stock'!$D$5:$D$3004,$A269,'Mouvements stock'!$C$5:$C$3004,"Sortie"))</f>
        <v/>
      </c>
      <c r="M269" s="79">
        <f>IF($A269="","",N(J269)+N(K269)-N(L269))</f>
        <v/>
      </c>
      <c r="N269" s="67" t="n"/>
      <c r="O269" s="67" t="n"/>
      <c r="P269" s="67" t="n"/>
      <c r="Q269" s="67" t="n"/>
      <c r="R269" s="70">
        <f>IF($A269="","",MAX(0,M269)*N(I269))</f>
        <v/>
      </c>
      <c r="S269" s="9">
        <f>IF($A269="","",IF(M269&lt;=0,IF(N(P269)&gt;0,"Rupture - en cde","RUPTURE"),IF(M269+N(P269)&lt;=N269,"À COMMANDER",IF(M269&lt;=N269,"Commande en cours","OK"))))</f>
        <v/>
      </c>
      <c r="T269" s="68">
        <f>IF($A269="","",IF(OR(S269="À COMMANDER",S269="RUPTURE"),MAX(1,O269-M269-N(P269)),0))</f>
        <v/>
      </c>
      <c r="U269" s="68">
        <f>IF($A269="","",SUMIFS('Mouvements stock'!$F$5:$F$3004,'Mouvements stock'!$D$5:$D$3004,$A269,'Mouvements stock'!$C$5:$C$3004,"Sortie",'Mouvements stock'!$B$5:$B$3004,"&gt;="&amp;'Paramètres'!$AA$6,'Mouvements stock'!$B$5:$B$3004,"&lt;"&amp;('Paramètres'!$AA$7+1)))</f>
        <v/>
      </c>
      <c r="V269" s="78">
        <f>IF($A269="","",IF(COUNTIF('Mouvements stock'!$D$5:$D$3004,$A269)=0,"",_xlfn.MAXIFS('Mouvements stock'!$B$5:$B$3004,'Mouvements stock'!$D$5:$D$3004,$A269)))</f>
        <v/>
      </c>
    </row>
    <row r="270">
      <c r="A270" s="7" t="n"/>
      <c r="B270" s="7" t="n"/>
      <c r="C270" s="7" t="n"/>
      <c r="D270" s="7" t="n"/>
      <c r="E270" s="7" t="n"/>
      <c r="F270" s="7" t="n"/>
      <c r="G270" s="7" t="n"/>
      <c r="H270" s="7" t="n"/>
      <c r="I270" s="80" t="n"/>
      <c r="J270" s="67" t="n"/>
      <c r="K270" s="68">
        <f>IF($A270="","",SUMIFS('Mouvements stock'!$F$5:$F$3004,'Mouvements stock'!$D$5:$D$3004,$A270,'Mouvements stock'!$C$5:$C$3004,"Entrée")+SUMIFS('Mouvements stock'!$F$5:$F$3004,'Mouvements stock'!$D$5:$D$3004,$A270,'Mouvements stock'!$C$5:$C$3004,"Retour"))</f>
        <v/>
      </c>
      <c r="L270" s="68">
        <f>IF($A270="","",SUMIFS('Mouvements stock'!$F$5:$F$3004,'Mouvements stock'!$D$5:$D$3004,$A270,'Mouvements stock'!$C$5:$C$3004,"Sortie"))</f>
        <v/>
      </c>
      <c r="M270" s="79">
        <f>IF($A270="","",N(J270)+N(K270)-N(L270))</f>
        <v/>
      </c>
      <c r="N270" s="67" t="n"/>
      <c r="O270" s="67" t="n"/>
      <c r="P270" s="67" t="n"/>
      <c r="Q270" s="67" t="n"/>
      <c r="R270" s="70">
        <f>IF($A270="","",MAX(0,M270)*N(I270))</f>
        <v/>
      </c>
      <c r="S270" s="9">
        <f>IF($A270="","",IF(M270&lt;=0,IF(N(P270)&gt;0,"Rupture - en cde","RUPTURE"),IF(M270+N(P270)&lt;=N270,"À COMMANDER",IF(M270&lt;=N270,"Commande en cours","OK"))))</f>
        <v/>
      </c>
      <c r="T270" s="68">
        <f>IF($A270="","",IF(OR(S270="À COMMANDER",S270="RUPTURE"),MAX(1,O270-M270-N(P270)),0))</f>
        <v/>
      </c>
      <c r="U270" s="68">
        <f>IF($A270="","",SUMIFS('Mouvements stock'!$F$5:$F$3004,'Mouvements stock'!$D$5:$D$3004,$A270,'Mouvements stock'!$C$5:$C$3004,"Sortie",'Mouvements stock'!$B$5:$B$3004,"&gt;="&amp;'Paramètres'!$AA$6,'Mouvements stock'!$B$5:$B$3004,"&lt;"&amp;('Paramètres'!$AA$7+1)))</f>
        <v/>
      </c>
      <c r="V270" s="78">
        <f>IF($A270="","",IF(COUNTIF('Mouvements stock'!$D$5:$D$3004,$A270)=0,"",_xlfn.MAXIFS('Mouvements stock'!$B$5:$B$3004,'Mouvements stock'!$D$5:$D$3004,$A270)))</f>
        <v/>
      </c>
    </row>
    <row r="271">
      <c r="A271" s="7" t="n"/>
      <c r="B271" s="7" t="n"/>
      <c r="C271" s="7" t="n"/>
      <c r="D271" s="7" t="n"/>
      <c r="E271" s="7" t="n"/>
      <c r="F271" s="7" t="n"/>
      <c r="G271" s="7" t="n"/>
      <c r="H271" s="7" t="n"/>
      <c r="I271" s="80" t="n"/>
      <c r="J271" s="67" t="n"/>
      <c r="K271" s="68">
        <f>IF($A271="","",SUMIFS('Mouvements stock'!$F$5:$F$3004,'Mouvements stock'!$D$5:$D$3004,$A271,'Mouvements stock'!$C$5:$C$3004,"Entrée")+SUMIFS('Mouvements stock'!$F$5:$F$3004,'Mouvements stock'!$D$5:$D$3004,$A271,'Mouvements stock'!$C$5:$C$3004,"Retour"))</f>
        <v/>
      </c>
      <c r="L271" s="68">
        <f>IF($A271="","",SUMIFS('Mouvements stock'!$F$5:$F$3004,'Mouvements stock'!$D$5:$D$3004,$A271,'Mouvements stock'!$C$5:$C$3004,"Sortie"))</f>
        <v/>
      </c>
      <c r="M271" s="79">
        <f>IF($A271="","",N(J271)+N(K271)-N(L271))</f>
        <v/>
      </c>
      <c r="N271" s="67" t="n"/>
      <c r="O271" s="67" t="n"/>
      <c r="P271" s="67" t="n"/>
      <c r="Q271" s="67" t="n"/>
      <c r="R271" s="70">
        <f>IF($A271="","",MAX(0,M271)*N(I271))</f>
        <v/>
      </c>
      <c r="S271" s="9">
        <f>IF($A271="","",IF(M271&lt;=0,IF(N(P271)&gt;0,"Rupture - en cde","RUPTURE"),IF(M271+N(P271)&lt;=N271,"À COMMANDER",IF(M271&lt;=N271,"Commande en cours","OK"))))</f>
        <v/>
      </c>
      <c r="T271" s="68">
        <f>IF($A271="","",IF(OR(S271="À COMMANDER",S271="RUPTURE"),MAX(1,O271-M271-N(P271)),0))</f>
        <v/>
      </c>
      <c r="U271" s="68">
        <f>IF($A271="","",SUMIFS('Mouvements stock'!$F$5:$F$3004,'Mouvements stock'!$D$5:$D$3004,$A271,'Mouvements stock'!$C$5:$C$3004,"Sortie",'Mouvements stock'!$B$5:$B$3004,"&gt;="&amp;'Paramètres'!$AA$6,'Mouvements stock'!$B$5:$B$3004,"&lt;"&amp;('Paramètres'!$AA$7+1)))</f>
        <v/>
      </c>
      <c r="V271" s="78">
        <f>IF($A271="","",IF(COUNTIF('Mouvements stock'!$D$5:$D$3004,$A271)=0,"",_xlfn.MAXIFS('Mouvements stock'!$B$5:$B$3004,'Mouvements stock'!$D$5:$D$3004,$A271)))</f>
        <v/>
      </c>
    </row>
    <row r="272">
      <c r="A272" s="7" t="n"/>
      <c r="B272" s="7" t="n"/>
      <c r="C272" s="7" t="n"/>
      <c r="D272" s="7" t="n"/>
      <c r="E272" s="7" t="n"/>
      <c r="F272" s="7" t="n"/>
      <c r="G272" s="7" t="n"/>
      <c r="H272" s="7" t="n"/>
      <c r="I272" s="80" t="n"/>
      <c r="J272" s="67" t="n"/>
      <c r="K272" s="68">
        <f>IF($A272="","",SUMIFS('Mouvements stock'!$F$5:$F$3004,'Mouvements stock'!$D$5:$D$3004,$A272,'Mouvements stock'!$C$5:$C$3004,"Entrée")+SUMIFS('Mouvements stock'!$F$5:$F$3004,'Mouvements stock'!$D$5:$D$3004,$A272,'Mouvements stock'!$C$5:$C$3004,"Retour"))</f>
        <v/>
      </c>
      <c r="L272" s="68">
        <f>IF($A272="","",SUMIFS('Mouvements stock'!$F$5:$F$3004,'Mouvements stock'!$D$5:$D$3004,$A272,'Mouvements stock'!$C$5:$C$3004,"Sortie"))</f>
        <v/>
      </c>
      <c r="M272" s="79">
        <f>IF($A272="","",N(J272)+N(K272)-N(L272))</f>
        <v/>
      </c>
      <c r="N272" s="67" t="n"/>
      <c r="O272" s="67" t="n"/>
      <c r="P272" s="67" t="n"/>
      <c r="Q272" s="67" t="n"/>
      <c r="R272" s="70">
        <f>IF($A272="","",MAX(0,M272)*N(I272))</f>
        <v/>
      </c>
      <c r="S272" s="9">
        <f>IF($A272="","",IF(M272&lt;=0,IF(N(P272)&gt;0,"Rupture - en cde","RUPTURE"),IF(M272+N(P272)&lt;=N272,"À COMMANDER",IF(M272&lt;=N272,"Commande en cours","OK"))))</f>
        <v/>
      </c>
      <c r="T272" s="68">
        <f>IF($A272="","",IF(OR(S272="À COMMANDER",S272="RUPTURE"),MAX(1,O272-M272-N(P272)),0))</f>
        <v/>
      </c>
      <c r="U272" s="68">
        <f>IF($A272="","",SUMIFS('Mouvements stock'!$F$5:$F$3004,'Mouvements stock'!$D$5:$D$3004,$A272,'Mouvements stock'!$C$5:$C$3004,"Sortie",'Mouvements stock'!$B$5:$B$3004,"&gt;="&amp;'Paramètres'!$AA$6,'Mouvements stock'!$B$5:$B$3004,"&lt;"&amp;('Paramètres'!$AA$7+1)))</f>
        <v/>
      </c>
      <c r="V272" s="78">
        <f>IF($A272="","",IF(COUNTIF('Mouvements stock'!$D$5:$D$3004,$A272)=0,"",_xlfn.MAXIFS('Mouvements stock'!$B$5:$B$3004,'Mouvements stock'!$D$5:$D$3004,$A272)))</f>
        <v/>
      </c>
    </row>
    <row r="273">
      <c r="A273" s="7" t="n"/>
      <c r="B273" s="7" t="n"/>
      <c r="C273" s="7" t="n"/>
      <c r="D273" s="7" t="n"/>
      <c r="E273" s="7" t="n"/>
      <c r="F273" s="7" t="n"/>
      <c r="G273" s="7" t="n"/>
      <c r="H273" s="7" t="n"/>
      <c r="I273" s="80" t="n"/>
      <c r="J273" s="67" t="n"/>
      <c r="K273" s="68">
        <f>IF($A273="","",SUMIFS('Mouvements stock'!$F$5:$F$3004,'Mouvements stock'!$D$5:$D$3004,$A273,'Mouvements stock'!$C$5:$C$3004,"Entrée")+SUMIFS('Mouvements stock'!$F$5:$F$3004,'Mouvements stock'!$D$5:$D$3004,$A273,'Mouvements stock'!$C$5:$C$3004,"Retour"))</f>
        <v/>
      </c>
      <c r="L273" s="68">
        <f>IF($A273="","",SUMIFS('Mouvements stock'!$F$5:$F$3004,'Mouvements stock'!$D$5:$D$3004,$A273,'Mouvements stock'!$C$5:$C$3004,"Sortie"))</f>
        <v/>
      </c>
      <c r="M273" s="79">
        <f>IF($A273="","",N(J273)+N(K273)-N(L273))</f>
        <v/>
      </c>
      <c r="N273" s="67" t="n"/>
      <c r="O273" s="67" t="n"/>
      <c r="P273" s="67" t="n"/>
      <c r="Q273" s="67" t="n"/>
      <c r="R273" s="70">
        <f>IF($A273="","",MAX(0,M273)*N(I273))</f>
        <v/>
      </c>
      <c r="S273" s="9">
        <f>IF($A273="","",IF(M273&lt;=0,IF(N(P273)&gt;0,"Rupture - en cde","RUPTURE"),IF(M273+N(P273)&lt;=N273,"À COMMANDER",IF(M273&lt;=N273,"Commande en cours","OK"))))</f>
        <v/>
      </c>
      <c r="T273" s="68">
        <f>IF($A273="","",IF(OR(S273="À COMMANDER",S273="RUPTURE"),MAX(1,O273-M273-N(P273)),0))</f>
        <v/>
      </c>
      <c r="U273" s="68">
        <f>IF($A273="","",SUMIFS('Mouvements stock'!$F$5:$F$3004,'Mouvements stock'!$D$5:$D$3004,$A273,'Mouvements stock'!$C$5:$C$3004,"Sortie",'Mouvements stock'!$B$5:$B$3004,"&gt;="&amp;'Paramètres'!$AA$6,'Mouvements stock'!$B$5:$B$3004,"&lt;"&amp;('Paramètres'!$AA$7+1)))</f>
        <v/>
      </c>
      <c r="V273" s="78">
        <f>IF($A273="","",IF(COUNTIF('Mouvements stock'!$D$5:$D$3004,$A273)=0,"",_xlfn.MAXIFS('Mouvements stock'!$B$5:$B$3004,'Mouvements stock'!$D$5:$D$3004,$A273)))</f>
        <v/>
      </c>
    </row>
    <row r="274">
      <c r="A274" s="7" t="n"/>
      <c r="B274" s="7" t="n"/>
      <c r="C274" s="7" t="n"/>
      <c r="D274" s="7" t="n"/>
      <c r="E274" s="7" t="n"/>
      <c r="F274" s="7" t="n"/>
      <c r="G274" s="7" t="n"/>
      <c r="H274" s="7" t="n"/>
      <c r="I274" s="80" t="n"/>
      <c r="J274" s="67" t="n"/>
      <c r="K274" s="68">
        <f>IF($A274="","",SUMIFS('Mouvements stock'!$F$5:$F$3004,'Mouvements stock'!$D$5:$D$3004,$A274,'Mouvements stock'!$C$5:$C$3004,"Entrée")+SUMIFS('Mouvements stock'!$F$5:$F$3004,'Mouvements stock'!$D$5:$D$3004,$A274,'Mouvements stock'!$C$5:$C$3004,"Retour"))</f>
        <v/>
      </c>
      <c r="L274" s="68">
        <f>IF($A274="","",SUMIFS('Mouvements stock'!$F$5:$F$3004,'Mouvements stock'!$D$5:$D$3004,$A274,'Mouvements stock'!$C$5:$C$3004,"Sortie"))</f>
        <v/>
      </c>
      <c r="M274" s="79">
        <f>IF($A274="","",N(J274)+N(K274)-N(L274))</f>
        <v/>
      </c>
      <c r="N274" s="67" t="n"/>
      <c r="O274" s="67" t="n"/>
      <c r="P274" s="67" t="n"/>
      <c r="Q274" s="67" t="n"/>
      <c r="R274" s="70">
        <f>IF($A274="","",MAX(0,M274)*N(I274))</f>
        <v/>
      </c>
      <c r="S274" s="9">
        <f>IF($A274="","",IF(M274&lt;=0,IF(N(P274)&gt;0,"Rupture - en cde","RUPTURE"),IF(M274+N(P274)&lt;=N274,"À COMMANDER",IF(M274&lt;=N274,"Commande en cours","OK"))))</f>
        <v/>
      </c>
      <c r="T274" s="68">
        <f>IF($A274="","",IF(OR(S274="À COMMANDER",S274="RUPTURE"),MAX(1,O274-M274-N(P274)),0))</f>
        <v/>
      </c>
      <c r="U274" s="68">
        <f>IF($A274="","",SUMIFS('Mouvements stock'!$F$5:$F$3004,'Mouvements stock'!$D$5:$D$3004,$A274,'Mouvements stock'!$C$5:$C$3004,"Sortie",'Mouvements stock'!$B$5:$B$3004,"&gt;="&amp;'Paramètres'!$AA$6,'Mouvements stock'!$B$5:$B$3004,"&lt;"&amp;('Paramètres'!$AA$7+1)))</f>
        <v/>
      </c>
      <c r="V274" s="78">
        <f>IF($A274="","",IF(COUNTIF('Mouvements stock'!$D$5:$D$3004,$A274)=0,"",_xlfn.MAXIFS('Mouvements stock'!$B$5:$B$3004,'Mouvements stock'!$D$5:$D$3004,$A274)))</f>
        <v/>
      </c>
    </row>
    <row r="275">
      <c r="A275" s="7" t="n"/>
      <c r="B275" s="7" t="n"/>
      <c r="C275" s="7" t="n"/>
      <c r="D275" s="7" t="n"/>
      <c r="E275" s="7" t="n"/>
      <c r="F275" s="7" t="n"/>
      <c r="G275" s="7" t="n"/>
      <c r="H275" s="7" t="n"/>
      <c r="I275" s="80" t="n"/>
      <c r="J275" s="67" t="n"/>
      <c r="K275" s="68">
        <f>IF($A275="","",SUMIFS('Mouvements stock'!$F$5:$F$3004,'Mouvements stock'!$D$5:$D$3004,$A275,'Mouvements stock'!$C$5:$C$3004,"Entrée")+SUMIFS('Mouvements stock'!$F$5:$F$3004,'Mouvements stock'!$D$5:$D$3004,$A275,'Mouvements stock'!$C$5:$C$3004,"Retour"))</f>
        <v/>
      </c>
      <c r="L275" s="68">
        <f>IF($A275="","",SUMIFS('Mouvements stock'!$F$5:$F$3004,'Mouvements stock'!$D$5:$D$3004,$A275,'Mouvements stock'!$C$5:$C$3004,"Sortie"))</f>
        <v/>
      </c>
      <c r="M275" s="79">
        <f>IF($A275="","",N(J275)+N(K275)-N(L275))</f>
        <v/>
      </c>
      <c r="N275" s="67" t="n"/>
      <c r="O275" s="67" t="n"/>
      <c r="P275" s="67" t="n"/>
      <c r="Q275" s="67" t="n"/>
      <c r="R275" s="70">
        <f>IF($A275="","",MAX(0,M275)*N(I275))</f>
        <v/>
      </c>
      <c r="S275" s="9">
        <f>IF($A275="","",IF(M275&lt;=0,IF(N(P275)&gt;0,"Rupture - en cde","RUPTURE"),IF(M275+N(P275)&lt;=N275,"À COMMANDER",IF(M275&lt;=N275,"Commande en cours","OK"))))</f>
        <v/>
      </c>
      <c r="T275" s="68">
        <f>IF($A275="","",IF(OR(S275="À COMMANDER",S275="RUPTURE"),MAX(1,O275-M275-N(P275)),0))</f>
        <v/>
      </c>
      <c r="U275" s="68">
        <f>IF($A275="","",SUMIFS('Mouvements stock'!$F$5:$F$3004,'Mouvements stock'!$D$5:$D$3004,$A275,'Mouvements stock'!$C$5:$C$3004,"Sortie",'Mouvements stock'!$B$5:$B$3004,"&gt;="&amp;'Paramètres'!$AA$6,'Mouvements stock'!$B$5:$B$3004,"&lt;"&amp;('Paramètres'!$AA$7+1)))</f>
        <v/>
      </c>
      <c r="V275" s="78">
        <f>IF($A275="","",IF(COUNTIF('Mouvements stock'!$D$5:$D$3004,$A275)=0,"",_xlfn.MAXIFS('Mouvements stock'!$B$5:$B$3004,'Mouvements stock'!$D$5:$D$3004,$A275)))</f>
        <v/>
      </c>
    </row>
    <row r="276">
      <c r="A276" s="7" t="n"/>
      <c r="B276" s="7" t="n"/>
      <c r="C276" s="7" t="n"/>
      <c r="D276" s="7" t="n"/>
      <c r="E276" s="7" t="n"/>
      <c r="F276" s="7" t="n"/>
      <c r="G276" s="7" t="n"/>
      <c r="H276" s="7" t="n"/>
      <c r="I276" s="80" t="n"/>
      <c r="J276" s="67" t="n"/>
      <c r="K276" s="68">
        <f>IF($A276="","",SUMIFS('Mouvements stock'!$F$5:$F$3004,'Mouvements stock'!$D$5:$D$3004,$A276,'Mouvements stock'!$C$5:$C$3004,"Entrée")+SUMIFS('Mouvements stock'!$F$5:$F$3004,'Mouvements stock'!$D$5:$D$3004,$A276,'Mouvements stock'!$C$5:$C$3004,"Retour"))</f>
        <v/>
      </c>
      <c r="L276" s="68">
        <f>IF($A276="","",SUMIFS('Mouvements stock'!$F$5:$F$3004,'Mouvements stock'!$D$5:$D$3004,$A276,'Mouvements stock'!$C$5:$C$3004,"Sortie"))</f>
        <v/>
      </c>
      <c r="M276" s="79">
        <f>IF($A276="","",N(J276)+N(K276)-N(L276))</f>
        <v/>
      </c>
      <c r="N276" s="67" t="n"/>
      <c r="O276" s="67" t="n"/>
      <c r="P276" s="67" t="n"/>
      <c r="Q276" s="67" t="n"/>
      <c r="R276" s="70">
        <f>IF($A276="","",MAX(0,M276)*N(I276))</f>
        <v/>
      </c>
      <c r="S276" s="9">
        <f>IF($A276="","",IF(M276&lt;=0,IF(N(P276)&gt;0,"Rupture - en cde","RUPTURE"),IF(M276+N(P276)&lt;=N276,"À COMMANDER",IF(M276&lt;=N276,"Commande en cours","OK"))))</f>
        <v/>
      </c>
      <c r="T276" s="68">
        <f>IF($A276="","",IF(OR(S276="À COMMANDER",S276="RUPTURE"),MAX(1,O276-M276-N(P276)),0))</f>
        <v/>
      </c>
      <c r="U276" s="68">
        <f>IF($A276="","",SUMIFS('Mouvements stock'!$F$5:$F$3004,'Mouvements stock'!$D$5:$D$3004,$A276,'Mouvements stock'!$C$5:$C$3004,"Sortie",'Mouvements stock'!$B$5:$B$3004,"&gt;="&amp;'Paramètres'!$AA$6,'Mouvements stock'!$B$5:$B$3004,"&lt;"&amp;('Paramètres'!$AA$7+1)))</f>
        <v/>
      </c>
      <c r="V276" s="78">
        <f>IF($A276="","",IF(COUNTIF('Mouvements stock'!$D$5:$D$3004,$A276)=0,"",_xlfn.MAXIFS('Mouvements stock'!$B$5:$B$3004,'Mouvements stock'!$D$5:$D$3004,$A276)))</f>
        <v/>
      </c>
    </row>
    <row r="277">
      <c r="A277" s="7" t="n"/>
      <c r="B277" s="7" t="n"/>
      <c r="C277" s="7" t="n"/>
      <c r="D277" s="7" t="n"/>
      <c r="E277" s="7" t="n"/>
      <c r="F277" s="7" t="n"/>
      <c r="G277" s="7" t="n"/>
      <c r="H277" s="7" t="n"/>
      <c r="I277" s="80" t="n"/>
      <c r="J277" s="67" t="n"/>
      <c r="K277" s="68">
        <f>IF($A277="","",SUMIFS('Mouvements stock'!$F$5:$F$3004,'Mouvements stock'!$D$5:$D$3004,$A277,'Mouvements stock'!$C$5:$C$3004,"Entrée")+SUMIFS('Mouvements stock'!$F$5:$F$3004,'Mouvements stock'!$D$5:$D$3004,$A277,'Mouvements stock'!$C$5:$C$3004,"Retour"))</f>
        <v/>
      </c>
      <c r="L277" s="68">
        <f>IF($A277="","",SUMIFS('Mouvements stock'!$F$5:$F$3004,'Mouvements stock'!$D$5:$D$3004,$A277,'Mouvements stock'!$C$5:$C$3004,"Sortie"))</f>
        <v/>
      </c>
      <c r="M277" s="79">
        <f>IF($A277="","",N(J277)+N(K277)-N(L277))</f>
        <v/>
      </c>
      <c r="N277" s="67" t="n"/>
      <c r="O277" s="67" t="n"/>
      <c r="P277" s="67" t="n"/>
      <c r="Q277" s="67" t="n"/>
      <c r="R277" s="70">
        <f>IF($A277="","",MAX(0,M277)*N(I277))</f>
        <v/>
      </c>
      <c r="S277" s="9">
        <f>IF($A277="","",IF(M277&lt;=0,IF(N(P277)&gt;0,"Rupture - en cde","RUPTURE"),IF(M277+N(P277)&lt;=N277,"À COMMANDER",IF(M277&lt;=N277,"Commande en cours","OK"))))</f>
        <v/>
      </c>
      <c r="T277" s="68">
        <f>IF($A277="","",IF(OR(S277="À COMMANDER",S277="RUPTURE"),MAX(1,O277-M277-N(P277)),0))</f>
        <v/>
      </c>
      <c r="U277" s="68">
        <f>IF($A277="","",SUMIFS('Mouvements stock'!$F$5:$F$3004,'Mouvements stock'!$D$5:$D$3004,$A277,'Mouvements stock'!$C$5:$C$3004,"Sortie",'Mouvements stock'!$B$5:$B$3004,"&gt;="&amp;'Paramètres'!$AA$6,'Mouvements stock'!$B$5:$B$3004,"&lt;"&amp;('Paramètres'!$AA$7+1)))</f>
        <v/>
      </c>
      <c r="V277" s="78">
        <f>IF($A277="","",IF(COUNTIF('Mouvements stock'!$D$5:$D$3004,$A277)=0,"",_xlfn.MAXIFS('Mouvements stock'!$B$5:$B$3004,'Mouvements stock'!$D$5:$D$3004,$A277)))</f>
        <v/>
      </c>
    </row>
    <row r="278">
      <c r="A278" s="7" t="n"/>
      <c r="B278" s="7" t="n"/>
      <c r="C278" s="7" t="n"/>
      <c r="D278" s="7" t="n"/>
      <c r="E278" s="7" t="n"/>
      <c r="F278" s="7" t="n"/>
      <c r="G278" s="7" t="n"/>
      <c r="H278" s="7" t="n"/>
      <c r="I278" s="80" t="n"/>
      <c r="J278" s="67" t="n"/>
      <c r="K278" s="68">
        <f>IF($A278="","",SUMIFS('Mouvements stock'!$F$5:$F$3004,'Mouvements stock'!$D$5:$D$3004,$A278,'Mouvements stock'!$C$5:$C$3004,"Entrée")+SUMIFS('Mouvements stock'!$F$5:$F$3004,'Mouvements stock'!$D$5:$D$3004,$A278,'Mouvements stock'!$C$5:$C$3004,"Retour"))</f>
        <v/>
      </c>
      <c r="L278" s="68">
        <f>IF($A278="","",SUMIFS('Mouvements stock'!$F$5:$F$3004,'Mouvements stock'!$D$5:$D$3004,$A278,'Mouvements stock'!$C$5:$C$3004,"Sortie"))</f>
        <v/>
      </c>
      <c r="M278" s="79">
        <f>IF($A278="","",N(J278)+N(K278)-N(L278))</f>
        <v/>
      </c>
      <c r="N278" s="67" t="n"/>
      <c r="O278" s="67" t="n"/>
      <c r="P278" s="67" t="n"/>
      <c r="Q278" s="67" t="n"/>
      <c r="R278" s="70">
        <f>IF($A278="","",MAX(0,M278)*N(I278))</f>
        <v/>
      </c>
      <c r="S278" s="9">
        <f>IF($A278="","",IF(M278&lt;=0,IF(N(P278)&gt;0,"Rupture - en cde","RUPTURE"),IF(M278+N(P278)&lt;=N278,"À COMMANDER",IF(M278&lt;=N278,"Commande en cours","OK"))))</f>
        <v/>
      </c>
      <c r="T278" s="68">
        <f>IF($A278="","",IF(OR(S278="À COMMANDER",S278="RUPTURE"),MAX(1,O278-M278-N(P278)),0))</f>
        <v/>
      </c>
      <c r="U278" s="68">
        <f>IF($A278="","",SUMIFS('Mouvements stock'!$F$5:$F$3004,'Mouvements stock'!$D$5:$D$3004,$A278,'Mouvements stock'!$C$5:$C$3004,"Sortie",'Mouvements stock'!$B$5:$B$3004,"&gt;="&amp;'Paramètres'!$AA$6,'Mouvements stock'!$B$5:$B$3004,"&lt;"&amp;('Paramètres'!$AA$7+1)))</f>
        <v/>
      </c>
      <c r="V278" s="78">
        <f>IF($A278="","",IF(COUNTIF('Mouvements stock'!$D$5:$D$3004,$A278)=0,"",_xlfn.MAXIFS('Mouvements stock'!$B$5:$B$3004,'Mouvements stock'!$D$5:$D$3004,$A278)))</f>
        <v/>
      </c>
    </row>
    <row r="279">
      <c r="A279" s="7" t="n"/>
      <c r="B279" s="7" t="n"/>
      <c r="C279" s="7" t="n"/>
      <c r="D279" s="7" t="n"/>
      <c r="E279" s="7" t="n"/>
      <c r="F279" s="7" t="n"/>
      <c r="G279" s="7" t="n"/>
      <c r="H279" s="7" t="n"/>
      <c r="I279" s="80" t="n"/>
      <c r="J279" s="67" t="n"/>
      <c r="K279" s="68">
        <f>IF($A279="","",SUMIFS('Mouvements stock'!$F$5:$F$3004,'Mouvements stock'!$D$5:$D$3004,$A279,'Mouvements stock'!$C$5:$C$3004,"Entrée")+SUMIFS('Mouvements stock'!$F$5:$F$3004,'Mouvements stock'!$D$5:$D$3004,$A279,'Mouvements stock'!$C$5:$C$3004,"Retour"))</f>
        <v/>
      </c>
      <c r="L279" s="68">
        <f>IF($A279="","",SUMIFS('Mouvements stock'!$F$5:$F$3004,'Mouvements stock'!$D$5:$D$3004,$A279,'Mouvements stock'!$C$5:$C$3004,"Sortie"))</f>
        <v/>
      </c>
      <c r="M279" s="79">
        <f>IF($A279="","",N(J279)+N(K279)-N(L279))</f>
        <v/>
      </c>
      <c r="N279" s="67" t="n"/>
      <c r="O279" s="67" t="n"/>
      <c r="P279" s="67" t="n"/>
      <c r="Q279" s="67" t="n"/>
      <c r="R279" s="70">
        <f>IF($A279="","",MAX(0,M279)*N(I279))</f>
        <v/>
      </c>
      <c r="S279" s="9">
        <f>IF($A279="","",IF(M279&lt;=0,IF(N(P279)&gt;0,"Rupture - en cde","RUPTURE"),IF(M279+N(P279)&lt;=N279,"À COMMANDER",IF(M279&lt;=N279,"Commande en cours","OK"))))</f>
        <v/>
      </c>
      <c r="T279" s="68">
        <f>IF($A279="","",IF(OR(S279="À COMMANDER",S279="RUPTURE"),MAX(1,O279-M279-N(P279)),0))</f>
        <v/>
      </c>
      <c r="U279" s="68">
        <f>IF($A279="","",SUMIFS('Mouvements stock'!$F$5:$F$3004,'Mouvements stock'!$D$5:$D$3004,$A279,'Mouvements stock'!$C$5:$C$3004,"Sortie",'Mouvements stock'!$B$5:$B$3004,"&gt;="&amp;'Paramètres'!$AA$6,'Mouvements stock'!$B$5:$B$3004,"&lt;"&amp;('Paramètres'!$AA$7+1)))</f>
        <v/>
      </c>
      <c r="V279" s="78">
        <f>IF($A279="","",IF(COUNTIF('Mouvements stock'!$D$5:$D$3004,$A279)=0,"",_xlfn.MAXIFS('Mouvements stock'!$B$5:$B$3004,'Mouvements stock'!$D$5:$D$3004,$A279)))</f>
        <v/>
      </c>
    </row>
    <row r="280">
      <c r="A280" s="7" t="n"/>
      <c r="B280" s="7" t="n"/>
      <c r="C280" s="7" t="n"/>
      <c r="D280" s="7" t="n"/>
      <c r="E280" s="7" t="n"/>
      <c r="F280" s="7" t="n"/>
      <c r="G280" s="7" t="n"/>
      <c r="H280" s="7" t="n"/>
      <c r="I280" s="80" t="n"/>
      <c r="J280" s="67" t="n"/>
      <c r="K280" s="68">
        <f>IF($A280="","",SUMIFS('Mouvements stock'!$F$5:$F$3004,'Mouvements stock'!$D$5:$D$3004,$A280,'Mouvements stock'!$C$5:$C$3004,"Entrée")+SUMIFS('Mouvements stock'!$F$5:$F$3004,'Mouvements stock'!$D$5:$D$3004,$A280,'Mouvements stock'!$C$5:$C$3004,"Retour"))</f>
        <v/>
      </c>
      <c r="L280" s="68">
        <f>IF($A280="","",SUMIFS('Mouvements stock'!$F$5:$F$3004,'Mouvements stock'!$D$5:$D$3004,$A280,'Mouvements stock'!$C$5:$C$3004,"Sortie"))</f>
        <v/>
      </c>
      <c r="M280" s="79">
        <f>IF($A280="","",N(J280)+N(K280)-N(L280))</f>
        <v/>
      </c>
      <c r="N280" s="67" t="n"/>
      <c r="O280" s="67" t="n"/>
      <c r="P280" s="67" t="n"/>
      <c r="Q280" s="67" t="n"/>
      <c r="R280" s="70">
        <f>IF($A280="","",MAX(0,M280)*N(I280))</f>
        <v/>
      </c>
      <c r="S280" s="9">
        <f>IF($A280="","",IF(M280&lt;=0,IF(N(P280)&gt;0,"Rupture - en cde","RUPTURE"),IF(M280+N(P280)&lt;=N280,"À COMMANDER",IF(M280&lt;=N280,"Commande en cours","OK"))))</f>
        <v/>
      </c>
      <c r="T280" s="68">
        <f>IF($A280="","",IF(OR(S280="À COMMANDER",S280="RUPTURE"),MAX(1,O280-M280-N(P280)),0))</f>
        <v/>
      </c>
      <c r="U280" s="68">
        <f>IF($A280="","",SUMIFS('Mouvements stock'!$F$5:$F$3004,'Mouvements stock'!$D$5:$D$3004,$A280,'Mouvements stock'!$C$5:$C$3004,"Sortie",'Mouvements stock'!$B$5:$B$3004,"&gt;="&amp;'Paramètres'!$AA$6,'Mouvements stock'!$B$5:$B$3004,"&lt;"&amp;('Paramètres'!$AA$7+1)))</f>
        <v/>
      </c>
      <c r="V280" s="78">
        <f>IF($A280="","",IF(COUNTIF('Mouvements stock'!$D$5:$D$3004,$A280)=0,"",_xlfn.MAXIFS('Mouvements stock'!$B$5:$B$3004,'Mouvements stock'!$D$5:$D$3004,$A280)))</f>
        <v/>
      </c>
    </row>
    <row r="281">
      <c r="A281" s="7" t="n"/>
      <c r="B281" s="7" t="n"/>
      <c r="C281" s="7" t="n"/>
      <c r="D281" s="7" t="n"/>
      <c r="E281" s="7" t="n"/>
      <c r="F281" s="7" t="n"/>
      <c r="G281" s="7" t="n"/>
      <c r="H281" s="7" t="n"/>
      <c r="I281" s="80" t="n"/>
      <c r="J281" s="67" t="n"/>
      <c r="K281" s="68">
        <f>IF($A281="","",SUMIFS('Mouvements stock'!$F$5:$F$3004,'Mouvements stock'!$D$5:$D$3004,$A281,'Mouvements stock'!$C$5:$C$3004,"Entrée")+SUMIFS('Mouvements stock'!$F$5:$F$3004,'Mouvements stock'!$D$5:$D$3004,$A281,'Mouvements stock'!$C$5:$C$3004,"Retour"))</f>
        <v/>
      </c>
      <c r="L281" s="68">
        <f>IF($A281="","",SUMIFS('Mouvements stock'!$F$5:$F$3004,'Mouvements stock'!$D$5:$D$3004,$A281,'Mouvements stock'!$C$5:$C$3004,"Sortie"))</f>
        <v/>
      </c>
      <c r="M281" s="79">
        <f>IF($A281="","",N(J281)+N(K281)-N(L281))</f>
        <v/>
      </c>
      <c r="N281" s="67" t="n"/>
      <c r="O281" s="67" t="n"/>
      <c r="P281" s="67" t="n"/>
      <c r="Q281" s="67" t="n"/>
      <c r="R281" s="70">
        <f>IF($A281="","",MAX(0,M281)*N(I281))</f>
        <v/>
      </c>
      <c r="S281" s="9">
        <f>IF($A281="","",IF(M281&lt;=0,IF(N(P281)&gt;0,"Rupture - en cde","RUPTURE"),IF(M281+N(P281)&lt;=N281,"À COMMANDER",IF(M281&lt;=N281,"Commande en cours","OK"))))</f>
        <v/>
      </c>
      <c r="T281" s="68">
        <f>IF($A281="","",IF(OR(S281="À COMMANDER",S281="RUPTURE"),MAX(1,O281-M281-N(P281)),0))</f>
        <v/>
      </c>
      <c r="U281" s="68">
        <f>IF($A281="","",SUMIFS('Mouvements stock'!$F$5:$F$3004,'Mouvements stock'!$D$5:$D$3004,$A281,'Mouvements stock'!$C$5:$C$3004,"Sortie",'Mouvements stock'!$B$5:$B$3004,"&gt;="&amp;'Paramètres'!$AA$6,'Mouvements stock'!$B$5:$B$3004,"&lt;"&amp;('Paramètres'!$AA$7+1)))</f>
        <v/>
      </c>
      <c r="V281" s="78">
        <f>IF($A281="","",IF(COUNTIF('Mouvements stock'!$D$5:$D$3004,$A281)=0,"",_xlfn.MAXIFS('Mouvements stock'!$B$5:$B$3004,'Mouvements stock'!$D$5:$D$3004,$A281)))</f>
        <v/>
      </c>
    </row>
    <row r="282">
      <c r="A282" s="7" t="n"/>
      <c r="B282" s="7" t="n"/>
      <c r="C282" s="7" t="n"/>
      <c r="D282" s="7" t="n"/>
      <c r="E282" s="7" t="n"/>
      <c r="F282" s="7" t="n"/>
      <c r="G282" s="7" t="n"/>
      <c r="H282" s="7" t="n"/>
      <c r="I282" s="80" t="n"/>
      <c r="J282" s="67" t="n"/>
      <c r="K282" s="68">
        <f>IF($A282="","",SUMIFS('Mouvements stock'!$F$5:$F$3004,'Mouvements stock'!$D$5:$D$3004,$A282,'Mouvements stock'!$C$5:$C$3004,"Entrée")+SUMIFS('Mouvements stock'!$F$5:$F$3004,'Mouvements stock'!$D$5:$D$3004,$A282,'Mouvements stock'!$C$5:$C$3004,"Retour"))</f>
        <v/>
      </c>
      <c r="L282" s="68">
        <f>IF($A282="","",SUMIFS('Mouvements stock'!$F$5:$F$3004,'Mouvements stock'!$D$5:$D$3004,$A282,'Mouvements stock'!$C$5:$C$3004,"Sortie"))</f>
        <v/>
      </c>
      <c r="M282" s="79">
        <f>IF($A282="","",N(J282)+N(K282)-N(L282))</f>
        <v/>
      </c>
      <c r="N282" s="67" t="n"/>
      <c r="O282" s="67" t="n"/>
      <c r="P282" s="67" t="n"/>
      <c r="Q282" s="67" t="n"/>
      <c r="R282" s="70">
        <f>IF($A282="","",MAX(0,M282)*N(I282))</f>
        <v/>
      </c>
      <c r="S282" s="9">
        <f>IF($A282="","",IF(M282&lt;=0,IF(N(P282)&gt;0,"Rupture - en cde","RUPTURE"),IF(M282+N(P282)&lt;=N282,"À COMMANDER",IF(M282&lt;=N282,"Commande en cours","OK"))))</f>
        <v/>
      </c>
      <c r="T282" s="68">
        <f>IF($A282="","",IF(OR(S282="À COMMANDER",S282="RUPTURE"),MAX(1,O282-M282-N(P282)),0))</f>
        <v/>
      </c>
      <c r="U282" s="68">
        <f>IF($A282="","",SUMIFS('Mouvements stock'!$F$5:$F$3004,'Mouvements stock'!$D$5:$D$3004,$A282,'Mouvements stock'!$C$5:$C$3004,"Sortie",'Mouvements stock'!$B$5:$B$3004,"&gt;="&amp;'Paramètres'!$AA$6,'Mouvements stock'!$B$5:$B$3004,"&lt;"&amp;('Paramètres'!$AA$7+1)))</f>
        <v/>
      </c>
      <c r="V282" s="78">
        <f>IF($A282="","",IF(COUNTIF('Mouvements stock'!$D$5:$D$3004,$A282)=0,"",_xlfn.MAXIFS('Mouvements stock'!$B$5:$B$3004,'Mouvements stock'!$D$5:$D$3004,$A282)))</f>
        <v/>
      </c>
    </row>
    <row r="283">
      <c r="A283" s="7" t="n"/>
      <c r="B283" s="7" t="n"/>
      <c r="C283" s="7" t="n"/>
      <c r="D283" s="7" t="n"/>
      <c r="E283" s="7" t="n"/>
      <c r="F283" s="7" t="n"/>
      <c r="G283" s="7" t="n"/>
      <c r="H283" s="7" t="n"/>
      <c r="I283" s="80" t="n"/>
      <c r="J283" s="67" t="n"/>
      <c r="K283" s="68">
        <f>IF($A283="","",SUMIFS('Mouvements stock'!$F$5:$F$3004,'Mouvements stock'!$D$5:$D$3004,$A283,'Mouvements stock'!$C$5:$C$3004,"Entrée")+SUMIFS('Mouvements stock'!$F$5:$F$3004,'Mouvements stock'!$D$5:$D$3004,$A283,'Mouvements stock'!$C$5:$C$3004,"Retour"))</f>
        <v/>
      </c>
      <c r="L283" s="68">
        <f>IF($A283="","",SUMIFS('Mouvements stock'!$F$5:$F$3004,'Mouvements stock'!$D$5:$D$3004,$A283,'Mouvements stock'!$C$5:$C$3004,"Sortie"))</f>
        <v/>
      </c>
      <c r="M283" s="79">
        <f>IF($A283="","",N(J283)+N(K283)-N(L283))</f>
        <v/>
      </c>
      <c r="N283" s="67" t="n"/>
      <c r="O283" s="67" t="n"/>
      <c r="P283" s="67" t="n"/>
      <c r="Q283" s="67" t="n"/>
      <c r="R283" s="70">
        <f>IF($A283="","",MAX(0,M283)*N(I283))</f>
        <v/>
      </c>
      <c r="S283" s="9">
        <f>IF($A283="","",IF(M283&lt;=0,IF(N(P283)&gt;0,"Rupture - en cde","RUPTURE"),IF(M283+N(P283)&lt;=N283,"À COMMANDER",IF(M283&lt;=N283,"Commande en cours","OK"))))</f>
        <v/>
      </c>
      <c r="T283" s="68">
        <f>IF($A283="","",IF(OR(S283="À COMMANDER",S283="RUPTURE"),MAX(1,O283-M283-N(P283)),0))</f>
        <v/>
      </c>
      <c r="U283" s="68">
        <f>IF($A283="","",SUMIFS('Mouvements stock'!$F$5:$F$3004,'Mouvements stock'!$D$5:$D$3004,$A283,'Mouvements stock'!$C$5:$C$3004,"Sortie",'Mouvements stock'!$B$5:$B$3004,"&gt;="&amp;'Paramètres'!$AA$6,'Mouvements stock'!$B$5:$B$3004,"&lt;"&amp;('Paramètres'!$AA$7+1)))</f>
        <v/>
      </c>
      <c r="V283" s="78">
        <f>IF($A283="","",IF(COUNTIF('Mouvements stock'!$D$5:$D$3004,$A283)=0,"",_xlfn.MAXIFS('Mouvements stock'!$B$5:$B$3004,'Mouvements stock'!$D$5:$D$3004,$A283)))</f>
        <v/>
      </c>
    </row>
    <row r="284">
      <c r="A284" s="7" t="n"/>
      <c r="B284" s="7" t="n"/>
      <c r="C284" s="7" t="n"/>
      <c r="D284" s="7" t="n"/>
      <c r="E284" s="7" t="n"/>
      <c r="F284" s="7" t="n"/>
      <c r="G284" s="7" t="n"/>
      <c r="H284" s="7" t="n"/>
      <c r="I284" s="80" t="n"/>
      <c r="J284" s="67" t="n"/>
      <c r="K284" s="68">
        <f>IF($A284="","",SUMIFS('Mouvements stock'!$F$5:$F$3004,'Mouvements stock'!$D$5:$D$3004,$A284,'Mouvements stock'!$C$5:$C$3004,"Entrée")+SUMIFS('Mouvements stock'!$F$5:$F$3004,'Mouvements stock'!$D$5:$D$3004,$A284,'Mouvements stock'!$C$5:$C$3004,"Retour"))</f>
        <v/>
      </c>
      <c r="L284" s="68">
        <f>IF($A284="","",SUMIFS('Mouvements stock'!$F$5:$F$3004,'Mouvements stock'!$D$5:$D$3004,$A284,'Mouvements stock'!$C$5:$C$3004,"Sortie"))</f>
        <v/>
      </c>
      <c r="M284" s="79">
        <f>IF($A284="","",N(J284)+N(K284)-N(L284))</f>
        <v/>
      </c>
      <c r="N284" s="67" t="n"/>
      <c r="O284" s="67" t="n"/>
      <c r="P284" s="67" t="n"/>
      <c r="Q284" s="67" t="n"/>
      <c r="R284" s="70">
        <f>IF($A284="","",MAX(0,M284)*N(I284))</f>
        <v/>
      </c>
      <c r="S284" s="9">
        <f>IF($A284="","",IF(M284&lt;=0,IF(N(P284)&gt;0,"Rupture - en cde","RUPTURE"),IF(M284+N(P284)&lt;=N284,"À COMMANDER",IF(M284&lt;=N284,"Commande en cours","OK"))))</f>
        <v/>
      </c>
      <c r="T284" s="68">
        <f>IF($A284="","",IF(OR(S284="À COMMANDER",S284="RUPTURE"),MAX(1,O284-M284-N(P284)),0))</f>
        <v/>
      </c>
      <c r="U284" s="68">
        <f>IF($A284="","",SUMIFS('Mouvements stock'!$F$5:$F$3004,'Mouvements stock'!$D$5:$D$3004,$A284,'Mouvements stock'!$C$5:$C$3004,"Sortie",'Mouvements stock'!$B$5:$B$3004,"&gt;="&amp;'Paramètres'!$AA$6,'Mouvements stock'!$B$5:$B$3004,"&lt;"&amp;('Paramètres'!$AA$7+1)))</f>
        <v/>
      </c>
      <c r="V284" s="78">
        <f>IF($A284="","",IF(COUNTIF('Mouvements stock'!$D$5:$D$3004,$A284)=0,"",_xlfn.MAXIFS('Mouvements stock'!$B$5:$B$3004,'Mouvements stock'!$D$5:$D$3004,$A284)))</f>
        <v/>
      </c>
    </row>
    <row r="285">
      <c r="A285" s="7" t="n"/>
      <c r="B285" s="7" t="n"/>
      <c r="C285" s="7" t="n"/>
      <c r="D285" s="7" t="n"/>
      <c r="E285" s="7" t="n"/>
      <c r="F285" s="7" t="n"/>
      <c r="G285" s="7" t="n"/>
      <c r="H285" s="7" t="n"/>
      <c r="I285" s="80" t="n"/>
      <c r="J285" s="67" t="n"/>
      <c r="K285" s="68">
        <f>IF($A285="","",SUMIFS('Mouvements stock'!$F$5:$F$3004,'Mouvements stock'!$D$5:$D$3004,$A285,'Mouvements stock'!$C$5:$C$3004,"Entrée")+SUMIFS('Mouvements stock'!$F$5:$F$3004,'Mouvements stock'!$D$5:$D$3004,$A285,'Mouvements stock'!$C$5:$C$3004,"Retour"))</f>
        <v/>
      </c>
      <c r="L285" s="68">
        <f>IF($A285="","",SUMIFS('Mouvements stock'!$F$5:$F$3004,'Mouvements stock'!$D$5:$D$3004,$A285,'Mouvements stock'!$C$5:$C$3004,"Sortie"))</f>
        <v/>
      </c>
      <c r="M285" s="79">
        <f>IF($A285="","",N(J285)+N(K285)-N(L285))</f>
        <v/>
      </c>
      <c r="N285" s="67" t="n"/>
      <c r="O285" s="67" t="n"/>
      <c r="P285" s="67" t="n"/>
      <c r="Q285" s="67" t="n"/>
      <c r="R285" s="70">
        <f>IF($A285="","",MAX(0,M285)*N(I285))</f>
        <v/>
      </c>
      <c r="S285" s="9">
        <f>IF($A285="","",IF(M285&lt;=0,IF(N(P285)&gt;0,"Rupture - en cde","RUPTURE"),IF(M285+N(P285)&lt;=N285,"À COMMANDER",IF(M285&lt;=N285,"Commande en cours","OK"))))</f>
        <v/>
      </c>
      <c r="T285" s="68">
        <f>IF($A285="","",IF(OR(S285="À COMMANDER",S285="RUPTURE"),MAX(1,O285-M285-N(P285)),0))</f>
        <v/>
      </c>
      <c r="U285" s="68">
        <f>IF($A285="","",SUMIFS('Mouvements stock'!$F$5:$F$3004,'Mouvements stock'!$D$5:$D$3004,$A285,'Mouvements stock'!$C$5:$C$3004,"Sortie",'Mouvements stock'!$B$5:$B$3004,"&gt;="&amp;'Paramètres'!$AA$6,'Mouvements stock'!$B$5:$B$3004,"&lt;"&amp;('Paramètres'!$AA$7+1)))</f>
        <v/>
      </c>
      <c r="V285" s="78">
        <f>IF($A285="","",IF(COUNTIF('Mouvements stock'!$D$5:$D$3004,$A285)=0,"",_xlfn.MAXIFS('Mouvements stock'!$B$5:$B$3004,'Mouvements stock'!$D$5:$D$3004,$A285)))</f>
        <v/>
      </c>
    </row>
    <row r="286">
      <c r="A286" s="7" t="n"/>
      <c r="B286" s="7" t="n"/>
      <c r="C286" s="7" t="n"/>
      <c r="D286" s="7" t="n"/>
      <c r="E286" s="7" t="n"/>
      <c r="F286" s="7" t="n"/>
      <c r="G286" s="7" t="n"/>
      <c r="H286" s="7" t="n"/>
      <c r="I286" s="80" t="n"/>
      <c r="J286" s="67" t="n"/>
      <c r="K286" s="68">
        <f>IF($A286="","",SUMIFS('Mouvements stock'!$F$5:$F$3004,'Mouvements stock'!$D$5:$D$3004,$A286,'Mouvements stock'!$C$5:$C$3004,"Entrée")+SUMIFS('Mouvements stock'!$F$5:$F$3004,'Mouvements stock'!$D$5:$D$3004,$A286,'Mouvements stock'!$C$5:$C$3004,"Retour"))</f>
        <v/>
      </c>
      <c r="L286" s="68">
        <f>IF($A286="","",SUMIFS('Mouvements stock'!$F$5:$F$3004,'Mouvements stock'!$D$5:$D$3004,$A286,'Mouvements stock'!$C$5:$C$3004,"Sortie"))</f>
        <v/>
      </c>
      <c r="M286" s="79">
        <f>IF($A286="","",N(J286)+N(K286)-N(L286))</f>
        <v/>
      </c>
      <c r="N286" s="67" t="n"/>
      <c r="O286" s="67" t="n"/>
      <c r="P286" s="67" t="n"/>
      <c r="Q286" s="67" t="n"/>
      <c r="R286" s="70">
        <f>IF($A286="","",MAX(0,M286)*N(I286))</f>
        <v/>
      </c>
      <c r="S286" s="9">
        <f>IF($A286="","",IF(M286&lt;=0,IF(N(P286)&gt;0,"Rupture - en cde","RUPTURE"),IF(M286+N(P286)&lt;=N286,"À COMMANDER",IF(M286&lt;=N286,"Commande en cours","OK"))))</f>
        <v/>
      </c>
      <c r="T286" s="68">
        <f>IF($A286="","",IF(OR(S286="À COMMANDER",S286="RUPTURE"),MAX(1,O286-M286-N(P286)),0))</f>
        <v/>
      </c>
      <c r="U286" s="68">
        <f>IF($A286="","",SUMIFS('Mouvements stock'!$F$5:$F$3004,'Mouvements stock'!$D$5:$D$3004,$A286,'Mouvements stock'!$C$5:$C$3004,"Sortie",'Mouvements stock'!$B$5:$B$3004,"&gt;="&amp;'Paramètres'!$AA$6,'Mouvements stock'!$B$5:$B$3004,"&lt;"&amp;('Paramètres'!$AA$7+1)))</f>
        <v/>
      </c>
      <c r="V286" s="78">
        <f>IF($A286="","",IF(COUNTIF('Mouvements stock'!$D$5:$D$3004,$A286)=0,"",_xlfn.MAXIFS('Mouvements stock'!$B$5:$B$3004,'Mouvements stock'!$D$5:$D$3004,$A286)))</f>
        <v/>
      </c>
    </row>
    <row r="287">
      <c r="A287" s="7" t="n"/>
      <c r="B287" s="7" t="n"/>
      <c r="C287" s="7" t="n"/>
      <c r="D287" s="7" t="n"/>
      <c r="E287" s="7" t="n"/>
      <c r="F287" s="7" t="n"/>
      <c r="G287" s="7" t="n"/>
      <c r="H287" s="7" t="n"/>
      <c r="I287" s="80" t="n"/>
      <c r="J287" s="67" t="n"/>
      <c r="K287" s="68">
        <f>IF($A287="","",SUMIFS('Mouvements stock'!$F$5:$F$3004,'Mouvements stock'!$D$5:$D$3004,$A287,'Mouvements stock'!$C$5:$C$3004,"Entrée")+SUMIFS('Mouvements stock'!$F$5:$F$3004,'Mouvements stock'!$D$5:$D$3004,$A287,'Mouvements stock'!$C$5:$C$3004,"Retour"))</f>
        <v/>
      </c>
      <c r="L287" s="68">
        <f>IF($A287="","",SUMIFS('Mouvements stock'!$F$5:$F$3004,'Mouvements stock'!$D$5:$D$3004,$A287,'Mouvements stock'!$C$5:$C$3004,"Sortie"))</f>
        <v/>
      </c>
      <c r="M287" s="79">
        <f>IF($A287="","",N(J287)+N(K287)-N(L287))</f>
        <v/>
      </c>
      <c r="N287" s="67" t="n"/>
      <c r="O287" s="67" t="n"/>
      <c r="P287" s="67" t="n"/>
      <c r="Q287" s="67" t="n"/>
      <c r="R287" s="70">
        <f>IF($A287="","",MAX(0,M287)*N(I287))</f>
        <v/>
      </c>
      <c r="S287" s="9">
        <f>IF($A287="","",IF(M287&lt;=0,IF(N(P287)&gt;0,"Rupture - en cde","RUPTURE"),IF(M287+N(P287)&lt;=N287,"À COMMANDER",IF(M287&lt;=N287,"Commande en cours","OK"))))</f>
        <v/>
      </c>
      <c r="T287" s="68">
        <f>IF($A287="","",IF(OR(S287="À COMMANDER",S287="RUPTURE"),MAX(1,O287-M287-N(P287)),0))</f>
        <v/>
      </c>
      <c r="U287" s="68">
        <f>IF($A287="","",SUMIFS('Mouvements stock'!$F$5:$F$3004,'Mouvements stock'!$D$5:$D$3004,$A287,'Mouvements stock'!$C$5:$C$3004,"Sortie",'Mouvements stock'!$B$5:$B$3004,"&gt;="&amp;'Paramètres'!$AA$6,'Mouvements stock'!$B$5:$B$3004,"&lt;"&amp;('Paramètres'!$AA$7+1)))</f>
        <v/>
      </c>
      <c r="V287" s="78">
        <f>IF($A287="","",IF(COUNTIF('Mouvements stock'!$D$5:$D$3004,$A287)=0,"",_xlfn.MAXIFS('Mouvements stock'!$B$5:$B$3004,'Mouvements stock'!$D$5:$D$3004,$A287)))</f>
        <v/>
      </c>
    </row>
    <row r="288">
      <c r="A288" s="7" t="n"/>
      <c r="B288" s="7" t="n"/>
      <c r="C288" s="7" t="n"/>
      <c r="D288" s="7" t="n"/>
      <c r="E288" s="7" t="n"/>
      <c r="F288" s="7" t="n"/>
      <c r="G288" s="7" t="n"/>
      <c r="H288" s="7" t="n"/>
      <c r="I288" s="80" t="n"/>
      <c r="J288" s="67" t="n"/>
      <c r="K288" s="68">
        <f>IF($A288="","",SUMIFS('Mouvements stock'!$F$5:$F$3004,'Mouvements stock'!$D$5:$D$3004,$A288,'Mouvements stock'!$C$5:$C$3004,"Entrée")+SUMIFS('Mouvements stock'!$F$5:$F$3004,'Mouvements stock'!$D$5:$D$3004,$A288,'Mouvements stock'!$C$5:$C$3004,"Retour"))</f>
        <v/>
      </c>
      <c r="L288" s="68">
        <f>IF($A288="","",SUMIFS('Mouvements stock'!$F$5:$F$3004,'Mouvements stock'!$D$5:$D$3004,$A288,'Mouvements stock'!$C$5:$C$3004,"Sortie"))</f>
        <v/>
      </c>
      <c r="M288" s="79">
        <f>IF($A288="","",N(J288)+N(K288)-N(L288))</f>
        <v/>
      </c>
      <c r="N288" s="67" t="n"/>
      <c r="O288" s="67" t="n"/>
      <c r="P288" s="67" t="n"/>
      <c r="Q288" s="67" t="n"/>
      <c r="R288" s="70">
        <f>IF($A288="","",MAX(0,M288)*N(I288))</f>
        <v/>
      </c>
      <c r="S288" s="9">
        <f>IF($A288="","",IF(M288&lt;=0,IF(N(P288)&gt;0,"Rupture - en cde","RUPTURE"),IF(M288+N(P288)&lt;=N288,"À COMMANDER",IF(M288&lt;=N288,"Commande en cours","OK"))))</f>
        <v/>
      </c>
      <c r="T288" s="68">
        <f>IF($A288="","",IF(OR(S288="À COMMANDER",S288="RUPTURE"),MAX(1,O288-M288-N(P288)),0))</f>
        <v/>
      </c>
      <c r="U288" s="68">
        <f>IF($A288="","",SUMIFS('Mouvements stock'!$F$5:$F$3004,'Mouvements stock'!$D$5:$D$3004,$A288,'Mouvements stock'!$C$5:$C$3004,"Sortie",'Mouvements stock'!$B$5:$B$3004,"&gt;="&amp;'Paramètres'!$AA$6,'Mouvements stock'!$B$5:$B$3004,"&lt;"&amp;('Paramètres'!$AA$7+1)))</f>
        <v/>
      </c>
      <c r="V288" s="78">
        <f>IF($A288="","",IF(COUNTIF('Mouvements stock'!$D$5:$D$3004,$A288)=0,"",_xlfn.MAXIFS('Mouvements stock'!$B$5:$B$3004,'Mouvements stock'!$D$5:$D$3004,$A288)))</f>
        <v/>
      </c>
    </row>
    <row r="289">
      <c r="A289" s="7" t="n"/>
      <c r="B289" s="7" t="n"/>
      <c r="C289" s="7" t="n"/>
      <c r="D289" s="7" t="n"/>
      <c r="E289" s="7" t="n"/>
      <c r="F289" s="7" t="n"/>
      <c r="G289" s="7" t="n"/>
      <c r="H289" s="7" t="n"/>
      <c r="I289" s="80" t="n"/>
      <c r="J289" s="67" t="n"/>
      <c r="K289" s="68">
        <f>IF($A289="","",SUMIFS('Mouvements stock'!$F$5:$F$3004,'Mouvements stock'!$D$5:$D$3004,$A289,'Mouvements stock'!$C$5:$C$3004,"Entrée")+SUMIFS('Mouvements stock'!$F$5:$F$3004,'Mouvements stock'!$D$5:$D$3004,$A289,'Mouvements stock'!$C$5:$C$3004,"Retour"))</f>
        <v/>
      </c>
      <c r="L289" s="68">
        <f>IF($A289="","",SUMIFS('Mouvements stock'!$F$5:$F$3004,'Mouvements stock'!$D$5:$D$3004,$A289,'Mouvements stock'!$C$5:$C$3004,"Sortie"))</f>
        <v/>
      </c>
      <c r="M289" s="79">
        <f>IF($A289="","",N(J289)+N(K289)-N(L289))</f>
        <v/>
      </c>
      <c r="N289" s="67" t="n"/>
      <c r="O289" s="67" t="n"/>
      <c r="P289" s="67" t="n"/>
      <c r="Q289" s="67" t="n"/>
      <c r="R289" s="70">
        <f>IF($A289="","",MAX(0,M289)*N(I289))</f>
        <v/>
      </c>
      <c r="S289" s="9">
        <f>IF($A289="","",IF(M289&lt;=0,IF(N(P289)&gt;0,"Rupture - en cde","RUPTURE"),IF(M289+N(P289)&lt;=N289,"À COMMANDER",IF(M289&lt;=N289,"Commande en cours","OK"))))</f>
        <v/>
      </c>
      <c r="T289" s="68">
        <f>IF($A289="","",IF(OR(S289="À COMMANDER",S289="RUPTURE"),MAX(1,O289-M289-N(P289)),0))</f>
        <v/>
      </c>
      <c r="U289" s="68">
        <f>IF($A289="","",SUMIFS('Mouvements stock'!$F$5:$F$3004,'Mouvements stock'!$D$5:$D$3004,$A289,'Mouvements stock'!$C$5:$C$3004,"Sortie",'Mouvements stock'!$B$5:$B$3004,"&gt;="&amp;'Paramètres'!$AA$6,'Mouvements stock'!$B$5:$B$3004,"&lt;"&amp;('Paramètres'!$AA$7+1)))</f>
        <v/>
      </c>
      <c r="V289" s="78">
        <f>IF($A289="","",IF(COUNTIF('Mouvements stock'!$D$5:$D$3004,$A289)=0,"",_xlfn.MAXIFS('Mouvements stock'!$B$5:$B$3004,'Mouvements stock'!$D$5:$D$3004,$A289)))</f>
        <v/>
      </c>
    </row>
    <row r="290">
      <c r="A290" s="7" t="n"/>
      <c r="B290" s="7" t="n"/>
      <c r="C290" s="7" t="n"/>
      <c r="D290" s="7" t="n"/>
      <c r="E290" s="7" t="n"/>
      <c r="F290" s="7" t="n"/>
      <c r="G290" s="7" t="n"/>
      <c r="H290" s="7" t="n"/>
      <c r="I290" s="80" t="n"/>
      <c r="J290" s="67" t="n"/>
      <c r="K290" s="68">
        <f>IF($A290="","",SUMIFS('Mouvements stock'!$F$5:$F$3004,'Mouvements stock'!$D$5:$D$3004,$A290,'Mouvements stock'!$C$5:$C$3004,"Entrée")+SUMIFS('Mouvements stock'!$F$5:$F$3004,'Mouvements stock'!$D$5:$D$3004,$A290,'Mouvements stock'!$C$5:$C$3004,"Retour"))</f>
        <v/>
      </c>
      <c r="L290" s="68">
        <f>IF($A290="","",SUMIFS('Mouvements stock'!$F$5:$F$3004,'Mouvements stock'!$D$5:$D$3004,$A290,'Mouvements stock'!$C$5:$C$3004,"Sortie"))</f>
        <v/>
      </c>
      <c r="M290" s="79">
        <f>IF($A290="","",N(J290)+N(K290)-N(L290))</f>
        <v/>
      </c>
      <c r="N290" s="67" t="n"/>
      <c r="O290" s="67" t="n"/>
      <c r="P290" s="67" t="n"/>
      <c r="Q290" s="67" t="n"/>
      <c r="R290" s="70">
        <f>IF($A290="","",MAX(0,M290)*N(I290))</f>
        <v/>
      </c>
      <c r="S290" s="9">
        <f>IF($A290="","",IF(M290&lt;=0,IF(N(P290)&gt;0,"Rupture - en cde","RUPTURE"),IF(M290+N(P290)&lt;=N290,"À COMMANDER",IF(M290&lt;=N290,"Commande en cours","OK"))))</f>
        <v/>
      </c>
      <c r="T290" s="68">
        <f>IF($A290="","",IF(OR(S290="À COMMANDER",S290="RUPTURE"),MAX(1,O290-M290-N(P290)),0))</f>
        <v/>
      </c>
      <c r="U290" s="68">
        <f>IF($A290="","",SUMIFS('Mouvements stock'!$F$5:$F$3004,'Mouvements stock'!$D$5:$D$3004,$A290,'Mouvements stock'!$C$5:$C$3004,"Sortie",'Mouvements stock'!$B$5:$B$3004,"&gt;="&amp;'Paramètres'!$AA$6,'Mouvements stock'!$B$5:$B$3004,"&lt;"&amp;('Paramètres'!$AA$7+1)))</f>
        <v/>
      </c>
      <c r="V290" s="78">
        <f>IF($A290="","",IF(COUNTIF('Mouvements stock'!$D$5:$D$3004,$A290)=0,"",_xlfn.MAXIFS('Mouvements stock'!$B$5:$B$3004,'Mouvements stock'!$D$5:$D$3004,$A290)))</f>
        <v/>
      </c>
    </row>
    <row r="291">
      <c r="A291" s="7" t="n"/>
      <c r="B291" s="7" t="n"/>
      <c r="C291" s="7" t="n"/>
      <c r="D291" s="7" t="n"/>
      <c r="E291" s="7" t="n"/>
      <c r="F291" s="7" t="n"/>
      <c r="G291" s="7" t="n"/>
      <c r="H291" s="7" t="n"/>
      <c r="I291" s="80" t="n"/>
      <c r="J291" s="67" t="n"/>
      <c r="K291" s="68">
        <f>IF($A291="","",SUMIFS('Mouvements stock'!$F$5:$F$3004,'Mouvements stock'!$D$5:$D$3004,$A291,'Mouvements stock'!$C$5:$C$3004,"Entrée")+SUMIFS('Mouvements stock'!$F$5:$F$3004,'Mouvements stock'!$D$5:$D$3004,$A291,'Mouvements stock'!$C$5:$C$3004,"Retour"))</f>
        <v/>
      </c>
      <c r="L291" s="68">
        <f>IF($A291="","",SUMIFS('Mouvements stock'!$F$5:$F$3004,'Mouvements stock'!$D$5:$D$3004,$A291,'Mouvements stock'!$C$5:$C$3004,"Sortie"))</f>
        <v/>
      </c>
      <c r="M291" s="79">
        <f>IF($A291="","",N(J291)+N(K291)-N(L291))</f>
        <v/>
      </c>
      <c r="N291" s="67" t="n"/>
      <c r="O291" s="67" t="n"/>
      <c r="P291" s="67" t="n"/>
      <c r="Q291" s="67" t="n"/>
      <c r="R291" s="70">
        <f>IF($A291="","",MAX(0,M291)*N(I291))</f>
        <v/>
      </c>
      <c r="S291" s="9">
        <f>IF($A291="","",IF(M291&lt;=0,IF(N(P291)&gt;0,"Rupture - en cde","RUPTURE"),IF(M291+N(P291)&lt;=N291,"À COMMANDER",IF(M291&lt;=N291,"Commande en cours","OK"))))</f>
        <v/>
      </c>
      <c r="T291" s="68">
        <f>IF($A291="","",IF(OR(S291="À COMMANDER",S291="RUPTURE"),MAX(1,O291-M291-N(P291)),0))</f>
        <v/>
      </c>
      <c r="U291" s="68">
        <f>IF($A291="","",SUMIFS('Mouvements stock'!$F$5:$F$3004,'Mouvements stock'!$D$5:$D$3004,$A291,'Mouvements stock'!$C$5:$C$3004,"Sortie",'Mouvements stock'!$B$5:$B$3004,"&gt;="&amp;'Paramètres'!$AA$6,'Mouvements stock'!$B$5:$B$3004,"&lt;"&amp;('Paramètres'!$AA$7+1)))</f>
        <v/>
      </c>
      <c r="V291" s="78">
        <f>IF($A291="","",IF(COUNTIF('Mouvements stock'!$D$5:$D$3004,$A291)=0,"",_xlfn.MAXIFS('Mouvements stock'!$B$5:$B$3004,'Mouvements stock'!$D$5:$D$3004,$A291)))</f>
        <v/>
      </c>
    </row>
    <row r="292">
      <c r="A292" s="7" t="n"/>
      <c r="B292" s="7" t="n"/>
      <c r="C292" s="7" t="n"/>
      <c r="D292" s="7" t="n"/>
      <c r="E292" s="7" t="n"/>
      <c r="F292" s="7" t="n"/>
      <c r="G292" s="7" t="n"/>
      <c r="H292" s="7" t="n"/>
      <c r="I292" s="80" t="n"/>
      <c r="J292" s="67" t="n"/>
      <c r="K292" s="68">
        <f>IF($A292="","",SUMIFS('Mouvements stock'!$F$5:$F$3004,'Mouvements stock'!$D$5:$D$3004,$A292,'Mouvements stock'!$C$5:$C$3004,"Entrée")+SUMIFS('Mouvements stock'!$F$5:$F$3004,'Mouvements stock'!$D$5:$D$3004,$A292,'Mouvements stock'!$C$5:$C$3004,"Retour"))</f>
        <v/>
      </c>
      <c r="L292" s="68">
        <f>IF($A292="","",SUMIFS('Mouvements stock'!$F$5:$F$3004,'Mouvements stock'!$D$5:$D$3004,$A292,'Mouvements stock'!$C$5:$C$3004,"Sortie"))</f>
        <v/>
      </c>
      <c r="M292" s="79">
        <f>IF($A292="","",N(J292)+N(K292)-N(L292))</f>
        <v/>
      </c>
      <c r="N292" s="67" t="n"/>
      <c r="O292" s="67" t="n"/>
      <c r="P292" s="67" t="n"/>
      <c r="Q292" s="67" t="n"/>
      <c r="R292" s="70">
        <f>IF($A292="","",MAX(0,M292)*N(I292))</f>
        <v/>
      </c>
      <c r="S292" s="9">
        <f>IF($A292="","",IF(M292&lt;=0,IF(N(P292)&gt;0,"Rupture - en cde","RUPTURE"),IF(M292+N(P292)&lt;=N292,"À COMMANDER",IF(M292&lt;=N292,"Commande en cours","OK"))))</f>
        <v/>
      </c>
      <c r="T292" s="68">
        <f>IF($A292="","",IF(OR(S292="À COMMANDER",S292="RUPTURE"),MAX(1,O292-M292-N(P292)),0))</f>
        <v/>
      </c>
      <c r="U292" s="68">
        <f>IF($A292="","",SUMIFS('Mouvements stock'!$F$5:$F$3004,'Mouvements stock'!$D$5:$D$3004,$A292,'Mouvements stock'!$C$5:$C$3004,"Sortie",'Mouvements stock'!$B$5:$B$3004,"&gt;="&amp;'Paramètres'!$AA$6,'Mouvements stock'!$B$5:$B$3004,"&lt;"&amp;('Paramètres'!$AA$7+1)))</f>
        <v/>
      </c>
      <c r="V292" s="78">
        <f>IF($A292="","",IF(COUNTIF('Mouvements stock'!$D$5:$D$3004,$A292)=0,"",_xlfn.MAXIFS('Mouvements stock'!$B$5:$B$3004,'Mouvements stock'!$D$5:$D$3004,$A292)))</f>
        <v/>
      </c>
    </row>
    <row r="293">
      <c r="A293" s="7" t="n"/>
      <c r="B293" s="7" t="n"/>
      <c r="C293" s="7" t="n"/>
      <c r="D293" s="7" t="n"/>
      <c r="E293" s="7" t="n"/>
      <c r="F293" s="7" t="n"/>
      <c r="G293" s="7" t="n"/>
      <c r="H293" s="7" t="n"/>
      <c r="I293" s="80" t="n"/>
      <c r="J293" s="67" t="n"/>
      <c r="K293" s="68">
        <f>IF($A293="","",SUMIFS('Mouvements stock'!$F$5:$F$3004,'Mouvements stock'!$D$5:$D$3004,$A293,'Mouvements stock'!$C$5:$C$3004,"Entrée")+SUMIFS('Mouvements stock'!$F$5:$F$3004,'Mouvements stock'!$D$5:$D$3004,$A293,'Mouvements stock'!$C$5:$C$3004,"Retour"))</f>
        <v/>
      </c>
      <c r="L293" s="68">
        <f>IF($A293="","",SUMIFS('Mouvements stock'!$F$5:$F$3004,'Mouvements stock'!$D$5:$D$3004,$A293,'Mouvements stock'!$C$5:$C$3004,"Sortie"))</f>
        <v/>
      </c>
      <c r="M293" s="79">
        <f>IF($A293="","",N(J293)+N(K293)-N(L293))</f>
        <v/>
      </c>
      <c r="N293" s="67" t="n"/>
      <c r="O293" s="67" t="n"/>
      <c r="P293" s="67" t="n"/>
      <c r="Q293" s="67" t="n"/>
      <c r="R293" s="70">
        <f>IF($A293="","",MAX(0,M293)*N(I293))</f>
        <v/>
      </c>
      <c r="S293" s="9">
        <f>IF($A293="","",IF(M293&lt;=0,IF(N(P293)&gt;0,"Rupture - en cde","RUPTURE"),IF(M293+N(P293)&lt;=N293,"À COMMANDER",IF(M293&lt;=N293,"Commande en cours","OK"))))</f>
        <v/>
      </c>
      <c r="T293" s="68">
        <f>IF($A293="","",IF(OR(S293="À COMMANDER",S293="RUPTURE"),MAX(1,O293-M293-N(P293)),0))</f>
        <v/>
      </c>
      <c r="U293" s="68">
        <f>IF($A293="","",SUMIFS('Mouvements stock'!$F$5:$F$3004,'Mouvements stock'!$D$5:$D$3004,$A293,'Mouvements stock'!$C$5:$C$3004,"Sortie",'Mouvements stock'!$B$5:$B$3004,"&gt;="&amp;'Paramètres'!$AA$6,'Mouvements stock'!$B$5:$B$3004,"&lt;"&amp;('Paramètres'!$AA$7+1)))</f>
        <v/>
      </c>
      <c r="V293" s="78">
        <f>IF($A293="","",IF(COUNTIF('Mouvements stock'!$D$5:$D$3004,$A293)=0,"",_xlfn.MAXIFS('Mouvements stock'!$B$5:$B$3004,'Mouvements stock'!$D$5:$D$3004,$A293)))</f>
        <v/>
      </c>
    </row>
    <row r="294">
      <c r="A294" s="7" t="n"/>
      <c r="B294" s="7" t="n"/>
      <c r="C294" s="7" t="n"/>
      <c r="D294" s="7" t="n"/>
      <c r="E294" s="7" t="n"/>
      <c r="F294" s="7" t="n"/>
      <c r="G294" s="7" t="n"/>
      <c r="H294" s="7" t="n"/>
      <c r="I294" s="80" t="n"/>
      <c r="J294" s="67" t="n"/>
      <c r="K294" s="68">
        <f>IF($A294="","",SUMIFS('Mouvements stock'!$F$5:$F$3004,'Mouvements stock'!$D$5:$D$3004,$A294,'Mouvements stock'!$C$5:$C$3004,"Entrée")+SUMIFS('Mouvements stock'!$F$5:$F$3004,'Mouvements stock'!$D$5:$D$3004,$A294,'Mouvements stock'!$C$5:$C$3004,"Retour"))</f>
        <v/>
      </c>
      <c r="L294" s="68">
        <f>IF($A294="","",SUMIFS('Mouvements stock'!$F$5:$F$3004,'Mouvements stock'!$D$5:$D$3004,$A294,'Mouvements stock'!$C$5:$C$3004,"Sortie"))</f>
        <v/>
      </c>
      <c r="M294" s="79">
        <f>IF($A294="","",N(J294)+N(K294)-N(L294))</f>
        <v/>
      </c>
      <c r="N294" s="67" t="n"/>
      <c r="O294" s="67" t="n"/>
      <c r="P294" s="67" t="n"/>
      <c r="Q294" s="67" t="n"/>
      <c r="R294" s="70">
        <f>IF($A294="","",MAX(0,M294)*N(I294))</f>
        <v/>
      </c>
      <c r="S294" s="9">
        <f>IF($A294="","",IF(M294&lt;=0,IF(N(P294)&gt;0,"Rupture - en cde","RUPTURE"),IF(M294+N(P294)&lt;=N294,"À COMMANDER",IF(M294&lt;=N294,"Commande en cours","OK"))))</f>
        <v/>
      </c>
      <c r="T294" s="68">
        <f>IF($A294="","",IF(OR(S294="À COMMANDER",S294="RUPTURE"),MAX(1,O294-M294-N(P294)),0))</f>
        <v/>
      </c>
      <c r="U294" s="68">
        <f>IF($A294="","",SUMIFS('Mouvements stock'!$F$5:$F$3004,'Mouvements stock'!$D$5:$D$3004,$A294,'Mouvements stock'!$C$5:$C$3004,"Sortie",'Mouvements stock'!$B$5:$B$3004,"&gt;="&amp;'Paramètres'!$AA$6,'Mouvements stock'!$B$5:$B$3004,"&lt;"&amp;('Paramètres'!$AA$7+1)))</f>
        <v/>
      </c>
      <c r="V294" s="78">
        <f>IF($A294="","",IF(COUNTIF('Mouvements stock'!$D$5:$D$3004,$A294)=0,"",_xlfn.MAXIFS('Mouvements stock'!$B$5:$B$3004,'Mouvements stock'!$D$5:$D$3004,$A294)))</f>
        <v/>
      </c>
    </row>
    <row r="295">
      <c r="A295" s="7" t="n"/>
      <c r="B295" s="7" t="n"/>
      <c r="C295" s="7" t="n"/>
      <c r="D295" s="7" t="n"/>
      <c r="E295" s="7" t="n"/>
      <c r="F295" s="7" t="n"/>
      <c r="G295" s="7" t="n"/>
      <c r="H295" s="7" t="n"/>
      <c r="I295" s="80" t="n"/>
      <c r="J295" s="67" t="n"/>
      <c r="K295" s="68">
        <f>IF($A295="","",SUMIFS('Mouvements stock'!$F$5:$F$3004,'Mouvements stock'!$D$5:$D$3004,$A295,'Mouvements stock'!$C$5:$C$3004,"Entrée")+SUMIFS('Mouvements stock'!$F$5:$F$3004,'Mouvements stock'!$D$5:$D$3004,$A295,'Mouvements stock'!$C$5:$C$3004,"Retour"))</f>
        <v/>
      </c>
      <c r="L295" s="68">
        <f>IF($A295="","",SUMIFS('Mouvements stock'!$F$5:$F$3004,'Mouvements stock'!$D$5:$D$3004,$A295,'Mouvements stock'!$C$5:$C$3004,"Sortie"))</f>
        <v/>
      </c>
      <c r="M295" s="79">
        <f>IF($A295="","",N(J295)+N(K295)-N(L295))</f>
        <v/>
      </c>
      <c r="N295" s="67" t="n"/>
      <c r="O295" s="67" t="n"/>
      <c r="P295" s="67" t="n"/>
      <c r="Q295" s="67" t="n"/>
      <c r="R295" s="70">
        <f>IF($A295="","",MAX(0,M295)*N(I295))</f>
        <v/>
      </c>
      <c r="S295" s="9">
        <f>IF($A295="","",IF(M295&lt;=0,IF(N(P295)&gt;0,"Rupture - en cde","RUPTURE"),IF(M295+N(P295)&lt;=N295,"À COMMANDER",IF(M295&lt;=N295,"Commande en cours","OK"))))</f>
        <v/>
      </c>
      <c r="T295" s="68">
        <f>IF($A295="","",IF(OR(S295="À COMMANDER",S295="RUPTURE"),MAX(1,O295-M295-N(P295)),0))</f>
        <v/>
      </c>
      <c r="U295" s="68">
        <f>IF($A295="","",SUMIFS('Mouvements stock'!$F$5:$F$3004,'Mouvements stock'!$D$5:$D$3004,$A295,'Mouvements stock'!$C$5:$C$3004,"Sortie",'Mouvements stock'!$B$5:$B$3004,"&gt;="&amp;'Paramètres'!$AA$6,'Mouvements stock'!$B$5:$B$3004,"&lt;"&amp;('Paramètres'!$AA$7+1)))</f>
        <v/>
      </c>
      <c r="V295" s="78">
        <f>IF($A295="","",IF(COUNTIF('Mouvements stock'!$D$5:$D$3004,$A295)=0,"",_xlfn.MAXIFS('Mouvements stock'!$B$5:$B$3004,'Mouvements stock'!$D$5:$D$3004,$A295)))</f>
        <v/>
      </c>
    </row>
    <row r="296">
      <c r="A296" s="7" t="n"/>
      <c r="B296" s="7" t="n"/>
      <c r="C296" s="7" t="n"/>
      <c r="D296" s="7" t="n"/>
      <c r="E296" s="7" t="n"/>
      <c r="F296" s="7" t="n"/>
      <c r="G296" s="7" t="n"/>
      <c r="H296" s="7" t="n"/>
      <c r="I296" s="80" t="n"/>
      <c r="J296" s="67" t="n"/>
      <c r="K296" s="68">
        <f>IF($A296="","",SUMIFS('Mouvements stock'!$F$5:$F$3004,'Mouvements stock'!$D$5:$D$3004,$A296,'Mouvements stock'!$C$5:$C$3004,"Entrée")+SUMIFS('Mouvements stock'!$F$5:$F$3004,'Mouvements stock'!$D$5:$D$3004,$A296,'Mouvements stock'!$C$5:$C$3004,"Retour"))</f>
        <v/>
      </c>
      <c r="L296" s="68">
        <f>IF($A296="","",SUMIFS('Mouvements stock'!$F$5:$F$3004,'Mouvements stock'!$D$5:$D$3004,$A296,'Mouvements stock'!$C$5:$C$3004,"Sortie"))</f>
        <v/>
      </c>
      <c r="M296" s="79">
        <f>IF($A296="","",N(J296)+N(K296)-N(L296))</f>
        <v/>
      </c>
      <c r="N296" s="67" t="n"/>
      <c r="O296" s="67" t="n"/>
      <c r="P296" s="67" t="n"/>
      <c r="Q296" s="67" t="n"/>
      <c r="R296" s="70">
        <f>IF($A296="","",MAX(0,M296)*N(I296))</f>
        <v/>
      </c>
      <c r="S296" s="9">
        <f>IF($A296="","",IF(M296&lt;=0,IF(N(P296)&gt;0,"Rupture - en cde","RUPTURE"),IF(M296+N(P296)&lt;=N296,"À COMMANDER",IF(M296&lt;=N296,"Commande en cours","OK"))))</f>
        <v/>
      </c>
      <c r="T296" s="68">
        <f>IF($A296="","",IF(OR(S296="À COMMANDER",S296="RUPTURE"),MAX(1,O296-M296-N(P296)),0))</f>
        <v/>
      </c>
      <c r="U296" s="68">
        <f>IF($A296="","",SUMIFS('Mouvements stock'!$F$5:$F$3004,'Mouvements stock'!$D$5:$D$3004,$A296,'Mouvements stock'!$C$5:$C$3004,"Sortie",'Mouvements stock'!$B$5:$B$3004,"&gt;="&amp;'Paramètres'!$AA$6,'Mouvements stock'!$B$5:$B$3004,"&lt;"&amp;('Paramètres'!$AA$7+1)))</f>
        <v/>
      </c>
      <c r="V296" s="78">
        <f>IF($A296="","",IF(COUNTIF('Mouvements stock'!$D$5:$D$3004,$A296)=0,"",_xlfn.MAXIFS('Mouvements stock'!$B$5:$B$3004,'Mouvements stock'!$D$5:$D$3004,$A296)))</f>
        <v/>
      </c>
    </row>
    <row r="297">
      <c r="A297" s="7" t="n"/>
      <c r="B297" s="7" t="n"/>
      <c r="C297" s="7" t="n"/>
      <c r="D297" s="7" t="n"/>
      <c r="E297" s="7" t="n"/>
      <c r="F297" s="7" t="n"/>
      <c r="G297" s="7" t="n"/>
      <c r="H297" s="7" t="n"/>
      <c r="I297" s="80" t="n"/>
      <c r="J297" s="67" t="n"/>
      <c r="K297" s="68">
        <f>IF($A297="","",SUMIFS('Mouvements stock'!$F$5:$F$3004,'Mouvements stock'!$D$5:$D$3004,$A297,'Mouvements stock'!$C$5:$C$3004,"Entrée")+SUMIFS('Mouvements stock'!$F$5:$F$3004,'Mouvements stock'!$D$5:$D$3004,$A297,'Mouvements stock'!$C$5:$C$3004,"Retour"))</f>
        <v/>
      </c>
      <c r="L297" s="68">
        <f>IF($A297="","",SUMIFS('Mouvements stock'!$F$5:$F$3004,'Mouvements stock'!$D$5:$D$3004,$A297,'Mouvements stock'!$C$5:$C$3004,"Sortie"))</f>
        <v/>
      </c>
      <c r="M297" s="79">
        <f>IF($A297="","",N(J297)+N(K297)-N(L297))</f>
        <v/>
      </c>
      <c r="N297" s="67" t="n"/>
      <c r="O297" s="67" t="n"/>
      <c r="P297" s="67" t="n"/>
      <c r="Q297" s="67" t="n"/>
      <c r="R297" s="70">
        <f>IF($A297="","",MAX(0,M297)*N(I297))</f>
        <v/>
      </c>
      <c r="S297" s="9">
        <f>IF($A297="","",IF(M297&lt;=0,IF(N(P297)&gt;0,"Rupture - en cde","RUPTURE"),IF(M297+N(P297)&lt;=N297,"À COMMANDER",IF(M297&lt;=N297,"Commande en cours","OK"))))</f>
        <v/>
      </c>
      <c r="T297" s="68">
        <f>IF($A297="","",IF(OR(S297="À COMMANDER",S297="RUPTURE"),MAX(1,O297-M297-N(P297)),0))</f>
        <v/>
      </c>
      <c r="U297" s="68">
        <f>IF($A297="","",SUMIFS('Mouvements stock'!$F$5:$F$3004,'Mouvements stock'!$D$5:$D$3004,$A297,'Mouvements stock'!$C$5:$C$3004,"Sortie",'Mouvements stock'!$B$5:$B$3004,"&gt;="&amp;'Paramètres'!$AA$6,'Mouvements stock'!$B$5:$B$3004,"&lt;"&amp;('Paramètres'!$AA$7+1)))</f>
        <v/>
      </c>
      <c r="V297" s="78">
        <f>IF($A297="","",IF(COUNTIF('Mouvements stock'!$D$5:$D$3004,$A297)=0,"",_xlfn.MAXIFS('Mouvements stock'!$B$5:$B$3004,'Mouvements stock'!$D$5:$D$3004,$A297)))</f>
        <v/>
      </c>
    </row>
    <row r="298">
      <c r="A298" s="7" t="n"/>
      <c r="B298" s="7" t="n"/>
      <c r="C298" s="7" t="n"/>
      <c r="D298" s="7" t="n"/>
      <c r="E298" s="7" t="n"/>
      <c r="F298" s="7" t="n"/>
      <c r="G298" s="7" t="n"/>
      <c r="H298" s="7" t="n"/>
      <c r="I298" s="80" t="n"/>
      <c r="J298" s="67" t="n"/>
      <c r="K298" s="68">
        <f>IF($A298="","",SUMIFS('Mouvements stock'!$F$5:$F$3004,'Mouvements stock'!$D$5:$D$3004,$A298,'Mouvements stock'!$C$5:$C$3004,"Entrée")+SUMIFS('Mouvements stock'!$F$5:$F$3004,'Mouvements stock'!$D$5:$D$3004,$A298,'Mouvements stock'!$C$5:$C$3004,"Retour"))</f>
        <v/>
      </c>
      <c r="L298" s="68">
        <f>IF($A298="","",SUMIFS('Mouvements stock'!$F$5:$F$3004,'Mouvements stock'!$D$5:$D$3004,$A298,'Mouvements stock'!$C$5:$C$3004,"Sortie"))</f>
        <v/>
      </c>
      <c r="M298" s="79">
        <f>IF($A298="","",N(J298)+N(K298)-N(L298))</f>
        <v/>
      </c>
      <c r="N298" s="67" t="n"/>
      <c r="O298" s="67" t="n"/>
      <c r="P298" s="67" t="n"/>
      <c r="Q298" s="67" t="n"/>
      <c r="R298" s="70">
        <f>IF($A298="","",MAX(0,M298)*N(I298))</f>
        <v/>
      </c>
      <c r="S298" s="9">
        <f>IF($A298="","",IF(M298&lt;=0,IF(N(P298)&gt;0,"Rupture - en cde","RUPTURE"),IF(M298+N(P298)&lt;=N298,"À COMMANDER",IF(M298&lt;=N298,"Commande en cours","OK"))))</f>
        <v/>
      </c>
      <c r="T298" s="68">
        <f>IF($A298="","",IF(OR(S298="À COMMANDER",S298="RUPTURE"),MAX(1,O298-M298-N(P298)),0))</f>
        <v/>
      </c>
      <c r="U298" s="68">
        <f>IF($A298="","",SUMIFS('Mouvements stock'!$F$5:$F$3004,'Mouvements stock'!$D$5:$D$3004,$A298,'Mouvements stock'!$C$5:$C$3004,"Sortie",'Mouvements stock'!$B$5:$B$3004,"&gt;="&amp;'Paramètres'!$AA$6,'Mouvements stock'!$B$5:$B$3004,"&lt;"&amp;('Paramètres'!$AA$7+1)))</f>
        <v/>
      </c>
      <c r="V298" s="78">
        <f>IF($A298="","",IF(COUNTIF('Mouvements stock'!$D$5:$D$3004,$A298)=0,"",_xlfn.MAXIFS('Mouvements stock'!$B$5:$B$3004,'Mouvements stock'!$D$5:$D$3004,$A298)))</f>
        <v/>
      </c>
    </row>
    <row r="299">
      <c r="A299" s="7" t="n"/>
      <c r="B299" s="7" t="n"/>
      <c r="C299" s="7" t="n"/>
      <c r="D299" s="7" t="n"/>
      <c r="E299" s="7" t="n"/>
      <c r="F299" s="7" t="n"/>
      <c r="G299" s="7" t="n"/>
      <c r="H299" s="7" t="n"/>
      <c r="I299" s="80" t="n"/>
      <c r="J299" s="67" t="n"/>
      <c r="K299" s="68">
        <f>IF($A299="","",SUMIFS('Mouvements stock'!$F$5:$F$3004,'Mouvements stock'!$D$5:$D$3004,$A299,'Mouvements stock'!$C$5:$C$3004,"Entrée")+SUMIFS('Mouvements stock'!$F$5:$F$3004,'Mouvements stock'!$D$5:$D$3004,$A299,'Mouvements stock'!$C$5:$C$3004,"Retour"))</f>
        <v/>
      </c>
      <c r="L299" s="68">
        <f>IF($A299="","",SUMIFS('Mouvements stock'!$F$5:$F$3004,'Mouvements stock'!$D$5:$D$3004,$A299,'Mouvements stock'!$C$5:$C$3004,"Sortie"))</f>
        <v/>
      </c>
      <c r="M299" s="79">
        <f>IF($A299="","",N(J299)+N(K299)-N(L299))</f>
        <v/>
      </c>
      <c r="N299" s="67" t="n"/>
      <c r="O299" s="67" t="n"/>
      <c r="P299" s="67" t="n"/>
      <c r="Q299" s="67" t="n"/>
      <c r="R299" s="70">
        <f>IF($A299="","",MAX(0,M299)*N(I299))</f>
        <v/>
      </c>
      <c r="S299" s="9">
        <f>IF($A299="","",IF(M299&lt;=0,IF(N(P299)&gt;0,"Rupture - en cde","RUPTURE"),IF(M299+N(P299)&lt;=N299,"À COMMANDER",IF(M299&lt;=N299,"Commande en cours","OK"))))</f>
        <v/>
      </c>
      <c r="T299" s="68">
        <f>IF($A299="","",IF(OR(S299="À COMMANDER",S299="RUPTURE"),MAX(1,O299-M299-N(P299)),0))</f>
        <v/>
      </c>
      <c r="U299" s="68">
        <f>IF($A299="","",SUMIFS('Mouvements stock'!$F$5:$F$3004,'Mouvements stock'!$D$5:$D$3004,$A299,'Mouvements stock'!$C$5:$C$3004,"Sortie",'Mouvements stock'!$B$5:$B$3004,"&gt;="&amp;'Paramètres'!$AA$6,'Mouvements stock'!$B$5:$B$3004,"&lt;"&amp;('Paramètres'!$AA$7+1)))</f>
        <v/>
      </c>
      <c r="V299" s="78">
        <f>IF($A299="","",IF(COUNTIF('Mouvements stock'!$D$5:$D$3004,$A299)=0,"",_xlfn.MAXIFS('Mouvements stock'!$B$5:$B$3004,'Mouvements stock'!$D$5:$D$3004,$A299)))</f>
        <v/>
      </c>
    </row>
    <row r="300">
      <c r="A300" s="7" t="n"/>
      <c r="B300" s="7" t="n"/>
      <c r="C300" s="7" t="n"/>
      <c r="D300" s="7" t="n"/>
      <c r="E300" s="7" t="n"/>
      <c r="F300" s="7" t="n"/>
      <c r="G300" s="7" t="n"/>
      <c r="H300" s="7" t="n"/>
      <c r="I300" s="80" t="n"/>
      <c r="J300" s="67" t="n"/>
      <c r="K300" s="68">
        <f>IF($A300="","",SUMIFS('Mouvements stock'!$F$5:$F$3004,'Mouvements stock'!$D$5:$D$3004,$A300,'Mouvements stock'!$C$5:$C$3004,"Entrée")+SUMIFS('Mouvements stock'!$F$5:$F$3004,'Mouvements stock'!$D$5:$D$3004,$A300,'Mouvements stock'!$C$5:$C$3004,"Retour"))</f>
        <v/>
      </c>
      <c r="L300" s="68">
        <f>IF($A300="","",SUMIFS('Mouvements stock'!$F$5:$F$3004,'Mouvements stock'!$D$5:$D$3004,$A300,'Mouvements stock'!$C$5:$C$3004,"Sortie"))</f>
        <v/>
      </c>
      <c r="M300" s="79">
        <f>IF($A300="","",N(J300)+N(K300)-N(L300))</f>
        <v/>
      </c>
      <c r="N300" s="67" t="n"/>
      <c r="O300" s="67" t="n"/>
      <c r="P300" s="67" t="n"/>
      <c r="Q300" s="67" t="n"/>
      <c r="R300" s="70">
        <f>IF($A300="","",MAX(0,M300)*N(I300))</f>
        <v/>
      </c>
      <c r="S300" s="9">
        <f>IF($A300="","",IF(M300&lt;=0,IF(N(P300)&gt;0,"Rupture - en cde","RUPTURE"),IF(M300+N(P300)&lt;=N300,"À COMMANDER",IF(M300&lt;=N300,"Commande en cours","OK"))))</f>
        <v/>
      </c>
      <c r="T300" s="68">
        <f>IF($A300="","",IF(OR(S300="À COMMANDER",S300="RUPTURE"),MAX(1,O300-M300-N(P300)),0))</f>
        <v/>
      </c>
      <c r="U300" s="68">
        <f>IF($A300="","",SUMIFS('Mouvements stock'!$F$5:$F$3004,'Mouvements stock'!$D$5:$D$3004,$A300,'Mouvements stock'!$C$5:$C$3004,"Sortie",'Mouvements stock'!$B$5:$B$3004,"&gt;="&amp;'Paramètres'!$AA$6,'Mouvements stock'!$B$5:$B$3004,"&lt;"&amp;('Paramètres'!$AA$7+1)))</f>
        <v/>
      </c>
      <c r="V300" s="78">
        <f>IF($A300="","",IF(COUNTIF('Mouvements stock'!$D$5:$D$3004,$A300)=0,"",_xlfn.MAXIFS('Mouvements stock'!$B$5:$B$3004,'Mouvements stock'!$D$5:$D$3004,$A300)))</f>
        <v/>
      </c>
    </row>
    <row r="301">
      <c r="A301" s="7" t="n"/>
      <c r="B301" s="7" t="n"/>
      <c r="C301" s="7" t="n"/>
      <c r="D301" s="7" t="n"/>
      <c r="E301" s="7" t="n"/>
      <c r="F301" s="7" t="n"/>
      <c r="G301" s="7" t="n"/>
      <c r="H301" s="7" t="n"/>
      <c r="I301" s="80" t="n"/>
      <c r="J301" s="67" t="n"/>
      <c r="K301" s="68">
        <f>IF($A301="","",SUMIFS('Mouvements stock'!$F$5:$F$3004,'Mouvements stock'!$D$5:$D$3004,$A301,'Mouvements stock'!$C$5:$C$3004,"Entrée")+SUMIFS('Mouvements stock'!$F$5:$F$3004,'Mouvements stock'!$D$5:$D$3004,$A301,'Mouvements stock'!$C$5:$C$3004,"Retour"))</f>
        <v/>
      </c>
      <c r="L301" s="68">
        <f>IF($A301="","",SUMIFS('Mouvements stock'!$F$5:$F$3004,'Mouvements stock'!$D$5:$D$3004,$A301,'Mouvements stock'!$C$5:$C$3004,"Sortie"))</f>
        <v/>
      </c>
      <c r="M301" s="79">
        <f>IF($A301="","",N(J301)+N(K301)-N(L301))</f>
        <v/>
      </c>
      <c r="N301" s="67" t="n"/>
      <c r="O301" s="67" t="n"/>
      <c r="P301" s="67" t="n"/>
      <c r="Q301" s="67" t="n"/>
      <c r="R301" s="70">
        <f>IF($A301="","",MAX(0,M301)*N(I301))</f>
        <v/>
      </c>
      <c r="S301" s="9">
        <f>IF($A301="","",IF(M301&lt;=0,IF(N(P301)&gt;0,"Rupture - en cde","RUPTURE"),IF(M301+N(P301)&lt;=N301,"À COMMANDER",IF(M301&lt;=N301,"Commande en cours","OK"))))</f>
        <v/>
      </c>
      <c r="T301" s="68">
        <f>IF($A301="","",IF(OR(S301="À COMMANDER",S301="RUPTURE"),MAX(1,O301-M301-N(P301)),0))</f>
        <v/>
      </c>
      <c r="U301" s="68">
        <f>IF($A301="","",SUMIFS('Mouvements stock'!$F$5:$F$3004,'Mouvements stock'!$D$5:$D$3004,$A301,'Mouvements stock'!$C$5:$C$3004,"Sortie",'Mouvements stock'!$B$5:$B$3004,"&gt;="&amp;'Paramètres'!$AA$6,'Mouvements stock'!$B$5:$B$3004,"&lt;"&amp;('Paramètres'!$AA$7+1)))</f>
        <v/>
      </c>
      <c r="V301" s="78">
        <f>IF($A301="","",IF(COUNTIF('Mouvements stock'!$D$5:$D$3004,$A301)=0,"",_xlfn.MAXIFS('Mouvements stock'!$B$5:$B$3004,'Mouvements stock'!$D$5:$D$3004,$A301)))</f>
        <v/>
      </c>
    </row>
    <row r="302">
      <c r="A302" s="7" t="n"/>
      <c r="B302" s="7" t="n"/>
      <c r="C302" s="7" t="n"/>
      <c r="D302" s="7" t="n"/>
      <c r="E302" s="7" t="n"/>
      <c r="F302" s="7" t="n"/>
      <c r="G302" s="7" t="n"/>
      <c r="H302" s="7" t="n"/>
      <c r="I302" s="80" t="n"/>
      <c r="J302" s="67" t="n"/>
      <c r="K302" s="68">
        <f>IF($A302="","",SUMIFS('Mouvements stock'!$F$5:$F$3004,'Mouvements stock'!$D$5:$D$3004,$A302,'Mouvements stock'!$C$5:$C$3004,"Entrée")+SUMIFS('Mouvements stock'!$F$5:$F$3004,'Mouvements stock'!$D$5:$D$3004,$A302,'Mouvements stock'!$C$5:$C$3004,"Retour"))</f>
        <v/>
      </c>
      <c r="L302" s="68">
        <f>IF($A302="","",SUMIFS('Mouvements stock'!$F$5:$F$3004,'Mouvements stock'!$D$5:$D$3004,$A302,'Mouvements stock'!$C$5:$C$3004,"Sortie"))</f>
        <v/>
      </c>
      <c r="M302" s="79">
        <f>IF($A302="","",N(J302)+N(K302)-N(L302))</f>
        <v/>
      </c>
      <c r="N302" s="67" t="n"/>
      <c r="O302" s="67" t="n"/>
      <c r="P302" s="67" t="n"/>
      <c r="Q302" s="67" t="n"/>
      <c r="R302" s="70">
        <f>IF($A302="","",MAX(0,M302)*N(I302))</f>
        <v/>
      </c>
      <c r="S302" s="9">
        <f>IF($A302="","",IF(M302&lt;=0,IF(N(P302)&gt;0,"Rupture - en cde","RUPTURE"),IF(M302+N(P302)&lt;=N302,"À COMMANDER",IF(M302&lt;=N302,"Commande en cours","OK"))))</f>
        <v/>
      </c>
      <c r="T302" s="68">
        <f>IF($A302="","",IF(OR(S302="À COMMANDER",S302="RUPTURE"),MAX(1,O302-M302-N(P302)),0))</f>
        <v/>
      </c>
      <c r="U302" s="68">
        <f>IF($A302="","",SUMIFS('Mouvements stock'!$F$5:$F$3004,'Mouvements stock'!$D$5:$D$3004,$A302,'Mouvements stock'!$C$5:$C$3004,"Sortie",'Mouvements stock'!$B$5:$B$3004,"&gt;="&amp;'Paramètres'!$AA$6,'Mouvements stock'!$B$5:$B$3004,"&lt;"&amp;('Paramètres'!$AA$7+1)))</f>
        <v/>
      </c>
      <c r="V302" s="78">
        <f>IF($A302="","",IF(COUNTIF('Mouvements stock'!$D$5:$D$3004,$A302)=0,"",_xlfn.MAXIFS('Mouvements stock'!$B$5:$B$3004,'Mouvements stock'!$D$5:$D$3004,$A302)))</f>
        <v/>
      </c>
    </row>
    <row r="303">
      <c r="A303" s="7" t="n"/>
      <c r="B303" s="7" t="n"/>
      <c r="C303" s="7" t="n"/>
      <c r="D303" s="7" t="n"/>
      <c r="E303" s="7" t="n"/>
      <c r="F303" s="7" t="n"/>
      <c r="G303" s="7" t="n"/>
      <c r="H303" s="7" t="n"/>
      <c r="I303" s="80" t="n"/>
      <c r="J303" s="67" t="n"/>
      <c r="K303" s="68">
        <f>IF($A303="","",SUMIFS('Mouvements stock'!$F$5:$F$3004,'Mouvements stock'!$D$5:$D$3004,$A303,'Mouvements stock'!$C$5:$C$3004,"Entrée")+SUMIFS('Mouvements stock'!$F$5:$F$3004,'Mouvements stock'!$D$5:$D$3004,$A303,'Mouvements stock'!$C$5:$C$3004,"Retour"))</f>
        <v/>
      </c>
      <c r="L303" s="68">
        <f>IF($A303="","",SUMIFS('Mouvements stock'!$F$5:$F$3004,'Mouvements stock'!$D$5:$D$3004,$A303,'Mouvements stock'!$C$5:$C$3004,"Sortie"))</f>
        <v/>
      </c>
      <c r="M303" s="79">
        <f>IF($A303="","",N(J303)+N(K303)-N(L303))</f>
        <v/>
      </c>
      <c r="N303" s="67" t="n"/>
      <c r="O303" s="67" t="n"/>
      <c r="P303" s="67" t="n"/>
      <c r="Q303" s="67" t="n"/>
      <c r="R303" s="70">
        <f>IF($A303="","",MAX(0,M303)*N(I303))</f>
        <v/>
      </c>
      <c r="S303" s="9">
        <f>IF($A303="","",IF(M303&lt;=0,IF(N(P303)&gt;0,"Rupture - en cde","RUPTURE"),IF(M303+N(P303)&lt;=N303,"À COMMANDER",IF(M303&lt;=N303,"Commande en cours","OK"))))</f>
        <v/>
      </c>
      <c r="T303" s="68">
        <f>IF($A303="","",IF(OR(S303="À COMMANDER",S303="RUPTURE"),MAX(1,O303-M303-N(P303)),0))</f>
        <v/>
      </c>
      <c r="U303" s="68">
        <f>IF($A303="","",SUMIFS('Mouvements stock'!$F$5:$F$3004,'Mouvements stock'!$D$5:$D$3004,$A303,'Mouvements stock'!$C$5:$C$3004,"Sortie",'Mouvements stock'!$B$5:$B$3004,"&gt;="&amp;'Paramètres'!$AA$6,'Mouvements stock'!$B$5:$B$3004,"&lt;"&amp;('Paramètres'!$AA$7+1)))</f>
        <v/>
      </c>
      <c r="V303" s="78">
        <f>IF($A303="","",IF(COUNTIF('Mouvements stock'!$D$5:$D$3004,$A303)=0,"",_xlfn.MAXIFS('Mouvements stock'!$B$5:$B$3004,'Mouvements stock'!$D$5:$D$3004,$A303)))</f>
        <v/>
      </c>
    </row>
    <row r="304">
      <c r="A304" s="7" t="n"/>
      <c r="B304" s="7" t="n"/>
      <c r="C304" s="7" t="n"/>
      <c r="D304" s="7" t="n"/>
      <c r="E304" s="7" t="n"/>
      <c r="F304" s="7" t="n"/>
      <c r="G304" s="7" t="n"/>
      <c r="H304" s="7" t="n"/>
      <c r="I304" s="80" t="n"/>
      <c r="J304" s="67" t="n"/>
      <c r="K304" s="68">
        <f>IF($A304="","",SUMIFS('Mouvements stock'!$F$5:$F$3004,'Mouvements stock'!$D$5:$D$3004,$A304,'Mouvements stock'!$C$5:$C$3004,"Entrée")+SUMIFS('Mouvements stock'!$F$5:$F$3004,'Mouvements stock'!$D$5:$D$3004,$A304,'Mouvements stock'!$C$5:$C$3004,"Retour"))</f>
        <v/>
      </c>
      <c r="L304" s="68">
        <f>IF($A304="","",SUMIFS('Mouvements stock'!$F$5:$F$3004,'Mouvements stock'!$D$5:$D$3004,$A304,'Mouvements stock'!$C$5:$C$3004,"Sortie"))</f>
        <v/>
      </c>
      <c r="M304" s="79">
        <f>IF($A304="","",N(J304)+N(K304)-N(L304))</f>
        <v/>
      </c>
      <c r="N304" s="67" t="n"/>
      <c r="O304" s="67" t="n"/>
      <c r="P304" s="67" t="n"/>
      <c r="Q304" s="67" t="n"/>
      <c r="R304" s="70">
        <f>IF($A304="","",MAX(0,M304)*N(I304))</f>
        <v/>
      </c>
      <c r="S304" s="9">
        <f>IF($A304="","",IF(M304&lt;=0,IF(N(P304)&gt;0,"Rupture - en cde","RUPTURE"),IF(M304+N(P304)&lt;=N304,"À COMMANDER",IF(M304&lt;=N304,"Commande en cours","OK"))))</f>
        <v/>
      </c>
      <c r="T304" s="68">
        <f>IF($A304="","",IF(OR(S304="À COMMANDER",S304="RUPTURE"),MAX(1,O304-M304-N(P304)),0))</f>
        <v/>
      </c>
      <c r="U304" s="68">
        <f>IF($A304="","",SUMIFS('Mouvements stock'!$F$5:$F$3004,'Mouvements stock'!$D$5:$D$3004,$A304,'Mouvements stock'!$C$5:$C$3004,"Sortie",'Mouvements stock'!$B$5:$B$3004,"&gt;="&amp;'Paramètres'!$AA$6,'Mouvements stock'!$B$5:$B$3004,"&lt;"&amp;('Paramètres'!$AA$7+1)))</f>
        <v/>
      </c>
      <c r="V304" s="78">
        <f>IF($A304="","",IF(COUNTIF('Mouvements stock'!$D$5:$D$3004,$A304)=0,"",_xlfn.MAXIFS('Mouvements stock'!$B$5:$B$3004,'Mouvements stock'!$D$5:$D$3004,$A304)))</f>
        <v/>
      </c>
    </row>
    <row r="305">
      <c r="A305" s="7" t="n"/>
      <c r="B305" s="7" t="n"/>
      <c r="C305" s="7" t="n"/>
      <c r="D305" s="7" t="n"/>
      <c r="E305" s="7" t="n"/>
      <c r="F305" s="7" t="n"/>
      <c r="G305" s="7" t="n"/>
      <c r="H305" s="7" t="n"/>
      <c r="I305" s="80" t="n"/>
      <c r="J305" s="67" t="n"/>
      <c r="K305" s="68">
        <f>IF($A305="","",SUMIFS('Mouvements stock'!$F$5:$F$3004,'Mouvements stock'!$D$5:$D$3004,$A305,'Mouvements stock'!$C$5:$C$3004,"Entrée")+SUMIFS('Mouvements stock'!$F$5:$F$3004,'Mouvements stock'!$D$5:$D$3004,$A305,'Mouvements stock'!$C$5:$C$3004,"Retour"))</f>
        <v/>
      </c>
      <c r="L305" s="68">
        <f>IF($A305="","",SUMIFS('Mouvements stock'!$F$5:$F$3004,'Mouvements stock'!$D$5:$D$3004,$A305,'Mouvements stock'!$C$5:$C$3004,"Sortie"))</f>
        <v/>
      </c>
      <c r="M305" s="79">
        <f>IF($A305="","",N(J305)+N(K305)-N(L305))</f>
        <v/>
      </c>
      <c r="N305" s="67" t="n"/>
      <c r="O305" s="67" t="n"/>
      <c r="P305" s="67" t="n"/>
      <c r="Q305" s="67" t="n"/>
      <c r="R305" s="70">
        <f>IF($A305="","",MAX(0,M305)*N(I305))</f>
        <v/>
      </c>
      <c r="S305" s="9">
        <f>IF($A305="","",IF(M305&lt;=0,IF(N(P305)&gt;0,"Rupture - en cde","RUPTURE"),IF(M305+N(P305)&lt;=N305,"À COMMANDER",IF(M305&lt;=N305,"Commande en cours","OK"))))</f>
        <v/>
      </c>
      <c r="T305" s="68">
        <f>IF($A305="","",IF(OR(S305="À COMMANDER",S305="RUPTURE"),MAX(1,O305-M305-N(P305)),0))</f>
        <v/>
      </c>
      <c r="U305" s="68">
        <f>IF($A305="","",SUMIFS('Mouvements stock'!$F$5:$F$3004,'Mouvements stock'!$D$5:$D$3004,$A305,'Mouvements stock'!$C$5:$C$3004,"Sortie",'Mouvements stock'!$B$5:$B$3004,"&gt;="&amp;'Paramètres'!$AA$6,'Mouvements stock'!$B$5:$B$3004,"&lt;"&amp;('Paramètres'!$AA$7+1)))</f>
        <v/>
      </c>
      <c r="V305" s="78">
        <f>IF($A305="","",IF(COUNTIF('Mouvements stock'!$D$5:$D$3004,$A305)=0,"",_xlfn.MAXIFS('Mouvements stock'!$B$5:$B$3004,'Mouvements stock'!$D$5:$D$3004,$A305)))</f>
        <v/>
      </c>
    </row>
    <row r="306">
      <c r="A306" s="7" t="n"/>
      <c r="B306" s="7" t="n"/>
      <c r="C306" s="7" t="n"/>
      <c r="D306" s="7" t="n"/>
      <c r="E306" s="7" t="n"/>
      <c r="F306" s="7" t="n"/>
      <c r="G306" s="7" t="n"/>
      <c r="H306" s="7" t="n"/>
      <c r="I306" s="80" t="n"/>
      <c r="J306" s="67" t="n"/>
      <c r="K306" s="68">
        <f>IF($A306="","",SUMIFS('Mouvements stock'!$F$5:$F$3004,'Mouvements stock'!$D$5:$D$3004,$A306,'Mouvements stock'!$C$5:$C$3004,"Entrée")+SUMIFS('Mouvements stock'!$F$5:$F$3004,'Mouvements stock'!$D$5:$D$3004,$A306,'Mouvements stock'!$C$5:$C$3004,"Retour"))</f>
        <v/>
      </c>
      <c r="L306" s="68">
        <f>IF($A306="","",SUMIFS('Mouvements stock'!$F$5:$F$3004,'Mouvements stock'!$D$5:$D$3004,$A306,'Mouvements stock'!$C$5:$C$3004,"Sortie"))</f>
        <v/>
      </c>
      <c r="M306" s="79">
        <f>IF($A306="","",N(J306)+N(K306)-N(L306))</f>
        <v/>
      </c>
      <c r="N306" s="67" t="n"/>
      <c r="O306" s="67" t="n"/>
      <c r="P306" s="67" t="n"/>
      <c r="Q306" s="67" t="n"/>
      <c r="R306" s="70">
        <f>IF($A306="","",MAX(0,M306)*N(I306))</f>
        <v/>
      </c>
      <c r="S306" s="9">
        <f>IF($A306="","",IF(M306&lt;=0,IF(N(P306)&gt;0,"Rupture - en cde","RUPTURE"),IF(M306+N(P306)&lt;=N306,"À COMMANDER",IF(M306&lt;=N306,"Commande en cours","OK"))))</f>
        <v/>
      </c>
      <c r="T306" s="68">
        <f>IF($A306="","",IF(OR(S306="À COMMANDER",S306="RUPTURE"),MAX(1,O306-M306-N(P306)),0))</f>
        <v/>
      </c>
      <c r="U306" s="68">
        <f>IF($A306="","",SUMIFS('Mouvements stock'!$F$5:$F$3004,'Mouvements stock'!$D$5:$D$3004,$A306,'Mouvements stock'!$C$5:$C$3004,"Sortie",'Mouvements stock'!$B$5:$B$3004,"&gt;="&amp;'Paramètres'!$AA$6,'Mouvements stock'!$B$5:$B$3004,"&lt;"&amp;('Paramètres'!$AA$7+1)))</f>
        <v/>
      </c>
      <c r="V306" s="78">
        <f>IF($A306="","",IF(COUNTIF('Mouvements stock'!$D$5:$D$3004,$A306)=0,"",_xlfn.MAXIFS('Mouvements stock'!$B$5:$B$3004,'Mouvements stock'!$D$5:$D$3004,$A306)))</f>
        <v/>
      </c>
    </row>
    <row r="307">
      <c r="A307" s="7" t="n"/>
      <c r="B307" s="7" t="n"/>
      <c r="C307" s="7" t="n"/>
      <c r="D307" s="7" t="n"/>
      <c r="E307" s="7" t="n"/>
      <c r="F307" s="7" t="n"/>
      <c r="G307" s="7" t="n"/>
      <c r="H307" s="7" t="n"/>
      <c r="I307" s="80" t="n"/>
      <c r="J307" s="67" t="n"/>
      <c r="K307" s="68">
        <f>IF($A307="","",SUMIFS('Mouvements stock'!$F$5:$F$3004,'Mouvements stock'!$D$5:$D$3004,$A307,'Mouvements stock'!$C$5:$C$3004,"Entrée")+SUMIFS('Mouvements stock'!$F$5:$F$3004,'Mouvements stock'!$D$5:$D$3004,$A307,'Mouvements stock'!$C$5:$C$3004,"Retour"))</f>
        <v/>
      </c>
      <c r="L307" s="68">
        <f>IF($A307="","",SUMIFS('Mouvements stock'!$F$5:$F$3004,'Mouvements stock'!$D$5:$D$3004,$A307,'Mouvements stock'!$C$5:$C$3004,"Sortie"))</f>
        <v/>
      </c>
      <c r="M307" s="79">
        <f>IF($A307="","",N(J307)+N(K307)-N(L307))</f>
        <v/>
      </c>
      <c r="N307" s="67" t="n"/>
      <c r="O307" s="67" t="n"/>
      <c r="P307" s="67" t="n"/>
      <c r="Q307" s="67" t="n"/>
      <c r="R307" s="70">
        <f>IF($A307="","",MAX(0,M307)*N(I307))</f>
        <v/>
      </c>
      <c r="S307" s="9">
        <f>IF($A307="","",IF(M307&lt;=0,IF(N(P307)&gt;0,"Rupture - en cde","RUPTURE"),IF(M307+N(P307)&lt;=N307,"À COMMANDER",IF(M307&lt;=N307,"Commande en cours","OK"))))</f>
        <v/>
      </c>
      <c r="T307" s="68">
        <f>IF($A307="","",IF(OR(S307="À COMMANDER",S307="RUPTURE"),MAX(1,O307-M307-N(P307)),0))</f>
        <v/>
      </c>
      <c r="U307" s="68">
        <f>IF($A307="","",SUMIFS('Mouvements stock'!$F$5:$F$3004,'Mouvements stock'!$D$5:$D$3004,$A307,'Mouvements stock'!$C$5:$C$3004,"Sortie",'Mouvements stock'!$B$5:$B$3004,"&gt;="&amp;'Paramètres'!$AA$6,'Mouvements stock'!$B$5:$B$3004,"&lt;"&amp;('Paramètres'!$AA$7+1)))</f>
        <v/>
      </c>
      <c r="V307" s="78">
        <f>IF($A307="","",IF(COUNTIF('Mouvements stock'!$D$5:$D$3004,$A307)=0,"",_xlfn.MAXIFS('Mouvements stock'!$B$5:$B$3004,'Mouvements stock'!$D$5:$D$3004,$A307)))</f>
        <v/>
      </c>
    </row>
    <row r="308">
      <c r="A308" s="7" t="n"/>
      <c r="B308" s="7" t="n"/>
      <c r="C308" s="7" t="n"/>
      <c r="D308" s="7" t="n"/>
      <c r="E308" s="7" t="n"/>
      <c r="F308" s="7" t="n"/>
      <c r="G308" s="7" t="n"/>
      <c r="H308" s="7" t="n"/>
      <c r="I308" s="80" t="n"/>
      <c r="J308" s="67" t="n"/>
      <c r="K308" s="68">
        <f>IF($A308="","",SUMIFS('Mouvements stock'!$F$5:$F$3004,'Mouvements stock'!$D$5:$D$3004,$A308,'Mouvements stock'!$C$5:$C$3004,"Entrée")+SUMIFS('Mouvements stock'!$F$5:$F$3004,'Mouvements stock'!$D$5:$D$3004,$A308,'Mouvements stock'!$C$5:$C$3004,"Retour"))</f>
        <v/>
      </c>
      <c r="L308" s="68">
        <f>IF($A308="","",SUMIFS('Mouvements stock'!$F$5:$F$3004,'Mouvements stock'!$D$5:$D$3004,$A308,'Mouvements stock'!$C$5:$C$3004,"Sortie"))</f>
        <v/>
      </c>
      <c r="M308" s="79">
        <f>IF($A308="","",N(J308)+N(K308)-N(L308))</f>
        <v/>
      </c>
      <c r="N308" s="67" t="n"/>
      <c r="O308" s="67" t="n"/>
      <c r="P308" s="67" t="n"/>
      <c r="Q308" s="67" t="n"/>
      <c r="R308" s="70">
        <f>IF($A308="","",MAX(0,M308)*N(I308))</f>
        <v/>
      </c>
      <c r="S308" s="9">
        <f>IF($A308="","",IF(M308&lt;=0,IF(N(P308)&gt;0,"Rupture - en cde","RUPTURE"),IF(M308+N(P308)&lt;=N308,"À COMMANDER",IF(M308&lt;=N308,"Commande en cours","OK"))))</f>
        <v/>
      </c>
      <c r="T308" s="68">
        <f>IF($A308="","",IF(OR(S308="À COMMANDER",S308="RUPTURE"),MAX(1,O308-M308-N(P308)),0))</f>
        <v/>
      </c>
      <c r="U308" s="68">
        <f>IF($A308="","",SUMIFS('Mouvements stock'!$F$5:$F$3004,'Mouvements stock'!$D$5:$D$3004,$A308,'Mouvements stock'!$C$5:$C$3004,"Sortie",'Mouvements stock'!$B$5:$B$3004,"&gt;="&amp;'Paramètres'!$AA$6,'Mouvements stock'!$B$5:$B$3004,"&lt;"&amp;('Paramètres'!$AA$7+1)))</f>
        <v/>
      </c>
      <c r="V308" s="78">
        <f>IF($A308="","",IF(COUNTIF('Mouvements stock'!$D$5:$D$3004,$A308)=0,"",_xlfn.MAXIFS('Mouvements stock'!$B$5:$B$3004,'Mouvements stock'!$D$5:$D$3004,$A308)))</f>
        <v/>
      </c>
    </row>
    <row r="309">
      <c r="A309" s="7" t="n"/>
      <c r="B309" s="7" t="n"/>
      <c r="C309" s="7" t="n"/>
      <c r="D309" s="7" t="n"/>
      <c r="E309" s="7" t="n"/>
      <c r="F309" s="7" t="n"/>
      <c r="G309" s="7" t="n"/>
      <c r="H309" s="7" t="n"/>
      <c r="I309" s="80" t="n"/>
      <c r="J309" s="67" t="n"/>
      <c r="K309" s="68">
        <f>IF($A309="","",SUMIFS('Mouvements stock'!$F$5:$F$3004,'Mouvements stock'!$D$5:$D$3004,$A309,'Mouvements stock'!$C$5:$C$3004,"Entrée")+SUMIFS('Mouvements stock'!$F$5:$F$3004,'Mouvements stock'!$D$5:$D$3004,$A309,'Mouvements stock'!$C$5:$C$3004,"Retour"))</f>
        <v/>
      </c>
      <c r="L309" s="68">
        <f>IF($A309="","",SUMIFS('Mouvements stock'!$F$5:$F$3004,'Mouvements stock'!$D$5:$D$3004,$A309,'Mouvements stock'!$C$5:$C$3004,"Sortie"))</f>
        <v/>
      </c>
      <c r="M309" s="79">
        <f>IF($A309="","",N(J309)+N(K309)-N(L309))</f>
        <v/>
      </c>
      <c r="N309" s="67" t="n"/>
      <c r="O309" s="67" t="n"/>
      <c r="P309" s="67" t="n"/>
      <c r="Q309" s="67" t="n"/>
      <c r="R309" s="70">
        <f>IF($A309="","",MAX(0,M309)*N(I309))</f>
        <v/>
      </c>
      <c r="S309" s="9">
        <f>IF($A309="","",IF(M309&lt;=0,IF(N(P309)&gt;0,"Rupture - en cde","RUPTURE"),IF(M309+N(P309)&lt;=N309,"À COMMANDER",IF(M309&lt;=N309,"Commande en cours","OK"))))</f>
        <v/>
      </c>
      <c r="T309" s="68">
        <f>IF($A309="","",IF(OR(S309="À COMMANDER",S309="RUPTURE"),MAX(1,O309-M309-N(P309)),0))</f>
        <v/>
      </c>
      <c r="U309" s="68">
        <f>IF($A309="","",SUMIFS('Mouvements stock'!$F$5:$F$3004,'Mouvements stock'!$D$5:$D$3004,$A309,'Mouvements stock'!$C$5:$C$3004,"Sortie",'Mouvements stock'!$B$5:$B$3004,"&gt;="&amp;'Paramètres'!$AA$6,'Mouvements stock'!$B$5:$B$3004,"&lt;"&amp;('Paramètres'!$AA$7+1)))</f>
        <v/>
      </c>
      <c r="V309" s="78">
        <f>IF($A309="","",IF(COUNTIF('Mouvements stock'!$D$5:$D$3004,$A309)=0,"",_xlfn.MAXIFS('Mouvements stock'!$B$5:$B$3004,'Mouvements stock'!$D$5:$D$3004,$A309)))</f>
        <v/>
      </c>
    </row>
    <row r="310">
      <c r="A310" s="7" t="n"/>
      <c r="B310" s="7" t="n"/>
      <c r="C310" s="7" t="n"/>
      <c r="D310" s="7" t="n"/>
      <c r="E310" s="7" t="n"/>
      <c r="F310" s="7" t="n"/>
      <c r="G310" s="7" t="n"/>
      <c r="H310" s="7" t="n"/>
      <c r="I310" s="80" t="n"/>
      <c r="J310" s="67" t="n"/>
      <c r="K310" s="68">
        <f>IF($A310="","",SUMIFS('Mouvements stock'!$F$5:$F$3004,'Mouvements stock'!$D$5:$D$3004,$A310,'Mouvements stock'!$C$5:$C$3004,"Entrée")+SUMIFS('Mouvements stock'!$F$5:$F$3004,'Mouvements stock'!$D$5:$D$3004,$A310,'Mouvements stock'!$C$5:$C$3004,"Retour"))</f>
        <v/>
      </c>
      <c r="L310" s="68">
        <f>IF($A310="","",SUMIFS('Mouvements stock'!$F$5:$F$3004,'Mouvements stock'!$D$5:$D$3004,$A310,'Mouvements stock'!$C$5:$C$3004,"Sortie"))</f>
        <v/>
      </c>
      <c r="M310" s="79">
        <f>IF($A310="","",N(J310)+N(K310)-N(L310))</f>
        <v/>
      </c>
      <c r="N310" s="67" t="n"/>
      <c r="O310" s="67" t="n"/>
      <c r="P310" s="67" t="n"/>
      <c r="Q310" s="67" t="n"/>
      <c r="R310" s="70">
        <f>IF($A310="","",MAX(0,M310)*N(I310))</f>
        <v/>
      </c>
      <c r="S310" s="9">
        <f>IF($A310="","",IF(M310&lt;=0,IF(N(P310)&gt;0,"Rupture - en cde","RUPTURE"),IF(M310+N(P310)&lt;=N310,"À COMMANDER",IF(M310&lt;=N310,"Commande en cours","OK"))))</f>
        <v/>
      </c>
      <c r="T310" s="68">
        <f>IF($A310="","",IF(OR(S310="À COMMANDER",S310="RUPTURE"),MAX(1,O310-M310-N(P310)),0))</f>
        <v/>
      </c>
      <c r="U310" s="68">
        <f>IF($A310="","",SUMIFS('Mouvements stock'!$F$5:$F$3004,'Mouvements stock'!$D$5:$D$3004,$A310,'Mouvements stock'!$C$5:$C$3004,"Sortie",'Mouvements stock'!$B$5:$B$3004,"&gt;="&amp;'Paramètres'!$AA$6,'Mouvements stock'!$B$5:$B$3004,"&lt;"&amp;('Paramètres'!$AA$7+1)))</f>
        <v/>
      </c>
      <c r="V310" s="78">
        <f>IF($A310="","",IF(COUNTIF('Mouvements stock'!$D$5:$D$3004,$A310)=0,"",_xlfn.MAXIFS('Mouvements stock'!$B$5:$B$3004,'Mouvements stock'!$D$5:$D$3004,$A310)))</f>
        <v/>
      </c>
    </row>
    <row r="311">
      <c r="A311" s="7" t="n"/>
      <c r="B311" s="7" t="n"/>
      <c r="C311" s="7" t="n"/>
      <c r="D311" s="7" t="n"/>
      <c r="E311" s="7" t="n"/>
      <c r="F311" s="7" t="n"/>
      <c r="G311" s="7" t="n"/>
      <c r="H311" s="7" t="n"/>
      <c r="I311" s="80" t="n"/>
      <c r="J311" s="67" t="n"/>
      <c r="K311" s="68">
        <f>IF($A311="","",SUMIFS('Mouvements stock'!$F$5:$F$3004,'Mouvements stock'!$D$5:$D$3004,$A311,'Mouvements stock'!$C$5:$C$3004,"Entrée")+SUMIFS('Mouvements stock'!$F$5:$F$3004,'Mouvements stock'!$D$5:$D$3004,$A311,'Mouvements stock'!$C$5:$C$3004,"Retour"))</f>
        <v/>
      </c>
      <c r="L311" s="68">
        <f>IF($A311="","",SUMIFS('Mouvements stock'!$F$5:$F$3004,'Mouvements stock'!$D$5:$D$3004,$A311,'Mouvements stock'!$C$5:$C$3004,"Sortie"))</f>
        <v/>
      </c>
      <c r="M311" s="79">
        <f>IF($A311="","",N(J311)+N(K311)-N(L311))</f>
        <v/>
      </c>
      <c r="N311" s="67" t="n"/>
      <c r="O311" s="67" t="n"/>
      <c r="P311" s="67" t="n"/>
      <c r="Q311" s="67" t="n"/>
      <c r="R311" s="70">
        <f>IF($A311="","",MAX(0,M311)*N(I311))</f>
        <v/>
      </c>
      <c r="S311" s="9">
        <f>IF($A311="","",IF(M311&lt;=0,IF(N(P311)&gt;0,"Rupture - en cde","RUPTURE"),IF(M311+N(P311)&lt;=N311,"À COMMANDER",IF(M311&lt;=N311,"Commande en cours","OK"))))</f>
        <v/>
      </c>
      <c r="T311" s="68">
        <f>IF($A311="","",IF(OR(S311="À COMMANDER",S311="RUPTURE"),MAX(1,O311-M311-N(P311)),0))</f>
        <v/>
      </c>
      <c r="U311" s="68">
        <f>IF($A311="","",SUMIFS('Mouvements stock'!$F$5:$F$3004,'Mouvements stock'!$D$5:$D$3004,$A311,'Mouvements stock'!$C$5:$C$3004,"Sortie",'Mouvements stock'!$B$5:$B$3004,"&gt;="&amp;'Paramètres'!$AA$6,'Mouvements stock'!$B$5:$B$3004,"&lt;"&amp;('Paramètres'!$AA$7+1)))</f>
        <v/>
      </c>
      <c r="V311" s="78">
        <f>IF($A311="","",IF(COUNTIF('Mouvements stock'!$D$5:$D$3004,$A311)=0,"",_xlfn.MAXIFS('Mouvements stock'!$B$5:$B$3004,'Mouvements stock'!$D$5:$D$3004,$A311)))</f>
        <v/>
      </c>
    </row>
    <row r="312">
      <c r="A312" s="7" t="n"/>
      <c r="B312" s="7" t="n"/>
      <c r="C312" s="7" t="n"/>
      <c r="D312" s="7" t="n"/>
      <c r="E312" s="7" t="n"/>
      <c r="F312" s="7" t="n"/>
      <c r="G312" s="7" t="n"/>
      <c r="H312" s="7" t="n"/>
      <c r="I312" s="80" t="n"/>
      <c r="J312" s="67" t="n"/>
      <c r="K312" s="68">
        <f>IF($A312="","",SUMIFS('Mouvements stock'!$F$5:$F$3004,'Mouvements stock'!$D$5:$D$3004,$A312,'Mouvements stock'!$C$5:$C$3004,"Entrée")+SUMIFS('Mouvements stock'!$F$5:$F$3004,'Mouvements stock'!$D$5:$D$3004,$A312,'Mouvements stock'!$C$5:$C$3004,"Retour"))</f>
        <v/>
      </c>
      <c r="L312" s="68">
        <f>IF($A312="","",SUMIFS('Mouvements stock'!$F$5:$F$3004,'Mouvements stock'!$D$5:$D$3004,$A312,'Mouvements stock'!$C$5:$C$3004,"Sortie"))</f>
        <v/>
      </c>
      <c r="M312" s="79">
        <f>IF($A312="","",N(J312)+N(K312)-N(L312))</f>
        <v/>
      </c>
      <c r="N312" s="67" t="n"/>
      <c r="O312" s="67" t="n"/>
      <c r="P312" s="67" t="n"/>
      <c r="Q312" s="67" t="n"/>
      <c r="R312" s="70">
        <f>IF($A312="","",MAX(0,M312)*N(I312))</f>
        <v/>
      </c>
      <c r="S312" s="9">
        <f>IF($A312="","",IF(M312&lt;=0,IF(N(P312)&gt;0,"Rupture - en cde","RUPTURE"),IF(M312+N(P312)&lt;=N312,"À COMMANDER",IF(M312&lt;=N312,"Commande en cours","OK"))))</f>
        <v/>
      </c>
      <c r="T312" s="68">
        <f>IF($A312="","",IF(OR(S312="À COMMANDER",S312="RUPTURE"),MAX(1,O312-M312-N(P312)),0))</f>
        <v/>
      </c>
      <c r="U312" s="68">
        <f>IF($A312="","",SUMIFS('Mouvements stock'!$F$5:$F$3004,'Mouvements stock'!$D$5:$D$3004,$A312,'Mouvements stock'!$C$5:$C$3004,"Sortie",'Mouvements stock'!$B$5:$B$3004,"&gt;="&amp;'Paramètres'!$AA$6,'Mouvements stock'!$B$5:$B$3004,"&lt;"&amp;('Paramètres'!$AA$7+1)))</f>
        <v/>
      </c>
      <c r="V312" s="78">
        <f>IF($A312="","",IF(COUNTIF('Mouvements stock'!$D$5:$D$3004,$A312)=0,"",_xlfn.MAXIFS('Mouvements stock'!$B$5:$B$3004,'Mouvements stock'!$D$5:$D$3004,$A312)))</f>
        <v/>
      </c>
    </row>
    <row r="313">
      <c r="A313" s="7" t="n"/>
      <c r="B313" s="7" t="n"/>
      <c r="C313" s="7" t="n"/>
      <c r="D313" s="7" t="n"/>
      <c r="E313" s="7" t="n"/>
      <c r="F313" s="7" t="n"/>
      <c r="G313" s="7" t="n"/>
      <c r="H313" s="7" t="n"/>
      <c r="I313" s="80" t="n"/>
      <c r="J313" s="67" t="n"/>
      <c r="K313" s="68">
        <f>IF($A313="","",SUMIFS('Mouvements stock'!$F$5:$F$3004,'Mouvements stock'!$D$5:$D$3004,$A313,'Mouvements stock'!$C$5:$C$3004,"Entrée")+SUMIFS('Mouvements stock'!$F$5:$F$3004,'Mouvements stock'!$D$5:$D$3004,$A313,'Mouvements stock'!$C$5:$C$3004,"Retour"))</f>
        <v/>
      </c>
      <c r="L313" s="68">
        <f>IF($A313="","",SUMIFS('Mouvements stock'!$F$5:$F$3004,'Mouvements stock'!$D$5:$D$3004,$A313,'Mouvements stock'!$C$5:$C$3004,"Sortie"))</f>
        <v/>
      </c>
      <c r="M313" s="79">
        <f>IF($A313="","",N(J313)+N(K313)-N(L313))</f>
        <v/>
      </c>
      <c r="N313" s="67" t="n"/>
      <c r="O313" s="67" t="n"/>
      <c r="P313" s="67" t="n"/>
      <c r="Q313" s="67" t="n"/>
      <c r="R313" s="70">
        <f>IF($A313="","",MAX(0,M313)*N(I313))</f>
        <v/>
      </c>
      <c r="S313" s="9">
        <f>IF($A313="","",IF(M313&lt;=0,IF(N(P313)&gt;0,"Rupture - en cde","RUPTURE"),IF(M313+N(P313)&lt;=N313,"À COMMANDER",IF(M313&lt;=N313,"Commande en cours","OK"))))</f>
        <v/>
      </c>
      <c r="T313" s="68">
        <f>IF($A313="","",IF(OR(S313="À COMMANDER",S313="RUPTURE"),MAX(1,O313-M313-N(P313)),0))</f>
        <v/>
      </c>
      <c r="U313" s="68">
        <f>IF($A313="","",SUMIFS('Mouvements stock'!$F$5:$F$3004,'Mouvements stock'!$D$5:$D$3004,$A313,'Mouvements stock'!$C$5:$C$3004,"Sortie",'Mouvements stock'!$B$5:$B$3004,"&gt;="&amp;'Paramètres'!$AA$6,'Mouvements stock'!$B$5:$B$3004,"&lt;"&amp;('Paramètres'!$AA$7+1)))</f>
        <v/>
      </c>
      <c r="V313" s="78">
        <f>IF($A313="","",IF(COUNTIF('Mouvements stock'!$D$5:$D$3004,$A313)=0,"",_xlfn.MAXIFS('Mouvements stock'!$B$5:$B$3004,'Mouvements stock'!$D$5:$D$3004,$A313)))</f>
        <v/>
      </c>
    </row>
    <row r="314">
      <c r="A314" s="7" t="n"/>
      <c r="B314" s="7" t="n"/>
      <c r="C314" s="7" t="n"/>
      <c r="D314" s="7" t="n"/>
      <c r="E314" s="7" t="n"/>
      <c r="F314" s="7" t="n"/>
      <c r="G314" s="7" t="n"/>
      <c r="H314" s="7" t="n"/>
      <c r="I314" s="80" t="n"/>
      <c r="J314" s="67" t="n"/>
      <c r="K314" s="68">
        <f>IF($A314="","",SUMIFS('Mouvements stock'!$F$5:$F$3004,'Mouvements stock'!$D$5:$D$3004,$A314,'Mouvements stock'!$C$5:$C$3004,"Entrée")+SUMIFS('Mouvements stock'!$F$5:$F$3004,'Mouvements stock'!$D$5:$D$3004,$A314,'Mouvements stock'!$C$5:$C$3004,"Retour"))</f>
        <v/>
      </c>
      <c r="L314" s="68">
        <f>IF($A314="","",SUMIFS('Mouvements stock'!$F$5:$F$3004,'Mouvements stock'!$D$5:$D$3004,$A314,'Mouvements stock'!$C$5:$C$3004,"Sortie"))</f>
        <v/>
      </c>
      <c r="M314" s="79">
        <f>IF($A314="","",N(J314)+N(K314)-N(L314))</f>
        <v/>
      </c>
      <c r="N314" s="67" t="n"/>
      <c r="O314" s="67" t="n"/>
      <c r="P314" s="67" t="n"/>
      <c r="Q314" s="67" t="n"/>
      <c r="R314" s="70">
        <f>IF($A314="","",MAX(0,M314)*N(I314))</f>
        <v/>
      </c>
      <c r="S314" s="9">
        <f>IF($A314="","",IF(M314&lt;=0,IF(N(P314)&gt;0,"Rupture - en cde","RUPTURE"),IF(M314+N(P314)&lt;=N314,"À COMMANDER",IF(M314&lt;=N314,"Commande en cours","OK"))))</f>
        <v/>
      </c>
      <c r="T314" s="68">
        <f>IF($A314="","",IF(OR(S314="À COMMANDER",S314="RUPTURE"),MAX(1,O314-M314-N(P314)),0))</f>
        <v/>
      </c>
      <c r="U314" s="68">
        <f>IF($A314="","",SUMIFS('Mouvements stock'!$F$5:$F$3004,'Mouvements stock'!$D$5:$D$3004,$A314,'Mouvements stock'!$C$5:$C$3004,"Sortie",'Mouvements stock'!$B$5:$B$3004,"&gt;="&amp;'Paramètres'!$AA$6,'Mouvements stock'!$B$5:$B$3004,"&lt;"&amp;('Paramètres'!$AA$7+1)))</f>
        <v/>
      </c>
      <c r="V314" s="78">
        <f>IF($A314="","",IF(COUNTIF('Mouvements stock'!$D$5:$D$3004,$A314)=0,"",_xlfn.MAXIFS('Mouvements stock'!$B$5:$B$3004,'Mouvements stock'!$D$5:$D$3004,$A314)))</f>
        <v/>
      </c>
    </row>
    <row r="315">
      <c r="A315" s="7" t="n"/>
      <c r="B315" s="7" t="n"/>
      <c r="C315" s="7" t="n"/>
      <c r="D315" s="7" t="n"/>
      <c r="E315" s="7" t="n"/>
      <c r="F315" s="7" t="n"/>
      <c r="G315" s="7" t="n"/>
      <c r="H315" s="7" t="n"/>
      <c r="I315" s="80" t="n"/>
      <c r="J315" s="67" t="n"/>
      <c r="K315" s="68">
        <f>IF($A315="","",SUMIFS('Mouvements stock'!$F$5:$F$3004,'Mouvements stock'!$D$5:$D$3004,$A315,'Mouvements stock'!$C$5:$C$3004,"Entrée")+SUMIFS('Mouvements stock'!$F$5:$F$3004,'Mouvements stock'!$D$5:$D$3004,$A315,'Mouvements stock'!$C$5:$C$3004,"Retour"))</f>
        <v/>
      </c>
      <c r="L315" s="68">
        <f>IF($A315="","",SUMIFS('Mouvements stock'!$F$5:$F$3004,'Mouvements stock'!$D$5:$D$3004,$A315,'Mouvements stock'!$C$5:$C$3004,"Sortie"))</f>
        <v/>
      </c>
      <c r="M315" s="79">
        <f>IF($A315="","",N(J315)+N(K315)-N(L315))</f>
        <v/>
      </c>
      <c r="N315" s="67" t="n"/>
      <c r="O315" s="67" t="n"/>
      <c r="P315" s="67" t="n"/>
      <c r="Q315" s="67" t="n"/>
      <c r="R315" s="70">
        <f>IF($A315="","",MAX(0,M315)*N(I315))</f>
        <v/>
      </c>
      <c r="S315" s="9">
        <f>IF($A315="","",IF(M315&lt;=0,IF(N(P315)&gt;0,"Rupture - en cde","RUPTURE"),IF(M315+N(P315)&lt;=N315,"À COMMANDER",IF(M315&lt;=N315,"Commande en cours","OK"))))</f>
        <v/>
      </c>
      <c r="T315" s="68">
        <f>IF($A315="","",IF(OR(S315="À COMMANDER",S315="RUPTURE"),MAX(1,O315-M315-N(P315)),0))</f>
        <v/>
      </c>
      <c r="U315" s="68">
        <f>IF($A315="","",SUMIFS('Mouvements stock'!$F$5:$F$3004,'Mouvements stock'!$D$5:$D$3004,$A315,'Mouvements stock'!$C$5:$C$3004,"Sortie",'Mouvements stock'!$B$5:$B$3004,"&gt;="&amp;'Paramètres'!$AA$6,'Mouvements stock'!$B$5:$B$3004,"&lt;"&amp;('Paramètres'!$AA$7+1)))</f>
        <v/>
      </c>
      <c r="V315" s="78">
        <f>IF($A315="","",IF(COUNTIF('Mouvements stock'!$D$5:$D$3004,$A315)=0,"",_xlfn.MAXIFS('Mouvements stock'!$B$5:$B$3004,'Mouvements stock'!$D$5:$D$3004,$A315)))</f>
        <v/>
      </c>
    </row>
    <row r="316">
      <c r="A316" s="7" t="n"/>
      <c r="B316" s="7" t="n"/>
      <c r="C316" s="7" t="n"/>
      <c r="D316" s="7" t="n"/>
      <c r="E316" s="7" t="n"/>
      <c r="F316" s="7" t="n"/>
      <c r="G316" s="7" t="n"/>
      <c r="H316" s="7" t="n"/>
      <c r="I316" s="80" t="n"/>
      <c r="J316" s="67" t="n"/>
      <c r="K316" s="68">
        <f>IF($A316="","",SUMIFS('Mouvements stock'!$F$5:$F$3004,'Mouvements stock'!$D$5:$D$3004,$A316,'Mouvements stock'!$C$5:$C$3004,"Entrée")+SUMIFS('Mouvements stock'!$F$5:$F$3004,'Mouvements stock'!$D$5:$D$3004,$A316,'Mouvements stock'!$C$5:$C$3004,"Retour"))</f>
        <v/>
      </c>
      <c r="L316" s="68">
        <f>IF($A316="","",SUMIFS('Mouvements stock'!$F$5:$F$3004,'Mouvements stock'!$D$5:$D$3004,$A316,'Mouvements stock'!$C$5:$C$3004,"Sortie"))</f>
        <v/>
      </c>
      <c r="M316" s="79">
        <f>IF($A316="","",N(J316)+N(K316)-N(L316))</f>
        <v/>
      </c>
      <c r="N316" s="67" t="n"/>
      <c r="O316" s="67" t="n"/>
      <c r="P316" s="67" t="n"/>
      <c r="Q316" s="67" t="n"/>
      <c r="R316" s="70">
        <f>IF($A316="","",MAX(0,M316)*N(I316))</f>
        <v/>
      </c>
      <c r="S316" s="9">
        <f>IF($A316="","",IF(M316&lt;=0,IF(N(P316)&gt;0,"Rupture - en cde","RUPTURE"),IF(M316+N(P316)&lt;=N316,"À COMMANDER",IF(M316&lt;=N316,"Commande en cours","OK"))))</f>
        <v/>
      </c>
      <c r="T316" s="68">
        <f>IF($A316="","",IF(OR(S316="À COMMANDER",S316="RUPTURE"),MAX(1,O316-M316-N(P316)),0))</f>
        <v/>
      </c>
      <c r="U316" s="68">
        <f>IF($A316="","",SUMIFS('Mouvements stock'!$F$5:$F$3004,'Mouvements stock'!$D$5:$D$3004,$A316,'Mouvements stock'!$C$5:$C$3004,"Sortie",'Mouvements stock'!$B$5:$B$3004,"&gt;="&amp;'Paramètres'!$AA$6,'Mouvements stock'!$B$5:$B$3004,"&lt;"&amp;('Paramètres'!$AA$7+1)))</f>
        <v/>
      </c>
      <c r="V316" s="78">
        <f>IF($A316="","",IF(COUNTIF('Mouvements stock'!$D$5:$D$3004,$A316)=0,"",_xlfn.MAXIFS('Mouvements stock'!$B$5:$B$3004,'Mouvements stock'!$D$5:$D$3004,$A316)))</f>
        <v/>
      </c>
    </row>
    <row r="317">
      <c r="A317" s="7" t="n"/>
      <c r="B317" s="7" t="n"/>
      <c r="C317" s="7" t="n"/>
      <c r="D317" s="7" t="n"/>
      <c r="E317" s="7" t="n"/>
      <c r="F317" s="7" t="n"/>
      <c r="G317" s="7" t="n"/>
      <c r="H317" s="7" t="n"/>
      <c r="I317" s="80" t="n"/>
      <c r="J317" s="67" t="n"/>
      <c r="K317" s="68">
        <f>IF($A317="","",SUMIFS('Mouvements stock'!$F$5:$F$3004,'Mouvements stock'!$D$5:$D$3004,$A317,'Mouvements stock'!$C$5:$C$3004,"Entrée")+SUMIFS('Mouvements stock'!$F$5:$F$3004,'Mouvements stock'!$D$5:$D$3004,$A317,'Mouvements stock'!$C$5:$C$3004,"Retour"))</f>
        <v/>
      </c>
      <c r="L317" s="68">
        <f>IF($A317="","",SUMIFS('Mouvements stock'!$F$5:$F$3004,'Mouvements stock'!$D$5:$D$3004,$A317,'Mouvements stock'!$C$5:$C$3004,"Sortie"))</f>
        <v/>
      </c>
      <c r="M317" s="79">
        <f>IF($A317="","",N(J317)+N(K317)-N(L317))</f>
        <v/>
      </c>
      <c r="N317" s="67" t="n"/>
      <c r="O317" s="67" t="n"/>
      <c r="P317" s="67" t="n"/>
      <c r="Q317" s="67" t="n"/>
      <c r="R317" s="70">
        <f>IF($A317="","",MAX(0,M317)*N(I317))</f>
        <v/>
      </c>
      <c r="S317" s="9">
        <f>IF($A317="","",IF(M317&lt;=0,IF(N(P317)&gt;0,"Rupture - en cde","RUPTURE"),IF(M317+N(P317)&lt;=N317,"À COMMANDER",IF(M317&lt;=N317,"Commande en cours","OK"))))</f>
        <v/>
      </c>
      <c r="T317" s="68">
        <f>IF($A317="","",IF(OR(S317="À COMMANDER",S317="RUPTURE"),MAX(1,O317-M317-N(P317)),0))</f>
        <v/>
      </c>
      <c r="U317" s="68">
        <f>IF($A317="","",SUMIFS('Mouvements stock'!$F$5:$F$3004,'Mouvements stock'!$D$5:$D$3004,$A317,'Mouvements stock'!$C$5:$C$3004,"Sortie",'Mouvements stock'!$B$5:$B$3004,"&gt;="&amp;'Paramètres'!$AA$6,'Mouvements stock'!$B$5:$B$3004,"&lt;"&amp;('Paramètres'!$AA$7+1)))</f>
        <v/>
      </c>
      <c r="V317" s="78">
        <f>IF($A317="","",IF(COUNTIF('Mouvements stock'!$D$5:$D$3004,$A317)=0,"",_xlfn.MAXIFS('Mouvements stock'!$B$5:$B$3004,'Mouvements stock'!$D$5:$D$3004,$A317)))</f>
        <v/>
      </c>
    </row>
    <row r="318">
      <c r="A318" s="7" t="n"/>
      <c r="B318" s="7" t="n"/>
      <c r="C318" s="7" t="n"/>
      <c r="D318" s="7" t="n"/>
      <c r="E318" s="7" t="n"/>
      <c r="F318" s="7" t="n"/>
      <c r="G318" s="7" t="n"/>
      <c r="H318" s="7" t="n"/>
      <c r="I318" s="80" t="n"/>
      <c r="J318" s="67" t="n"/>
      <c r="K318" s="68">
        <f>IF($A318="","",SUMIFS('Mouvements stock'!$F$5:$F$3004,'Mouvements stock'!$D$5:$D$3004,$A318,'Mouvements stock'!$C$5:$C$3004,"Entrée")+SUMIFS('Mouvements stock'!$F$5:$F$3004,'Mouvements stock'!$D$5:$D$3004,$A318,'Mouvements stock'!$C$5:$C$3004,"Retour"))</f>
        <v/>
      </c>
      <c r="L318" s="68">
        <f>IF($A318="","",SUMIFS('Mouvements stock'!$F$5:$F$3004,'Mouvements stock'!$D$5:$D$3004,$A318,'Mouvements stock'!$C$5:$C$3004,"Sortie"))</f>
        <v/>
      </c>
      <c r="M318" s="79">
        <f>IF($A318="","",N(J318)+N(K318)-N(L318))</f>
        <v/>
      </c>
      <c r="N318" s="67" t="n"/>
      <c r="O318" s="67" t="n"/>
      <c r="P318" s="67" t="n"/>
      <c r="Q318" s="67" t="n"/>
      <c r="R318" s="70">
        <f>IF($A318="","",MAX(0,M318)*N(I318))</f>
        <v/>
      </c>
      <c r="S318" s="9">
        <f>IF($A318="","",IF(M318&lt;=0,IF(N(P318)&gt;0,"Rupture - en cde","RUPTURE"),IF(M318+N(P318)&lt;=N318,"À COMMANDER",IF(M318&lt;=N318,"Commande en cours","OK"))))</f>
        <v/>
      </c>
      <c r="T318" s="68">
        <f>IF($A318="","",IF(OR(S318="À COMMANDER",S318="RUPTURE"),MAX(1,O318-M318-N(P318)),0))</f>
        <v/>
      </c>
      <c r="U318" s="68">
        <f>IF($A318="","",SUMIFS('Mouvements stock'!$F$5:$F$3004,'Mouvements stock'!$D$5:$D$3004,$A318,'Mouvements stock'!$C$5:$C$3004,"Sortie",'Mouvements stock'!$B$5:$B$3004,"&gt;="&amp;'Paramètres'!$AA$6,'Mouvements stock'!$B$5:$B$3004,"&lt;"&amp;('Paramètres'!$AA$7+1)))</f>
        <v/>
      </c>
      <c r="V318" s="78">
        <f>IF($A318="","",IF(COUNTIF('Mouvements stock'!$D$5:$D$3004,$A318)=0,"",_xlfn.MAXIFS('Mouvements stock'!$B$5:$B$3004,'Mouvements stock'!$D$5:$D$3004,$A318)))</f>
        <v/>
      </c>
    </row>
    <row r="319">
      <c r="A319" s="7" t="n"/>
      <c r="B319" s="7" t="n"/>
      <c r="C319" s="7" t="n"/>
      <c r="D319" s="7" t="n"/>
      <c r="E319" s="7" t="n"/>
      <c r="F319" s="7" t="n"/>
      <c r="G319" s="7" t="n"/>
      <c r="H319" s="7" t="n"/>
      <c r="I319" s="80" t="n"/>
      <c r="J319" s="67" t="n"/>
      <c r="K319" s="68">
        <f>IF($A319="","",SUMIFS('Mouvements stock'!$F$5:$F$3004,'Mouvements stock'!$D$5:$D$3004,$A319,'Mouvements stock'!$C$5:$C$3004,"Entrée")+SUMIFS('Mouvements stock'!$F$5:$F$3004,'Mouvements stock'!$D$5:$D$3004,$A319,'Mouvements stock'!$C$5:$C$3004,"Retour"))</f>
        <v/>
      </c>
      <c r="L319" s="68">
        <f>IF($A319="","",SUMIFS('Mouvements stock'!$F$5:$F$3004,'Mouvements stock'!$D$5:$D$3004,$A319,'Mouvements stock'!$C$5:$C$3004,"Sortie"))</f>
        <v/>
      </c>
      <c r="M319" s="79">
        <f>IF($A319="","",N(J319)+N(K319)-N(L319))</f>
        <v/>
      </c>
      <c r="N319" s="67" t="n"/>
      <c r="O319" s="67" t="n"/>
      <c r="P319" s="67" t="n"/>
      <c r="Q319" s="67" t="n"/>
      <c r="R319" s="70">
        <f>IF($A319="","",MAX(0,M319)*N(I319))</f>
        <v/>
      </c>
      <c r="S319" s="9">
        <f>IF($A319="","",IF(M319&lt;=0,IF(N(P319)&gt;0,"Rupture - en cde","RUPTURE"),IF(M319+N(P319)&lt;=N319,"À COMMANDER",IF(M319&lt;=N319,"Commande en cours","OK"))))</f>
        <v/>
      </c>
      <c r="T319" s="68">
        <f>IF($A319="","",IF(OR(S319="À COMMANDER",S319="RUPTURE"),MAX(1,O319-M319-N(P319)),0))</f>
        <v/>
      </c>
      <c r="U319" s="68">
        <f>IF($A319="","",SUMIFS('Mouvements stock'!$F$5:$F$3004,'Mouvements stock'!$D$5:$D$3004,$A319,'Mouvements stock'!$C$5:$C$3004,"Sortie",'Mouvements stock'!$B$5:$B$3004,"&gt;="&amp;'Paramètres'!$AA$6,'Mouvements stock'!$B$5:$B$3004,"&lt;"&amp;('Paramètres'!$AA$7+1)))</f>
        <v/>
      </c>
      <c r="V319" s="78">
        <f>IF($A319="","",IF(COUNTIF('Mouvements stock'!$D$5:$D$3004,$A319)=0,"",_xlfn.MAXIFS('Mouvements stock'!$B$5:$B$3004,'Mouvements stock'!$D$5:$D$3004,$A319)))</f>
        <v/>
      </c>
    </row>
    <row r="320">
      <c r="A320" s="7" t="n"/>
      <c r="B320" s="7" t="n"/>
      <c r="C320" s="7" t="n"/>
      <c r="D320" s="7" t="n"/>
      <c r="E320" s="7" t="n"/>
      <c r="F320" s="7" t="n"/>
      <c r="G320" s="7" t="n"/>
      <c r="H320" s="7" t="n"/>
      <c r="I320" s="80" t="n"/>
      <c r="J320" s="67" t="n"/>
      <c r="K320" s="68">
        <f>IF($A320="","",SUMIFS('Mouvements stock'!$F$5:$F$3004,'Mouvements stock'!$D$5:$D$3004,$A320,'Mouvements stock'!$C$5:$C$3004,"Entrée")+SUMIFS('Mouvements stock'!$F$5:$F$3004,'Mouvements stock'!$D$5:$D$3004,$A320,'Mouvements stock'!$C$5:$C$3004,"Retour"))</f>
        <v/>
      </c>
      <c r="L320" s="68">
        <f>IF($A320="","",SUMIFS('Mouvements stock'!$F$5:$F$3004,'Mouvements stock'!$D$5:$D$3004,$A320,'Mouvements stock'!$C$5:$C$3004,"Sortie"))</f>
        <v/>
      </c>
      <c r="M320" s="79">
        <f>IF($A320="","",N(J320)+N(K320)-N(L320))</f>
        <v/>
      </c>
      <c r="N320" s="67" t="n"/>
      <c r="O320" s="67" t="n"/>
      <c r="P320" s="67" t="n"/>
      <c r="Q320" s="67" t="n"/>
      <c r="R320" s="70">
        <f>IF($A320="","",MAX(0,M320)*N(I320))</f>
        <v/>
      </c>
      <c r="S320" s="9">
        <f>IF($A320="","",IF(M320&lt;=0,IF(N(P320)&gt;0,"Rupture - en cde","RUPTURE"),IF(M320+N(P320)&lt;=N320,"À COMMANDER",IF(M320&lt;=N320,"Commande en cours","OK"))))</f>
        <v/>
      </c>
      <c r="T320" s="68">
        <f>IF($A320="","",IF(OR(S320="À COMMANDER",S320="RUPTURE"),MAX(1,O320-M320-N(P320)),0))</f>
        <v/>
      </c>
      <c r="U320" s="68">
        <f>IF($A320="","",SUMIFS('Mouvements stock'!$F$5:$F$3004,'Mouvements stock'!$D$5:$D$3004,$A320,'Mouvements stock'!$C$5:$C$3004,"Sortie",'Mouvements stock'!$B$5:$B$3004,"&gt;="&amp;'Paramètres'!$AA$6,'Mouvements stock'!$B$5:$B$3004,"&lt;"&amp;('Paramètres'!$AA$7+1)))</f>
        <v/>
      </c>
      <c r="V320" s="78">
        <f>IF($A320="","",IF(COUNTIF('Mouvements stock'!$D$5:$D$3004,$A320)=0,"",_xlfn.MAXIFS('Mouvements stock'!$B$5:$B$3004,'Mouvements stock'!$D$5:$D$3004,$A320)))</f>
        <v/>
      </c>
    </row>
    <row r="321">
      <c r="A321" s="7" t="n"/>
      <c r="B321" s="7" t="n"/>
      <c r="C321" s="7" t="n"/>
      <c r="D321" s="7" t="n"/>
      <c r="E321" s="7" t="n"/>
      <c r="F321" s="7" t="n"/>
      <c r="G321" s="7" t="n"/>
      <c r="H321" s="7" t="n"/>
      <c r="I321" s="80" t="n"/>
      <c r="J321" s="67" t="n"/>
      <c r="K321" s="68">
        <f>IF($A321="","",SUMIFS('Mouvements stock'!$F$5:$F$3004,'Mouvements stock'!$D$5:$D$3004,$A321,'Mouvements stock'!$C$5:$C$3004,"Entrée")+SUMIFS('Mouvements stock'!$F$5:$F$3004,'Mouvements stock'!$D$5:$D$3004,$A321,'Mouvements stock'!$C$5:$C$3004,"Retour"))</f>
        <v/>
      </c>
      <c r="L321" s="68">
        <f>IF($A321="","",SUMIFS('Mouvements stock'!$F$5:$F$3004,'Mouvements stock'!$D$5:$D$3004,$A321,'Mouvements stock'!$C$5:$C$3004,"Sortie"))</f>
        <v/>
      </c>
      <c r="M321" s="79">
        <f>IF($A321="","",N(J321)+N(K321)-N(L321))</f>
        <v/>
      </c>
      <c r="N321" s="67" t="n"/>
      <c r="O321" s="67" t="n"/>
      <c r="P321" s="67" t="n"/>
      <c r="Q321" s="67" t="n"/>
      <c r="R321" s="70">
        <f>IF($A321="","",MAX(0,M321)*N(I321))</f>
        <v/>
      </c>
      <c r="S321" s="9">
        <f>IF($A321="","",IF(M321&lt;=0,IF(N(P321)&gt;0,"Rupture - en cde","RUPTURE"),IF(M321+N(P321)&lt;=N321,"À COMMANDER",IF(M321&lt;=N321,"Commande en cours","OK"))))</f>
        <v/>
      </c>
      <c r="T321" s="68">
        <f>IF($A321="","",IF(OR(S321="À COMMANDER",S321="RUPTURE"),MAX(1,O321-M321-N(P321)),0))</f>
        <v/>
      </c>
      <c r="U321" s="68">
        <f>IF($A321="","",SUMIFS('Mouvements stock'!$F$5:$F$3004,'Mouvements stock'!$D$5:$D$3004,$A321,'Mouvements stock'!$C$5:$C$3004,"Sortie",'Mouvements stock'!$B$5:$B$3004,"&gt;="&amp;'Paramètres'!$AA$6,'Mouvements stock'!$B$5:$B$3004,"&lt;"&amp;('Paramètres'!$AA$7+1)))</f>
        <v/>
      </c>
      <c r="V321" s="78">
        <f>IF($A321="","",IF(COUNTIF('Mouvements stock'!$D$5:$D$3004,$A321)=0,"",_xlfn.MAXIFS('Mouvements stock'!$B$5:$B$3004,'Mouvements stock'!$D$5:$D$3004,$A321)))</f>
        <v/>
      </c>
    </row>
    <row r="322">
      <c r="A322" s="7" t="n"/>
      <c r="B322" s="7" t="n"/>
      <c r="C322" s="7" t="n"/>
      <c r="D322" s="7" t="n"/>
      <c r="E322" s="7" t="n"/>
      <c r="F322" s="7" t="n"/>
      <c r="G322" s="7" t="n"/>
      <c r="H322" s="7" t="n"/>
      <c r="I322" s="80" t="n"/>
      <c r="J322" s="67" t="n"/>
      <c r="K322" s="68">
        <f>IF($A322="","",SUMIFS('Mouvements stock'!$F$5:$F$3004,'Mouvements stock'!$D$5:$D$3004,$A322,'Mouvements stock'!$C$5:$C$3004,"Entrée")+SUMIFS('Mouvements stock'!$F$5:$F$3004,'Mouvements stock'!$D$5:$D$3004,$A322,'Mouvements stock'!$C$5:$C$3004,"Retour"))</f>
        <v/>
      </c>
      <c r="L322" s="68">
        <f>IF($A322="","",SUMIFS('Mouvements stock'!$F$5:$F$3004,'Mouvements stock'!$D$5:$D$3004,$A322,'Mouvements stock'!$C$5:$C$3004,"Sortie"))</f>
        <v/>
      </c>
      <c r="M322" s="79">
        <f>IF($A322="","",N(J322)+N(K322)-N(L322))</f>
        <v/>
      </c>
      <c r="N322" s="67" t="n"/>
      <c r="O322" s="67" t="n"/>
      <c r="P322" s="67" t="n"/>
      <c r="Q322" s="67" t="n"/>
      <c r="R322" s="70">
        <f>IF($A322="","",MAX(0,M322)*N(I322))</f>
        <v/>
      </c>
      <c r="S322" s="9">
        <f>IF($A322="","",IF(M322&lt;=0,IF(N(P322)&gt;0,"Rupture - en cde","RUPTURE"),IF(M322+N(P322)&lt;=N322,"À COMMANDER",IF(M322&lt;=N322,"Commande en cours","OK"))))</f>
        <v/>
      </c>
      <c r="T322" s="68">
        <f>IF($A322="","",IF(OR(S322="À COMMANDER",S322="RUPTURE"),MAX(1,O322-M322-N(P322)),0))</f>
        <v/>
      </c>
      <c r="U322" s="68">
        <f>IF($A322="","",SUMIFS('Mouvements stock'!$F$5:$F$3004,'Mouvements stock'!$D$5:$D$3004,$A322,'Mouvements stock'!$C$5:$C$3004,"Sortie",'Mouvements stock'!$B$5:$B$3004,"&gt;="&amp;'Paramètres'!$AA$6,'Mouvements stock'!$B$5:$B$3004,"&lt;"&amp;('Paramètres'!$AA$7+1)))</f>
        <v/>
      </c>
      <c r="V322" s="78">
        <f>IF($A322="","",IF(COUNTIF('Mouvements stock'!$D$5:$D$3004,$A322)=0,"",_xlfn.MAXIFS('Mouvements stock'!$B$5:$B$3004,'Mouvements stock'!$D$5:$D$3004,$A322)))</f>
        <v/>
      </c>
    </row>
    <row r="323">
      <c r="A323" s="7" t="n"/>
      <c r="B323" s="7" t="n"/>
      <c r="C323" s="7" t="n"/>
      <c r="D323" s="7" t="n"/>
      <c r="E323" s="7" t="n"/>
      <c r="F323" s="7" t="n"/>
      <c r="G323" s="7" t="n"/>
      <c r="H323" s="7" t="n"/>
      <c r="I323" s="80" t="n"/>
      <c r="J323" s="67" t="n"/>
      <c r="K323" s="68">
        <f>IF($A323="","",SUMIFS('Mouvements stock'!$F$5:$F$3004,'Mouvements stock'!$D$5:$D$3004,$A323,'Mouvements stock'!$C$5:$C$3004,"Entrée")+SUMIFS('Mouvements stock'!$F$5:$F$3004,'Mouvements stock'!$D$5:$D$3004,$A323,'Mouvements stock'!$C$5:$C$3004,"Retour"))</f>
        <v/>
      </c>
      <c r="L323" s="68">
        <f>IF($A323="","",SUMIFS('Mouvements stock'!$F$5:$F$3004,'Mouvements stock'!$D$5:$D$3004,$A323,'Mouvements stock'!$C$5:$C$3004,"Sortie"))</f>
        <v/>
      </c>
      <c r="M323" s="79">
        <f>IF($A323="","",N(J323)+N(K323)-N(L323))</f>
        <v/>
      </c>
      <c r="N323" s="67" t="n"/>
      <c r="O323" s="67" t="n"/>
      <c r="P323" s="67" t="n"/>
      <c r="Q323" s="67" t="n"/>
      <c r="R323" s="70">
        <f>IF($A323="","",MAX(0,M323)*N(I323))</f>
        <v/>
      </c>
      <c r="S323" s="9">
        <f>IF($A323="","",IF(M323&lt;=0,IF(N(P323)&gt;0,"Rupture - en cde","RUPTURE"),IF(M323+N(P323)&lt;=N323,"À COMMANDER",IF(M323&lt;=N323,"Commande en cours","OK"))))</f>
        <v/>
      </c>
      <c r="T323" s="68">
        <f>IF($A323="","",IF(OR(S323="À COMMANDER",S323="RUPTURE"),MAX(1,O323-M323-N(P323)),0))</f>
        <v/>
      </c>
      <c r="U323" s="68">
        <f>IF($A323="","",SUMIFS('Mouvements stock'!$F$5:$F$3004,'Mouvements stock'!$D$5:$D$3004,$A323,'Mouvements stock'!$C$5:$C$3004,"Sortie",'Mouvements stock'!$B$5:$B$3004,"&gt;="&amp;'Paramètres'!$AA$6,'Mouvements stock'!$B$5:$B$3004,"&lt;"&amp;('Paramètres'!$AA$7+1)))</f>
        <v/>
      </c>
      <c r="V323" s="78">
        <f>IF($A323="","",IF(COUNTIF('Mouvements stock'!$D$5:$D$3004,$A323)=0,"",_xlfn.MAXIFS('Mouvements stock'!$B$5:$B$3004,'Mouvements stock'!$D$5:$D$3004,$A323)))</f>
        <v/>
      </c>
    </row>
    <row r="324">
      <c r="A324" s="7" t="n"/>
      <c r="B324" s="7" t="n"/>
      <c r="C324" s="7" t="n"/>
      <c r="D324" s="7" t="n"/>
      <c r="E324" s="7" t="n"/>
      <c r="F324" s="7" t="n"/>
      <c r="G324" s="7" t="n"/>
      <c r="H324" s="7" t="n"/>
      <c r="I324" s="80" t="n"/>
      <c r="J324" s="67" t="n"/>
      <c r="K324" s="68">
        <f>IF($A324="","",SUMIFS('Mouvements stock'!$F$5:$F$3004,'Mouvements stock'!$D$5:$D$3004,$A324,'Mouvements stock'!$C$5:$C$3004,"Entrée")+SUMIFS('Mouvements stock'!$F$5:$F$3004,'Mouvements stock'!$D$5:$D$3004,$A324,'Mouvements stock'!$C$5:$C$3004,"Retour"))</f>
        <v/>
      </c>
      <c r="L324" s="68">
        <f>IF($A324="","",SUMIFS('Mouvements stock'!$F$5:$F$3004,'Mouvements stock'!$D$5:$D$3004,$A324,'Mouvements stock'!$C$5:$C$3004,"Sortie"))</f>
        <v/>
      </c>
      <c r="M324" s="79">
        <f>IF($A324="","",N(J324)+N(K324)-N(L324))</f>
        <v/>
      </c>
      <c r="N324" s="67" t="n"/>
      <c r="O324" s="67" t="n"/>
      <c r="P324" s="67" t="n"/>
      <c r="Q324" s="67" t="n"/>
      <c r="R324" s="70">
        <f>IF($A324="","",MAX(0,M324)*N(I324))</f>
        <v/>
      </c>
      <c r="S324" s="9">
        <f>IF($A324="","",IF(M324&lt;=0,IF(N(P324)&gt;0,"Rupture - en cde","RUPTURE"),IF(M324+N(P324)&lt;=N324,"À COMMANDER",IF(M324&lt;=N324,"Commande en cours","OK"))))</f>
        <v/>
      </c>
      <c r="T324" s="68">
        <f>IF($A324="","",IF(OR(S324="À COMMANDER",S324="RUPTURE"),MAX(1,O324-M324-N(P324)),0))</f>
        <v/>
      </c>
      <c r="U324" s="68">
        <f>IF($A324="","",SUMIFS('Mouvements stock'!$F$5:$F$3004,'Mouvements stock'!$D$5:$D$3004,$A324,'Mouvements stock'!$C$5:$C$3004,"Sortie",'Mouvements stock'!$B$5:$B$3004,"&gt;="&amp;'Paramètres'!$AA$6,'Mouvements stock'!$B$5:$B$3004,"&lt;"&amp;('Paramètres'!$AA$7+1)))</f>
        <v/>
      </c>
      <c r="V324" s="78">
        <f>IF($A324="","",IF(COUNTIF('Mouvements stock'!$D$5:$D$3004,$A324)=0,"",_xlfn.MAXIFS('Mouvements stock'!$B$5:$B$3004,'Mouvements stock'!$D$5:$D$3004,$A324)))</f>
        <v/>
      </c>
    </row>
    <row r="325">
      <c r="A325" s="7" t="n"/>
      <c r="B325" s="7" t="n"/>
      <c r="C325" s="7" t="n"/>
      <c r="D325" s="7" t="n"/>
      <c r="E325" s="7" t="n"/>
      <c r="F325" s="7" t="n"/>
      <c r="G325" s="7" t="n"/>
      <c r="H325" s="7" t="n"/>
      <c r="I325" s="80" t="n"/>
      <c r="J325" s="67" t="n"/>
      <c r="K325" s="68">
        <f>IF($A325="","",SUMIFS('Mouvements stock'!$F$5:$F$3004,'Mouvements stock'!$D$5:$D$3004,$A325,'Mouvements stock'!$C$5:$C$3004,"Entrée")+SUMIFS('Mouvements stock'!$F$5:$F$3004,'Mouvements stock'!$D$5:$D$3004,$A325,'Mouvements stock'!$C$5:$C$3004,"Retour"))</f>
        <v/>
      </c>
      <c r="L325" s="68">
        <f>IF($A325="","",SUMIFS('Mouvements stock'!$F$5:$F$3004,'Mouvements stock'!$D$5:$D$3004,$A325,'Mouvements stock'!$C$5:$C$3004,"Sortie"))</f>
        <v/>
      </c>
      <c r="M325" s="79">
        <f>IF($A325="","",N(J325)+N(K325)-N(L325))</f>
        <v/>
      </c>
      <c r="N325" s="67" t="n"/>
      <c r="O325" s="67" t="n"/>
      <c r="P325" s="67" t="n"/>
      <c r="Q325" s="67" t="n"/>
      <c r="R325" s="70">
        <f>IF($A325="","",MAX(0,M325)*N(I325))</f>
        <v/>
      </c>
      <c r="S325" s="9">
        <f>IF($A325="","",IF(M325&lt;=0,IF(N(P325)&gt;0,"Rupture - en cde","RUPTURE"),IF(M325+N(P325)&lt;=N325,"À COMMANDER",IF(M325&lt;=N325,"Commande en cours","OK"))))</f>
        <v/>
      </c>
      <c r="T325" s="68">
        <f>IF($A325="","",IF(OR(S325="À COMMANDER",S325="RUPTURE"),MAX(1,O325-M325-N(P325)),0))</f>
        <v/>
      </c>
      <c r="U325" s="68">
        <f>IF($A325="","",SUMIFS('Mouvements stock'!$F$5:$F$3004,'Mouvements stock'!$D$5:$D$3004,$A325,'Mouvements stock'!$C$5:$C$3004,"Sortie",'Mouvements stock'!$B$5:$B$3004,"&gt;="&amp;'Paramètres'!$AA$6,'Mouvements stock'!$B$5:$B$3004,"&lt;"&amp;('Paramètres'!$AA$7+1)))</f>
        <v/>
      </c>
      <c r="V325" s="78">
        <f>IF($A325="","",IF(COUNTIF('Mouvements stock'!$D$5:$D$3004,$A325)=0,"",_xlfn.MAXIFS('Mouvements stock'!$B$5:$B$3004,'Mouvements stock'!$D$5:$D$3004,$A325)))</f>
        <v/>
      </c>
    </row>
    <row r="326">
      <c r="A326" s="7" t="n"/>
      <c r="B326" s="7" t="n"/>
      <c r="C326" s="7" t="n"/>
      <c r="D326" s="7" t="n"/>
      <c r="E326" s="7" t="n"/>
      <c r="F326" s="7" t="n"/>
      <c r="G326" s="7" t="n"/>
      <c r="H326" s="7" t="n"/>
      <c r="I326" s="80" t="n"/>
      <c r="J326" s="67" t="n"/>
      <c r="K326" s="68">
        <f>IF($A326="","",SUMIFS('Mouvements stock'!$F$5:$F$3004,'Mouvements stock'!$D$5:$D$3004,$A326,'Mouvements stock'!$C$5:$C$3004,"Entrée")+SUMIFS('Mouvements stock'!$F$5:$F$3004,'Mouvements stock'!$D$5:$D$3004,$A326,'Mouvements stock'!$C$5:$C$3004,"Retour"))</f>
        <v/>
      </c>
      <c r="L326" s="68">
        <f>IF($A326="","",SUMIFS('Mouvements stock'!$F$5:$F$3004,'Mouvements stock'!$D$5:$D$3004,$A326,'Mouvements stock'!$C$5:$C$3004,"Sortie"))</f>
        <v/>
      </c>
      <c r="M326" s="79">
        <f>IF($A326="","",N(J326)+N(K326)-N(L326))</f>
        <v/>
      </c>
      <c r="N326" s="67" t="n"/>
      <c r="O326" s="67" t="n"/>
      <c r="P326" s="67" t="n"/>
      <c r="Q326" s="67" t="n"/>
      <c r="R326" s="70">
        <f>IF($A326="","",MAX(0,M326)*N(I326))</f>
        <v/>
      </c>
      <c r="S326" s="9">
        <f>IF($A326="","",IF(M326&lt;=0,IF(N(P326)&gt;0,"Rupture - en cde","RUPTURE"),IF(M326+N(P326)&lt;=N326,"À COMMANDER",IF(M326&lt;=N326,"Commande en cours","OK"))))</f>
        <v/>
      </c>
      <c r="T326" s="68">
        <f>IF($A326="","",IF(OR(S326="À COMMANDER",S326="RUPTURE"),MAX(1,O326-M326-N(P326)),0))</f>
        <v/>
      </c>
      <c r="U326" s="68">
        <f>IF($A326="","",SUMIFS('Mouvements stock'!$F$5:$F$3004,'Mouvements stock'!$D$5:$D$3004,$A326,'Mouvements stock'!$C$5:$C$3004,"Sortie",'Mouvements stock'!$B$5:$B$3004,"&gt;="&amp;'Paramètres'!$AA$6,'Mouvements stock'!$B$5:$B$3004,"&lt;"&amp;('Paramètres'!$AA$7+1)))</f>
        <v/>
      </c>
      <c r="V326" s="78">
        <f>IF($A326="","",IF(COUNTIF('Mouvements stock'!$D$5:$D$3004,$A326)=0,"",_xlfn.MAXIFS('Mouvements stock'!$B$5:$B$3004,'Mouvements stock'!$D$5:$D$3004,$A326)))</f>
        <v/>
      </c>
    </row>
    <row r="327">
      <c r="A327" s="7" t="n"/>
      <c r="B327" s="7" t="n"/>
      <c r="C327" s="7" t="n"/>
      <c r="D327" s="7" t="n"/>
      <c r="E327" s="7" t="n"/>
      <c r="F327" s="7" t="n"/>
      <c r="G327" s="7" t="n"/>
      <c r="H327" s="7" t="n"/>
      <c r="I327" s="80" t="n"/>
      <c r="J327" s="67" t="n"/>
      <c r="K327" s="68">
        <f>IF($A327="","",SUMIFS('Mouvements stock'!$F$5:$F$3004,'Mouvements stock'!$D$5:$D$3004,$A327,'Mouvements stock'!$C$5:$C$3004,"Entrée")+SUMIFS('Mouvements stock'!$F$5:$F$3004,'Mouvements stock'!$D$5:$D$3004,$A327,'Mouvements stock'!$C$5:$C$3004,"Retour"))</f>
        <v/>
      </c>
      <c r="L327" s="68">
        <f>IF($A327="","",SUMIFS('Mouvements stock'!$F$5:$F$3004,'Mouvements stock'!$D$5:$D$3004,$A327,'Mouvements stock'!$C$5:$C$3004,"Sortie"))</f>
        <v/>
      </c>
      <c r="M327" s="79">
        <f>IF($A327="","",N(J327)+N(K327)-N(L327))</f>
        <v/>
      </c>
      <c r="N327" s="67" t="n"/>
      <c r="O327" s="67" t="n"/>
      <c r="P327" s="67" t="n"/>
      <c r="Q327" s="67" t="n"/>
      <c r="R327" s="70">
        <f>IF($A327="","",MAX(0,M327)*N(I327))</f>
        <v/>
      </c>
      <c r="S327" s="9">
        <f>IF($A327="","",IF(M327&lt;=0,IF(N(P327)&gt;0,"Rupture - en cde","RUPTURE"),IF(M327+N(P327)&lt;=N327,"À COMMANDER",IF(M327&lt;=N327,"Commande en cours","OK"))))</f>
        <v/>
      </c>
      <c r="T327" s="68">
        <f>IF($A327="","",IF(OR(S327="À COMMANDER",S327="RUPTURE"),MAX(1,O327-M327-N(P327)),0))</f>
        <v/>
      </c>
      <c r="U327" s="68">
        <f>IF($A327="","",SUMIFS('Mouvements stock'!$F$5:$F$3004,'Mouvements stock'!$D$5:$D$3004,$A327,'Mouvements stock'!$C$5:$C$3004,"Sortie",'Mouvements stock'!$B$5:$B$3004,"&gt;="&amp;'Paramètres'!$AA$6,'Mouvements stock'!$B$5:$B$3004,"&lt;"&amp;('Paramètres'!$AA$7+1)))</f>
        <v/>
      </c>
      <c r="V327" s="78">
        <f>IF($A327="","",IF(COUNTIF('Mouvements stock'!$D$5:$D$3004,$A327)=0,"",_xlfn.MAXIFS('Mouvements stock'!$B$5:$B$3004,'Mouvements stock'!$D$5:$D$3004,$A327)))</f>
        <v/>
      </c>
    </row>
    <row r="328">
      <c r="A328" s="7" t="n"/>
      <c r="B328" s="7" t="n"/>
      <c r="C328" s="7" t="n"/>
      <c r="D328" s="7" t="n"/>
      <c r="E328" s="7" t="n"/>
      <c r="F328" s="7" t="n"/>
      <c r="G328" s="7" t="n"/>
      <c r="H328" s="7" t="n"/>
      <c r="I328" s="80" t="n"/>
      <c r="J328" s="67" t="n"/>
      <c r="K328" s="68">
        <f>IF($A328="","",SUMIFS('Mouvements stock'!$F$5:$F$3004,'Mouvements stock'!$D$5:$D$3004,$A328,'Mouvements stock'!$C$5:$C$3004,"Entrée")+SUMIFS('Mouvements stock'!$F$5:$F$3004,'Mouvements stock'!$D$5:$D$3004,$A328,'Mouvements stock'!$C$5:$C$3004,"Retour"))</f>
        <v/>
      </c>
      <c r="L328" s="68">
        <f>IF($A328="","",SUMIFS('Mouvements stock'!$F$5:$F$3004,'Mouvements stock'!$D$5:$D$3004,$A328,'Mouvements stock'!$C$5:$C$3004,"Sortie"))</f>
        <v/>
      </c>
      <c r="M328" s="79">
        <f>IF($A328="","",N(J328)+N(K328)-N(L328))</f>
        <v/>
      </c>
      <c r="N328" s="67" t="n"/>
      <c r="O328" s="67" t="n"/>
      <c r="P328" s="67" t="n"/>
      <c r="Q328" s="67" t="n"/>
      <c r="R328" s="70">
        <f>IF($A328="","",MAX(0,M328)*N(I328))</f>
        <v/>
      </c>
      <c r="S328" s="9">
        <f>IF($A328="","",IF(M328&lt;=0,IF(N(P328)&gt;0,"Rupture - en cde","RUPTURE"),IF(M328+N(P328)&lt;=N328,"À COMMANDER",IF(M328&lt;=N328,"Commande en cours","OK"))))</f>
        <v/>
      </c>
      <c r="T328" s="68">
        <f>IF($A328="","",IF(OR(S328="À COMMANDER",S328="RUPTURE"),MAX(1,O328-M328-N(P328)),0))</f>
        <v/>
      </c>
      <c r="U328" s="68">
        <f>IF($A328="","",SUMIFS('Mouvements stock'!$F$5:$F$3004,'Mouvements stock'!$D$5:$D$3004,$A328,'Mouvements stock'!$C$5:$C$3004,"Sortie",'Mouvements stock'!$B$5:$B$3004,"&gt;="&amp;'Paramètres'!$AA$6,'Mouvements stock'!$B$5:$B$3004,"&lt;"&amp;('Paramètres'!$AA$7+1)))</f>
        <v/>
      </c>
      <c r="V328" s="78">
        <f>IF($A328="","",IF(COUNTIF('Mouvements stock'!$D$5:$D$3004,$A328)=0,"",_xlfn.MAXIFS('Mouvements stock'!$B$5:$B$3004,'Mouvements stock'!$D$5:$D$3004,$A328)))</f>
        <v/>
      </c>
    </row>
    <row r="329">
      <c r="A329" s="7" t="n"/>
      <c r="B329" s="7" t="n"/>
      <c r="C329" s="7" t="n"/>
      <c r="D329" s="7" t="n"/>
      <c r="E329" s="7" t="n"/>
      <c r="F329" s="7" t="n"/>
      <c r="G329" s="7" t="n"/>
      <c r="H329" s="7" t="n"/>
      <c r="I329" s="80" t="n"/>
      <c r="J329" s="67" t="n"/>
      <c r="K329" s="68">
        <f>IF($A329="","",SUMIFS('Mouvements stock'!$F$5:$F$3004,'Mouvements stock'!$D$5:$D$3004,$A329,'Mouvements stock'!$C$5:$C$3004,"Entrée")+SUMIFS('Mouvements stock'!$F$5:$F$3004,'Mouvements stock'!$D$5:$D$3004,$A329,'Mouvements stock'!$C$5:$C$3004,"Retour"))</f>
        <v/>
      </c>
      <c r="L329" s="68">
        <f>IF($A329="","",SUMIFS('Mouvements stock'!$F$5:$F$3004,'Mouvements stock'!$D$5:$D$3004,$A329,'Mouvements stock'!$C$5:$C$3004,"Sortie"))</f>
        <v/>
      </c>
      <c r="M329" s="79">
        <f>IF($A329="","",N(J329)+N(K329)-N(L329))</f>
        <v/>
      </c>
      <c r="N329" s="67" t="n"/>
      <c r="O329" s="67" t="n"/>
      <c r="P329" s="67" t="n"/>
      <c r="Q329" s="67" t="n"/>
      <c r="R329" s="70">
        <f>IF($A329="","",MAX(0,M329)*N(I329))</f>
        <v/>
      </c>
      <c r="S329" s="9">
        <f>IF($A329="","",IF(M329&lt;=0,IF(N(P329)&gt;0,"Rupture - en cde","RUPTURE"),IF(M329+N(P329)&lt;=N329,"À COMMANDER",IF(M329&lt;=N329,"Commande en cours","OK"))))</f>
        <v/>
      </c>
      <c r="T329" s="68">
        <f>IF($A329="","",IF(OR(S329="À COMMANDER",S329="RUPTURE"),MAX(1,O329-M329-N(P329)),0))</f>
        <v/>
      </c>
      <c r="U329" s="68">
        <f>IF($A329="","",SUMIFS('Mouvements stock'!$F$5:$F$3004,'Mouvements stock'!$D$5:$D$3004,$A329,'Mouvements stock'!$C$5:$C$3004,"Sortie",'Mouvements stock'!$B$5:$B$3004,"&gt;="&amp;'Paramètres'!$AA$6,'Mouvements stock'!$B$5:$B$3004,"&lt;"&amp;('Paramètres'!$AA$7+1)))</f>
        <v/>
      </c>
      <c r="V329" s="78">
        <f>IF($A329="","",IF(COUNTIF('Mouvements stock'!$D$5:$D$3004,$A329)=0,"",_xlfn.MAXIFS('Mouvements stock'!$B$5:$B$3004,'Mouvements stock'!$D$5:$D$3004,$A329)))</f>
        <v/>
      </c>
    </row>
    <row r="330">
      <c r="A330" s="7" t="n"/>
      <c r="B330" s="7" t="n"/>
      <c r="C330" s="7" t="n"/>
      <c r="D330" s="7" t="n"/>
      <c r="E330" s="7" t="n"/>
      <c r="F330" s="7" t="n"/>
      <c r="G330" s="7" t="n"/>
      <c r="H330" s="7" t="n"/>
      <c r="I330" s="80" t="n"/>
      <c r="J330" s="67" t="n"/>
      <c r="K330" s="68">
        <f>IF($A330="","",SUMIFS('Mouvements stock'!$F$5:$F$3004,'Mouvements stock'!$D$5:$D$3004,$A330,'Mouvements stock'!$C$5:$C$3004,"Entrée")+SUMIFS('Mouvements stock'!$F$5:$F$3004,'Mouvements stock'!$D$5:$D$3004,$A330,'Mouvements stock'!$C$5:$C$3004,"Retour"))</f>
        <v/>
      </c>
      <c r="L330" s="68">
        <f>IF($A330="","",SUMIFS('Mouvements stock'!$F$5:$F$3004,'Mouvements stock'!$D$5:$D$3004,$A330,'Mouvements stock'!$C$5:$C$3004,"Sortie"))</f>
        <v/>
      </c>
      <c r="M330" s="79">
        <f>IF($A330="","",N(J330)+N(K330)-N(L330))</f>
        <v/>
      </c>
      <c r="N330" s="67" t="n"/>
      <c r="O330" s="67" t="n"/>
      <c r="P330" s="67" t="n"/>
      <c r="Q330" s="67" t="n"/>
      <c r="R330" s="70">
        <f>IF($A330="","",MAX(0,M330)*N(I330))</f>
        <v/>
      </c>
      <c r="S330" s="9">
        <f>IF($A330="","",IF(M330&lt;=0,IF(N(P330)&gt;0,"Rupture - en cde","RUPTURE"),IF(M330+N(P330)&lt;=N330,"À COMMANDER",IF(M330&lt;=N330,"Commande en cours","OK"))))</f>
        <v/>
      </c>
      <c r="T330" s="68">
        <f>IF($A330="","",IF(OR(S330="À COMMANDER",S330="RUPTURE"),MAX(1,O330-M330-N(P330)),0))</f>
        <v/>
      </c>
      <c r="U330" s="68">
        <f>IF($A330="","",SUMIFS('Mouvements stock'!$F$5:$F$3004,'Mouvements stock'!$D$5:$D$3004,$A330,'Mouvements stock'!$C$5:$C$3004,"Sortie",'Mouvements stock'!$B$5:$B$3004,"&gt;="&amp;'Paramètres'!$AA$6,'Mouvements stock'!$B$5:$B$3004,"&lt;"&amp;('Paramètres'!$AA$7+1)))</f>
        <v/>
      </c>
      <c r="V330" s="78">
        <f>IF($A330="","",IF(COUNTIF('Mouvements stock'!$D$5:$D$3004,$A330)=0,"",_xlfn.MAXIFS('Mouvements stock'!$B$5:$B$3004,'Mouvements stock'!$D$5:$D$3004,$A330)))</f>
        <v/>
      </c>
    </row>
    <row r="331">
      <c r="A331" s="7" t="n"/>
      <c r="B331" s="7" t="n"/>
      <c r="C331" s="7" t="n"/>
      <c r="D331" s="7" t="n"/>
      <c r="E331" s="7" t="n"/>
      <c r="F331" s="7" t="n"/>
      <c r="G331" s="7" t="n"/>
      <c r="H331" s="7" t="n"/>
      <c r="I331" s="80" t="n"/>
      <c r="J331" s="67" t="n"/>
      <c r="K331" s="68">
        <f>IF($A331="","",SUMIFS('Mouvements stock'!$F$5:$F$3004,'Mouvements stock'!$D$5:$D$3004,$A331,'Mouvements stock'!$C$5:$C$3004,"Entrée")+SUMIFS('Mouvements stock'!$F$5:$F$3004,'Mouvements stock'!$D$5:$D$3004,$A331,'Mouvements stock'!$C$5:$C$3004,"Retour"))</f>
        <v/>
      </c>
      <c r="L331" s="68">
        <f>IF($A331="","",SUMIFS('Mouvements stock'!$F$5:$F$3004,'Mouvements stock'!$D$5:$D$3004,$A331,'Mouvements stock'!$C$5:$C$3004,"Sortie"))</f>
        <v/>
      </c>
      <c r="M331" s="79">
        <f>IF($A331="","",N(J331)+N(K331)-N(L331))</f>
        <v/>
      </c>
      <c r="N331" s="67" t="n"/>
      <c r="O331" s="67" t="n"/>
      <c r="P331" s="67" t="n"/>
      <c r="Q331" s="67" t="n"/>
      <c r="R331" s="70">
        <f>IF($A331="","",MAX(0,M331)*N(I331))</f>
        <v/>
      </c>
      <c r="S331" s="9">
        <f>IF($A331="","",IF(M331&lt;=0,IF(N(P331)&gt;0,"Rupture - en cde","RUPTURE"),IF(M331+N(P331)&lt;=N331,"À COMMANDER",IF(M331&lt;=N331,"Commande en cours","OK"))))</f>
        <v/>
      </c>
      <c r="T331" s="68">
        <f>IF($A331="","",IF(OR(S331="À COMMANDER",S331="RUPTURE"),MAX(1,O331-M331-N(P331)),0))</f>
        <v/>
      </c>
      <c r="U331" s="68">
        <f>IF($A331="","",SUMIFS('Mouvements stock'!$F$5:$F$3004,'Mouvements stock'!$D$5:$D$3004,$A331,'Mouvements stock'!$C$5:$C$3004,"Sortie",'Mouvements stock'!$B$5:$B$3004,"&gt;="&amp;'Paramètres'!$AA$6,'Mouvements stock'!$B$5:$B$3004,"&lt;"&amp;('Paramètres'!$AA$7+1)))</f>
        <v/>
      </c>
      <c r="V331" s="78">
        <f>IF($A331="","",IF(COUNTIF('Mouvements stock'!$D$5:$D$3004,$A331)=0,"",_xlfn.MAXIFS('Mouvements stock'!$B$5:$B$3004,'Mouvements stock'!$D$5:$D$3004,$A331)))</f>
        <v/>
      </c>
    </row>
    <row r="332">
      <c r="A332" s="7" t="n"/>
      <c r="B332" s="7" t="n"/>
      <c r="C332" s="7" t="n"/>
      <c r="D332" s="7" t="n"/>
      <c r="E332" s="7" t="n"/>
      <c r="F332" s="7" t="n"/>
      <c r="G332" s="7" t="n"/>
      <c r="H332" s="7" t="n"/>
      <c r="I332" s="80" t="n"/>
      <c r="J332" s="67" t="n"/>
      <c r="K332" s="68">
        <f>IF($A332="","",SUMIFS('Mouvements stock'!$F$5:$F$3004,'Mouvements stock'!$D$5:$D$3004,$A332,'Mouvements stock'!$C$5:$C$3004,"Entrée")+SUMIFS('Mouvements stock'!$F$5:$F$3004,'Mouvements stock'!$D$5:$D$3004,$A332,'Mouvements stock'!$C$5:$C$3004,"Retour"))</f>
        <v/>
      </c>
      <c r="L332" s="68">
        <f>IF($A332="","",SUMIFS('Mouvements stock'!$F$5:$F$3004,'Mouvements stock'!$D$5:$D$3004,$A332,'Mouvements stock'!$C$5:$C$3004,"Sortie"))</f>
        <v/>
      </c>
      <c r="M332" s="79">
        <f>IF($A332="","",N(J332)+N(K332)-N(L332))</f>
        <v/>
      </c>
      <c r="N332" s="67" t="n"/>
      <c r="O332" s="67" t="n"/>
      <c r="P332" s="67" t="n"/>
      <c r="Q332" s="67" t="n"/>
      <c r="R332" s="70">
        <f>IF($A332="","",MAX(0,M332)*N(I332))</f>
        <v/>
      </c>
      <c r="S332" s="9">
        <f>IF($A332="","",IF(M332&lt;=0,IF(N(P332)&gt;0,"Rupture - en cde","RUPTURE"),IF(M332+N(P332)&lt;=N332,"À COMMANDER",IF(M332&lt;=N332,"Commande en cours","OK"))))</f>
        <v/>
      </c>
      <c r="T332" s="68">
        <f>IF($A332="","",IF(OR(S332="À COMMANDER",S332="RUPTURE"),MAX(1,O332-M332-N(P332)),0))</f>
        <v/>
      </c>
      <c r="U332" s="68">
        <f>IF($A332="","",SUMIFS('Mouvements stock'!$F$5:$F$3004,'Mouvements stock'!$D$5:$D$3004,$A332,'Mouvements stock'!$C$5:$C$3004,"Sortie",'Mouvements stock'!$B$5:$B$3004,"&gt;="&amp;'Paramètres'!$AA$6,'Mouvements stock'!$B$5:$B$3004,"&lt;"&amp;('Paramètres'!$AA$7+1)))</f>
        <v/>
      </c>
      <c r="V332" s="78">
        <f>IF($A332="","",IF(COUNTIF('Mouvements stock'!$D$5:$D$3004,$A332)=0,"",_xlfn.MAXIFS('Mouvements stock'!$B$5:$B$3004,'Mouvements stock'!$D$5:$D$3004,$A332)))</f>
        <v/>
      </c>
    </row>
    <row r="333">
      <c r="A333" s="7" t="n"/>
      <c r="B333" s="7" t="n"/>
      <c r="C333" s="7" t="n"/>
      <c r="D333" s="7" t="n"/>
      <c r="E333" s="7" t="n"/>
      <c r="F333" s="7" t="n"/>
      <c r="G333" s="7" t="n"/>
      <c r="H333" s="7" t="n"/>
      <c r="I333" s="80" t="n"/>
      <c r="J333" s="67" t="n"/>
      <c r="K333" s="68">
        <f>IF($A333="","",SUMIFS('Mouvements stock'!$F$5:$F$3004,'Mouvements stock'!$D$5:$D$3004,$A333,'Mouvements stock'!$C$5:$C$3004,"Entrée")+SUMIFS('Mouvements stock'!$F$5:$F$3004,'Mouvements stock'!$D$5:$D$3004,$A333,'Mouvements stock'!$C$5:$C$3004,"Retour"))</f>
        <v/>
      </c>
      <c r="L333" s="68">
        <f>IF($A333="","",SUMIFS('Mouvements stock'!$F$5:$F$3004,'Mouvements stock'!$D$5:$D$3004,$A333,'Mouvements stock'!$C$5:$C$3004,"Sortie"))</f>
        <v/>
      </c>
      <c r="M333" s="79">
        <f>IF($A333="","",N(J333)+N(K333)-N(L333))</f>
        <v/>
      </c>
      <c r="N333" s="67" t="n"/>
      <c r="O333" s="67" t="n"/>
      <c r="P333" s="67" t="n"/>
      <c r="Q333" s="67" t="n"/>
      <c r="R333" s="70">
        <f>IF($A333="","",MAX(0,M333)*N(I333))</f>
        <v/>
      </c>
      <c r="S333" s="9">
        <f>IF($A333="","",IF(M333&lt;=0,IF(N(P333)&gt;0,"Rupture - en cde","RUPTURE"),IF(M333+N(P333)&lt;=N333,"À COMMANDER",IF(M333&lt;=N333,"Commande en cours","OK"))))</f>
        <v/>
      </c>
      <c r="T333" s="68">
        <f>IF($A333="","",IF(OR(S333="À COMMANDER",S333="RUPTURE"),MAX(1,O333-M333-N(P333)),0))</f>
        <v/>
      </c>
      <c r="U333" s="68">
        <f>IF($A333="","",SUMIFS('Mouvements stock'!$F$5:$F$3004,'Mouvements stock'!$D$5:$D$3004,$A333,'Mouvements stock'!$C$5:$C$3004,"Sortie",'Mouvements stock'!$B$5:$B$3004,"&gt;="&amp;'Paramètres'!$AA$6,'Mouvements stock'!$B$5:$B$3004,"&lt;"&amp;('Paramètres'!$AA$7+1)))</f>
        <v/>
      </c>
      <c r="V333" s="78">
        <f>IF($A333="","",IF(COUNTIF('Mouvements stock'!$D$5:$D$3004,$A333)=0,"",_xlfn.MAXIFS('Mouvements stock'!$B$5:$B$3004,'Mouvements stock'!$D$5:$D$3004,$A333)))</f>
        <v/>
      </c>
    </row>
    <row r="334">
      <c r="A334" s="7" t="n"/>
      <c r="B334" s="7" t="n"/>
      <c r="C334" s="7" t="n"/>
      <c r="D334" s="7" t="n"/>
      <c r="E334" s="7" t="n"/>
      <c r="F334" s="7" t="n"/>
      <c r="G334" s="7" t="n"/>
      <c r="H334" s="7" t="n"/>
      <c r="I334" s="80" t="n"/>
      <c r="J334" s="67" t="n"/>
      <c r="K334" s="68">
        <f>IF($A334="","",SUMIFS('Mouvements stock'!$F$5:$F$3004,'Mouvements stock'!$D$5:$D$3004,$A334,'Mouvements stock'!$C$5:$C$3004,"Entrée")+SUMIFS('Mouvements stock'!$F$5:$F$3004,'Mouvements stock'!$D$5:$D$3004,$A334,'Mouvements stock'!$C$5:$C$3004,"Retour"))</f>
        <v/>
      </c>
      <c r="L334" s="68">
        <f>IF($A334="","",SUMIFS('Mouvements stock'!$F$5:$F$3004,'Mouvements stock'!$D$5:$D$3004,$A334,'Mouvements stock'!$C$5:$C$3004,"Sortie"))</f>
        <v/>
      </c>
      <c r="M334" s="79">
        <f>IF($A334="","",N(J334)+N(K334)-N(L334))</f>
        <v/>
      </c>
      <c r="N334" s="67" t="n"/>
      <c r="O334" s="67" t="n"/>
      <c r="P334" s="67" t="n"/>
      <c r="Q334" s="67" t="n"/>
      <c r="R334" s="70">
        <f>IF($A334="","",MAX(0,M334)*N(I334))</f>
        <v/>
      </c>
      <c r="S334" s="9">
        <f>IF($A334="","",IF(M334&lt;=0,IF(N(P334)&gt;0,"Rupture - en cde","RUPTURE"),IF(M334+N(P334)&lt;=N334,"À COMMANDER",IF(M334&lt;=N334,"Commande en cours","OK"))))</f>
        <v/>
      </c>
      <c r="T334" s="68">
        <f>IF($A334="","",IF(OR(S334="À COMMANDER",S334="RUPTURE"),MAX(1,O334-M334-N(P334)),0))</f>
        <v/>
      </c>
      <c r="U334" s="68">
        <f>IF($A334="","",SUMIFS('Mouvements stock'!$F$5:$F$3004,'Mouvements stock'!$D$5:$D$3004,$A334,'Mouvements stock'!$C$5:$C$3004,"Sortie",'Mouvements stock'!$B$5:$B$3004,"&gt;="&amp;'Paramètres'!$AA$6,'Mouvements stock'!$B$5:$B$3004,"&lt;"&amp;('Paramètres'!$AA$7+1)))</f>
        <v/>
      </c>
      <c r="V334" s="78">
        <f>IF($A334="","",IF(COUNTIF('Mouvements stock'!$D$5:$D$3004,$A334)=0,"",_xlfn.MAXIFS('Mouvements stock'!$B$5:$B$3004,'Mouvements stock'!$D$5:$D$3004,$A334)))</f>
        <v/>
      </c>
    </row>
    <row r="335">
      <c r="A335" s="7" t="n"/>
      <c r="B335" s="7" t="n"/>
      <c r="C335" s="7" t="n"/>
      <c r="D335" s="7" t="n"/>
      <c r="E335" s="7" t="n"/>
      <c r="F335" s="7" t="n"/>
      <c r="G335" s="7" t="n"/>
      <c r="H335" s="7" t="n"/>
      <c r="I335" s="80" t="n"/>
      <c r="J335" s="67" t="n"/>
      <c r="K335" s="68">
        <f>IF($A335="","",SUMIFS('Mouvements stock'!$F$5:$F$3004,'Mouvements stock'!$D$5:$D$3004,$A335,'Mouvements stock'!$C$5:$C$3004,"Entrée")+SUMIFS('Mouvements stock'!$F$5:$F$3004,'Mouvements stock'!$D$5:$D$3004,$A335,'Mouvements stock'!$C$5:$C$3004,"Retour"))</f>
        <v/>
      </c>
      <c r="L335" s="68">
        <f>IF($A335="","",SUMIFS('Mouvements stock'!$F$5:$F$3004,'Mouvements stock'!$D$5:$D$3004,$A335,'Mouvements stock'!$C$5:$C$3004,"Sortie"))</f>
        <v/>
      </c>
      <c r="M335" s="79">
        <f>IF($A335="","",N(J335)+N(K335)-N(L335))</f>
        <v/>
      </c>
      <c r="N335" s="67" t="n"/>
      <c r="O335" s="67" t="n"/>
      <c r="P335" s="67" t="n"/>
      <c r="Q335" s="67" t="n"/>
      <c r="R335" s="70">
        <f>IF($A335="","",MAX(0,M335)*N(I335))</f>
        <v/>
      </c>
      <c r="S335" s="9">
        <f>IF($A335="","",IF(M335&lt;=0,IF(N(P335)&gt;0,"Rupture - en cde","RUPTURE"),IF(M335+N(P335)&lt;=N335,"À COMMANDER",IF(M335&lt;=N335,"Commande en cours","OK"))))</f>
        <v/>
      </c>
      <c r="T335" s="68">
        <f>IF($A335="","",IF(OR(S335="À COMMANDER",S335="RUPTURE"),MAX(1,O335-M335-N(P335)),0))</f>
        <v/>
      </c>
      <c r="U335" s="68">
        <f>IF($A335="","",SUMIFS('Mouvements stock'!$F$5:$F$3004,'Mouvements stock'!$D$5:$D$3004,$A335,'Mouvements stock'!$C$5:$C$3004,"Sortie",'Mouvements stock'!$B$5:$B$3004,"&gt;="&amp;'Paramètres'!$AA$6,'Mouvements stock'!$B$5:$B$3004,"&lt;"&amp;('Paramètres'!$AA$7+1)))</f>
        <v/>
      </c>
      <c r="V335" s="78">
        <f>IF($A335="","",IF(COUNTIF('Mouvements stock'!$D$5:$D$3004,$A335)=0,"",_xlfn.MAXIFS('Mouvements stock'!$B$5:$B$3004,'Mouvements stock'!$D$5:$D$3004,$A335)))</f>
        <v/>
      </c>
    </row>
    <row r="336">
      <c r="A336" s="7" t="n"/>
      <c r="B336" s="7" t="n"/>
      <c r="C336" s="7" t="n"/>
      <c r="D336" s="7" t="n"/>
      <c r="E336" s="7" t="n"/>
      <c r="F336" s="7" t="n"/>
      <c r="G336" s="7" t="n"/>
      <c r="H336" s="7" t="n"/>
      <c r="I336" s="80" t="n"/>
      <c r="J336" s="67" t="n"/>
      <c r="K336" s="68">
        <f>IF($A336="","",SUMIFS('Mouvements stock'!$F$5:$F$3004,'Mouvements stock'!$D$5:$D$3004,$A336,'Mouvements stock'!$C$5:$C$3004,"Entrée")+SUMIFS('Mouvements stock'!$F$5:$F$3004,'Mouvements stock'!$D$5:$D$3004,$A336,'Mouvements stock'!$C$5:$C$3004,"Retour"))</f>
        <v/>
      </c>
      <c r="L336" s="68">
        <f>IF($A336="","",SUMIFS('Mouvements stock'!$F$5:$F$3004,'Mouvements stock'!$D$5:$D$3004,$A336,'Mouvements stock'!$C$5:$C$3004,"Sortie"))</f>
        <v/>
      </c>
      <c r="M336" s="79">
        <f>IF($A336="","",N(J336)+N(K336)-N(L336))</f>
        <v/>
      </c>
      <c r="N336" s="67" t="n"/>
      <c r="O336" s="67" t="n"/>
      <c r="P336" s="67" t="n"/>
      <c r="Q336" s="67" t="n"/>
      <c r="R336" s="70">
        <f>IF($A336="","",MAX(0,M336)*N(I336))</f>
        <v/>
      </c>
      <c r="S336" s="9">
        <f>IF($A336="","",IF(M336&lt;=0,IF(N(P336)&gt;0,"Rupture - en cde","RUPTURE"),IF(M336+N(P336)&lt;=N336,"À COMMANDER",IF(M336&lt;=N336,"Commande en cours","OK"))))</f>
        <v/>
      </c>
      <c r="T336" s="68">
        <f>IF($A336="","",IF(OR(S336="À COMMANDER",S336="RUPTURE"),MAX(1,O336-M336-N(P336)),0))</f>
        <v/>
      </c>
      <c r="U336" s="68">
        <f>IF($A336="","",SUMIFS('Mouvements stock'!$F$5:$F$3004,'Mouvements stock'!$D$5:$D$3004,$A336,'Mouvements stock'!$C$5:$C$3004,"Sortie",'Mouvements stock'!$B$5:$B$3004,"&gt;="&amp;'Paramètres'!$AA$6,'Mouvements stock'!$B$5:$B$3004,"&lt;"&amp;('Paramètres'!$AA$7+1)))</f>
        <v/>
      </c>
      <c r="V336" s="78">
        <f>IF($A336="","",IF(COUNTIF('Mouvements stock'!$D$5:$D$3004,$A336)=0,"",_xlfn.MAXIFS('Mouvements stock'!$B$5:$B$3004,'Mouvements stock'!$D$5:$D$3004,$A336)))</f>
        <v/>
      </c>
    </row>
    <row r="337">
      <c r="A337" s="7" t="n"/>
      <c r="B337" s="7" t="n"/>
      <c r="C337" s="7" t="n"/>
      <c r="D337" s="7" t="n"/>
      <c r="E337" s="7" t="n"/>
      <c r="F337" s="7" t="n"/>
      <c r="G337" s="7" t="n"/>
      <c r="H337" s="7" t="n"/>
      <c r="I337" s="80" t="n"/>
      <c r="J337" s="67" t="n"/>
      <c r="K337" s="68">
        <f>IF($A337="","",SUMIFS('Mouvements stock'!$F$5:$F$3004,'Mouvements stock'!$D$5:$D$3004,$A337,'Mouvements stock'!$C$5:$C$3004,"Entrée")+SUMIFS('Mouvements stock'!$F$5:$F$3004,'Mouvements stock'!$D$5:$D$3004,$A337,'Mouvements stock'!$C$5:$C$3004,"Retour"))</f>
        <v/>
      </c>
      <c r="L337" s="68">
        <f>IF($A337="","",SUMIFS('Mouvements stock'!$F$5:$F$3004,'Mouvements stock'!$D$5:$D$3004,$A337,'Mouvements stock'!$C$5:$C$3004,"Sortie"))</f>
        <v/>
      </c>
      <c r="M337" s="79">
        <f>IF($A337="","",N(J337)+N(K337)-N(L337))</f>
        <v/>
      </c>
      <c r="N337" s="67" t="n"/>
      <c r="O337" s="67" t="n"/>
      <c r="P337" s="67" t="n"/>
      <c r="Q337" s="67" t="n"/>
      <c r="R337" s="70">
        <f>IF($A337="","",MAX(0,M337)*N(I337))</f>
        <v/>
      </c>
      <c r="S337" s="9">
        <f>IF($A337="","",IF(M337&lt;=0,IF(N(P337)&gt;0,"Rupture - en cde","RUPTURE"),IF(M337+N(P337)&lt;=N337,"À COMMANDER",IF(M337&lt;=N337,"Commande en cours","OK"))))</f>
        <v/>
      </c>
      <c r="T337" s="68">
        <f>IF($A337="","",IF(OR(S337="À COMMANDER",S337="RUPTURE"),MAX(1,O337-M337-N(P337)),0))</f>
        <v/>
      </c>
      <c r="U337" s="68">
        <f>IF($A337="","",SUMIFS('Mouvements stock'!$F$5:$F$3004,'Mouvements stock'!$D$5:$D$3004,$A337,'Mouvements stock'!$C$5:$C$3004,"Sortie",'Mouvements stock'!$B$5:$B$3004,"&gt;="&amp;'Paramètres'!$AA$6,'Mouvements stock'!$B$5:$B$3004,"&lt;"&amp;('Paramètres'!$AA$7+1)))</f>
        <v/>
      </c>
      <c r="V337" s="78">
        <f>IF($A337="","",IF(COUNTIF('Mouvements stock'!$D$5:$D$3004,$A337)=0,"",_xlfn.MAXIFS('Mouvements stock'!$B$5:$B$3004,'Mouvements stock'!$D$5:$D$3004,$A337)))</f>
        <v/>
      </c>
    </row>
    <row r="338">
      <c r="A338" s="7" t="n"/>
      <c r="B338" s="7" t="n"/>
      <c r="C338" s="7" t="n"/>
      <c r="D338" s="7" t="n"/>
      <c r="E338" s="7" t="n"/>
      <c r="F338" s="7" t="n"/>
      <c r="G338" s="7" t="n"/>
      <c r="H338" s="7" t="n"/>
      <c r="I338" s="80" t="n"/>
      <c r="J338" s="67" t="n"/>
      <c r="K338" s="68">
        <f>IF($A338="","",SUMIFS('Mouvements stock'!$F$5:$F$3004,'Mouvements stock'!$D$5:$D$3004,$A338,'Mouvements stock'!$C$5:$C$3004,"Entrée")+SUMIFS('Mouvements stock'!$F$5:$F$3004,'Mouvements stock'!$D$5:$D$3004,$A338,'Mouvements stock'!$C$5:$C$3004,"Retour"))</f>
        <v/>
      </c>
      <c r="L338" s="68">
        <f>IF($A338="","",SUMIFS('Mouvements stock'!$F$5:$F$3004,'Mouvements stock'!$D$5:$D$3004,$A338,'Mouvements stock'!$C$5:$C$3004,"Sortie"))</f>
        <v/>
      </c>
      <c r="M338" s="79">
        <f>IF($A338="","",N(J338)+N(K338)-N(L338))</f>
        <v/>
      </c>
      <c r="N338" s="67" t="n"/>
      <c r="O338" s="67" t="n"/>
      <c r="P338" s="67" t="n"/>
      <c r="Q338" s="67" t="n"/>
      <c r="R338" s="70">
        <f>IF($A338="","",MAX(0,M338)*N(I338))</f>
        <v/>
      </c>
      <c r="S338" s="9">
        <f>IF($A338="","",IF(M338&lt;=0,IF(N(P338)&gt;0,"Rupture - en cde","RUPTURE"),IF(M338+N(P338)&lt;=N338,"À COMMANDER",IF(M338&lt;=N338,"Commande en cours","OK"))))</f>
        <v/>
      </c>
      <c r="T338" s="68">
        <f>IF($A338="","",IF(OR(S338="À COMMANDER",S338="RUPTURE"),MAX(1,O338-M338-N(P338)),0))</f>
        <v/>
      </c>
      <c r="U338" s="68">
        <f>IF($A338="","",SUMIFS('Mouvements stock'!$F$5:$F$3004,'Mouvements stock'!$D$5:$D$3004,$A338,'Mouvements stock'!$C$5:$C$3004,"Sortie",'Mouvements stock'!$B$5:$B$3004,"&gt;="&amp;'Paramètres'!$AA$6,'Mouvements stock'!$B$5:$B$3004,"&lt;"&amp;('Paramètres'!$AA$7+1)))</f>
        <v/>
      </c>
      <c r="V338" s="78">
        <f>IF($A338="","",IF(COUNTIF('Mouvements stock'!$D$5:$D$3004,$A338)=0,"",_xlfn.MAXIFS('Mouvements stock'!$B$5:$B$3004,'Mouvements stock'!$D$5:$D$3004,$A338)))</f>
        <v/>
      </c>
    </row>
    <row r="339">
      <c r="A339" s="7" t="n"/>
      <c r="B339" s="7" t="n"/>
      <c r="C339" s="7" t="n"/>
      <c r="D339" s="7" t="n"/>
      <c r="E339" s="7" t="n"/>
      <c r="F339" s="7" t="n"/>
      <c r="G339" s="7" t="n"/>
      <c r="H339" s="7" t="n"/>
      <c r="I339" s="80" t="n"/>
      <c r="J339" s="67" t="n"/>
      <c r="K339" s="68">
        <f>IF($A339="","",SUMIFS('Mouvements stock'!$F$5:$F$3004,'Mouvements stock'!$D$5:$D$3004,$A339,'Mouvements stock'!$C$5:$C$3004,"Entrée")+SUMIFS('Mouvements stock'!$F$5:$F$3004,'Mouvements stock'!$D$5:$D$3004,$A339,'Mouvements stock'!$C$5:$C$3004,"Retour"))</f>
        <v/>
      </c>
      <c r="L339" s="68">
        <f>IF($A339="","",SUMIFS('Mouvements stock'!$F$5:$F$3004,'Mouvements stock'!$D$5:$D$3004,$A339,'Mouvements stock'!$C$5:$C$3004,"Sortie"))</f>
        <v/>
      </c>
      <c r="M339" s="79">
        <f>IF($A339="","",N(J339)+N(K339)-N(L339))</f>
        <v/>
      </c>
      <c r="N339" s="67" t="n"/>
      <c r="O339" s="67" t="n"/>
      <c r="P339" s="67" t="n"/>
      <c r="Q339" s="67" t="n"/>
      <c r="R339" s="70">
        <f>IF($A339="","",MAX(0,M339)*N(I339))</f>
        <v/>
      </c>
      <c r="S339" s="9">
        <f>IF($A339="","",IF(M339&lt;=0,IF(N(P339)&gt;0,"Rupture - en cde","RUPTURE"),IF(M339+N(P339)&lt;=N339,"À COMMANDER",IF(M339&lt;=N339,"Commande en cours","OK"))))</f>
        <v/>
      </c>
      <c r="T339" s="68">
        <f>IF($A339="","",IF(OR(S339="À COMMANDER",S339="RUPTURE"),MAX(1,O339-M339-N(P339)),0))</f>
        <v/>
      </c>
      <c r="U339" s="68">
        <f>IF($A339="","",SUMIFS('Mouvements stock'!$F$5:$F$3004,'Mouvements stock'!$D$5:$D$3004,$A339,'Mouvements stock'!$C$5:$C$3004,"Sortie",'Mouvements stock'!$B$5:$B$3004,"&gt;="&amp;'Paramètres'!$AA$6,'Mouvements stock'!$B$5:$B$3004,"&lt;"&amp;('Paramètres'!$AA$7+1)))</f>
        <v/>
      </c>
      <c r="V339" s="78">
        <f>IF($A339="","",IF(COUNTIF('Mouvements stock'!$D$5:$D$3004,$A339)=0,"",_xlfn.MAXIFS('Mouvements stock'!$B$5:$B$3004,'Mouvements stock'!$D$5:$D$3004,$A339)))</f>
        <v/>
      </c>
    </row>
    <row r="340">
      <c r="A340" s="7" t="n"/>
      <c r="B340" s="7" t="n"/>
      <c r="C340" s="7" t="n"/>
      <c r="D340" s="7" t="n"/>
      <c r="E340" s="7" t="n"/>
      <c r="F340" s="7" t="n"/>
      <c r="G340" s="7" t="n"/>
      <c r="H340" s="7" t="n"/>
      <c r="I340" s="80" t="n"/>
      <c r="J340" s="67" t="n"/>
      <c r="K340" s="68">
        <f>IF($A340="","",SUMIFS('Mouvements stock'!$F$5:$F$3004,'Mouvements stock'!$D$5:$D$3004,$A340,'Mouvements stock'!$C$5:$C$3004,"Entrée")+SUMIFS('Mouvements stock'!$F$5:$F$3004,'Mouvements stock'!$D$5:$D$3004,$A340,'Mouvements stock'!$C$5:$C$3004,"Retour"))</f>
        <v/>
      </c>
      <c r="L340" s="68">
        <f>IF($A340="","",SUMIFS('Mouvements stock'!$F$5:$F$3004,'Mouvements stock'!$D$5:$D$3004,$A340,'Mouvements stock'!$C$5:$C$3004,"Sortie"))</f>
        <v/>
      </c>
      <c r="M340" s="79">
        <f>IF($A340="","",N(J340)+N(K340)-N(L340))</f>
        <v/>
      </c>
      <c r="N340" s="67" t="n"/>
      <c r="O340" s="67" t="n"/>
      <c r="P340" s="67" t="n"/>
      <c r="Q340" s="67" t="n"/>
      <c r="R340" s="70">
        <f>IF($A340="","",MAX(0,M340)*N(I340))</f>
        <v/>
      </c>
      <c r="S340" s="9">
        <f>IF($A340="","",IF(M340&lt;=0,IF(N(P340)&gt;0,"Rupture - en cde","RUPTURE"),IF(M340+N(P340)&lt;=N340,"À COMMANDER",IF(M340&lt;=N340,"Commande en cours","OK"))))</f>
        <v/>
      </c>
      <c r="T340" s="68">
        <f>IF($A340="","",IF(OR(S340="À COMMANDER",S340="RUPTURE"),MAX(1,O340-M340-N(P340)),0))</f>
        <v/>
      </c>
      <c r="U340" s="68">
        <f>IF($A340="","",SUMIFS('Mouvements stock'!$F$5:$F$3004,'Mouvements stock'!$D$5:$D$3004,$A340,'Mouvements stock'!$C$5:$C$3004,"Sortie",'Mouvements stock'!$B$5:$B$3004,"&gt;="&amp;'Paramètres'!$AA$6,'Mouvements stock'!$B$5:$B$3004,"&lt;"&amp;('Paramètres'!$AA$7+1)))</f>
        <v/>
      </c>
      <c r="V340" s="78">
        <f>IF($A340="","",IF(COUNTIF('Mouvements stock'!$D$5:$D$3004,$A340)=0,"",_xlfn.MAXIFS('Mouvements stock'!$B$5:$B$3004,'Mouvements stock'!$D$5:$D$3004,$A340)))</f>
        <v/>
      </c>
    </row>
    <row r="341">
      <c r="A341" s="7" t="n"/>
      <c r="B341" s="7" t="n"/>
      <c r="C341" s="7" t="n"/>
      <c r="D341" s="7" t="n"/>
      <c r="E341" s="7" t="n"/>
      <c r="F341" s="7" t="n"/>
      <c r="G341" s="7" t="n"/>
      <c r="H341" s="7" t="n"/>
      <c r="I341" s="80" t="n"/>
      <c r="J341" s="67" t="n"/>
      <c r="K341" s="68">
        <f>IF($A341="","",SUMIFS('Mouvements stock'!$F$5:$F$3004,'Mouvements stock'!$D$5:$D$3004,$A341,'Mouvements stock'!$C$5:$C$3004,"Entrée")+SUMIFS('Mouvements stock'!$F$5:$F$3004,'Mouvements stock'!$D$5:$D$3004,$A341,'Mouvements stock'!$C$5:$C$3004,"Retour"))</f>
        <v/>
      </c>
      <c r="L341" s="68">
        <f>IF($A341="","",SUMIFS('Mouvements stock'!$F$5:$F$3004,'Mouvements stock'!$D$5:$D$3004,$A341,'Mouvements stock'!$C$5:$C$3004,"Sortie"))</f>
        <v/>
      </c>
      <c r="M341" s="79">
        <f>IF($A341="","",N(J341)+N(K341)-N(L341))</f>
        <v/>
      </c>
      <c r="N341" s="67" t="n"/>
      <c r="O341" s="67" t="n"/>
      <c r="P341" s="67" t="n"/>
      <c r="Q341" s="67" t="n"/>
      <c r="R341" s="70">
        <f>IF($A341="","",MAX(0,M341)*N(I341))</f>
        <v/>
      </c>
      <c r="S341" s="9">
        <f>IF($A341="","",IF(M341&lt;=0,IF(N(P341)&gt;0,"Rupture - en cde","RUPTURE"),IF(M341+N(P341)&lt;=N341,"À COMMANDER",IF(M341&lt;=N341,"Commande en cours","OK"))))</f>
        <v/>
      </c>
      <c r="T341" s="68">
        <f>IF($A341="","",IF(OR(S341="À COMMANDER",S341="RUPTURE"),MAX(1,O341-M341-N(P341)),0))</f>
        <v/>
      </c>
      <c r="U341" s="68">
        <f>IF($A341="","",SUMIFS('Mouvements stock'!$F$5:$F$3004,'Mouvements stock'!$D$5:$D$3004,$A341,'Mouvements stock'!$C$5:$C$3004,"Sortie",'Mouvements stock'!$B$5:$B$3004,"&gt;="&amp;'Paramètres'!$AA$6,'Mouvements stock'!$B$5:$B$3004,"&lt;"&amp;('Paramètres'!$AA$7+1)))</f>
        <v/>
      </c>
      <c r="V341" s="78">
        <f>IF($A341="","",IF(COUNTIF('Mouvements stock'!$D$5:$D$3004,$A341)=0,"",_xlfn.MAXIFS('Mouvements stock'!$B$5:$B$3004,'Mouvements stock'!$D$5:$D$3004,$A341)))</f>
        <v/>
      </c>
    </row>
    <row r="342">
      <c r="A342" s="7" t="n"/>
      <c r="B342" s="7" t="n"/>
      <c r="C342" s="7" t="n"/>
      <c r="D342" s="7" t="n"/>
      <c r="E342" s="7" t="n"/>
      <c r="F342" s="7" t="n"/>
      <c r="G342" s="7" t="n"/>
      <c r="H342" s="7" t="n"/>
      <c r="I342" s="80" t="n"/>
      <c r="J342" s="67" t="n"/>
      <c r="K342" s="68">
        <f>IF($A342="","",SUMIFS('Mouvements stock'!$F$5:$F$3004,'Mouvements stock'!$D$5:$D$3004,$A342,'Mouvements stock'!$C$5:$C$3004,"Entrée")+SUMIFS('Mouvements stock'!$F$5:$F$3004,'Mouvements stock'!$D$5:$D$3004,$A342,'Mouvements stock'!$C$5:$C$3004,"Retour"))</f>
        <v/>
      </c>
      <c r="L342" s="68">
        <f>IF($A342="","",SUMIFS('Mouvements stock'!$F$5:$F$3004,'Mouvements stock'!$D$5:$D$3004,$A342,'Mouvements stock'!$C$5:$C$3004,"Sortie"))</f>
        <v/>
      </c>
      <c r="M342" s="79">
        <f>IF($A342="","",N(J342)+N(K342)-N(L342))</f>
        <v/>
      </c>
      <c r="N342" s="67" t="n"/>
      <c r="O342" s="67" t="n"/>
      <c r="P342" s="67" t="n"/>
      <c r="Q342" s="67" t="n"/>
      <c r="R342" s="70">
        <f>IF($A342="","",MAX(0,M342)*N(I342))</f>
        <v/>
      </c>
      <c r="S342" s="9">
        <f>IF($A342="","",IF(M342&lt;=0,IF(N(P342)&gt;0,"Rupture - en cde","RUPTURE"),IF(M342+N(P342)&lt;=N342,"À COMMANDER",IF(M342&lt;=N342,"Commande en cours","OK"))))</f>
        <v/>
      </c>
      <c r="T342" s="68">
        <f>IF($A342="","",IF(OR(S342="À COMMANDER",S342="RUPTURE"),MAX(1,O342-M342-N(P342)),0))</f>
        <v/>
      </c>
      <c r="U342" s="68">
        <f>IF($A342="","",SUMIFS('Mouvements stock'!$F$5:$F$3004,'Mouvements stock'!$D$5:$D$3004,$A342,'Mouvements stock'!$C$5:$C$3004,"Sortie",'Mouvements stock'!$B$5:$B$3004,"&gt;="&amp;'Paramètres'!$AA$6,'Mouvements stock'!$B$5:$B$3004,"&lt;"&amp;('Paramètres'!$AA$7+1)))</f>
        <v/>
      </c>
      <c r="V342" s="78">
        <f>IF($A342="","",IF(COUNTIF('Mouvements stock'!$D$5:$D$3004,$A342)=0,"",_xlfn.MAXIFS('Mouvements stock'!$B$5:$B$3004,'Mouvements stock'!$D$5:$D$3004,$A342)))</f>
        <v/>
      </c>
    </row>
    <row r="343">
      <c r="A343" s="7" t="n"/>
      <c r="B343" s="7" t="n"/>
      <c r="C343" s="7" t="n"/>
      <c r="D343" s="7" t="n"/>
      <c r="E343" s="7" t="n"/>
      <c r="F343" s="7" t="n"/>
      <c r="G343" s="7" t="n"/>
      <c r="H343" s="7" t="n"/>
      <c r="I343" s="80" t="n"/>
      <c r="J343" s="67" t="n"/>
      <c r="K343" s="68">
        <f>IF($A343="","",SUMIFS('Mouvements stock'!$F$5:$F$3004,'Mouvements stock'!$D$5:$D$3004,$A343,'Mouvements stock'!$C$5:$C$3004,"Entrée")+SUMIFS('Mouvements stock'!$F$5:$F$3004,'Mouvements stock'!$D$5:$D$3004,$A343,'Mouvements stock'!$C$5:$C$3004,"Retour"))</f>
        <v/>
      </c>
      <c r="L343" s="68">
        <f>IF($A343="","",SUMIFS('Mouvements stock'!$F$5:$F$3004,'Mouvements stock'!$D$5:$D$3004,$A343,'Mouvements stock'!$C$5:$C$3004,"Sortie"))</f>
        <v/>
      </c>
      <c r="M343" s="79">
        <f>IF($A343="","",N(J343)+N(K343)-N(L343))</f>
        <v/>
      </c>
      <c r="N343" s="67" t="n"/>
      <c r="O343" s="67" t="n"/>
      <c r="P343" s="67" t="n"/>
      <c r="Q343" s="67" t="n"/>
      <c r="R343" s="70">
        <f>IF($A343="","",MAX(0,M343)*N(I343))</f>
        <v/>
      </c>
      <c r="S343" s="9">
        <f>IF($A343="","",IF(M343&lt;=0,IF(N(P343)&gt;0,"Rupture - en cde","RUPTURE"),IF(M343+N(P343)&lt;=N343,"À COMMANDER",IF(M343&lt;=N343,"Commande en cours","OK"))))</f>
        <v/>
      </c>
      <c r="T343" s="68">
        <f>IF($A343="","",IF(OR(S343="À COMMANDER",S343="RUPTURE"),MAX(1,O343-M343-N(P343)),0))</f>
        <v/>
      </c>
      <c r="U343" s="68">
        <f>IF($A343="","",SUMIFS('Mouvements stock'!$F$5:$F$3004,'Mouvements stock'!$D$5:$D$3004,$A343,'Mouvements stock'!$C$5:$C$3004,"Sortie",'Mouvements stock'!$B$5:$B$3004,"&gt;="&amp;'Paramètres'!$AA$6,'Mouvements stock'!$B$5:$B$3004,"&lt;"&amp;('Paramètres'!$AA$7+1)))</f>
        <v/>
      </c>
      <c r="V343" s="78">
        <f>IF($A343="","",IF(COUNTIF('Mouvements stock'!$D$5:$D$3004,$A343)=0,"",_xlfn.MAXIFS('Mouvements stock'!$B$5:$B$3004,'Mouvements stock'!$D$5:$D$3004,$A343)))</f>
        <v/>
      </c>
    </row>
    <row r="344">
      <c r="A344" s="7" t="n"/>
      <c r="B344" s="7" t="n"/>
      <c r="C344" s="7" t="n"/>
      <c r="D344" s="7" t="n"/>
      <c r="E344" s="7" t="n"/>
      <c r="F344" s="7" t="n"/>
      <c r="G344" s="7" t="n"/>
      <c r="H344" s="7" t="n"/>
      <c r="I344" s="80" t="n"/>
      <c r="J344" s="67" t="n"/>
      <c r="K344" s="68">
        <f>IF($A344="","",SUMIFS('Mouvements stock'!$F$5:$F$3004,'Mouvements stock'!$D$5:$D$3004,$A344,'Mouvements stock'!$C$5:$C$3004,"Entrée")+SUMIFS('Mouvements stock'!$F$5:$F$3004,'Mouvements stock'!$D$5:$D$3004,$A344,'Mouvements stock'!$C$5:$C$3004,"Retour"))</f>
        <v/>
      </c>
      <c r="L344" s="68">
        <f>IF($A344="","",SUMIFS('Mouvements stock'!$F$5:$F$3004,'Mouvements stock'!$D$5:$D$3004,$A344,'Mouvements stock'!$C$5:$C$3004,"Sortie"))</f>
        <v/>
      </c>
      <c r="M344" s="79">
        <f>IF($A344="","",N(J344)+N(K344)-N(L344))</f>
        <v/>
      </c>
      <c r="N344" s="67" t="n"/>
      <c r="O344" s="67" t="n"/>
      <c r="P344" s="67" t="n"/>
      <c r="Q344" s="67" t="n"/>
      <c r="R344" s="70">
        <f>IF($A344="","",MAX(0,M344)*N(I344))</f>
        <v/>
      </c>
      <c r="S344" s="9">
        <f>IF($A344="","",IF(M344&lt;=0,IF(N(P344)&gt;0,"Rupture - en cde","RUPTURE"),IF(M344+N(P344)&lt;=N344,"À COMMANDER",IF(M344&lt;=N344,"Commande en cours","OK"))))</f>
        <v/>
      </c>
      <c r="T344" s="68">
        <f>IF($A344="","",IF(OR(S344="À COMMANDER",S344="RUPTURE"),MAX(1,O344-M344-N(P344)),0))</f>
        <v/>
      </c>
      <c r="U344" s="68">
        <f>IF($A344="","",SUMIFS('Mouvements stock'!$F$5:$F$3004,'Mouvements stock'!$D$5:$D$3004,$A344,'Mouvements stock'!$C$5:$C$3004,"Sortie",'Mouvements stock'!$B$5:$B$3004,"&gt;="&amp;'Paramètres'!$AA$6,'Mouvements stock'!$B$5:$B$3004,"&lt;"&amp;('Paramètres'!$AA$7+1)))</f>
        <v/>
      </c>
      <c r="V344" s="78">
        <f>IF($A344="","",IF(COUNTIF('Mouvements stock'!$D$5:$D$3004,$A344)=0,"",_xlfn.MAXIFS('Mouvements stock'!$B$5:$B$3004,'Mouvements stock'!$D$5:$D$3004,$A344)))</f>
        <v/>
      </c>
    </row>
    <row r="345">
      <c r="A345" s="7" t="n"/>
      <c r="B345" s="7" t="n"/>
      <c r="C345" s="7" t="n"/>
      <c r="D345" s="7" t="n"/>
      <c r="E345" s="7" t="n"/>
      <c r="F345" s="7" t="n"/>
      <c r="G345" s="7" t="n"/>
      <c r="H345" s="7" t="n"/>
      <c r="I345" s="80" t="n"/>
      <c r="J345" s="67" t="n"/>
      <c r="K345" s="68">
        <f>IF($A345="","",SUMIFS('Mouvements stock'!$F$5:$F$3004,'Mouvements stock'!$D$5:$D$3004,$A345,'Mouvements stock'!$C$5:$C$3004,"Entrée")+SUMIFS('Mouvements stock'!$F$5:$F$3004,'Mouvements stock'!$D$5:$D$3004,$A345,'Mouvements stock'!$C$5:$C$3004,"Retour"))</f>
        <v/>
      </c>
      <c r="L345" s="68">
        <f>IF($A345="","",SUMIFS('Mouvements stock'!$F$5:$F$3004,'Mouvements stock'!$D$5:$D$3004,$A345,'Mouvements stock'!$C$5:$C$3004,"Sortie"))</f>
        <v/>
      </c>
      <c r="M345" s="79">
        <f>IF($A345="","",N(J345)+N(K345)-N(L345))</f>
        <v/>
      </c>
      <c r="N345" s="67" t="n"/>
      <c r="O345" s="67" t="n"/>
      <c r="P345" s="67" t="n"/>
      <c r="Q345" s="67" t="n"/>
      <c r="R345" s="70">
        <f>IF($A345="","",MAX(0,M345)*N(I345))</f>
        <v/>
      </c>
      <c r="S345" s="9">
        <f>IF($A345="","",IF(M345&lt;=0,IF(N(P345)&gt;0,"Rupture - en cde","RUPTURE"),IF(M345+N(P345)&lt;=N345,"À COMMANDER",IF(M345&lt;=N345,"Commande en cours","OK"))))</f>
        <v/>
      </c>
      <c r="T345" s="68">
        <f>IF($A345="","",IF(OR(S345="À COMMANDER",S345="RUPTURE"),MAX(1,O345-M345-N(P345)),0))</f>
        <v/>
      </c>
      <c r="U345" s="68">
        <f>IF($A345="","",SUMIFS('Mouvements stock'!$F$5:$F$3004,'Mouvements stock'!$D$5:$D$3004,$A345,'Mouvements stock'!$C$5:$C$3004,"Sortie",'Mouvements stock'!$B$5:$B$3004,"&gt;="&amp;'Paramètres'!$AA$6,'Mouvements stock'!$B$5:$B$3004,"&lt;"&amp;('Paramètres'!$AA$7+1)))</f>
        <v/>
      </c>
      <c r="V345" s="78">
        <f>IF($A345="","",IF(COUNTIF('Mouvements stock'!$D$5:$D$3004,$A345)=0,"",_xlfn.MAXIFS('Mouvements stock'!$B$5:$B$3004,'Mouvements stock'!$D$5:$D$3004,$A345)))</f>
        <v/>
      </c>
    </row>
    <row r="346">
      <c r="A346" s="7" t="n"/>
      <c r="B346" s="7" t="n"/>
      <c r="C346" s="7" t="n"/>
      <c r="D346" s="7" t="n"/>
      <c r="E346" s="7" t="n"/>
      <c r="F346" s="7" t="n"/>
      <c r="G346" s="7" t="n"/>
      <c r="H346" s="7" t="n"/>
      <c r="I346" s="80" t="n"/>
      <c r="J346" s="67" t="n"/>
      <c r="K346" s="68">
        <f>IF($A346="","",SUMIFS('Mouvements stock'!$F$5:$F$3004,'Mouvements stock'!$D$5:$D$3004,$A346,'Mouvements stock'!$C$5:$C$3004,"Entrée")+SUMIFS('Mouvements stock'!$F$5:$F$3004,'Mouvements stock'!$D$5:$D$3004,$A346,'Mouvements stock'!$C$5:$C$3004,"Retour"))</f>
        <v/>
      </c>
      <c r="L346" s="68">
        <f>IF($A346="","",SUMIFS('Mouvements stock'!$F$5:$F$3004,'Mouvements stock'!$D$5:$D$3004,$A346,'Mouvements stock'!$C$5:$C$3004,"Sortie"))</f>
        <v/>
      </c>
      <c r="M346" s="79">
        <f>IF($A346="","",N(J346)+N(K346)-N(L346))</f>
        <v/>
      </c>
      <c r="N346" s="67" t="n"/>
      <c r="O346" s="67" t="n"/>
      <c r="P346" s="67" t="n"/>
      <c r="Q346" s="67" t="n"/>
      <c r="R346" s="70">
        <f>IF($A346="","",MAX(0,M346)*N(I346))</f>
        <v/>
      </c>
      <c r="S346" s="9">
        <f>IF($A346="","",IF(M346&lt;=0,IF(N(P346)&gt;0,"Rupture - en cde","RUPTURE"),IF(M346+N(P346)&lt;=N346,"À COMMANDER",IF(M346&lt;=N346,"Commande en cours","OK"))))</f>
        <v/>
      </c>
      <c r="T346" s="68">
        <f>IF($A346="","",IF(OR(S346="À COMMANDER",S346="RUPTURE"),MAX(1,O346-M346-N(P346)),0))</f>
        <v/>
      </c>
      <c r="U346" s="68">
        <f>IF($A346="","",SUMIFS('Mouvements stock'!$F$5:$F$3004,'Mouvements stock'!$D$5:$D$3004,$A346,'Mouvements stock'!$C$5:$C$3004,"Sortie",'Mouvements stock'!$B$5:$B$3004,"&gt;="&amp;'Paramètres'!$AA$6,'Mouvements stock'!$B$5:$B$3004,"&lt;"&amp;('Paramètres'!$AA$7+1)))</f>
        <v/>
      </c>
      <c r="V346" s="78">
        <f>IF($A346="","",IF(COUNTIF('Mouvements stock'!$D$5:$D$3004,$A346)=0,"",_xlfn.MAXIFS('Mouvements stock'!$B$5:$B$3004,'Mouvements stock'!$D$5:$D$3004,$A346)))</f>
        <v/>
      </c>
    </row>
    <row r="347">
      <c r="A347" s="7" t="n"/>
      <c r="B347" s="7" t="n"/>
      <c r="C347" s="7" t="n"/>
      <c r="D347" s="7" t="n"/>
      <c r="E347" s="7" t="n"/>
      <c r="F347" s="7" t="n"/>
      <c r="G347" s="7" t="n"/>
      <c r="H347" s="7" t="n"/>
      <c r="I347" s="80" t="n"/>
      <c r="J347" s="67" t="n"/>
      <c r="K347" s="68">
        <f>IF($A347="","",SUMIFS('Mouvements stock'!$F$5:$F$3004,'Mouvements stock'!$D$5:$D$3004,$A347,'Mouvements stock'!$C$5:$C$3004,"Entrée")+SUMIFS('Mouvements stock'!$F$5:$F$3004,'Mouvements stock'!$D$5:$D$3004,$A347,'Mouvements stock'!$C$5:$C$3004,"Retour"))</f>
        <v/>
      </c>
      <c r="L347" s="68">
        <f>IF($A347="","",SUMIFS('Mouvements stock'!$F$5:$F$3004,'Mouvements stock'!$D$5:$D$3004,$A347,'Mouvements stock'!$C$5:$C$3004,"Sortie"))</f>
        <v/>
      </c>
      <c r="M347" s="79">
        <f>IF($A347="","",N(J347)+N(K347)-N(L347))</f>
        <v/>
      </c>
      <c r="N347" s="67" t="n"/>
      <c r="O347" s="67" t="n"/>
      <c r="P347" s="67" t="n"/>
      <c r="Q347" s="67" t="n"/>
      <c r="R347" s="70">
        <f>IF($A347="","",MAX(0,M347)*N(I347))</f>
        <v/>
      </c>
      <c r="S347" s="9">
        <f>IF($A347="","",IF(M347&lt;=0,IF(N(P347)&gt;0,"Rupture - en cde","RUPTURE"),IF(M347+N(P347)&lt;=N347,"À COMMANDER",IF(M347&lt;=N347,"Commande en cours","OK"))))</f>
        <v/>
      </c>
      <c r="T347" s="68">
        <f>IF($A347="","",IF(OR(S347="À COMMANDER",S347="RUPTURE"),MAX(1,O347-M347-N(P347)),0))</f>
        <v/>
      </c>
      <c r="U347" s="68">
        <f>IF($A347="","",SUMIFS('Mouvements stock'!$F$5:$F$3004,'Mouvements stock'!$D$5:$D$3004,$A347,'Mouvements stock'!$C$5:$C$3004,"Sortie",'Mouvements stock'!$B$5:$B$3004,"&gt;="&amp;'Paramètres'!$AA$6,'Mouvements stock'!$B$5:$B$3004,"&lt;"&amp;('Paramètres'!$AA$7+1)))</f>
        <v/>
      </c>
      <c r="V347" s="78">
        <f>IF($A347="","",IF(COUNTIF('Mouvements stock'!$D$5:$D$3004,$A347)=0,"",_xlfn.MAXIFS('Mouvements stock'!$B$5:$B$3004,'Mouvements stock'!$D$5:$D$3004,$A347)))</f>
        <v/>
      </c>
    </row>
    <row r="348">
      <c r="A348" s="7" t="n"/>
      <c r="B348" s="7" t="n"/>
      <c r="C348" s="7" t="n"/>
      <c r="D348" s="7" t="n"/>
      <c r="E348" s="7" t="n"/>
      <c r="F348" s="7" t="n"/>
      <c r="G348" s="7" t="n"/>
      <c r="H348" s="7" t="n"/>
      <c r="I348" s="80" t="n"/>
      <c r="J348" s="67" t="n"/>
      <c r="K348" s="68">
        <f>IF($A348="","",SUMIFS('Mouvements stock'!$F$5:$F$3004,'Mouvements stock'!$D$5:$D$3004,$A348,'Mouvements stock'!$C$5:$C$3004,"Entrée")+SUMIFS('Mouvements stock'!$F$5:$F$3004,'Mouvements stock'!$D$5:$D$3004,$A348,'Mouvements stock'!$C$5:$C$3004,"Retour"))</f>
        <v/>
      </c>
      <c r="L348" s="68">
        <f>IF($A348="","",SUMIFS('Mouvements stock'!$F$5:$F$3004,'Mouvements stock'!$D$5:$D$3004,$A348,'Mouvements stock'!$C$5:$C$3004,"Sortie"))</f>
        <v/>
      </c>
      <c r="M348" s="79">
        <f>IF($A348="","",N(J348)+N(K348)-N(L348))</f>
        <v/>
      </c>
      <c r="N348" s="67" t="n"/>
      <c r="O348" s="67" t="n"/>
      <c r="P348" s="67" t="n"/>
      <c r="Q348" s="67" t="n"/>
      <c r="R348" s="70">
        <f>IF($A348="","",MAX(0,M348)*N(I348))</f>
        <v/>
      </c>
      <c r="S348" s="9">
        <f>IF($A348="","",IF(M348&lt;=0,IF(N(P348)&gt;0,"Rupture - en cde","RUPTURE"),IF(M348+N(P348)&lt;=N348,"À COMMANDER",IF(M348&lt;=N348,"Commande en cours","OK"))))</f>
        <v/>
      </c>
      <c r="T348" s="68">
        <f>IF($A348="","",IF(OR(S348="À COMMANDER",S348="RUPTURE"),MAX(1,O348-M348-N(P348)),0))</f>
        <v/>
      </c>
      <c r="U348" s="68">
        <f>IF($A348="","",SUMIFS('Mouvements stock'!$F$5:$F$3004,'Mouvements stock'!$D$5:$D$3004,$A348,'Mouvements stock'!$C$5:$C$3004,"Sortie",'Mouvements stock'!$B$5:$B$3004,"&gt;="&amp;'Paramètres'!$AA$6,'Mouvements stock'!$B$5:$B$3004,"&lt;"&amp;('Paramètres'!$AA$7+1)))</f>
        <v/>
      </c>
      <c r="V348" s="78">
        <f>IF($A348="","",IF(COUNTIF('Mouvements stock'!$D$5:$D$3004,$A348)=0,"",_xlfn.MAXIFS('Mouvements stock'!$B$5:$B$3004,'Mouvements stock'!$D$5:$D$3004,$A348)))</f>
        <v/>
      </c>
    </row>
    <row r="349">
      <c r="A349" s="7" t="n"/>
      <c r="B349" s="7" t="n"/>
      <c r="C349" s="7" t="n"/>
      <c r="D349" s="7" t="n"/>
      <c r="E349" s="7" t="n"/>
      <c r="F349" s="7" t="n"/>
      <c r="G349" s="7" t="n"/>
      <c r="H349" s="7" t="n"/>
      <c r="I349" s="80" t="n"/>
      <c r="J349" s="67" t="n"/>
      <c r="K349" s="68">
        <f>IF($A349="","",SUMIFS('Mouvements stock'!$F$5:$F$3004,'Mouvements stock'!$D$5:$D$3004,$A349,'Mouvements stock'!$C$5:$C$3004,"Entrée")+SUMIFS('Mouvements stock'!$F$5:$F$3004,'Mouvements stock'!$D$5:$D$3004,$A349,'Mouvements stock'!$C$5:$C$3004,"Retour"))</f>
        <v/>
      </c>
      <c r="L349" s="68">
        <f>IF($A349="","",SUMIFS('Mouvements stock'!$F$5:$F$3004,'Mouvements stock'!$D$5:$D$3004,$A349,'Mouvements stock'!$C$5:$C$3004,"Sortie"))</f>
        <v/>
      </c>
      <c r="M349" s="79">
        <f>IF($A349="","",N(J349)+N(K349)-N(L349))</f>
        <v/>
      </c>
      <c r="N349" s="67" t="n"/>
      <c r="O349" s="67" t="n"/>
      <c r="P349" s="67" t="n"/>
      <c r="Q349" s="67" t="n"/>
      <c r="R349" s="70">
        <f>IF($A349="","",MAX(0,M349)*N(I349))</f>
        <v/>
      </c>
      <c r="S349" s="9">
        <f>IF($A349="","",IF(M349&lt;=0,IF(N(P349)&gt;0,"Rupture - en cde","RUPTURE"),IF(M349+N(P349)&lt;=N349,"À COMMANDER",IF(M349&lt;=N349,"Commande en cours","OK"))))</f>
        <v/>
      </c>
      <c r="T349" s="68">
        <f>IF($A349="","",IF(OR(S349="À COMMANDER",S349="RUPTURE"),MAX(1,O349-M349-N(P349)),0))</f>
        <v/>
      </c>
      <c r="U349" s="68">
        <f>IF($A349="","",SUMIFS('Mouvements stock'!$F$5:$F$3004,'Mouvements stock'!$D$5:$D$3004,$A349,'Mouvements stock'!$C$5:$C$3004,"Sortie",'Mouvements stock'!$B$5:$B$3004,"&gt;="&amp;'Paramètres'!$AA$6,'Mouvements stock'!$B$5:$B$3004,"&lt;"&amp;('Paramètres'!$AA$7+1)))</f>
        <v/>
      </c>
      <c r="V349" s="78">
        <f>IF($A349="","",IF(COUNTIF('Mouvements stock'!$D$5:$D$3004,$A349)=0,"",_xlfn.MAXIFS('Mouvements stock'!$B$5:$B$3004,'Mouvements stock'!$D$5:$D$3004,$A349)))</f>
        <v/>
      </c>
    </row>
    <row r="350">
      <c r="A350" s="7" t="n"/>
      <c r="B350" s="7" t="n"/>
      <c r="C350" s="7" t="n"/>
      <c r="D350" s="7" t="n"/>
      <c r="E350" s="7" t="n"/>
      <c r="F350" s="7" t="n"/>
      <c r="G350" s="7" t="n"/>
      <c r="H350" s="7" t="n"/>
      <c r="I350" s="80" t="n"/>
      <c r="J350" s="67" t="n"/>
      <c r="K350" s="68">
        <f>IF($A350="","",SUMIFS('Mouvements stock'!$F$5:$F$3004,'Mouvements stock'!$D$5:$D$3004,$A350,'Mouvements stock'!$C$5:$C$3004,"Entrée")+SUMIFS('Mouvements stock'!$F$5:$F$3004,'Mouvements stock'!$D$5:$D$3004,$A350,'Mouvements stock'!$C$5:$C$3004,"Retour"))</f>
        <v/>
      </c>
      <c r="L350" s="68">
        <f>IF($A350="","",SUMIFS('Mouvements stock'!$F$5:$F$3004,'Mouvements stock'!$D$5:$D$3004,$A350,'Mouvements stock'!$C$5:$C$3004,"Sortie"))</f>
        <v/>
      </c>
      <c r="M350" s="79">
        <f>IF($A350="","",N(J350)+N(K350)-N(L350))</f>
        <v/>
      </c>
      <c r="N350" s="67" t="n"/>
      <c r="O350" s="67" t="n"/>
      <c r="P350" s="67" t="n"/>
      <c r="Q350" s="67" t="n"/>
      <c r="R350" s="70">
        <f>IF($A350="","",MAX(0,M350)*N(I350))</f>
        <v/>
      </c>
      <c r="S350" s="9">
        <f>IF($A350="","",IF(M350&lt;=0,IF(N(P350)&gt;0,"Rupture - en cde","RUPTURE"),IF(M350+N(P350)&lt;=N350,"À COMMANDER",IF(M350&lt;=N350,"Commande en cours","OK"))))</f>
        <v/>
      </c>
      <c r="T350" s="68">
        <f>IF($A350="","",IF(OR(S350="À COMMANDER",S350="RUPTURE"),MAX(1,O350-M350-N(P350)),0))</f>
        <v/>
      </c>
      <c r="U350" s="68">
        <f>IF($A350="","",SUMIFS('Mouvements stock'!$F$5:$F$3004,'Mouvements stock'!$D$5:$D$3004,$A350,'Mouvements stock'!$C$5:$C$3004,"Sortie",'Mouvements stock'!$B$5:$B$3004,"&gt;="&amp;'Paramètres'!$AA$6,'Mouvements stock'!$B$5:$B$3004,"&lt;"&amp;('Paramètres'!$AA$7+1)))</f>
        <v/>
      </c>
      <c r="V350" s="78">
        <f>IF($A350="","",IF(COUNTIF('Mouvements stock'!$D$5:$D$3004,$A350)=0,"",_xlfn.MAXIFS('Mouvements stock'!$B$5:$B$3004,'Mouvements stock'!$D$5:$D$3004,$A350)))</f>
        <v/>
      </c>
    </row>
    <row r="351">
      <c r="A351" s="7" t="n"/>
      <c r="B351" s="7" t="n"/>
      <c r="C351" s="7" t="n"/>
      <c r="D351" s="7" t="n"/>
      <c r="E351" s="7" t="n"/>
      <c r="F351" s="7" t="n"/>
      <c r="G351" s="7" t="n"/>
      <c r="H351" s="7" t="n"/>
      <c r="I351" s="80" t="n"/>
      <c r="J351" s="67" t="n"/>
      <c r="K351" s="68">
        <f>IF($A351="","",SUMIFS('Mouvements stock'!$F$5:$F$3004,'Mouvements stock'!$D$5:$D$3004,$A351,'Mouvements stock'!$C$5:$C$3004,"Entrée")+SUMIFS('Mouvements stock'!$F$5:$F$3004,'Mouvements stock'!$D$5:$D$3004,$A351,'Mouvements stock'!$C$5:$C$3004,"Retour"))</f>
        <v/>
      </c>
      <c r="L351" s="68">
        <f>IF($A351="","",SUMIFS('Mouvements stock'!$F$5:$F$3004,'Mouvements stock'!$D$5:$D$3004,$A351,'Mouvements stock'!$C$5:$C$3004,"Sortie"))</f>
        <v/>
      </c>
      <c r="M351" s="79">
        <f>IF($A351="","",N(J351)+N(K351)-N(L351))</f>
        <v/>
      </c>
      <c r="N351" s="67" t="n"/>
      <c r="O351" s="67" t="n"/>
      <c r="P351" s="67" t="n"/>
      <c r="Q351" s="67" t="n"/>
      <c r="R351" s="70">
        <f>IF($A351="","",MAX(0,M351)*N(I351))</f>
        <v/>
      </c>
      <c r="S351" s="9">
        <f>IF($A351="","",IF(M351&lt;=0,IF(N(P351)&gt;0,"Rupture - en cde","RUPTURE"),IF(M351+N(P351)&lt;=N351,"À COMMANDER",IF(M351&lt;=N351,"Commande en cours","OK"))))</f>
        <v/>
      </c>
      <c r="T351" s="68">
        <f>IF($A351="","",IF(OR(S351="À COMMANDER",S351="RUPTURE"),MAX(1,O351-M351-N(P351)),0))</f>
        <v/>
      </c>
      <c r="U351" s="68">
        <f>IF($A351="","",SUMIFS('Mouvements stock'!$F$5:$F$3004,'Mouvements stock'!$D$5:$D$3004,$A351,'Mouvements stock'!$C$5:$C$3004,"Sortie",'Mouvements stock'!$B$5:$B$3004,"&gt;="&amp;'Paramètres'!$AA$6,'Mouvements stock'!$B$5:$B$3004,"&lt;"&amp;('Paramètres'!$AA$7+1)))</f>
        <v/>
      </c>
      <c r="V351" s="78">
        <f>IF($A351="","",IF(COUNTIF('Mouvements stock'!$D$5:$D$3004,$A351)=0,"",_xlfn.MAXIFS('Mouvements stock'!$B$5:$B$3004,'Mouvements stock'!$D$5:$D$3004,$A351)))</f>
        <v/>
      </c>
    </row>
    <row r="352">
      <c r="A352" s="7" t="n"/>
      <c r="B352" s="7" t="n"/>
      <c r="C352" s="7" t="n"/>
      <c r="D352" s="7" t="n"/>
      <c r="E352" s="7" t="n"/>
      <c r="F352" s="7" t="n"/>
      <c r="G352" s="7" t="n"/>
      <c r="H352" s="7" t="n"/>
      <c r="I352" s="80" t="n"/>
      <c r="J352" s="67" t="n"/>
      <c r="K352" s="68">
        <f>IF($A352="","",SUMIFS('Mouvements stock'!$F$5:$F$3004,'Mouvements stock'!$D$5:$D$3004,$A352,'Mouvements stock'!$C$5:$C$3004,"Entrée")+SUMIFS('Mouvements stock'!$F$5:$F$3004,'Mouvements stock'!$D$5:$D$3004,$A352,'Mouvements stock'!$C$5:$C$3004,"Retour"))</f>
        <v/>
      </c>
      <c r="L352" s="68">
        <f>IF($A352="","",SUMIFS('Mouvements stock'!$F$5:$F$3004,'Mouvements stock'!$D$5:$D$3004,$A352,'Mouvements stock'!$C$5:$C$3004,"Sortie"))</f>
        <v/>
      </c>
      <c r="M352" s="79">
        <f>IF($A352="","",N(J352)+N(K352)-N(L352))</f>
        <v/>
      </c>
      <c r="N352" s="67" t="n"/>
      <c r="O352" s="67" t="n"/>
      <c r="P352" s="67" t="n"/>
      <c r="Q352" s="67" t="n"/>
      <c r="R352" s="70">
        <f>IF($A352="","",MAX(0,M352)*N(I352))</f>
        <v/>
      </c>
      <c r="S352" s="9">
        <f>IF($A352="","",IF(M352&lt;=0,IF(N(P352)&gt;0,"Rupture - en cde","RUPTURE"),IF(M352+N(P352)&lt;=N352,"À COMMANDER",IF(M352&lt;=N352,"Commande en cours","OK"))))</f>
        <v/>
      </c>
      <c r="T352" s="68">
        <f>IF($A352="","",IF(OR(S352="À COMMANDER",S352="RUPTURE"),MAX(1,O352-M352-N(P352)),0))</f>
        <v/>
      </c>
      <c r="U352" s="68">
        <f>IF($A352="","",SUMIFS('Mouvements stock'!$F$5:$F$3004,'Mouvements stock'!$D$5:$D$3004,$A352,'Mouvements stock'!$C$5:$C$3004,"Sortie",'Mouvements stock'!$B$5:$B$3004,"&gt;="&amp;'Paramètres'!$AA$6,'Mouvements stock'!$B$5:$B$3004,"&lt;"&amp;('Paramètres'!$AA$7+1)))</f>
        <v/>
      </c>
      <c r="V352" s="78">
        <f>IF($A352="","",IF(COUNTIF('Mouvements stock'!$D$5:$D$3004,$A352)=0,"",_xlfn.MAXIFS('Mouvements stock'!$B$5:$B$3004,'Mouvements stock'!$D$5:$D$3004,$A352)))</f>
        <v/>
      </c>
    </row>
    <row r="353">
      <c r="A353" s="7" t="n"/>
      <c r="B353" s="7" t="n"/>
      <c r="C353" s="7" t="n"/>
      <c r="D353" s="7" t="n"/>
      <c r="E353" s="7" t="n"/>
      <c r="F353" s="7" t="n"/>
      <c r="G353" s="7" t="n"/>
      <c r="H353" s="7" t="n"/>
      <c r="I353" s="80" t="n"/>
      <c r="J353" s="67" t="n"/>
      <c r="K353" s="68">
        <f>IF($A353="","",SUMIFS('Mouvements stock'!$F$5:$F$3004,'Mouvements stock'!$D$5:$D$3004,$A353,'Mouvements stock'!$C$5:$C$3004,"Entrée")+SUMIFS('Mouvements stock'!$F$5:$F$3004,'Mouvements stock'!$D$5:$D$3004,$A353,'Mouvements stock'!$C$5:$C$3004,"Retour"))</f>
        <v/>
      </c>
      <c r="L353" s="68">
        <f>IF($A353="","",SUMIFS('Mouvements stock'!$F$5:$F$3004,'Mouvements stock'!$D$5:$D$3004,$A353,'Mouvements stock'!$C$5:$C$3004,"Sortie"))</f>
        <v/>
      </c>
      <c r="M353" s="79">
        <f>IF($A353="","",N(J353)+N(K353)-N(L353))</f>
        <v/>
      </c>
      <c r="N353" s="67" t="n"/>
      <c r="O353" s="67" t="n"/>
      <c r="P353" s="67" t="n"/>
      <c r="Q353" s="67" t="n"/>
      <c r="R353" s="70">
        <f>IF($A353="","",MAX(0,M353)*N(I353))</f>
        <v/>
      </c>
      <c r="S353" s="9">
        <f>IF($A353="","",IF(M353&lt;=0,IF(N(P353)&gt;0,"Rupture - en cde","RUPTURE"),IF(M353+N(P353)&lt;=N353,"À COMMANDER",IF(M353&lt;=N353,"Commande en cours","OK"))))</f>
        <v/>
      </c>
      <c r="T353" s="68">
        <f>IF($A353="","",IF(OR(S353="À COMMANDER",S353="RUPTURE"),MAX(1,O353-M353-N(P353)),0))</f>
        <v/>
      </c>
      <c r="U353" s="68">
        <f>IF($A353="","",SUMIFS('Mouvements stock'!$F$5:$F$3004,'Mouvements stock'!$D$5:$D$3004,$A353,'Mouvements stock'!$C$5:$C$3004,"Sortie",'Mouvements stock'!$B$5:$B$3004,"&gt;="&amp;'Paramètres'!$AA$6,'Mouvements stock'!$B$5:$B$3004,"&lt;"&amp;('Paramètres'!$AA$7+1)))</f>
        <v/>
      </c>
      <c r="V353" s="78">
        <f>IF($A353="","",IF(COUNTIF('Mouvements stock'!$D$5:$D$3004,$A353)=0,"",_xlfn.MAXIFS('Mouvements stock'!$B$5:$B$3004,'Mouvements stock'!$D$5:$D$3004,$A353)))</f>
        <v/>
      </c>
    </row>
    <row r="354">
      <c r="A354" s="7" t="n"/>
      <c r="B354" s="7" t="n"/>
      <c r="C354" s="7" t="n"/>
      <c r="D354" s="7" t="n"/>
      <c r="E354" s="7" t="n"/>
      <c r="F354" s="7" t="n"/>
      <c r="G354" s="7" t="n"/>
      <c r="H354" s="7" t="n"/>
      <c r="I354" s="80" t="n"/>
      <c r="J354" s="67" t="n"/>
      <c r="K354" s="68">
        <f>IF($A354="","",SUMIFS('Mouvements stock'!$F$5:$F$3004,'Mouvements stock'!$D$5:$D$3004,$A354,'Mouvements stock'!$C$5:$C$3004,"Entrée")+SUMIFS('Mouvements stock'!$F$5:$F$3004,'Mouvements stock'!$D$5:$D$3004,$A354,'Mouvements stock'!$C$5:$C$3004,"Retour"))</f>
        <v/>
      </c>
      <c r="L354" s="68">
        <f>IF($A354="","",SUMIFS('Mouvements stock'!$F$5:$F$3004,'Mouvements stock'!$D$5:$D$3004,$A354,'Mouvements stock'!$C$5:$C$3004,"Sortie"))</f>
        <v/>
      </c>
      <c r="M354" s="79">
        <f>IF($A354="","",N(J354)+N(K354)-N(L354))</f>
        <v/>
      </c>
      <c r="N354" s="67" t="n"/>
      <c r="O354" s="67" t="n"/>
      <c r="P354" s="67" t="n"/>
      <c r="Q354" s="67" t="n"/>
      <c r="R354" s="70">
        <f>IF($A354="","",MAX(0,M354)*N(I354))</f>
        <v/>
      </c>
      <c r="S354" s="9">
        <f>IF($A354="","",IF(M354&lt;=0,IF(N(P354)&gt;0,"Rupture - en cde","RUPTURE"),IF(M354+N(P354)&lt;=N354,"À COMMANDER",IF(M354&lt;=N354,"Commande en cours","OK"))))</f>
        <v/>
      </c>
      <c r="T354" s="68">
        <f>IF($A354="","",IF(OR(S354="À COMMANDER",S354="RUPTURE"),MAX(1,O354-M354-N(P354)),0))</f>
        <v/>
      </c>
      <c r="U354" s="68">
        <f>IF($A354="","",SUMIFS('Mouvements stock'!$F$5:$F$3004,'Mouvements stock'!$D$5:$D$3004,$A354,'Mouvements stock'!$C$5:$C$3004,"Sortie",'Mouvements stock'!$B$5:$B$3004,"&gt;="&amp;'Paramètres'!$AA$6,'Mouvements stock'!$B$5:$B$3004,"&lt;"&amp;('Paramètres'!$AA$7+1)))</f>
        <v/>
      </c>
      <c r="V354" s="78">
        <f>IF($A354="","",IF(COUNTIF('Mouvements stock'!$D$5:$D$3004,$A354)=0,"",_xlfn.MAXIFS('Mouvements stock'!$B$5:$B$3004,'Mouvements stock'!$D$5:$D$3004,$A354)))</f>
        <v/>
      </c>
    </row>
    <row r="355">
      <c r="A355" s="7" t="n"/>
      <c r="B355" s="7" t="n"/>
      <c r="C355" s="7" t="n"/>
      <c r="D355" s="7" t="n"/>
      <c r="E355" s="7" t="n"/>
      <c r="F355" s="7" t="n"/>
      <c r="G355" s="7" t="n"/>
      <c r="H355" s="7" t="n"/>
      <c r="I355" s="80" t="n"/>
      <c r="J355" s="67" t="n"/>
      <c r="K355" s="68">
        <f>IF($A355="","",SUMIFS('Mouvements stock'!$F$5:$F$3004,'Mouvements stock'!$D$5:$D$3004,$A355,'Mouvements stock'!$C$5:$C$3004,"Entrée")+SUMIFS('Mouvements stock'!$F$5:$F$3004,'Mouvements stock'!$D$5:$D$3004,$A355,'Mouvements stock'!$C$5:$C$3004,"Retour"))</f>
        <v/>
      </c>
      <c r="L355" s="68">
        <f>IF($A355="","",SUMIFS('Mouvements stock'!$F$5:$F$3004,'Mouvements stock'!$D$5:$D$3004,$A355,'Mouvements stock'!$C$5:$C$3004,"Sortie"))</f>
        <v/>
      </c>
      <c r="M355" s="79">
        <f>IF($A355="","",N(J355)+N(K355)-N(L355))</f>
        <v/>
      </c>
      <c r="N355" s="67" t="n"/>
      <c r="O355" s="67" t="n"/>
      <c r="P355" s="67" t="n"/>
      <c r="Q355" s="67" t="n"/>
      <c r="R355" s="70">
        <f>IF($A355="","",MAX(0,M355)*N(I355))</f>
        <v/>
      </c>
      <c r="S355" s="9">
        <f>IF($A355="","",IF(M355&lt;=0,IF(N(P355)&gt;0,"Rupture - en cde","RUPTURE"),IF(M355+N(P355)&lt;=N355,"À COMMANDER",IF(M355&lt;=N355,"Commande en cours","OK"))))</f>
        <v/>
      </c>
      <c r="T355" s="68">
        <f>IF($A355="","",IF(OR(S355="À COMMANDER",S355="RUPTURE"),MAX(1,O355-M355-N(P355)),0))</f>
        <v/>
      </c>
      <c r="U355" s="68">
        <f>IF($A355="","",SUMIFS('Mouvements stock'!$F$5:$F$3004,'Mouvements stock'!$D$5:$D$3004,$A355,'Mouvements stock'!$C$5:$C$3004,"Sortie",'Mouvements stock'!$B$5:$B$3004,"&gt;="&amp;'Paramètres'!$AA$6,'Mouvements stock'!$B$5:$B$3004,"&lt;"&amp;('Paramètres'!$AA$7+1)))</f>
        <v/>
      </c>
      <c r="V355" s="78">
        <f>IF($A355="","",IF(COUNTIF('Mouvements stock'!$D$5:$D$3004,$A355)=0,"",_xlfn.MAXIFS('Mouvements stock'!$B$5:$B$3004,'Mouvements stock'!$D$5:$D$3004,$A355)))</f>
        <v/>
      </c>
    </row>
    <row r="356">
      <c r="A356" s="7" t="n"/>
      <c r="B356" s="7" t="n"/>
      <c r="C356" s="7" t="n"/>
      <c r="D356" s="7" t="n"/>
      <c r="E356" s="7" t="n"/>
      <c r="F356" s="7" t="n"/>
      <c r="G356" s="7" t="n"/>
      <c r="H356" s="7" t="n"/>
      <c r="I356" s="80" t="n"/>
      <c r="J356" s="67" t="n"/>
      <c r="K356" s="68">
        <f>IF($A356="","",SUMIFS('Mouvements stock'!$F$5:$F$3004,'Mouvements stock'!$D$5:$D$3004,$A356,'Mouvements stock'!$C$5:$C$3004,"Entrée")+SUMIFS('Mouvements stock'!$F$5:$F$3004,'Mouvements stock'!$D$5:$D$3004,$A356,'Mouvements stock'!$C$5:$C$3004,"Retour"))</f>
        <v/>
      </c>
      <c r="L356" s="68">
        <f>IF($A356="","",SUMIFS('Mouvements stock'!$F$5:$F$3004,'Mouvements stock'!$D$5:$D$3004,$A356,'Mouvements stock'!$C$5:$C$3004,"Sortie"))</f>
        <v/>
      </c>
      <c r="M356" s="79">
        <f>IF($A356="","",N(J356)+N(K356)-N(L356))</f>
        <v/>
      </c>
      <c r="N356" s="67" t="n"/>
      <c r="O356" s="67" t="n"/>
      <c r="P356" s="67" t="n"/>
      <c r="Q356" s="67" t="n"/>
      <c r="R356" s="70">
        <f>IF($A356="","",MAX(0,M356)*N(I356))</f>
        <v/>
      </c>
      <c r="S356" s="9">
        <f>IF($A356="","",IF(M356&lt;=0,IF(N(P356)&gt;0,"Rupture - en cde","RUPTURE"),IF(M356+N(P356)&lt;=N356,"À COMMANDER",IF(M356&lt;=N356,"Commande en cours","OK"))))</f>
        <v/>
      </c>
      <c r="T356" s="68">
        <f>IF($A356="","",IF(OR(S356="À COMMANDER",S356="RUPTURE"),MAX(1,O356-M356-N(P356)),0))</f>
        <v/>
      </c>
      <c r="U356" s="68">
        <f>IF($A356="","",SUMIFS('Mouvements stock'!$F$5:$F$3004,'Mouvements stock'!$D$5:$D$3004,$A356,'Mouvements stock'!$C$5:$C$3004,"Sortie",'Mouvements stock'!$B$5:$B$3004,"&gt;="&amp;'Paramètres'!$AA$6,'Mouvements stock'!$B$5:$B$3004,"&lt;"&amp;('Paramètres'!$AA$7+1)))</f>
        <v/>
      </c>
      <c r="V356" s="78">
        <f>IF($A356="","",IF(COUNTIF('Mouvements stock'!$D$5:$D$3004,$A356)=0,"",_xlfn.MAXIFS('Mouvements stock'!$B$5:$B$3004,'Mouvements stock'!$D$5:$D$3004,$A356)))</f>
        <v/>
      </c>
    </row>
    <row r="357">
      <c r="A357" s="7" t="n"/>
      <c r="B357" s="7" t="n"/>
      <c r="C357" s="7" t="n"/>
      <c r="D357" s="7" t="n"/>
      <c r="E357" s="7" t="n"/>
      <c r="F357" s="7" t="n"/>
      <c r="G357" s="7" t="n"/>
      <c r="H357" s="7" t="n"/>
      <c r="I357" s="80" t="n"/>
      <c r="J357" s="67" t="n"/>
      <c r="K357" s="68">
        <f>IF($A357="","",SUMIFS('Mouvements stock'!$F$5:$F$3004,'Mouvements stock'!$D$5:$D$3004,$A357,'Mouvements stock'!$C$5:$C$3004,"Entrée")+SUMIFS('Mouvements stock'!$F$5:$F$3004,'Mouvements stock'!$D$5:$D$3004,$A357,'Mouvements stock'!$C$5:$C$3004,"Retour"))</f>
        <v/>
      </c>
      <c r="L357" s="68">
        <f>IF($A357="","",SUMIFS('Mouvements stock'!$F$5:$F$3004,'Mouvements stock'!$D$5:$D$3004,$A357,'Mouvements stock'!$C$5:$C$3004,"Sortie"))</f>
        <v/>
      </c>
      <c r="M357" s="79">
        <f>IF($A357="","",N(J357)+N(K357)-N(L357))</f>
        <v/>
      </c>
      <c r="N357" s="67" t="n"/>
      <c r="O357" s="67" t="n"/>
      <c r="P357" s="67" t="n"/>
      <c r="Q357" s="67" t="n"/>
      <c r="R357" s="70">
        <f>IF($A357="","",MAX(0,M357)*N(I357))</f>
        <v/>
      </c>
      <c r="S357" s="9">
        <f>IF($A357="","",IF(M357&lt;=0,IF(N(P357)&gt;0,"Rupture - en cde","RUPTURE"),IF(M357+N(P357)&lt;=N357,"À COMMANDER",IF(M357&lt;=N357,"Commande en cours","OK"))))</f>
        <v/>
      </c>
      <c r="T357" s="68">
        <f>IF($A357="","",IF(OR(S357="À COMMANDER",S357="RUPTURE"),MAX(1,O357-M357-N(P357)),0))</f>
        <v/>
      </c>
      <c r="U357" s="68">
        <f>IF($A357="","",SUMIFS('Mouvements stock'!$F$5:$F$3004,'Mouvements stock'!$D$5:$D$3004,$A357,'Mouvements stock'!$C$5:$C$3004,"Sortie",'Mouvements stock'!$B$5:$B$3004,"&gt;="&amp;'Paramètres'!$AA$6,'Mouvements stock'!$B$5:$B$3004,"&lt;"&amp;('Paramètres'!$AA$7+1)))</f>
        <v/>
      </c>
      <c r="V357" s="78">
        <f>IF($A357="","",IF(COUNTIF('Mouvements stock'!$D$5:$D$3004,$A357)=0,"",_xlfn.MAXIFS('Mouvements stock'!$B$5:$B$3004,'Mouvements stock'!$D$5:$D$3004,$A357)))</f>
        <v/>
      </c>
    </row>
    <row r="358">
      <c r="A358" s="7" t="n"/>
      <c r="B358" s="7" t="n"/>
      <c r="C358" s="7" t="n"/>
      <c r="D358" s="7" t="n"/>
      <c r="E358" s="7" t="n"/>
      <c r="F358" s="7" t="n"/>
      <c r="G358" s="7" t="n"/>
      <c r="H358" s="7" t="n"/>
      <c r="I358" s="80" t="n"/>
      <c r="J358" s="67" t="n"/>
      <c r="K358" s="68">
        <f>IF($A358="","",SUMIFS('Mouvements stock'!$F$5:$F$3004,'Mouvements stock'!$D$5:$D$3004,$A358,'Mouvements stock'!$C$5:$C$3004,"Entrée")+SUMIFS('Mouvements stock'!$F$5:$F$3004,'Mouvements stock'!$D$5:$D$3004,$A358,'Mouvements stock'!$C$5:$C$3004,"Retour"))</f>
        <v/>
      </c>
      <c r="L358" s="68">
        <f>IF($A358="","",SUMIFS('Mouvements stock'!$F$5:$F$3004,'Mouvements stock'!$D$5:$D$3004,$A358,'Mouvements stock'!$C$5:$C$3004,"Sortie"))</f>
        <v/>
      </c>
      <c r="M358" s="79">
        <f>IF($A358="","",N(J358)+N(K358)-N(L358))</f>
        <v/>
      </c>
      <c r="N358" s="67" t="n"/>
      <c r="O358" s="67" t="n"/>
      <c r="P358" s="67" t="n"/>
      <c r="Q358" s="67" t="n"/>
      <c r="R358" s="70">
        <f>IF($A358="","",MAX(0,M358)*N(I358))</f>
        <v/>
      </c>
      <c r="S358" s="9">
        <f>IF($A358="","",IF(M358&lt;=0,IF(N(P358)&gt;0,"Rupture - en cde","RUPTURE"),IF(M358+N(P358)&lt;=N358,"À COMMANDER",IF(M358&lt;=N358,"Commande en cours","OK"))))</f>
        <v/>
      </c>
      <c r="T358" s="68">
        <f>IF($A358="","",IF(OR(S358="À COMMANDER",S358="RUPTURE"),MAX(1,O358-M358-N(P358)),0))</f>
        <v/>
      </c>
      <c r="U358" s="68">
        <f>IF($A358="","",SUMIFS('Mouvements stock'!$F$5:$F$3004,'Mouvements stock'!$D$5:$D$3004,$A358,'Mouvements stock'!$C$5:$C$3004,"Sortie",'Mouvements stock'!$B$5:$B$3004,"&gt;="&amp;'Paramètres'!$AA$6,'Mouvements stock'!$B$5:$B$3004,"&lt;"&amp;('Paramètres'!$AA$7+1)))</f>
        <v/>
      </c>
      <c r="V358" s="78">
        <f>IF($A358="","",IF(COUNTIF('Mouvements stock'!$D$5:$D$3004,$A358)=0,"",_xlfn.MAXIFS('Mouvements stock'!$B$5:$B$3004,'Mouvements stock'!$D$5:$D$3004,$A358)))</f>
        <v/>
      </c>
    </row>
    <row r="359">
      <c r="A359" s="7" t="n"/>
      <c r="B359" s="7" t="n"/>
      <c r="C359" s="7" t="n"/>
      <c r="D359" s="7" t="n"/>
      <c r="E359" s="7" t="n"/>
      <c r="F359" s="7" t="n"/>
      <c r="G359" s="7" t="n"/>
      <c r="H359" s="7" t="n"/>
      <c r="I359" s="80" t="n"/>
      <c r="J359" s="67" t="n"/>
      <c r="K359" s="68">
        <f>IF($A359="","",SUMIFS('Mouvements stock'!$F$5:$F$3004,'Mouvements stock'!$D$5:$D$3004,$A359,'Mouvements stock'!$C$5:$C$3004,"Entrée")+SUMIFS('Mouvements stock'!$F$5:$F$3004,'Mouvements stock'!$D$5:$D$3004,$A359,'Mouvements stock'!$C$5:$C$3004,"Retour"))</f>
        <v/>
      </c>
      <c r="L359" s="68">
        <f>IF($A359="","",SUMIFS('Mouvements stock'!$F$5:$F$3004,'Mouvements stock'!$D$5:$D$3004,$A359,'Mouvements stock'!$C$5:$C$3004,"Sortie"))</f>
        <v/>
      </c>
      <c r="M359" s="79">
        <f>IF($A359="","",N(J359)+N(K359)-N(L359))</f>
        <v/>
      </c>
      <c r="N359" s="67" t="n"/>
      <c r="O359" s="67" t="n"/>
      <c r="P359" s="67" t="n"/>
      <c r="Q359" s="67" t="n"/>
      <c r="R359" s="70">
        <f>IF($A359="","",MAX(0,M359)*N(I359))</f>
        <v/>
      </c>
      <c r="S359" s="9">
        <f>IF($A359="","",IF(M359&lt;=0,IF(N(P359)&gt;0,"Rupture - en cde","RUPTURE"),IF(M359+N(P359)&lt;=N359,"À COMMANDER",IF(M359&lt;=N359,"Commande en cours","OK"))))</f>
        <v/>
      </c>
      <c r="T359" s="68">
        <f>IF($A359="","",IF(OR(S359="À COMMANDER",S359="RUPTURE"),MAX(1,O359-M359-N(P359)),0))</f>
        <v/>
      </c>
      <c r="U359" s="68">
        <f>IF($A359="","",SUMIFS('Mouvements stock'!$F$5:$F$3004,'Mouvements stock'!$D$5:$D$3004,$A359,'Mouvements stock'!$C$5:$C$3004,"Sortie",'Mouvements stock'!$B$5:$B$3004,"&gt;="&amp;'Paramètres'!$AA$6,'Mouvements stock'!$B$5:$B$3004,"&lt;"&amp;('Paramètres'!$AA$7+1)))</f>
        <v/>
      </c>
      <c r="V359" s="78">
        <f>IF($A359="","",IF(COUNTIF('Mouvements stock'!$D$5:$D$3004,$A359)=0,"",_xlfn.MAXIFS('Mouvements stock'!$B$5:$B$3004,'Mouvements stock'!$D$5:$D$3004,$A359)))</f>
        <v/>
      </c>
    </row>
    <row r="360">
      <c r="A360" s="7" t="n"/>
      <c r="B360" s="7" t="n"/>
      <c r="C360" s="7" t="n"/>
      <c r="D360" s="7" t="n"/>
      <c r="E360" s="7" t="n"/>
      <c r="F360" s="7" t="n"/>
      <c r="G360" s="7" t="n"/>
      <c r="H360" s="7" t="n"/>
      <c r="I360" s="80" t="n"/>
      <c r="J360" s="67" t="n"/>
      <c r="K360" s="68">
        <f>IF($A360="","",SUMIFS('Mouvements stock'!$F$5:$F$3004,'Mouvements stock'!$D$5:$D$3004,$A360,'Mouvements stock'!$C$5:$C$3004,"Entrée")+SUMIFS('Mouvements stock'!$F$5:$F$3004,'Mouvements stock'!$D$5:$D$3004,$A360,'Mouvements stock'!$C$5:$C$3004,"Retour"))</f>
        <v/>
      </c>
      <c r="L360" s="68">
        <f>IF($A360="","",SUMIFS('Mouvements stock'!$F$5:$F$3004,'Mouvements stock'!$D$5:$D$3004,$A360,'Mouvements stock'!$C$5:$C$3004,"Sortie"))</f>
        <v/>
      </c>
      <c r="M360" s="79">
        <f>IF($A360="","",N(J360)+N(K360)-N(L360))</f>
        <v/>
      </c>
      <c r="N360" s="67" t="n"/>
      <c r="O360" s="67" t="n"/>
      <c r="P360" s="67" t="n"/>
      <c r="Q360" s="67" t="n"/>
      <c r="R360" s="70">
        <f>IF($A360="","",MAX(0,M360)*N(I360))</f>
        <v/>
      </c>
      <c r="S360" s="9">
        <f>IF($A360="","",IF(M360&lt;=0,IF(N(P360)&gt;0,"Rupture - en cde","RUPTURE"),IF(M360+N(P360)&lt;=N360,"À COMMANDER",IF(M360&lt;=N360,"Commande en cours","OK"))))</f>
        <v/>
      </c>
      <c r="T360" s="68">
        <f>IF($A360="","",IF(OR(S360="À COMMANDER",S360="RUPTURE"),MAX(1,O360-M360-N(P360)),0))</f>
        <v/>
      </c>
      <c r="U360" s="68">
        <f>IF($A360="","",SUMIFS('Mouvements stock'!$F$5:$F$3004,'Mouvements stock'!$D$5:$D$3004,$A360,'Mouvements stock'!$C$5:$C$3004,"Sortie",'Mouvements stock'!$B$5:$B$3004,"&gt;="&amp;'Paramètres'!$AA$6,'Mouvements stock'!$B$5:$B$3004,"&lt;"&amp;('Paramètres'!$AA$7+1)))</f>
        <v/>
      </c>
      <c r="V360" s="78">
        <f>IF($A360="","",IF(COUNTIF('Mouvements stock'!$D$5:$D$3004,$A360)=0,"",_xlfn.MAXIFS('Mouvements stock'!$B$5:$B$3004,'Mouvements stock'!$D$5:$D$3004,$A360)))</f>
        <v/>
      </c>
    </row>
    <row r="361">
      <c r="A361" s="7" t="n"/>
      <c r="B361" s="7" t="n"/>
      <c r="C361" s="7" t="n"/>
      <c r="D361" s="7" t="n"/>
      <c r="E361" s="7" t="n"/>
      <c r="F361" s="7" t="n"/>
      <c r="G361" s="7" t="n"/>
      <c r="H361" s="7" t="n"/>
      <c r="I361" s="80" t="n"/>
      <c r="J361" s="67" t="n"/>
      <c r="K361" s="68">
        <f>IF($A361="","",SUMIFS('Mouvements stock'!$F$5:$F$3004,'Mouvements stock'!$D$5:$D$3004,$A361,'Mouvements stock'!$C$5:$C$3004,"Entrée")+SUMIFS('Mouvements stock'!$F$5:$F$3004,'Mouvements stock'!$D$5:$D$3004,$A361,'Mouvements stock'!$C$5:$C$3004,"Retour"))</f>
        <v/>
      </c>
      <c r="L361" s="68">
        <f>IF($A361="","",SUMIFS('Mouvements stock'!$F$5:$F$3004,'Mouvements stock'!$D$5:$D$3004,$A361,'Mouvements stock'!$C$5:$C$3004,"Sortie"))</f>
        <v/>
      </c>
      <c r="M361" s="79">
        <f>IF($A361="","",N(J361)+N(K361)-N(L361))</f>
        <v/>
      </c>
      <c r="N361" s="67" t="n"/>
      <c r="O361" s="67" t="n"/>
      <c r="P361" s="67" t="n"/>
      <c r="Q361" s="67" t="n"/>
      <c r="R361" s="70">
        <f>IF($A361="","",MAX(0,M361)*N(I361))</f>
        <v/>
      </c>
      <c r="S361" s="9">
        <f>IF($A361="","",IF(M361&lt;=0,IF(N(P361)&gt;0,"Rupture - en cde","RUPTURE"),IF(M361+N(P361)&lt;=N361,"À COMMANDER",IF(M361&lt;=N361,"Commande en cours","OK"))))</f>
        <v/>
      </c>
      <c r="T361" s="68">
        <f>IF($A361="","",IF(OR(S361="À COMMANDER",S361="RUPTURE"),MAX(1,O361-M361-N(P361)),0))</f>
        <v/>
      </c>
      <c r="U361" s="68">
        <f>IF($A361="","",SUMIFS('Mouvements stock'!$F$5:$F$3004,'Mouvements stock'!$D$5:$D$3004,$A361,'Mouvements stock'!$C$5:$C$3004,"Sortie",'Mouvements stock'!$B$5:$B$3004,"&gt;="&amp;'Paramètres'!$AA$6,'Mouvements stock'!$B$5:$B$3004,"&lt;"&amp;('Paramètres'!$AA$7+1)))</f>
        <v/>
      </c>
      <c r="V361" s="78">
        <f>IF($A361="","",IF(COUNTIF('Mouvements stock'!$D$5:$D$3004,$A361)=0,"",_xlfn.MAXIFS('Mouvements stock'!$B$5:$B$3004,'Mouvements stock'!$D$5:$D$3004,$A361)))</f>
        <v/>
      </c>
    </row>
    <row r="362">
      <c r="A362" s="7" t="n"/>
      <c r="B362" s="7" t="n"/>
      <c r="C362" s="7" t="n"/>
      <c r="D362" s="7" t="n"/>
      <c r="E362" s="7" t="n"/>
      <c r="F362" s="7" t="n"/>
      <c r="G362" s="7" t="n"/>
      <c r="H362" s="7" t="n"/>
      <c r="I362" s="80" t="n"/>
      <c r="J362" s="67" t="n"/>
      <c r="K362" s="68">
        <f>IF($A362="","",SUMIFS('Mouvements stock'!$F$5:$F$3004,'Mouvements stock'!$D$5:$D$3004,$A362,'Mouvements stock'!$C$5:$C$3004,"Entrée")+SUMIFS('Mouvements stock'!$F$5:$F$3004,'Mouvements stock'!$D$5:$D$3004,$A362,'Mouvements stock'!$C$5:$C$3004,"Retour"))</f>
        <v/>
      </c>
      <c r="L362" s="68">
        <f>IF($A362="","",SUMIFS('Mouvements stock'!$F$5:$F$3004,'Mouvements stock'!$D$5:$D$3004,$A362,'Mouvements stock'!$C$5:$C$3004,"Sortie"))</f>
        <v/>
      </c>
      <c r="M362" s="79">
        <f>IF($A362="","",N(J362)+N(K362)-N(L362))</f>
        <v/>
      </c>
      <c r="N362" s="67" t="n"/>
      <c r="O362" s="67" t="n"/>
      <c r="P362" s="67" t="n"/>
      <c r="Q362" s="67" t="n"/>
      <c r="R362" s="70">
        <f>IF($A362="","",MAX(0,M362)*N(I362))</f>
        <v/>
      </c>
      <c r="S362" s="9">
        <f>IF($A362="","",IF(M362&lt;=0,IF(N(P362)&gt;0,"Rupture - en cde","RUPTURE"),IF(M362+N(P362)&lt;=N362,"À COMMANDER",IF(M362&lt;=N362,"Commande en cours","OK"))))</f>
        <v/>
      </c>
      <c r="T362" s="68">
        <f>IF($A362="","",IF(OR(S362="À COMMANDER",S362="RUPTURE"),MAX(1,O362-M362-N(P362)),0))</f>
        <v/>
      </c>
      <c r="U362" s="68">
        <f>IF($A362="","",SUMIFS('Mouvements stock'!$F$5:$F$3004,'Mouvements stock'!$D$5:$D$3004,$A362,'Mouvements stock'!$C$5:$C$3004,"Sortie",'Mouvements stock'!$B$5:$B$3004,"&gt;="&amp;'Paramètres'!$AA$6,'Mouvements stock'!$B$5:$B$3004,"&lt;"&amp;('Paramètres'!$AA$7+1)))</f>
        <v/>
      </c>
      <c r="V362" s="78">
        <f>IF($A362="","",IF(COUNTIF('Mouvements stock'!$D$5:$D$3004,$A362)=0,"",_xlfn.MAXIFS('Mouvements stock'!$B$5:$B$3004,'Mouvements stock'!$D$5:$D$3004,$A362)))</f>
        <v/>
      </c>
    </row>
    <row r="363">
      <c r="A363" s="7" t="n"/>
      <c r="B363" s="7" t="n"/>
      <c r="C363" s="7" t="n"/>
      <c r="D363" s="7" t="n"/>
      <c r="E363" s="7" t="n"/>
      <c r="F363" s="7" t="n"/>
      <c r="G363" s="7" t="n"/>
      <c r="H363" s="7" t="n"/>
      <c r="I363" s="80" t="n"/>
      <c r="J363" s="67" t="n"/>
      <c r="K363" s="68">
        <f>IF($A363="","",SUMIFS('Mouvements stock'!$F$5:$F$3004,'Mouvements stock'!$D$5:$D$3004,$A363,'Mouvements stock'!$C$5:$C$3004,"Entrée")+SUMIFS('Mouvements stock'!$F$5:$F$3004,'Mouvements stock'!$D$5:$D$3004,$A363,'Mouvements stock'!$C$5:$C$3004,"Retour"))</f>
        <v/>
      </c>
      <c r="L363" s="68">
        <f>IF($A363="","",SUMIFS('Mouvements stock'!$F$5:$F$3004,'Mouvements stock'!$D$5:$D$3004,$A363,'Mouvements stock'!$C$5:$C$3004,"Sortie"))</f>
        <v/>
      </c>
      <c r="M363" s="79">
        <f>IF($A363="","",N(J363)+N(K363)-N(L363))</f>
        <v/>
      </c>
      <c r="N363" s="67" t="n"/>
      <c r="O363" s="67" t="n"/>
      <c r="P363" s="67" t="n"/>
      <c r="Q363" s="67" t="n"/>
      <c r="R363" s="70">
        <f>IF($A363="","",MAX(0,M363)*N(I363))</f>
        <v/>
      </c>
      <c r="S363" s="9">
        <f>IF($A363="","",IF(M363&lt;=0,IF(N(P363)&gt;0,"Rupture - en cde","RUPTURE"),IF(M363+N(P363)&lt;=N363,"À COMMANDER",IF(M363&lt;=N363,"Commande en cours","OK"))))</f>
        <v/>
      </c>
      <c r="T363" s="68">
        <f>IF($A363="","",IF(OR(S363="À COMMANDER",S363="RUPTURE"),MAX(1,O363-M363-N(P363)),0))</f>
        <v/>
      </c>
      <c r="U363" s="68">
        <f>IF($A363="","",SUMIFS('Mouvements stock'!$F$5:$F$3004,'Mouvements stock'!$D$5:$D$3004,$A363,'Mouvements stock'!$C$5:$C$3004,"Sortie",'Mouvements stock'!$B$5:$B$3004,"&gt;="&amp;'Paramètres'!$AA$6,'Mouvements stock'!$B$5:$B$3004,"&lt;"&amp;('Paramètres'!$AA$7+1)))</f>
        <v/>
      </c>
      <c r="V363" s="78">
        <f>IF($A363="","",IF(COUNTIF('Mouvements stock'!$D$5:$D$3004,$A363)=0,"",_xlfn.MAXIFS('Mouvements stock'!$B$5:$B$3004,'Mouvements stock'!$D$5:$D$3004,$A363)))</f>
        <v/>
      </c>
    </row>
    <row r="364">
      <c r="A364" s="7" t="n"/>
      <c r="B364" s="7" t="n"/>
      <c r="C364" s="7" t="n"/>
      <c r="D364" s="7" t="n"/>
      <c r="E364" s="7" t="n"/>
      <c r="F364" s="7" t="n"/>
      <c r="G364" s="7" t="n"/>
      <c r="H364" s="7" t="n"/>
      <c r="I364" s="80" t="n"/>
      <c r="J364" s="67" t="n"/>
      <c r="K364" s="68">
        <f>IF($A364="","",SUMIFS('Mouvements stock'!$F$5:$F$3004,'Mouvements stock'!$D$5:$D$3004,$A364,'Mouvements stock'!$C$5:$C$3004,"Entrée")+SUMIFS('Mouvements stock'!$F$5:$F$3004,'Mouvements stock'!$D$5:$D$3004,$A364,'Mouvements stock'!$C$5:$C$3004,"Retour"))</f>
        <v/>
      </c>
      <c r="L364" s="68">
        <f>IF($A364="","",SUMIFS('Mouvements stock'!$F$5:$F$3004,'Mouvements stock'!$D$5:$D$3004,$A364,'Mouvements stock'!$C$5:$C$3004,"Sortie"))</f>
        <v/>
      </c>
      <c r="M364" s="79">
        <f>IF($A364="","",N(J364)+N(K364)-N(L364))</f>
        <v/>
      </c>
      <c r="N364" s="67" t="n"/>
      <c r="O364" s="67" t="n"/>
      <c r="P364" s="67" t="n"/>
      <c r="Q364" s="67" t="n"/>
      <c r="R364" s="70">
        <f>IF($A364="","",MAX(0,M364)*N(I364))</f>
        <v/>
      </c>
      <c r="S364" s="9">
        <f>IF($A364="","",IF(M364&lt;=0,IF(N(P364)&gt;0,"Rupture - en cde","RUPTURE"),IF(M364+N(P364)&lt;=N364,"À COMMANDER",IF(M364&lt;=N364,"Commande en cours","OK"))))</f>
        <v/>
      </c>
      <c r="T364" s="68">
        <f>IF($A364="","",IF(OR(S364="À COMMANDER",S364="RUPTURE"),MAX(1,O364-M364-N(P364)),0))</f>
        <v/>
      </c>
      <c r="U364" s="68">
        <f>IF($A364="","",SUMIFS('Mouvements stock'!$F$5:$F$3004,'Mouvements stock'!$D$5:$D$3004,$A364,'Mouvements stock'!$C$5:$C$3004,"Sortie",'Mouvements stock'!$B$5:$B$3004,"&gt;="&amp;'Paramètres'!$AA$6,'Mouvements stock'!$B$5:$B$3004,"&lt;"&amp;('Paramètres'!$AA$7+1)))</f>
        <v/>
      </c>
      <c r="V364" s="78">
        <f>IF($A364="","",IF(COUNTIF('Mouvements stock'!$D$5:$D$3004,$A364)=0,"",_xlfn.MAXIFS('Mouvements stock'!$B$5:$B$3004,'Mouvements stock'!$D$5:$D$3004,$A364)))</f>
        <v/>
      </c>
    </row>
    <row r="365">
      <c r="A365" s="7" t="n"/>
      <c r="B365" s="7" t="n"/>
      <c r="C365" s="7" t="n"/>
      <c r="D365" s="7" t="n"/>
      <c r="E365" s="7" t="n"/>
      <c r="F365" s="7" t="n"/>
      <c r="G365" s="7" t="n"/>
      <c r="H365" s="7" t="n"/>
      <c r="I365" s="80" t="n"/>
      <c r="J365" s="67" t="n"/>
      <c r="K365" s="68">
        <f>IF($A365="","",SUMIFS('Mouvements stock'!$F$5:$F$3004,'Mouvements stock'!$D$5:$D$3004,$A365,'Mouvements stock'!$C$5:$C$3004,"Entrée")+SUMIFS('Mouvements stock'!$F$5:$F$3004,'Mouvements stock'!$D$5:$D$3004,$A365,'Mouvements stock'!$C$5:$C$3004,"Retour"))</f>
        <v/>
      </c>
      <c r="L365" s="68">
        <f>IF($A365="","",SUMIFS('Mouvements stock'!$F$5:$F$3004,'Mouvements stock'!$D$5:$D$3004,$A365,'Mouvements stock'!$C$5:$C$3004,"Sortie"))</f>
        <v/>
      </c>
      <c r="M365" s="79">
        <f>IF($A365="","",N(J365)+N(K365)-N(L365))</f>
        <v/>
      </c>
      <c r="N365" s="67" t="n"/>
      <c r="O365" s="67" t="n"/>
      <c r="P365" s="67" t="n"/>
      <c r="Q365" s="67" t="n"/>
      <c r="R365" s="70">
        <f>IF($A365="","",MAX(0,M365)*N(I365))</f>
        <v/>
      </c>
      <c r="S365" s="9">
        <f>IF($A365="","",IF(M365&lt;=0,IF(N(P365)&gt;0,"Rupture - en cde","RUPTURE"),IF(M365+N(P365)&lt;=N365,"À COMMANDER",IF(M365&lt;=N365,"Commande en cours","OK"))))</f>
        <v/>
      </c>
      <c r="T365" s="68">
        <f>IF($A365="","",IF(OR(S365="À COMMANDER",S365="RUPTURE"),MAX(1,O365-M365-N(P365)),0))</f>
        <v/>
      </c>
      <c r="U365" s="68">
        <f>IF($A365="","",SUMIFS('Mouvements stock'!$F$5:$F$3004,'Mouvements stock'!$D$5:$D$3004,$A365,'Mouvements stock'!$C$5:$C$3004,"Sortie",'Mouvements stock'!$B$5:$B$3004,"&gt;="&amp;'Paramètres'!$AA$6,'Mouvements stock'!$B$5:$B$3004,"&lt;"&amp;('Paramètres'!$AA$7+1)))</f>
        <v/>
      </c>
      <c r="V365" s="78">
        <f>IF($A365="","",IF(COUNTIF('Mouvements stock'!$D$5:$D$3004,$A365)=0,"",_xlfn.MAXIFS('Mouvements stock'!$B$5:$B$3004,'Mouvements stock'!$D$5:$D$3004,$A365)))</f>
        <v/>
      </c>
    </row>
    <row r="366">
      <c r="A366" s="7" t="n"/>
      <c r="B366" s="7" t="n"/>
      <c r="C366" s="7" t="n"/>
      <c r="D366" s="7" t="n"/>
      <c r="E366" s="7" t="n"/>
      <c r="F366" s="7" t="n"/>
      <c r="G366" s="7" t="n"/>
      <c r="H366" s="7" t="n"/>
      <c r="I366" s="80" t="n"/>
      <c r="J366" s="67" t="n"/>
      <c r="K366" s="68">
        <f>IF($A366="","",SUMIFS('Mouvements stock'!$F$5:$F$3004,'Mouvements stock'!$D$5:$D$3004,$A366,'Mouvements stock'!$C$5:$C$3004,"Entrée")+SUMIFS('Mouvements stock'!$F$5:$F$3004,'Mouvements stock'!$D$5:$D$3004,$A366,'Mouvements stock'!$C$5:$C$3004,"Retour"))</f>
        <v/>
      </c>
      <c r="L366" s="68">
        <f>IF($A366="","",SUMIFS('Mouvements stock'!$F$5:$F$3004,'Mouvements stock'!$D$5:$D$3004,$A366,'Mouvements stock'!$C$5:$C$3004,"Sortie"))</f>
        <v/>
      </c>
      <c r="M366" s="79">
        <f>IF($A366="","",N(J366)+N(K366)-N(L366))</f>
        <v/>
      </c>
      <c r="N366" s="67" t="n"/>
      <c r="O366" s="67" t="n"/>
      <c r="P366" s="67" t="n"/>
      <c r="Q366" s="67" t="n"/>
      <c r="R366" s="70">
        <f>IF($A366="","",MAX(0,M366)*N(I366))</f>
        <v/>
      </c>
      <c r="S366" s="9">
        <f>IF($A366="","",IF(M366&lt;=0,IF(N(P366)&gt;0,"Rupture - en cde","RUPTURE"),IF(M366+N(P366)&lt;=N366,"À COMMANDER",IF(M366&lt;=N366,"Commande en cours","OK"))))</f>
        <v/>
      </c>
      <c r="T366" s="68">
        <f>IF($A366="","",IF(OR(S366="À COMMANDER",S366="RUPTURE"),MAX(1,O366-M366-N(P366)),0))</f>
        <v/>
      </c>
      <c r="U366" s="68">
        <f>IF($A366="","",SUMIFS('Mouvements stock'!$F$5:$F$3004,'Mouvements stock'!$D$5:$D$3004,$A366,'Mouvements stock'!$C$5:$C$3004,"Sortie",'Mouvements stock'!$B$5:$B$3004,"&gt;="&amp;'Paramètres'!$AA$6,'Mouvements stock'!$B$5:$B$3004,"&lt;"&amp;('Paramètres'!$AA$7+1)))</f>
        <v/>
      </c>
      <c r="V366" s="78">
        <f>IF($A366="","",IF(COUNTIF('Mouvements stock'!$D$5:$D$3004,$A366)=0,"",_xlfn.MAXIFS('Mouvements stock'!$B$5:$B$3004,'Mouvements stock'!$D$5:$D$3004,$A366)))</f>
        <v/>
      </c>
    </row>
    <row r="367">
      <c r="A367" s="7" t="n"/>
      <c r="B367" s="7" t="n"/>
      <c r="C367" s="7" t="n"/>
      <c r="D367" s="7" t="n"/>
      <c r="E367" s="7" t="n"/>
      <c r="F367" s="7" t="n"/>
      <c r="G367" s="7" t="n"/>
      <c r="H367" s="7" t="n"/>
      <c r="I367" s="80" t="n"/>
      <c r="J367" s="67" t="n"/>
      <c r="K367" s="68">
        <f>IF($A367="","",SUMIFS('Mouvements stock'!$F$5:$F$3004,'Mouvements stock'!$D$5:$D$3004,$A367,'Mouvements stock'!$C$5:$C$3004,"Entrée")+SUMIFS('Mouvements stock'!$F$5:$F$3004,'Mouvements stock'!$D$5:$D$3004,$A367,'Mouvements stock'!$C$5:$C$3004,"Retour"))</f>
        <v/>
      </c>
      <c r="L367" s="68">
        <f>IF($A367="","",SUMIFS('Mouvements stock'!$F$5:$F$3004,'Mouvements stock'!$D$5:$D$3004,$A367,'Mouvements stock'!$C$5:$C$3004,"Sortie"))</f>
        <v/>
      </c>
      <c r="M367" s="79">
        <f>IF($A367="","",N(J367)+N(K367)-N(L367))</f>
        <v/>
      </c>
      <c r="N367" s="67" t="n"/>
      <c r="O367" s="67" t="n"/>
      <c r="P367" s="67" t="n"/>
      <c r="Q367" s="67" t="n"/>
      <c r="R367" s="70">
        <f>IF($A367="","",MAX(0,M367)*N(I367))</f>
        <v/>
      </c>
      <c r="S367" s="9">
        <f>IF($A367="","",IF(M367&lt;=0,IF(N(P367)&gt;0,"Rupture - en cde","RUPTURE"),IF(M367+N(P367)&lt;=N367,"À COMMANDER",IF(M367&lt;=N367,"Commande en cours","OK"))))</f>
        <v/>
      </c>
      <c r="T367" s="68">
        <f>IF($A367="","",IF(OR(S367="À COMMANDER",S367="RUPTURE"),MAX(1,O367-M367-N(P367)),0))</f>
        <v/>
      </c>
      <c r="U367" s="68">
        <f>IF($A367="","",SUMIFS('Mouvements stock'!$F$5:$F$3004,'Mouvements stock'!$D$5:$D$3004,$A367,'Mouvements stock'!$C$5:$C$3004,"Sortie",'Mouvements stock'!$B$5:$B$3004,"&gt;="&amp;'Paramètres'!$AA$6,'Mouvements stock'!$B$5:$B$3004,"&lt;"&amp;('Paramètres'!$AA$7+1)))</f>
        <v/>
      </c>
      <c r="V367" s="78">
        <f>IF($A367="","",IF(COUNTIF('Mouvements stock'!$D$5:$D$3004,$A367)=0,"",_xlfn.MAXIFS('Mouvements stock'!$B$5:$B$3004,'Mouvements stock'!$D$5:$D$3004,$A367)))</f>
        <v/>
      </c>
    </row>
    <row r="368">
      <c r="A368" s="7" t="n"/>
      <c r="B368" s="7" t="n"/>
      <c r="C368" s="7" t="n"/>
      <c r="D368" s="7" t="n"/>
      <c r="E368" s="7" t="n"/>
      <c r="F368" s="7" t="n"/>
      <c r="G368" s="7" t="n"/>
      <c r="H368" s="7" t="n"/>
      <c r="I368" s="80" t="n"/>
      <c r="J368" s="67" t="n"/>
      <c r="K368" s="68">
        <f>IF($A368="","",SUMIFS('Mouvements stock'!$F$5:$F$3004,'Mouvements stock'!$D$5:$D$3004,$A368,'Mouvements stock'!$C$5:$C$3004,"Entrée")+SUMIFS('Mouvements stock'!$F$5:$F$3004,'Mouvements stock'!$D$5:$D$3004,$A368,'Mouvements stock'!$C$5:$C$3004,"Retour"))</f>
        <v/>
      </c>
      <c r="L368" s="68">
        <f>IF($A368="","",SUMIFS('Mouvements stock'!$F$5:$F$3004,'Mouvements stock'!$D$5:$D$3004,$A368,'Mouvements stock'!$C$5:$C$3004,"Sortie"))</f>
        <v/>
      </c>
      <c r="M368" s="79">
        <f>IF($A368="","",N(J368)+N(K368)-N(L368))</f>
        <v/>
      </c>
      <c r="N368" s="67" t="n"/>
      <c r="O368" s="67" t="n"/>
      <c r="P368" s="67" t="n"/>
      <c r="Q368" s="67" t="n"/>
      <c r="R368" s="70">
        <f>IF($A368="","",MAX(0,M368)*N(I368))</f>
        <v/>
      </c>
      <c r="S368" s="9">
        <f>IF($A368="","",IF(M368&lt;=0,IF(N(P368)&gt;0,"Rupture - en cde","RUPTURE"),IF(M368+N(P368)&lt;=N368,"À COMMANDER",IF(M368&lt;=N368,"Commande en cours","OK"))))</f>
        <v/>
      </c>
      <c r="T368" s="68">
        <f>IF($A368="","",IF(OR(S368="À COMMANDER",S368="RUPTURE"),MAX(1,O368-M368-N(P368)),0))</f>
        <v/>
      </c>
      <c r="U368" s="68">
        <f>IF($A368="","",SUMIFS('Mouvements stock'!$F$5:$F$3004,'Mouvements stock'!$D$5:$D$3004,$A368,'Mouvements stock'!$C$5:$C$3004,"Sortie",'Mouvements stock'!$B$5:$B$3004,"&gt;="&amp;'Paramètres'!$AA$6,'Mouvements stock'!$B$5:$B$3004,"&lt;"&amp;('Paramètres'!$AA$7+1)))</f>
        <v/>
      </c>
      <c r="V368" s="78">
        <f>IF($A368="","",IF(COUNTIF('Mouvements stock'!$D$5:$D$3004,$A368)=0,"",_xlfn.MAXIFS('Mouvements stock'!$B$5:$B$3004,'Mouvements stock'!$D$5:$D$3004,$A368)))</f>
        <v/>
      </c>
    </row>
    <row r="369">
      <c r="A369" s="7" t="n"/>
      <c r="B369" s="7" t="n"/>
      <c r="C369" s="7" t="n"/>
      <c r="D369" s="7" t="n"/>
      <c r="E369" s="7" t="n"/>
      <c r="F369" s="7" t="n"/>
      <c r="G369" s="7" t="n"/>
      <c r="H369" s="7" t="n"/>
      <c r="I369" s="80" t="n"/>
      <c r="J369" s="67" t="n"/>
      <c r="K369" s="68">
        <f>IF($A369="","",SUMIFS('Mouvements stock'!$F$5:$F$3004,'Mouvements stock'!$D$5:$D$3004,$A369,'Mouvements stock'!$C$5:$C$3004,"Entrée")+SUMIFS('Mouvements stock'!$F$5:$F$3004,'Mouvements stock'!$D$5:$D$3004,$A369,'Mouvements stock'!$C$5:$C$3004,"Retour"))</f>
        <v/>
      </c>
      <c r="L369" s="68">
        <f>IF($A369="","",SUMIFS('Mouvements stock'!$F$5:$F$3004,'Mouvements stock'!$D$5:$D$3004,$A369,'Mouvements stock'!$C$5:$C$3004,"Sortie"))</f>
        <v/>
      </c>
      <c r="M369" s="79">
        <f>IF($A369="","",N(J369)+N(K369)-N(L369))</f>
        <v/>
      </c>
      <c r="N369" s="67" t="n"/>
      <c r="O369" s="67" t="n"/>
      <c r="P369" s="67" t="n"/>
      <c r="Q369" s="67" t="n"/>
      <c r="R369" s="70">
        <f>IF($A369="","",MAX(0,M369)*N(I369))</f>
        <v/>
      </c>
      <c r="S369" s="9">
        <f>IF($A369="","",IF(M369&lt;=0,IF(N(P369)&gt;0,"Rupture - en cde","RUPTURE"),IF(M369+N(P369)&lt;=N369,"À COMMANDER",IF(M369&lt;=N369,"Commande en cours","OK"))))</f>
        <v/>
      </c>
      <c r="T369" s="68">
        <f>IF($A369="","",IF(OR(S369="À COMMANDER",S369="RUPTURE"),MAX(1,O369-M369-N(P369)),0))</f>
        <v/>
      </c>
      <c r="U369" s="68">
        <f>IF($A369="","",SUMIFS('Mouvements stock'!$F$5:$F$3004,'Mouvements stock'!$D$5:$D$3004,$A369,'Mouvements stock'!$C$5:$C$3004,"Sortie",'Mouvements stock'!$B$5:$B$3004,"&gt;="&amp;'Paramètres'!$AA$6,'Mouvements stock'!$B$5:$B$3004,"&lt;"&amp;('Paramètres'!$AA$7+1)))</f>
        <v/>
      </c>
      <c r="V369" s="78">
        <f>IF($A369="","",IF(COUNTIF('Mouvements stock'!$D$5:$D$3004,$A369)=0,"",_xlfn.MAXIFS('Mouvements stock'!$B$5:$B$3004,'Mouvements stock'!$D$5:$D$3004,$A369)))</f>
        <v/>
      </c>
    </row>
    <row r="370">
      <c r="A370" s="7" t="n"/>
      <c r="B370" s="7" t="n"/>
      <c r="C370" s="7" t="n"/>
      <c r="D370" s="7" t="n"/>
      <c r="E370" s="7" t="n"/>
      <c r="F370" s="7" t="n"/>
      <c r="G370" s="7" t="n"/>
      <c r="H370" s="7" t="n"/>
      <c r="I370" s="80" t="n"/>
      <c r="J370" s="67" t="n"/>
      <c r="K370" s="68">
        <f>IF($A370="","",SUMIFS('Mouvements stock'!$F$5:$F$3004,'Mouvements stock'!$D$5:$D$3004,$A370,'Mouvements stock'!$C$5:$C$3004,"Entrée")+SUMIFS('Mouvements stock'!$F$5:$F$3004,'Mouvements stock'!$D$5:$D$3004,$A370,'Mouvements stock'!$C$5:$C$3004,"Retour"))</f>
        <v/>
      </c>
      <c r="L370" s="68">
        <f>IF($A370="","",SUMIFS('Mouvements stock'!$F$5:$F$3004,'Mouvements stock'!$D$5:$D$3004,$A370,'Mouvements stock'!$C$5:$C$3004,"Sortie"))</f>
        <v/>
      </c>
      <c r="M370" s="79">
        <f>IF($A370="","",N(J370)+N(K370)-N(L370))</f>
        <v/>
      </c>
      <c r="N370" s="67" t="n"/>
      <c r="O370" s="67" t="n"/>
      <c r="P370" s="67" t="n"/>
      <c r="Q370" s="67" t="n"/>
      <c r="R370" s="70">
        <f>IF($A370="","",MAX(0,M370)*N(I370))</f>
        <v/>
      </c>
      <c r="S370" s="9">
        <f>IF($A370="","",IF(M370&lt;=0,IF(N(P370)&gt;0,"Rupture - en cde","RUPTURE"),IF(M370+N(P370)&lt;=N370,"À COMMANDER",IF(M370&lt;=N370,"Commande en cours","OK"))))</f>
        <v/>
      </c>
      <c r="T370" s="68">
        <f>IF($A370="","",IF(OR(S370="À COMMANDER",S370="RUPTURE"),MAX(1,O370-M370-N(P370)),0))</f>
        <v/>
      </c>
      <c r="U370" s="68">
        <f>IF($A370="","",SUMIFS('Mouvements stock'!$F$5:$F$3004,'Mouvements stock'!$D$5:$D$3004,$A370,'Mouvements stock'!$C$5:$C$3004,"Sortie",'Mouvements stock'!$B$5:$B$3004,"&gt;="&amp;'Paramètres'!$AA$6,'Mouvements stock'!$B$5:$B$3004,"&lt;"&amp;('Paramètres'!$AA$7+1)))</f>
        <v/>
      </c>
      <c r="V370" s="78">
        <f>IF($A370="","",IF(COUNTIF('Mouvements stock'!$D$5:$D$3004,$A370)=0,"",_xlfn.MAXIFS('Mouvements stock'!$B$5:$B$3004,'Mouvements stock'!$D$5:$D$3004,$A370)))</f>
        <v/>
      </c>
    </row>
    <row r="371">
      <c r="A371" s="7" t="n"/>
      <c r="B371" s="7" t="n"/>
      <c r="C371" s="7" t="n"/>
      <c r="D371" s="7" t="n"/>
      <c r="E371" s="7" t="n"/>
      <c r="F371" s="7" t="n"/>
      <c r="G371" s="7" t="n"/>
      <c r="H371" s="7" t="n"/>
      <c r="I371" s="80" t="n"/>
      <c r="J371" s="67" t="n"/>
      <c r="K371" s="68">
        <f>IF($A371="","",SUMIFS('Mouvements stock'!$F$5:$F$3004,'Mouvements stock'!$D$5:$D$3004,$A371,'Mouvements stock'!$C$5:$C$3004,"Entrée")+SUMIFS('Mouvements stock'!$F$5:$F$3004,'Mouvements stock'!$D$5:$D$3004,$A371,'Mouvements stock'!$C$5:$C$3004,"Retour"))</f>
        <v/>
      </c>
      <c r="L371" s="68">
        <f>IF($A371="","",SUMIFS('Mouvements stock'!$F$5:$F$3004,'Mouvements stock'!$D$5:$D$3004,$A371,'Mouvements stock'!$C$5:$C$3004,"Sortie"))</f>
        <v/>
      </c>
      <c r="M371" s="79">
        <f>IF($A371="","",N(J371)+N(K371)-N(L371))</f>
        <v/>
      </c>
      <c r="N371" s="67" t="n"/>
      <c r="O371" s="67" t="n"/>
      <c r="P371" s="67" t="n"/>
      <c r="Q371" s="67" t="n"/>
      <c r="R371" s="70">
        <f>IF($A371="","",MAX(0,M371)*N(I371))</f>
        <v/>
      </c>
      <c r="S371" s="9">
        <f>IF($A371="","",IF(M371&lt;=0,IF(N(P371)&gt;0,"Rupture - en cde","RUPTURE"),IF(M371+N(P371)&lt;=N371,"À COMMANDER",IF(M371&lt;=N371,"Commande en cours","OK"))))</f>
        <v/>
      </c>
      <c r="T371" s="68">
        <f>IF($A371="","",IF(OR(S371="À COMMANDER",S371="RUPTURE"),MAX(1,O371-M371-N(P371)),0))</f>
        <v/>
      </c>
      <c r="U371" s="68">
        <f>IF($A371="","",SUMIFS('Mouvements stock'!$F$5:$F$3004,'Mouvements stock'!$D$5:$D$3004,$A371,'Mouvements stock'!$C$5:$C$3004,"Sortie",'Mouvements stock'!$B$5:$B$3004,"&gt;="&amp;'Paramètres'!$AA$6,'Mouvements stock'!$B$5:$B$3004,"&lt;"&amp;('Paramètres'!$AA$7+1)))</f>
        <v/>
      </c>
      <c r="V371" s="78">
        <f>IF($A371="","",IF(COUNTIF('Mouvements stock'!$D$5:$D$3004,$A371)=0,"",_xlfn.MAXIFS('Mouvements stock'!$B$5:$B$3004,'Mouvements stock'!$D$5:$D$3004,$A371)))</f>
        <v/>
      </c>
    </row>
    <row r="372">
      <c r="A372" s="7" t="n"/>
      <c r="B372" s="7" t="n"/>
      <c r="C372" s="7" t="n"/>
      <c r="D372" s="7" t="n"/>
      <c r="E372" s="7" t="n"/>
      <c r="F372" s="7" t="n"/>
      <c r="G372" s="7" t="n"/>
      <c r="H372" s="7" t="n"/>
      <c r="I372" s="80" t="n"/>
      <c r="J372" s="67" t="n"/>
      <c r="K372" s="68">
        <f>IF($A372="","",SUMIFS('Mouvements stock'!$F$5:$F$3004,'Mouvements stock'!$D$5:$D$3004,$A372,'Mouvements stock'!$C$5:$C$3004,"Entrée")+SUMIFS('Mouvements stock'!$F$5:$F$3004,'Mouvements stock'!$D$5:$D$3004,$A372,'Mouvements stock'!$C$5:$C$3004,"Retour"))</f>
        <v/>
      </c>
      <c r="L372" s="68">
        <f>IF($A372="","",SUMIFS('Mouvements stock'!$F$5:$F$3004,'Mouvements stock'!$D$5:$D$3004,$A372,'Mouvements stock'!$C$5:$C$3004,"Sortie"))</f>
        <v/>
      </c>
      <c r="M372" s="79">
        <f>IF($A372="","",N(J372)+N(K372)-N(L372))</f>
        <v/>
      </c>
      <c r="N372" s="67" t="n"/>
      <c r="O372" s="67" t="n"/>
      <c r="P372" s="67" t="n"/>
      <c r="Q372" s="67" t="n"/>
      <c r="R372" s="70">
        <f>IF($A372="","",MAX(0,M372)*N(I372))</f>
        <v/>
      </c>
      <c r="S372" s="9">
        <f>IF($A372="","",IF(M372&lt;=0,IF(N(P372)&gt;0,"Rupture - en cde","RUPTURE"),IF(M372+N(P372)&lt;=N372,"À COMMANDER",IF(M372&lt;=N372,"Commande en cours","OK"))))</f>
        <v/>
      </c>
      <c r="T372" s="68">
        <f>IF($A372="","",IF(OR(S372="À COMMANDER",S372="RUPTURE"),MAX(1,O372-M372-N(P372)),0))</f>
        <v/>
      </c>
      <c r="U372" s="68">
        <f>IF($A372="","",SUMIFS('Mouvements stock'!$F$5:$F$3004,'Mouvements stock'!$D$5:$D$3004,$A372,'Mouvements stock'!$C$5:$C$3004,"Sortie",'Mouvements stock'!$B$5:$B$3004,"&gt;="&amp;'Paramètres'!$AA$6,'Mouvements stock'!$B$5:$B$3004,"&lt;"&amp;('Paramètres'!$AA$7+1)))</f>
        <v/>
      </c>
      <c r="V372" s="78">
        <f>IF($A372="","",IF(COUNTIF('Mouvements stock'!$D$5:$D$3004,$A372)=0,"",_xlfn.MAXIFS('Mouvements stock'!$B$5:$B$3004,'Mouvements stock'!$D$5:$D$3004,$A372)))</f>
        <v/>
      </c>
    </row>
    <row r="373">
      <c r="A373" s="7" t="n"/>
      <c r="B373" s="7" t="n"/>
      <c r="C373" s="7" t="n"/>
      <c r="D373" s="7" t="n"/>
      <c r="E373" s="7" t="n"/>
      <c r="F373" s="7" t="n"/>
      <c r="G373" s="7" t="n"/>
      <c r="H373" s="7" t="n"/>
      <c r="I373" s="80" t="n"/>
      <c r="J373" s="67" t="n"/>
      <c r="K373" s="68">
        <f>IF($A373="","",SUMIFS('Mouvements stock'!$F$5:$F$3004,'Mouvements stock'!$D$5:$D$3004,$A373,'Mouvements stock'!$C$5:$C$3004,"Entrée")+SUMIFS('Mouvements stock'!$F$5:$F$3004,'Mouvements stock'!$D$5:$D$3004,$A373,'Mouvements stock'!$C$5:$C$3004,"Retour"))</f>
        <v/>
      </c>
      <c r="L373" s="68">
        <f>IF($A373="","",SUMIFS('Mouvements stock'!$F$5:$F$3004,'Mouvements stock'!$D$5:$D$3004,$A373,'Mouvements stock'!$C$5:$C$3004,"Sortie"))</f>
        <v/>
      </c>
      <c r="M373" s="79">
        <f>IF($A373="","",N(J373)+N(K373)-N(L373))</f>
        <v/>
      </c>
      <c r="N373" s="67" t="n"/>
      <c r="O373" s="67" t="n"/>
      <c r="P373" s="67" t="n"/>
      <c r="Q373" s="67" t="n"/>
      <c r="R373" s="70">
        <f>IF($A373="","",MAX(0,M373)*N(I373))</f>
        <v/>
      </c>
      <c r="S373" s="9">
        <f>IF($A373="","",IF(M373&lt;=0,IF(N(P373)&gt;0,"Rupture - en cde","RUPTURE"),IF(M373+N(P373)&lt;=N373,"À COMMANDER",IF(M373&lt;=N373,"Commande en cours","OK"))))</f>
        <v/>
      </c>
      <c r="T373" s="68">
        <f>IF($A373="","",IF(OR(S373="À COMMANDER",S373="RUPTURE"),MAX(1,O373-M373-N(P373)),0))</f>
        <v/>
      </c>
      <c r="U373" s="68">
        <f>IF($A373="","",SUMIFS('Mouvements stock'!$F$5:$F$3004,'Mouvements stock'!$D$5:$D$3004,$A373,'Mouvements stock'!$C$5:$C$3004,"Sortie",'Mouvements stock'!$B$5:$B$3004,"&gt;="&amp;'Paramètres'!$AA$6,'Mouvements stock'!$B$5:$B$3004,"&lt;"&amp;('Paramètres'!$AA$7+1)))</f>
        <v/>
      </c>
      <c r="V373" s="78">
        <f>IF($A373="","",IF(COUNTIF('Mouvements stock'!$D$5:$D$3004,$A373)=0,"",_xlfn.MAXIFS('Mouvements stock'!$B$5:$B$3004,'Mouvements stock'!$D$5:$D$3004,$A373)))</f>
        <v/>
      </c>
    </row>
    <row r="374">
      <c r="A374" s="7" t="n"/>
      <c r="B374" s="7" t="n"/>
      <c r="C374" s="7" t="n"/>
      <c r="D374" s="7" t="n"/>
      <c r="E374" s="7" t="n"/>
      <c r="F374" s="7" t="n"/>
      <c r="G374" s="7" t="n"/>
      <c r="H374" s="7" t="n"/>
      <c r="I374" s="80" t="n"/>
      <c r="J374" s="67" t="n"/>
      <c r="K374" s="68">
        <f>IF($A374="","",SUMIFS('Mouvements stock'!$F$5:$F$3004,'Mouvements stock'!$D$5:$D$3004,$A374,'Mouvements stock'!$C$5:$C$3004,"Entrée")+SUMIFS('Mouvements stock'!$F$5:$F$3004,'Mouvements stock'!$D$5:$D$3004,$A374,'Mouvements stock'!$C$5:$C$3004,"Retour"))</f>
        <v/>
      </c>
      <c r="L374" s="68">
        <f>IF($A374="","",SUMIFS('Mouvements stock'!$F$5:$F$3004,'Mouvements stock'!$D$5:$D$3004,$A374,'Mouvements stock'!$C$5:$C$3004,"Sortie"))</f>
        <v/>
      </c>
      <c r="M374" s="79">
        <f>IF($A374="","",N(J374)+N(K374)-N(L374))</f>
        <v/>
      </c>
      <c r="N374" s="67" t="n"/>
      <c r="O374" s="67" t="n"/>
      <c r="P374" s="67" t="n"/>
      <c r="Q374" s="67" t="n"/>
      <c r="R374" s="70">
        <f>IF($A374="","",MAX(0,M374)*N(I374))</f>
        <v/>
      </c>
      <c r="S374" s="9">
        <f>IF($A374="","",IF(M374&lt;=0,IF(N(P374)&gt;0,"Rupture - en cde","RUPTURE"),IF(M374+N(P374)&lt;=N374,"À COMMANDER",IF(M374&lt;=N374,"Commande en cours","OK"))))</f>
        <v/>
      </c>
      <c r="T374" s="68">
        <f>IF($A374="","",IF(OR(S374="À COMMANDER",S374="RUPTURE"),MAX(1,O374-M374-N(P374)),0))</f>
        <v/>
      </c>
      <c r="U374" s="68">
        <f>IF($A374="","",SUMIFS('Mouvements stock'!$F$5:$F$3004,'Mouvements stock'!$D$5:$D$3004,$A374,'Mouvements stock'!$C$5:$C$3004,"Sortie",'Mouvements stock'!$B$5:$B$3004,"&gt;="&amp;'Paramètres'!$AA$6,'Mouvements stock'!$B$5:$B$3004,"&lt;"&amp;('Paramètres'!$AA$7+1)))</f>
        <v/>
      </c>
      <c r="V374" s="78">
        <f>IF($A374="","",IF(COUNTIF('Mouvements stock'!$D$5:$D$3004,$A374)=0,"",_xlfn.MAXIFS('Mouvements stock'!$B$5:$B$3004,'Mouvements stock'!$D$5:$D$3004,$A374)))</f>
        <v/>
      </c>
    </row>
    <row r="375">
      <c r="A375" s="7" t="n"/>
      <c r="B375" s="7" t="n"/>
      <c r="C375" s="7" t="n"/>
      <c r="D375" s="7" t="n"/>
      <c r="E375" s="7" t="n"/>
      <c r="F375" s="7" t="n"/>
      <c r="G375" s="7" t="n"/>
      <c r="H375" s="7" t="n"/>
      <c r="I375" s="80" t="n"/>
      <c r="J375" s="67" t="n"/>
      <c r="K375" s="68">
        <f>IF($A375="","",SUMIFS('Mouvements stock'!$F$5:$F$3004,'Mouvements stock'!$D$5:$D$3004,$A375,'Mouvements stock'!$C$5:$C$3004,"Entrée")+SUMIFS('Mouvements stock'!$F$5:$F$3004,'Mouvements stock'!$D$5:$D$3004,$A375,'Mouvements stock'!$C$5:$C$3004,"Retour"))</f>
        <v/>
      </c>
      <c r="L375" s="68">
        <f>IF($A375="","",SUMIFS('Mouvements stock'!$F$5:$F$3004,'Mouvements stock'!$D$5:$D$3004,$A375,'Mouvements stock'!$C$5:$C$3004,"Sortie"))</f>
        <v/>
      </c>
      <c r="M375" s="79">
        <f>IF($A375="","",N(J375)+N(K375)-N(L375))</f>
        <v/>
      </c>
      <c r="N375" s="67" t="n"/>
      <c r="O375" s="67" t="n"/>
      <c r="P375" s="67" t="n"/>
      <c r="Q375" s="67" t="n"/>
      <c r="R375" s="70">
        <f>IF($A375="","",MAX(0,M375)*N(I375))</f>
        <v/>
      </c>
      <c r="S375" s="9">
        <f>IF($A375="","",IF(M375&lt;=0,IF(N(P375)&gt;0,"Rupture - en cde","RUPTURE"),IF(M375+N(P375)&lt;=N375,"À COMMANDER",IF(M375&lt;=N375,"Commande en cours","OK"))))</f>
        <v/>
      </c>
      <c r="T375" s="68">
        <f>IF($A375="","",IF(OR(S375="À COMMANDER",S375="RUPTURE"),MAX(1,O375-M375-N(P375)),0))</f>
        <v/>
      </c>
      <c r="U375" s="68">
        <f>IF($A375="","",SUMIFS('Mouvements stock'!$F$5:$F$3004,'Mouvements stock'!$D$5:$D$3004,$A375,'Mouvements stock'!$C$5:$C$3004,"Sortie",'Mouvements stock'!$B$5:$B$3004,"&gt;="&amp;'Paramètres'!$AA$6,'Mouvements stock'!$B$5:$B$3004,"&lt;"&amp;('Paramètres'!$AA$7+1)))</f>
        <v/>
      </c>
      <c r="V375" s="78">
        <f>IF($A375="","",IF(COUNTIF('Mouvements stock'!$D$5:$D$3004,$A375)=0,"",_xlfn.MAXIFS('Mouvements stock'!$B$5:$B$3004,'Mouvements stock'!$D$5:$D$3004,$A375)))</f>
        <v/>
      </c>
    </row>
    <row r="376">
      <c r="A376" s="7" t="n"/>
      <c r="B376" s="7" t="n"/>
      <c r="C376" s="7" t="n"/>
      <c r="D376" s="7" t="n"/>
      <c r="E376" s="7" t="n"/>
      <c r="F376" s="7" t="n"/>
      <c r="G376" s="7" t="n"/>
      <c r="H376" s="7" t="n"/>
      <c r="I376" s="80" t="n"/>
      <c r="J376" s="67" t="n"/>
      <c r="K376" s="68">
        <f>IF($A376="","",SUMIFS('Mouvements stock'!$F$5:$F$3004,'Mouvements stock'!$D$5:$D$3004,$A376,'Mouvements stock'!$C$5:$C$3004,"Entrée")+SUMIFS('Mouvements stock'!$F$5:$F$3004,'Mouvements stock'!$D$5:$D$3004,$A376,'Mouvements stock'!$C$5:$C$3004,"Retour"))</f>
        <v/>
      </c>
      <c r="L376" s="68">
        <f>IF($A376="","",SUMIFS('Mouvements stock'!$F$5:$F$3004,'Mouvements stock'!$D$5:$D$3004,$A376,'Mouvements stock'!$C$5:$C$3004,"Sortie"))</f>
        <v/>
      </c>
      <c r="M376" s="79">
        <f>IF($A376="","",N(J376)+N(K376)-N(L376))</f>
        <v/>
      </c>
      <c r="N376" s="67" t="n"/>
      <c r="O376" s="67" t="n"/>
      <c r="P376" s="67" t="n"/>
      <c r="Q376" s="67" t="n"/>
      <c r="R376" s="70">
        <f>IF($A376="","",MAX(0,M376)*N(I376))</f>
        <v/>
      </c>
      <c r="S376" s="9">
        <f>IF($A376="","",IF(M376&lt;=0,IF(N(P376)&gt;0,"Rupture - en cde","RUPTURE"),IF(M376+N(P376)&lt;=N376,"À COMMANDER",IF(M376&lt;=N376,"Commande en cours","OK"))))</f>
        <v/>
      </c>
      <c r="T376" s="68">
        <f>IF($A376="","",IF(OR(S376="À COMMANDER",S376="RUPTURE"),MAX(1,O376-M376-N(P376)),0))</f>
        <v/>
      </c>
      <c r="U376" s="68">
        <f>IF($A376="","",SUMIFS('Mouvements stock'!$F$5:$F$3004,'Mouvements stock'!$D$5:$D$3004,$A376,'Mouvements stock'!$C$5:$C$3004,"Sortie",'Mouvements stock'!$B$5:$B$3004,"&gt;="&amp;'Paramètres'!$AA$6,'Mouvements stock'!$B$5:$B$3004,"&lt;"&amp;('Paramètres'!$AA$7+1)))</f>
        <v/>
      </c>
      <c r="V376" s="78">
        <f>IF($A376="","",IF(COUNTIF('Mouvements stock'!$D$5:$D$3004,$A376)=0,"",_xlfn.MAXIFS('Mouvements stock'!$B$5:$B$3004,'Mouvements stock'!$D$5:$D$3004,$A376)))</f>
        <v/>
      </c>
    </row>
    <row r="377">
      <c r="A377" s="7" t="n"/>
      <c r="B377" s="7" t="n"/>
      <c r="C377" s="7" t="n"/>
      <c r="D377" s="7" t="n"/>
      <c r="E377" s="7" t="n"/>
      <c r="F377" s="7" t="n"/>
      <c r="G377" s="7" t="n"/>
      <c r="H377" s="7" t="n"/>
      <c r="I377" s="80" t="n"/>
      <c r="J377" s="67" t="n"/>
      <c r="K377" s="68">
        <f>IF($A377="","",SUMIFS('Mouvements stock'!$F$5:$F$3004,'Mouvements stock'!$D$5:$D$3004,$A377,'Mouvements stock'!$C$5:$C$3004,"Entrée")+SUMIFS('Mouvements stock'!$F$5:$F$3004,'Mouvements stock'!$D$5:$D$3004,$A377,'Mouvements stock'!$C$5:$C$3004,"Retour"))</f>
        <v/>
      </c>
      <c r="L377" s="68">
        <f>IF($A377="","",SUMIFS('Mouvements stock'!$F$5:$F$3004,'Mouvements stock'!$D$5:$D$3004,$A377,'Mouvements stock'!$C$5:$C$3004,"Sortie"))</f>
        <v/>
      </c>
      <c r="M377" s="79">
        <f>IF($A377="","",N(J377)+N(K377)-N(L377))</f>
        <v/>
      </c>
      <c r="N377" s="67" t="n"/>
      <c r="O377" s="67" t="n"/>
      <c r="P377" s="67" t="n"/>
      <c r="Q377" s="67" t="n"/>
      <c r="R377" s="70">
        <f>IF($A377="","",MAX(0,M377)*N(I377))</f>
        <v/>
      </c>
      <c r="S377" s="9">
        <f>IF($A377="","",IF(M377&lt;=0,IF(N(P377)&gt;0,"Rupture - en cde","RUPTURE"),IF(M377+N(P377)&lt;=N377,"À COMMANDER",IF(M377&lt;=N377,"Commande en cours","OK"))))</f>
        <v/>
      </c>
      <c r="T377" s="68">
        <f>IF($A377="","",IF(OR(S377="À COMMANDER",S377="RUPTURE"),MAX(1,O377-M377-N(P377)),0))</f>
        <v/>
      </c>
      <c r="U377" s="68">
        <f>IF($A377="","",SUMIFS('Mouvements stock'!$F$5:$F$3004,'Mouvements stock'!$D$5:$D$3004,$A377,'Mouvements stock'!$C$5:$C$3004,"Sortie",'Mouvements stock'!$B$5:$B$3004,"&gt;="&amp;'Paramètres'!$AA$6,'Mouvements stock'!$B$5:$B$3004,"&lt;"&amp;('Paramètres'!$AA$7+1)))</f>
        <v/>
      </c>
      <c r="V377" s="78">
        <f>IF($A377="","",IF(COUNTIF('Mouvements stock'!$D$5:$D$3004,$A377)=0,"",_xlfn.MAXIFS('Mouvements stock'!$B$5:$B$3004,'Mouvements stock'!$D$5:$D$3004,$A377)))</f>
        <v/>
      </c>
    </row>
    <row r="378">
      <c r="A378" s="7" t="n"/>
      <c r="B378" s="7" t="n"/>
      <c r="C378" s="7" t="n"/>
      <c r="D378" s="7" t="n"/>
      <c r="E378" s="7" t="n"/>
      <c r="F378" s="7" t="n"/>
      <c r="G378" s="7" t="n"/>
      <c r="H378" s="7" t="n"/>
      <c r="I378" s="80" t="n"/>
      <c r="J378" s="67" t="n"/>
      <c r="K378" s="68">
        <f>IF($A378="","",SUMIFS('Mouvements stock'!$F$5:$F$3004,'Mouvements stock'!$D$5:$D$3004,$A378,'Mouvements stock'!$C$5:$C$3004,"Entrée")+SUMIFS('Mouvements stock'!$F$5:$F$3004,'Mouvements stock'!$D$5:$D$3004,$A378,'Mouvements stock'!$C$5:$C$3004,"Retour"))</f>
        <v/>
      </c>
      <c r="L378" s="68">
        <f>IF($A378="","",SUMIFS('Mouvements stock'!$F$5:$F$3004,'Mouvements stock'!$D$5:$D$3004,$A378,'Mouvements stock'!$C$5:$C$3004,"Sortie"))</f>
        <v/>
      </c>
      <c r="M378" s="79">
        <f>IF($A378="","",N(J378)+N(K378)-N(L378))</f>
        <v/>
      </c>
      <c r="N378" s="67" t="n"/>
      <c r="O378" s="67" t="n"/>
      <c r="P378" s="67" t="n"/>
      <c r="Q378" s="67" t="n"/>
      <c r="R378" s="70">
        <f>IF($A378="","",MAX(0,M378)*N(I378))</f>
        <v/>
      </c>
      <c r="S378" s="9">
        <f>IF($A378="","",IF(M378&lt;=0,IF(N(P378)&gt;0,"Rupture - en cde","RUPTURE"),IF(M378+N(P378)&lt;=N378,"À COMMANDER",IF(M378&lt;=N378,"Commande en cours","OK"))))</f>
        <v/>
      </c>
      <c r="T378" s="68">
        <f>IF($A378="","",IF(OR(S378="À COMMANDER",S378="RUPTURE"),MAX(1,O378-M378-N(P378)),0))</f>
        <v/>
      </c>
      <c r="U378" s="68">
        <f>IF($A378="","",SUMIFS('Mouvements stock'!$F$5:$F$3004,'Mouvements stock'!$D$5:$D$3004,$A378,'Mouvements stock'!$C$5:$C$3004,"Sortie",'Mouvements stock'!$B$5:$B$3004,"&gt;="&amp;'Paramètres'!$AA$6,'Mouvements stock'!$B$5:$B$3004,"&lt;"&amp;('Paramètres'!$AA$7+1)))</f>
        <v/>
      </c>
      <c r="V378" s="78">
        <f>IF($A378="","",IF(COUNTIF('Mouvements stock'!$D$5:$D$3004,$A378)=0,"",_xlfn.MAXIFS('Mouvements stock'!$B$5:$B$3004,'Mouvements stock'!$D$5:$D$3004,$A378)))</f>
        <v/>
      </c>
    </row>
    <row r="379">
      <c r="A379" s="7" t="n"/>
      <c r="B379" s="7" t="n"/>
      <c r="C379" s="7" t="n"/>
      <c r="D379" s="7" t="n"/>
      <c r="E379" s="7" t="n"/>
      <c r="F379" s="7" t="n"/>
      <c r="G379" s="7" t="n"/>
      <c r="H379" s="7" t="n"/>
      <c r="I379" s="80" t="n"/>
      <c r="J379" s="67" t="n"/>
      <c r="K379" s="68">
        <f>IF($A379="","",SUMIFS('Mouvements stock'!$F$5:$F$3004,'Mouvements stock'!$D$5:$D$3004,$A379,'Mouvements stock'!$C$5:$C$3004,"Entrée")+SUMIFS('Mouvements stock'!$F$5:$F$3004,'Mouvements stock'!$D$5:$D$3004,$A379,'Mouvements stock'!$C$5:$C$3004,"Retour"))</f>
        <v/>
      </c>
      <c r="L379" s="68">
        <f>IF($A379="","",SUMIFS('Mouvements stock'!$F$5:$F$3004,'Mouvements stock'!$D$5:$D$3004,$A379,'Mouvements stock'!$C$5:$C$3004,"Sortie"))</f>
        <v/>
      </c>
      <c r="M379" s="79">
        <f>IF($A379="","",N(J379)+N(K379)-N(L379))</f>
        <v/>
      </c>
      <c r="N379" s="67" t="n"/>
      <c r="O379" s="67" t="n"/>
      <c r="P379" s="67" t="n"/>
      <c r="Q379" s="67" t="n"/>
      <c r="R379" s="70">
        <f>IF($A379="","",MAX(0,M379)*N(I379))</f>
        <v/>
      </c>
      <c r="S379" s="9">
        <f>IF($A379="","",IF(M379&lt;=0,IF(N(P379)&gt;0,"Rupture - en cde","RUPTURE"),IF(M379+N(P379)&lt;=N379,"À COMMANDER",IF(M379&lt;=N379,"Commande en cours","OK"))))</f>
        <v/>
      </c>
      <c r="T379" s="68">
        <f>IF($A379="","",IF(OR(S379="À COMMANDER",S379="RUPTURE"),MAX(1,O379-M379-N(P379)),0))</f>
        <v/>
      </c>
      <c r="U379" s="68">
        <f>IF($A379="","",SUMIFS('Mouvements stock'!$F$5:$F$3004,'Mouvements stock'!$D$5:$D$3004,$A379,'Mouvements stock'!$C$5:$C$3004,"Sortie",'Mouvements stock'!$B$5:$B$3004,"&gt;="&amp;'Paramètres'!$AA$6,'Mouvements stock'!$B$5:$B$3004,"&lt;"&amp;('Paramètres'!$AA$7+1)))</f>
        <v/>
      </c>
      <c r="V379" s="78">
        <f>IF($A379="","",IF(COUNTIF('Mouvements stock'!$D$5:$D$3004,$A379)=0,"",_xlfn.MAXIFS('Mouvements stock'!$B$5:$B$3004,'Mouvements stock'!$D$5:$D$3004,$A379)))</f>
        <v/>
      </c>
    </row>
    <row r="380">
      <c r="A380" s="7" t="n"/>
      <c r="B380" s="7" t="n"/>
      <c r="C380" s="7" t="n"/>
      <c r="D380" s="7" t="n"/>
      <c r="E380" s="7" t="n"/>
      <c r="F380" s="7" t="n"/>
      <c r="G380" s="7" t="n"/>
      <c r="H380" s="7" t="n"/>
      <c r="I380" s="80" t="n"/>
      <c r="J380" s="67" t="n"/>
      <c r="K380" s="68">
        <f>IF($A380="","",SUMIFS('Mouvements stock'!$F$5:$F$3004,'Mouvements stock'!$D$5:$D$3004,$A380,'Mouvements stock'!$C$5:$C$3004,"Entrée")+SUMIFS('Mouvements stock'!$F$5:$F$3004,'Mouvements stock'!$D$5:$D$3004,$A380,'Mouvements stock'!$C$5:$C$3004,"Retour"))</f>
        <v/>
      </c>
      <c r="L380" s="68">
        <f>IF($A380="","",SUMIFS('Mouvements stock'!$F$5:$F$3004,'Mouvements stock'!$D$5:$D$3004,$A380,'Mouvements stock'!$C$5:$C$3004,"Sortie"))</f>
        <v/>
      </c>
      <c r="M380" s="79">
        <f>IF($A380="","",N(J380)+N(K380)-N(L380))</f>
        <v/>
      </c>
      <c r="N380" s="67" t="n"/>
      <c r="O380" s="67" t="n"/>
      <c r="P380" s="67" t="n"/>
      <c r="Q380" s="67" t="n"/>
      <c r="R380" s="70">
        <f>IF($A380="","",MAX(0,M380)*N(I380))</f>
        <v/>
      </c>
      <c r="S380" s="9">
        <f>IF($A380="","",IF(M380&lt;=0,IF(N(P380)&gt;0,"Rupture - en cde","RUPTURE"),IF(M380+N(P380)&lt;=N380,"À COMMANDER",IF(M380&lt;=N380,"Commande en cours","OK"))))</f>
        <v/>
      </c>
      <c r="T380" s="68">
        <f>IF($A380="","",IF(OR(S380="À COMMANDER",S380="RUPTURE"),MAX(1,O380-M380-N(P380)),0))</f>
        <v/>
      </c>
      <c r="U380" s="68">
        <f>IF($A380="","",SUMIFS('Mouvements stock'!$F$5:$F$3004,'Mouvements stock'!$D$5:$D$3004,$A380,'Mouvements stock'!$C$5:$C$3004,"Sortie",'Mouvements stock'!$B$5:$B$3004,"&gt;="&amp;'Paramètres'!$AA$6,'Mouvements stock'!$B$5:$B$3004,"&lt;"&amp;('Paramètres'!$AA$7+1)))</f>
        <v/>
      </c>
      <c r="V380" s="78">
        <f>IF($A380="","",IF(COUNTIF('Mouvements stock'!$D$5:$D$3004,$A380)=0,"",_xlfn.MAXIFS('Mouvements stock'!$B$5:$B$3004,'Mouvements stock'!$D$5:$D$3004,$A380)))</f>
        <v/>
      </c>
    </row>
    <row r="381">
      <c r="A381" s="7" t="n"/>
      <c r="B381" s="7" t="n"/>
      <c r="C381" s="7" t="n"/>
      <c r="D381" s="7" t="n"/>
      <c r="E381" s="7" t="n"/>
      <c r="F381" s="7" t="n"/>
      <c r="G381" s="7" t="n"/>
      <c r="H381" s="7" t="n"/>
      <c r="I381" s="80" t="n"/>
      <c r="J381" s="67" t="n"/>
      <c r="K381" s="68">
        <f>IF($A381="","",SUMIFS('Mouvements stock'!$F$5:$F$3004,'Mouvements stock'!$D$5:$D$3004,$A381,'Mouvements stock'!$C$5:$C$3004,"Entrée")+SUMIFS('Mouvements stock'!$F$5:$F$3004,'Mouvements stock'!$D$5:$D$3004,$A381,'Mouvements stock'!$C$5:$C$3004,"Retour"))</f>
        <v/>
      </c>
      <c r="L381" s="68">
        <f>IF($A381="","",SUMIFS('Mouvements stock'!$F$5:$F$3004,'Mouvements stock'!$D$5:$D$3004,$A381,'Mouvements stock'!$C$5:$C$3004,"Sortie"))</f>
        <v/>
      </c>
      <c r="M381" s="79">
        <f>IF($A381="","",N(J381)+N(K381)-N(L381))</f>
        <v/>
      </c>
      <c r="N381" s="67" t="n"/>
      <c r="O381" s="67" t="n"/>
      <c r="P381" s="67" t="n"/>
      <c r="Q381" s="67" t="n"/>
      <c r="R381" s="70">
        <f>IF($A381="","",MAX(0,M381)*N(I381))</f>
        <v/>
      </c>
      <c r="S381" s="9">
        <f>IF($A381="","",IF(M381&lt;=0,IF(N(P381)&gt;0,"Rupture - en cde","RUPTURE"),IF(M381+N(P381)&lt;=N381,"À COMMANDER",IF(M381&lt;=N381,"Commande en cours","OK"))))</f>
        <v/>
      </c>
      <c r="T381" s="68">
        <f>IF($A381="","",IF(OR(S381="À COMMANDER",S381="RUPTURE"),MAX(1,O381-M381-N(P381)),0))</f>
        <v/>
      </c>
      <c r="U381" s="68">
        <f>IF($A381="","",SUMIFS('Mouvements stock'!$F$5:$F$3004,'Mouvements stock'!$D$5:$D$3004,$A381,'Mouvements stock'!$C$5:$C$3004,"Sortie",'Mouvements stock'!$B$5:$B$3004,"&gt;="&amp;'Paramètres'!$AA$6,'Mouvements stock'!$B$5:$B$3004,"&lt;"&amp;('Paramètres'!$AA$7+1)))</f>
        <v/>
      </c>
      <c r="V381" s="78">
        <f>IF($A381="","",IF(COUNTIF('Mouvements stock'!$D$5:$D$3004,$A381)=0,"",_xlfn.MAXIFS('Mouvements stock'!$B$5:$B$3004,'Mouvements stock'!$D$5:$D$3004,$A381)))</f>
        <v/>
      </c>
    </row>
    <row r="382">
      <c r="A382" s="7" t="n"/>
      <c r="B382" s="7" t="n"/>
      <c r="C382" s="7" t="n"/>
      <c r="D382" s="7" t="n"/>
      <c r="E382" s="7" t="n"/>
      <c r="F382" s="7" t="n"/>
      <c r="G382" s="7" t="n"/>
      <c r="H382" s="7" t="n"/>
      <c r="I382" s="80" t="n"/>
      <c r="J382" s="67" t="n"/>
      <c r="K382" s="68">
        <f>IF($A382="","",SUMIFS('Mouvements stock'!$F$5:$F$3004,'Mouvements stock'!$D$5:$D$3004,$A382,'Mouvements stock'!$C$5:$C$3004,"Entrée")+SUMIFS('Mouvements stock'!$F$5:$F$3004,'Mouvements stock'!$D$5:$D$3004,$A382,'Mouvements stock'!$C$5:$C$3004,"Retour"))</f>
        <v/>
      </c>
      <c r="L382" s="68">
        <f>IF($A382="","",SUMIFS('Mouvements stock'!$F$5:$F$3004,'Mouvements stock'!$D$5:$D$3004,$A382,'Mouvements stock'!$C$5:$C$3004,"Sortie"))</f>
        <v/>
      </c>
      <c r="M382" s="79">
        <f>IF($A382="","",N(J382)+N(K382)-N(L382))</f>
        <v/>
      </c>
      <c r="N382" s="67" t="n"/>
      <c r="O382" s="67" t="n"/>
      <c r="P382" s="67" t="n"/>
      <c r="Q382" s="67" t="n"/>
      <c r="R382" s="70">
        <f>IF($A382="","",MAX(0,M382)*N(I382))</f>
        <v/>
      </c>
      <c r="S382" s="9">
        <f>IF($A382="","",IF(M382&lt;=0,IF(N(P382)&gt;0,"Rupture - en cde","RUPTURE"),IF(M382+N(P382)&lt;=N382,"À COMMANDER",IF(M382&lt;=N382,"Commande en cours","OK"))))</f>
        <v/>
      </c>
      <c r="T382" s="68">
        <f>IF($A382="","",IF(OR(S382="À COMMANDER",S382="RUPTURE"),MAX(1,O382-M382-N(P382)),0))</f>
        <v/>
      </c>
      <c r="U382" s="68">
        <f>IF($A382="","",SUMIFS('Mouvements stock'!$F$5:$F$3004,'Mouvements stock'!$D$5:$D$3004,$A382,'Mouvements stock'!$C$5:$C$3004,"Sortie",'Mouvements stock'!$B$5:$B$3004,"&gt;="&amp;'Paramètres'!$AA$6,'Mouvements stock'!$B$5:$B$3004,"&lt;"&amp;('Paramètres'!$AA$7+1)))</f>
        <v/>
      </c>
      <c r="V382" s="78">
        <f>IF($A382="","",IF(COUNTIF('Mouvements stock'!$D$5:$D$3004,$A382)=0,"",_xlfn.MAXIFS('Mouvements stock'!$B$5:$B$3004,'Mouvements stock'!$D$5:$D$3004,$A382)))</f>
        <v/>
      </c>
    </row>
    <row r="383">
      <c r="A383" s="7" t="n"/>
      <c r="B383" s="7" t="n"/>
      <c r="C383" s="7" t="n"/>
      <c r="D383" s="7" t="n"/>
      <c r="E383" s="7" t="n"/>
      <c r="F383" s="7" t="n"/>
      <c r="G383" s="7" t="n"/>
      <c r="H383" s="7" t="n"/>
      <c r="I383" s="80" t="n"/>
      <c r="J383" s="67" t="n"/>
      <c r="K383" s="68">
        <f>IF($A383="","",SUMIFS('Mouvements stock'!$F$5:$F$3004,'Mouvements stock'!$D$5:$D$3004,$A383,'Mouvements stock'!$C$5:$C$3004,"Entrée")+SUMIFS('Mouvements stock'!$F$5:$F$3004,'Mouvements stock'!$D$5:$D$3004,$A383,'Mouvements stock'!$C$5:$C$3004,"Retour"))</f>
        <v/>
      </c>
      <c r="L383" s="68">
        <f>IF($A383="","",SUMIFS('Mouvements stock'!$F$5:$F$3004,'Mouvements stock'!$D$5:$D$3004,$A383,'Mouvements stock'!$C$5:$C$3004,"Sortie"))</f>
        <v/>
      </c>
      <c r="M383" s="79">
        <f>IF($A383="","",N(J383)+N(K383)-N(L383))</f>
        <v/>
      </c>
      <c r="N383" s="67" t="n"/>
      <c r="O383" s="67" t="n"/>
      <c r="P383" s="67" t="n"/>
      <c r="Q383" s="67" t="n"/>
      <c r="R383" s="70">
        <f>IF($A383="","",MAX(0,M383)*N(I383))</f>
        <v/>
      </c>
      <c r="S383" s="9">
        <f>IF($A383="","",IF(M383&lt;=0,IF(N(P383)&gt;0,"Rupture - en cde","RUPTURE"),IF(M383+N(P383)&lt;=N383,"À COMMANDER",IF(M383&lt;=N383,"Commande en cours","OK"))))</f>
        <v/>
      </c>
      <c r="T383" s="68">
        <f>IF($A383="","",IF(OR(S383="À COMMANDER",S383="RUPTURE"),MAX(1,O383-M383-N(P383)),0))</f>
        <v/>
      </c>
      <c r="U383" s="68">
        <f>IF($A383="","",SUMIFS('Mouvements stock'!$F$5:$F$3004,'Mouvements stock'!$D$5:$D$3004,$A383,'Mouvements stock'!$C$5:$C$3004,"Sortie",'Mouvements stock'!$B$5:$B$3004,"&gt;="&amp;'Paramètres'!$AA$6,'Mouvements stock'!$B$5:$B$3004,"&lt;"&amp;('Paramètres'!$AA$7+1)))</f>
        <v/>
      </c>
      <c r="V383" s="78">
        <f>IF($A383="","",IF(COUNTIF('Mouvements stock'!$D$5:$D$3004,$A383)=0,"",_xlfn.MAXIFS('Mouvements stock'!$B$5:$B$3004,'Mouvements stock'!$D$5:$D$3004,$A383)))</f>
        <v/>
      </c>
    </row>
    <row r="384">
      <c r="A384" s="7" t="n"/>
      <c r="B384" s="7" t="n"/>
      <c r="C384" s="7" t="n"/>
      <c r="D384" s="7" t="n"/>
      <c r="E384" s="7" t="n"/>
      <c r="F384" s="7" t="n"/>
      <c r="G384" s="7" t="n"/>
      <c r="H384" s="7" t="n"/>
      <c r="I384" s="80" t="n"/>
      <c r="J384" s="67" t="n"/>
      <c r="K384" s="68">
        <f>IF($A384="","",SUMIFS('Mouvements stock'!$F$5:$F$3004,'Mouvements stock'!$D$5:$D$3004,$A384,'Mouvements stock'!$C$5:$C$3004,"Entrée")+SUMIFS('Mouvements stock'!$F$5:$F$3004,'Mouvements stock'!$D$5:$D$3004,$A384,'Mouvements stock'!$C$5:$C$3004,"Retour"))</f>
        <v/>
      </c>
      <c r="L384" s="68">
        <f>IF($A384="","",SUMIFS('Mouvements stock'!$F$5:$F$3004,'Mouvements stock'!$D$5:$D$3004,$A384,'Mouvements stock'!$C$5:$C$3004,"Sortie"))</f>
        <v/>
      </c>
      <c r="M384" s="79">
        <f>IF($A384="","",N(J384)+N(K384)-N(L384))</f>
        <v/>
      </c>
      <c r="N384" s="67" t="n"/>
      <c r="O384" s="67" t="n"/>
      <c r="P384" s="67" t="n"/>
      <c r="Q384" s="67" t="n"/>
      <c r="R384" s="70">
        <f>IF($A384="","",MAX(0,M384)*N(I384))</f>
        <v/>
      </c>
      <c r="S384" s="9">
        <f>IF($A384="","",IF(M384&lt;=0,IF(N(P384)&gt;0,"Rupture - en cde","RUPTURE"),IF(M384+N(P384)&lt;=N384,"À COMMANDER",IF(M384&lt;=N384,"Commande en cours","OK"))))</f>
        <v/>
      </c>
      <c r="T384" s="68">
        <f>IF($A384="","",IF(OR(S384="À COMMANDER",S384="RUPTURE"),MAX(1,O384-M384-N(P384)),0))</f>
        <v/>
      </c>
      <c r="U384" s="68">
        <f>IF($A384="","",SUMIFS('Mouvements stock'!$F$5:$F$3004,'Mouvements stock'!$D$5:$D$3004,$A384,'Mouvements stock'!$C$5:$C$3004,"Sortie",'Mouvements stock'!$B$5:$B$3004,"&gt;="&amp;'Paramètres'!$AA$6,'Mouvements stock'!$B$5:$B$3004,"&lt;"&amp;('Paramètres'!$AA$7+1)))</f>
        <v/>
      </c>
      <c r="V384" s="78">
        <f>IF($A384="","",IF(COUNTIF('Mouvements stock'!$D$5:$D$3004,$A384)=0,"",_xlfn.MAXIFS('Mouvements stock'!$B$5:$B$3004,'Mouvements stock'!$D$5:$D$3004,$A384)))</f>
        <v/>
      </c>
    </row>
    <row r="385">
      <c r="A385" s="7" t="n"/>
      <c r="B385" s="7" t="n"/>
      <c r="C385" s="7" t="n"/>
      <c r="D385" s="7" t="n"/>
      <c r="E385" s="7" t="n"/>
      <c r="F385" s="7" t="n"/>
      <c r="G385" s="7" t="n"/>
      <c r="H385" s="7" t="n"/>
      <c r="I385" s="80" t="n"/>
      <c r="J385" s="67" t="n"/>
      <c r="K385" s="68">
        <f>IF($A385="","",SUMIFS('Mouvements stock'!$F$5:$F$3004,'Mouvements stock'!$D$5:$D$3004,$A385,'Mouvements stock'!$C$5:$C$3004,"Entrée")+SUMIFS('Mouvements stock'!$F$5:$F$3004,'Mouvements stock'!$D$5:$D$3004,$A385,'Mouvements stock'!$C$5:$C$3004,"Retour"))</f>
        <v/>
      </c>
      <c r="L385" s="68">
        <f>IF($A385="","",SUMIFS('Mouvements stock'!$F$5:$F$3004,'Mouvements stock'!$D$5:$D$3004,$A385,'Mouvements stock'!$C$5:$C$3004,"Sortie"))</f>
        <v/>
      </c>
      <c r="M385" s="79">
        <f>IF($A385="","",N(J385)+N(K385)-N(L385))</f>
        <v/>
      </c>
      <c r="N385" s="67" t="n"/>
      <c r="O385" s="67" t="n"/>
      <c r="P385" s="67" t="n"/>
      <c r="Q385" s="67" t="n"/>
      <c r="R385" s="70">
        <f>IF($A385="","",MAX(0,M385)*N(I385))</f>
        <v/>
      </c>
      <c r="S385" s="9">
        <f>IF($A385="","",IF(M385&lt;=0,IF(N(P385)&gt;0,"Rupture - en cde","RUPTURE"),IF(M385+N(P385)&lt;=N385,"À COMMANDER",IF(M385&lt;=N385,"Commande en cours","OK"))))</f>
        <v/>
      </c>
      <c r="T385" s="68">
        <f>IF($A385="","",IF(OR(S385="À COMMANDER",S385="RUPTURE"),MAX(1,O385-M385-N(P385)),0))</f>
        <v/>
      </c>
      <c r="U385" s="68">
        <f>IF($A385="","",SUMIFS('Mouvements stock'!$F$5:$F$3004,'Mouvements stock'!$D$5:$D$3004,$A385,'Mouvements stock'!$C$5:$C$3004,"Sortie",'Mouvements stock'!$B$5:$B$3004,"&gt;="&amp;'Paramètres'!$AA$6,'Mouvements stock'!$B$5:$B$3004,"&lt;"&amp;('Paramètres'!$AA$7+1)))</f>
        <v/>
      </c>
      <c r="V385" s="78">
        <f>IF($A385="","",IF(COUNTIF('Mouvements stock'!$D$5:$D$3004,$A385)=0,"",_xlfn.MAXIFS('Mouvements stock'!$B$5:$B$3004,'Mouvements stock'!$D$5:$D$3004,$A385)))</f>
        <v/>
      </c>
    </row>
    <row r="386">
      <c r="A386" s="7" t="n"/>
      <c r="B386" s="7" t="n"/>
      <c r="C386" s="7" t="n"/>
      <c r="D386" s="7" t="n"/>
      <c r="E386" s="7" t="n"/>
      <c r="F386" s="7" t="n"/>
      <c r="G386" s="7" t="n"/>
      <c r="H386" s="7" t="n"/>
      <c r="I386" s="80" t="n"/>
      <c r="J386" s="67" t="n"/>
      <c r="K386" s="68">
        <f>IF($A386="","",SUMIFS('Mouvements stock'!$F$5:$F$3004,'Mouvements stock'!$D$5:$D$3004,$A386,'Mouvements stock'!$C$5:$C$3004,"Entrée")+SUMIFS('Mouvements stock'!$F$5:$F$3004,'Mouvements stock'!$D$5:$D$3004,$A386,'Mouvements stock'!$C$5:$C$3004,"Retour"))</f>
        <v/>
      </c>
      <c r="L386" s="68">
        <f>IF($A386="","",SUMIFS('Mouvements stock'!$F$5:$F$3004,'Mouvements stock'!$D$5:$D$3004,$A386,'Mouvements stock'!$C$5:$C$3004,"Sortie"))</f>
        <v/>
      </c>
      <c r="M386" s="79">
        <f>IF($A386="","",N(J386)+N(K386)-N(L386))</f>
        <v/>
      </c>
      <c r="N386" s="67" t="n"/>
      <c r="O386" s="67" t="n"/>
      <c r="P386" s="67" t="n"/>
      <c r="Q386" s="67" t="n"/>
      <c r="R386" s="70">
        <f>IF($A386="","",MAX(0,M386)*N(I386))</f>
        <v/>
      </c>
      <c r="S386" s="9">
        <f>IF($A386="","",IF(M386&lt;=0,IF(N(P386)&gt;0,"Rupture - en cde","RUPTURE"),IF(M386+N(P386)&lt;=N386,"À COMMANDER",IF(M386&lt;=N386,"Commande en cours","OK"))))</f>
        <v/>
      </c>
      <c r="T386" s="68">
        <f>IF($A386="","",IF(OR(S386="À COMMANDER",S386="RUPTURE"),MAX(1,O386-M386-N(P386)),0))</f>
        <v/>
      </c>
      <c r="U386" s="68">
        <f>IF($A386="","",SUMIFS('Mouvements stock'!$F$5:$F$3004,'Mouvements stock'!$D$5:$D$3004,$A386,'Mouvements stock'!$C$5:$C$3004,"Sortie",'Mouvements stock'!$B$5:$B$3004,"&gt;="&amp;'Paramètres'!$AA$6,'Mouvements stock'!$B$5:$B$3004,"&lt;"&amp;('Paramètres'!$AA$7+1)))</f>
        <v/>
      </c>
      <c r="V386" s="78">
        <f>IF($A386="","",IF(COUNTIF('Mouvements stock'!$D$5:$D$3004,$A386)=0,"",_xlfn.MAXIFS('Mouvements stock'!$B$5:$B$3004,'Mouvements stock'!$D$5:$D$3004,$A386)))</f>
        <v/>
      </c>
    </row>
    <row r="387">
      <c r="A387" s="7" t="n"/>
      <c r="B387" s="7" t="n"/>
      <c r="C387" s="7" t="n"/>
      <c r="D387" s="7" t="n"/>
      <c r="E387" s="7" t="n"/>
      <c r="F387" s="7" t="n"/>
      <c r="G387" s="7" t="n"/>
      <c r="H387" s="7" t="n"/>
      <c r="I387" s="80" t="n"/>
      <c r="J387" s="67" t="n"/>
      <c r="K387" s="68">
        <f>IF($A387="","",SUMIFS('Mouvements stock'!$F$5:$F$3004,'Mouvements stock'!$D$5:$D$3004,$A387,'Mouvements stock'!$C$5:$C$3004,"Entrée")+SUMIFS('Mouvements stock'!$F$5:$F$3004,'Mouvements stock'!$D$5:$D$3004,$A387,'Mouvements stock'!$C$5:$C$3004,"Retour"))</f>
        <v/>
      </c>
      <c r="L387" s="68">
        <f>IF($A387="","",SUMIFS('Mouvements stock'!$F$5:$F$3004,'Mouvements stock'!$D$5:$D$3004,$A387,'Mouvements stock'!$C$5:$C$3004,"Sortie"))</f>
        <v/>
      </c>
      <c r="M387" s="79">
        <f>IF($A387="","",N(J387)+N(K387)-N(L387))</f>
        <v/>
      </c>
      <c r="N387" s="67" t="n"/>
      <c r="O387" s="67" t="n"/>
      <c r="P387" s="67" t="n"/>
      <c r="Q387" s="67" t="n"/>
      <c r="R387" s="70">
        <f>IF($A387="","",MAX(0,M387)*N(I387))</f>
        <v/>
      </c>
      <c r="S387" s="9">
        <f>IF($A387="","",IF(M387&lt;=0,IF(N(P387)&gt;0,"Rupture - en cde","RUPTURE"),IF(M387+N(P387)&lt;=N387,"À COMMANDER",IF(M387&lt;=N387,"Commande en cours","OK"))))</f>
        <v/>
      </c>
      <c r="T387" s="68">
        <f>IF($A387="","",IF(OR(S387="À COMMANDER",S387="RUPTURE"),MAX(1,O387-M387-N(P387)),0))</f>
        <v/>
      </c>
      <c r="U387" s="68">
        <f>IF($A387="","",SUMIFS('Mouvements stock'!$F$5:$F$3004,'Mouvements stock'!$D$5:$D$3004,$A387,'Mouvements stock'!$C$5:$C$3004,"Sortie",'Mouvements stock'!$B$5:$B$3004,"&gt;="&amp;'Paramètres'!$AA$6,'Mouvements stock'!$B$5:$B$3004,"&lt;"&amp;('Paramètres'!$AA$7+1)))</f>
        <v/>
      </c>
      <c r="V387" s="78">
        <f>IF($A387="","",IF(COUNTIF('Mouvements stock'!$D$5:$D$3004,$A387)=0,"",_xlfn.MAXIFS('Mouvements stock'!$B$5:$B$3004,'Mouvements stock'!$D$5:$D$3004,$A387)))</f>
        <v/>
      </c>
    </row>
    <row r="388">
      <c r="A388" s="7" t="n"/>
      <c r="B388" s="7" t="n"/>
      <c r="C388" s="7" t="n"/>
      <c r="D388" s="7" t="n"/>
      <c r="E388" s="7" t="n"/>
      <c r="F388" s="7" t="n"/>
      <c r="G388" s="7" t="n"/>
      <c r="H388" s="7" t="n"/>
      <c r="I388" s="80" t="n"/>
      <c r="J388" s="67" t="n"/>
      <c r="K388" s="68">
        <f>IF($A388="","",SUMIFS('Mouvements stock'!$F$5:$F$3004,'Mouvements stock'!$D$5:$D$3004,$A388,'Mouvements stock'!$C$5:$C$3004,"Entrée")+SUMIFS('Mouvements stock'!$F$5:$F$3004,'Mouvements stock'!$D$5:$D$3004,$A388,'Mouvements stock'!$C$5:$C$3004,"Retour"))</f>
        <v/>
      </c>
      <c r="L388" s="68">
        <f>IF($A388="","",SUMIFS('Mouvements stock'!$F$5:$F$3004,'Mouvements stock'!$D$5:$D$3004,$A388,'Mouvements stock'!$C$5:$C$3004,"Sortie"))</f>
        <v/>
      </c>
      <c r="M388" s="79">
        <f>IF($A388="","",N(J388)+N(K388)-N(L388))</f>
        <v/>
      </c>
      <c r="N388" s="67" t="n"/>
      <c r="O388" s="67" t="n"/>
      <c r="P388" s="67" t="n"/>
      <c r="Q388" s="67" t="n"/>
      <c r="R388" s="70">
        <f>IF($A388="","",MAX(0,M388)*N(I388))</f>
        <v/>
      </c>
      <c r="S388" s="9">
        <f>IF($A388="","",IF(M388&lt;=0,IF(N(P388)&gt;0,"Rupture - en cde","RUPTURE"),IF(M388+N(P388)&lt;=N388,"À COMMANDER",IF(M388&lt;=N388,"Commande en cours","OK"))))</f>
        <v/>
      </c>
      <c r="T388" s="68">
        <f>IF($A388="","",IF(OR(S388="À COMMANDER",S388="RUPTURE"),MAX(1,O388-M388-N(P388)),0))</f>
        <v/>
      </c>
      <c r="U388" s="68">
        <f>IF($A388="","",SUMIFS('Mouvements stock'!$F$5:$F$3004,'Mouvements stock'!$D$5:$D$3004,$A388,'Mouvements stock'!$C$5:$C$3004,"Sortie",'Mouvements stock'!$B$5:$B$3004,"&gt;="&amp;'Paramètres'!$AA$6,'Mouvements stock'!$B$5:$B$3004,"&lt;"&amp;('Paramètres'!$AA$7+1)))</f>
        <v/>
      </c>
      <c r="V388" s="78">
        <f>IF($A388="","",IF(COUNTIF('Mouvements stock'!$D$5:$D$3004,$A388)=0,"",_xlfn.MAXIFS('Mouvements stock'!$B$5:$B$3004,'Mouvements stock'!$D$5:$D$3004,$A388)))</f>
        <v/>
      </c>
    </row>
    <row r="389">
      <c r="A389" s="7" t="n"/>
      <c r="B389" s="7" t="n"/>
      <c r="C389" s="7" t="n"/>
      <c r="D389" s="7" t="n"/>
      <c r="E389" s="7" t="n"/>
      <c r="F389" s="7" t="n"/>
      <c r="G389" s="7" t="n"/>
      <c r="H389" s="7" t="n"/>
      <c r="I389" s="80" t="n"/>
      <c r="J389" s="67" t="n"/>
      <c r="K389" s="68">
        <f>IF($A389="","",SUMIFS('Mouvements stock'!$F$5:$F$3004,'Mouvements stock'!$D$5:$D$3004,$A389,'Mouvements stock'!$C$5:$C$3004,"Entrée")+SUMIFS('Mouvements stock'!$F$5:$F$3004,'Mouvements stock'!$D$5:$D$3004,$A389,'Mouvements stock'!$C$5:$C$3004,"Retour"))</f>
        <v/>
      </c>
      <c r="L389" s="68">
        <f>IF($A389="","",SUMIFS('Mouvements stock'!$F$5:$F$3004,'Mouvements stock'!$D$5:$D$3004,$A389,'Mouvements stock'!$C$5:$C$3004,"Sortie"))</f>
        <v/>
      </c>
      <c r="M389" s="79">
        <f>IF($A389="","",N(J389)+N(K389)-N(L389))</f>
        <v/>
      </c>
      <c r="N389" s="67" t="n"/>
      <c r="O389" s="67" t="n"/>
      <c r="P389" s="67" t="n"/>
      <c r="Q389" s="67" t="n"/>
      <c r="R389" s="70">
        <f>IF($A389="","",MAX(0,M389)*N(I389))</f>
        <v/>
      </c>
      <c r="S389" s="9">
        <f>IF($A389="","",IF(M389&lt;=0,IF(N(P389)&gt;0,"Rupture - en cde","RUPTURE"),IF(M389+N(P389)&lt;=N389,"À COMMANDER",IF(M389&lt;=N389,"Commande en cours","OK"))))</f>
        <v/>
      </c>
      <c r="T389" s="68">
        <f>IF($A389="","",IF(OR(S389="À COMMANDER",S389="RUPTURE"),MAX(1,O389-M389-N(P389)),0))</f>
        <v/>
      </c>
      <c r="U389" s="68">
        <f>IF($A389="","",SUMIFS('Mouvements stock'!$F$5:$F$3004,'Mouvements stock'!$D$5:$D$3004,$A389,'Mouvements stock'!$C$5:$C$3004,"Sortie",'Mouvements stock'!$B$5:$B$3004,"&gt;="&amp;'Paramètres'!$AA$6,'Mouvements stock'!$B$5:$B$3004,"&lt;"&amp;('Paramètres'!$AA$7+1)))</f>
        <v/>
      </c>
      <c r="V389" s="78">
        <f>IF($A389="","",IF(COUNTIF('Mouvements stock'!$D$5:$D$3004,$A389)=0,"",_xlfn.MAXIFS('Mouvements stock'!$B$5:$B$3004,'Mouvements stock'!$D$5:$D$3004,$A389)))</f>
        <v/>
      </c>
    </row>
    <row r="390">
      <c r="A390" s="7" t="n"/>
      <c r="B390" s="7" t="n"/>
      <c r="C390" s="7" t="n"/>
      <c r="D390" s="7" t="n"/>
      <c r="E390" s="7" t="n"/>
      <c r="F390" s="7" t="n"/>
      <c r="G390" s="7" t="n"/>
      <c r="H390" s="7" t="n"/>
      <c r="I390" s="80" t="n"/>
      <c r="J390" s="67" t="n"/>
      <c r="K390" s="68">
        <f>IF($A390="","",SUMIFS('Mouvements stock'!$F$5:$F$3004,'Mouvements stock'!$D$5:$D$3004,$A390,'Mouvements stock'!$C$5:$C$3004,"Entrée")+SUMIFS('Mouvements stock'!$F$5:$F$3004,'Mouvements stock'!$D$5:$D$3004,$A390,'Mouvements stock'!$C$5:$C$3004,"Retour"))</f>
        <v/>
      </c>
      <c r="L390" s="68">
        <f>IF($A390="","",SUMIFS('Mouvements stock'!$F$5:$F$3004,'Mouvements stock'!$D$5:$D$3004,$A390,'Mouvements stock'!$C$5:$C$3004,"Sortie"))</f>
        <v/>
      </c>
      <c r="M390" s="79">
        <f>IF($A390="","",N(J390)+N(K390)-N(L390))</f>
        <v/>
      </c>
      <c r="N390" s="67" t="n"/>
      <c r="O390" s="67" t="n"/>
      <c r="P390" s="67" t="n"/>
      <c r="Q390" s="67" t="n"/>
      <c r="R390" s="70">
        <f>IF($A390="","",MAX(0,M390)*N(I390))</f>
        <v/>
      </c>
      <c r="S390" s="9">
        <f>IF($A390="","",IF(M390&lt;=0,IF(N(P390)&gt;0,"Rupture - en cde","RUPTURE"),IF(M390+N(P390)&lt;=N390,"À COMMANDER",IF(M390&lt;=N390,"Commande en cours","OK"))))</f>
        <v/>
      </c>
      <c r="T390" s="68">
        <f>IF($A390="","",IF(OR(S390="À COMMANDER",S390="RUPTURE"),MAX(1,O390-M390-N(P390)),0))</f>
        <v/>
      </c>
      <c r="U390" s="68">
        <f>IF($A390="","",SUMIFS('Mouvements stock'!$F$5:$F$3004,'Mouvements stock'!$D$5:$D$3004,$A390,'Mouvements stock'!$C$5:$C$3004,"Sortie",'Mouvements stock'!$B$5:$B$3004,"&gt;="&amp;'Paramètres'!$AA$6,'Mouvements stock'!$B$5:$B$3004,"&lt;"&amp;('Paramètres'!$AA$7+1)))</f>
        <v/>
      </c>
      <c r="V390" s="78">
        <f>IF($A390="","",IF(COUNTIF('Mouvements stock'!$D$5:$D$3004,$A390)=0,"",_xlfn.MAXIFS('Mouvements stock'!$B$5:$B$3004,'Mouvements stock'!$D$5:$D$3004,$A390)))</f>
        <v/>
      </c>
    </row>
    <row r="391">
      <c r="A391" s="7" t="n"/>
      <c r="B391" s="7" t="n"/>
      <c r="C391" s="7" t="n"/>
      <c r="D391" s="7" t="n"/>
      <c r="E391" s="7" t="n"/>
      <c r="F391" s="7" t="n"/>
      <c r="G391" s="7" t="n"/>
      <c r="H391" s="7" t="n"/>
      <c r="I391" s="80" t="n"/>
      <c r="J391" s="67" t="n"/>
      <c r="K391" s="68">
        <f>IF($A391="","",SUMIFS('Mouvements stock'!$F$5:$F$3004,'Mouvements stock'!$D$5:$D$3004,$A391,'Mouvements stock'!$C$5:$C$3004,"Entrée")+SUMIFS('Mouvements stock'!$F$5:$F$3004,'Mouvements stock'!$D$5:$D$3004,$A391,'Mouvements stock'!$C$5:$C$3004,"Retour"))</f>
        <v/>
      </c>
      <c r="L391" s="68">
        <f>IF($A391="","",SUMIFS('Mouvements stock'!$F$5:$F$3004,'Mouvements stock'!$D$5:$D$3004,$A391,'Mouvements stock'!$C$5:$C$3004,"Sortie"))</f>
        <v/>
      </c>
      <c r="M391" s="79">
        <f>IF($A391="","",N(J391)+N(K391)-N(L391))</f>
        <v/>
      </c>
      <c r="N391" s="67" t="n"/>
      <c r="O391" s="67" t="n"/>
      <c r="P391" s="67" t="n"/>
      <c r="Q391" s="67" t="n"/>
      <c r="R391" s="70">
        <f>IF($A391="","",MAX(0,M391)*N(I391))</f>
        <v/>
      </c>
      <c r="S391" s="9">
        <f>IF($A391="","",IF(M391&lt;=0,IF(N(P391)&gt;0,"Rupture - en cde","RUPTURE"),IF(M391+N(P391)&lt;=N391,"À COMMANDER",IF(M391&lt;=N391,"Commande en cours","OK"))))</f>
        <v/>
      </c>
      <c r="T391" s="68">
        <f>IF($A391="","",IF(OR(S391="À COMMANDER",S391="RUPTURE"),MAX(1,O391-M391-N(P391)),0))</f>
        <v/>
      </c>
      <c r="U391" s="68">
        <f>IF($A391="","",SUMIFS('Mouvements stock'!$F$5:$F$3004,'Mouvements stock'!$D$5:$D$3004,$A391,'Mouvements stock'!$C$5:$C$3004,"Sortie",'Mouvements stock'!$B$5:$B$3004,"&gt;="&amp;'Paramètres'!$AA$6,'Mouvements stock'!$B$5:$B$3004,"&lt;"&amp;('Paramètres'!$AA$7+1)))</f>
        <v/>
      </c>
      <c r="V391" s="78">
        <f>IF($A391="","",IF(COUNTIF('Mouvements stock'!$D$5:$D$3004,$A391)=0,"",_xlfn.MAXIFS('Mouvements stock'!$B$5:$B$3004,'Mouvements stock'!$D$5:$D$3004,$A391)))</f>
        <v/>
      </c>
    </row>
    <row r="392">
      <c r="A392" s="7" t="n"/>
      <c r="B392" s="7" t="n"/>
      <c r="C392" s="7" t="n"/>
      <c r="D392" s="7" t="n"/>
      <c r="E392" s="7" t="n"/>
      <c r="F392" s="7" t="n"/>
      <c r="G392" s="7" t="n"/>
      <c r="H392" s="7" t="n"/>
      <c r="I392" s="80" t="n"/>
      <c r="J392" s="67" t="n"/>
      <c r="K392" s="68">
        <f>IF($A392="","",SUMIFS('Mouvements stock'!$F$5:$F$3004,'Mouvements stock'!$D$5:$D$3004,$A392,'Mouvements stock'!$C$5:$C$3004,"Entrée")+SUMIFS('Mouvements stock'!$F$5:$F$3004,'Mouvements stock'!$D$5:$D$3004,$A392,'Mouvements stock'!$C$5:$C$3004,"Retour"))</f>
        <v/>
      </c>
      <c r="L392" s="68">
        <f>IF($A392="","",SUMIFS('Mouvements stock'!$F$5:$F$3004,'Mouvements stock'!$D$5:$D$3004,$A392,'Mouvements stock'!$C$5:$C$3004,"Sortie"))</f>
        <v/>
      </c>
      <c r="M392" s="79">
        <f>IF($A392="","",N(J392)+N(K392)-N(L392))</f>
        <v/>
      </c>
      <c r="N392" s="67" t="n"/>
      <c r="O392" s="67" t="n"/>
      <c r="P392" s="67" t="n"/>
      <c r="Q392" s="67" t="n"/>
      <c r="R392" s="70">
        <f>IF($A392="","",MAX(0,M392)*N(I392))</f>
        <v/>
      </c>
      <c r="S392" s="9">
        <f>IF($A392="","",IF(M392&lt;=0,IF(N(P392)&gt;0,"Rupture - en cde","RUPTURE"),IF(M392+N(P392)&lt;=N392,"À COMMANDER",IF(M392&lt;=N392,"Commande en cours","OK"))))</f>
        <v/>
      </c>
      <c r="T392" s="68">
        <f>IF($A392="","",IF(OR(S392="À COMMANDER",S392="RUPTURE"),MAX(1,O392-M392-N(P392)),0))</f>
        <v/>
      </c>
      <c r="U392" s="68">
        <f>IF($A392="","",SUMIFS('Mouvements stock'!$F$5:$F$3004,'Mouvements stock'!$D$5:$D$3004,$A392,'Mouvements stock'!$C$5:$C$3004,"Sortie",'Mouvements stock'!$B$5:$B$3004,"&gt;="&amp;'Paramètres'!$AA$6,'Mouvements stock'!$B$5:$B$3004,"&lt;"&amp;('Paramètres'!$AA$7+1)))</f>
        <v/>
      </c>
      <c r="V392" s="78">
        <f>IF($A392="","",IF(COUNTIF('Mouvements stock'!$D$5:$D$3004,$A392)=0,"",_xlfn.MAXIFS('Mouvements stock'!$B$5:$B$3004,'Mouvements stock'!$D$5:$D$3004,$A392)))</f>
        <v/>
      </c>
    </row>
    <row r="393">
      <c r="A393" s="7" t="n"/>
      <c r="B393" s="7" t="n"/>
      <c r="C393" s="7" t="n"/>
      <c r="D393" s="7" t="n"/>
      <c r="E393" s="7" t="n"/>
      <c r="F393" s="7" t="n"/>
      <c r="G393" s="7" t="n"/>
      <c r="H393" s="7" t="n"/>
      <c r="I393" s="80" t="n"/>
      <c r="J393" s="67" t="n"/>
      <c r="K393" s="68">
        <f>IF($A393="","",SUMIFS('Mouvements stock'!$F$5:$F$3004,'Mouvements stock'!$D$5:$D$3004,$A393,'Mouvements stock'!$C$5:$C$3004,"Entrée")+SUMIFS('Mouvements stock'!$F$5:$F$3004,'Mouvements stock'!$D$5:$D$3004,$A393,'Mouvements stock'!$C$5:$C$3004,"Retour"))</f>
        <v/>
      </c>
      <c r="L393" s="68">
        <f>IF($A393="","",SUMIFS('Mouvements stock'!$F$5:$F$3004,'Mouvements stock'!$D$5:$D$3004,$A393,'Mouvements stock'!$C$5:$C$3004,"Sortie"))</f>
        <v/>
      </c>
      <c r="M393" s="79">
        <f>IF($A393="","",N(J393)+N(K393)-N(L393))</f>
        <v/>
      </c>
      <c r="N393" s="67" t="n"/>
      <c r="O393" s="67" t="n"/>
      <c r="P393" s="67" t="n"/>
      <c r="Q393" s="67" t="n"/>
      <c r="R393" s="70">
        <f>IF($A393="","",MAX(0,M393)*N(I393))</f>
        <v/>
      </c>
      <c r="S393" s="9">
        <f>IF($A393="","",IF(M393&lt;=0,IF(N(P393)&gt;0,"Rupture - en cde","RUPTURE"),IF(M393+N(P393)&lt;=N393,"À COMMANDER",IF(M393&lt;=N393,"Commande en cours","OK"))))</f>
        <v/>
      </c>
      <c r="T393" s="68">
        <f>IF($A393="","",IF(OR(S393="À COMMANDER",S393="RUPTURE"),MAX(1,O393-M393-N(P393)),0))</f>
        <v/>
      </c>
      <c r="U393" s="68">
        <f>IF($A393="","",SUMIFS('Mouvements stock'!$F$5:$F$3004,'Mouvements stock'!$D$5:$D$3004,$A393,'Mouvements stock'!$C$5:$C$3004,"Sortie",'Mouvements stock'!$B$5:$B$3004,"&gt;="&amp;'Paramètres'!$AA$6,'Mouvements stock'!$B$5:$B$3004,"&lt;"&amp;('Paramètres'!$AA$7+1)))</f>
        <v/>
      </c>
      <c r="V393" s="78">
        <f>IF($A393="","",IF(COUNTIF('Mouvements stock'!$D$5:$D$3004,$A393)=0,"",_xlfn.MAXIFS('Mouvements stock'!$B$5:$B$3004,'Mouvements stock'!$D$5:$D$3004,$A393)))</f>
        <v/>
      </c>
    </row>
    <row r="394">
      <c r="A394" s="7" t="n"/>
      <c r="B394" s="7" t="n"/>
      <c r="C394" s="7" t="n"/>
      <c r="D394" s="7" t="n"/>
      <c r="E394" s="7" t="n"/>
      <c r="F394" s="7" t="n"/>
      <c r="G394" s="7" t="n"/>
      <c r="H394" s="7" t="n"/>
      <c r="I394" s="80" t="n"/>
      <c r="J394" s="67" t="n"/>
      <c r="K394" s="68">
        <f>IF($A394="","",SUMIFS('Mouvements stock'!$F$5:$F$3004,'Mouvements stock'!$D$5:$D$3004,$A394,'Mouvements stock'!$C$5:$C$3004,"Entrée")+SUMIFS('Mouvements stock'!$F$5:$F$3004,'Mouvements stock'!$D$5:$D$3004,$A394,'Mouvements stock'!$C$5:$C$3004,"Retour"))</f>
        <v/>
      </c>
      <c r="L394" s="68">
        <f>IF($A394="","",SUMIFS('Mouvements stock'!$F$5:$F$3004,'Mouvements stock'!$D$5:$D$3004,$A394,'Mouvements stock'!$C$5:$C$3004,"Sortie"))</f>
        <v/>
      </c>
      <c r="M394" s="79">
        <f>IF($A394="","",N(J394)+N(K394)-N(L394))</f>
        <v/>
      </c>
      <c r="N394" s="67" t="n"/>
      <c r="O394" s="67" t="n"/>
      <c r="P394" s="67" t="n"/>
      <c r="Q394" s="67" t="n"/>
      <c r="R394" s="70">
        <f>IF($A394="","",MAX(0,M394)*N(I394))</f>
        <v/>
      </c>
      <c r="S394" s="9">
        <f>IF($A394="","",IF(M394&lt;=0,IF(N(P394)&gt;0,"Rupture - en cde","RUPTURE"),IF(M394+N(P394)&lt;=N394,"À COMMANDER",IF(M394&lt;=N394,"Commande en cours","OK"))))</f>
        <v/>
      </c>
      <c r="T394" s="68">
        <f>IF($A394="","",IF(OR(S394="À COMMANDER",S394="RUPTURE"),MAX(1,O394-M394-N(P394)),0))</f>
        <v/>
      </c>
      <c r="U394" s="68">
        <f>IF($A394="","",SUMIFS('Mouvements stock'!$F$5:$F$3004,'Mouvements stock'!$D$5:$D$3004,$A394,'Mouvements stock'!$C$5:$C$3004,"Sortie",'Mouvements stock'!$B$5:$B$3004,"&gt;="&amp;'Paramètres'!$AA$6,'Mouvements stock'!$B$5:$B$3004,"&lt;"&amp;('Paramètres'!$AA$7+1)))</f>
        <v/>
      </c>
      <c r="V394" s="78">
        <f>IF($A394="","",IF(COUNTIF('Mouvements stock'!$D$5:$D$3004,$A394)=0,"",_xlfn.MAXIFS('Mouvements stock'!$B$5:$B$3004,'Mouvements stock'!$D$5:$D$3004,$A394)))</f>
        <v/>
      </c>
    </row>
    <row r="395">
      <c r="A395" s="7" t="n"/>
      <c r="B395" s="7" t="n"/>
      <c r="C395" s="7" t="n"/>
      <c r="D395" s="7" t="n"/>
      <c r="E395" s="7" t="n"/>
      <c r="F395" s="7" t="n"/>
      <c r="G395" s="7" t="n"/>
      <c r="H395" s="7" t="n"/>
      <c r="I395" s="80" t="n"/>
      <c r="J395" s="67" t="n"/>
      <c r="K395" s="68">
        <f>IF($A395="","",SUMIFS('Mouvements stock'!$F$5:$F$3004,'Mouvements stock'!$D$5:$D$3004,$A395,'Mouvements stock'!$C$5:$C$3004,"Entrée")+SUMIFS('Mouvements stock'!$F$5:$F$3004,'Mouvements stock'!$D$5:$D$3004,$A395,'Mouvements stock'!$C$5:$C$3004,"Retour"))</f>
        <v/>
      </c>
      <c r="L395" s="68">
        <f>IF($A395="","",SUMIFS('Mouvements stock'!$F$5:$F$3004,'Mouvements stock'!$D$5:$D$3004,$A395,'Mouvements stock'!$C$5:$C$3004,"Sortie"))</f>
        <v/>
      </c>
      <c r="M395" s="79">
        <f>IF($A395="","",N(J395)+N(K395)-N(L395))</f>
        <v/>
      </c>
      <c r="N395" s="67" t="n"/>
      <c r="O395" s="67" t="n"/>
      <c r="P395" s="67" t="n"/>
      <c r="Q395" s="67" t="n"/>
      <c r="R395" s="70">
        <f>IF($A395="","",MAX(0,M395)*N(I395))</f>
        <v/>
      </c>
      <c r="S395" s="9">
        <f>IF($A395="","",IF(M395&lt;=0,IF(N(P395)&gt;0,"Rupture - en cde","RUPTURE"),IF(M395+N(P395)&lt;=N395,"À COMMANDER",IF(M395&lt;=N395,"Commande en cours","OK"))))</f>
        <v/>
      </c>
      <c r="T395" s="68">
        <f>IF($A395="","",IF(OR(S395="À COMMANDER",S395="RUPTURE"),MAX(1,O395-M395-N(P395)),0))</f>
        <v/>
      </c>
      <c r="U395" s="68">
        <f>IF($A395="","",SUMIFS('Mouvements stock'!$F$5:$F$3004,'Mouvements stock'!$D$5:$D$3004,$A395,'Mouvements stock'!$C$5:$C$3004,"Sortie",'Mouvements stock'!$B$5:$B$3004,"&gt;="&amp;'Paramètres'!$AA$6,'Mouvements stock'!$B$5:$B$3004,"&lt;"&amp;('Paramètres'!$AA$7+1)))</f>
        <v/>
      </c>
      <c r="V395" s="78">
        <f>IF($A395="","",IF(COUNTIF('Mouvements stock'!$D$5:$D$3004,$A395)=0,"",_xlfn.MAXIFS('Mouvements stock'!$B$5:$B$3004,'Mouvements stock'!$D$5:$D$3004,$A395)))</f>
        <v/>
      </c>
    </row>
    <row r="396">
      <c r="A396" s="7" t="n"/>
      <c r="B396" s="7" t="n"/>
      <c r="C396" s="7" t="n"/>
      <c r="D396" s="7" t="n"/>
      <c r="E396" s="7" t="n"/>
      <c r="F396" s="7" t="n"/>
      <c r="G396" s="7" t="n"/>
      <c r="H396" s="7" t="n"/>
      <c r="I396" s="80" t="n"/>
      <c r="J396" s="67" t="n"/>
      <c r="K396" s="68">
        <f>IF($A396="","",SUMIFS('Mouvements stock'!$F$5:$F$3004,'Mouvements stock'!$D$5:$D$3004,$A396,'Mouvements stock'!$C$5:$C$3004,"Entrée")+SUMIFS('Mouvements stock'!$F$5:$F$3004,'Mouvements stock'!$D$5:$D$3004,$A396,'Mouvements stock'!$C$5:$C$3004,"Retour"))</f>
        <v/>
      </c>
      <c r="L396" s="68">
        <f>IF($A396="","",SUMIFS('Mouvements stock'!$F$5:$F$3004,'Mouvements stock'!$D$5:$D$3004,$A396,'Mouvements stock'!$C$5:$C$3004,"Sortie"))</f>
        <v/>
      </c>
      <c r="M396" s="79">
        <f>IF($A396="","",N(J396)+N(K396)-N(L396))</f>
        <v/>
      </c>
      <c r="N396" s="67" t="n"/>
      <c r="O396" s="67" t="n"/>
      <c r="P396" s="67" t="n"/>
      <c r="Q396" s="67" t="n"/>
      <c r="R396" s="70">
        <f>IF($A396="","",MAX(0,M396)*N(I396))</f>
        <v/>
      </c>
      <c r="S396" s="9">
        <f>IF($A396="","",IF(M396&lt;=0,IF(N(P396)&gt;0,"Rupture - en cde","RUPTURE"),IF(M396+N(P396)&lt;=N396,"À COMMANDER",IF(M396&lt;=N396,"Commande en cours","OK"))))</f>
        <v/>
      </c>
      <c r="T396" s="68">
        <f>IF($A396="","",IF(OR(S396="À COMMANDER",S396="RUPTURE"),MAX(1,O396-M396-N(P396)),0))</f>
        <v/>
      </c>
      <c r="U396" s="68">
        <f>IF($A396="","",SUMIFS('Mouvements stock'!$F$5:$F$3004,'Mouvements stock'!$D$5:$D$3004,$A396,'Mouvements stock'!$C$5:$C$3004,"Sortie",'Mouvements stock'!$B$5:$B$3004,"&gt;="&amp;'Paramètres'!$AA$6,'Mouvements stock'!$B$5:$B$3004,"&lt;"&amp;('Paramètres'!$AA$7+1)))</f>
        <v/>
      </c>
      <c r="V396" s="78">
        <f>IF($A396="","",IF(COUNTIF('Mouvements stock'!$D$5:$D$3004,$A396)=0,"",_xlfn.MAXIFS('Mouvements stock'!$B$5:$B$3004,'Mouvements stock'!$D$5:$D$3004,$A396)))</f>
        <v/>
      </c>
    </row>
    <row r="397">
      <c r="A397" s="7" t="n"/>
      <c r="B397" s="7" t="n"/>
      <c r="C397" s="7" t="n"/>
      <c r="D397" s="7" t="n"/>
      <c r="E397" s="7" t="n"/>
      <c r="F397" s="7" t="n"/>
      <c r="G397" s="7" t="n"/>
      <c r="H397" s="7" t="n"/>
      <c r="I397" s="80" t="n"/>
      <c r="J397" s="67" t="n"/>
      <c r="K397" s="68">
        <f>IF($A397="","",SUMIFS('Mouvements stock'!$F$5:$F$3004,'Mouvements stock'!$D$5:$D$3004,$A397,'Mouvements stock'!$C$5:$C$3004,"Entrée")+SUMIFS('Mouvements stock'!$F$5:$F$3004,'Mouvements stock'!$D$5:$D$3004,$A397,'Mouvements stock'!$C$5:$C$3004,"Retour"))</f>
        <v/>
      </c>
      <c r="L397" s="68">
        <f>IF($A397="","",SUMIFS('Mouvements stock'!$F$5:$F$3004,'Mouvements stock'!$D$5:$D$3004,$A397,'Mouvements stock'!$C$5:$C$3004,"Sortie"))</f>
        <v/>
      </c>
      <c r="M397" s="79">
        <f>IF($A397="","",N(J397)+N(K397)-N(L397))</f>
        <v/>
      </c>
      <c r="N397" s="67" t="n"/>
      <c r="O397" s="67" t="n"/>
      <c r="P397" s="67" t="n"/>
      <c r="Q397" s="67" t="n"/>
      <c r="R397" s="70">
        <f>IF($A397="","",MAX(0,M397)*N(I397))</f>
        <v/>
      </c>
      <c r="S397" s="9">
        <f>IF($A397="","",IF(M397&lt;=0,IF(N(P397)&gt;0,"Rupture - en cde","RUPTURE"),IF(M397+N(P397)&lt;=N397,"À COMMANDER",IF(M397&lt;=N397,"Commande en cours","OK"))))</f>
        <v/>
      </c>
      <c r="T397" s="68">
        <f>IF($A397="","",IF(OR(S397="À COMMANDER",S397="RUPTURE"),MAX(1,O397-M397-N(P397)),0))</f>
        <v/>
      </c>
      <c r="U397" s="68">
        <f>IF($A397="","",SUMIFS('Mouvements stock'!$F$5:$F$3004,'Mouvements stock'!$D$5:$D$3004,$A397,'Mouvements stock'!$C$5:$C$3004,"Sortie",'Mouvements stock'!$B$5:$B$3004,"&gt;="&amp;'Paramètres'!$AA$6,'Mouvements stock'!$B$5:$B$3004,"&lt;"&amp;('Paramètres'!$AA$7+1)))</f>
        <v/>
      </c>
      <c r="V397" s="78">
        <f>IF($A397="","",IF(COUNTIF('Mouvements stock'!$D$5:$D$3004,$A397)=0,"",_xlfn.MAXIFS('Mouvements stock'!$B$5:$B$3004,'Mouvements stock'!$D$5:$D$3004,$A397)))</f>
        <v/>
      </c>
    </row>
    <row r="398">
      <c r="A398" s="7" t="n"/>
      <c r="B398" s="7" t="n"/>
      <c r="C398" s="7" t="n"/>
      <c r="D398" s="7" t="n"/>
      <c r="E398" s="7" t="n"/>
      <c r="F398" s="7" t="n"/>
      <c r="G398" s="7" t="n"/>
      <c r="H398" s="7" t="n"/>
      <c r="I398" s="80" t="n"/>
      <c r="J398" s="67" t="n"/>
      <c r="K398" s="68">
        <f>IF($A398="","",SUMIFS('Mouvements stock'!$F$5:$F$3004,'Mouvements stock'!$D$5:$D$3004,$A398,'Mouvements stock'!$C$5:$C$3004,"Entrée")+SUMIFS('Mouvements stock'!$F$5:$F$3004,'Mouvements stock'!$D$5:$D$3004,$A398,'Mouvements stock'!$C$5:$C$3004,"Retour"))</f>
        <v/>
      </c>
      <c r="L398" s="68">
        <f>IF($A398="","",SUMIFS('Mouvements stock'!$F$5:$F$3004,'Mouvements stock'!$D$5:$D$3004,$A398,'Mouvements stock'!$C$5:$C$3004,"Sortie"))</f>
        <v/>
      </c>
      <c r="M398" s="79">
        <f>IF($A398="","",N(J398)+N(K398)-N(L398))</f>
        <v/>
      </c>
      <c r="N398" s="67" t="n"/>
      <c r="O398" s="67" t="n"/>
      <c r="P398" s="67" t="n"/>
      <c r="Q398" s="67" t="n"/>
      <c r="R398" s="70">
        <f>IF($A398="","",MAX(0,M398)*N(I398))</f>
        <v/>
      </c>
      <c r="S398" s="9">
        <f>IF($A398="","",IF(M398&lt;=0,IF(N(P398)&gt;0,"Rupture - en cde","RUPTURE"),IF(M398+N(P398)&lt;=N398,"À COMMANDER",IF(M398&lt;=N398,"Commande en cours","OK"))))</f>
        <v/>
      </c>
      <c r="T398" s="68">
        <f>IF($A398="","",IF(OR(S398="À COMMANDER",S398="RUPTURE"),MAX(1,O398-M398-N(P398)),0))</f>
        <v/>
      </c>
      <c r="U398" s="68">
        <f>IF($A398="","",SUMIFS('Mouvements stock'!$F$5:$F$3004,'Mouvements stock'!$D$5:$D$3004,$A398,'Mouvements stock'!$C$5:$C$3004,"Sortie",'Mouvements stock'!$B$5:$B$3004,"&gt;="&amp;'Paramètres'!$AA$6,'Mouvements stock'!$B$5:$B$3004,"&lt;"&amp;('Paramètres'!$AA$7+1)))</f>
        <v/>
      </c>
      <c r="V398" s="78">
        <f>IF($A398="","",IF(COUNTIF('Mouvements stock'!$D$5:$D$3004,$A398)=0,"",_xlfn.MAXIFS('Mouvements stock'!$B$5:$B$3004,'Mouvements stock'!$D$5:$D$3004,$A398)))</f>
        <v/>
      </c>
    </row>
    <row r="399">
      <c r="A399" s="7" t="n"/>
      <c r="B399" s="7" t="n"/>
      <c r="C399" s="7" t="n"/>
      <c r="D399" s="7" t="n"/>
      <c r="E399" s="7" t="n"/>
      <c r="F399" s="7" t="n"/>
      <c r="G399" s="7" t="n"/>
      <c r="H399" s="7" t="n"/>
      <c r="I399" s="80" t="n"/>
      <c r="J399" s="67" t="n"/>
      <c r="K399" s="68">
        <f>IF($A399="","",SUMIFS('Mouvements stock'!$F$5:$F$3004,'Mouvements stock'!$D$5:$D$3004,$A399,'Mouvements stock'!$C$5:$C$3004,"Entrée")+SUMIFS('Mouvements stock'!$F$5:$F$3004,'Mouvements stock'!$D$5:$D$3004,$A399,'Mouvements stock'!$C$5:$C$3004,"Retour"))</f>
        <v/>
      </c>
      <c r="L399" s="68">
        <f>IF($A399="","",SUMIFS('Mouvements stock'!$F$5:$F$3004,'Mouvements stock'!$D$5:$D$3004,$A399,'Mouvements stock'!$C$5:$C$3004,"Sortie"))</f>
        <v/>
      </c>
      <c r="M399" s="79">
        <f>IF($A399="","",N(J399)+N(K399)-N(L399))</f>
        <v/>
      </c>
      <c r="N399" s="67" t="n"/>
      <c r="O399" s="67" t="n"/>
      <c r="P399" s="67" t="n"/>
      <c r="Q399" s="67" t="n"/>
      <c r="R399" s="70">
        <f>IF($A399="","",MAX(0,M399)*N(I399))</f>
        <v/>
      </c>
      <c r="S399" s="9">
        <f>IF($A399="","",IF(M399&lt;=0,IF(N(P399)&gt;0,"Rupture - en cde","RUPTURE"),IF(M399+N(P399)&lt;=N399,"À COMMANDER",IF(M399&lt;=N399,"Commande en cours","OK"))))</f>
        <v/>
      </c>
      <c r="T399" s="68">
        <f>IF($A399="","",IF(OR(S399="À COMMANDER",S399="RUPTURE"),MAX(1,O399-M399-N(P399)),0))</f>
        <v/>
      </c>
      <c r="U399" s="68">
        <f>IF($A399="","",SUMIFS('Mouvements stock'!$F$5:$F$3004,'Mouvements stock'!$D$5:$D$3004,$A399,'Mouvements stock'!$C$5:$C$3004,"Sortie",'Mouvements stock'!$B$5:$B$3004,"&gt;="&amp;'Paramètres'!$AA$6,'Mouvements stock'!$B$5:$B$3004,"&lt;"&amp;('Paramètres'!$AA$7+1)))</f>
        <v/>
      </c>
      <c r="V399" s="78">
        <f>IF($A399="","",IF(COUNTIF('Mouvements stock'!$D$5:$D$3004,$A399)=0,"",_xlfn.MAXIFS('Mouvements stock'!$B$5:$B$3004,'Mouvements stock'!$D$5:$D$3004,$A399)))</f>
        <v/>
      </c>
    </row>
    <row r="400">
      <c r="A400" s="7" t="n"/>
      <c r="B400" s="7" t="n"/>
      <c r="C400" s="7" t="n"/>
      <c r="D400" s="7" t="n"/>
      <c r="E400" s="7" t="n"/>
      <c r="F400" s="7" t="n"/>
      <c r="G400" s="7" t="n"/>
      <c r="H400" s="7" t="n"/>
      <c r="I400" s="80" t="n"/>
      <c r="J400" s="67" t="n"/>
      <c r="K400" s="68">
        <f>IF($A400="","",SUMIFS('Mouvements stock'!$F$5:$F$3004,'Mouvements stock'!$D$5:$D$3004,$A400,'Mouvements stock'!$C$5:$C$3004,"Entrée")+SUMIFS('Mouvements stock'!$F$5:$F$3004,'Mouvements stock'!$D$5:$D$3004,$A400,'Mouvements stock'!$C$5:$C$3004,"Retour"))</f>
        <v/>
      </c>
      <c r="L400" s="68">
        <f>IF($A400="","",SUMIFS('Mouvements stock'!$F$5:$F$3004,'Mouvements stock'!$D$5:$D$3004,$A400,'Mouvements stock'!$C$5:$C$3004,"Sortie"))</f>
        <v/>
      </c>
      <c r="M400" s="79">
        <f>IF($A400="","",N(J400)+N(K400)-N(L400))</f>
        <v/>
      </c>
      <c r="N400" s="67" t="n"/>
      <c r="O400" s="67" t="n"/>
      <c r="P400" s="67" t="n"/>
      <c r="Q400" s="67" t="n"/>
      <c r="R400" s="70">
        <f>IF($A400="","",MAX(0,M400)*N(I400))</f>
        <v/>
      </c>
      <c r="S400" s="9">
        <f>IF($A400="","",IF(M400&lt;=0,IF(N(P400)&gt;0,"Rupture - en cde","RUPTURE"),IF(M400+N(P400)&lt;=N400,"À COMMANDER",IF(M400&lt;=N400,"Commande en cours","OK"))))</f>
        <v/>
      </c>
      <c r="T400" s="68">
        <f>IF($A400="","",IF(OR(S400="À COMMANDER",S400="RUPTURE"),MAX(1,O400-M400-N(P400)),0))</f>
        <v/>
      </c>
      <c r="U400" s="68">
        <f>IF($A400="","",SUMIFS('Mouvements stock'!$F$5:$F$3004,'Mouvements stock'!$D$5:$D$3004,$A400,'Mouvements stock'!$C$5:$C$3004,"Sortie",'Mouvements stock'!$B$5:$B$3004,"&gt;="&amp;'Paramètres'!$AA$6,'Mouvements stock'!$B$5:$B$3004,"&lt;"&amp;('Paramètres'!$AA$7+1)))</f>
        <v/>
      </c>
      <c r="V400" s="78">
        <f>IF($A400="","",IF(COUNTIF('Mouvements stock'!$D$5:$D$3004,$A400)=0,"",_xlfn.MAXIFS('Mouvements stock'!$B$5:$B$3004,'Mouvements stock'!$D$5:$D$3004,$A400)))</f>
        <v/>
      </c>
    </row>
    <row r="401">
      <c r="A401" s="7" t="n"/>
      <c r="B401" s="7" t="n"/>
      <c r="C401" s="7" t="n"/>
      <c r="D401" s="7" t="n"/>
      <c r="E401" s="7" t="n"/>
      <c r="F401" s="7" t="n"/>
      <c r="G401" s="7" t="n"/>
      <c r="H401" s="7" t="n"/>
      <c r="I401" s="80" t="n"/>
      <c r="J401" s="67" t="n"/>
      <c r="K401" s="68">
        <f>IF($A401="","",SUMIFS('Mouvements stock'!$F$5:$F$3004,'Mouvements stock'!$D$5:$D$3004,$A401,'Mouvements stock'!$C$5:$C$3004,"Entrée")+SUMIFS('Mouvements stock'!$F$5:$F$3004,'Mouvements stock'!$D$5:$D$3004,$A401,'Mouvements stock'!$C$5:$C$3004,"Retour"))</f>
        <v/>
      </c>
      <c r="L401" s="68">
        <f>IF($A401="","",SUMIFS('Mouvements stock'!$F$5:$F$3004,'Mouvements stock'!$D$5:$D$3004,$A401,'Mouvements stock'!$C$5:$C$3004,"Sortie"))</f>
        <v/>
      </c>
      <c r="M401" s="79">
        <f>IF($A401="","",N(J401)+N(K401)-N(L401))</f>
        <v/>
      </c>
      <c r="N401" s="67" t="n"/>
      <c r="O401" s="67" t="n"/>
      <c r="P401" s="67" t="n"/>
      <c r="Q401" s="67" t="n"/>
      <c r="R401" s="70">
        <f>IF($A401="","",MAX(0,M401)*N(I401))</f>
        <v/>
      </c>
      <c r="S401" s="9">
        <f>IF($A401="","",IF(M401&lt;=0,IF(N(P401)&gt;0,"Rupture - en cde","RUPTURE"),IF(M401+N(P401)&lt;=N401,"À COMMANDER",IF(M401&lt;=N401,"Commande en cours","OK"))))</f>
        <v/>
      </c>
      <c r="T401" s="68">
        <f>IF($A401="","",IF(OR(S401="À COMMANDER",S401="RUPTURE"),MAX(1,O401-M401-N(P401)),0))</f>
        <v/>
      </c>
      <c r="U401" s="68">
        <f>IF($A401="","",SUMIFS('Mouvements stock'!$F$5:$F$3004,'Mouvements stock'!$D$5:$D$3004,$A401,'Mouvements stock'!$C$5:$C$3004,"Sortie",'Mouvements stock'!$B$5:$B$3004,"&gt;="&amp;'Paramètres'!$AA$6,'Mouvements stock'!$B$5:$B$3004,"&lt;"&amp;('Paramètres'!$AA$7+1)))</f>
        <v/>
      </c>
      <c r="V401" s="78">
        <f>IF($A401="","",IF(COUNTIF('Mouvements stock'!$D$5:$D$3004,$A401)=0,"",_xlfn.MAXIFS('Mouvements stock'!$B$5:$B$3004,'Mouvements stock'!$D$5:$D$3004,$A401)))</f>
        <v/>
      </c>
    </row>
    <row r="402">
      <c r="A402" s="7" t="n"/>
      <c r="B402" s="7" t="n"/>
      <c r="C402" s="7" t="n"/>
      <c r="D402" s="7" t="n"/>
      <c r="E402" s="7" t="n"/>
      <c r="F402" s="7" t="n"/>
      <c r="G402" s="7" t="n"/>
      <c r="H402" s="7" t="n"/>
      <c r="I402" s="80" t="n"/>
      <c r="J402" s="67" t="n"/>
      <c r="K402" s="68">
        <f>IF($A402="","",SUMIFS('Mouvements stock'!$F$5:$F$3004,'Mouvements stock'!$D$5:$D$3004,$A402,'Mouvements stock'!$C$5:$C$3004,"Entrée")+SUMIFS('Mouvements stock'!$F$5:$F$3004,'Mouvements stock'!$D$5:$D$3004,$A402,'Mouvements stock'!$C$5:$C$3004,"Retour"))</f>
        <v/>
      </c>
      <c r="L402" s="68">
        <f>IF($A402="","",SUMIFS('Mouvements stock'!$F$5:$F$3004,'Mouvements stock'!$D$5:$D$3004,$A402,'Mouvements stock'!$C$5:$C$3004,"Sortie"))</f>
        <v/>
      </c>
      <c r="M402" s="79">
        <f>IF($A402="","",N(J402)+N(K402)-N(L402))</f>
        <v/>
      </c>
      <c r="N402" s="67" t="n"/>
      <c r="O402" s="67" t="n"/>
      <c r="P402" s="67" t="n"/>
      <c r="Q402" s="67" t="n"/>
      <c r="R402" s="70">
        <f>IF($A402="","",MAX(0,M402)*N(I402))</f>
        <v/>
      </c>
      <c r="S402" s="9">
        <f>IF($A402="","",IF(M402&lt;=0,IF(N(P402)&gt;0,"Rupture - en cde","RUPTURE"),IF(M402+N(P402)&lt;=N402,"À COMMANDER",IF(M402&lt;=N402,"Commande en cours","OK"))))</f>
        <v/>
      </c>
      <c r="T402" s="68">
        <f>IF($A402="","",IF(OR(S402="À COMMANDER",S402="RUPTURE"),MAX(1,O402-M402-N(P402)),0))</f>
        <v/>
      </c>
      <c r="U402" s="68">
        <f>IF($A402="","",SUMIFS('Mouvements stock'!$F$5:$F$3004,'Mouvements stock'!$D$5:$D$3004,$A402,'Mouvements stock'!$C$5:$C$3004,"Sortie",'Mouvements stock'!$B$5:$B$3004,"&gt;="&amp;'Paramètres'!$AA$6,'Mouvements stock'!$B$5:$B$3004,"&lt;"&amp;('Paramètres'!$AA$7+1)))</f>
        <v/>
      </c>
      <c r="V402" s="78">
        <f>IF($A402="","",IF(COUNTIF('Mouvements stock'!$D$5:$D$3004,$A402)=0,"",_xlfn.MAXIFS('Mouvements stock'!$B$5:$B$3004,'Mouvements stock'!$D$5:$D$3004,$A402)))</f>
        <v/>
      </c>
    </row>
    <row r="403">
      <c r="A403" s="7" t="n"/>
      <c r="B403" s="7" t="n"/>
      <c r="C403" s="7" t="n"/>
      <c r="D403" s="7" t="n"/>
      <c r="E403" s="7" t="n"/>
      <c r="F403" s="7" t="n"/>
      <c r="G403" s="7" t="n"/>
      <c r="H403" s="7" t="n"/>
      <c r="I403" s="80" t="n"/>
      <c r="J403" s="67" t="n"/>
      <c r="K403" s="68">
        <f>IF($A403="","",SUMIFS('Mouvements stock'!$F$5:$F$3004,'Mouvements stock'!$D$5:$D$3004,$A403,'Mouvements stock'!$C$5:$C$3004,"Entrée")+SUMIFS('Mouvements stock'!$F$5:$F$3004,'Mouvements stock'!$D$5:$D$3004,$A403,'Mouvements stock'!$C$5:$C$3004,"Retour"))</f>
        <v/>
      </c>
      <c r="L403" s="68">
        <f>IF($A403="","",SUMIFS('Mouvements stock'!$F$5:$F$3004,'Mouvements stock'!$D$5:$D$3004,$A403,'Mouvements stock'!$C$5:$C$3004,"Sortie"))</f>
        <v/>
      </c>
      <c r="M403" s="79">
        <f>IF($A403="","",N(J403)+N(K403)-N(L403))</f>
        <v/>
      </c>
      <c r="N403" s="67" t="n"/>
      <c r="O403" s="67" t="n"/>
      <c r="P403" s="67" t="n"/>
      <c r="Q403" s="67" t="n"/>
      <c r="R403" s="70">
        <f>IF($A403="","",MAX(0,M403)*N(I403))</f>
        <v/>
      </c>
      <c r="S403" s="9">
        <f>IF($A403="","",IF(M403&lt;=0,IF(N(P403)&gt;0,"Rupture - en cde","RUPTURE"),IF(M403+N(P403)&lt;=N403,"À COMMANDER",IF(M403&lt;=N403,"Commande en cours","OK"))))</f>
        <v/>
      </c>
      <c r="T403" s="68">
        <f>IF($A403="","",IF(OR(S403="À COMMANDER",S403="RUPTURE"),MAX(1,O403-M403-N(P403)),0))</f>
        <v/>
      </c>
      <c r="U403" s="68">
        <f>IF($A403="","",SUMIFS('Mouvements stock'!$F$5:$F$3004,'Mouvements stock'!$D$5:$D$3004,$A403,'Mouvements stock'!$C$5:$C$3004,"Sortie",'Mouvements stock'!$B$5:$B$3004,"&gt;="&amp;'Paramètres'!$AA$6,'Mouvements stock'!$B$5:$B$3004,"&lt;"&amp;('Paramètres'!$AA$7+1)))</f>
        <v/>
      </c>
      <c r="V403" s="78">
        <f>IF($A403="","",IF(COUNTIF('Mouvements stock'!$D$5:$D$3004,$A403)=0,"",_xlfn.MAXIFS('Mouvements stock'!$B$5:$B$3004,'Mouvements stock'!$D$5:$D$3004,$A403)))</f>
        <v/>
      </c>
    </row>
    <row r="404">
      <c r="A404" s="7" t="n"/>
      <c r="B404" s="7" t="n"/>
      <c r="C404" s="7" t="n"/>
      <c r="D404" s="7" t="n"/>
      <c r="E404" s="7" t="n"/>
      <c r="F404" s="7" t="n"/>
      <c r="G404" s="7" t="n"/>
      <c r="H404" s="7" t="n"/>
      <c r="I404" s="80" t="n"/>
      <c r="J404" s="67" t="n"/>
      <c r="K404" s="68">
        <f>IF($A404="","",SUMIFS('Mouvements stock'!$F$5:$F$3004,'Mouvements stock'!$D$5:$D$3004,$A404,'Mouvements stock'!$C$5:$C$3004,"Entrée")+SUMIFS('Mouvements stock'!$F$5:$F$3004,'Mouvements stock'!$D$5:$D$3004,$A404,'Mouvements stock'!$C$5:$C$3004,"Retour"))</f>
        <v/>
      </c>
      <c r="L404" s="68">
        <f>IF($A404="","",SUMIFS('Mouvements stock'!$F$5:$F$3004,'Mouvements stock'!$D$5:$D$3004,$A404,'Mouvements stock'!$C$5:$C$3004,"Sortie"))</f>
        <v/>
      </c>
      <c r="M404" s="79">
        <f>IF($A404="","",N(J404)+N(K404)-N(L404))</f>
        <v/>
      </c>
      <c r="N404" s="67" t="n"/>
      <c r="O404" s="67" t="n"/>
      <c r="P404" s="67" t="n"/>
      <c r="Q404" s="67" t="n"/>
      <c r="R404" s="70">
        <f>IF($A404="","",MAX(0,M404)*N(I404))</f>
        <v/>
      </c>
      <c r="S404" s="9">
        <f>IF($A404="","",IF(M404&lt;=0,IF(N(P404)&gt;0,"Rupture - en cde","RUPTURE"),IF(M404+N(P404)&lt;=N404,"À COMMANDER",IF(M404&lt;=N404,"Commande en cours","OK"))))</f>
        <v/>
      </c>
      <c r="T404" s="68">
        <f>IF($A404="","",IF(OR(S404="À COMMANDER",S404="RUPTURE"),MAX(1,O404-M404-N(P404)),0))</f>
        <v/>
      </c>
      <c r="U404" s="68">
        <f>IF($A404="","",SUMIFS('Mouvements stock'!$F$5:$F$3004,'Mouvements stock'!$D$5:$D$3004,$A404,'Mouvements stock'!$C$5:$C$3004,"Sortie",'Mouvements stock'!$B$5:$B$3004,"&gt;="&amp;'Paramètres'!$AA$6,'Mouvements stock'!$B$5:$B$3004,"&lt;"&amp;('Paramètres'!$AA$7+1)))</f>
        <v/>
      </c>
      <c r="V404" s="78">
        <f>IF($A404="","",IF(COUNTIF('Mouvements stock'!$D$5:$D$3004,$A404)=0,"",_xlfn.MAXIFS('Mouvements stock'!$B$5:$B$3004,'Mouvements stock'!$D$5:$D$3004,$A404)))</f>
        <v/>
      </c>
    </row>
  </sheetData>
  <autoFilter ref="A4:V404"/>
  <conditionalFormatting sqref="S5:S404">
    <cfRule type="expression" priority="1" dxfId="0">
      <formula>S5="RUPTURE"</formula>
    </cfRule>
    <cfRule type="expression" priority="2" dxfId="0">
      <formula>S5="Rupture - en cde"</formula>
    </cfRule>
    <cfRule type="expression" priority="3" dxfId="4">
      <formula>S5="À COMMANDER"</formula>
    </cfRule>
    <cfRule type="expression" priority="4" dxfId="8">
      <formula>S5="Commande en cours"</formula>
    </cfRule>
    <cfRule type="expression" priority="5" dxfId="5">
      <formula>S5="OK"</formula>
    </cfRule>
  </conditionalFormatting>
  <conditionalFormatting sqref="H5:H404">
    <cfRule type="expression" priority="6" dxfId="6">
      <formula>H5="Stratégique"</formula>
    </cfRule>
  </conditionalFormatting>
  <dataValidations count="2">
    <dataValidation sqref="C5:C404" showDropDown="0" showInputMessage="0" showErrorMessage="0" allowBlank="1" type="list">
      <formula1>='Paramètres'!$V$5:$V$24</formula1>
    </dataValidation>
    <dataValidation sqref="D5:D404" showDropDown="0" showInputMessage="0" showErrorMessage="0" allowBlank="1" type="list">
      <formula1>='Fournisseurs'!$B$5:$B$84</formula1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8.xml><?xml version="1.0" encoding="utf-8"?>
<worksheet xmlns="http://schemas.openxmlformats.org/spreadsheetml/2006/main">
  <sheetPr>
    <tabColor rgb="00BF8F00"/>
    <outlinePr summaryBelow="1" summaryRight="1"/>
    <pageSetUpPr fitToPage="1"/>
  </sheetPr>
  <dimension ref="A1:M3004"/>
  <sheetViews>
    <sheetView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36" customWidth="1" min="5" max="5"/>
    <col width="8" customWidth="1" min="6" max="6"/>
    <col width="10" customWidth="1" min="7" max="7"/>
    <col width="11" customWidth="1" min="8" max="8"/>
    <col width="13" customWidth="1" min="9" max="9"/>
    <col width="13" customWidth="1" min="10" max="10"/>
    <col width="28" customWidth="1" min="11" max="11"/>
    <col width="13" customWidth="1" min="12" max="12"/>
    <col width="28" customWidth="1" min="13" max="13"/>
  </cols>
  <sheetData>
    <row r="1">
      <c r="A1" s="62" t="inlineStr">
        <is>
          <t>Mouvements de stock</t>
        </is>
      </c>
      <c r="H1" s="73" t="inlineStr">
        <is>
          <t>Prochain N° mouvement :</t>
        </is>
      </c>
      <c r="I1" s="74">
        <f>"MV-"&amp;TEXT(COUNTA('Mouvements stock'!$A$5:$A$3004)+1,"00000")</f>
        <v/>
      </c>
    </row>
    <row r="2">
      <c r="A2" s="3" t="inlineStr">
        <is>
          <t>Entrées (réceptions), sorties (imputées à un OT) et retours. Les sorties alimentent le coût pièces de l'OT.</t>
        </is>
      </c>
    </row>
    <row r="3">
      <c r="A3" s="63" t="inlineStr">
        <is>
          <t>Saisie : texte bleu   |   Calcul automatique : fond gris (ne pas modifier)   |   Les listes déroulantes proviennent de l'onglet Paramètres.</t>
        </is>
      </c>
    </row>
    <row r="4" ht="42" customHeight="1">
      <c r="A4" s="48" t="inlineStr">
        <is>
          <t>N° mouvement</t>
        </is>
      </c>
      <c r="B4" s="48" t="inlineStr">
        <is>
          <t>Date</t>
        </is>
      </c>
      <c r="C4" s="48" t="inlineStr">
        <is>
          <t>Type</t>
        </is>
      </c>
      <c r="D4" s="48" t="inlineStr">
        <is>
          <t>Référence pièce</t>
        </is>
      </c>
      <c r="E4" s="64" t="inlineStr">
        <is>
          <t>Désignation</t>
        </is>
      </c>
      <c r="F4" s="48" t="inlineStr">
        <is>
          <t>Quantité</t>
        </is>
      </c>
      <c r="G4" s="64" t="inlineStr">
        <is>
          <t>PU (€)</t>
        </is>
      </c>
      <c r="H4" s="64" t="inlineStr">
        <is>
          <t>Valeur (€)</t>
        </is>
      </c>
      <c r="I4" s="48" t="inlineStr">
        <is>
          <t>N° OT</t>
        </is>
      </c>
      <c r="J4" s="64" t="inlineStr">
        <is>
          <t>Équipement (via OT)</t>
        </is>
      </c>
      <c r="K4" s="64" t="inlineStr">
        <is>
          <t>Fournisseur</t>
        </is>
      </c>
      <c r="L4" s="48" t="inlineStr">
        <is>
          <t>N° commande / BL</t>
        </is>
      </c>
      <c r="M4" s="48" t="inlineStr">
        <is>
          <t>Commentaire</t>
        </is>
      </c>
    </row>
    <row r="5">
      <c r="A5" s="7" t="inlineStr">
        <is>
          <t>MV-00001</t>
        </is>
      </c>
      <c r="B5" s="75" t="n">
        <v>45659.375</v>
      </c>
      <c r="C5" s="7" t="inlineStr">
        <is>
          <t>Sortie</t>
        </is>
      </c>
      <c r="D5" s="7" t="inlineStr">
        <is>
          <t>PD-0015</t>
        </is>
      </c>
      <c r="E5" s="9">
        <f>IF(D5="","",IFERROR(INDEX('Stock pièces'!$B$5:$B$404,MATCH(D5,'Stock pièces'!$A$5:$A$404,0)),"Réf. inconnue"))</f>
        <v/>
      </c>
      <c r="F5" s="67" t="n">
        <v>1</v>
      </c>
      <c r="G5" s="81">
        <f>IF(D5="","",IFERROR(INDEX('Stock pièces'!$I$5:$I$404,MATCH(D5,'Stock pièces'!$A$5:$A$404,0)),0))</f>
        <v/>
      </c>
      <c r="H5" s="81">
        <f>IF(D5="","",N(F5)*N(G5))</f>
        <v/>
      </c>
      <c r="I5" s="7" t="inlineStr">
        <is>
          <t>OT-2025-0002</t>
        </is>
      </c>
      <c r="J5" s="9">
        <f>IF(I5="","",IFERROR(INDEX('Ordres de travail'!$D$5:$D$3004,MATCH(I5,'Ordres de travail'!$A$5:$A$3004,0)),""))</f>
        <v/>
      </c>
      <c r="K5" s="9">
        <f>IF(D5="","",IFERROR(INDEX('Stock pièces'!$D$5:$D$404,MATCH(D5,'Stock pièces'!$A$5:$A$404,0)),""))</f>
        <v/>
      </c>
      <c r="L5" s="7" t="n"/>
      <c r="M5" s="7" t="n"/>
    </row>
    <row r="6">
      <c r="A6" s="7" t="inlineStr">
        <is>
          <t>MV-00002</t>
        </is>
      </c>
      <c r="B6" s="75" t="n">
        <v>45659.375</v>
      </c>
      <c r="C6" s="7" t="inlineStr">
        <is>
          <t>Sortie</t>
        </is>
      </c>
      <c r="D6" s="7" t="inlineStr">
        <is>
          <t>PD-0022</t>
        </is>
      </c>
      <c r="E6" s="9">
        <f>IF(D6="","",IFERROR(INDEX('Stock pièces'!$B$5:$B$404,MATCH(D6,'Stock pièces'!$A$5:$A$404,0)),"Réf. inconnue"))</f>
        <v/>
      </c>
      <c r="F6" s="67" t="n">
        <v>1</v>
      </c>
      <c r="G6" s="81">
        <f>IF(D6="","",IFERROR(INDEX('Stock pièces'!$I$5:$I$404,MATCH(D6,'Stock pièces'!$A$5:$A$404,0)),0))</f>
        <v/>
      </c>
      <c r="H6" s="81">
        <f>IF(D6="","",N(F6)*N(G6))</f>
        <v/>
      </c>
      <c r="I6" s="7" t="inlineStr">
        <is>
          <t>OT-2025-0002</t>
        </is>
      </c>
      <c r="J6" s="9">
        <f>IF(I6="","",IFERROR(INDEX('Ordres de travail'!$D$5:$D$3004,MATCH(I6,'Ordres de travail'!$A$5:$A$3004,0)),""))</f>
        <v/>
      </c>
      <c r="K6" s="9">
        <f>IF(D6="","",IFERROR(INDEX('Stock pièces'!$D$5:$D$404,MATCH(D6,'Stock pièces'!$A$5:$A$404,0)),""))</f>
        <v/>
      </c>
      <c r="L6" s="7" t="n"/>
      <c r="M6" s="7" t="n"/>
    </row>
    <row r="7">
      <c r="A7" s="7" t="inlineStr">
        <is>
          <t>MV-00003</t>
        </is>
      </c>
      <c r="B7" s="75" t="n">
        <v>45659.51736111111</v>
      </c>
      <c r="C7" s="7" t="inlineStr">
        <is>
          <t>Sortie</t>
        </is>
      </c>
      <c r="D7" s="7" t="inlineStr">
        <is>
          <t>PD-0012</t>
        </is>
      </c>
      <c r="E7" s="9">
        <f>IF(D7="","",IFERROR(INDEX('Stock pièces'!$B$5:$B$404,MATCH(D7,'Stock pièces'!$A$5:$A$404,0)),"Réf. inconnue"))</f>
        <v/>
      </c>
      <c r="F7" s="67" t="n">
        <v>1</v>
      </c>
      <c r="G7" s="81">
        <f>IF(D7="","",IFERROR(INDEX('Stock pièces'!$I$5:$I$404,MATCH(D7,'Stock pièces'!$A$5:$A$404,0)),0))</f>
        <v/>
      </c>
      <c r="H7" s="81">
        <f>IF(D7="","",N(F7)*N(G7))</f>
        <v/>
      </c>
      <c r="I7" s="7" t="inlineStr">
        <is>
          <t>OT-2025-0009</t>
        </is>
      </c>
      <c r="J7" s="9">
        <f>IF(I7="","",IFERROR(INDEX('Ordres de travail'!$D$5:$D$3004,MATCH(I7,'Ordres de travail'!$A$5:$A$3004,0)),""))</f>
        <v/>
      </c>
      <c r="K7" s="9">
        <f>IF(D7="","",IFERROR(INDEX('Stock pièces'!$D$5:$D$404,MATCH(D7,'Stock pièces'!$A$5:$A$404,0)),""))</f>
        <v/>
      </c>
      <c r="L7" s="7" t="n"/>
      <c r="M7" s="7" t="n"/>
    </row>
    <row r="8">
      <c r="A8" s="7" t="inlineStr">
        <is>
          <t>MV-00004</t>
        </is>
      </c>
      <c r="B8" s="75" t="n">
        <v>45659.51736111111</v>
      </c>
      <c r="C8" s="7" t="inlineStr">
        <is>
          <t>Sortie</t>
        </is>
      </c>
      <c r="D8" s="7" t="inlineStr">
        <is>
          <t>PD-0013</t>
        </is>
      </c>
      <c r="E8" s="9">
        <f>IF(D8="","",IFERROR(INDEX('Stock pièces'!$B$5:$B$404,MATCH(D8,'Stock pièces'!$A$5:$A$404,0)),"Réf. inconnue"))</f>
        <v/>
      </c>
      <c r="F8" s="67" t="n">
        <v>1</v>
      </c>
      <c r="G8" s="81">
        <f>IF(D8="","",IFERROR(INDEX('Stock pièces'!$I$5:$I$404,MATCH(D8,'Stock pièces'!$A$5:$A$404,0)),0))</f>
        <v/>
      </c>
      <c r="H8" s="81">
        <f>IF(D8="","",N(F8)*N(G8))</f>
        <v/>
      </c>
      <c r="I8" s="7" t="inlineStr">
        <is>
          <t>OT-2025-0009</t>
        </is>
      </c>
      <c r="J8" s="9">
        <f>IF(I8="","",IFERROR(INDEX('Ordres de travail'!$D$5:$D$3004,MATCH(I8,'Ordres de travail'!$A$5:$A$3004,0)),""))</f>
        <v/>
      </c>
      <c r="K8" s="9">
        <f>IF(D8="","",IFERROR(INDEX('Stock pièces'!$D$5:$D$404,MATCH(D8,'Stock pièces'!$A$5:$A$404,0)),""))</f>
        <v/>
      </c>
      <c r="L8" s="7" t="n"/>
      <c r="M8" s="7" t="n"/>
    </row>
    <row r="9">
      <c r="A9" s="7" t="inlineStr">
        <is>
          <t>MV-00005</t>
        </is>
      </c>
      <c r="B9" s="75" t="n">
        <v>45659.51736111111</v>
      </c>
      <c r="C9" s="7" t="inlineStr">
        <is>
          <t>Sortie</t>
        </is>
      </c>
      <c r="D9" s="7" t="inlineStr">
        <is>
          <t>PD-0024</t>
        </is>
      </c>
      <c r="E9" s="9">
        <f>IF(D9="","",IFERROR(INDEX('Stock pièces'!$B$5:$B$404,MATCH(D9,'Stock pièces'!$A$5:$A$404,0)),"Réf. inconnue"))</f>
        <v/>
      </c>
      <c r="F9" s="67" t="n">
        <v>1</v>
      </c>
      <c r="G9" s="81">
        <f>IF(D9="","",IFERROR(INDEX('Stock pièces'!$I$5:$I$404,MATCH(D9,'Stock pièces'!$A$5:$A$404,0)),0))</f>
        <v/>
      </c>
      <c r="H9" s="81">
        <f>IF(D9="","",N(F9)*N(G9))</f>
        <v/>
      </c>
      <c r="I9" s="7" t="inlineStr">
        <is>
          <t>OT-2025-0009</t>
        </is>
      </c>
      <c r="J9" s="9">
        <f>IF(I9="","",IFERROR(INDEX('Ordres de travail'!$D$5:$D$3004,MATCH(I9,'Ordres de travail'!$A$5:$A$3004,0)),""))</f>
        <v/>
      </c>
      <c r="K9" s="9">
        <f>IF(D9="","",IFERROR(INDEX('Stock pièces'!$D$5:$D$404,MATCH(D9,'Stock pièces'!$A$5:$A$404,0)),""))</f>
        <v/>
      </c>
      <c r="L9" s="7" t="n"/>
      <c r="M9" s="7" t="n"/>
    </row>
    <row r="10">
      <c r="A10" s="7" t="inlineStr">
        <is>
          <t>MV-00006</t>
        </is>
      </c>
      <c r="B10" s="75" t="n">
        <v>45659.54166666666</v>
      </c>
      <c r="C10" s="7" t="inlineStr">
        <is>
          <t>Sortie</t>
        </is>
      </c>
      <c r="D10" s="7" t="inlineStr">
        <is>
          <t>PD-0015</t>
        </is>
      </c>
      <c r="E10" s="9">
        <f>IF(D10="","",IFERROR(INDEX('Stock pièces'!$B$5:$B$404,MATCH(D10,'Stock pièces'!$A$5:$A$404,0)),"Réf. inconnue"))</f>
        <v/>
      </c>
      <c r="F10" s="67" t="n">
        <v>1</v>
      </c>
      <c r="G10" s="81">
        <f>IF(D10="","",IFERROR(INDEX('Stock pièces'!$I$5:$I$404,MATCH(D10,'Stock pièces'!$A$5:$A$404,0)),0))</f>
        <v/>
      </c>
      <c r="H10" s="81">
        <f>IF(D10="","",N(F10)*N(G10))</f>
        <v/>
      </c>
      <c r="I10" s="7" t="inlineStr">
        <is>
          <t>OT-2025-0004</t>
        </is>
      </c>
      <c r="J10" s="9">
        <f>IF(I10="","",IFERROR(INDEX('Ordres de travail'!$D$5:$D$3004,MATCH(I10,'Ordres de travail'!$A$5:$A$3004,0)),""))</f>
        <v/>
      </c>
      <c r="K10" s="9">
        <f>IF(D10="","",IFERROR(INDEX('Stock pièces'!$D$5:$D$404,MATCH(D10,'Stock pièces'!$A$5:$A$404,0)),""))</f>
        <v/>
      </c>
      <c r="L10" s="7" t="n"/>
      <c r="M10" s="7" t="n"/>
    </row>
    <row r="11">
      <c r="A11" s="7" t="inlineStr">
        <is>
          <t>MV-00007</t>
        </is>
      </c>
      <c r="B11" s="75" t="n">
        <v>45659.54166666666</v>
      </c>
      <c r="C11" s="7" t="inlineStr">
        <is>
          <t>Sortie</t>
        </is>
      </c>
      <c r="D11" s="7" t="inlineStr">
        <is>
          <t>PD-0022</t>
        </is>
      </c>
      <c r="E11" s="9">
        <f>IF(D11="","",IFERROR(INDEX('Stock pièces'!$B$5:$B$404,MATCH(D11,'Stock pièces'!$A$5:$A$404,0)),"Réf. inconnue"))</f>
        <v/>
      </c>
      <c r="F11" s="67" t="n">
        <v>1</v>
      </c>
      <c r="G11" s="81">
        <f>IF(D11="","",IFERROR(INDEX('Stock pièces'!$I$5:$I$404,MATCH(D11,'Stock pièces'!$A$5:$A$404,0)),0))</f>
        <v/>
      </c>
      <c r="H11" s="81">
        <f>IF(D11="","",N(F11)*N(G11))</f>
        <v/>
      </c>
      <c r="I11" s="7" t="inlineStr">
        <is>
          <t>OT-2025-0004</t>
        </is>
      </c>
      <c r="J11" s="9">
        <f>IF(I11="","",IFERROR(INDEX('Ordres de travail'!$D$5:$D$3004,MATCH(I11,'Ordres de travail'!$A$5:$A$3004,0)),""))</f>
        <v/>
      </c>
      <c r="K11" s="9">
        <f>IF(D11="","",IFERROR(INDEX('Stock pièces'!$D$5:$D$404,MATCH(D11,'Stock pièces'!$A$5:$A$404,0)),""))</f>
        <v/>
      </c>
      <c r="L11" s="7" t="n"/>
      <c r="M11" s="7" t="n"/>
    </row>
    <row r="12">
      <c r="A12" s="7" t="inlineStr">
        <is>
          <t>MV-00008</t>
        </is>
      </c>
      <c r="B12" s="75" t="n">
        <v>45661.74375</v>
      </c>
      <c r="C12" s="7" t="inlineStr">
        <is>
          <t>Sortie</t>
        </is>
      </c>
      <c r="D12" s="7" t="inlineStr">
        <is>
          <t>PD-0038</t>
        </is>
      </c>
      <c r="E12" s="9">
        <f>IF(D12="","",IFERROR(INDEX('Stock pièces'!$B$5:$B$404,MATCH(D12,'Stock pièces'!$A$5:$A$404,0)),"Réf. inconnue"))</f>
        <v/>
      </c>
      <c r="F12" s="67" t="n">
        <v>1</v>
      </c>
      <c r="G12" s="81">
        <f>IF(D12="","",IFERROR(INDEX('Stock pièces'!$I$5:$I$404,MATCH(D12,'Stock pièces'!$A$5:$A$404,0)),0))</f>
        <v/>
      </c>
      <c r="H12" s="81">
        <f>IF(D12="","",N(F12)*N(G12))</f>
        <v/>
      </c>
      <c r="I12" s="7" t="inlineStr">
        <is>
          <t>OT-2025-0019</t>
        </is>
      </c>
      <c r="J12" s="9">
        <f>IF(I12="","",IFERROR(INDEX('Ordres de travail'!$D$5:$D$3004,MATCH(I12,'Ordres de travail'!$A$5:$A$3004,0)),""))</f>
        <v/>
      </c>
      <c r="K12" s="9">
        <f>IF(D12="","",IFERROR(INDEX('Stock pièces'!$D$5:$D$404,MATCH(D12,'Stock pièces'!$A$5:$A$404,0)),""))</f>
        <v/>
      </c>
      <c r="L12" s="7" t="n"/>
      <c r="M12" s="7" t="n"/>
    </row>
    <row r="13">
      <c r="A13" s="7" t="inlineStr">
        <is>
          <t>MV-00009</t>
        </is>
      </c>
      <c r="B13" s="75" t="n">
        <v>45663.375</v>
      </c>
      <c r="C13" s="7" t="inlineStr">
        <is>
          <t>Sortie</t>
        </is>
      </c>
      <c r="D13" s="7" t="inlineStr">
        <is>
          <t>PD-0062</t>
        </is>
      </c>
      <c r="E13" s="9">
        <f>IF(D13="","",IFERROR(INDEX('Stock pièces'!$B$5:$B$404,MATCH(D13,'Stock pièces'!$A$5:$A$404,0)),"Réf. inconnue"))</f>
        <v/>
      </c>
      <c r="F13" s="67" t="n">
        <v>1</v>
      </c>
      <c r="G13" s="81">
        <f>IF(D13="","",IFERROR(INDEX('Stock pièces'!$I$5:$I$404,MATCH(D13,'Stock pièces'!$A$5:$A$404,0)),0))</f>
        <v/>
      </c>
      <c r="H13" s="81">
        <f>IF(D13="","",N(F13)*N(G13))</f>
        <v/>
      </c>
      <c r="I13" s="7" t="inlineStr">
        <is>
          <t>OT-2025-0006</t>
        </is>
      </c>
      <c r="J13" s="9">
        <f>IF(I13="","",IFERROR(INDEX('Ordres de travail'!$D$5:$D$3004,MATCH(I13,'Ordres de travail'!$A$5:$A$3004,0)),""))</f>
        <v/>
      </c>
      <c r="K13" s="9">
        <f>IF(D13="","",IFERROR(INDEX('Stock pièces'!$D$5:$D$404,MATCH(D13,'Stock pièces'!$A$5:$A$404,0)),""))</f>
        <v/>
      </c>
      <c r="L13" s="7" t="n"/>
      <c r="M13" s="7" t="n"/>
    </row>
    <row r="14">
      <c r="A14" s="7" t="inlineStr">
        <is>
          <t>MV-00010</t>
        </is>
      </c>
      <c r="B14" s="75" t="n">
        <v>45663.60972222222</v>
      </c>
      <c r="C14" s="7" t="inlineStr">
        <is>
          <t>Sortie</t>
        </is>
      </c>
      <c r="D14" s="7" t="inlineStr">
        <is>
          <t>PD-0058</t>
        </is>
      </c>
      <c r="E14" s="9">
        <f>IF(D14="","",IFERROR(INDEX('Stock pièces'!$B$5:$B$404,MATCH(D14,'Stock pièces'!$A$5:$A$404,0)),"Réf. inconnue"))</f>
        <v/>
      </c>
      <c r="F14" s="67" t="n">
        <v>2</v>
      </c>
      <c r="G14" s="81">
        <f>IF(D14="","",IFERROR(INDEX('Stock pièces'!$I$5:$I$404,MATCH(D14,'Stock pièces'!$A$5:$A$404,0)),0))</f>
        <v/>
      </c>
      <c r="H14" s="81">
        <f>IF(D14="","",N(F14)*N(G14))</f>
        <v/>
      </c>
      <c r="I14" s="7" t="inlineStr">
        <is>
          <t>OT-2025-0028</t>
        </is>
      </c>
      <c r="J14" s="9">
        <f>IF(I14="","",IFERROR(INDEX('Ordres de travail'!$D$5:$D$3004,MATCH(I14,'Ordres de travail'!$A$5:$A$3004,0)),""))</f>
        <v/>
      </c>
      <c r="K14" s="9">
        <f>IF(D14="","",IFERROR(INDEX('Stock pièces'!$D$5:$D$404,MATCH(D14,'Stock pièces'!$A$5:$A$404,0)),""))</f>
        <v/>
      </c>
      <c r="L14" s="7" t="n"/>
      <c r="M14" s="7" t="n"/>
    </row>
    <row r="15">
      <c r="A15" s="7" t="inlineStr">
        <is>
          <t>MV-00011</t>
        </is>
      </c>
      <c r="B15" s="75" t="n">
        <v>45663.60972222222</v>
      </c>
      <c r="C15" s="7" t="inlineStr">
        <is>
          <t>Sortie</t>
        </is>
      </c>
      <c r="D15" s="7" t="inlineStr">
        <is>
          <t>PD-0060</t>
        </is>
      </c>
      <c r="E15" s="9">
        <f>IF(D15="","",IFERROR(INDEX('Stock pièces'!$B$5:$B$404,MATCH(D15,'Stock pièces'!$A$5:$A$404,0)),"Réf. inconnue"))</f>
        <v/>
      </c>
      <c r="F15" s="67" t="n">
        <v>1</v>
      </c>
      <c r="G15" s="81">
        <f>IF(D15="","",IFERROR(INDEX('Stock pièces'!$I$5:$I$404,MATCH(D15,'Stock pièces'!$A$5:$A$404,0)),0))</f>
        <v/>
      </c>
      <c r="H15" s="81">
        <f>IF(D15="","",N(F15)*N(G15))</f>
        <v/>
      </c>
      <c r="I15" s="7" t="inlineStr">
        <is>
          <t>OT-2025-0028</t>
        </is>
      </c>
      <c r="J15" s="9">
        <f>IF(I15="","",IFERROR(INDEX('Ordres de travail'!$D$5:$D$3004,MATCH(I15,'Ordres de travail'!$A$5:$A$3004,0)),""))</f>
        <v/>
      </c>
      <c r="K15" s="9">
        <f>IF(D15="","",IFERROR(INDEX('Stock pièces'!$D$5:$D$404,MATCH(D15,'Stock pièces'!$A$5:$A$404,0)),""))</f>
        <v/>
      </c>
      <c r="L15" s="7" t="n"/>
      <c r="M15" s="7" t="n"/>
    </row>
    <row r="16">
      <c r="A16" s="7" t="inlineStr">
        <is>
          <t>MV-00012</t>
        </is>
      </c>
      <c r="B16" s="75" t="n">
        <v>45665.41666666666</v>
      </c>
      <c r="C16" s="7" t="inlineStr">
        <is>
          <t>Sortie</t>
        </is>
      </c>
      <c r="D16" s="7" t="inlineStr">
        <is>
          <t>PD-0017</t>
        </is>
      </c>
      <c r="E16" s="9">
        <f>IF(D16="","",IFERROR(INDEX('Stock pièces'!$B$5:$B$404,MATCH(D16,'Stock pièces'!$A$5:$A$404,0)),"Réf. inconnue"))</f>
        <v/>
      </c>
      <c r="F16" s="67" t="n">
        <v>1</v>
      </c>
      <c r="G16" s="81">
        <f>IF(D16="","",IFERROR(INDEX('Stock pièces'!$I$5:$I$404,MATCH(D16,'Stock pièces'!$A$5:$A$404,0)),0))</f>
        <v/>
      </c>
      <c r="H16" s="81">
        <f>IF(D16="","",N(F16)*N(G16))</f>
        <v/>
      </c>
      <c r="I16" s="7" t="inlineStr">
        <is>
          <t>OT-2025-0007</t>
        </is>
      </c>
      <c r="J16" s="9">
        <f>IF(I16="","",IFERROR(INDEX('Ordres de travail'!$D$5:$D$3004,MATCH(I16,'Ordres de travail'!$A$5:$A$3004,0)),""))</f>
        <v/>
      </c>
      <c r="K16" s="9">
        <f>IF(D16="","",IFERROR(INDEX('Stock pièces'!$D$5:$D$404,MATCH(D16,'Stock pièces'!$A$5:$A$404,0)),""))</f>
        <v/>
      </c>
      <c r="L16" s="7" t="n"/>
      <c r="M16" s="7" t="n"/>
    </row>
    <row r="17">
      <c r="A17" s="7" t="inlineStr">
        <is>
          <t>MV-00013</t>
        </is>
      </c>
      <c r="B17" s="75" t="n">
        <v>45666.26805555556</v>
      </c>
      <c r="C17" s="7" t="inlineStr">
        <is>
          <t>Sortie</t>
        </is>
      </c>
      <c r="D17" s="7" t="inlineStr">
        <is>
          <t>PD-0076</t>
        </is>
      </c>
      <c r="E17" s="9">
        <f>IF(D17="","",IFERROR(INDEX('Stock pièces'!$B$5:$B$404,MATCH(D17,'Stock pièces'!$A$5:$A$404,0)),"Réf. inconnue"))</f>
        <v/>
      </c>
      <c r="F17" s="67" t="n">
        <v>1</v>
      </c>
      <c r="G17" s="81">
        <f>IF(D17="","",IFERROR(INDEX('Stock pièces'!$I$5:$I$404,MATCH(D17,'Stock pièces'!$A$5:$A$404,0)),0))</f>
        <v/>
      </c>
      <c r="H17" s="81">
        <f>IF(D17="","",N(F17)*N(G17))</f>
        <v/>
      </c>
      <c r="I17" s="7" t="inlineStr">
        <is>
          <t>OT-2025-0034</t>
        </is>
      </c>
      <c r="J17" s="9">
        <f>IF(I17="","",IFERROR(INDEX('Ordres de travail'!$D$5:$D$3004,MATCH(I17,'Ordres de travail'!$A$5:$A$3004,0)),""))</f>
        <v/>
      </c>
      <c r="K17" s="9">
        <f>IF(D17="","",IFERROR(INDEX('Stock pièces'!$D$5:$D$404,MATCH(D17,'Stock pièces'!$A$5:$A$404,0)),""))</f>
        <v/>
      </c>
      <c r="L17" s="7" t="n"/>
      <c r="M17" s="7" t="n"/>
    </row>
    <row r="18">
      <c r="A18" s="7" t="inlineStr">
        <is>
          <t>MV-00014</t>
        </is>
      </c>
      <c r="B18" s="75" t="n">
        <v>45666.32986111111</v>
      </c>
      <c r="C18" s="7" t="inlineStr">
        <is>
          <t>Sortie</t>
        </is>
      </c>
      <c r="D18" s="7" t="inlineStr">
        <is>
          <t>PD-0058</t>
        </is>
      </c>
      <c r="E18" s="9">
        <f>IF(D18="","",IFERROR(INDEX('Stock pièces'!$B$5:$B$404,MATCH(D18,'Stock pièces'!$A$5:$A$404,0)),"Réf. inconnue"))</f>
        <v/>
      </c>
      <c r="F18" s="67" t="n">
        <v>1</v>
      </c>
      <c r="G18" s="81">
        <f>IF(D18="","",IFERROR(INDEX('Stock pièces'!$I$5:$I$404,MATCH(D18,'Stock pièces'!$A$5:$A$404,0)),0))</f>
        <v/>
      </c>
      <c r="H18" s="81">
        <f>IF(D18="","",N(F18)*N(G18))</f>
        <v/>
      </c>
      <c r="I18" s="7" t="inlineStr">
        <is>
          <t>OT-2025-0014</t>
        </is>
      </c>
      <c r="J18" s="9">
        <f>IF(I18="","",IFERROR(INDEX('Ordres de travail'!$D$5:$D$3004,MATCH(I18,'Ordres de travail'!$A$5:$A$3004,0)),""))</f>
        <v/>
      </c>
      <c r="K18" s="9">
        <f>IF(D18="","",IFERROR(INDEX('Stock pièces'!$D$5:$D$404,MATCH(D18,'Stock pièces'!$A$5:$A$404,0)),""))</f>
        <v/>
      </c>
      <c r="L18" s="7" t="n"/>
      <c r="M18" s="7" t="n"/>
    </row>
    <row r="19">
      <c r="A19" s="7" t="inlineStr">
        <is>
          <t>MV-00015</t>
        </is>
      </c>
      <c r="B19" s="75" t="n">
        <v>45666.32986111111</v>
      </c>
      <c r="C19" s="7" t="inlineStr">
        <is>
          <t>Sortie</t>
        </is>
      </c>
      <c r="D19" s="7" t="inlineStr">
        <is>
          <t>PD-0059</t>
        </is>
      </c>
      <c r="E19" s="9">
        <f>IF(D19="","",IFERROR(INDEX('Stock pièces'!$B$5:$B$404,MATCH(D19,'Stock pièces'!$A$5:$A$404,0)),"Réf. inconnue"))</f>
        <v/>
      </c>
      <c r="F19" s="67" t="n">
        <v>1</v>
      </c>
      <c r="G19" s="81">
        <f>IF(D19="","",IFERROR(INDEX('Stock pièces'!$I$5:$I$404,MATCH(D19,'Stock pièces'!$A$5:$A$404,0)),0))</f>
        <v/>
      </c>
      <c r="H19" s="81">
        <f>IF(D19="","",N(F19)*N(G19))</f>
        <v/>
      </c>
      <c r="I19" s="7" t="inlineStr">
        <is>
          <t>OT-2025-0014</t>
        </is>
      </c>
      <c r="J19" s="9">
        <f>IF(I19="","",IFERROR(INDEX('Ordres de travail'!$D$5:$D$3004,MATCH(I19,'Ordres de travail'!$A$5:$A$3004,0)),""))</f>
        <v/>
      </c>
      <c r="K19" s="9">
        <f>IF(D19="","",IFERROR(INDEX('Stock pièces'!$D$5:$D$404,MATCH(D19,'Stock pièces'!$A$5:$A$404,0)),""))</f>
        <v/>
      </c>
      <c r="L19" s="7" t="n"/>
      <c r="M19" s="7" t="n"/>
    </row>
    <row r="20">
      <c r="A20" s="7" t="inlineStr">
        <is>
          <t>MV-00016</t>
        </is>
      </c>
      <c r="B20" s="75" t="n">
        <v>45666.41666666666</v>
      </c>
      <c r="C20" s="7" t="inlineStr">
        <is>
          <t>Entrée</t>
        </is>
      </c>
      <c r="D20" s="7" t="inlineStr">
        <is>
          <t>PD-0022</t>
        </is>
      </c>
      <c r="E20" s="9">
        <f>IF(D20="","",IFERROR(INDEX('Stock pièces'!$B$5:$B$404,MATCH(D20,'Stock pièces'!$A$5:$A$404,0)),"Réf. inconnue"))</f>
        <v/>
      </c>
      <c r="F20" s="67" t="n">
        <v>2</v>
      </c>
      <c r="G20" s="81">
        <f>IF(D20="","",IFERROR(INDEX('Stock pièces'!$I$5:$I$404,MATCH(D20,'Stock pièces'!$A$5:$A$404,0)),0))</f>
        <v/>
      </c>
      <c r="H20" s="81">
        <f>IF(D20="","",N(F20)*N(G20))</f>
        <v/>
      </c>
      <c r="I20" s="7" t="n"/>
      <c r="J20" s="9">
        <f>IF(I20="","",IFERROR(INDEX('Ordres de travail'!$D$5:$D$3004,MATCH(I20,'Ordres de travail'!$A$5:$A$3004,0)),""))</f>
        <v/>
      </c>
      <c r="K20" s="9">
        <f>IF(D20="","",IFERROR(INDEX('Stock pièces'!$D$5:$D$404,MATCH(D20,'Stock pièces'!$A$5:$A$404,0)),""))</f>
        <v/>
      </c>
      <c r="L20" s="7" t="inlineStr">
        <is>
          <t>CMD-24001</t>
        </is>
      </c>
      <c r="M20" s="7" t="inlineStr">
        <is>
          <t>Réception commande réappro</t>
        </is>
      </c>
    </row>
    <row r="21">
      <c r="A21" s="7" t="inlineStr">
        <is>
          <t>MV-00017</t>
        </is>
      </c>
      <c r="B21" s="75" t="n">
        <v>45667.45833333334</v>
      </c>
      <c r="C21" s="7" t="inlineStr">
        <is>
          <t>Sortie</t>
        </is>
      </c>
      <c r="D21" s="7" t="inlineStr">
        <is>
          <t>PD-0021</t>
        </is>
      </c>
      <c r="E21" s="9">
        <f>IF(D21="","",IFERROR(INDEX('Stock pièces'!$B$5:$B$404,MATCH(D21,'Stock pièces'!$A$5:$A$404,0)),"Réf. inconnue"))</f>
        <v/>
      </c>
      <c r="F21" s="67" t="n">
        <v>1</v>
      </c>
      <c r="G21" s="81">
        <f>IF(D21="","",IFERROR(INDEX('Stock pièces'!$I$5:$I$404,MATCH(D21,'Stock pièces'!$A$5:$A$404,0)),0))</f>
        <v/>
      </c>
      <c r="H21" s="81">
        <f>IF(D21="","",N(F21)*N(G21))</f>
        <v/>
      </c>
      <c r="I21" s="7" t="inlineStr">
        <is>
          <t>OT-2025-0018</t>
        </is>
      </c>
      <c r="J21" s="9">
        <f>IF(I21="","",IFERROR(INDEX('Ordres de travail'!$D$5:$D$3004,MATCH(I21,'Ordres de travail'!$A$5:$A$3004,0)),""))</f>
        <v/>
      </c>
      <c r="K21" s="9">
        <f>IF(D21="","",IFERROR(INDEX('Stock pièces'!$D$5:$D$404,MATCH(D21,'Stock pièces'!$A$5:$A$404,0)),""))</f>
        <v/>
      </c>
      <c r="L21" s="7" t="n"/>
      <c r="M21" s="7" t="n"/>
    </row>
    <row r="22">
      <c r="A22" s="7" t="inlineStr">
        <is>
          <t>MV-00018</t>
        </is>
      </c>
      <c r="B22" s="75" t="n">
        <v>45670.43055555555</v>
      </c>
      <c r="C22" s="7" t="inlineStr">
        <is>
          <t>Sortie</t>
        </is>
      </c>
      <c r="D22" s="7" t="inlineStr">
        <is>
          <t>PD-0019</t>
        </is>
      </c>
      <c r="E22" s="9">
        <f>IF(D22="","",IFERROR(INDEX('Stock pièces'!$B$5:$B$404,MATCH(D22,'Stock pièces'!$A$5:$A$404,0)),"Réf. inconnue"))</f>
        <v/>
      </c>
      <c r="F22" s="67" t="n">
        <v>3</v>
      </c>
      <c r="G22" s="81">
        <f>IF(D22="","",IFERROR(INDEX('Stock pièces'!$I$5:$I$404,MATCH(D22,'Stock pièces'!$A$5:$A$404,0)),0))</f>
        <v/>
      </c>
      <c r="H22" s="81">
        <f>IF(D22="","",N(F22)*N(G22))</f>
        <v/>
      </c>
      <c r="I22" s="7" t="inlineStr">
        <is>
          <t>OT-2025-0022</t>
        </is>
      </c>
      <c r="J22" s="9">
        <f>IF(I22="","",IFERROR(INDEX('Ordres de travail'!$D$5:$D$3004,MATCH(I22,'Ordres de travail'!$A$5:$A$3004,0)),""))</f>
        <v/>
      </c>
      <c r="K22" s="9">
        <f>IF(D22="","",IFERROR(INDEX('Stock pièces'!$D$5:$D$404,MATCH(D22,'Stock pièces'!$A$5:$A$404,0)),""))</f>
        <v/>
      </c>
      <c r="L22" s="7" t="n"/>
      <c r="M22" s="7" t="n"/>
    </row>
    <row r="23">
      <c r="A23" s="7" t="inlineStr">
        <is>
          <t>MV-00019</t>
        </is>
      </c>
      <c r="B23" s="75" t="n">
        <v>45670.43055555555</v>
      </c>
      <c r="C23" s="7" t="inlineStr">
        <is>
          <t>Sortie</t>
        </is>
      </c>
      <c r="D23" s="7" t="inlineStr">
        <is>
          <t>PD-0020</t>
        </is>
      </c>
      <c r="E23" s="9">
        <f>IF(D23="","",IFERROR(INDEX('Stock pièces'!$B$5:$B$404,MATCH(D23,'Stock pièces'!$A$5:$A$404,0)),"Réf. inconnue"))</f>
        <v/>
      </c>
      <c r="F23" s="67" t="n">
        <v>2</v>
      </c>
      <c r="G23" s="81">
        <f>IF(D23="","",IFERROR(INDEX('Stock pièces'!$I$5:$I$404,MATCH(D23,'Stock pièces'!$A$5:$A$404,0)),0))</f>
        <v/>
      </c>
      <c r="H23" s="81">
        <f>IF(D23="","",N(F23)*N(G23))</f>
        <v/>
      </c>
      <c r="I23" s="7" t="inlineStr">
        <is>
          <t>OT-2025-0022</t>
        </is>
      </c>
      <c r="J23" s="9">
        <f>IF(I23="","",IFERROR(INDEX('Ordres de travail'!$D$5:$D$3004,MATCH(I23,'Ordres de travail'!$A$5:$A$3004,0)),""))</f>
        <v/>
      </c>
      <c r="K23" s="9">
        <f>IF(D23="","",IFERROR(INDEX('Stock pièces'!$D$5:$D$404,MATCH(D23,'Stock pièces'!$A$5:$A$404,0)),""))</f>
        <v/>
      </c>
      <c r="L23" s="7" t="n"/>
      <c r="M23" s="7" t="n"/>
    </row>
    <row r="24">
      <c r="A24" s="7" t="inlineStr">
        <is>
          <t>MV-00020</t>
        </is>
      </c>
      <c r="B24" s="75" t="n">
        <v>45670.43402777778</v>
      </c>
      <c r="C24" s="7" t="inlineStr">
        <is>
          <t>Sortie</t>
        </is>
      </c>
      <c r="D24" s="7" t="inlineStr">
        <is>
          <t>PD-0025</t>
        </is>
      </c>
      <c r="E24" s="9">
        <f>IF(D24="","",IFERROR(INDEX('Stock pièces'!$B$5:$B$404,MATCH(D24,'Stock pièces'!$A$5:$A$404,0)),"Réf. inconnue"))</f>
        <v/>
      </c>
      <c r="F24" s="67" t="n">
        <v>1</v>
      </c>
      <c r="G24" s="81">
        <f>IF(D24="","",IFERROR(INDEX('Stock pièces'!$I$5:$I$404,MATCH(D24,'Stock pièces'!$A$5:$A$404,0)),0))</f>
        <v/>
      </c>
      <c r="H24" s="81">
        <f>IF(D24="","",N(F24)*N(G24))</f>
        <v/>
      </c>
      <c r="I24" s="7" t="inlineStr">
        <is>
          <t>OT-2025-0024</t>
        </is>
      </c>
      <c r="J24" s="9">
        <f>IF(I24="","",IFERROR(INDEX('Ordres de travail'!$D$5:$D$3004,MATCH(I24,'Ordres de travail'!$A$5:$A$3004,0)),""))</f>
        <v/>
      </c>
      <c r="K24" s="9">
        <f>IF(D24="","",IFERROR(INDEX('Stock pièces'!$D$5:$D$404,MATCH(D24,'Stock pièces'!$A$5:$A$404,0)),""))</f>
        <v/>
      </c>
      <c r="L24" s="7" t="n"/>
      <c r="M24" s="7" t="n"/>
    </row>
    <row r="25">
      <c r="A25" s="7" t="inlineStr">
        <is>
          <t>MV-00021</t>
        </is>
      </c>
      <c r="B25" s="75" t="n">
        <v>45670.47916666666</v>
      </c>
      <c r="C25" s="7" t="inlineStr">
        <is>
          <t>Sortie</t>
        </is>
      </c>
      <c r="D25" s="7" t="inlineStr">
        <is>
          <t>PD-0017</t>
        </is>
      </c>
      <c r="E25" s="9">
        <f>IF(D25="","",IFERROR(INDEX('Stock pièces'!$B$5:$B$404,MATCH(D25,'Stock pièces'!$A$5:$A$404,0)),"Réf. inconnue"))</f>
        <v/>
      </c>
      <c r="F25" s="67" t="n">
        <v>1</v>
      </c>
      <c r="G25" s="81">
        <f>IF(D25="","",IFERROR(INDEX('Stock pièces'!$I$5:$I$404,MATCH(D25,'Stock pièces'!$A$5:$A$404,0)),0))</f>
        <v/>
      </c>
      <c r="H25" s="81">
        <f>IF(D25="","",N(F25)*N(G25))</f>
        <v/>
      </c>
      <c r="I25" s="7" t="inlineStr">
        <is>
          <t>OT-2025-0027</t>
        </is>
      </c>
      <c r="J25" s="9">
        <f>IF(I25="","",IFERROR(INDEX('Ordres de travail'!$D$5:$D$3004,MATCH(I25,'Ordres de travail'!$A$5:$A$3004,0)),""))</f>
        <v/>
      </c>
      <c r="K25" s="9">
        <f>IF(D25="","",IFERROR(INDEX('Stock pièces'!$D$5:$D$404,MATCH(D25,'Stock pièces'!$A$5:$A$404,0)),""))</f>
        <v/>
      </c>
      <c r="L25" s="7" t="n"/>
      <c r="M25" s="7" t="n"/>
    </row>
    <row r="26">
      <c r="A26" s="7" t="inlineStr">
        <is>
          <t>MV-00022</t>
        </is>
      </c>
      <c r="B26" s="75" t="n">
        <v>45670.59027777778</v>
      </c>
      <c r="C26" s="7" t="inlineStr">
        <is>
          <t>Sortie</t>
        </is>
      </c>
      <c r="D26" s="7" t="inlineStr">
        <is>
          <t>PD-0015</t>
        </is>
      </c>
      <c r="E26" s="9">
        <f>IF(D26="","",IFERROR(INDEX('Stock pièces'!$B$5:$B$404,MATCH(D26,'Stock pièces'!$A$5:$A$404,0)),"Réf. inconnue"))</f>
        <v/>
      </c>
      <c r="F26" s="67" t="n">
        <v>1</v>
      </c>
      <c r="G26" s="81">
        <f>IF(D26="","",IFERROR(INDEX('Stock pièces'!$I$5:$I$404,MATCH(D26,'Stock pièces'!$A$5:$A$404,0)),0))</f>
        <v/>
      </c>
      <c r="H26" s="81">
        <f>IF(D26="","",N(F26)*N(G26))</f>
        <v/>
      </c>
      <c r="I26" s="7" t="inlineStr">
        <is>
          <t>OT-2025-0021</t>
        </is>
      </c>
      <c r="J26" s="9">
        <f>IF(I26="","",IFERROR(INDEX('Ordres de travail'!$D$5:$D$3004,MATCH(I26,'Ordres de travail'!$A$5:$A$3004,0)),""))</f>
        <v/>
      </c>
      <c r="K26" s="9">
        <f>IF(D26="","",IFERROR(INDEX('Stock pièces'!$D$5:$D$404,MATCH(D26,'Stock pièces'!$A$5:$A$404,0)),""))</f>
        <v/>
      </c>
      <c r="L26" s="7" t="n"/>
      <c r="M26" s="7" t="n"/>
    </row>
    <row r="27">
      <c r="A27" s="7" t="inlineStr">
        <is>
          <t>MV-00023</t>
        </is>
      </c>
      <c r="B27" s="75" t="n">
        <v>45670.59027777778</v>
      </c>
      <c r="C27" s="7" t="inlineStr">
        <is>
          <t>Sortie</t>
        </is>
      </c>
      <c r="D27" s="7" t="inlineStr">
        <is>
          <t>PD-0022</t>
        </is>
      </c>
      <c r="E27" s="9">
        <f>IF(D27="","",IFERROR(INDEX('Stock pièces'!$B$5:$B$404,MATCH(D27,'Stock pièces'!$A$5:$A$404,0)),"Réf. inconnue"))</f>
        <v/>
      </c>
      <c r="F27" s="67" t="n">
        <v>1</v>
      </c>
      <c r="G27" s="81">
        <f>IF(D27="","",IFERROR(INDEX('Stock pièces'!$I$5:$I$404,MATCH(D27,'Stock pièces'!$A$5:$A$404,0)),0))</f>
        <v/>
      </c>
      <c r="H27" s="81">
        <f>IF(D27="","",N(F27)*N(G27))</f>
        <v/>
      </c>
      <c r="I27" s="7" t="inlineStr">
        <is>
          <t>OT-2025-0021</t>
        </is>
      </c>
      <c r="J27" s="9">
        <f>IF(I27="","",IFERROR(INDEX('Ordres de travail'!$D$5:$D$3004,MATCH(I27,'Ordres de travail'!$A$5:$A$3004,0)),""))</f>
        <v/>
      </c>
      <c r="K27" s="9">
        <f>IF(D27="","",IFERROR(INDEX('Stock pièces'!$D$5:$D$404,MATCH(D27,'Stock pièces'!$A$5:$A$404,0)),""))</f>
        <v/>
      </c>
      <c r="L27" s="7" t="n"/>
      <c r="M27" s="7" t="n"/>
    </row>
    <row r="28">
      <c r="A28" s="7" t="inlineStr">
        <is>
          <t>MV-00024</t>
        </is>
      </c>
      <c r="B28" s="75" t="n">
        <v>45670.61111111111</v>
      </c>
      <c r="C28" s="7" t="inlineStr">
        <is>
          <t>Sortie</t>
        </is>
      </c>
      <c r="D28" s="7" t="inlineStr">
        <is>
          <t>PD-0047</t>
        </is>
      </c>
      <c r="E28" s="9">
        <f>IF(D28="","",IFERROR(INDEX('Stock pièces'!$B$5:$B$404,MATCH(D28,'Stock pièces'!$A$5:$A$404,0)),"Réf. inconnue"))</f>
        <v/>
      </c>
      <c r="F28" s="67" t="n">
        <v>1</v>
      </c>
      <c r="G28" s="81">
        <f>IF(D28="","",IFERROR(INDEX('Stock pièces'!$I$5:$I$404,MATCH(D28,'Stock pièces'!$A$5:$A$404,0)),0))</f>
        <v/>
      </c>
      <c r="H28" s="81">
        <f>IF(D28="","",N(F28)*N(G28))</f>
        <v/>
      </c>
      <c r="I28" s="7" t="inlineStr">
        <is>
          <t>OT-2025-0025</t>
        </is>
      </c>
      <c r="J28" s="9">
        <f>IF(I28="","",IFERROR(INDEX('Ordres de travail'!$D$5:$D$3004,MATCH(I28,'Ordres de travail'!$A$5:$A$3004,0)),""))</f>
        <v/>
      </c>
      <c r="K28" s="9">
        <f>IF(D28="","",IFERROR(INDEX('Stock pièces'!$D$5:$D$404,MATCH(D28,'Stock pièces'!$A$5:$A$404,0)),""))</f>
        <v/>
      </c>
      <c r="L28" s="7" t="n"/>
      <c r="M28" s="7" t="n"/>
    </row>
    <row r="29">
      <c r="A29" s="7" t="inlineStr">
        <is>
          <t>MV-00025</t>
        </is>
      </c>
      <c r="B29" s="75" t="n">
        <v>45670.78125</v>
      </c>
      <c r="C29" s="7" t="inlineStr">
        <is>
          <t>Sortie</t>
        </is>
      </c>
      <c r="D29" s="7" t="inlineStr">
        <is>
          <t>PD-0024</t>
        </is>
      </c>
      <c r="E29" s="9">
        <f>IF(D29="","",IFERROR(INDEX('Stock pièces'!$B$5:$B$404,MATCH(D29,'Stock pièces'!$A$5:$A$404,0)),"Réf. inconnue"))</f>
        <v/>
      </c>
      <c r="F29" s="67" t="n">
        <v>1</v>
      </c>
      <c r="G29" s="81">
        <f>IF(D29="","",IFERROR(INDEX('Stock pièces'!$I$5:$I$404,MATCH(D29,'Stock pièces'!$A$5:$A$404,0)),0))</f>
        <v/>
      </c>
      <c r="H29" s="81">
        <f>IF(D29="","",N(F29)*N(G29))</f>
        <v/>
      </c>
      <c r="I29" s="7" t="inlineStr">
        <is>
          <t>OT-2025-0042</t>
        </is>
      </c>
      <c r="J29" s="9">
        <f>IF(I29="","",IFERROR(INDEX('Ordres de travail'!$D$5:$D$3004,MATCH(I29,'Ordres de travail'!$A$5:$A$3004,0)),""))</f>
        <v/>
      </c>
      <c r="K29" s="9">
        <f>IF(D29="","",IFERROR(INDEX('Stock pièces'!$D$5:$D$404,MATCH(D29,'Stock pièces'!$A$5:$A$404,0)),""))</f>
        <v/>
      </c>
      <c r="L29" s="7" t="n"/>
      <c r="M29" s="7" t="n"/>
    </row>
    <row r="30">
      <c r="A30" s="7" t="inlineStr">
        <is>
          <t>MV-00026</t>
        </is>
      </c>
      <c r="B30" s="75" t="n">
        <v>45671.06458333333</v>
      </c>
      <c r="C30" s="7" t="inlineStr">
        <is>
          <t>Sortie</t>
        </is>
      </c>
      <c r="D30" s="7" t="inlineStr">
        <is>
          <t>PD-0068</t>
        </is>
      </c>
      <c r="E30" s="9">
        <f>IF(D30="","",IFERROR(INDEX('Stock pièces'!$B$5:$B$404,MATCH(D30,'Stock pièces'!$A$5:$A$404,0)),"Réf. inconnue"))</f>
        <v/>
      </c>
      <c r="F30" s="67" t="n">
        <v>1</v>
      </c>
      <c r="G30" s="81">
        <f>IF(D30="","",IFERROR(INDEX('Stock pièces'!$I$5:$I$404,MATCH(D30,'Stock pièces'!$A$5:$A$404,0)),0))</f>
        <v/>
      </c>
      <c r="H30" s="81">
        <f>IF(D30="","",N(F30)*N(G30))</f>
        <v/>
      </c>
      <c r="I30" s="7" t="inlineStr">
        <is>
          <t>OT-2025-0044</t>
        </is>
      </c>
      <c r="J30" s="9">
        <f>IF(I30="","",IFERROR(INDEX('Ordres de travail'!$D$5:$D$3004,MATCH(I30,'Ordres de travail'!$A$5:$A$3004,0)),""))</f>
        <v/>
      </c>
      <c r="K30" s="9">
        <f>IF(D30="","",IFERROR(INDEX('Stock pièces'!$D$5:$D$404,MATCH(D30,'Stock pièces'!$A$5:$A$404,0)),""))</f>
        <v/>
      </c>
      <c r="L30" s="7" t="n"/>
      <c r="M30" s="7" t="n"/>
    </row>
    <row r="31">
      <c r="A31" s="7" t="inlineStr">
        <is>
          <t>MV-00027</t>
        </is>
      </c>
      <c r="B31" s="75" t="n">
        <v>45671.41666666666</v>
      </c>
      <c r="C31" s="7" t="inlineStr">
        <is>
          <t>Entrée</t>
        </is>
      </c>
      <c r="D31" s="7" t="inlineStr">
        <is>
          <t>PD-0058</t>
        </is>
      </c>
      <c r="E31" s="9">
        <f>IF(D31="","",IFERROR(INDEX('Stock pièces'!$B$5:$B$404,MATCH(D31,'Stock pièces'!$A$5:$A$404,0)),"Réf. inconnue"))</f>
        <v/>
      </c>
      <c r="F31" s="67" t="n">
        <v>7</v>
      </c>
      <c r="G31" s="81">
        <f>IF(D31="","",IFERROR(INDEX('Stock pièces'!$I$5:$I$404,MATCH(D31,'Stock pièces'!$A$5:$A$404,0)),0))</f>
        <v/>
      </c>
      <c r="H31" s="81">
        <f>IF(D31="","",N(F31)*N(G31))</f>
        <v/>
      </c>
      <c r="I31" s="7" t="n"/>
      <c r="J31" s="9">
        <f>IF(I31="","",IFERROR(INDEX('Ordres de travail'!$D$5:$D$3004,MATCH(I31,'Ordres de travail'!$A$5:$A$3004,0)),""))</f>
        <v/>
      </c>
      <c r="K31" s="9">
        <f>IF(D31="","",IFERROR(INDEX('Stock pièces'!$D$5:$D$404,MATCH(D31,'Stock pièces'!$A$5:$A$404,0)),""))</f>
        <v/>
      </c>
      <c r="L31" s="7" t="inlineStr">
        <is>
          <t>CMD-24002</t>
        </is>
      </c>
      <c r="M31" s="7" t="inlineStr">
        <is>
          <t>Réception commande réappro</t>
        </is>
      </c>
    </row>
    <row r="32">
      <c r="A32" s="7" t="inlineStr">
        <is>
          <t>MV-00028</t>
        </is>
      </c>
      <c r="B32" s="75" t="n">
        <v>45671.43055555555</v>
      </c>
      <c r="C32" s="7" t="inlineStr">
        <is>
          <t>Retour</t>
        </is>
      </c>
      <c r="D32" s="7" t="inlineStr">
        <is>
          <t>PD-0020</t>
        </is>
      </c>
      <c r="E32" s="9">
        <f>IF(D32="","",IFERROR(INDEX('Stock pièces'!$B$5:$B$404,MATCH(D32,'Stock pièces'!$A$5:$A$404,0)),"Réf. inconnue"))</f>
        <v/>
      </c>
      <c r="F32" s="67" t="n">
        <v>1</v>
      </c>
      <c r="G32" s="81">
        <f>IF(D32="","",IFERROR(INDEX('Stock pièces'!$I$5:$I$404,MATCH(D32,'Stock pièces'!$A$5:$A$404,0)),0))</f>
        <v/>
      </c>
      <c r="H32" s="81">
        <f>IF(D32="","",N(F32)*N(G32))</f>
        <v/>
      </c>
      <c r="I32" s="7" t="inlineStr">
        <is>
          <t>OT-2025-0022</t>
        </is>
      </c>
      <c r="J32" s="9">
        <f>IF(I32="","",IFERROR(INDEX('Ordres de travail'!$D$5:$D$3004,MATCH(I32,'Ordres de travail'!$A$5:$A$3004,0)),""))</f>
        <v/>
      </c>
      <c r="K32" s="9">
        <f>IF(D32="","",IFERROR(INDEX('Stock pièces'!$D$5:$D$404,MATCH(D32,'Stock pièces'!$A$5:$A$404,0)),""))</f>
        <v/>
      </c>
      <c r="L32" s="7" t="n"/>
      <c r="M32" s="7" t="inlineStr">
        <is>
          <t>Pièce non utilisée</t>
        </is>
      </c>
    </row>
    <row r="33">
      <c r="A33" s="7" t="inlineStr">
        <is>
          <t>MV-00029</t>
        </is>
      </c>
      <c r="B33" s="75" t="n">
        <v>45671.53472222222</v>
      </c>
      <c r="C33" s="7" t="inlineStr">
        <is>
          <t>Sortie</t>
        </is>
      </c>
      <c r="D33" s="7" t="inlineStr">
        <is>
          <t>PD-0025</t>
        </is>
      </c>
      <c r="E33" s="9">
        <f>IF(D33="","",IFERROR(INDEX('Stock pièces'!$B$5:$B$404,MATCH(D33,'Stock pièces'!$A$5:$A$404,0)),"Réf. inconnue"))</f>
        <v/>
      </c>
      <c r="F33" s="67" t="n">
        <v>2</v>
      </c>
      <c r="G33" s="81">
        <f>IF(D33="","",IFERROR(INDEX('Stock pièces'!$I$5:$I$404,MATCH(D33,'Stock pièces'!$A$5:$A$404,0)),0))</f>
        <v/>
      </c>
      <c r="H33" s="81">
        <f>IF(D33="","",N(F33)*N(G33))</f>
        <v/>
      </c>
      <c r="I33" s="7" t="inlineStr">
        <is>
          <t>OT-2025-0031</t>
        </is>
      </c>
      <c r="J33" s="9">
        <f>IF(I33="","",IFERROR(INDEX('Ordres de travail'!$D$5:$D$3004,MATCH(I33,'Ordres de travail'!$A$5:$A$3004,0)),""))</f>
        <v/>
      </c>
      <c r="K33" s="9">
        <f>IF(D33="","",IFERROR(INDEX('Stock pièces'!$D$5:$D$404,MATCH(D33,'Stock pièces'!$A$5:$A$404,0)),""))</f>
        <v/>
      </c>
      <c r="L33" s="7" t="n"/>
      <c r="M33" s="7" t="n"/>
    </row>
    <row r="34">
      <c r="A34" s="7" t="inlineStr">
        <is>
          <t>MV-00030</t>
        </is>
      </c>
      <c r="B34" s="75" t="n">
        <v>45671.53819444445</v>
      </c>
      <c r="C34" s="7" t="inlineStr">
        <is>
          <t>Sortie</t>
        </is>
      </c>
      <c r="D34" s="7" t="inlineStr">
        <is>
          <t>PD-0021</t>
        </is>
      </c>
      <c r="E34" s="9">
        <f>IF(D34="","",IFERROR(INDEX('Stock pièces'!$B$5:$B$404,MATCH(D34,'Stock pièces'!$A$5:$A$404,0)),"Réf. inconnue"))</f>
        <v/>
      </c>
      <c r="F34" s="67" t="n">
        <v>1</v>
      </c>
      <c r="G34" s="81">
        <f>IF(D34="","",IFERROR(INDEX('Stock pièces'!$I$5:$I$404,MATCH(D34,'Stock pièces'!$A$5:$A$404,0)),0))</f>
        <v/>
      </c>
      <c r="H34" s="81">
        <f>IF(D34="","",N(F34)*N(G34))</f>
        <v/>
      </c>
      <c r="I34" s="7" t="inlineStr">
        <is>
          <t>OT-2025-0030</t>
        </is>
      </c>
      <c r="J34" s="9">
        <f>IF(I34="","",IFERROR(INDEX('Ordres de travail'!$D$5:$D$3004,MATCH(I34,'Ordres de travail'!$A$5:$A$3004,0)),""))</f>
        <v/>
      </c>
      <c r="K34" s="9">
        <f>IF(D34="","",IFERROR(INDEX('Stock pièces'!$D$5:$D$404,MATCH(D34,'Stock pièces'!$A$5:$A$404,0)),""))</f>
        <v/>
      </c>
      <c r="L34" s="7" t="n"/>
      <c r="M34" s="7" t="n"/>
    </row>
    <row r="35">
      <c r="A35" s="7" t="inlineStr">
        <is>
          <t>MV-00031</t>
        </is>
      </c>
      <c r="B35" s="75" t="n">
        <v>45674.30555555555</v>
      </c>
      <c r="C35" s="7" t="inlineStr">
        <is>
          <t>Sortie</t>
        </is>
      </c>
      <c r="D35" s="7" t="inlineStr">
        <is>
          <t>PD-0021</t>
        </is>
      </c>
      <c r="E35" s="9">
        <f>IF(D35="","",IFERROR(INDEX('Stock pièces'!$B$5:$B$404,MATCH(D35,'Stock pièces'!$A$5:$A$404,0)),"Réf. inconnue"))</f>
        <v/>
      </c>
      <c r="F35" s="67" t="n">
        <v>1</v>
      </c>
      <c r="G35" s="81">
        <f>IF(D35="","",IFERROR(INDEX('Stock pièces'!$I$5:$I$404,MATCH(D35,'Stock pièces'!$A$5:$A$404,0)),0))</f>
        <v/>
      </c>
      <c r="H35" s="81">
        <f>IF(D35="","",N(F35)*N(G35))</f>
        <v/>
      </c>
      <c r="I35" s="7" t="inlineStr">
        <is>
          <t>OT-2025-0037</t>
        </is>
      </c>
      <c r="J35" s="9">
        <f>IF(I35="","",IFERROR(INDEX('Ordres de travail'!$D$5:$D$3004,MATCH(I35,'Ordres de travail'!$A$5:$A$3004,0)),""))</f>
        <v/>
      </c>
      <c r="K35" s="9">
        <f>IF(D35="","",IFERROR(INDEX('Stock pièces'!$D$5:$D$404,MATCH(D35,'Stock pièces'!$A$5:$A$404,0)),""))</f>
        <v/>
      </c>
      <c r="L35" s="7" t="n"/>
      <c r="M35" s="7" t="n"/>
    </row>
    <row r="36">
      <c r="A36" s="7" t="inlineStr">
        <is>
          <t>MV-00032</t>
        </is>
      </c>
      <c r="B36" s="75" t="n">
        <v>45674.41666666666</v>
      </c>
      <c r="C36" s="7" t="inlineStr">
        <is>
          <t>Entrée</t>
        </is>
      </c>
      <c r="D36" s="7" t="inlineStr">
        <is>
          <t>PD-0021</t>
        </is>
      </c>
      <c r="E36" s="9">
        <f>IF(D36="","",IFERROR(INDEX('Stock pièces'!$B$5:$B$404,MATCH(D36,'Stock pièces'!$A$5:$A$404,0)),"Réf. inconnue"))</f>
        <v/>
      </c>
      <c r="F36" s="67" t="n">
        <v>4</v>
      </c>
      <c r="G36" s="81">
        <f>IF(D36="","",IFERROR(INDEX('Stock pièces'!$I$5:$I$404,MATCH(D36,'Stock pièces'!$A$5:$A$404,0)),0))</f>
        <v/>
      </c>
      <c r="H36" s="81">
        <f>IF(D36="","",N(F36)*N(G36))</f>
        <v/>
      </c>
      <c r="I36" s="7" t="n"/>
      <c r="J36" s="9">
        <f>IF(I36="","",IFERROR(INDEX('Ordres de travail'!$D$5:$D$3004,MATCH(I36,'Ordres de travail'!$A$5:$A$3004,0)),""))</f>
        <v/>
      </c>
      <c r="K36" s="9">
        <f>IF(D36="","",IFERROR(INDEX('Stock pièces'!$D$5:$D$404,MATCH(D36,'Stock pièces'!$A$5:$A$404,0)),""))</f>
        <v/>
      </c>
      <c r="L36" s="7" t="inlineStr">
        <is>
          <t>CMD-24005</t>
        </is>
      </c>
      <c r="M36" s="7" t="inlineStr">
        <is>
          <t>Réception commande réappro</t>
        </is>
      </c>
    </row>
    <row r="37">
      <c r="A37" s="7" t="inlineStr">
        <is>
          <t>MV-00033</t>
        </is>
      </c>
      <c r="B37" s="75" t="n">
        <v>45674.58402777778</v>
      </c>
      <c r="C37" s="7" t="inlineStr">
        <is>
          <t>Sortie</t>
        </is>
      </c>
      <c r="D37" s="7" t="inlineStr">
        <is>
          <t>PD-0071</t>
        </is>
      </c>
      <c r="E37" s="9">
        <f>IF(D37="","",IFERROR(INDEX('Stock pièces'!$B$5:$B$404,MATCH(D37,'Stock pièces'!$A$5:$A$404,0)),"Réf. inconnue"))</f>
        <v/>
      </c>
      <c r="F37" s="67" t="n">
        <v>2</v>
      </c>
      <c r="G37" s="81">
        <f>IF(D37="","",IFERROR(INDEX('Stock pièces'!$I$5:$I$404,MATCH(D37,'Stock pièces'!$A$5:$A$404,0)),0))</f>
        <v/>
      </c>
      <c r="H37" s="81">
        <f>IF(D37="","",N(F37)*N(G37))</f>
        <v/>
      </c>
      <c r="I37" s="7" t="inlineStr">
        <is>
          <t>OT-2025-0049</t>
        </is>
      </c>
      <c r="J37" s="9">
        <f>IF(I37="","",IFERROR(INDEX('Ordres de travail'!$D$5:$D$3004,MATCH(I37,'Ordres de travail'!$A$5:$A$3004,0)),""))</f>
        <v/>
      </c>
      <c r="K37" s="9">
        <f>IF(D37="","",IFERROR(INDEX('Stock pièces'!$D$5:$D$404,MATCH(D37,'Stock pièces'!$A$5:$A$404,0)),""))</f>
        <v/>
      </c>
      <c r="L37" s="7" t="n"/>
      <c r="M37" s="7" t="n"/>
    </row>
    <row r="38">
      <c r="A38" s="7" t="inlineStr">
        <is>
          <t>MV-00034</t>
        </is>
      </c>
      <c r="B38" s="75" t="n">
        <v>45674.58402777778</v>
      </c>
      <c r="C38" s="7" t="inlineStr">
        <is>
          <t>Sortie</t>
        </is>
      </c>
      <c r="D38" s="7" t="inlineStr">
        <is>
          <t>PD-0073</t>
        </is>
      </c>
      <c r="E38" s="9">
        <f>IF(D38="","",IFERROR(INDEX('Stock pièces'!$B$5:$B$404,MATCH(D38,'Stock pièces'!$A$5:$A$404,0)),"Réf. inconnue"))</f>
        <v/>
      </c>
      <c r="F38" s="67" t="n">
        <v>1</v>
      </c>
      <c r="G38" s="81">
        <f>IF(D38="","",IFERROR(INDEX('Stock pièces'!$I$5:$I$404,MATCH(D38,'Stock pièces'!$A$5:$A$404,0)),0))</f>
        <v/>
      </c>
      <c r="H38" s="81">
        <f>IF(D38="","",N(F38)*N(G38))</f>
        <v/>
      </c>
      <c r="I38" s="7" t="inlineStr">
        <is>
          <t>OT-2025-0049</t>
        </is>
      </c>
      <c r="J38" s="9">
        <f>IF(I38="","",IFERROR(INDEX('Ordres de travail'!$D$5:$D$3004,MATCH(I38,'Ordres de travail'!$A$5:$A$3004,0)),""))</f>
        <v/>
      </c>
      <c r="K38" s="9">
        <f>IF(D38="","",IFERROR(INDEX('Stock pièces'!$D$5:$D$404,MATCH(D38,'Stock pièces'!$A$5:$A$404,0)),""))</f>
        <v/>
      </c>
      <c r="L38" s="7" t="n"/>
      <c r="M38" s="7" t="n"/>
    </row>
    <row r="39">
      <c r="A39" s="7" t="inlineStr">
        <is>
          <t>MV-00035</t>
        </is>
      </c>
      <c r="B39" s="75" t="n">
        <v>45675.58402777778</v>
      </c>
      <c r="C39" s="7" t="inlineStr">
        <is>
          <t>Retour</t>
        </is>
      </c>
      <c r="D39" s="7" t="inlineStr">
        <is>
          <t>PD-0071</t>
        </is>
      </c>
      <c r="E39" s="9">
        <f>IF(D39="","",IFERROR(INDEX('Stock pièces'!$B$5:$B$404,MATCH(D39,'Stock pièces'!$A$5:$A$404,0)),"Réf. inconnue"))</f>
        <v/>
      </c>
      <c r="F39" s="67" t="n">
        <v>1</v>
      </c>
      <c r="G39" s="81">
        <f>IF(D39="","",IFERROR(INDEX('Stock pièces'!$I$5:$I$404,MATCH(D39,'Stock pièces'!$A$5:$A$404,0)),0))</f>
        <v/>
      </c>
      <c r="H39" s="81">
        <f>IF(D39="","",N(F39)*N(G39))</f>
        <v/>
      </c>
      <c r="I39" s="7" t="inlineStr">
        <is>
          <t>OT-2025-0049</t>
        </is>
      </c>
      <c r="J39" s="9">
        <f>IF(I39="","",IFERROR(INDEX('Ordres de travail'!$D$5:$D$3004,MATCH(I39,'Ordres de travail'!$A$5:$A$3004,0)),""))</f>
        <v/>
      </c>
      <c r="K39" s="9">
        <f>IF(D39="","",IFERROR(INDEX('Stock pièces'!$D$5:$D$404,MATCH(D39,'Stock pièces'!$A$5:$A$404,0)),""))</f>
        <v/>
      </c>
      <c r="L39" s="7" t="n"/>
      <c r="M39" s="7" t="inlineStr">
        <is>
          <t>Pièce non utilisée</t>
        </is>
      </c>
    </row>
    <row r="40">
      <c r="A40" s="7" t="inlineStr">
        <is>
          <t>MV-00036</t>
        </is>
      </c>
      <c r="B40" s="75" t="n">
        <v>45676.84722222222</v>
      </c>
      <c r="C40" s="7" t="inlineStr">
        <is>
          <t>Sortie</t>
        </is>
      </c>
      <c r="D40" s="7" t="inlineStr">
        <is>
          <t>PD-0028</t>
        </is>
      </c>
      <c r="E40" s="9">
        <f>IF(D40="","",IFERROR(INDEX('Stock pièces'!$B$5:$B$404,MATCH(D40,'Stock pièces'!$A$5:$A$404,0)),"Réf. inconnue"))</f>
        <v/>
      </c>
      <c r="F40" s="67" t="n">
        <v>1</v>
      </c>
      <c r="G40" s="81">
        <f>IF(D40="","",IFERROR(INDEX('Stock pièces'!$I$5:$I$404,MATCH(D40,'Stock pièces'!$A$5:$A$404,0)),0))</f>
        <v/>
      </c>
      <c r="H40" s="81">
        <f>IF(D40="","",N(F40)*N(G40))</f>
        <v/>
      </c>
      <c r="I40" s="7" t="inlineStr">
        <is>
          <t>OT-2025-0043</t>
        </is>
      </c>
      <c r="J40" s="9">
        <f>IF(I40="","",IFERROR(INDEX('Ordres de travail'!$D$5:$D$3004,MATCH(I40,'Ordres de travail'!$A$5:$A$3004,0)),""))</f>
        <v/>
      </c>
      <c r="K40" s="9">
        <f>IF(D40="","",IFERROR(INDEX('Stock pièces'!$D$5:$D$404,MATCH(D40,'Stock pièces'!$A$5:$A$404,0)),""))</f>
        <v/>
      </c>
      <c r="L40" s="7" t="n"/>
      <c r="M40" s="7" t="n"/>
    </row>
    <row r="41">
      <c r="A41" s="7" t="inlineStr">
        <is>
          <t>MV-00037</t>
        </is>
      </c>
      <c r="B41" s="75" t="n">
        <v>45677.41666666666</v>
      </c>
      <c r="C41" s="7" t="inlineStr">
        <is>
          <t>Entrée</t>
        </is>
      </c>
      <c r="D41" s="7" t="inlineStr">
        <is>
          <t>PD-0059</t>
        </is>
      </c>
      <c r="E41" s="9">
        <f>IF(D41="","",IFERROR(INDEX('Stock pièces'!$B$5:$B$404,MATCH(D41,'Stock pièces'!$A$5:$A$404,0)),"Réf. inconnue"))</f>
        <v/>
      </c>
      <c r="F41" s="67" t="n">
        <v>4</v>
      </c>
      <c r="G41" s="81">
        <f>IF(D41="","",IFERROR(INDEX('Stock pièces'!$I$5:$I$404,MATCH(D41,'Stock pièces'!$A$5:$A$404,0)),0))</f>
        <v/>
      </c>
      <c r="H41" s="81">
        <f>IF(D41="","",N(F41)*N(G41))</f>
        <v/>
      </c>
      <c r="I41" s="7" t="n"/>
      <c r="J41" s="9">
        <f>IF(I41="","",IFERROR(INDEX('Ordres de travail'!$D$5:$D$3004,MATCH(I41,'Ordres de travail'!$A$5:$A$3004,0)),""))</f>
        <v/>
      </c>
      <c r="K41" s="9">
        <f>IF(D41="","",IFERROR(INDEX('Stock pièces'!$D$5:$D$404,MATCH(D41,'Stock pièces'!$A$5:$A$404,0)),""))</f>
        <v/>
      </c>
      <c r="L41" s="7" t="inlineStr">
        <is>
          <t>CMD-24004</t>
        </is>
      </c>
      <c r="M41" s="7" t="inlineStr">
        <is>
          <t>Réception commande réappro</t>
        </is>
      </c>
    </row>
    <row r="42">
      <c r="A42" s="7" t="inlineStr">
        <is>
          <t>MV-00038</t>
        </is>
      </c>
      <c r="B42" s="75" t="n">
        <v>45677.41666666666</v>
      </c>
      <c r="C42" s="7" t="inlineStr">
        <is>
          <t>Entrée</t>
        </is>
      </c>
      <c r="D42" s="7" t="inlineStr">
        <is>
          <t>PD-0019</t>
        </is>
      </c>
      <c r="E42" s="9">
        <f>IF(D42="","",IFERROR(INDEX('Stock pièces'!$B$5:$B$404,MATCH(D42,'Stock pièces'!$A$5:$A$404,0)),"Réf. inconnue"))</f>
        <v/>
      </c>
      <c r="F42" s="67" t="n">
        <v>18</v>
      </c>
      <c r="G42" s="81">
        <f>IF(D42="","",IFERROR(INDEX('Stock pièces'!$I$5:$I$404,MATCH(D42,'Stock pièces'!$A$5:$A$404,0)),0))</f>
        <v/>
      </c>
      <c r="H42" s="81">
        <f>IF(D42="","",N(F42)*N(G42))</f>
        <v/>
      </c>
      <c r="I42" s="7" t="n"/>
      <c r="J42" s="9">
        <f>IF(I42="","",IFERROR(INDEX('Ordres de travail'!$D$5:$D$3004,MATCH(I42,'Ordres de travail'!$A$5:$A$3004,0)),""))</f>
        <v/>
      </c>
      <c r="K42" s="9">
        <f>IF(D42="","",IFERROR(INDEX('Stock pièces'!$D$5:$D$404,MATCH(D42,'Stock pièces'!$A$5:$A$404,0)),""))</f>
        <v/>
      </c>
      <c r="L42" s="7" t="inlineStr">
        <is>
          <t>CMD-24006</t>
        </is>
      </c>
      <c r="M42" s="7" t="inlineStr">
        <is>
          <t>Réception commande réappro</t>
        </is>
      </c>
    </row>
    <row r="43">
      <c r="A43" s="7" t="inlineStr">
        <is>
          <t>MV-00039</t>
        </is>
      </c>
      <c r="B43" s="75" t="n">
        <v>45677.41666666666</v>
      </c>
      <c r="C43" s="7" t="inlineStr">
        <is>
          <t>Entrée</t>
        </is>
      </c>
      <c r="D43" s="7" t="inlineStr">
        <is>
          <t>PD-0015</t>
        </is>
      </c>
      <c r="E43" s="9">
        <f>IF(D43="","",IFERROR(INDEX('Stock pièces'!$B$5:$B$404,MATCH(D43,'Stock pièces'!$A$5:$A$404,0)),"Réf. inconnue"))</f>
        <v/>
      </c>
      <c r="F43" s="67" t="n">
        <v>6</v>
      </c>
      <c r="G43" s="81">
        <f>IF(D43="","",IFERROR(INDEX('Stock pièces'!$I$5:$I$404,MATCH(D43,'Stock pièces'!$A$5:$A$404,0)),0))</f>
        <v/>
      </c>
      <c r="H43" s="81">
        <f>IF(D43="","",N(F43)*N(G43))</f>
        <v/>
      </c>
      <c r="I43" s="7" t="n"/>
      <c r="J43" s="9">
        <f>IF(I43="","",IFERROR(INDEX('Ordres de travail'!$D$5:$D$3004,MATCH(I43,'Ordres de travail'!$A$5:$A$3004,0)),""))</f>
        <v/>
      </c>
      <c r="K43" s="9">
        <f>IF(D43="","",IFERROR(INDEX('Stock pièces'!$D$5:$D$404,MATCH(D43,'Stock pièces'!$A$5:$A$404,0)),""))</f>
        <v/>
      </c>
      <c r="L43" s="7" t="inlineStr">
        <is>
          <t>CMD-24007</t>
        </is>
      </c>
      <c r="M43" s="7" t="inlineStr">
        <is>
          <t>Réception commande réappro</t>
        </is>
      </c>
    </row>
    <row r="44">
      <c r="A44" s="7" t="inlineStr">
        <is>
          <t>MV-00040</t>
        </is>
      </c>
      <c r="B44" s="75" t="n">
        <v>45677.41666666666</v>
      </c>
      <c r="C44" s="7" t="inlineStr">
        <is>
          <t>Entrée</t>
        </is>
      </c>
      <c r="D44" s="7" t="inlineStr">
        <is>
          <t>PD-0024</t>
        </is>
      </c>
      <c r="E44" s="9">
        <f>IF(D44="","",IFERROR(INDEX('Stock pièces'!$B$5:$B$404,MATCH(D44,'Stock pièces'!$A$5:$A$404,0)),"Réf. inconnue"))</f>
        <v/>
      </c>
      <c r="F44" s="67" t="n">
        <v>2</v>
      </c>
      <c r="G44" s="81">
        <f>IF(D44="","",IFERROR(INDEX('Stock pièces'!$I$5:$I$404,MATCH(D44,'Stock pièces'!$A$5:$A$404,0)),0))</f>
        <v/>
      </c>
      <c r="H44" s="81">
        <f>IF(D44="","",N(F44)*N(G44))</f>
        <v/>
      </c>
      <c r="I44" s="7" t="n"/>
      <c r="J44" s="9">
        <f>IF(I44="","",IFERROR(INDEX('Ordres de travail'!$D$5:$D$3004,MATCH(I44,'Ordres de travail'!$A$5:$A$3004,0)),""))</f>
        <v/>
      </c>
      <c r="K44" s="9">
        <f>IF(D44="","",IFERROR(INDEX('Stock pièces'!$D$5:$D$404,MATCH(D44,'Stock pièces'!$A$5:$A$404,0)),""))</f>
        <v/>
      </c>
      <c r="L44" s="7" t="inlineStr">
        <is>
          <t>CMD-24008</t>
        </is>
      </c>
      <c r="M44" s="7" t="inlineStr">
        <is>
          <t>Réception commande réappro</t>
        </is>
      </c>
    </row>
    <row r="45">
      <c r="A45" s="7" t="inlineStr">
        <is>
          <t>MV-00041</t>
        </is>
      </c>
      <c r="B45" s="75" t="n">
        <v>45678.41666666666</v>
      </c>
      <c r="C45" s="7" t="inlineStr">
        <is>
          <t>Entrée</t>
        </is>
      </c>
      <c r="D45" s="7" t="inlineStr">
        <is>
          <t>PD-0060</t>
        </is>
      </c>
      <c r="E45" s="9">
        <f>IF(D45="","",IFERROR(INDEX('Stock pièces'!$B$5:$B$404,MATCH(D45,'Stock pièces'!$A$5:$A$404,0)),"Réf. inconnue"))</f>
        <v/>
      </c>
      <c r="F45" s="67" t="n">
        <v>1</v>
      </c>
      <c r="G45" s="81">
        <f>IF(D45="","",IFERROR(INDEX('Stock pièces'!$I$5:$I$404,MATCH(D45,'Stock pièces'!$A$5:$A$404,0)),0))</f>
        <v/>
      </c>
      <c r="H45" s="81">
        <f>IF(D45="","",N(F45)*N(G45))</f>
        <v/>
      </c>
      <c r="I45" s="7" t="n"/>
      <c r="J45" s="9">
        <f>IF(I45="","",IFERROR(INDEX('Ordres de travail'!$D$5:$D$3004,MATCH(I45,'Ordres de travail'!$A$5:$A$3004,0)),""))</f>
        <v/>
      </c>
      <c r="K45" s="9">
        <f>IF(D45="","",IFERROR(INDEX('Stock pièces'!$D$5:$D$404,MATCH(D45,'Stock pièces'!$A$5:$A$404,0)),""))</f>
        <v/>
      </c>
      <c r="L45" s="7" t="inlineStr">
        <is>
          <t>CMD-24003</t>
        </is>
      </c>
      <c r="M45" s="7" t="inlineStr">
        <is>
          <t>Réception commande réappro</t>
        </is>
      </c>
    </row>
    <row r="46">
      <c r="A46" s="7" t="inlineStr">
        <is>
          <t>MV-00042</t>
        </is>
      </c>
      <c r="B46" s="75" t="n">
        <v>45678.43333333333</v>
      </c>
      <c r="C46" s="7" t="inlineStr">
        <is>
          <t>Sortie</t>
        </is>
      </c>
      <c r="D46" s="7" t="inlineStr">
        <is>
          <t>PD-0011</t>
        </is>
      </c>
      <c r="E46" s="9">
        <f>IF(D46="","",IFERROR(INDEX('Stock pièces'!$B$5:$B$404,MATCH(D46,'Stock pièces'!$A$5:$A$404,0)),"Réf. inconnue"))</f>
        <v/>
      </c>
      <c r="F46" s="67" t="n">
        <v>1</v>
      </c>
      <c r="G46" s="81">
        <f>IF(D46="","",IFERROR(INDEX('Stock pièces'!$I$5:$I$404,MATCH(D46,'Stock pièces'!$A$5:$A$404,0)),0))</f>
        <v/>
      </c>
      <c r="H46" s="81">
        <f>IF(D46="","",N(F46)*N(G46))</f>
        <v/>
      </c>
      <c r="I46" s="7" t="inlineStr">
        <is>
          <t>OT-2025-0058</t>
        </is>
      </c>
      <c r="J46" s="9">
        <f>IF(I46="","",IFERROR(INDEX('Ordres de travail'!$D$5:$D$3004,MATCH(I46,'Ordres de travail'!$A$5:$A$3004,0)),""))</f>
        <v/>
      </c>
      <c r="K46" s="9">
        <f>IF(D46="","",IFERROR(INDEX('Stock pièces'!$D$5:$D$404,MATCH(D46,'Stock pièces'!$A$5:$A$404,0)),""))</f>
        <v/>
      </c>
      <c r="L46" s="7" t="n"/>
      <c r="M46" s="7" t="n"/>
    </row>
    <row r="47">
      <c r="A47" s="7" t="inlineStr">
        <is>
          <t>MV-00043</t>
        </is>
      </c>
      <c r="B47" s="75" t="n">
        <v>45678.43333333333</v>
      </c>
      <c r="C47" s="7" t="inlineStr">
        <is>
          <t>Sortie</t>
        </is>
      </c>
      <c r="D47" s="7" t="inlineStr">
        <is>
          <t>PD-0057</t>
        </is>
      </c>
      <c r="E47" s="9">
        <f>IF(D47="","",IFERROR(INDEX('Stock pièces'!$B$5:$B$404,MATCH(D47,'Stock pièces'!$A$5:$A$404,0)),"Réf. inconnue"))</f>
        <v/>
      </c>
      <c r="F47" s="67" t="n">
        <v>1</v>
      </c>
      <c r="G47" s="81">
        <f>IF(D47="","",IFERROR(INDEX('Stock pièces'!$I$5:$I$404,MATCH(D47,'Stock pièces'!$A$5:$A$404,0)),0))</f>
        <v/>
      </c>
      <c r="H47" s="81">
        <f>IF(D47="","",N(F47)*N(G47))</f>
        <v/>
      </c>
      <c r="I47" s="7" t="inlineStr">
        <is>
          <t>OT-2025-0058</t>
        </is>
      </c>
      <c r="J47" s="9">
        <f>IF(I47="","",IFERROR(INDEX('Ordres de travail'!$D$5:$D$3004,MATCH(I47,'Ordres de travail'!$A$5:$A$3004,0)),""))</f>
        <v/>
      </c>
      <c r="K47" s="9">
        <f>IF(D47="","",IFERROR(INDEX('Stock pièces'!$D$5:$D$404,MATCH(D47,'Stock pièces'!$A$5:$A$404,0)),""))</f>
        <v/>
      </c>
      <c r="L47" s="7" t="n"/>
      <c r="M47" s="7" t="n"/>
    </row>
    <row r="48">
      <c r="A48" s="7" t="inlineStr">
        <is>
          <t>MV-00044</t>
        </is>
      </c>
      <c r="B48" s="75" t="n">
        <v>45678.86319444444</v>
      </c>
      <c r="C48" s="7" t="inlineStr">
        <is>
          <t>Sortie</t>
        </is>
      </c>
      <c r="D48" s="7" t="inlineStr">
        <is>
          <t>PD-0056</t>
        </is>
      </c>
      <c r="E48" s="9">
        <f>IF(D48="","",IFERROR(INDEX('Stock pièces'!$B$5:$B$404,MATCH(D48,'Stock pièces'!$A$5:$A$404,0)),"Réf. inconnue"))</f>
        <v/>
      </c>
      <c r="F48" s="67" t="n">
        <v>1</v>
      </c>
      <c r="G48" s="81">
        <f>IF(D48="","",IFERROR(INDEX('Stock pièces'!$I$5:$I$404,MATCH(D48,'Stock pièces'!$A$5:$A$404,0)),0))</f>
        <v/>
      </c>
      <c r="H48" s="81">
        <f>IF(D48="","",N(F48)*N(G48))</f>
        <v/>
      </c>
      <c r="I48" s="7" t="inlineStr">
        <is>
          <t>OT-2025-0052</t>
        </is>
      </c>
      <c r="J48" s="9">
        <f>IF(I48="","",IFERROR(INDEX('Ordres de travail'!$D$5:$D$3004,MATCH(I48,'Ordres de travail'!$A$5:$A$3004,0)),""))</f>
        <v/>
      </c>
      <c r="K48" s="9">
        <f>IF(D48="","",IFERROR(INDEX('Stock pièces'!$D$5:$D$404,MATCH(D48,'Stock pièces'!$A$5:$A$404,0)),""))</f>
        <v/>
      </c>
      <c r="L48" s="7" t="n"/>
      <c r="M48" s="7" t="n"/>
    </row>
    <row r="49">
      <c r="A49" s="7" t="inlineStr">
        <is>
          <t>MV-00045</t>
        </is>
      </c>
      <c r="B49" s="75" t="n">
        <v>45679.56944444445</v>
      </c>
      <c r="C49" s="7" t="inlineStr">
        <is>
          <t>Sortie</t>
        </is>
      </c>
      <c r="D49" s="7" t="inlineStr">
        <is>
          <t>PD-0017</t>
        </is>
      </c>
      <c r="E49" s="9">
        <f>IF(D49="","",IFERROR(INDEX('Stock pièces'!$B$5:$B$404,MATCH(D49,'Stock pièces'!$A$5:$A$404,0)),"Réf. inconnue"))</f>
        <v/>
      </c>
      <c r="F49" s="67" t="n">
        <v>1</v>
      </c>
      <c r="G49" s="81">
        <f>IF(D49="","",IFERROR(INDEX('Stock pièces'!$I$5:$I$404,MATCH(D49,'Stock pièces'!$A$5:$A$404,0)),0))</f>
        <v/>
      </c>
      <c r="H49" s="81">
        <f>IF(D49="","",N(F49)*N(G49))</f>
        <v/>
      </c>
      <c r="I49" s="7" t="inlineStr">
        <is>
          <t>OT-2025-0046</t>
        </is>
      </c>
      <c r="J49" s="9">
        <f>IF(I49="","",IFERROR(INDEX('Ordres de travail'!$D$5:$D$3004,MATCH(I49,'Ordres de travail'!$A$5:$A$3004,0)),""))</f>
        <v/>
      </c>
      <c r="K49" s="9">
        <f>IF(D49="","",IFERROR(INDEX('Stock pièces'!$D$5:$D$404,MATCH(D49,'Stock pièces'!$A$5:$A$404,0)),""))</f>
        <v/>
      </c>
      <c r="L49" s="7" t="n"/>
      <c r="M49" s="7" t="n"/>
    </row>
    <row r="50">
      <c r="A50" s="7" t="inlineStr">
        <is>
          <t>MV-00046</t>
        </is>
      </c>
      <c r="B50" s="75" t="n">
        <v>45680.68888888889</v>
      </c>
      <c r="C50" s="7" t="inlineStr">
        <is>
          <t>Sortie</t>
        </is>
      </c>
      <c r="D50" s="7" t="inlineStr">
        <is>
          <t>PD-0040</t>
        </is>
      </c>
      <c r="E50" s="9">
        <f>IF(D50="","",IFERROR(INDEX('Stock pièces'!$B$5:$B$404,MATCH(D50,'Stock pièces'!$A$5:$A$404,0)),"Réf. inconnue"))</f>
        <v/>
      </c>
      <c r="F50" s="67" t="n">
        <v>1</v>
      </c>
      <c r="G50" s="81">
        <f>IF(D50="","",IFERROR(INDEX('Stock pièces'!$I$5:$I$404,MATCH(D50,'Stock pièces'!$A$5:$A$404,0)),0))</f>
        <v/>
      </c>
      <c r="H50" s="81">
        <f>IF(D50="","",N(F50)*N(G50))</f>
        <v/>
      </c>
      <c r="I50" s="7" t="inlineStr">
        <is>
          <t>OT-2025-0061</t>
        </is>
      </c>
      <c r="J50" s="9">
        <f>IF(I50="","",IFERROR(INDEX('Ordres de travail'!$D$5:$D$3004,MATCH(I50,'Ordres de travail'!$A$5:$A$3004,0)),""))</f>
        <v/>
      </c>
      <c r="K50" s="9">
        <f>IF(D50="","",IFERROR(INDEX('Stock pièces'!$D$5:$D$404,MATCH(D50,'Stock pièces'!$A$5:$A$404,0)),""))</f>
        <v/>
      </c>
      <c r="L50" s="7" t="n"/>
      <c r="M50" s="7" t="n"/>
    </row>
    <row r="51">
      <c r="A51" s="7" t="inlineStr">
        <is>
          <t>MV-00047</t>
        </is>
      </c>
      <c r="B51" s="75" t="n">
        <v>45681.35416666666</v>
      </c>
      <c r="C51" s="7" t="inlineStr">
        <is>
          <t>Sortie</t>
        </is>
      </c>
      <c r="D51" s="7" t="inlineStr">
        <is>
          <t>PD-0017</t>
        </is>
      </c>
      <c r="E51" s="9">
        <f>IF(D51="","",IFERROR(INDEX('Stock pièces'!$B$5:$B$404,MATCH(D51,'Stock pièces'!$A$5:$A$404,0)),"Réf. inconnue"))</f>
        <v/>
      </c>
      <c r="F51" s="67" t="n">
        <v>1</v>
      </c>
      <c r="G51" s="81">
        <f>IF(D51="","",IFERROR(INDEX('Stock pièces'!$I$5:$I$404,MATCH(D51,'Stock pièces'!$A$5:$A$404,0)),0))</f>
        <v/>
      </c>
      <c r="H51" s="81">
        <f>IF(D51="","",N(F51)*N(G51))</f>
        <v/>
      </c>
      <c r="I51" s="7" t="inlineStr">
        <is>
          <t>OT-2025-0051</t>
        </is>
      </c>
      <c r="J51" s="9">
        <f>IF(I51="","",IFERROR(INDEX('Ordres de travail'!$D$5:$D$3004,MATCH(I51,'Ordres de travail'!$A$5:$A$3004,0)),""))</f>
        <v/>
      </c>
      <c r="K51" s="9">
        <f>IF(D51="","",IFERROR(INDEX('Stock pièces'!$D$5:$D$404,MATCH(D51,'Stock pièces'!$A$5:$A$404,0)),""))</f>
        <v/>
      </c>
      <c r="L51" s="7" t="n"/>
      <c r="M51" s="7" t="n"/>
    </row>
    <row r="52">
      <c r="A52" s="7" t="inlineStr">
        <is>
          <t>MV-00048</t>
        </is>
      </c>
      <c r="B52" s="75" t="n">
        <v>45684.41666666666</v>
      </c>
      <c r="C52" s="7" t="inlineStr">
        <is>
          <t>Entrée</t>
        </is>
      </c>
      <c r="D52" s="7" t="inlineStr">
        <is>
          <t>PD-0011</t>
        </is>
      </c>
      <c r="E52" s="9">
        <f>IF(D52="","",IFERROR(INDEX('Stock pièces'!$B$5:$B$404,MATCH(D52,'Stock pièces'!$A$5:$A$404,0)),"Réf. inconnue"))</f>
        <v/>
      </c>
      <c r="F52" s="67" t="n">
        <v>2</v>
      </c>
      <c r="G52" s="81">
        <f>IF(D52="","",IFERROR(INDEX('Stock pièces'!$I$5:$I$404,MATCH(D52,'Stock pièces'!$A$5:$A$404,0)),0))</f>
        <v/>
      </c>
      <c r="H52" s="81">
        <f>IF(D52="","",N(F52)*N(G52))</f>
        <v/>
      </c>
      <c r="I52" s="7" t="n"/>
      <c r="J52" s="9">
        <f>IF(I52="","",IFERROR(INDEX('Ordres de travail'!$D$5:$D$3004,MATCH(I52,'Ordres de travail'!$A$5:$A$3004,0)),""))</f>
        <v/>
      </c>
      <c r="K52" s="9">
        <f>IF(D52="","",IFERROR(INDEX('Stock pièces'!$D$5:$D$404,MATCH(D52,'Stock pièces'!$A$5:$A$404,0)),""))</f>
        <v/>
      </c>
      <c r="L52" s="7" t="inlineStr">
        <is>
          <t>CMD-24011</t>
        </is>
      </c>
      <c r="M52" s="7" t="inlineStr">
        <is>
          <t>Réception commande réappro</t>
        </is>
      </c>
    </row>
    <row r="53">
      <c r="A53" s="7" t="inlineStr">
        <is>
          <t>MV-00049</t>
        </is>
      </c>
      <c r="B53" s="75" t="n">
        <v>45684.49166666667</v>
      </c>
      <c r="C53" s="7" t="inlineStr">
        <is>
          <t>Sortie</t>
        </is>
      </c>
      <c r="D53" s="7" t="inlineStr">
        <is>
          <t>PD-0028</t>
        </is>
      </c>
      <c r="E53" s="9">
        <f>IF(D53="","",IFERROR(INDEX('Stock pièces'!$B$5:$B$404,MATCH(D53,'Stock pièces'!$A$5:$A$404,0)),"Réf. inconnue"))</f>
        <v/>
      </c>
      <c r="F53" s="67" t="n">
        <v>2</v>
      </c>
      <c r="G53" s="81">
        <f>IF(D53="","",IFERROR(INDEX('Stock pièces'!$I$5:$I$404,MATCH(D53,'Stock pièces'!$A$5:$A$404,0)),0))</f>
        <v/>
      </c>
      <c r="H53" s="81">
        <f>IF(D53="","",N(F53)*N(G53))</f>
        <v/>
      </c>
      <c r="I53" s="7" t="inlineStr">
        <is>
          <t>OT-2025-0065</t>
        </is>
      </c>
      <c r="J53" s="9">
        <f>IF(I53="","",IFERROR(INDEX('Ordres de travail'!$D$5:$D$3004,MATCH(I53,'Ordres de travail'!$A$5:$A$3004,0)),""))</f>
        <v/>
      </c>
      <c r="K53" s="9">
        <f>IF(D53="","",IFERROR(INDEX('Stock pièces'!$D$5:$D$404,MATCH(D53,'Stock pièces'!$A$5:$A$404,0)),""))</f>
        <v/>
      </c>
      <c r="L53" s="7" t="n"/>
      <c r="M53" s="7" t="n"/>
    </row>
    <row r="54">
      <c r="A54" s="7" t="inlineStr">
        <is>
          <t>MV-00050</t>
        </is>
      </c>
      <c r="B54" s="75" t="n">
        <v>45686.23333333333</v>
      </c>
      <c r="C54" s="7" t="inlineStr">
        <is>
          <t>Sortie</t>
        </is>
      </c>
      <c r="D54" s="7" t="inlineStr">
        <is>
          <t>PD-0043</t>
        </is>
      </c>
      <c r="E54" s="9">
        <f>IF(D54="","",IFERROR(INDEX('Stock pièces'!$B$5:$B$404,MATCH(D54,'Stock pièces'!$A$5:$A$404,0)),"Réf. inconnue"))</f>
        <v/>
      </c>
      <c r="F54" s="67" t="n">
        <v>1</v>
      </c>
      <c r="G54" s="81">
        <f>IF(D54="","",IFERROR(INDEX('Stock pièces'!$I$5:$I$404,MATCH(D54,'Stock pièces'!$A$5:$A$404,0)),0))</f>
        <v/>
      </c>
      <c r="H54" s="81">
        <f>IF(D54="","",N(F54)*N(G54))</f>
        <v/>
      </c>
      <c r="I54" s="7" t="inlineStr">
        <is>
          <t>OT-2025-0071</t>
        </is>
      </c>
      <c r="J54" s="9">
        <f>IF(I54="","",IFERROR(INDEX('Ordres de travail'!$D$5:$D$3004,MATCH(I54,'Ordres de travail'!$A$5:$A$3004,0)),""))</f>
        <v/>
      </c>
      <c r="K54" s="9">
        <f>IF(D54="","",IFERROR(INDEX('Stock pièces'!$D$5:$D$404,MATCH(D54,'Stock pièces'!$A$5:$A$404,0)),""))</f>
        <v/>
      </c>
      <c r="L54" s="7" t="n"/>
      <c r="M54" s="7" t="n"/>
    </row>
    <row r="55">
      <c r="A55" s="7" t="inlineStr">
        <is>
          <t>MV-00051</t>
        </is>
      </c>
      <c r="B55" s="75" t="n">
        <v>45686.23333333333</v>
      </c>
      <c r="C55" s="7" t="inlineStr">
        <is>
          <t>Sortie</t>
        </is>
      </c>
      <c r="D55" s="7" t="inlineStr">
        <is>
          <t>PD-0045</t>
        </is>
      </c>
      <c r="E55" s="9">
        <f>IF(D55="","",IFERROR(INDEX('Stock pièces'!$B$5:$B$404,MATCH(D55,'Stock pièces'!$A$5:$A$404,0)),"Réf. inconnue"))</f>
        <v/>
      </c>
      <c r="F55" s="67" t="n">
        <v>2</v>
      </c>
      <c r="G55" s="81">
        <f>IF(D55="","",IFERROR(INDEX('Stock pièces'!$I$5:$I$404,MATCH(D55,'Stock pièces'!$A$5:$A$404,0)),0))</f>
        <v/>
      </c>
      <c r="H55" s="81">
        <f>IF(D55="","",N(F55)*N(G55))</f>
        <v/>
      </c>
      <c r="I55" s="7" t="inlineStr">
        <is>
          <t>OT-2025-0071</t>
        </is>
      </c>
      <c r="J55" s="9">
        <f>IF(I55="","",IFERROR(INDEX('Ordres de travail'!$D$5:$D$3004,MATCH(I55,'Ordres de travail'!$A$5:$A$3004,0)),""))</f>
        <v/>
      </c>
      <c r="K55" s="9">
        <f>IF(D55="","",IFERROR(INDEX('Stock pièces'!$D$5:$D$404,MATCH(D55,'Stock pièces'!$A$5:$A$404,0)),""))</f>
        <v/>
      </c>
      <c r="L55" s="7" t="n"/>
      <c r="M55" s="7" t="n"/>
    </row>
    <row r="56">
      <c r="A56" s="7" t="inlineStr">
        <is>
          <t>MV-00052</t>
        </is>
      </c>
      <c r="B56" s="75" t="n">
        <v>45687.38194444445</v>
      </c>
      <c r="C56" s="7" t="inlineStr">
        <is>
          <t>Sortie</t>
        </is>
      </c>
      <c r="D56" s="7" t="inlineStr">
        <is>
          <t>PD-0019</t>
        </is>
      </c>
      <c r="E56" s="9">
        <f>IF(D56="","",IFERROR(INDEX('Stock pièces'!$B$5:$B$404,MATCH(D56,'Stock pièces'!$A$5:$A$404,0)),"Réf. inconnue"))</f>
        <v/>
      </c>
      <c r="F56" s="67" t="n">
        <v>2</v>
      </c>
      <c r="G56" s="81">
        <f>IF(D56="","",IFERROR(INDEX('Stock pièces'!$I$5:$I$404,MATCH(D56,'Stock pièces'!$A$5:$A$404,0)),0))</f>
        <v/>
      </c>
      <c r="H56" s="81">
        <f>IF(D56="","",N(F56)*N(G56))</f>
        <v/>
      </c>
      <c r="I56" s="7" t="inlineStr">
        <is>
          <t>OT-2025-0059</t>
        </is>
      </c>
      <c r="J56" s="9">
        <f>IF(I56="","",IFERROR(INDEX('Ordres de travail'!$D$5:$D$3004,MATCH(I56,'Ordres de travail'!$A$5:$A$3004,0)),""))</f>
        <v/>
      </c>
      <c r="K56" s="9">
        <f>IF(D56="","",IFERROR(INDEX('Stock pièces'!$D$5:$D$404,MATCH(D56,'Stock pièces'!$A$5:$A$404,0)),""))</f>
        <v/>
      </c>
      <c r="L56" s="7" t="n"/>
      <c r="M56" s="7" t="n"/>
    </row>
    <row r="57">
      <c r="A57" s="7" t="inlineStr">
        <is>
          <t>MV-00053</t>
        </is>
      </c>
      <c r="B57" s="75" t="n">
        <v>45687.38194444445</v>
      </c>
      <c r="C57" s="7" t="inlineStr">
        <is>
          <t>Sortie</t>
        </is>
      </c>
      <c r="D57" s="7" t="inlineStr">
        <is>
          <t>PD-0020</t>
        </is>
      </c>
      <c r="E57" s="9">
        <f>IF(D57="","",IFERROR(INDEX('Stock pièces'!$B$5:$B$404,MATCH(D57,'Stock pièces'!$A$5:$A$404,0)),"Réf. inconnue"))</f>
        <v/>
      </c>
      <c r="F57" s="67" t="n">
        <v>2</v>
      </c>
      <c r="G57" s="81">
        <f>IF(D57="","",IFERROR(INDEX('Stock pièces'!$I$5:$I$404,MATCH(D57,'Stock pièces'!$A$5:$A$404,0)),0))</f>
        <v/>
      </c>
      <c r="H57" s="81">
        <f>IF(D57="","",N(F57)*N(G57))</f>
        <v/>
      </c>
      <c r="I57" s="7" t="inlineStr">
        <is>
          <t>OT-2025-0059</t>
        </is>
      </c>
      <c r="J57" s="9">
        <f>IF(I57="","",IFERROR(INDEX('Ordres de travail'!$D$5:$D$3004,MATCH(I57,'Ordres de travail'!$A$5:$A$3004,0)),""))</f>
        <v/>
      </c>
      <c r="K57" s="9">
        <f>IF(D57="","",IFERROR(INDEX('Stock pièces'!$D$5:$D$404,MATCH(D57,'Stock pièces'!$A$5:$A$404,0)),""))</f>
        <v/>
      </c>
      <c r="L57" s="7" t="n"/>
      <c r="M57" s="7" t="n"/>
    </row>
    <row r="58">
      <c r="A58" s="7" t="inlineStr">
        <is>
          <t>MV-00054</t>
        </is>
      </c>
      <c r="B58" s="75" t="n">
        <v>45688.40069444444</v>
      </c>
      <c r="C58" s="7" t="inlineStr">
        <is>
          <t>Sortie</t>
        </is>
      </c>
      <c r="D58" s="7" t="inlineStr">
        <is>
          <t>PD-0022</t>
        </is>
      </c>
      <c r="E58" s="9">
        <f>IF(D58="","",IFERROR(INDEX('Stock pièces'!$B$5:$B$404,MATCH(D58,'Stock pièces'!$A$5:$A$404,0)),"Réf. inconnue"))</f>
        <v/>
      </c>
      <c r="F58" s="67" t="n">
        <v>1</v>
      </c>
      <c r="G58" s="81">
        <f>IF(D58="","",IFERROR(INDEX('Stock pièces'!$I$5:$I$404,MATCH(D58,'Stock pièces'!$A$5:$A$404,0)),0))</f>
        <v/>
      </c>
      <c r="H58" s="81">
        <f>IF(D58="","",N(F58)*N(G58))</f>
        <v/>
      </c>
      <c r="I58" s="7" t="inlineStr">
        <is>
          <t>OT-2025-0077</t>
        </is>
      </c>
      <c r="J58" s="9">
        <f>IF(I58="","",IFERROR(INDEX('Ordres de travail'!$D$5:$D$3004,MATCH(I58,'Ordres de travail'!$A$5:$A$3004,0)),""))</f>
        <v/>
      </c>
      <c r="K58" s="9">
        <f>IF(D58="","",IFERROR(INDEX('Stock pièces'!$D$5:$D$404,MATCH(D58,'Stock pièces'!$A$5:$A$404,0)),""))</f>
        <v/>
      </c>
      <c r="L58" s="7" t="n"/>
      <c r="M58" s="7" t="n"/>
    </row>
    <row r="59">
      <c r="A59" s="7" t="inlineStr">
        <is>
          <t>MV-00055</t>
        </is>
      </c>
      <c r="B59" s="75" t="n">
        <v>45688.40069444444</v>
      </c>
      <c r="C59" s="7" t="inlineStr">
        <is>
          <t>Sortie</t>
        </is>
      </c>
      <c r="D59" s="7" t="inlineStr">
        <is>
          <t>PD-0026</t>
        </is>
      </c>
      <c r="E59" s="9">
        <f>IF(D59="","",IFERROR(INDEX('Stock pièces'!$B$5:$B$404,MATCH(D59,'Stock pièces'!$A$5:$A$404,0)),"Réf. inconnue"))</f>
        <v/>
      </c>
      <c r="F59" s="67" t="n">
        <v>1</v>
      </c>
      <c r="G59" s="81">
        <f>IF(D59="","",IFERROR(INDEX('Stock pièces'!$I$5:$I$404,MATCH(D59,'Stock pièces'!$A$5:$A$404,0)),0))</f>
        <v/>
      </c>
      <c r="H59" s="81">
        <f>IF(D59="","",N(F59)*N(G59))</f>
        <v/>
      </c>
      <c r="I59" s="7" t="inlineStr">
        <is>
          <t>OT-2025-0077</t>
        </is>
      </c>
      <c r="J59" s="9">
        <f>IF(I59="","",IFERROR(INDEX('Ordres de travail'!$D$5:$D$3004,MATCH(I59,'Ordres de travail'!$A$5:$A$3004,0)),""))</f>
        <v/>
      </c>
      <c r="K59" s="9">
        <f>IF(D59="","",IFERROR(INDEX('Stock pièces'!$D$5:$D$404,MATCH(D59,'Stock pièces'!$A$5:$A$404,0)),""))</f>
        <v/>
      </c>
      <c r="L59" s="7" t="n"/>
      <c r="M59" s="7" t="n"/>
    </row>
    <row r="60">
      <c r="A60" s="7" t="inlineStr">
        <is>
          <t>MV-00056</t>
        </is>
      </c>
      <c r="B60" s="75" t="n">
        <v>45689.67777777778</v>
      </c>
      <c r="C60" s="7" t="inlineStr">
        <is>
          <t>Sortie</t>
        </is>
      </c>
      <c r="D60" s="7" t="inlineStr">
        <is>
          <t>PD-0011</t>
        </is>
      </c>
      <c r="E60" s="9">
        <f>IF(D60="","",IFERROR(INDEX('Stock pièces'!$B$5:$B$404,MATCH(D60,'Stock pièces'!$A$5:$A$404,0)),"Réf. inconnue"))</f>
        <v/>
      </c>
      <c r="F60" s="67" t="n">
        <v>1</v>
      </c>
      <c r="G60" s="81">
        <f>IF(D60="","",IFERROR(INDEX('Stock pièces'!$I$5:$I$404,MATCH(D60,'Stock pièces'!$A$5:$A$404,0)),0))</f>
        <v/>
      </c>
      <c r="H60" s="81">
        <f>IF(D60="","",N(F60)*N(G60))</f>
        <v/>
      </c>
      <c r="I60" s="7" t="inlineStr">
        <is>
          <t>OT-2025-0079</t>
        </is>
      </c>
      <c r="J60" s="9">
        <f>IF(I60="","",IFERROR(INDEX('Ordres de travail'!$D$5:$D$3004,MATCH(I60,'Ordres de travail'!$A$5:$A$3004,0)),""))</f>
        <v/>
      </c>
      <c r="K60" s="9">
        <f>IF(D60="","",IFERROR(INDEX('Stock pièces'!$D$5:$D$404,MATCH(D60,'Stock pièces'!$A$5:$A$404,0)),""))</f>
        <v/>
      </c>
      <c r="L60" s="7" t="n"/>
      <c r="M60" s="7" t="n"/>
    </row>
    <row r="61">
      <c r="A61" s="7" t="inlineStr">
        <is>
          <t>MV-00057</t>
        </is>
      </c>
      <c r="B61" s="75" t="n">
        <v>45691.41666666666</v>
      </c>
      <c r="C61" s="7" t="inlineStr">
        <is>
          <t>Entrée</t>
        </is>
      </c>
      <c r="D61" s="7" t="inlineStr">
        <is>
          <t>PD-0068</t>
        </is>
      </c>
      <c r="E61" s="9">
        <f>IF(D61="","",IFERROR(INDEX('Stock pièces'!$B$5:$B$404,MATCH(D61,'Stock pièces'!$A$5:$A$404,0)),"Réf. inconnue"))</f>
        <v/>
      </c>
      <c r="F61" s="67" t="n">
        <v>1</v>
      </c>
      <c r="G61" s="81">
        <f>IF(D61="","",IFERROR(INDEX('Stock pièces'!$I$5:$I$404,MATCH(D61,'Stock pièces'!$A$5:$A$404,0)),0))</f>
        <v/>
      </c>
      <c r="H61" s="81">
        <f>IF(D61="","",N(F61)*N(G61))</f>
        <v/>
      </c>
      <c r="I61" s="7" t="n"/>
      <c r="J61" s="9">
        <f>IF(I61="","",IFERROR(INDEX('Ordres de travail'!$D$5:$D$3004,MATCH(I61,'Ordres de travail'!$A$5:$A$3004,0)),""))</f>
        <v/>
      </c>
      <c r="K61" s="9">
        <f>IF(D61="","",IFERROR(INDEX('Stock pièces'!$D$5:$D$404,MATCH(D61,'Stock pièces'!$A$5:$A$404,0)),""))</f>
        <v/>
      </c>
      <c r="L61" s="7" t="inlineStr">
        <is>
          <t>CMD-24009</t>
        </is>
      </c>
      <c r="M61" s="7" t="inlineStr">
        <is>
          <t>Réception commande réappro</t>
        </is>
      </c>
    </row>
    <row r="62">
      <c r="A62" s="7" t="inlineStr">
        <is>
          <t>MV-00058</t>
        </is>
      </c>
      <c r="B62" s="75" t="n">
        <v>45691.41666666666</v>
      </c>
      <c r="C62" s="7" t="inlineStr">
        <is>
          <t>Entrée</t>
        </is>
      </c>
      <c r="D62" s="7" t="inlineStr">
        <is>
          <t>PD-0056</t>
        </is>
      </c>
      <c r="E62" s="9">
        <f>IF(D62="","",IFERROR(INDEX('Stock pièces'!$B$5:$B$404,MATCH(D62,'Stock pièces'!$A$5:$A$404,0)),"Réf. inconnue"))</f>
        <v/>
      </c>
      <c r="F62" s="67" t="n">
        <v>1</v>
      </c>
      <c r="G62" s="81">
        <f>IF(D62="","",IFERROR(INDEX('Stock pièces'!$I$5:$I$404,MATCH(D62,'Stock pièces'!$A$5:$A$404,0)),0))</f>
        <v/>
      </c>
      <c r="H62" s="81">
        <f>IF(D62="","",N(F62)*N(G62))</f>
        <v/>
      </c>
      <c r="I62" s="7" t="n"/>
      <c r="J62" s="9">
        <f>IF(I62="","",IFERROR(INDEX('Ordres de travail'!$D$5:$D$3004,MATCH(I62,'Ordres de travail'!$A$5:$A$3004,0)),""))</f>
        <v/>
      </c>
      <c r="K62" s="9">
        <f>IF(D62="","",IFERROR(INDEX('Stock pièces'!$D$5:$D$404,MATCH(D62,'Stock pièces'!$A$5:$A$404,0)),""))</f>
        <v/>
      </c>
      <c r="L62" s="7" t="inlineStr">
        <is>
          <t>CMD-24013</t>
        </is>
      </c>
      <c r="M62" s="7" t="inlineStr">
        <is>
          <t>Réception commande réappro</t>
        </is>
      </c>
    </row>
    <row r="63">
      <c r="A63" s="7" t="inlineStr">
        <is>
          <t>MV-00059</t>
        </is>
      </c>
      <c r="B63" s="75" t="n">
        <v>45691.41666666666</v>
      </c>
      <c r="C63" s="7" t="inlineStr">
        <is>
          <t>Entrée</t>
        </is>
      </c>
      <c r="D63" s="7" t="inlineStr">
        <is>
          <t>PD-0017</t>
        </is>
      </c>
      <c r="E63" s="9">
        <f>IF(D63="","",IFERROR(INDEX('Stock pièces'!$B$5:$B$404,MATCH(D63,'Stock pièces'!$A$5:$A$404,0)),"Réf. inconnue"))</f>
        <v/>
      </c>
      <c r="F63" s="67" t="n">
        <v>8</v>
      </c>
      <c r="G63" s="81">
        <f>IF(D63="","",IFERROR(INDEX('Stock pièces'!$I$5:$I$404,MATCH(D63,'Stock pièces'!$A$5:$A$404,0)),0))</f>
        <v/>
      </c>
      <c r="H63" s="81">
        <f>IF(D63="","",N(F63)*N(G63))</f>
        <v/>
      </c>
      <c r="I63" s="7" t="n"/>
      <c r="J63" s="9">
        <f>IF(I63="","",IFERROR(INDEX('Ordres de travail'!$D$5:$D$3004,MATCH(I63,'Ordres de travail'!$A$5:$A$3004,0)),""))</f>
        <v/>
      </c>
      <c r="K63" s="9">
        <f>IF(D63="","",IFERROR(INDEX('Stock pièces'!$D$5:$D$404,MATCH(D63,'Stock pièces'!$A$5:$A$404,0)),""))</f>
        <v/>
      </c>
      <c r="L63" s="7" t="inlineStr">
        <is>
          <t>CMD-24014</t>
        </is>
      </c>
      <c r="M63" s="7" t="inlineStr">
        <is>
          <t>Réception commande réappro</t>
        </is>
      </c>
    </row>
    <row r="64">
      <c r="A64" s="7" t="inlineStr">
        <is>
          <t>MV-00060</t>
        </is>
      </c>
      <c r="B64" s="75" t="n">
        <v>45691.41666666666</v>
      </c>
      <c r="C64" s="7" t="inlineStr">
        <is>
          <t>Entrée</t>
        </is>
      </c>
      <c r="D64" s="7" t="inlineStr">
        <is>
          <t>PD-0028</t>
        </is>
      </c>
      <c r="E64" s="9">
        <f>IF(D64="","",IFERROR(INDEX('Stock pièces'!$B$5:$B$404,MATCH(D64,'Stock pièces'!$A$5:$A$404,0)),"Réf. inconnue"))</f>
        <v/>
      </c>
      <c r="F64" s="67" t="n">
        <v>5</v>
      </c>
      <c r="G64" s="81">
        <f>IF(D64="","",IFERROR(INDEX('Stock pièces'!$I$5:$I$404,MATCH(D64,'Stock pièces'!$A$5:$A$404,0)),0))</f>
        <v/>
      </c>
      <c r="H64" s="81">
        <f>IF(D64="","",N(F64)*N(G64))</f>
        <v/>
      </c>
      <c r="I64" s="7" t="n"/>
      <c r="J64" s="9">
        <f>IF(I64="","",IFERROR(INDEX('Ordres de travail'!$D$5:$D$3004,MATCH(I64,'Ordres de travail'!$A$5:$A$3004,0)),""))</f>
        <v/>
      </c>
      <c r="K64" s="9">
        <f>IF(D64="","",IFERROR(INDEX('Stock pièces'!$D$5:$D$404,MATCH(D64,'Stock pièces'!$A$5:$A$404,0)),""))</f>
        <v/>
      </c>
      <c r="L64" s="7" t="inlineStr">
        <is>
          <t>CMD-24015</t>
        </is>
      </c>
      <c r="M64" s="7" t="inlineStr">
        <is>
          <t>Réception commande réappro</t>
        </is>
      </c>
    </row>
    <row r="65">
      <c r="A65" s="7" t="inlineStr">
        <is>
          <t>MV-00061</t>
        </is>
      </c>
      <c r="B65" s="75" t="n">
        <v>45691.47569444445</v>
      </c>
      <c r="C65" s="7" t="inlineStr">
        <is>
          <t>Sortie</t>
        </is>
      </c>
      <c r="D65" s="7" t="inlineStr">
        <is>
          <t>PD-0025</t>
        </is>
      </c>
      <c r="E65" s="9">
        <f>IF(D65="","",IFERROR(INDEX('Stock pièces'!$B$5:$B$404,MATCH(D65,'Stock pièces'!$A$5:$A$404,0)),"Réf. inconnue"))</f>
        <v/>
      </c>
      <c r="F65" s="67" t="n">
        <v>2</v>
      </c>
      <c r="G65" s="81">
        <f>IF(D65="","",IFERROR(INDEX('Stock pièces'!$I$5:$I$404,MATCH(D65,'Stock pièces'!$A$5:$A$404,0)),0))</f>
        <v/>
      </c>
      <c r="H65" s="81">
        <f>IF(D65="","",N(F65)*N(G65))</f>
        <v/>
      </c>
      <c r="I65" s="7" t="inlineStr">
        <is>
          <t>OT-2025-0066</t>
        </is>
      </c>
      <c r="J65" s="9">
        <f>IF(I65="","",IFERROR(INDEX('Ordres de travail'!$D$5:$D$3004,MATCH(I65,'Ordres de travail'!$A$5:$A$3004,0)),""))</f>
        <v/>
      </c>
      <c r="K65" s="9">
        <f>IF(D65="","",IFERROR(INDEX('Stock pièces'!$D$5:$D$404,MATCH(D65,'Stock pièces'!$A$5:$A$404,0)),""))</f>
        <v/>
      </c>
      <c r="L65" s="7" t="n"/>
      <c r="M65" s="7" t="n"/>
    </row>
    <row r="66">
      <c r="A66" s="7" t="inlineStr">
        <is>
          <t>MV-00062</t>
        </is>
      </c>
      <c r="B66" s="75" t="n">
        <v>45691.61111111111</v>
      </c>
      <c r="C66" s="7" t="inlineStr">
        <is>
          <t>Sortie</t>
        </is>
      </c>
      <c r="D66" s="7" t="inlineStr">
        <is>
          <t>PD-0038</t>
        </is>
      </c>
      <c r="E66" s="9">
        <f>IF(D66="","",IFERROR(INDEX('Stock pièces'!$B$5:$B$404,MATCH(D66,'Stock pièces'!$A$5:$A$404,0)),"Réf. inconnue"))</f>
        <v/>
      </c>
      <c r="F66" s="67" t="n">
        <v>1</v>
      </c>
      <c r="G66" s="81">
        <f>IF(D66="","",IFERROR(INDEX('Stock pièces'!$I$5:$I$404,MATCH(D66,'Stock pièces'!$A$5:$A$404,0)),0))</f>
        <v/>
      </c>
      <c r="H66" s="81">
        <f>IF(D66="","",N(F66)*N(G66))</f>
        <v/>
      </c>
      <c r="I66" s="7" t="inlineStr">
        <is>
          <t>OT-2025-0085</t>
        </is>
      </c>
      <c r="J66" s="9">
        <f>IF(I66="","",IFERROR(INDEX('Ordres de travail'!$D$5:$D$3004,MATCH(I66,'Ordres de travail'!$A$5:$A$3004,0)),""))</f>
        <v/>
      </c>
      <c r="K66" s="9">
        <f>IF(D66="","",IFERROR(INDEX('Stock pièces'!$D$5:$D$404,MATCH(D66,'Stock pièces'!$A$5:$A$404,0)),""))</f>
        <v/>
      </c>
      <c r="L66" s="7" t="n"/>
      <c r="M66" s="7" t="n"/>
    </row>
    <row r="67">
      <c r="A67" s="7" t="inlineStr">
        <is>
          <t>MV-00063</t>
        </is>
      </c>
      <c r="B67" s="75" t="n">
        <v>45692.41666666666</v>
      </c>
      <c r="C67" s="7" t="inlineStr">
        <is>
          <t>Entrée</t>
        </is>
      </c>
      <c r="D67" s="7" t="inlineStr">
        <is>
          <t>PD-0073</t>
        </is>
      </c>
      <c r="E67" s="9">
        <f>IF(D67="","",IFERROR(INDEX('Stock pièces'!$B$5:$B$404,MATCH(D67,'Stock pièces'!$A$5:$A$404,0)),"Réf. inconnue"))</f>
        <v/>
      </c>
      <c r="F67" s="67" t="n">
        <v>1</v>
      </c>
      <c r="G67" s="81">
        <f>IF(D67="","",IFERROR(INDEX('Stock pièces'!$I$5:$I$404,MATCH(D67,'Stock pièces'!$A$5:$A$404,0)),0))</f>
        <v/>
      </c>
      <c r="H67" s="81">
        <f>IF(D67="","",N(F67)*N(G67))</f>
        <v/>
      </c>
      <c r="I67" s="7" t="n"/>
      <c r="J67" s="9">
        <f>IF(I67="","",IFERROR(INDEX('Ordres de travail'!$D$5:$D$3004,MATCH(I67,'Ordres de travail'!$A$5:$A$3004,0)),""))</f>
        <v/>
      </c>
      <c r="K67" s="9">
        <f>IF(D67="","",IFERROR(INDEX('Stock pièces'!$D$5:$D$404,MATCH(D67,'Stock pièces'!$A$5:$A$404,0)),""))</f>
        <v/>
      </c>
      <c r="L67" s="7" t="inlineStr">
        <is>
          <t>CMD-24010</t>
        </is>
      </c>
      <c r="M67" s="7" t="inlineStr">
        <is>
          <t>Réception commande réappro</t>
        </is>
      </c>
    </row>
    <row r="68">
      <c r="A68" s="7" t="inlineStr">
        <is>
          <t>MV-00064</t>
        </is>
      </c>
      <c r="B68" s="75" t="n">
        <v>45692.43125</v>
      </c>
      <c r="C68" s="7" t="inlineStr">
        <is>
          <t>Sortie</t>
        </is>
      </c>
      <c r="D68" s="7" t="inlineStr">
        <is>
          <t>PD-0038</t>
        </is>
      </c>
      <c r="E68" s="9">
        <f>IF(D68="","",IFERROR(INDEX('Stock pièces'!$B$5:$B$404,MATCH(D68,'Stock pièces'!$A$5:$A$404,0)),"Réf. inconnue"))</f>
        <v/>
      </c>
      <c r="F68" s="67" t="n">
        <v>3</v>
      </c>
      <c r="G68" s="81">
        <f>IF(D68="","",IFERROR(INDEX('Stock pièces'!$I$5:$I$404,MATCH(D68,'Stock pièces'!$A$5:$A$404,0)),0))</f>
        <v/>
      </c>
      <c r="H68" s="81">
        <f>IF(D68="","",N(F68)*N(G68))</f>
        <v/>
      </c>
      <c r="I68" s="7" t="inlineStr">
        <is>
          <t>OT-2025-0086</t>
        </is>
      </c>
      <c r="J68" s="9">
        <f>IF(I68="","",IFERROR(INDEX('Ordres de travail'!$D$5:$D$3004,MATCH(I68,'Ordres de travail'!$A$5:$A$3004,0)),""))</f>
        <v/>
      </c>
      <c r="K68" s="9">
        <f>IF(D68="","",IFERROR(INDEX('Stock pièces'!$D$5:$D$404,MATCH(D68,'Stock pièces'!$A$5:$A$404,0)),""))</f>
        <v/>
      </c>
      <c r="L68" s="7" t="n"/>
      <c r="M68" s="7" t="n"/>
    </row>
    <row r="69">
      <c r="A69" s="7" t="inlineStr">
        <is>
          <t>MV-00065</t>
        </is>
      </c>
      <c r="B69" s="75" t="n">
        <v>45692.64513888889</v>
      </c>
      <c r="C69" s="7" t="inlineStr">
        <is>
          <t>Sortie</t>
        </is>
      </c>
      <c r="D69" s="7" t="inlineStr">
        <is>
          <t>PD-0038</t>
        </is>
      </c>
      <c r="E69" s="9">
        <f>IF(D69="","",IFERROR(INDEX('Stock pièces'!$B$5:$B$404,MATCH(D69,'Stock pièces'!$A$5:$A$404,0)),"Réf. inconnue"))</f>
        <v/>
      </c>
      <c r="F69" s="67" t="n">
        <v>2</v>
      </c>
      <c r="G69" s="81">
        <f>IF(D69="","",IFERROR(INDEX('Stock pièces'!$I$5:$I$404,MATCH(D69,'Stock pièces'!$A$5:$A$404,0)),0))</f>
        <v/>
      </c>
      <c r="H69" s="81">
        <f>IF(D69="","",N(F69)*N(G69))</f>
        <v/>
      </c>
      <c r="I69" s="7" t="inlineStr">
        <is>
          <t>OT-2025-0088</t>
        </is>
      </c>
      <c r="J69" s="9">
        <f>IF(I69="","",IFERROR(INDEX('Ordres de travail'!$D$5:$D$3004,MATCH(I69,'Ordres de travail'!$A$5:$A$3004,0)),""))</f>
        <v/>
      </c>
      <c r="K69" s="9">
        <f>IF(D69="","",IFERROR(INDEX('Stock pièces'!$D$5:$D$404,MATCH(D69,'Stock pièces'!$A$5:$A$404,0)),""))</f>
        <v/>
      </c>
      <c r="L69" s="7" t="n"/>
      <c r="M69" s="7" t="n"/>
    </row>
    <row r="70">
      <c r="A70" s="7" t="inlineStr">
        <is>
          <t>MV-00066</t>
        </is>
      </c>
      <c r="B70" s="75" t="n">
        <v>45693.41666666666</v>
      </c>
      <c r="C70" s="7" t="inlineStr">
        <is>
          <t>Entrée</t>
        </is>
      </c>
      <c r="D70" s="7" t="inlineStr">
        <is>
          <t>PD-0045</t>
        </is>
      </c>
      <c r="E70" s="9">
        <f>IF(D70="","",IFERROR(INDEX('Stock pièces'!$B$5:$B$404,MATCH(D70,'Stock pièces'!$A$5:$A$404,0)),"Réf. inconnue"))</f>
        <v/>
      </c>
      <c r="F70" s="67" t="n">
        <v>3</v>
      </c>
      <c r="G70" s="81">
        <f>IF(D70="","",IFERROR(INDEX('Stock pièces'!$I$5:$I$404,MATCH(D70,'Stock pièces'!$A$5:$A$404,0)),0))</f>
        <v/>
      </c>
      <c r="H70" s="81">
        <f>IF(D70="","",N(F70)*N(G70))</f>
        <v/>
      </c>
      <c r="I70" s="7" t="n"/>
      <c r="J70" s="9">
        <f>IF(I70="","",IFERROR(INDEX('Ordres de travail'!$D$5:$D$3004,MATCH(I70,'Ordres de travail'!$A$5:$A$3004,0)),""))</f>
        <v/>
      </c>
      <c r="K70" s="9">
        <f>IF(D70="","",IFERROR(INDEX('Stock pièces'!$D$5:$D$404,MATCH(D70,'Stock pièces'!$A$5:$A$404,0)),""))</f>
        <v/>
      </c>
      <c r="L70" s="7" t="inlineStr">
        <is>
          <t>CMD-24017</t>
        </is>
      </c>
      <c r="M70" s="7" t="inlineStr">
        <is>
          <t>Réception commande réappro</t>
        </is>
      </c>
    </row>
    <row r="71">
      <c r="A71" s="7" t="inlineStr">
        <is>
          <t>MV-00067</t>
        </is>
      </c>
      <c r="B71" s="75" t="n">
        <v>45693.45833333334</v>
      </c>
      <c r="C71" s="7" t="inlineStr">
        <is>
          <t>Sortie</t>
        </is>
      </c>
      <c r="D71" s="7" t="inlineStr">
        <is>
          <t>PD-0025</t>
        </is>
      </c>
      <c r="E71" s="9">
        <f>IF(D71="","",IFERROR(INDEX('Stock pièces'!$B$5:$B$404,MATCH(D71,'Stock pièces'!$A$5:$A$404,0)),"Réf. inconnue"))</f>
        <v/>
      </c>
      <c r="F71" s="67" t="n">
        <v>1</v>
      </c>
      <c r="G71" s="81">
        <f>IF(D71="","",IFERROR(INDEX('Stock pièces'!$I$5:$I$404,MATCH(D71,'Stock pièces'!$A$5:$A$404,0)),0))</f>
        <v/>
      </c>
      <c r="H71" s="81">
        <f>IF(D71="","",N(F71)*N(G71))</f>
        <v/>
      </c>
      <c r="I71" s="7" t="inlineStr">
        <is>
          <t>OT-2025-0073</t>
        </is>
      </c>
      <c r="J71" s="9">
        <f>IF(I71="","",IFERROR(INDEX('Ordres de travail'!$D$5:$D$3004,MATCH(I71,'Ordres de travail'!$A$5:$A$3004,0)),""))</f>
        <v/>
      </c>
      <c r="K71" s="9">
        <f>IF(D71="","",IFERROR(INDEX('Stock pièces'!$D$5:$D$404,MATCH(D71,'Stock pièces'!$A$5:$A$404,0)),""))</f>
        <v/>
      </c>
      <c r="L71" s="7" t="n"/>
      <c r="M71" s="7" t="n"/>
    </row>
    <row r="72">
      <c r="A72" s="7" t="inlineStr">
        <is>
          <t>MV-00068</t>
        </is>
      </c>
      <c r="B72" s="75" t="n">
        <v>45693.5625</v>
      </c>
      <c r="C72" s="7" t="inlineStr">
        <is>
          <t>Sortie</t>
        </is>
      </c>
      <c r="D72" s="7" t="inlineStr">
        <is>
          <t>PD-0017</t>
        </is>
      </c>
      <c r="E72" s="9">
        <f>IF(D72="","",IFERROR(INDEX('Stock pièces'!$B$5:$B$404,MATCH(D72,'Stock pièces'!$A$5:$A$404,0)),"Réf. inconnue"))</f>
        <v/>
      </c>
      <c r="F72" s="67" t="n">
        <v>1</v>
      </c>
      <c r="G72" s="81">
        <f>IF(D72="","",IFERROR(INDEX('Stock pièces'!$I$5:$I$404,MATCH(D72,'Stock pièces'!$A$5:$A$404,0)),0))</f>
        <v/>
      </c>
      <c r="H72" s="81">
        <f>IF(D72="","",N(F72)*N(G72))</f>
        <v/>
      </c>
      <c r="I72" s="7" t="inlineStr">
        <is>
          <t>OT-2025-0074</t>
        </is>
      </c>
      <c r="J72" s="9">
        <f>IF(I72="","",IFERROR(INDEX('Ordres de travail'!$D$5:$D$3004,MATCH(I72,'Ordres de travail'!$A$5:$A$3004,0)),""))</f>
        <v/>
      </c>
      <c r="K72" s="9">
        <f>IF(D72="","",IFERROR(INDEX('Stock pièces'!$D$5:$D$404,MATCH(D72,'Stock pièces'!$A$5:$A$404,0)),""))</f>
        <v/>
      </c>
      <c r="L72" s="7" t="n"/>
      <c r="M72" s="7" t="n"/>
    </row>
    <row r="73">
      <c r="A73" s="7" t="inlineStr">
        <is>
          <t>MV-00069</t>
        </is>
      </c>
      <c r="B73" s="75" t="n">
        <v>45695.41666666666</v>
      </c>
      <c r="C73" s="7" t="inlineStr">
        <is>
          <t>Entrée</t>
        </is>
      </c>
      <c r="D73" s="7" t="inlineStr">
        <is>
          <t>PD-0022</t>
        </is>
      </c>
      <c r="E73" s="9">
        <f>IF(D73="","",IFERROR(INDEX('Stock pièces'!$B$5:$B$404,MATCH(D73,'Stock pièces'!$A$5:$A$404,0)),"Réf. inconnue"))</f>
        <v/>
      </c>
      <c r="F73" s="67" t="n">
        <v>2</v>
      </c>
      <c r="G73" s="81">
        <f>IF(D73="","",IFERROR(INDEX('Stock pièces'!$I$5:$I$404,MATCH(D73,'Stock pièces'!$A$5:$A$404,0)),0))</f>
        <v/>
      </c>
      <c r="H73" s="81">
        <f>IF(D73="","",N(F73)*N(G73))</f>
        <v/>
      </c>
      <c r="I73" s="7" t="n"/>
      <c r="J73" s="9">
        <f>IF(I73="","",IFERROR(INDEX('Ordres de travail'!$D$5:$D$3004,MATCH(I73,'Ordres de travail'!$A$5:$A$3004,0)),""))</f>
        <v/>
      </c>
      <c r="K73" s="9">
        <f>IF(D73="","",IFERROR(INDEX('Stock pièces'!$D$5:$D$404,MATCH(D73,'Stock pièces'!$A$5:$A$404,0)),""))</f>
        <v/>
      </c>
      <c r="L73" s="7" t="inlineStr">
        <is>
          <t>CMD-24018</t>
        </is>
      </c>
      <c r="M73" s="7" t="inlineStr">
        <is>
          <t>Réception commande réappro</t>
        </is>
      </c>
    </row>
    <row r="74">
      <c r="A74" s="7" t="inlineStr">
        <is>
          <t>MV-00070</t>
        </is>
      </c>
      <c r="B74" s="75" t="n">
        <v>45697.06111111111</v>
      </c>
      <c r="C74" s="7" t="inlineStr">
        <is>
          <t>Sortie</t>
        </is>
      </c>
      <c r="D74" s="7" t="inlineStr">
        <is>
          <t>PD-0071</t>
        </is>
      </c>
      <c r="E74" s="9">
        <f>IF(D74="","",IFERROR(INDEX('Stock pièces'!$B$5:$B$404,MATCH(D74,'Stock pièces'!$A$5:$A$404,0)),"Réf. inconnue"))</f>
        <v/>
      </c>
      <c r="F74" s="67" t="n">
        <v>3</v>
      </c>
      <c r="G74" s="81">
        <f>IF(D74="","",IFERROR(INDEX('Stock pièces'!$I$5:$I$404,MATCH(D74,'Stock pièces'!$A$5:$A$404,0)),0))</f>
        <v/>
      </c>
      <c r="H74" s="81">
        <f>IF(D74="","",N(F74)*N(G74))</f>
        <v/>
      </c>
      <c r="I74" s="7" t="inlineStr">
        <is>
          <t>OT-2025-0097</t>
        </is>
      </c>
      <c r="J74" s="9">
        <f>IF(I74="","",IFERROR(INDEX('Ordres de travail'!$D$5:$D$3004,MATCH(I74,'Ordres de travail'!$A$5:$A$3004,0)),""))</f>
        <v/>
      </c>
      <c r="K74" s="9">
        <f>IF(D74="","",IFERROR(INDEX('Stock pièces'!$D$5:$D$404,MATCH(D74,'Stock pièces'!$A$5:$A$404,0)),""))</f>
        <v/>
      </c>
      <c r="L74" s="7" t="n"/>
      <c r="M74" s="7" t="n"/>
    </row>
    <row r="75">
      <c r="A75" s="7" t="inlineStr">
        <is>
          <t>MV-00071</t>
        </is>
      </c>
      <c r="B75" s="75" t="n">
        <v>45697.06111111111</v>
      </c>
      <c r="C75" s="7" t="inlineStr">
        <is>
          <t>Sortie</t>
        </is>
      </c>
      <c r="D75" s="7" t="inlineStr">
        <is>
          <t>PD-0073</t>
        </is>
      </c>
      <c r="E75" s="9">
        <f>IF(D75="","",IFERROR(INDEX('Stock pièces'!$B$5:$B$404,MATCH(D75,'Stock pièces'!$A$5:$A$404,0)),"Réf. inconnue"))</f>
        <v/>
      </c>
      <c r="F75" s="67" t="n">
        <v>1</v>
      </c>
      <c r="G75" s="81">
        <f>IF(D75="","",IFERROR(INDEX('Stock pièces'!$I$5:$I$404,MATCH(D75,'Stock pièces'!$A$5:$A$404,0)),0))</f>
        <v/>
      </c>
      <c r="H75" s="81">
        <f>IF(D75="","",N(F75)*N(G75))</f>
        <v/>
      </c>
      <c r="I75" s="7" t="inlineStr">
        <is>
          <t>OT-2025-0097</t>
        </is>
      </c>
      <c r="J75" s="9">
        <f>IF(I75="","",IFERROR(INDEX('Ordres de travail'!$D$5:$D$3004,MATCH(I75,'Ordres de travail'!$A$5:$A$3004,0)),""))</f>
        <v/>
      </c>
      <c r="K75" s="9">
        <f>IF(D75="","",IFERROR(INDEX('Stock pièces'!$D$5:$D$404,MATCH(D75,'Stock pièces'!$A$5:$A$404,0)),""))</f>
        <v/>
      </c>
      <c r="L75" s="7" t="n"/>
      <c r="M75" s="7" t="n"/>
    </row>
    <row r="76">
      <c r="A76" s="7" t="inlineStr">
        <is>
          <t>MV-00072</t>
        </is>
      </c>
      <c r="B76" s="75" t="n">
        <v>45698.06111111111</v>
      </c>
      <c r="C76" s="7" t="inlineStr">
        <is>
          <t>Retour</t>
        </is>
      </c>
      <c r="D76" s="7" t="inlineStr">
        <is>
          <t>PD-0071</t>
        </is>
      </c>
      <c r="E76" s="9">
        <f>IF(D76="","",IFERROR(INDEX('Stock pièces'!$B$5:$B$404,MATCH(D76,'Stock pièces'!$A$5:$A$404,0)),"Réf. inconnue"))</f>
        <v/>
      </c>
      <c r="F76" s="67" t="n">
        <v>1</v>
      </c>
      <c r="G76" s="81">
        <f>IF(D76="","",IFERROR(INDEX('Stock pièces'!$I$5:$I$404,MATCH(D76,'Stock pièces'!$A$5:$A$404,0)),0))</f>
        <v/>
      </c>
      <c r="H76" s="81">
        <f>IF(D76="","",N(F76)*N(G76))</f>
        <v/>
      </c>
      <c r="I76" s="7" t="inlineStr">
        <is>
          <t>OT-2025-0097</t>
        </is>
      </c>
      <c r="J76" s="9">
        <f>IF(I76="","",IFERROR(INDEX('Ordres de travail'!$D$5:$D$3004,MATCH(I76,'Ordres de travail'!$A$5:$A$3004,0)),""))</f>
        <v/>
      </c>
      <c r="K76" s="9">
        <f>IF(D76="","",IFERROR(INDEX('Stock pièces'!$D$5:$D$404,MATCH(D76,'Stock pièces'!$A$5:$A$404,0)),""))</f>
        <v/>
      </c>
      <c r="L76" s="7" t="n"/>
      <c r="M76" s="7" t="inlineStr">
        <is>
          <t>Pièce non utilisée</t>
        </is>
      </c>
    </row>
    <row r="77">
      <c r="A77" s="7" t="inlineStr">
        <is>
          <t>MV-00073</t>
        </is>
      </c>
      <c r="B77" s="75" t="n">
        <v>45698.34513888889</v>
      </c>
      <c r="C77" s="7" t="inlineStr">
        <is>
          <t>Sortie</t>
        </is>
      </c>
      <c r="D77" s="7" t="inlineStr">
        <is>
          <t>PD-0018</t>
        </is>
      </c>
      <c r="E77" s="9">
        <f>IF(D77="","",IFERROR(INDEX('Stock pièces'!$B$5:$B$404,MATCH(D77,'Stock pièces'!$A$5:$A$404,0)),"Réf. inconnue"))</f>
        <v/>
      </c>
      <c r="F77" s="67" t="n">
        <v>1</v>
      </c>
      <c r="G77" s="81">
        <f>IF(D77="","",IFERROR(INDEX('Stock pièces'!$I$5:$I$404,MATCH(D77,'Stock pièces'!$A$5:$A$404,0)),0))</f>
        <v/>
      </c>
      <c r="H77" s="81">
        <f>IF(D77="","",N(F77)*N(G77))</f>
        <v/>
      </c>
      <c r="I77" s="7" t="inlineStr">
        <is>
          <t>OT-2025-0096</t>
        </is>
      </c>
      <c r="J77" s="9">
        <f>IF(I77="","",IFERROR(INDEX('Ordres de travail'!$D$5:$D$3004,MATCH(I77,'Ordres de travail'!$A$5:$A$3004,0)),""))</f>
        <v/>
      </c>
      <c r="K77" s="9">
        <f>IF(D77="","",IFERROR(INDEX('Stock pièces'!$D$5:$D$404,MATCH(D77,'Stock pièces'!$A$5:$A$404,0)),""))</f>
        <v/>
      </c>
      <c r="L77" s="7" t="n"/>
      <c r="M77" s="7" t="n"/>
    </row>
    <row r="78">
      <c r="A78" s="7" t="inlineStr">
        <is>
          <t>MV-00074</t>
        </is>
      </c>
      <c r="B78" s="75" t="n">
        <v>45698.38888888889</v>
      </c>
      <c r="C78" s="7" t="inlineStr">
        <is>
          <t>Sortie</t>
        </is>
      </c>
      <c r="D78" s="7" t="inlineStr">
        <is>
          <t>PD-0062</t>
        </is>
      </c>
      <c r="E78" s="9">
        <f>IF(D78="","",IFERROR(INDEX('Stock pièces'!$B$5:$B$404,MATCH(D78,'Stock pièces'!$A$5:$A$404,0)),"Réf. inconnue"))</f>
        <v/>
      </c>
      <c r="F78" s="67" t="n">
        <v>1</v>
      </c>
      <c r="G78" s="81">
        <f>IF(D78="","",IFERROR(INDEX('Stock pièces'!$I$5:$I$404,MATCH(D78,'Stock pièces'!$A$5:$A$404,0)),0))</f>
        <v/>
      </c>
      <c r="H78" s="81">
        <f>IF(D78="","",N(F78)*N(G78))</f>
        <v/>
      </c>
      <c r="I78" s="7" t="inlineStr">
        <is>
          <t>OT-2025-0084</t>
        </is>
      </c>
      <c r="J78" s="9">
        <f>IF(I78="","",IFERROR(INDEX('Ordres de travail'!$D$5:$D$3004,MATCH(I78,'Ordres de travail'!$A$5:$A$3004,0)),""))</f>
        <v/>
      </c>
      <c r="K78" s="9">
        <f>IF(D78="","",IFERROR(INDEX('Stock pièces'!$D$5:$D$404,MATCH(D78,'Stock pièces'!$A$5:$A$404,0)),""))</f>
        <v/>
      </c>
      <c r="L78" s="7" t="n"/>
      <c r="M78" s="7" t="n"/>
    </row>
    <row r="79">
      <c r="A79" s="7" t="inlineStr">
        <is>
          <t>MV-00075</t>
        </is>
      </c>
      <c r="B79" s="75" t="n">
        <v>45698.41319444445</v>
      </c>
      <c r="C79" s="7" t="inlineStr">
        <is>
          <t>Sortie</t>
        </is>
      </c>
      <c r="D79" s="7" t="inlineStr">
        <is>
          <t>PD-0017</t>
        </is>
      </c>
      <c r="E79" s="9">
        <f>IF(D79="","",IFERROR(INDEX('Stock pièces'!$B$5:$B$404,MATCH(D79,'Stock pièces'!$A$5:$A$404,0)),"Réf. inconnue"))</f>
        <v/>
      </c>
      <c r="F79" s="67" t="n">
        <v>1</v>
      </c>
      <c r="G79" s="81">
        <f>IF(D79="","",IFERROR(INDEX('Stock pièces'!$I$5:$I$404,MATCH(D79,'Stock pièces'!$A$5:$A$404,0)),0))</f>
        <v/>
      </c>
      <c r="H79" s="81">
        <f>IF(D79="","",N(F79)*N(G79))</f>
        <v/>
      </c>
      <c r="I79" s="7" t="inlineStr">
        <is>
          <t>OT-2025-0083</t>
        </is>
      </c>
      <c r="J79" s="9">
        <f>IF(I79="","",IFERROR(INDEX('Ordres de travail'!$D$5:$D$3004,MATCH(I79,'Ordres de travail'!$A$5:$A$3004,0)),""))</f>
        <v/>
      </c>
      <c r="K79" s="9">
        <f>IF(D79="","",IFERROR(INDEX('Stock pièces'!$D$5:$D$404,MATCH(D79,'Stock pièces'!$A$5:$A$404,0)),""))</f>
        <v/>
      </c>
      <c r="L79" s="7" t="n"/>
      <c r="M79" s="7" t="n"/>
    </row>
    <row r="80">
      <c r="A80" s="7" t="inlineStr">
        <is>
          <t>MV-00076</t>
        </is>
      </c>
      <c r="B80" s="75" t="n">
        <v>45698.41666666666</v>
      </c>
      <c r="C80" s="7" t="inlineStr">
        <is>
          <t>Entrée</t>
        </is>
      </c>
      <c r="D80" s="7" t="inlineStr">
        <is>
          <t>PD-0043</t>
        </is>
      </c>
      <c r="E80" s="9">
        <f>IF(D80="","",IFERROR(INDEX('Stock pièces'!$B$5:$B$404,MATCH(D80,'Stock pièces'!$A$5:$A$404,0)),"Réf. inconnue"))</f>
        <v/>
      </c>
      <c r="F80" s="67" t="n">
        <v>1</v>
      </c>
      <c r="G80" s="81">
        <f>IF(D80="","",IFERROR(INDEX('Stock pièces'!$I$5:$I$404,MATCH(D80,'Stock pièces'!$A$5:$A$404,0)),0))</f>
        <v/>
      </c>
      <c r="H80" s="81">
        <f>IF(D80="","",N(F80)*N(G80))</f>
        <v/>
      </c>
      <c r="I80" s="7" t="n"/>
      <c r="J80" s="9">
        <f>IF(I80="","",IFERROR(INDEX('Ordres de travail'!$D$5:$D$3004,MATCH(I80,'Ordres de travail'!$A$5:$A$3004,0)),""))</f>
        <v/>
      </c>
      <c r="K80" s="9">
        <f>IF(D80="","",IFERROR(INDEX('Stock pièces'!$D$5:$D$404,MATCH(D80,'Stock pièces'!$A$5:$A$404,0)),""))</f>
        <v/>
      </c>
      <c r="L80" s="7" t="inlineStr">
        <is>
          <t>CMD-24016</t>
        </is>
      </c>
      <c r="M80" s="7" t="inlineStr">
        <is>
          <t>Réception commande réappro</t>
        </is>
      </c>
    </row>
    <row r="81">
      <c r="A81" s="7" t="inlineStr">
        <is>
          <t>MV-00077</t>
        </is>
      </c>
      <c r="B81" s="75" t="n">
        <v>45698.41666666666</v>
      </c>
      <c r="C81" s="7" t="inlineStr">
        <is>
          <t>Entrée</t>
        </is>
      </c>
      <c r="D81" s="7" t="inlineStr">
        <is>
          <t>PD-0026</t>
        </is>
      </c>
      <c r="E81" s="9">
        <f>IF(D81="","",IFERROR(INDEX('Stock pièces'!$B$5:$B$404,MATCH(D81,'Stock pièces'!$A$5:$A$404,0)),"Réf. inconnue"))</f>
        <v/>
      </c>
      <c r="F81" s="67" t="n">
        <v>1</v>
      </c>
      <c r="G81" s="81">
        <f>IF(D81="","",IFERROR(INDEX('Stock pièces'!$I$5:$I$404,MATCH(D81,'Stock pièces'!$A$5:$A$404,0)),0))</f>
        <v/>
      </c>
      <c r="H81" s="81">
        <f>IF(D81="","",N(F81)*N(G81))</f>
        <v/>
      </c>
      <c r="I81" s="7" t="n"/>
      <c r="J81" s="9">
        <f>IF(I81="","",IFERROR(INDEX('Ordres de travail'!$D$5:$D$3004,MATCH(I81,'Ordres de travail'!$A$5:$A$3004,0)),""))</f>
        <v/>
      </c>
      <c r="K81" s="9">
        <f>IF(D81="","",IFERROR(INDEX('Stock pièces'!$D$5:$D$404,MATCH(D81,'Stock pièces'!$A$5:$A$404,0)),""))</f>
        <v/>
      </c>
      <c r="L81" s="7" t="inlineStr">
        <is>
          <t>CMD-24019</t>
        </is>
      </c>
      <c r="M81" s="7" t="inlineStr">
        <is>
          <t>Réception commande réappro</t>
        </is>
      </c>
    </row>
    <row r="82">
      <c r="A82" s="7" t="inlineStr">
        <is>
          <t>MV-00078</t>
        </is>
      </c>
      <c r="B82" s="75" t="n">
        <v>45698.41666666666</v>
      </c>
      <c r="C82" s="7" t="inlineStr">
        <is>
          <t>Entrée</t>
        </is>
      </c>
      <c r="D82" s="7" t="inlineStr">
        <is>
          <t>PD-0038</t>
        </is>
      </c>
      <c r="E82" s="9">
        <f>IF(D82="","",IFERROR(INDEX('Stock pièces'!$B$5:$B$404,MATCH(D82,'Stock pièces'!$A$5:$A$404,0)),"Réf. inconnue"))</f>
        <v/>
      </c>
      <c r="F82" s="67" t="n">
        <v>7</v>
      </c>
      <c r="G82" s="81">
        <f>IF(D82="","",IFERROR(INDEX('Stock pièces'!$I$5:$I$404,MATCH(D82,'Stock pièces'!$A$5:$A$404,0)),0))</f>
        <v/>
      </c>
      <c r="H82" s="81">
        <f>IF(D82="","",N(F82)*N(G82))</f>
        <v/>
      </c>
      <c r="I82" s="7" t="n"/>
      <c r="J82" s="9">
        <f>IF(I82="","",IFERROR(INDEX('Ordres de travail'!$D$5:$D$3004,MATCH(I82,'Ordres de travail'!$A$5:$A$3004,0)),""))</f>
        <v/>
      </c>
      <c r="K82" s="9">
        <f>IF(D82="","",IFERROR(INDEX('Stock pièces'!$D$5:$D$404,MATCH(D82,'Stock pièces'!$A$5:$A$404,0)),""))</f>
        <v/>
      </c>
      <c r="L82" s="7" t="inlineStr">
        <is>
          <t>CMD-24020</t>
        </is>
      </c>
      <c r="M82" s="7" t="inlineStr">
        <is>
          <t>Réception commande réappro</t>
        </is>
      </c>
    </row>
    <row r="83">
      <c r="A83" s="7" t="inlineStr">
        <is>
          <t>MV-00079</t>
        </is>
      </c>
      <c r="B83" s="75" t="n">
        <v>45698.66597222222</v>
      </c>
      <c r="C83" s="7" t="inlineStr">
        <is>
          <t>Sortie</t>
        </is>
      </c>
      <c r="D83" s="7" t="inlineStr">
        <is>
          <t>PD-0055</t>
        </is>
      </c>
      <c r="E83" s="9">
        <f>IF(D83="","",IFERROR(INDEX('Stock pièces'!$B$5:$B$404,MATCH(D83,'Stock pièces'!$A$5:$A$404,0)),"Réf. inconnue"))</f>
        <v/>
      </c>
      <c r="F83" s="67" t="n">
        <v>2</v>
      </c>
      <c r="G83" s="81">
        <f>IF(D83="","",IFERROR(INDEX('Stock pièces'!$I$5:$I$404,MATCH(D83,'Stock pièces'!$A$5:$A$404,0)),0))</f>
        <v/>
      </c>
      <c r="H83" s="81">
        <f>IF(D83="","",N(F83)*N(G83))</f>
        <v/>
      </c>
      <c r="I83" s="7" t="inlineStr">
        <is>
          <t>OT-2025-0100</t>
        </is>
      </c>
      <c r="J83" s="9">
        <f>IF(I83="","",IFERROR(INDEX('Ordres de travail'!$D$5:$D$3004,MATCH(I83,'Ordres de travail'!$A$5:$A$3004,0)),""))</f>
        <v/>
      </c>
      <c r="K83" s="9">
        <f>IF(D83="","",IFERROR(INDEX('Stock pièces'!$D$5:$D$404,MATCH(D83,'Stock pièces'!$A$5:$A$404,0)),""))</f>
        <v/>
      </c>
      <c r="L83" s="7" t="n"/>
      <c r="M83" s="7" t="n"/>
    </row>
    <row r="84">
      <c r="A84" s="7" t="inlineStr">
        <is>
          <t>MV-00080</t>
        </is>
      </c>
      <c r="B84" s="75" t="n">
        <v>45698.92013888889</v>
      </c>
      <c r="C84" s="7" t="inlineStr">
        <is>
          <t>Sortie</t>
        </is>
      </c>
      <c r="D84" s="7" t="inlineStr">
        <is>
          <t>PD-0038</t>
        </is>
      </c>
      <c r="E84" s="9">
        <f>IF(D84="","",IFERROR(INDEX('Stock pièces'!$B$5:$B$404,MATCH(D84,'Stock pièces'!$A$5:$A$404,0)),"Réf. inconnue"))</f>
        <v/>
      </c>
      <c r="F84" s="67" t="n">
        <v>1</v>
      </c>
      <c r="G84" s="81">
        <f>IF(D84="","",IFERROR(INDEX('Stock pièces'!$I$5:$I$404,MATCH(D84,'Stock pièces'!$A$5:$A$404,0)),0))</f>
        <v/>
      </c>
      <c r="H84" s="81">
        <f>IF(D84="","",N(F84)*N(G84))</f>
        <v/>
      </c>
      <c r="I84" s="7" t="inlineStr">
        <is>
          <t>OT-2025-0101</t>
        </is>
      </c>
      <c r="J84" s="9">
        <f>IF(I84="","",IFERROR(INDEX('Ordres de travail'!$D$5:$D$3004,MATCH(I84,'Ordres de travail'!$A$5:$A$3004,0)),""))</f>
        <v/>
      </c>
      <c r="K84" s="9">
        <f>IF(D84="","",IFERROR(INDEX('Stock pièces'!$D$5:$D$404,MATCH(D84,'Stock pièces'!$A$5:$A$404,0)),""))</f>
        <v/>
      </c>
      <c r="L84" s="7" t="n"/>
      <c r="M84" s="7" t="n"/>
    </row>
    <row r="85">
      <c r="A85" s="7" t="inlineStr">
        <is>
          <t>MV-00081</t>
        </is>
      </c>
      <c r="B85" s="75" t="n">
        <v>45698.92013888889</v>
      </c>
      <c r="C85" s="7" t="inlineStr">
        <is>
          <t>Sortie</t>
        </is>
      </c>
      <c r="D85" s="7" t="inlineStr">
        <is>
          <t>PD-0041</t>
        </is>
      </c>
      <c r="E85" s="9">
        <f>IF(D85="","",IFERROR(INDEX('Stock pièces'!$B$5:$B$404,MATCH(D85,'Stock pièces'!$A$5:$A$404,0)),"Réf. inconnue"))</f>
        <v/>
      </c>
      <c r="F85" s="67" t="n">
        <v>1</v>
      </c>
      <c r="G85" s="81">
        <f>IF(D85="","",IFERROR(INDEX('Stock pièces'!$I$5:$I$404,MATCH(D85,'Stock pièces'!$A$5:$A$404,0)),0))</f>
        <v/>
      </c>
      <c r="H85" s="81">
        <f>IF(D85="","",N(F85)*N(G85))</f>
        <v/>
      </c>
      <c r="I85" s="7" t="inlineStr">
        <is>
          <t>OT-2025-0101</t>
        </is>
      </c>
      <c r="J85" s="9">
        <f>IF(I85="","",IFERROR(INDEX('Ordres de travail'!$D$5:$D$3004,MATCH(I85,'Ordres de travail'!$A$5:$A$3004,0)),""))</f>
        <v/>
      </c>
      <c r="K85" s="9">
        <f>IF(D85="","",IFERROR(INDEX('Stock pièces'!$D$5:$D$404,MATCH(D85,'Stock pièces'!$A$5:$A$404,0)),""))</f>
        <v/>
      </c>
      <c r="L85" s="7" t="n"/>
      <c r="M85" s="7" t="n"/>
    </row>
    <row r="86">
      <c r="A86" s="7" t="inlineStr">
        <is>
          <t>MV-00082</t>
        </is>
      </c>
      <c r="B86" s="75" t="n">
        <v>45699.31944444445</v>
      </c>
      <c r="C86" s="7" t="inlineStr">
        <is>
          <t>Sortie</t>
        </is>
      </c>
      <c r="D86" s="7" t="inlineStr">
        <is>
          <t>PD-0069</t>
        </is>
      </c>
      <c r="E86" s="9">
        <f>IF(D86="","",IFERROR(INDEX('Stock pièces'!$B$5:$B$404,MATCH(D86,'Stock pièces'!$A$5:$A$404,0)),"Réf. inconnue"))</f>
        <v/>
      </c>
      <c r="F86" s="67" t="n">
        <v>1</v>
      </c>
      <c r="G86" s="81">
        <f>IF(D86="","",IFERROR(INDEX('Stock pièces'!$I$5:$I$404,MATCH(D86,'Stock pièces'!$A$5:$A$404,0)),0))</f>
        <v/>
      </c>
      <c r="H86" s="81">
        <f>IF(D86="","",N(F86)*N(G86))</f>
        <v/>
      </c>
      <c r="I86" s="7" t="inlineStr">
        <is>
          <t>OT-2025-0102</t>
        </is>
      </c>
      <c r="J86" s="9">
        <f>IF(I86="","",IFERROR(INDEX('Ordres de travail'!$D$5:$D$3004,MATCH(I86,'Ordres de travail'!$A$5:$A$3004,0)),""))</f>
        <v/>
      </c>
      <c r="K86" s="9">
        <f>IF(D86="","",IFERROR(INDEX('Stock pièces'!$D$5:$D$404,MATCH(D86,'Stock pièces'!$A$5:$A$404,0)),""))</f>
        <v/>
      </c>
      <c r="L86" s="7" t="n"/>
      <c r="M86" s="7" t="n"/>
    </row>
    <row r="87">
      <c r="A87" s="7" t="inlineStr">
        <is>
          <t>MV-00083</t>
        </is>
      </c>
      <c r="B87" s="75" t="n">
        <v>45699.40972222222</v>
      </c>
      <c r="C87" s="7" t="inlineStr">
        <is>
          <t>Sortie</t>
        </is>
      </c>
      <c r="D87" s="7" t="inlineStr">
        <is>
          <t>PD-0025</t>
        </is>
      </c>
      <c r="E87" s="9">
        <f>IF(D87="","",IFERROR(INDEX('Stock pièces'!$B$5:$B$404,MATCH(D87,'Stock pièces'!$A$5:$A$404,0)),"Réf. inconnue"))</f>
        <v/>
      </c>
      <c r="F87" s="67" t="n">
        <v>3</v>
      </c>
      <c r="G87" s="81">
        <f>IF(D87="","",IFERROR(INDEX('Stock pièces'!$I$5:$I$404,MATCH(D87,'Stock pièces'!$A$5:$A$404,0)),0))</f>
        <v/>
      </c>
      <c r="H87" s="81">
        <f>IF(D87="","",N(F87)*N(G87))</f>
        <v/>
      </c>
      <c r="I87" s="7" t="inlineStr">
        <is>
          <t>OT-2025-0087</t>
        </is>
      </c>
      <c r="J87" s="9">
        <f>IF(I87="","",IFERROR(INDEX('Ordres de travail'!$D$5:$D$3004,MATCH(I87,'Ordres de travail'!$A$5:$A$3004,0)),""))</f>
        <v/>
      </c>
      <c r="K87" s="9">
        <f>IF(D87="","",IFERROR(INDEX('Stock pièces'!$D$5:$D$404,MATCH(D87,'Stock pièces'!$A$5:$A$404,0)),""))</f>
        <v/>
      </c>
      <c r="L87" s="7" t="n"/>
      <c r="M87" s="7" t="n"/>
    </row>
    <row r="88">
      <c r="A88" s="7" t="inlineStr">
        <is>
          <t>MV-00084</t>
        </is>
      </c>
      <c r="B88" s="75" t="n">
        <v>45699.49305555555</v>
      </c>
      <c r="C88" s="7" t="inlineStr">
        <is>
          <t>Sortie</t>
        </is>
      </c>
      <c r="D88" s="7" t="inlineStr">
        <is>
          <t>PD-0025</t>
        </is>
      </c>
      <c r="E88" s="9">
        <f>IF(D88="","",IFERROR(INDEX('Stock pièces'!$B$5:$B$404,MATCH(D88,'Stock pièces'!$A$5:$A$404,0)),"Réf. inconnue"))</f>
        <v/>
      </c>
      <c r="F88" s="67" t="n">
        <v>3</v>
      </c>
      <c r="G88" s="81">
        <f>IF(D88="","",IFERROR(INDEX('Stock pièces'!$I$5:$I$404,MATCH(D88,'Stock pièces'!$A$5:$A$404,0)),0))</f>
        <v/>
      </c>
      <c r="H88" s="81">
        <f>IF(D88="","",N(F88)*N(G88))</f>
        <v/>
      </c>
      <c r="I88" s="7" t="inlineStr">
        <is>
          <t>OT-2025-0089</t>
        </is>
      </c>
      <c r="J88" s="9">
        <f>IF(I88="","",IFERROR(INDEX('Ordres de travail'!$D$5:$D$3004,MATCH(I88,'Ordres de travail'!$A$5:$A$3004,0)),""))</f>
        <v/>
      </c>
      <c r="K88" s="9">
        <f>IF(D88="","",IFERROR(INDEX('Stock pièces'!$D$5:$D$404,MATCH(D88,'Stock pièces'!$A$5:$A$404,0)),""))</f>
        <v/>
      </c>
      <c r="L88" s="7" t="n"/>
      <c r="M88" s="7" t="n"/>
    </row>
    <row r="89">
      <c r="A89" s="7" t="inlineStr">
        <is>
          <t>MV-00085</t>
        </is>
      </c>
      <c r="B89" s="75" t="n">
        <v>45699.66597222222</v>
      </c>
      <c r="C89" s="7" t="inlineStr">
        <is>
          <t>Retour</t>
        </is>
      </c>
      <c r="D89" s="7" t="inlineStr">
        <is>
          <t>PD-0055</t>
        </is>
      </c>
      <c r="E89" s="9">
        <f>IF(D89="","",IFERROR(INDEX('Stock pièces'!$B$5:$B$404,MATCH(D89,'Stock pièces'!$A$5:$A$404,0)),"Réf. inconnue"))</f>
        <v/>
      </c>
      <c r="F89" s="67" t="n">
        <v>1</v>
      </c>
      <c r="G89" s="81">
        <f>IF(D89="","",IFERROR(INDEX('Stock pièces'!$I$5:$I$404,MATCH(D89,'Stock pièces'!$A$5:$A$404,0)),0))</f>
        <v/>
      </c>
      <c r="H89" s="81">
        <f>IF(D89="","",N(F89)*N(G89))</f>
        <v/>
      </c>
      <c r="I89" s="7" t="inlineStr">
        <is>
          <t>OT-2025-0100</t>
        </is>
      </c>
      <c r="J89" s="9">
        <f>IF(I89="","",IFERROR(INDEX('Ordres de travail'!$D$5:$D$3004,MATCH(I89,'Ordres de travail'!$A$5:$A$3004,0)),""))</f>
        <v/>
      </c>
      <c r="K89" s="9">
        <f>IF(D89="","",IFERROR(INDEX('Stock pièces'!$D$5:$D$404,MATCH(D89,'Stock pièces'!$A$5:$A$404,0)),""))</f>
        <v/>
      </c>
      <c r="L89" s="7" t="n"/>
      <c r="M89" s="7" t="inlineStr">
        <is>
          <t>Pièce non utilisée</t>
        </is>
      </c>
    </row>
    <row r="90">
      <c r="A90" s="7" t="inlineStr">
        <is>
          <t>MV-00086</t>
        </is>
      </c>
      <c r="B90" s="75" t="n">
        <v>45700.41666666666</v>
      </c>
      <c r="C90" s="7" t="inlineStr">
        <is>
          <t>Entrée</t>
        </is>
      </c>
      <c r="D90" s="7" t="inlineStr">
        <is>
          <t>PD-0057</t>
        </is>
      </c>
      <c r="E90" s="9">
        <f>IF(D90="","",IFERROR(INDEX('Stock pièces'!$B$5:$B$404,MATCH(D90,'Stock pièces'!$A$5:$A$404,0)),"Réf. inconnue"))</f>
        <v/>
      </c>
      <c r="F90" s="67" t="n">
        <v>1</v>
      </c>
      <c r="G90" s="81">
        <f>IF(D90="","",IFERROR(INDEX('Stock pièces'!$I$5:$I$404,MATCH(D90,'Stock pièces'!$A$5:$A$404,0)),0))</f>
        <v/>
      </c>
      <c r="H90" s="81">
        <f>IF(D90="","",N(F90)*N(G90))</f>
        <v/>
      </c>
      <c r="I90" s="7" t="n"/>
      <c r="J90" s="9">
        <f>IF(I90="","",IFERROR(INDEX('Ordres de travail'!$D$5:$D$3004,MATCH(I90,'Ordres de travail'!$A$5:$A$3004,0)),""))</f>
        <v/>
      </c>
      <c r="K90" s="9">
        <f>IF(D90="","",IFERROR(INDEX('Stock pièces'!$D$5:$D$404,MATCH(D90,'Stock pièces'!$A$5:$A$404,0)),""))</f>
        <v/>
      </c>
      <c r="L90" s="7" t="inlineStr">
        <is>
          <t>CMD-24012</t>
        </is>
      </c>
      <c r="M90" s="7" t="inlineStr">
        <is>
          <t>Réception commande réappro</t>
        </is>
      </c>
    </row>
    <row r="91">
      <c r="A91" s="7" t="inlineStr">
        <is>
          <t>MV-00087</t>
        </is>
      </c>
      <c r="B91" s="75" t="n">
        <v>45701.5</v>
      </c>
      <c r="C91" s="7" t="inlineStr">
        <is>
          <t>Sortie</t>
        </is>
      </c>
      <c r="D91" s="7" t="inlineStr">
        <is>
          <t>PD-0059</t>
        </is>
      </c>
      <c r="E91" s="9">
        <f>IF(D91="","",IFERROR(INDEX('Stock pièces'!$B$5:$B$404,MATCH(D91,'Stock pièces'!$A$5:$A$404,0)),"Réf. inconnue"))</f>
        <v/>
      </c>
      <c r="F91" s="67" t="n">
        <v>1</v>
      </c>
      <c r="G91" s="81">
        <f>IF(D91="","",IFERROR(INDEX('Stock pièces'!$I$5:$I$404,MATCH(D91,'Stock pièces'!$A$5:$A$404,0)),0))</f>
        <v/>
      </c>
      <c r="H91" s="81">
        <f>IF(D91="","",N(F91)*N(G91))</f>
        <v/>
      </c>
      <c r="I91" s="7" t="inlineStr">
        <is>
          <t>OT-2025-0092</t>
        </is>
      </c>
      <c r="J91" s="9">
        <f>IF(I91="","",IFERROR(INDEX('Ordres de travail'!$D$5:$D$3004,MATCH(I91,'Ordres de travail'!$A$5:$A$3004,0)),""))</f>
        <v/>
      </c>
      <c r="K91" s="9">
        <f>IF(D91="","",IFERROR(INDEX('Stock pièces'!$D$5:$D$404,MATCH(D91,'Stock pièces'!$A$5:$A$404,0)),""))</f>
        <v/>
      </c>
      <c r="L91" s="7" t="n"/>
      <c r="M91" s="7" t="n"/>
    </row>
    <row r="92">
      <c r="A92" s="7" t="inlineStr">
        <is>
          <t>MV-00088</t>
        </is>
      </c>
      <c r="B92" s="75" t="n">
        <v>45702.52083333334</v>
      </c>
      <c r="C92" s="7" t="inlineStr">
        <is>
          <t>Sortie</t>
        </is>
      </c>
      <c r="D92" s="7" t="inlineStr">
        <is>
          <t>PD-0021</t>
        </is>
      </c>
      <c r="E92" s="9">
        <f>IF(D92="","",IFERROR(INDEX('Stock pièces'!$B$5:$B$404,MATCH(D92,'Stock pièces'!$A$5:$A$404,0)),"Réf. inconnue"))</f>
        <v/>
      </c>
      <c r="F92" s="67" t="n">
        <v>1</v>
      </c>
      <c r="G92" s="81">
        <f>IF(D92="","",IFERROR(INDEX('Stock pièces'!$I$5:$I$404,MATCH(D92,'Stock pièces'!$A$5:$A$404,0)),0))</f>
        <v/>
      </c>
      <c r="H92" s="81">
        <f>IF(D92="","",N(F92)*N(G92))</f>
        <v/>
      </c>
      <c r="I92" s="7" t="inlineStr">
        <is>
          <t>OT-2025-0094</t>
        </is>
      </c>
      <c r="J92" s="9">
        <f>IF(I92="","",IFERROR(INDEX('Ordres de travail'!$D$5:$D$3004,MATCH(I92,'Ordres de travail'!$A$5:$A$3004,0)),""))</f>
        <v/>
      </c>
      <c r="K92" s="9">
        <f>IF(D92="","",IFERROR(INDEX('Stock pièces'!$D$5:$D$404,MATCH(D92,'Stock pièces'!$A$5:$A$404,0)),""))</f>
        <v/>
      </c>
      <c r="L92" s="7" t="n"/>
      <c r="M92" s="7" t="n"/>
    </row>
    <row r="93">
      <c r="A93" s="7" t="inlineStr">
        <is>
          <t>MV-00089</t>
        </is>
      </c>
      <c r="B93" s="75" t="n">
        <v>45702.53472222222</v>
      </c>
      <c r="C93" s="7" t="inlineStr">
        <is>
          <t>Sortie</t>
        </is>
      </c>
      <c r="D93" s="7" t="inlineStr">
        <is>
          <t>PD-0025</t>
        </is>
      </c>
      <c r="E93" s="9">
        <f>IF(D93="","",IFERROR(INDEX('Stock pièces'!$B$5:$B$404,MATCH(D93,'Stock pièces'!$A$5:$A$404,0)),"Réf. inconnue"))</f>
        <v/>
      </c>
      <c r="F93" s="67" t="n">
        <v>1</v>
      </c>
      <c r="G93" s="81">
        <f>IF(D93="","",IFERROR(INDEX('Stock pièces'!$I$5:$I$404,MATCH(D93,'Stock pièces'!$A$5:$A$404,0)),0))</f>
        <v/>
      </c>
      <c r="H93" s="81">
        <f>IF(D93="","",N(F93)*N(G93))</f>
        <v/>
      </c>
      <c r="I93" s="7" t="inlineStr">
        <is>
          <t>OT-2025-0095</t>
        </is>
      </c>
      <c r="J93" s="9">
        <f>IF(I93="","",IFERROR(INDEX('Ordres de travail'!$D$5:$D$3004,MATCH(I93,'Ordres de travail'!$A$5:$A$3004,0)),""))</f>
        <v/>
      </c>
      <c r="K93" s="9">
        <f>IF(D93="","",IFERROR(INDEX('Stock pièces'!$D$5:$D$404,MATCH(D93,'Stock pièces'!$A$5:$A$404,0)),""))</f>
        <v/>
      </c>
      <c r="L93" s="7" t="n"/>
      <c r="M93" s="7" t="n"/>
    </row>
    <row r="94">
      <c r="A94" s="7" t="inlineStr">
        <is>
          <t>MV-00090</t>
        </is>
      </c>
      <c r="B94" s="75" t="n">
        <v>45703.93958333333</v>
      </c>
      <c r="C94" s="7" t="inlineStr">
        <is>
          <t>Sortie</t>
        </is>
      </c>
      <c r="D94" s="7" t="inlineStr">
        <is>
          <t>PD-0028</t>
        </is>
      </c>
      <c r="E94" s="9">
        <f>IF(D94="","",IFERROR(INDEX('Stock pièces'!$B$5:$B$404,MATCH(D94,'Stock pièces'!$A$5:$A$404,0)),"Réf. inconnue"))</f>
        <v/>
      </c>
      <c r="F94" s="67" t="n">
        <v>3</v>
      </c>
      <c r="G94" s="81">
        <f>IF(D94="","",IFERROR(INDEX('Stock pièces'!$I$5:$I$404,MATCH(D94,'Stock pièces'!$A$5:$A$404,0)),0))</f>
        <v/>
      </c>
      <c r="H94" s="81">
        <f>IF(D94="","",N(F94)*N(G94))</f>
        <v/>
      </c>
      <c r="I94" s="7" t="inlineStr">
        <is>
          <t>OT-2025-0110</t>
        </is>
      </c>
      <c r="J94" s="9">
        <f>IF(I94="","",IFERROR(INDEX('Ordres de travail'!$D$5:$D$3004,MATCH(I94,'Ordres de travail'!$A$5:$A$3004,0)),""))</f>
        <v/>
      </c>
      <c r="K94" s="9">
        <f>IF(D94="","",IFERROR(INDEX('Stock pièces'!$D$5:$D$404,MATCH(D94,'Stock pièces'!$A$5:$A$404,0)),""))</f>
        <v/>
      </c>
      <c r="L94" s="7" t="n"/>
      <c r="M94" s="7" t="n"/>
    </row>
    <row r="95">
      <c r="A95" s="7" t="inlineStr">
        <is>
          <t>MV-00091</t>
        </is>
      </c>
      <c r="B95" s="75" t="n">
        <v>45705.27777777778</v>
      </c>
      <c r="C95" s="7" t="inlineStr">
        <is>
          <t>Sortie</t>
        </is>
      </c>
      <c r="D95" s="7" t="inlineStr">
        <is>
          <t>PD-0019</t>
        </is>
      </c>
      <c r="E95" s="9">
        <f>IF(D95="","",IFERROR(INDEX('Stock pièces'!$B$5:$B$404,MATCH(D95,'Stock pièces'!$A$5:$A$404,0)),"Réf. inconnue"))</f>
        <v/>
      </c>
      <c r="F95" s="67" t="n">
        <v>4</v>
      </c>
      <c r="G95" s="81">
        <f>IF(D95="","",IFERROR(INDEX('Stock pièces'!$I$5:$I$404,MATCH(D95,'Stock pièces'!$A$5:$A$404,0)),0))</f>
        <v/>
      </c>
      <c r="H95" s="81">
        <f>IF(D95="","",N(F95)*N(G95))</f>
        <v/>
      </c>
      <c r="I95" s="7" t="inlineStr">
        <is>
          <t>OT-2025-0099</t>
        </is>
      </c>
      <c r="J95" s="9">
        <f>IF(I95="","",IFERROR(INDEX('Ordres de travail'!$D$5:$D$3004,MATCH(I95,'Ordres de travail'!$A$5:$A$3004,0)),""))</f>
        <v/>
      </c>
      <c r="K95" s="9">
        <f>IF(D95="","",IFERROR(INDEX('Stock pièces'!$D$5:$D$404,MATCH(D95,'Stock pièces'!$A$5:$A$404,0)),""))</f>
        <v/>
      </c>
      <c r="L95" s="7" t="n"/>
      <c r="M95" s="7" t="n"/>
    </row>
    <row r="96">
      <c r="A96" s="7" t="inlineStr">
        <is>
          <t>MV-00092</t>
        </is>
      </c>
      <c r="B96" s="75" t="n">
        <v>45705.41666666666</v>
      </c>
      <c r="C96" s="7" t="inlineStr">
        <is>
          <t>Entrée</t>
        </is>
      </c>
      <c r="D96" s="7" t="inlineStr">
        <is>
          <t>PD-0055</t>
        </is>
      </c>
      <c r="E96" s="9">
        <f>IF(D96="","",IFERROR(INDEX('Stock pièces'!$B$5:$B$404,MATCH(D96,'Stock pièces'!$A$5:$A$404,0)),"Réf. inconnue"))</f>
        <v/>
      </c>
      <c r="F96" s="67" t="n">
        <v>6</v>
      </c>
      <c r="G96" s="81">
        <f>IF(D96="","",IFERROR(INDEX('Stock pièces'!$I$5:$I$404,MATCH(D96,'Stock pièces'!$A$5:$A$404,0)),0))</f>
        <v/>
      </c>
      <c r="H96" s="81">
        <f>IF(D96="","",N(F96)*N(G96))</f>
        <v/>
      </c>
      <c r="I96" s="7" t="n"/>
      <c r="J96" s="9">
        <f>IF(I96="","",IFERROR(INDEX('Ordres de travail'!$D$5:$D$3004,MATCH(I96,'Ordres de travail'!$A$5:$A$3004,0)),""))</f>
        <v/>
      </c>
      <c r="K96" s="9">
        <f>IF(D96="","",IFERROR(INDEX('Stock pièces'!$D$5:$D$404,MATCH(D96,'Stock pièces'!$A$5:$A$404,0)),""))</f>
        <v/>
      </c>
      <c r="L96" s="7" t="inlineStr">
        <is>
          <t>CMD-24022</t>
        </is>
      </c>
      <c r="M96" s="7" t="inlineStr">
        <is>
          <t>Réception commande réappro</t>
        </is>
      </c>
    </row>
    <row r="97">
      <c r="A97" s="7" t="inlineStr">
        <is>
          <t>MV-00093</t>
        </is>
      </c>
      <c r="B97" s="75" t="n">
        <v>45705.41666666666</v>
      </c>
      <c r="C97" s="7" t="inlineStr">
        <is>
          <t>Entrée</t>
        </is>
      </c>
      <c r="D97" s="7" t="inlineStr">
        <is>
          <t>PD-0025</t>
        </is>
      </c>
      <c r="E97" s="9">
        <f>IF(D97="","",IFERROR(INDEX('Stock pièces'!$B$5:$B$404,MATCH(D97,'Stock pièces'!$A$5:$A$404,0)),"Réf. inconnue"))</f>
        <v/>
      </c>
      <c r="F97" s="67" t="n">
        <v>36</v>
      </c>
      <c r="G97" s="81">
        <f>IF(D97="","",IFERROR(INDEX('Stock pièces'!$I$5:$I$404,MATCH(D97,'Stock pièces'!$A$5:$A$404,0)),0))</f>
        <v/>
      </c>
      <c r="H97" s="81">
        <f>IF(D97="","",N(F97)*N(G97))</f>
        <v/>
      </c>
      <c r="I97" s="7" t="n"/>
      <c r="J97" s="9">
        <f>IF(I97="","",IFERROR(INDEX('Ordres de travail'!$D$5:$D$3004,MATCH(I97,'Ordres de travail'!$A$5:$A$3004,0)),""))</f>
        <v/>
      </c>
      <c r="K97" s="9">
        <f>IF(D97="","",IFERROR(INDEX('Stock pièces'!$D$5:$D$404,MATCH(D97,'Stock pièces'!$A$5:$A$404,0)),""))</f>
        <v/>
      </c>
      <c r="L97" s="7" t="inlineStr">
        <is>
          <t>CMD-24025</t>
        </is>
      </c>
      <c r="M97" s="7" t="inlineStr">
        <is>
          <t>Réception commande réappro</t>
        </is>
      </c>
    </row>
    <row r="98">
      <c r="A98" s="7" t="inlineStr">
        <is>
          <t>MV-00094</t>
        </is>
      </c>
      <c r="B98" s="75" t="n">
        <v>45705.51527777778</v>
      </c>
      <c r="C98" s="7" t="inlineStr">
        <is>
          <t>Entrée</t>
        </is>
      </c>
      <c r="D98" s="7" t="inlineStr">
        <is>
          <t>PD-0073</t>
        </is>
      </c>
      <c r="E98" s="9">
        <f>IF(D98="","",IFERROR(INDEX('Stock pièces'!$B$5:$B$404,MATCH(D98,'Stock pièces'!$A$5:$A$404,0)),"Réf. inconnue"))</f>
        <v/>
      </c>
      <c r="F98" s="67" t="n">
        <v>1</v>
      </c>
      <c r="G98" s="81">
        <f>IF(D98="","",IFERROR(INDEX('Stock pièces'!$I$5:$I$404,MATCH(D98,'Stock pièces'!$A$5:$A$404,0)),0))</f>
        <v/>
      </c>
      <c r="H98" s="81">
        <f>IF(D98="","",N(F98)*N(G98))</f>
        <v/>
      </c>
      <c r="I98" s="7" t="n"/>
      <c r="J98" s="9">
        <f>IF(I98="","",IFERROR(INDEX('Ordres de travail'!$D$5:$D$3004,MATCH(I98,'Ordres de travail'!$A$5:$A$3004,0)),""))</f>
        <v/>
      </c>
      <c r="K98" s="9">
        <f>IF(D98="","",IFERROR(INDEX('Stock pièces'!$D$5:$D$404,MATCH(D98,'Stock pièces'!$A$5:$A$404,0)),""))</f>
        <v/>
      </c>
      <c r="L98" s="7" t="inlineStr">
        <is>
          <t>URG-24026</t>
        </is>
      </c>
      <c r="M98" s="7" t="inlineStr">
        <is>
          <t>Achat urgent (rupture)</t>
        </is>
      </c>
    </row>
    <row r="99">
      <c r="A99" s="7" t="inlineStr">
        <is>
          <t>MV-00095</t>
        </is>
      </c>
      <c r="B99" s="75" t="n">
        <v>45705.51875</v>
      </c>
      <c r="C99" s="7" t="inlineStr">
        <is>
          <t>Sortie</t>
        </is>
      </c>
      <c r="D99" s="7" t="inlineStr">
        <is>
          <t>PD-0073</t>
        </is>
      </c>
      <c r="E99" s="9">
        <f>IF(D99="","",IFERROR(INDEX('Stock pièces'!$B$5:$B$404,MATCH(D99,'Stock pièces'!$A$5:$A$404,0)),"Réf. inconnue"))</f>
        <v/>
      </c>
      <c r="F99" s="67" t="n">
        <v>1</v>
      </c>
      <c r="G99" s="81">
        <f>IF(D99="","",IFERROR(INDEX('Stock pièces'!$I$5:$I$404,MATCH(D99,'Stock pièces'!$A$5:$A$404,0)),0))</f>
        <v/>
      </c>
      <c r="H99" s="81">
        <f>IF(D99="","",N(F99)*N(G99))</f>
        <v/>
      </c>
      <c r="I99" s="7" t="inlineStr">
        <is>
          <t>OT-2025-0117</t>
        </is>
      </c>
      <c r="J99" s="9">
        <f>IF(I99="","",IFERROR(INDEX('Ordres de travail'!$D$5:$D$3004,MATCH(I99,'Ordres de travail'!$A$5:$A$3004,0)),""))</f>
        <v/>
      </c>
      <c r="K99" s="9">
        <f>IF(D99="","",IFERROR(INDEX('Stock pièces'!$D$5:$D$404,MATCH(D99,'Stock pièces'!$A$5:$A$404,0)),""))</f>
        <v/>
      </c>
      <c r="L99" s="7" t="n"/>
      <c r="M99" s="7" t="n"/>
    </row>
    <row r="100">
      <c r="A100" s="7" t="inlineStr">
        <is>
          <t>MV-00096</t>
        </is>
      </c>
      <c r="B100" s="75" t="n">
        <v>45706.27777777778</v>
      </c>
      <c r="C100" s="7" t="inlineStr">
        <is>
          <t>Retour</t>
        </is>
      </c>
      <c r="D100" s="7" t="inlineStr">
        <is>
          <t>PD-0019</t>
        </is>
      </c>
      <c r="E100" s="9">
        <f>IF(D100="","",IFERROR(INDEX('Stock pièces'!$B$5:$B$404,MATCH(D100,'Stock pièces'!$A$5:$A$404,0)),"Réf. inconnue"))</f>
        <v/>
      </c>
      <c r="F100" s="67" t="n">
        <v>1</v>
      </c>
      <c r="G100" s="81">
        <f>IF(D100="","",IFERROR(INDEX('Stock pièces'!$I$5:$I$404,MATCH(D100,'Stock pièces'!$A$5:$A$404,0)),0))</f>
        <v/>
      </c>
      <c r="H100" s="81">
        <f>IF(D100="","",N(F100)*N(G100))</f>
        <v/>
      </c>
      <c r="I100" s="7" t="inlineStr">
        <is>
          <t>OT-2025-0099</t>
        </is>
      </c>
      <c r="J100" s="9">
        <f>IF(I100="","",IFERROR(INDEX('Ordres de travail'!$D$5:$D$3004,MATCH(I100,'Ordres de travail'!$A$5:$A$3004,0)),""))</f>
        <v/>
      </c>
      <c r="K100" s="9">
        <f>IF(D100="","",IFERROR(INDEX('Stock pièces'!$D$5:$D$404,MATCH(D100,'Stock pièces'!$A$5:$A$404,0)),""))</f>
        <v/>
      </c>
      <c r="L100" s="7" t="n"/>
      <c r="M100" s="7" t="inlineStr">
        <is>
          <t>Pièce non utilisée</t>
        </is>
      </c>
    </row>
    <row r="101">
      <c r="A101" s="7" t="inlineStr">
        <is>
          <t>MV-00097</t>
        </is>
      </c>
      <c r="B101" s="75" t="n">
        <v>45707.41666666666</v>
      </c>
      <c r="C101" s="7" t="inlineStr">
        <is>
          <t>Entrée</t>
        </is>
      </c>
      <c r="D101" s="7" t="inlineStr">
        <is>
          <t>PD-0069</t>
        </is>
      </c>
      <c r="E101" s="9">
        <f>IF(D101="","",IFERROR(INDEX('Stock pièces'!$B$5:$B$404,MATCH(D101,'Stock pièces'!$A$5:$A$404,0)),"Réf. inconnue"))</f>
        <v/>
      </c>
      <c r="F101" s="67" t="n">
        <v>1</v>
      </c>
      <c r="G101" s="81">
        <f>IF(D101="","",IFERROR(INDEX('Stock pièces'!$I$5:$I$404,MATCH(D101,'Stock pièces'!$A$5:$A$404,0)),0))</f>
        <v/>
      </c>
      <c r="H101" s="81">
        <f>IF(D101="","",N(F101)*N(G101))</f>
        <v/>
      </c>
      <c r="I101" s="7" t="n"/>
      <c r="J101" s="9">
        <f>IF(I101="","",IFERROR(INDEX('Ordres de travail'!$D$5:$D$3004,MATCH(I101,'Ordres de travail'!$A$5:$A$3004,0)),""))</f>
        <v/>
      </c>
      <c r="K101" s="9">
        <f>IF(D101="","",IFERROR(INDEX('Stock pièces'!$D$5:$D$404,MATCH(D101,'Stock pièces'!$A$5:$A$404,0)),""))</f>
        <v/>
      </c>
      <c r="L101" s="7" t="inlineStr">
        <is>
          <t>CMD-24024</t>
        </is>
      </c>
      <c r="M101" s="7" t="inlineStr">
        <is>
          <t>Réception commande réappro</t>
        </is>
      </c>
    </row>
    <row r="102">
      <c r="A102" s="7" t="inlineStr">
        <is>
          <t>MV-00098</t>
        </is>
      </c>
      <c r="B102" s="75" t="n">
        <v>45709.45486111111</v>
      </c>
      <c r="C102" s="7" t="inlineStr">
        <is>
          <t>Sortie</t>
        </is>
      </c>
      <c r="D102" s="7" t="inlineStr">
        <is>
          <t>PD-0021</t>
        </is>
      </c>
      <c r="E102" s="9">
        <f>IF(D102="","",IFERROR(INDEX('Stock pièces'!$B$5:$B$404,MATCH(D102,'Stock pièces'!$A$5:$A$404,0)),"Réf. inconnue"))</f>
        <v/>
      </c>
      <c r="F102" s="67" t="n">
        <v>1</v>
      </c>
      <c r="G102" s="81">
        <f>IF(D102="","",IFERROR(INDEX('Stock pièces'!$I$5:$I$404,MATCH(D102,'Stock pièces'!$A$5:$A$404,0)),0))</f>
        <v/>
      </c>
      <c r="H102" s="81">
        <f>IF(D102="","",N(F102)*N(G102))</f>
        <v/>
      </c>
      <c r="I102" s="7" t="inlineStr">
        <is>
          <t>OT-2025-0108</t>
        </is>
      </c>
      <c r="J102" s="9">
        <f>IF(I102="","",IFERROR(INDEX('Ordres de travail'!$D$5:$D$3004,MATCH(I102,'Ordres de travail'!$A$5:$A$3004,0)),""))</f>
        <v/>
      </c>
      <c r="K102" s="9">
        <f>IF(D102="","",IFERROR(INDEX('Stock pièces'!$D$5:$D$404,MATCH(D102,'Stock pièces'!$A$5:$A$404,0)),""))</f>
        <v/>
      </c>
      <c r="L102" s="7" t="n"/>
      <c r="M102" s="7" t="n"/>
    </row>
    <row r="103">
      <c r="A103" s="7" t="inlineStr">
        <is>
          <t>MV-00099</t>
        </is>
      </c>
      <c r="B103" s="75" t="n">
        <v>45710.18819444445</v>
      </c>
      <c r="C103" s="7" t="inlineStr">
        <is>
          <t>Sortie</t>
        </is>
      </c>
      <c r="D103" s="7" t="inlineStr">
        <is>
          <t>PD-0067</t>
        </is>
      </c>
      <c r="E103" s="9">
        <f>IF(D103="","",IFERROR(INDEX('Stock pièces'!$B$5:$B$404,MATCH(D103,'Stock pièces'!$A$5:$A$404,0)),"Réf. inconnue"))</f>
        <v/>
      </c>
      <c r="F103" s="67" t="n">
        <v>2</v>
      </c>
      <c r="G103" s="81">
        <f>IF(D103="","",IFERROR(INDEX('Stock pièces'!$I$5:$I$404,MATCH(D103,'Stock pièces'!$A$5:$A$404,0)),0))</f>
        <v/>
      </c>
      <c r="H103" s="81">
        <f>IF(D103="","",N(F103)*N(G103))</f>
        <v/>
      </c>
      <c r="I103" s="7" t="inlineStr">
        <is>
          <t>OT-2025-0122</t>
        </is>
      </c>
      <c r="J103" s="9">
        <f>IF(I103="","",IFERROR(INDEX('Ordres de travail'!$D$5:$D$3004,MATCH(I103,'Ordres de travail'!$A$5:$A$3004,0)),""))</f>
        <v/>
      </c>
      <c r="K103" s="9">
        <f>IF(D103="","",IFERROR(INDEX('Stock pièces'!$D$5:$D$404,MATCH(D103,'Stock pièces'!$A$5:$A$404,0)),""))</f>
        <v/>
      </c>
      <c r="L103" s="7" t="n"/>
      <c r="M103" s="7" t="n"/>
    </row>
    <row r="104">
      <c r="A104" s="7" t="inlineStr">
        <is>
          <t>MV-00100</t>
        </is>
      </c>
      <c r="B104" s="75" t="n">
        <v>45711.18819444445</v>
      </c>
      <c r="C104" s="7" t="inlineStr">
        <is>
          <t>Retour</t>
        </is>
      </c>
      <c r="D104" s="7" t="inlineStr">
        <is>
          <t>PD-0067</t>
        </is>
      </c>
      <c r="E104" s="9">
        <f>IF(D104="","",IFERROR(INDEX('Stock pièces'!$B$5:$B$404,MATCH(D104,'Stock pièces'!$A$5:$A$404,0)),"Réf. inconnue"))</f>
        <v/>
      </c>
      <c r="F104" s="67" t="n">
        <v>1</v>
      </c>
      <c r="G104" s="81">
        <f>IF(D104="","",IFERROR(INDEX('Stock pièces'!$I$5:$I$404,MATCH(D104,'Stock pièces'!$A$5:$A$404,0)),0))</f>
        <v/>
      </c>
      <c r="H104" s="81">
        <f>IF(D104="","",N(F104)*N(G104))</f>
        <v/>
      </c>
      <c r="I104" s="7" t="inlineStr">
        <is>
          <t>OT-2025-0122</t>
        </is>
      </c>
      <c r="J104" s="9">
        <f>IF(I104="","",IFERROR(INDEX('Ordres de travail'!$D$5:$D$3004,MATCH(I104,'Ordres de travail'!$A$5:$A$3004,0)),""))</f>
        <v/>
      </c>
      <c r="K104" s="9">
        <f>IF(D104="","",IFERROR(INDEX('Stock pièces'!$D$5:$D$404,MATCH(D104,'Stock pièces'!$A$5:$A$404,0)),""))</f>
        <v/>
      </c>
      <c r="L104" s="7" t="n"/>
      <c r="M104" s="7" t="inlineStr">
        <is>
          <t>Pièce non utilisée</t>
        </is>
      </c>
    </row>
    <row r="105">
      <c r="A105" s="7" t="inlineStr">
        <is>
          <t>MV-00101</t>
        </is>
      </c>
      <c r="B105" s="75" t="n">
        <v>45712.41666666666</v>
      </c>
      <c r="C105" s="7" t="inlineStr">
        <is>
          <t>Entrée</t>
        </is>
      </c>
      <c r="D105" s="7" t="inlineStr">
        <is>
          <t>PD-0041</t>
        </is>
      </c>
      <c r="E105" s="9">
        <f>IF(D105="","",IFERROR(INDEX('Stock pièces'!$B$5:$B$404,MATCH(D105,'Stock pièces'!$A$5:$A$404,0)),"Réf. inconnue"))</f>
        <v/>
      </c>
      <c r="F105" s="67" t="n">
        <v>1</v>
      </c>
      <c r="G105" s="81">
        <f>IF(D105="","",IFERROR(INDEX('Stock pièces'!$I$5:$I$404,MATCH(D105,'Stock pièces'!$A$5:$A$404,0)),0))</f>
        <v/>
      </c>
      <c r="H105" s="81">
        <f>IF(D105="","",N(F105)*N(G105))</f>
        <v/>
      </c>
      <c r="I105" s="7" t="n"/>
      <c r="J105" s="9">
        <f>IF(I105="","",IFERROR(INDEX('Ordres de travail'!$D$5:$D$3004,MATCH(I105,'Ordres de travail'!$A$5:$A$3004,0)),""))</f>
        <v/>
      </c>
      <c r="K105" s="9">
        <f>IF(D105="","",IFERROR(INDEX('Stock pièces'!$D$5:$D$404,MATCH(D105,'Stock pièces'!$A$5:$A$404,0)),""))</f>
        <v/>
      </c>
      <c r="L105" s="7" t="inlineStr">
        <is>
          <t>CMD-24023</t>
        </is>
      </c>
      <c r="M105" s="7" t="inlineStr">
        <is>
          <t>Réception commande réappro</t>
        </is>
      </c>
    </row>
    <row r="106">
      <c r="A106" s="7" t="inlineStr">
        <is>
          <t>MV-00102</t>
        </is>
      </c>
      <c r="B106" s="75" t="n">
        <v>45712.43055555555</v>
      </c>
      <c r="C106" s="7" t="inlineStr">
        <is>
          <t>Sortie</t>
        </is>
      </c>
      <c r="D106" s="7" t="inlineStr">
        <is>
          <t>PD-0025</t>
        </is>
      </c>
      <c r="E106" s="9">
        <f>IF(D106="","",IFERROR(INDEX('Stock pièces'!$B$5:$B$404,MATCH(D106,'Stock pièces'!$A$5:$A$404,0)),"Réf. inconnue"))</f>
        <v/>
      </c>
      <c r="F106" s="67" t="n">
        <v>3</v>
      </c>
      <c r="G106" s="81">
        <f>IF(D106="","",IFERROR(INDEX('Stock pièces'!$I$5:$I$404,MATCH(D106,'Stock pièces'!$A$5:$A$404,0)),0))</f>
        <v/>
      </c>
      <c r="H106" s="81">
        <f>IF(D106="","",N(F106)*N(G106))</f>
        <v/>
      </c>
      <c r="I106" s="7" t="inlineStr">
        <is>
          <t>OT-2025-0116</t>
        </is>
      </c>
      <c r="J106" s="9">
        <f>IF(I106="","",IFERROR(INDEX('Ordres de travail'!$D$5:$D$3004,MATCH(I106,'Ordres de travail'!$A$5:$A$3004,0)),""))</f>
        <v/>
      </c>
      <c r="K106" s="9">
        <f>IF(D106="","",IFERROR(INDEX('Stock pièces'!$D$5:$D$404,MATCH(D106,'Stock pièces'!$A$5:$A$404,0)),""))</f>
        <v/>
      </c>
      <c r="L106" s="7" t="n"/>
      <c r="M106" s="7" t="n"/>
    </row>
    <row r="107">
      <c r="A107" s="7" t="inlineStr">
        <is>
          <t>MV-00103</t>
        </is>
      </c>
      <c r="B107" s="75" t="n">
        <v>45712.60416666666</v>
      </c>
      <c r="C107" s="7" t="inlineStr">
        <is>
          <t>Sortie</t>
        </is>
      </c>
      <c r="D107" s="7" t="inlineStr">
        <is>
          <t>PD-0017</t>
        </is>
      </c>
      <c r="E107" s="9">
        <f>IF(D107="","",IFERROR(INDEX('Stock pièces'!$B$5:$B$404,MATCH(D107,'Stock pièces'!$A$5:$A$404,0)),"Réf. inconnue"))</f>
        <v/>
      </c>
      <c r="F107" s="67" t="n">
        <v>1</v>
      </c>
      <c r="G107" s="81">
        <f>IF(D107="","",IFERROR(INDEX('Stock pièces'!$I$5:$I$404,MATCH(D107,'Stock pièces'!$A$5:$A$404,0)),0))</f>
        <v/>
      </c>
      <c r="H107" s="81">
        <f>IF(D107="","",N(F107)*N(G107))</f>
        <v/>
      </c>
      <c r="I107" s="7" t="inlineStr">
        <is>
          <t>OT-2025-0113</t>
        </is>
      </c>
      <c r="J107" s="9">
        <f>IF(I107="","",IFERROR(INDEX('Ordres de travail'!$D$5:$D$3004,MATCH(I107,'Ordres de travail'!$A$5:$A$3004,0)),""))</f>
        <v/>
      </c>
      <c r="K107" s="9">
        <f>IF(D107="","",IFERROR(INDEX('Stock pièces'!$D$5:$D$404,MATCH(D107,'Stock pièces'!$A$5:$A$404,0)),""))</f>
        <v/>
      </c>
      <c r="L107" s="7" t="n"/>
      <c r="M107" s="7" t="n"/>
    </row>
    <row r="108">
      <c r="A108" s="7" t="inlineStr">
        <is>
          <t>MV-00104</t>
        </is>
      </c>
      <c r="B108" s="75" t="n">
        <v>45714.26527777778</v>
      </c>
      <c r="C108" s="7" t="inlineStr">
        <is>
          <t>Sortie</t>
        </is>
      </c>
      <c r="D108" s="7" t="inlineStr">
        <is>
          <t>PD-0038</t>
        </is>
      </c>
      <c r="E108" s="9">
        <f>IF(D108="","",IFERROR(INDEX('Stock pièces'!$B$5:$B$404,MATCH(D108,'Stock pièces'!$A$5:$A$404,0)),"Réf. inconnue"))</f>
        <v/>
      </c>
      <c r="F108" s="67" t="n">
        <v>3</v>
      </c>
      <c r="G108" s="81">
        <f>IF(D108="","",IFERROR(INDEX('Stock pièces'!$I$5:$I$404,MATCH(D108,'Stock pièces'!$A$5:$A$404,0)),0))</f>
        <v/>
      </c>
      <c r="H108" s="81">
        <f>IF(D108="","",N(F108)*N(G108))</f>
        <v/>
      </c>
      <c r="I108" s="7" t="inlineStr">
        <is>
          <t>OT-2025-0131</t>
        </is>
      </c>
      <c r="J108" s="9">
        <f>IF(I108="","",IFERROR(INDEX('Ordres de travail'!$D$5:$D$3004,MATCH(I108,'Ordres de travail'!$A$5:$A$3004,0)),""))</f>
        <v/>
      </c>
      <c r="K108" s="9">
        <f>IF(D108="","",IFERROR(INDEX('Stock pièces'!$D$5:$D$404,MATCH(D108,'Stock pièces'!$A$5:$A$404,0)),""))</f>
        <v/>
      </c>
      <c r="L108" s="7" t="n"/>
      <c r="M108" s="7" t="n"/>
    </row>
    <row r="109">
      <c r="A109" s="7" t="inlineStr">
        <is>
          <t>MV-00105</t>
        </is>
      </c>
      <c r="B109" s="75" t="n">
        <v>45714.29236111111</v>
      </c>
      <c r="C109" s="7" t="inlineStr">
        <is>
          <t>Sortie</t>
        </is>
      </c>
      <c r="D109" s="7" t="inlineStr">
        <is>
          <t>PD-0007</t>
        </is>
      </c>
      <c r="E109" s="9">
        <f>IF(D109="","",IFERROR(INDEX('Stock pièces'!$B$5:$B$404,MATCH(D109,'Stock pièces'!$A$5:$A$404,0)),"Réf. inconnue"))</f>
        <v/>
      </c>
      <c r="F109" s="67" t="n">
        <v>1</v>
      </c>
      <c r="G109" s="81">
        <f>IF(D109="","",IFERROR(INDEX('Stock pièces'!$I$5:$I$404,MATCH(D109,'Stock pièces'!$A$5:$A$404,0)),0))</f>
        <v/>
      </c>
      <c r="H109" s="81">
        <f>IF(D109="","",N(F109)*N(G109))</f>
        <v/>
      </c>
      <c r="I109" s="7" t="inlineStr">
        <is>
          <t>OT-2025-0132</t>
        </is>
      </c>
      <c r="J109" s="9">
        <f>IF(I109="","",IFERROR(INDEX('Ordres de travail'!$D$5:$D$3004,MATCH(I109,'Ordres de travail'!$A$5:$A$3004,0)),""))</f>
        <v/>
      </c>
      <c r="K109" s="9">
        <f>IF(D109="","",IFERROR(INDEX('Stock pièces'!$D$5:$D$404,MATCH(D109,'Stock pièces'!$A$5:$A$404,0)),""))</f>
        <v/>
      </c>
      <c r="L109" s="7" t="n"/>
      <c r="M109" s="7" t="n"/>
    </row>
    <row r="110">
      <c r="A110" s="7" t="inlineStr">
        <is>
          <t>MV-00106</t>
        </is>
      </c>
      <c r="B110" s="75" t="n">
        <v>45714.29236111111</v>
      </c>
      <c r="C110" s="7" t="inlineStr">
        <is>
          <t>Sortie</t>
        </is>
      </c>
      <c r="D110" s="7" t="inlineStr">
        <is>
          <t>PD-0010</t>
        </is>
      </c>
      <c r="E110" s="9">
        <f>IF(D110="","",IFERROR(INDEX('Stock pièces'!$B$5:$B$404,MATCH(D110,'Stock pièces'!$A$5:$A$404,0)),"Réf. inconnue"))</f>
        <v/>
      </c>
      <c r="F110" s="67" t="n">
        <v>1</v>
      </c>
      <c r="G110" s="81">
        <f>IF(D110="","",IFERROR(INDEX('Stock pièces'!$I$5:$I$404,MATCH(D110,'Stock pièces'!$A$5:$A$404,0)),0))</f>
        <v/>
      </c>
      <c r="H110" s="81">
        <f>IF(D110="","",N(F110)*N(G110))</f>
        <v/>
      </c>
      <c r="I110" s="7" t="inlineStr">
        <is>
          <t>OT-2025-0132</t>
        </is>
      </c>
      <c r="J110" s="9">
        <f>IF(I110="","",IFERROR(INDEX('Ordres de travail'!$D$5:$D$3004,MATCH(I110,'Ordres de travail'!$A$5:$A$3004,0)),""))</f>
        <v/>
      </c>
      <c r="K110" s="9">
        <f>IF(D110="","",IFERROR(INDEX('Stock pièces'!$D$5:$D$404,MATCH(D110,'Stock pièces'!$A$5:$A$404,0)),""))</f>
        <v/>
      </c>
      <c r="L110" s="7" t="n"/>
      <c r="M110" s="7" t="n"/>
    </row>
    <row r="111">
      <c r="A111" s="7" t="inlineStr">
        <is>
          <t>MV-00107</t>
        </is>
      </c>
      <c r="B111" s="75" t="n">
        <v>45714.41666666666</v>
      </c>
      <c r="C111" s="7" t="inlineStr">
        <is>
          <t>Entrée</t>
        </is>
      </c>
      <c r="D111" s="7" t="inlineStr">
        <is>
          <t>PD-0021</t>
        </is>
      </c>
      <c r="E111" s="9">
        <f>IF(D111="","",IFERROR(INDEX('Stock pièces'!$B$5:$B$404,MATCH(D111,'Stock pièces'!$A$5:$A$404,0)),"Réf. inconnue"))</f>
        <v/>
      </c>
      <c r="F111" s="67" t="n">
        <v>4</v>
      </c>
      <c r="G111" s="81">
        <f>IF(D111="","",IFERROR(INDEX('Stock pièces'!$I$5:$I$404,MATCH(D111,'Stock pièces'!$A$5:$A$404,0)),0))</f>
        <v/>
      </c>
      <c r="H111" s="81">
        <f>IF(D111="","",N(F111)*N(G111))</f>
        <v/>
      </c>
      <c r="I111" s="7" t="n"/>
      <c r="J111" s="9">
        <f>IF(I111="","",IFERROR(INDEX('Ordres de travail'!$D$5:$D$3004,MATCH(I111,'Ordres de travail'!$A$5:$A$3004,0)),""))</f>
        <v/>
      </c>
      <c r="K111" s="9">
        <f>IF(D111="","",IFERROR(INDEX('Stock pièces'!$D$5:$D$404,MATCH(D111,'Stock pièces'!$A$5:$A$404,0)),""))</f>
        <v/>
      </c>
      <c r="L111" s="7" t="inlineStr">
        <is>
          <t>CMD-24028</t>
        </is>
      </c>
      <c r="M111" s="7" t="inlineStr">
        <is>
          <t>Réception commande réappro</t>
        </is>
      </c>
    </row>
    <row r="112">
      <c r="A112" s="7" t="inlineStr">
        <is>
          <t>MV-00108</t>
        </is>
      </c>
      <c r="B112" s="75" t="n">
        <v>45715.63333333333</v>
      </c>
      <c r="C112" s="7" t="inlineStr">
        <is>
          <t>Sortie</t>
        </is>
      </c>
      <c r="D112" s="7" t="inlineStr">
        <is>
          <t>PD-0058</t>
        </is>
      </c>
      <c r="E112" s="9">
        <f>IF(D112="","",IFERROR(INDEX('Stock pièces'!$B$5:$B$404,MATCH(D112,'Stock pièces'!$A$5:$A$404,0)),"Réf. inconnue"))</f>
        <v/>
      </c>
      <c r="F112" s="67" t="n">
        <v>3</v>
      </c>
      <c r="G112" s="81">
        <f>IF(D112="","",IFERROR(INDEX('Stock pièces'!$I$5:$I$404,MATCH(D112,'Stock pièces'!$A$5:$A$404,0)),0))</f>
        <v/>
      </c>
      <c r="H112" s="81">
        <f>IF(D112="","",N(F112)*N(G112))</f>
        <v/>
      </c>
      <c r="I112" s="7" t="inlineStr">
        <is>
          <t>OT-2025-0136</t>
        </is>
      </c>
      <c r="J112" s="9">
        <f>IF(I112="","",IFERROR(INDEX('Ordres de travail'!$D$5:$D$3004,MATCH(I112,'Ordres de travail'!$A$5:$A$3004,0)),""))</f>
        <v/>
      </c>
      <c r="K112" s="9">
        <f>IF(D112="","",IFERROR(INDEX('Stock pièces'!$D$5:$D$404,MATCH(D112,'Stock pièces'!$A$5:$A$404,0)),""))</f>
        <v/>
      </c>
      <c r="L112" s="7" t="n"/>
      <c r="M112" s="7" t="n"/>
    </row>
    <row r="113">
      <c r="A113" s="7" t="inlineStr">
        <is>
          <t>MV-00109</t>
        </is>
      </c>
      <c r="B113" s="75" t="n">
        <v>45716.625</v>
      </c>
      <c r="C113" s="7" t="inlineStr">
        <is>
          <t>Sortie</t>
        </is>
      </c>
      <c r="D113" s="7" t="inlineStr">
        <is>
          <t>PD-0017</t>
        </is>
      </c>
      <c r="E113" s="9">
        <f>IF(D113="","",IFERROR(INDEX('Stock pièces'!$B$5:$B$404,MATCH(D113,'Stock pièces'!$A$5:$A$404,0)),"Réf. inconnue"))</f>
        <v/>
      </c>
      <c r="F113" s="67" t="n">
        <v>1</v>
      </c>
      <c r="G113" s="81">
        <f>IF(D113="","",IFERROR(INDEX('Stock pièces'!$I$5:$I$404,MATCH(D113,'Stock pièces'!$A$5:$A$404,0)),0))</f>
        <v/>
      </c>
      <c r="H113" s="81">
        <f>IF(D113="","",N(F113)*N(G113))</f>
        <v/>
      </c>
      <c r="I113" s="7" t="inlineStr">
        <is>
          <t>OT-2025-0126</t>
        </is>
      </c>
      <c r="J113" s="9">
        <f>IF(I113="","",IFERROR(INDEX('Ordres de travail'!$D$5:$D$3004,MATCH(I113,'Ordres de travail'!$A$5:$A$3004,0)),""))</f>
        <v/>
      </c>
      <c r="K113" s="9">
        <f>IF(D113="","",IFERROR(INDEX('Stock pièces'!$D$5:$D$404,MATCH(D113,'Stock pièces'!$A$5:$A$404,0)),""))</f>
        <v/>
      </c>
      <c r="L113" s="7" t="n"/>
      <c r="M113" s="7" t="n"/>
    </row>
    <row r="114">
      <c r="A114" s="7" t="inlineStr">
        <is>
          <t>MV-00110</t>
        </is>
      </c>
      <c r="B114" s="75" t="n">
        <v>45719.41666666666</v>
      </c>
      <c r="C114" s="7" t="inlineStr">
        <is>
          <t>Entrée</t>
        </is>
      </c>
      <c r="D114" s="7" t="inlineStr">
        <is>
          <t>PD-0007</t>
        </is>
      </c>
      <c r="E114" s="9">
        <f>IF(D114="","",IFERROR(INDEX('Stock pièces'!$B$5:$B$404,MATCH(D114,'Stock pièces'!$A$5:$A$404,0)),"Réf. inconnue"))</f>
        <v/>
      </c>
      <c r="F114" s="67" t="n">
        <v>2</v>
      </c>
      <c r="G114" s="81">
        <f>IF(D114="","",IFERROR(INDEX('Stock pièces'!$I$5:$I$404,MATCH(D114,'Stock pièces'!$A$5:$A$404,0)),0))</f>
        <v/>
      </c>
      <c r="H114" s="81">
        <f>IF(D114="","",N(F114)*N(G114))</f>
        <v/>
      </c>
      <c r="I114" s="7" t="n"/>
      <c r="J114" s="9">
        <f>IF(I114="","",IFERROR(INDEX('Ordres de travail'!$D$5:$D$3004,MATCH(I114,'Ordres de travail'!$A$5:$A$3004,0)),""))</f>
        <v/>
      </c>
      <c r="K114" s="9">
        <f>IF(D114="","",IFERROR(INDEX('Stock pièces'!$D$5:$D$404,MATCH(D114,'Stock pièces'!$A$5:$A$404,0)),""))</f>
        <v/>
      </c>
      <c r="L114" s="7" t="inlineStr">
        <is>
          <t>CMD-24030</t>
        </is>
      </c>
      <c r="M114" s="7" t="inlineStr">
        <is>
          <t>Réception commande réappro</t>
        </is>
      </c>
    </row>
    <row r="115">
      <c r="A115" s="7" t="inlineStr">
        <is>
          <t>MV-00111</t>
        </is>
      </c>
      <c r="B115" s="75" t="n">
        <v>45719.45486111111</v>
      </c>
      <c r="C115" s="7" t="inlineStr">
        <is>
          <t>Sortie</t>
        </is>
      </c>
      <c r="D115" s="7" t="inlineStr">
        <is>
          <t>PD-0025</t>
        </is>
      </c>
      <c r="E115" s="9">
        <f>IF(D115="","",IFERROR(INDEX('Stock pièces'!$B$5:$B$404,MATCH(D115,'Stock pièces'!$A$5:$A$404,0)),"Réf. inconnue"))</f>
        <v/>
      </c>
      <c r="F115" s="67" t="n">
        <v>3</v>
      </c>
      <c r="G115" s="81">
        <f>IF(D115="","",IFERROR(INDEX('Stock pièces'!$I$5:$I$404,MATCH(D115,'Stock pièces'!$A$5:$A$404,0)),0))</f>
        <v/>
      </c>
      <c r="H115" s="81">
        <f>IF(D115="","",N(F115)*N(G115))</f>
        <v/>
      </c>
      <c r="I115" s="7" t="inlineStr">
        <is>
          <t>OT-2025-0129</t>
        </is>
      </c>
      <c r="J115" s="9">
        <f>IF(I115="","",IFERROR(INDEX('Ordres de travail'!$D$5:$D$3004,MATCH(I115,'Ordres de travail'!$A$5:$A$3004,0)),""))</f>
        <v/>
      </c>
      <c r="K115" s="9">
        <f>IF(D115="","",IFERROR(INDEX('Stock pièces'!$D$5:$D$404,MATCH(D115,'Stock pièces'!$A$5:$A$404,0)),""))</f>
        <v/>
      </c>
      <c r="L115" s="7" t="n"/>
      <c r="M115" s="7" t="n"/>
    </row>
    <row r="116">
      <c r="A116" s="7" t="inlineStr">
        <is>
          <t>MV-00112</t>
        </is>
      </c>
      <c r="B116" s="75" t="n">
        <v>45719.66875</v>
      </c>
      <c r="C116" s="7" t="inlineStr">
        <is>
          <t>Sortie</t>
        </is>
      </c>
      <c r="D116" s="7" t="inlineStr">
        <is>
          <t>PD-0011</t>
        </is>
      </c>
      <c r="E116" s="9">
        <f>IF(D116="","",IFERROR(INDEX('Stock pièces'!$B$5:$B$404,MATCH(D116,'Stock pièces'!$A$5:$A$404,0)),"Réf. inconnue"))</f>
        <v/>
      </c>
      <c r="F116" s="67" t="n">
        <v>2</v>
      </c>
      <c r="G116" s="81">
        <f>IF(D116="","",IFERROR(INDEX('Stock pièces'!$I$5:$I$404,MATCH(D116,'Stock pièces'!$A$5:$A$404,0)),0))</f>
        <v/>
      </c>
      <c r="H116" s="81">
        <f>IF(D116="","",N(F116)*N(G116))</f>
        <v/>
      </c>
      <c r="I116" s="7" t="inlineStr">
        <is>
          <t>OT-2025-0142</t>
        </is>
      </c>
      <c r="J116" s="9">
        <f>IF(I116="","",IFERROR(INDEX('Ordres de travail'!$D$5:$D$3004,MATCH(I116,'Ordres de travail'!$A$5:$A$3004,0)),""))</f>
        <v/>
      </c>
      <c r="K116" s="9">
        <f>IF(D116="","",IFERROR(INDEX('Stock pièces'!$D$5:$D$404,MATCH(D116,'Stock pièces'!$A$5:$A$404,0)),""))</f>
        <v/>
      </c>
      <c r="L116" s="7" t="n"/>
      <c r="M116" s="7" t="n"/>
    </row>
    <row r="117">
      <c r="A117" s="7" t="inlineStr">
        <is>
          <t>MV-00113</t>
        </is>
      </c>
      <c r="B117" s="75" t="n">
        <v>45719.85</v>
      </c>
      <c r="C117" s="7" t="inlineStr">
        <is>
          <t>Sortie</t>
        </is>
      </c>
      <c r="D117" s="7" t="inlineStr">
        <is>
          <t>PD-0037</t>
        </is>
      </c>
      <c r="E117" s="9">
        <f>IF(D117="","",IFERROR(INDEX('Stock pièces'!$B$5:$B$404,MATCH(D117,'Stock pièces'!$A$5:$A$404,0)),"Réf. inconnue"))</f>
        <v/>
      </c>
      <c r="F117" s="67" t="n">
        <v>1</v>
      </c>
      <c r="G117" s="81">
        <f>IF(D117="","",IFERROR(INDEX('Stock pièces'!$I$5:$I$404,MATCH(D117,'Stock pièces'!$A$5:$A$404,0)),0))</f>
        <v/>
      </c>
      <c r="H117" s="81">
        <f>IF(D117="","",N(F117)*N(G117))</f>
        <v/>
      </c>
      <c r="I117" s="7" t="inlineStr">
        <is>
          <t>OT-2025-0143</t>
        </is>
      </c>
      <c r="J117" s="9">
        <f>IF(I117="","",IFERROR(INDEX('Ordres de travail'!$D$5:$D$3004,MATCH(I117,'Ordres de travail'!$A$5:$A$3004,0)),""))</f>
        <v/>
      </c>
      <c r="K117" s="9">
        <f>IF(D117="","",IFERROR(INDEX('Stock pièces'!$D$5:$D$404,MATCH(D117,'Stock pièces'!$A$5:$A$404,0)),""))</f>
        <v/>
      </c>
      <c r="L117" s="7" t="n"/>
      <c r="M117" s="7" t="n"/>
    </row>
    <row r="118">
      <c r="A118" s="7" t="inlineStr">
        <is>
          <t>MV-00114</t>
        </is>
      </c>
      <c r="B118" s="75" t="n">
        <v>45720.41666666666</v>
      </c>
      <c r="C118" s="7" t="inlineStr">
        <is>
          <t>Entrée</t>
        </is>
      </c>
      <c r="D118" s="7" t="inlineStr">
        <is>
          <t>PD-0073</t>
        </is>
      </c>
      <c r="E118" s="9">
        <f>IF(D118="","",IFERROR(INDEX('Stock pièces'!$B$5:$B$404,MATCH(D118,'Stock pièces'!$A$5:$A$404,0)),"Réf. inconnue"))</f>
        <v/>
      </c>
      <c r="F118" s="67" t="n">
        <v>1</v>
      </c>
      <c r="G118" s="81">
        <f>IF(D118="","",IFERROR(INDEX('Stock pièces'!$I$5:$I$404,MATCH(D118,'Stock pièces'!$A$5:$A$404,0)),0))</f>
        <v/>
      </c>
      <c r="H118" s="81">
        <f>IF(D118="","",N(F118)*N(G118))</f>
        <v/>
      </c>
      <c r="I118" s="7" t="n"/>
      <c r="J118" s="9">
        <f>IF(I118="","",IFERROR(INDEX('Ordres de travail'!$D$5:$D$3004,MATCH(I118,'Ordres de travail'!$A$5:$A$3004,0)),""))</f>
        <v/>
      </c>
      <c r="K118" s="9">
        <f>IF(D118="","",IFERROR(INDEX('Stock pièces'!$D$5:$D$404,MATCH(D118,'Stock pièces'!$A$5:$A$404,0)),""))</f>
        <v/>
      </c>
      <c r="L118" s="7" t="inlineStr">
        <is>
          <t>CMD-24027</t>
        </is>
      </c>
      <c r="M118" s="7" t="inlineStr">
        <is>
          <t>Réception commande réappro</t>
        </is>
      </c>
    </row>
    <row r="119">
      <c r="A119" s="7" t="inlineStr">
        <is>
          <t>MV-00115</t>
        </is>
      </c>
      <c r="B119" s="75" t="n">
        <v>45720.41666666666</v>
      </c>
      <c r="C119" s="7" t="inlineStr">
        <is>
          <t>Entrée</t>
        </is>
      </c>
      <c r="D119" s="7" t="inlineStr">
        <is>
          <t>PD-0038</t>
        </is>
      </c>
      <c r="E119" s="9">
        <f>IF(D119="","",IFERROR(INDEX('Stock pièces'!$B$5:$B$404,MATCH(D119,'Stock pièces'!$A$5:$A$404,0)),"Réf. inconnue"))</f>
        <v/>
      </c>
      <c r="F119" s="67" t="n">
        <v>6</v>
      </c>
      <c r="G119" s="81">
        <f>IF(D119="","",IFERROR(INDEX('Stock pièces'!$I$5:$I$404,MATCH(D119,'Stock pièces'!$A$5:$A$404,0)),0))</f>
        <v/>
      </c>
      <c r="H119" s="81">
        <f>IF(D119="","",N(F119)*N(G119))</f>
        <v/>
      </c>
      <c r="I119" s="7" t="n"/>
      <c r="J119" s="9">
        <f>IF(I119="","",IFERROR(INDEX('Ordres de travail'!$D$5:$D$3004,MATCH(I119,'Ordres de travail'!$A$5:$A$3004,0)),""))</f>
        <v/>
      </c>
      <c r="K119" s="9">
        <f>IF(D119="","",IFERROR(INDEX('Stock pièces'!$D$5:$D$404,MATCH(D119,'Stock pièces'!$A$5:$A$404,0)),""))</f>
        <v/>
      </c>
      <c r="L119" s="7" t="inlineStr">
        <is>
          <t>CMD-24029</t>
        </is>
      </c>
      <c r="M119" s="7" t="inlineStr">
        <is>
          <t>Réception commande réappro</t>
        </is>
      </c>
    </row>
    <row r="120">
      <c r="A120" s="7" t="inlineStr">
        <is>
          <t>MV-00116</t>
        </is>
      </c>
      <c r="B120" s="75" t="n">
        <v>45724.99027777778</v>
      </c>
      <c r="C120" s="7" t="inlineStr">
        <is>
          <t>Sortie</t>
        </is>
      </c>
      <c r="D120" s="7" t="inlineStr">
        <is>
          <t>PD-0067</t>
        </is>
      </c>
      <c r="E120" s="9">
        <f>IF(D120="","",IFERROR(INDEX('Stock pièces'!$B$5:$B$404,MATCH(D120,'Stock pièces'!$A$5:$A$404,0)),"Réf. inconnue"))</f>
        <v/>
      </c>
      <c r="F120" s="67" t="n">
        <v>1</v>
      </c>
      <c r="G120" s="81">
        <f>IF(D120="","",IFERROR(INDEX('Stock pièces'!$I$5:$I$404,MATCH(D120,'Stock pièces'!$A$5:$A$404,0)),0))</f>
        <v/>
      </c>
      <c r="H120" s="81">
        <f>IF(D120="","",N(F120)*N(G120))</f>
        <v/>
      </c>
      <c r="I120" s="7" t="inlineStr">
        <is>
          <t>OT-2025-0153</t>
        </is>
      </c>
      <c r="J120" s="9">
        <f>IF(I120="","",IFERROR(INDEX('Ordres de travail'!$D$5:$D$3004,MATCH(I120,'Ordres de travail'!$A$5:$A$3004,0)),""))</f>
        <v/>
      </c>
      <c r="K120" s="9">
        <f>IF(D120="","",IFERROR(INDEX('Stock pièces'!$D$5:$D$404,MATCH(D120,'Stock pièces'!$A$5:$A$404,0)),""))</f>
        <v/>
      </c>
      <c r="L120" s="7" t="n"/>
      <c r="M120" s="7" t="n"/>
    </row>
    <row r="121">
      <c r="A121" s="7" t="inlineStr">
        <is>
          <t>MV-00117</t>
        </is>
      </c>
      <c r="B121" s="75" t="n">
        <v>45726.41666666666</v>
      </c>
      <c r="C121" s="7" t="inlineStr">
        <is>
          <t>Entrée</t>
        </is>
      </c>
      <c r="D121" s="7" t="inlineStr">
        <is>
          <t>PD-0011</t>
        </is>
      </c>
      <c r="E121" s="9">
        <f>IF(D121="","",IFERROR(INDEX('Stock pièces'!$B$5:$B$404,MATCH(D121,'Stock pièces'!$A$5:$A$404,0)),"Réf. inconnue"))</f>
        <v/>
      </c>
      <c r="F121" s="67" t="n">
        <v>3</v>
      </c>
      <c r="G121" s="81">
        <f>IF(D121="","",IFERROR(INDEX('Stock pièces'!$I$5:$I$404,MATCH(D121,'Stock pièces'!$A$5:$A$404,0)),0))</f>
        <v/>
      </c>
      <c r="H121" s="81">
        <f>IF(D121="","",N(F121)*N(G121))</f>
        <v/>
      </c>
      <c r="I121" s="7" t="n"/>
      <c r="J121" s="9">
        <f>IF(I121="","",IFERROR(INDEX('Ordres de travail'!$D$5:$D$3004,MATCH(I121,'Ordres de travail'!$A$5:$A$3004,0)),""))</f>
        <v/>
      </c>
      <c r="K121" s="9">
        <f>IF(D121="","",IFERROR(INDEX('Stock pièces'!$D$5:$D$404,MATCH(D121,'Stock pièces'!$A$5:$A$404,0)),""))</f>
        <v/>
      </c>
      <c r="L121" s="7" t="inlineStr">
        <is>
          <t>CMD-24032</t>
        </is>
      </c>
      <c r="M121" s="7" t="inlineStr">
        <is>
          <t>Réception commande réappro</t>
        </is>
      </c>
    </row>
    <row r="122">
      <c r="A122" s="7" t="inlineStr">
        <is>
          <t>MV-00118</t>
        </is>
      </c>
      <c r="B122" s="75" t="n">
        <v>45726.41666666666</v>
      </c>
      <c r="C122" s="7" t="inlineStr">
        <is>
          <t>Entrée</t>
        </is>
      </c>
      <c r="D122" s="7" t="inlineStr">
        <is>
          <t>PD-0037</t>
        </is>
      </c>
      <c r="E122" s="9">
        <f>IF(D122="","",IFERROR(INDEX('Stock pièces'!$B$5:$B$404,MATCH(D122,'Stock pièces'!$A$5:$A$404,0)),"Réf. inconnue"))</f>
        <v/>
      </c>
      <c r="F122" s="67" t="n">
        <v>1</v>
      </c>
      <c r="G122" s="81">
        <f>IF(D122="","",IFERROR(INDEX('Stock pièces'!$I$5:$I$404,MATCH(D122,'Stock pièces'!$A$5:$A$404,0)),0))</f>
        <v/>
      </c>
      <c r="H122" s="81">
        <f>IF(D122="","",N(F122)*N(G122))</f>
        <v/>
      </c>
      <c r="I122" s="7" t="n"/>
      <c r="J122" s="9">
        <f>IF(I122="","",IFERROR(INDEX('Ordres de travail'!$D$5:$D$3004,MATCH(I122,'Ordres de travail'!$A$5:$A$3004,0)),""))</f>
        <v/>
      </c>
      <c r="K122" s="9">
        <f>IF(D122="","",IFERROR(INDEX('Stock pièces'!$D$5:$D$404,MATCH(D122,'Stock pièces'!$A$5:$A$404,0)),""))</f>
        <v/>
      </c>
      <c r="L122" s="7" t="inlineStr">
        <is>
          <t>CMD-24033</t>
        </is>
      </c>
      <c r="M122" s="7" t="inlineStr">
        <is>
          <t>Réception commande réappro</t>
        </is>
      </c>
    </row>
    <row r="123">
      <c r="A123" s="7" t="inlineStr">
        <is>
          <t>MV-00119</t>
        </is>
      </c>
      <c r="B123" s="75" t="n">
        <v>45726.49305555555</v>
      </c>
      <c r="C123" s="7" t="inlineStr">
        <is>
          <t>Sortie</t>
        </is>
      </c>
      <c r="D123" s="7" t="inlineStr">
        <is>
          <t>PD-0012</t>
        </is>
      </c>
      <c r="E123" s="9">
        <f>IF(D123="","",IFERROR(INDEX('Stock pièces'!$B$5:$B$404,MATCH(D123,'Stock pièces'!$A$5:$A$404,0)),"Réf. inconnue"))</f>
        <v/>
      </c>
      <c r="F123" s="67" t="n">
        <v>1</v>
      </c>
      <c r="G123" s="81">
        <f>IF(D123="","",IFERROR(INDEX('Stock pièces'!$I$5:$I$404,MATCH(D123,'Stock pièces'!$A$5:$A$404,0)),0))</f>
        <v/>
      </c>
      <c r="H123" s="81">
        <f>IF(D123="","",N(F123)*N(G123))</f>
        <v/>
      </c>
      <c r="I123" s="7" t="inlineStr">
        <is>
          <t>OT-2025-0139</t>
        </is>
      </c>
      <c r="J123" s="9">
        <f>IF(I123="","",IFERROR(INDEX('Ordres de travail'!$D$5:$D$3004,MATCH(I123,'Ordres de travail'!$A$5:$A$3004,0)),""))</f>
        <v/>
      </c>
      <c r="K123" s="9">
        <f>IF(D123="","",IFERROR(INDEX('Stock pièces'!$D$5:$D$404,MATCH(D123,'Stock pièces'!$A$5:$A$404,0)),""))</f>
        <v/>
      </c>
      <c r="L123" s="7" t="n"/>
      <c r="M123" s="7" t="n"/>
    </row>
    <row r="124">
      <c r="A124" s="7" t="inlineStr">
        <is>
          <t>MV-00120</t>
        </is>
      </c>
      <c r="B124" s="75" t="n">
        <v>45726.49305555555</v>
      </c>
      <c r="C124" s="7" t="inlineStr">
        <is>
          <t>Sortie</t>
        </is>
      </c>
      <c r="D124" s="7" t="inlineStr">
        <is>
          <t>PD-0013</t>
        </is>
      </c>
      <c r="E124" s="9">
        <f>IF(D124="","",IFERROR(INDEX('Stock pièces'!$B$5:$B$404,MATCH(D124,'Stock pièces'!$A$5:$A$404,0)),"Réf. inconnue"))</f>
        <v/>
      </c>
      <c r="F124" s="67" t="n">
        <v>1</v>
      </c>
      <c r="G124" s="81">
        <f>IF(D124="","",IFERROR(INDEX('Stock pièces'!$I$5:$I$404,MATCH(D124,'Stock pièces'!$A$5:$A$404,0)),0))</f>
        <v/>
      </c>
      <c r="H124" s="81">
        <f>IF(D124="","",N(F124)*N(G124))</f>
        <v/>
      </c>
      <c r="I124" s="7" t="inlineStr">
        <is>
          <t>OT-2025-0139</t>
        </is>
      </c>
      <c r="J124" s="9">
        <f>IF(I124="","",IFERROR(INDEX('Ordres de travail'!$D$5:$D$3004,MATCH(I124,'Ordres de travail'!$A$5:$A$3004,0)),""))</f>
        <v/>
      </c>
      <c r="K124" s="9">
        <f>IF(D124="","",IFERROR(INDEX('Stock pièces'!$D$5:$D$404,MATCH(D124,'Stock pièces'!$A$5:$A$404,0)),""))</f>
        <v/>
      </c>
      <c r="L124" s="7" t="n"/>
      <c r="M124" s="7" t="n"/>
    </row>
    <row r="125">
      <c r="A125" s="7" t="inlineStr">
        <is>
          <t>MV-00121</t>
        </is>
      </c>
      <c r="B125" s="75" t="n">
        <v>45726.49305555555</v>
      </c>
      <c r="C125" s="7" t="inlineStr">
        <is>
          <t>Sortie</t>
        </is>
      </c>
      <c r="D125" s="7" t="inlineStr">
        <is>
          <t>PD-0024</t>
        </is>
      </c>
      <c r="E125" s="9">
        <f>IF(D125="","",IFERROR(INDEX('Stock pièces'!$B$5:$B$404,MATCH(D125,'Stock pièces'!$A$5:$A$404,0)),"Réf. inconnue"))</f>
        <v/>
      </c>
      <c r="F125" s="67" t="n">
        <v>1</v>
      </c>
      <c r="G125" s="81">
        <f>IF(D125="","",IFERROR(INDEX('Stock pièces'!$I$5:$I$404,MATCH(D125,'Stock pièces'!$A$5:$A$404,0)),0))</f>
        <v/>
      </c>
      <c r="H125" s="81">
        <f>IF(D125="","",N(F125)*N(G125))</f>
        <v/>
      </c>
      <c r="I125" s="7" t="inlineStr">
        <is>
          <t>OT-2025-0139</t>
        </is>
      </c>
      <c r="J125" s="9">
        <f>IF(I125="","",IFERROR(INDEX('Ordres de travail'!$D$5:$D$3004,MATCH(I125,'Ordres de travail'!$A$5:$A$3004,0)),""))</f>
        <v/>
      </c>
      <c r="K125" s="9">
        <f>IF(D125="","",IFERROR(INDEX('Stock pièces'!$D$5:$D$404,MATCH(D125,'Stock pièces'!$A$5:$A$404,0)),""))</f>
        <v/>
      </c>
      <c r="L125" s="7" t="n"/>
      <c r="M125" s="7" t="n"/>
    </row>
    <row r="126">
      <c r="A126" s="7" t="inlineStr">
        <is>
          <t>MV-00122</t>
        </is>
      </c>
      <c r="B126" s="75" t="n">
        <v>45726.52777777778</v>
      </c>
      <c r="C126" s="7" t="inlineStr">
        <is>
          <t>Sortie</t>
        </is>
      </c>
      <c r="D126" s="7" t="inlineStr">
        <is>
          <t>PD-0017</t>
        </is>
      </c>
      <c r="E126" s="9">
        <f>IF(D126="","",IFERROR(INDEX('Stock pièces'!$B$5:$B$404,MATCH(D126,'Stock pièces'!$A$5:$A$404,0)),"Réf. inconnue"))</f>
        <v/>
      </c>
      <c r="F126" s="67" t="n">
        <v>1</v>
      </c>
      <c r="G126" s="81">
        <f>IF(D126="","",IFERROR(INDEX('Stock pièces'!$I$5:$I$404,MATCH(D126,'Stock pièces'!$A$5:$A$404,0)),0))</f>
        <v/>
      </c>
      <c r="H126" s="81">
        <f>IF(D126="","",N(F126)*N(G126))</f>
        <v/>
      </c>
      <c r="I126" s="7" t="inlineStr">
        <is>
          <t>OT-2025-0141</t>
        </is>
      </c>
      <c r="J126" s="9">
        <f>IF(I126="","",IFERROR(INDEX('Ordres de travail'!$D$5:$D$3004,MATCH(I126,'Ordres de travail'!$A$5:$A$3004,0)),""))</f>
        <v/>
      </c>
      <c r="K126" s="9">
        <f>IF(D126="","",IFERROR(INDEX('Stock pièces'!$D$5:$D$404,MATCH(D126,'Stock pièces'!$A$5:$A$404,0)),""))</f>
        <v/>
      </c>
      <c r="L126" s="7" t="n"/>
      <c r="M126" s="7" t="n"/>
    </row>
    <row r="127">
      <c r="A127" s="7" t="inlineStr">
        <is>
          <t>MV-00123</t>
        </is>
      </c>
      <c r="B127" s="75" t="n">
        <v>45726.61805555555</v>
      </c>
      <c r="C127" s="7" t="inlineStr">
        <is>
          <t>Sortie</t>
        </is>
      </c>
      <c r="D127" s="7" t="inlineStr">
        <is>
          <t>PD-0025</t>
        </is>
      </c>
      <c r="E127" s="9">
        <f>IF(D127="","",IFERROR(INDEX('Stock pièces'!$B$5:$B$404,MATCH(D127,'Stock pièces'!$A$5:$A$404,0)),"Réf. inconnue"))</f>
        <v/>
      </c>
      <c r="F127" s="67" t="n">
        <v>2</v>
      </c>
      <c r="G127" s="81">
        <f>IF(D127="","",IFERROR(INDEX('Stock pièces'!$I$5:$I$404,MATCH(D127,'Stock pièces'!$A$5:$A$404,0)),0))</f>
        <v/>
      </c>
      <c r="H127" s="81">
        <f>IF(D127="","",N(F127)*N(G127))</f>
        <v/>
      </c>
      <c r="I127" s="7" t="inlineStr">
        <is>
          <t>OT-2025-0138</t>
        </is>
      </c>
      <c r="J127" s="9">
        <f>IF(I127="","",IFERROR(INDEX('Ordres de travail'!$D$5:$D$3004,MATCH(I127,'Ordres de travail'!$A$5:$A$3004,0)),""))</f>
        <v/>
      </c>
      <c r="K127" s="9">
        <f>IF(D127="","",IFERROR(INDEX('Stock pièces'!$D$5:$D$404,MATCH(D127,'Stock pièces'!$A$5:$A$404,0)),""))</f>
        <v/>
      </c>
      <c r="L127" s="7" t="n"/>
      <c r="M127" s="7" t="n"/>
    </row>
    <row r="128">
      <c r="A128" s="7" t="inlineStr">
        <is>
          <t>MV-00124</t>
        </is>
      </c>
      <c r="B128" s="75" t="n">
        <v>45727.24861111111</v>
      </c>
      <c r="C128" s="7" t="inlineStr">
        <is>
          <t>Sortie</t>
        </is>
      </c>
      <c r="D128" s="7" t="inlineStr">
        <is>
          <t>PD-0043</t>
        </is>
      </c>
      <c r="E128" s="9">
        <f>IF(D128="","",IFERROR(INDEX('Stock pièces'!$B$5:$B$404,MATCH(D128,'Stock pièces'!$A$5:$A$404,0)),"Réf. inconnue"))</f>
        <v/>
      </c>
      <c r="F128" s="67" t="n">
        <v>1</v>
      </c>
      <c r="G128" s="81">
        <f>IF(D128="","",IFERROR(INDEX('Stock pièces'!$I$5:$I$404,MATCH(D128,'Stock pièces'!$A$5:$A$404,0)),0))</f>
        <v/>
      </c>
      <c r="H128" s="81">
        <f>IF(D128="","",N(F128)*N(G128))</f>
        <v/>
      </c>
      <c r="I128" s="7" t="inlineStr">
        <is>
          <t>OT-2025-0158</t>
        </is>
      </c>
      <c r="J128" s="9">
        <f>IF(I128="","",IFERROR(INDEX('Ordres de travail'!$D$5:$D$3004,MATCH(I128,'Ordres de travail'!$A$5:$A$3004,0)),""))</f>
        <v/>
      </c>
      <c r="K128" s="9">
        <f>IF(D128="","",IFERROR(INDEX('Stock pièces'!$D$5:$D$404,MATCH(D128,'Stock pièces'!$A$5:$A$404,0)),""))</f>
        <v/>
      </c>
      <c r="L128" s="7" t="n"/>
      <c r="M128" s="7" t="n"/>
    </row>
    <row r="129">
      <c r="A129" s="7" t="inlineStr">
        <is>
          <t>MV-00125</t>
        </is>
      </c>
      <c r="B129" s="75" t="n">
        <v>45727.24861111111</v>
      </c>
      <c r="C129" s="7" t="inlineStr">
        <is>
          <t>Sortie</t>
        </is>
      </c>
      <c r="D129" s="7" t="inlineStr">
        <is>
          <t>PD-0045</t>
        </is>
      </c>
      <c r="E129" s="9">
        <f>IF(D129="","",IFERROR(INDEX('Stock pièces'!$B$5:$B$404,MATCH(D129,'Stock pièces'!$A$5:$A$404,0)),"Réf. inconnue"))</f>
        <v/>
      </c>
      <c r="F129" s="67" t="n">
        <v>1</v>
      </c>
      <c r="G129" s="81">
        <f>IF(D129="","",IFERROR(INDEX('Stock pièces'!$I$5:$I$404,MATCH(D129,'Stock pièces'!$A$5:$A$404,0)),0))</f>
        <v/>
      </c>
      <c r="H129" s="81">
        <f>IF(D129="","",N(F129)*N(G129))</f>
        <v/>
      </c>
      <c r="I129" s="7" t="inlineStr">
        <is>
          <t>OT-2025-0158</t>
        </is>
      </c>
      <c r="J129" s="9">
        <f>IF(I129="","",IFERROR(INDEX('Ordres de travail'!$D$5:$D$3004,MATCH(I129,'Ordres de travail'!$A$5:$A$3004,0)),""))</f>
        <v/>
      </c>
      <c r="K129" s="9">
        <f>IF(D129="","",IFERROR(INDEX('Stock pièces'!$D$5:$D$404,MATCH(D129,'Stock pièces'!$A$5:$A$404,0)),""))</f>
        <v/>
      </c>
      <c r="L129" s="7" t="n"/>
      <c r="M129" s="7" t="n"/>
    </row>
    <row r="130">
      <c r="A130" s="7" t="inlineStr">
        <is>
          <t>MV-00126</t>
        </is>
      </c>
      <c r="B130" s="75" t="n">
        <v>45729.46527777778</v>
      </c>
      <c r="C130" s="7" t="inlineStr">
        <is>
          <t>Sortie</t>
        </is>
      </c>
      <c r="D130" s="7" t="inlineStr">
        <is>
          <t>PD-0017</t>
        </is>
      </c>
      <c r="E130" s="9">
        <f>IF(D130="","",IFERROR(INDEX('Stock pièces'!$B$5:$B$404,MATCH(D130,'Stock pièces'!$A$5:$A$404,0)),"Réf. inconnue"))</f>
        <v/>
      </c>
      <c r="F130" s="67" t="n">
        <v>1</v>
      </c>
      <c r="G130" s="81">
        <f>IF(D130="","",IFERROR(INDEX('Stock pièces'!$I$5:$I$404,MATCH(D130,'Stock pièces'!$A$5:$A$404,0)),0))</f>
        <v/>
      </c>
      <c r="H130" s="81">
        <f>IF(D130="","",N(F130)*N(G130))</f>
        <v/>
      </c>
      <c r="I130" s="7" t="inlineStr">
        <is>
          <t>OT-2025-0149</t>
        </is>
      </c>
      <c r="J130" s="9">
        <f>IF(I130="","",IFERROR(INDEX('Ordres de travail'!$D$5:$D$3004,MATCH(I130,'Ordres de travail'!$A$5:$A$3004,0)),""))</f>
        <v/>
      </c>
      <c r="K130" s="9">
        <f>IF(D130="","",IFERROR(INDEX('Stock pièces'!$D$5:$D$404,MATCH(D130,'Stock pièces'!$A$5:$A$404,0)),""))</f>
        <v/>
      </c>
      <c r="L130" s="7" t="n"/>
      <c r="M130" s="7" t="n"/>
    </row>
    <row r="131">
      <c r="A131" s="7" t="inlineStr">
        <is>
          <t>MV-00127</t>
        </is>
      </c>
      <c r="B131" s="75" t="n">
        <v>45729.60416666666</v>
      </c>
      <c r="C131" s="7" t="inlineStr">
        <is>
          <t>Sortie</t>
        </is>
      </c>
      <c r="D131" s="7" t="inlineStr">
        <is>
          <t>PD-0062</t>
        </is>
      </c>
      <c r="E131" s="9">
        <f>IF(D131="","",IFERROR(INDEX('Stock pièces'!$B$5:$B$404,MATCH(D131,'Stock pièces'!$A$5:$A$404,0)),"Réf. inconnue"))</f>
        <v/>
      </c>
      <c r="F131" s="67" t="n">
        <v>1</v>
      </c>
      <c r="G131" s="81">
        <f>IF(D131="","",IFERROR(INDEX('Stock pièces'!$I$5:$I$404,MATCH(D131,'Stock pièces'!$A$5:$A$404,0)),0))</f>
        <v/>
      </c>
      <c r="H131" s="81">
        <f>IF(D131="","",N(F131)*N(G131))</f>
        <v/>
      </c>
      <c r="I131" s="7" t="inlineStr">
        <is>
          <t>OT-2025-0147</t>
        </is>
      </c>
      <c r="J131" s="9">
        <f>IF(I131="","",IFERROR(INDEX('Ordres de travail'!$D$5:$D$3004,MATCH(I131,'Ordres de travail'!$A$5:$A$3004,0)),""))</f>
        <v/>
      </c>
      <c r="K131" s="9">
        <f>IF(D131="","",IFERROR(INDEX('Stock pièces'!$D$5:$D$404,MATCH(D131,'Stock pièces'!$A$5:$A$404,0)),""))</f>
        <v/>
      </c>
      <c r="L131" s="7" t="n"/>
      <c r="M131" s="7" t="n"/>
    </row>
    <row r="132">
      <c r="A132" s="7" t="inlineStr">
        <is>
          <t>MV-00128</t>
        </is>
      </c>
      <c r="B132" s="75" t="n">
        <v>45730.60069444445</v>
      </c>
      <c r="C132" s="7" t="inlineStr">
        <is>
          <t>Sortie</t>
        </is>
      </c>
      <c r="D132" s="7" t="inlineStr">
        <is>
          <t>PD-0025</t>
        </is>
      </c>
      <c r="E132" s="9">
        <f>IF(D132="","",IFERROR(INDEX('Stock pièces'!$B$5:$B$404,MATCH(D132,'Stock pièces'!$A$5:$A$404,0)),"Réf. inconnue"))</f>
        <v/>
      </c>
      <c r="F132" s="67" t="n">
        <v>3</v>
      </c>
      <c r="G132" s="81">
        <f>IF(D132="","",IFERROR(INDEX('Stock pièces'!$I$5:$I$404,MATCH(D132,'Stock pièces'!$A$5:$A$404,0)),0))</f>
        <v/>
      </c>
      <c r="H132" s="81">
        <f>IF(D132="","",N(F132)*N(G132))</f>
        <v/>
      </c>
      <c r="I132" s="7" t="inlineStr">
        <is>
          <t>OT-2025-0152</t>
        </is>
      </c>
      <c r="J132" s="9">
        <f>IF(I132="","",IFERROR(INDEX('Ordres de travail'!$D$5:$D$3004,MATCH(I132,'Ordres de travail'!$A$5:$A$3004,0)),""))</f>
        <v/>
      </c>
      <c r="K132" s="9">
        <f>IF(D132="","",IFERROR(INDEX('Stock pièces'!$D$5:$D$404,MATCH(D132,'Stock pièces'!$A$5:$A$404,0)),""))</f>
        <v/>
      </c>
      <c r="L132" s="7" t="n"/>
      <c r="M132" s="7" t="n"/>
    </row>
    <row r="133">
      <c r="A133" s="7" t="inlineStr">
        <is>
          <t>MV-00129</t>
        </is>
      </c>
      <c r="B133" s="75" t="n">
        <v>45733.41666666666</v>
      </c>
      <c r="C133" s="7" t="inlineStr">
        <is>
          <t>Entrée</t>
        </is>
      </c>
      <c r="D133" s="7" t="inlineStr">
        <is>
          <t>PD-0067</t>
        </is>
      </c>
      <c r="E133" s="9">
        <f>IF(D133="","",IFERROR(INDEX('Stock pièces'!$B$5:$B$404,MATCH(D133,'Stock pièces'!$A$5:$A$404,0)),"Réf. inconnue"))</f>
        <v/>
      </c>
      <c r="F133" s="67" t="n">
        <v>2</v>
      </c>
      <c r="G133" s="81">
        <f>IF(D133="","",IFERROR(INDEX('Stock pièces'!$I$5:$I$404,MATCH(D133,'Stock pièces'!$A$5:$A$404,0)),0))</f>
        <v/>
      </c>
      <c r="H133" s="81">
        <f>IF(D133="","",N(F133)*N(G133))</f>
        <v/>
      </c>
      <c r="I133" s="7" t="n"/>
      <c r="J133" s="9">
        <f>IF(I133="","",IFERROR(INDEX('Ordres de travail'!$D$5:$D$3004,MATCH(I133,'Ordres de travail'!$A$5:$A$3004,0)),""))</f>
        <v/>
      </c>
      <c r="K133" s="9">
        <f>IF(D133="","",IFERROR(INDEX('Stock pièces'!$D$5:$D$404,MATCH(D133,'Stock pièces'!$A$5:$A$404,0)),""))</f>
        <v/>
      </c>
      <c r="L133" s="7" t="inlineStr">
        <is>
          <t>CMD-24034</t>
        </is>
      </c>
      <c r="M133" s="7" t="inlineStr">
        <is>
          <t>Réception commande réappro</t>
        </is>
      </c>
    </row>
    <row r="134">
      <c r="A134" s="7" t="inlineStr">
        <is>
          <t>MV-00130</t>
        </is>
      </c>
      <c r="B134" s="75" t="n">
        <v>45733.41666666666</v>
      </c>
      <c r="C134" s="7" t="inlineStr">
        <is>
          <t>Entrée</t>
        </is>
      </c>
      <c r="D134" s="7" t="inlineStr">
        <is>
          <t>PD-0012</t>
        </is>
      </c>
      <c r="E134" s="9">
        <f>IF(D134="","",IFERROR(INDEX('Stock pièces'!$B$5:$B$404,MATCH(D134,'Stock pièces'!$A$5:$A$404,0)),"Réf. inconnue"))</f>
        <v/>
      </c>
      <c r="F134" s="67" t="n">
        <v>4</v>
      </c>
      <c r="G134" s="81">
        <f>IF(D134="","",IFERROR(INDEX('Stock pièces'!$I$5:$I$404,MATCH(D134,'Stock pièces'!$A$5:$A$404,0)),0))</f>
        <v/>
      </c>
      <c r="H134" s="81">
        <f>IF(D134="","",N(F134)*N(G134))</f>
        <v/>
      </c>
      <c r="I134" s="7" t="n"/>
      <c r="J134" s="9">
        <f>IF(I134="","",IFERROR(INDEX('Ordres de travail'!$D$5:$D$3004,MATCH(I134,'Ordres de travail'!$A$5:$A$3004,0)),""))</f>
        <v/>
      </c>
      <c r="K134" s="9">
        <f>IF(D134="","",IFERROR(INDEX('Stock pièces'!$D$5:$D$404,MATCH(D134,'Stock pièces'!$A$5:$A$404,0)),""))</f>
        <v/>
      </c>
      <c r="L134" s="7" t="inlineStr">
        <is>
          <t>CMD-24035</t>
        </is>
      </c>
      <c r="M134" s="7" t="inlineStr">
        <is>
          <t>Réception commande réappro</t>
        </is>
      </c>
    </row>
    <row r="135">
      <c r="A135" s="7" t="inlineStr">
        <is>
          <t>MV-00131</t>
        </is>
      </c>
      <c r="B135" s="75" t="n">
        <v>45733.41666666666</v>
      </c>
      <c r="C135" s="7" t="inlineStr">
        <is>
          <t>Entrée</t>
        </is>
      </c>
      <c r="D135" s="7" t="inlineStr">
        <is>
          <t>PD-0013</t>
        </is>
      </c>
      <c r="E135" s="9">
        <f>IF(D135="","",IFERROR(INDEX('Stock pièces'!$B$5:$B$404,MATCH(D135,'Stock pièces'!$A$5:$A$404,0)),"Réf. inconnue"))</f>
        <v/>
      </c>
      <c r="F135" s="67" t="n">
        <v>4</v>
      </c>
      <c r="G135" s="81">
        <f>IF(D135="","",IFERROR(INDEX('Stock pièces'!$I$5:$I$404,MATCH(D135,'Stock pièces'!$A$5:$A$404,0)),0))</f>
        <v/>
      </c>
      <c r="H135" s="81">
        <f>IF(D135="","",N(F135)*N(G135))</f>
        <v/>
      </c>
      <c r="I135" s="7" t="n"/>
      <c r="J135" s="9">
        <f>IF(I135="","",IFERROR(INDEX('Ordres de travail'!$D$5:$D$3004,MATCH(I135,'Ordres de travail'!$A$5:$A$3004,0)),""))</f>
        <v/>
      </c>
      <c r="K135" s="9">
        <f>IF(D135="","",IFERROR(INDEX('Stock pièces'!$D$5:$D$404,MATCH(D135,'Stock pièces'!$A$5:$A$404,0)),""))</f>
        <v/>
      </c>
      <c r="L135" s="7" t="inlineStr">
        <is>
          <t>CMD-24036</t>
        </is>
      </c>
      <c r="M135" s="7" t="inlineStr">
        <is>
          <t>Réception commande réappro</t>
        </is>
      </c>
    </row>
    <row r="136">
      <c r="A136" s="7" t="inlineStr">
        <is>
          <t>MV-00132</t>
        </is>
      </c>
      <c r="B136" s="75" t="n">
        <v>45733.51388888889</v>
      </c>
      <c r="C136" s="7" t="inlineStr">
        <is>
          <t>Sortie</t>
        </is>
      </c>
      <c r="D136" s="7" t="inlineStr">
        <is>
          <t>PD-0025</t>
        </is>
      </c>
      <c r="E136" s="9">
        <f>IF(D136="","",IFERROR(INDEX('Stock pièces'!$B$5:$B$404,MATCH(D136,'Stock pièces'!$A$5:$A$404,0)),"Réf. inconnue"))</f>
        <v/>
      </c>
      <c r="F136" s="67" t="n">
        <v>1</v>
      </c>
      <c r="G136" s="81">
        <f>IF(D136="","",IFERROR(INDEX('Stock pièces'!$I$5:$I$404,MATCH(D136,'Stock pièces'!$A$5:$A$404,0)),0))</f>
        <v/>
      </c>
      <c r="H136" s="81">
        <f>IF(D136="","",N(F136)*N(G136))</f>
        <v/>
      </c>
      <c r="I136" s="7" t="inlineStr">
        <is>
          <t>OT-2025-0157</t>
        </is>
      </c>
      <c r="J136" s="9">
        <f>IF(I136="","",IFERROR(INDEX('Ordres de travail'!$D$5:$D$3004,MATCH(I136,'Ordres de travail'!$A$5:$A$3004,0)),""))</f>
        <v/>
      </c>
      <c r="K136" s="9">
        <f>IF(D136="","",IFERROR(INDEX('Stock pièces'!$D$5:$D$404,MATCH(D136,'Stock pièces'!$A$5:$A$404,0)),""))</f>
        <v/>
      </c>
      <c r="L136" s="7" t="n"/>
      <c r="M136" s="7" t="n"/>
    </row>
    <row r="137">
      <c r="A137" s="7" t="inlineStr">
        <is>
          <t>MV-00133</t>
        </is>
      </c>
      <c r="B137" s="75" t="n">
        <v>45734.47222222222</v>
      </c>
      <c r="C137" s="7" t="inlineStr">
        <is>
          <t>Sortie</t>
        </is>
      </c>
      <c r="D137" s="7" t="inlineStr">
        <is>
          <t>PD-0058</t>
        </is>
      </c>
      <c r="E137" s="9">
        <f>IF(D137="","",IFERROR(INDEX('Stock pièces'!$B$5:$B$404,MATCH(D137,'Stock pièces'!$A$5:$A$404,0)),"Réf. inconnue"))</f>
        <v/>
      </c>
      <c r="F137" s="67" t="n">
        <v>1</v>
      </c>
      <c r="G137" s="81">
        <f>IF(D137="","",IFERROR(INDEX('Stock pièces'!$I$5:$I$404,MATCH(D137,'Stock pièces'!$A$5:$A$404,0)),0))</f>
        <v/>
      </c>
      <c r="H137" s="81">
        <f>IF(D137="","",N(F137)*N(G137))</f>
        <v/>
      </c>
      <c r="I137" s="7" t="inlineStr">
        <is>
          <t>OT-2025-0159</t>
        </is>
      </c>
      <c r="J137" s="9">
        <f>IF(I137="","",IFERROR(INDEX('Ordres de travail'!$D$5:$D$3004,MATCH(I137,'Ordres de travail'!$A$5:$A$3004,0)),""))</f>
        <v/>
      </c>
      <c r="K137" s="9">
        <f>IF(D137="","",IFERROR(INDEX('Stock pièces'!$D$5:$D$404,MATCH(D137,'Stock pièces'!$A$5:$A$404,0)),""))</f>
        <v/>
      </c>
      <c r="L137" s="7" t="n"/>
      <c r="M137" s="7" t="n"/>
    </row>
    <row r="138">
      <c r="A138" s="7" t="inlineStr">
        <is>
          <t>MV-00134</t>
        </is>
      </c>
      <c r="B138" s="75" t="n">
        <v>45734.47222222222</v>
      </c>
      <c r="C138" s="7" t="inlineStr">
        <is>
          <t>Sortie</t>
        </is>
      </c>
      <c r="D138" s="7" t="inlineStr">
        <is>
          <t>PD-0059</t>
        </is>
      </c>
      <c r="E138" s="9">
        <f>IF(D138="","",IFERROR(INDEX('Stock pièces'!$B$5:$B$404,MATCH(D138,'Stock pièces'!$A$5:$A$404,0)),"Réf. inconnue"))</f>
        <v/>
      </c>
      <c r="F138" s="67" t="n">
        <v>1</v>
      </c>
      <c r="G138" s="81">
        <f>IF(D138="","",IFERROR(INDEX('Stock pièces'!$I$5:$I$404,MATCH(D138,'Stock pièces'!$A$5:$A$404,0)),0))</f>
        <v/>
      </c>
      <c r="H138" s="81">
        <f>IF(D138="","",N(F138)*N(G138))</f>
        <v/>
      </c>
      <c r="I138" s="7" t="inlineStr">
        <is>
          <t>OT-2025-0159</t>
        </is>
      </c>
      <c r="J138" s="9">
        <f>IF(I138="","",IFERROR(INDEX('Ordres de travail'!$D$5:$D$3004,MATCH(I138,'Ordres de travail'!$A$5:$A$3004,0)),""))</f>
        <v/>
      </c>
      <c r="K138" s="9">
        <f>IF(D138="","",IFERROR(INDEX('Stock pièces'!$D$5:$D$404,MATCH(D138,'Stock pièces'!$A$5:$A$404,0)),""))</f>
        <v/>
      </c>
      <c r="L138" s="7" t="n"/>
      <c r="M138" s="7" t="n"/>
    </row>
    <row r="139">
      <c r="A139" s="7" t="inlineStr">
        <is>
          <t>MV-00135</t>
        </is>
      </c>
      <c r="B139" s="75" t="n">
        <v>45735.48541666667</v>
      </c>
      <c r="C139" s="7" t="inlineStr">
        <is>
          <t>Sortie</t>
        </is>
      </c>
      <c r="D139" s="7" t="inlineStr">
        <is>
          <t>PD-0075</t>
        </is>
      </c>
      <c r="E139" s="9">
        <f>IF(D139="","",IFERROR(INDEX('Stock pièces'!$B$5:$B$404,MATCH(D139,'Stock pièces'!$A$5:$A$404,0)),"Réf. inconnue"))</f>
        <v/>
      </c>
      <c r="F139" s="67" t="n">
        <v>1</v>
      </c>
      <c r="G139" s="81">
        <f>IF(D139="","",IFERROR(INDEX('Stock pièces'!$I$5:$I$404,MATCH(D139,'Stock pièces'!$A$5:$A$404,0)),0))</f>
        <v/>
      </c>
      <c r="H139" s="81">
        <f>IF(D139="","",N(F139)*N(G139))</f>
        <v/>
      </c>
      <c r="I139" s="7" t="inlineStr">
        <is>
          <t>OT-2025-0170</t>
        </is>
      </c>
      <c r="J139" s="9">
        <f>IF(I139="","",IFERROR(INDEX('Ordres de travail'!$D$5:$D$3004,MATCH(I139,'Ordres de travail'!$A$5:$A$3004,0)),""))</f>
        <v/>
      </c>
      <c r="K139" s="9">
        <f>IF(D139="","",IFERROR(INDEX('Stock pièces'!$D$5:$D$404,MATCH(D139,'Stock pièces'!$A$5:$A$404,0)),""))</f>
        <v/>
      </c>
      <c r="L139" s="7" t="n"/>
      <c r="M139" s="7" t="n"/>
    </row>
    <row r="140">
      <c r="A140" s="7" t="inlineStr">
        <is>
          <t>MV-00136</t>
        </is>
      </c>
      <c r="B140" s="75" t="n">
        <v>45736.68263888889</v>
      </c>
      <c r="C140" s="7" t="inlineStr">
        <is>
          <t>Entrée</t>
        </is>
      </c>
      <c r="D140" s="7" t="inlineStr">
        <is>
          <t>PD-0043</t>
        </is>
      </c>
      <c r="E140" s="9">
        <f>IF(D140="","",IFERROR(INDEX('Stock pièces'!$B$5:$B$404,MATCH(D140,'Stock pièces'!$A$5:$A$404,0)),"Réf. inconnue"))</f>
        <v/>
      </c>
      <c r="F140" s="67" t="n">
        <v>1</v>
      </c>
      <c r="G140" s="81">
        <f>IF(D140="","",IFERROR(INDEX('Stock pièces'!$I$5:$I$404,MATCH(D140,'Stock pièces'!$A$5:$A$404,0)),0))</f>
        <v/>
      </c>
      <c r="H140" s="81">
        <f>IF(D140="","",N(F140)*N(G140))</f>
        <v/>
      </c>
      <c r="I140" s="7" t="n"/>
      <c r="J140" s="9">
        <f>IF(I140="","",IFERROR(INDEX('Ordres de travail'!$D$5:$D$3004,MATCH(I140,'Ordres de travail'!$A$5:$A$3004,0)),""))</f>
        <v/>
      </c>
      <c r="K140" s="9">
        <f>IF(D140="","",IFERROR(INDEX('Stock pièces'!$D$5:$D$404,MATCH(D140,'Stock pièces'!$A$5:$A$404,0)),""))</f>
        <v/>
      </c>
      <c r="L140" s="7" t="inlineStr">
        <is>
          <t>URG-24038</t>
        </is>
      </c>
      <c r="M140" s="7" t="inlineStr">
        <is>
          <t>Achat urgent (rupture)</t>
        </is>
      </c>
    </row>
    <row r="141">
      <c r="A141" s="7" t="inlineStr">
        <is>
          <t>MV-00137</t>
        </is>
      </c>
      <c r="B141" s="75" t="n">
        <v>45736.68611111111</v>
      </c>
      <c r="C141" s="7" t="inlineStr">
        <is>
          <t>Sortie</t>
        </is>
      </c>
      <c r="D141" s="7" t="inlineStr">
        <is>
          <t>PD-0043</t>
        </is>
      </c>
      <c r="E141" s="9">
        <f>IF(D141="","",IFERROR(INDEX('Stock pièces'!$B$5:$B$404,MATCH(D141,'Stock pièces'!$A$5:$A$404,0)),"Réf. inconnue"))</f>
        <v/>
      </c>
      <c r="F141" s="67" t="n">
        <v>1</v>
      </c>
      <c r="G141" s="81">
        <f>IF(D141="","",IFERROR(INDEX('Stock pièces'!$I$5:$I$404,MATCH(D141,'Stock pièces'!$A$5:$A$404,0)),0))</f>
        <v/>
      </c>
      <c r="H141" s="81">
        <f>IF(D141="","",N(F141)*N(G141))</f>
        <v/>
      </c>
      <c r="I141" s="7" t="inlineStr">
        <is>
          <t>OT-2025-0172</t>
        </is>
      </c>
      <c r="J141" s="9">
        <f>IF(I141="","",IFERROR(INDEX('Ordres de travail'!$D$5:$D$3004,MATCH(I141,'Ordres de travail'!$A$5:$A$3004,0)),""))</f>
        <v/>
      </c>
      <c r="K141" s="9">
        <f>IF(D141="","",IFERROR(INDEX('Stock pièces'!$D$5:$D$404,MATCH(D141,'Stock pièces'!$A$5:$A$404,0)),""))</f>
        <v/>
      </c>
      <c r="L141" s="7" t="n"/>
      <c r="M141" s="7" t="n"/>
    </row>
    <row r="142">
      <c r="A142" s="7" t="inlineStr">
        <is>
          <t>MV-00138</t>
        </is>
      </c>
      <c r="B142" s="75" t="n">
        <v>45737.41666666666</v>
      </c>
      <c r="C142" s="7" t="inlineStr">
        <is>
          <t>Entrée</t>
        </is>
      </c>
      <c r="D142" s="7" t="inlineStr">
        <is>
          <t>PD-0010</t>
        </is>
      </c>
      <c r="E142" s="9">
        <f>IF(D142="","",IFERROR(INDEX('Stock pièces'!$B$5:$B$404,MATCH(D142,'Stock pièces'!$A$5:$A$404,0)),"Réf. inconnue"))</f>
        <v/>
      </c>
      <c r="F142" s="67" t="n">
        <v>1</v>
      </c>
      <c r="G142" s="81">
        <f>IF(D142="","",IFERROR(INDEX('Stock pièces'!$I$5:$I$404,MATCH(D142,'Stock pièces'!$A$5:$A$404,0)),0))</f>
        <v/>
      </c>
      <c r="H142" s="81">
        <f>IF(D142="","",N(F142)*N(G142))</f>
        <v/>
      </c>
      <c r="I142" s="7" t="n"/>
      <c r="J142" s="9">
        <f>IF(I142="","",IFERROR(INDEX('Ordres de travail'!$D$5:$D$3004,MATCH(I142,'Ordres de travail'!$A$5:$A$3004,0)),""))</f>
        <v/>
      </c>
      <c r="K142" s="9">
        <f>IF(D142="","",IFERROR(INDEX('Stock pièces'!$D$5:$D$404,MATCH(D142,'Stock pièces'!$A$5:$A$404,0)),""))</f>
        <v/>
      </c>
      <c r="L142" s="7" t="inlineStr">
        <is>
          <t>CMD-24031</t>
        </is>
      </c>
      <c r="M142" s="7" t="inlineStr">
        <is>
          <t>Réception commande réappro</t>
        </is>
      </c>
    </row>
    <row r="143">
      <c r="A143" s="7" t="inlineStr">
        <is>
          <t>MV-00139</t>
        </is>
      </c>
      <c r="B143" s="75" t="n">
        <v>45737.43541666667</v>
      </c>
      <c r="C143" s="7" t="inlineStr">
        <is>
          <t>Sortie</t>
        </is>
      </c>
      <c r="D143" s="7" t="inlineStr">
        <is>
          <t>PD-0059</t>
        </is>
      </c>
      <c r="E143" s="9">
        <f>IF(D143="","",IFERROR(INDEX('Stock pièces'!$B$5:$B$404,MATCH(D143,'Stock pièces'!$A$5:$A$404,0)),"Réf. inconnue"))</f>
        <v/>
      </c>
      <c r="F143" s="67" t="n">
        <v>1</v>
      </c>
      <c r="G143" s="81">
        <f>IF(D143="","",IFERROR(INDEX('Stock pièces'!$I$5:$I$404,MATCH(D143,'Stock pièces'!$A$5:$A$404,0)),0))</f>
        <v/>
      </c>
      <c r="H143" s="81">
        <f>IF(D143="","",N(F143)*N(G143))</f>
        <v/>
      </c>
      <c r="I143" s="7" t="inlineStr">
        <is>
          <t>OT-2025-0173</t>
        </is>
      </c>
      <c r="J143" s="9">
        <f>IF(I143="","",IFERROR(INDEX('Ordres de travail'!$D$5:$D$3004,MATCH(I143,'Ordres de travail'!$A$5:$A$3004,0)),""))</f>
        <v/>
      </c>
      <c r="K143" s="9">
        <f>IF(D143="","",IFERROR(INDEX('Stock pièces'!$D$5:$D$404,MATCH(D143,'Stock pièces'!$A$5:$A$404,0)),""))</f>
        <v/>
      </c>
      <c r="L143" s="7" t="n"/>
      <c r="M143" s="7" t="n"/>
    </row>
    <row r="144">
      <c r="A144" s="7" t="inlineStr">
        <is>
          <t>MV-00140</t>
        </is>
      </c>
      <c r="B144" s="75" t="n">
        <v>45737.43541666667</v>
      </c>
      <c r="C144" s="7" t="inlineStr">
        <is>
          <t>Sortie</t>
        </is>
      </c>
      <c r="D144" s="7" t="inlineStr">
        <is>
          <t>PD-0061</t>
        </is>
      </c>
      <c r="E144" s="9">
        <f>IF(D144="","",IFERROR(INDEX('Stock pièces'!$B$5:$B$404,MATCH(D144,'Stock pièces'!$A$5:$A$404,0)),"Réf. inconnue"))</f>
        <v/>
      </c>
      <c r="F144" s="67" t="n">
        <v>1</v>
      </c>
      <c r="G144" s="81">
        <f>IF(D144="","",IFERROR(INDEX('Stock pièces'!$I$5:$I$404,MATCH(D144,'Stock pièces'!$A$5:$A$404,0)),0))</f>
        <v/>
      </c>
      <c r="H144" s="81">
        <f>IF(D144="","",N(F144)*N(G144))</f>
        <v/>
      </c>
      <c r="I144" s="7" t="inlineStr">
        <is>
          <t>OT-2025-0173</t>
        </is>
      </c>
      <c r="J144" s="9">
        <f>IF(I144="","",IFERROR(INDEX('Ordres de travail'!$D$5:$D$3004,MATCH(I144,'Ordres de travail'!$A$5:$A$3004,0)),""))</f>
        <v/>
      </c>
      <c r="K144" s="9">
        <f>IF(D144="","",IFERROR(INDEX('Stock pièces'!$D$5:$D$404,MATCH(D144,'Stock pièces'!$A$5:$A$404,0)),""))</f>
        <v/>
      </c>
      <c r="L144" s="7" t="n"/>
      <c r="M144" s="7" t="n"/>
    </row>
    <row r="145">
      <c r="A145" s="7" t="inlineStr">
        <is>
          <t>MV-00141</t>
        </is>
      </c>
      <c r="B145" s="75" t="n">
        <v>45737.80208333334</v>
      </c>
      <c r="C145" s="7" t="inlineStr">
        <is>
          <t>Sortie</t>
        </is>
      </c>
      <c r="D145" s="7" t="inlineStr">
        <is>
          <t>PD-0019</t>
        </is>
      </c>
      <c r="E145" s="9">
        <f>IF(D145="","",IFERROR(INDEX('Stock pièces'!$B$5:$B$404,MATCH(D145,'Stock pièces'!$A$5:$A$404,0)),"Réf. inconnue"))</f>
        <v/>
      </c>
      <c r="F145" s="67" t="n">
        <v>1</v>
      </c>
      <c r="G145" s="81">
        <f>IF(D145="","",IFERROR(INDEX('Stock pièces'!$I$5:$I$404,MATCH(D145,'Stock pièces'!$A$5:$A$404,0)),0))</f>
        <v/>
      </c>
      <c r="H145" s="81">
        <f>IF(D145="","",N(F145)*N(G145))</f>
        <v/>
      </c>
      <c r="I145" s="7" t="inlineStr">
        <is>
          <t>OT-2025-0171</t>
        </is>
      </c>
      <c r="J145" s="9">
        <f>IF(I145="","",IFERROR(INDEX('Ordres de travail'!$D$5:$D$3004,MATCH(I145,'Ordres de travail'!$A$5:$A$3004,0)),""))</f>
        <v/>
      </c>
      <c r="K145" s="9">
        <f>IF(D145="","",IFERROR(INDEX('Stock pièces'!$D$5:$D$404,MATCH(D145,'Stock pièces'!$A$5:$A$404,0)),""))</f>
        <v/>
      </c>
      <c r="L145" s="7" t="n"/>
      <c r="M145" s="7" t="n"/>
    </row>
    <row r="146">
      <c r="A146" s="7" t="inlineStr">
        <is>
          <t>MV-00142</t>
        </is>
      </c>
      <c r="B146" s="75" t="n">
        <v>45738.58958333333</v>
      </c>
      <c r="C146" s="7" t="inlineStr">
        <is>
          <t>Sortie</t>
        </is>
      </c>
      <c r="D146" s="7" t="inlineStr">
        <is>
          <t>PD-0001</t>
        </is>
      </c>
      <c r="E146" s="9">
        <f>IF(D146="","",IFERROR(INDEX('Stock pièces'!$B$5:$B$404,MATCH(D146,'Stock pièces'!$A$5:$A$404,0)),"Réf. inconnue"))</f>
        <v/>
      </c>
      <c r="F146" s="67" t="n">
        <v>3</v>
      </c>
      <c r="G146" s="81">
        <f>IF(D146="","",IFERROR(INDEX('Stock pièces'!$I$5:$I$404,MATCH(D146,'Stock pièces'!$A$5:$A$404,0)),0))</f>
        <v/>
      </c>
      <c r="H146" s="81">
        <f>IF(D146="","",N(F146)*N(G146))</f>
        <v/>
      </c>
      <c r="I146" s="7" t="inlineStr">
        <is>
          <t>OT-2025-0177</t>
        </is>
      </c>
      <c r="J146" s="9">
        <f>IF(I146="","",IFERROR(INDEX('Ordres de travail'!$D$5:$D$3004,MATCH(I146,'Ordres de travail'!$A$5:$A$3004,0)),""))</f>
        <v/>
      </c>
      <c r="K146" s="9">
        <f>IF(D146="","",IFERROR(INDEX('Stock pièces'!$D$5:$D$404,MATCH(D146,'Stock pièces'!$A$5:$A$404,0)),""))</f>
        <v/>
      </c>
      <c r="L146" s="7" t="n"/>
      <c r="M146" s="7" t="n"/>
    </row>
    <row r="147">
      <c r="A147" s="7" t="inlineStr">
        <is>
          <t>MV-00143</t>
        </is>
      </c>
      <c r="B147" s="75" t="n">
        <v>45738.58958333333</v>
      </c>
      <c r="C147" s="7" t="inlineStr">
        <is>
          <t>Sortie</t>
        </is>
      </c>
      <c r="D147" s="7" t="inlineStr">
        <is>
          <t>PD-0004</t>
        </is>
      </c>
      <c r="E147" s="9">
        <f>IF(D147="","",IFERROR(INDEX('Stock pièces'!$B$5:$B$404,MATCH(D147,'Stock pièces'!$A$5:$A$404,0)),"Réf. inconnue"))</f>
        <v/>
      </c>
      <c r="F147" s="67" t="n">
        <v>1</v>
      </c>
      <c r="G147" s="81">
        <f>IF(D147="","",IFERROR(INDEX('Stock pièces'!$I$5:$I$404,MATCH(D147,'Stock pièces'!$A$5:$A$404,0)),0))</f>
        <v/>
      </c>
      <c r="H147" s="81">
        <f>IF(D147="","",N(F147)*N(G147))</f>
        <v/>
      </c>
      <c r="I147" s="7" t="inlineStr">
        <is>
          <t>OT-2025-0177</t>
        </is>
      </c>
      <c r="J147" s="9">
        <f>IF(I147="","",IFERROR(INDEX('Ordres de travail'!$D$5:$D$3004,MATCH(I147,'Ordres de travail'!$A$5:$A$3004,0)),""))</f>
        <v/>
      </c>
      <c r="K147" s="9">
        <f>IF(D147="","",IFERROR(INDEX('Stock pièces'!$D$5:$D$404,MATCH(D147,'Stock pièces'!$A$5:$A$404,0)),""))</f>
        <v/>
      </c>
      <c r="L147" s="7" t="n"/>
      <c r="M147" s="7" t="n"/>
    </row>
    <row r="148">
      <c r="A148" s="7" t="inlineStr">
        <is>
          <t>MV-00144</t>
        </is>
      </c>
      <c r="B148" s="75" t="n">
        <v>45740.52083333334</v>
      </c>
      <c r="C148" s="7" t="inlineStr">
        <is>
          <t>Sortie</t>
        </is>
      </c>
      <c r="D148" s="7" t="inlineStr">
        <is>
          <t>PD-0025</t>
        </is>
      </c>
      <c r="E148" s="9">
        <f>IF(D148="","",IFERROR(INDEX('Stock pièces'!$B$5:$B$404,MATCH(D148,'Stock pièces'!$A$5:$A$404,0)),"Réf. inconnue"))</f>
        <v/>
      </c>
      <c r="F148" s="67" t="n">
        <v>3</v>
      </c>
      <c r="G148" s="81">
        <f>IF(D148="","",IFERROR(INDEX('Stock pièces'!$I$5:$I$404,MATCH(D148,'Stock pièces'!$A$5:$A$404,0)),0))</f>
        <v/>
      </c>
      <c r="H148" s="81">
        <f>IF(D148="","",N(F148)*N(G148))</f>
        <v/>
      </c>
      <c r="I148" s="7" t="inlineStr">
        <is>
          <t>OT-2025-0167</t>
        </is>
      </c>
      <c r="J148" s="9">
        <f>IF(I148="","",IFERROR(INDEX('Ordres de travail'!$D$5:$D$3004,MATCH(I148,'Ordres de travail'!$A$5:$A$3004,0)),""))</f>
        <v/>
      </c>
      <c r="K148" s="9">
        <f>IF(D148="","",IFERROR(INDEX('Stock pièces'!$D$5:$D$404,MATCH(D148,'Stock pièces'!$A$5:$A$404,0)),""))</f>
        <v/>
      </c>
      <c r="L148" s="7" t="n"/>
      <c r="M148" s="7" t="n"/>
    </row>
    <row r="149">
      <c r="A149" s="7" t="inlineStr">
        <is>
          <t>MV-00145</t>
        </is>
      </c>
      <c r="B149" s="75" t="n">
        <v>45740.59027777778</v>
      </c>
      <c r="C149" s="7" t="inlineStr">
        <is>
          <t>Sortie</t>
        </is>
      </c>
      <c r="D149" s="7" t="inlineStr">
        <is>
          <t>PD-0019</t>
        </is>
      </c>
      <c r="E149" s="9">
        <f>IF(D149="","",IFERROR(INDEX('Stock pièces'!$B$5:$B$404,MATCH(D149,'Stock pièces'!$A$5:$A$404,0)),"Réf. inconnue"))</f>
        <v/>
      </c>
      <c r="F149" s="67" t="n">
        <v>2</v>
      </c>
      <c r="G149" s="81">
        <f>IF(D149="","",IFERROR(INDEX('Stock pièces'!$I$5:$I$404,MATCH(D149,'Stock pièces'!$A$5:$A$404,0)),0))</f>
        <v/>
      </c>
      <c r="H149" s="81">
        <f>IF(D149="","",N(F149)*N(G149))</f>
        <v/>
      </c>
      <c r="I149" s="7" t="inlineStr">
        <is>
          <t>OT-2025-0165</t>
        </is>
      </c>
      <c r="J149" s="9">
        <f>IF(I149="","",IFERROR(INDEX('Ordres de travail'!$D$5:$D$3004,MATCH(I149,'Ordres de travail'!$A$5:$A$3004,0)),""))</f>
        <v/>
      </c>
      <c r="K149" s="9">
        <f>IF(D149="","",IFERROR(INDEX('Stock pièces'!$D$5:$D$404,MATCH(D149,'Stock pièces'!$A$5:$A$404,0)),""))</f>
        <v/>
      </c>
      <c r="L149" s="7" t="n"/>
      <c r="M149" s="7" t="n"/>
    </row>
    <row r="150">
      <c r="A150" s="7" t="inlineStr">
        <is>
          <t>MV-00146</t>
        </is>
      </c>
      <c r="B150" s="75" t="n">
        <v>45742.25833333333</v>
      </c>
      <c r="C150" s="7" t="inlineStr">
        <is>
          <t>Sortie</t>
        </is>
      </c>
      <c r="D150" s="7" t="inlineStr">
        <is>
          <t>PD-0054</t>
        </is>
      </c>
      <c r="E150" s="9">
        <f>IF(D150="","",IFERROR(INDEX('Stock pièces'!$B$5:$B$404,MATCH(D150,'Stock pièces'!$A$5:$A$404,0)),"Réf. inconnue"))</f>
        <v/>
      </c>
      <c r="F150" s="67" t="n">
        <v>3</v>
      </c>
      <c r="G150" s="81">
        <f>IF(D150="","",IFERROR(INDEX('Stock pièces'!$I$5:$I$404,MATCH(D150,'Stock pièces'!$A$5:$A$404,0)),0))</f>
        <v/>
      </c>
      <c r="H150" s="81">
        <f>IF(D150="","",N(F150)*N(G150))</f>
        <v/>
      </c>
      <c r="I150" s="7" t="inlineStr">
        <is>
          <t>OT-2025-0179</t>
        </is>
      </c>
      <c r="J150" s="9">
        <f>IF(I150="","",IFERROR(INDEX('Ordres de travail'!$D$5:$D$3004,MATCH(I150,'Ordres de travail'!$A$5:$A$3004,0)),""))</f>
        <v/>
      </c>
      <c r="K150" s="9">
        <f>IF(D150="","",IFERROR(INDEX('Stock pièces'!$D$5:$D$404,MATCH(D150,'Stock pièces'!$A$5:$A$404,0)),""))</f>
        <v/>
      </c>
      <c r="L150" s="7" t="n"/>
      <c r="M150" s="7" t="n"/>
    </row>
    <row r="151">
      <c r="A151" s="7" t="inlineStr">
        <is>
          <t>MV-00147</t>
        </is>
      </c>
      <c r="B151" s="75" t="n">
        <v>45742.37361111111</v>
      </c>
      <c r="C151" s="7" t="inlineStr">
        <is>
          <t>Sortie</t>
        </is>
      </c>
      <c r="D151" s="7" t="inlineStr">
        <is>
          <t>PD-0012</t>
        </is>
      </c>
      <c r="E151" s="9">
        <f>IF(D151="","",IFERROR(INDEX('Stock pièces'!$B$5:$B$404,MATCH(D151,'Stock pièces'!$A$5:$A$404,0)),"Réf. inconnue"))</f>
        <v/>
      </c>
      <c r="F151" s="67" t="n">
        <v>2</v>
      </c>
      <c r="G151" s="81">
        <f>IF(D151="","",IFERROR(INDEX('Stock pièces'!$I$5:$I$404,MATCH(D151,'Stock pièces'!$A$5:$A$404,0)),0))</f>
        <v/>
      </c>
      <c r="H151" s="81">
        <f>IF(D151="","",N(F151)*N(G151))</f>
        <v/>
      </c>
      <c r="I151" s="7" t="inlineStr">
        <is>
          <t>OT-2025-0185</t>
        </is>
      </c>
      <c r="J151" s="9">
        <f>IF(I151="","",IFERROR(INDEX('Ordres de travail'!$D$5:$D$3004,MATCH(I151,'Ordres de travail'!$A$5:$A$3004,0)),""))</f>
        <v/>
      </c>
      <c r="K151" s="9">
        <f>IF(D151="","",IFERROR(INDEX('Stock pièces'!$D$5:$D$404,MATCH(D151,'Stock pièces'!$A$5:$A$404,0)),""))</f>
        <v/>
      </c>
      <c r="L151" s="7" t="n"/>
      <c r="M151" s="7" t="n"/>
    </row>
    <row r="152">
      <c r="A152" s="7" t="inlineStr">
        <is>
          <t>MV-00148</t>
        </is>
      </c>
      <c r="B152" s="75" t="n">
        <v>45742.375</v>
      </c>
      <c r="C152" s="7" t="inlineStr">
        <is>
          <t>Sortie</t>
        </is>
      </c>
      <c r="D152" s="7" t="inlineStr">
        <is>
          <t>PD-0017</t>
        </is>
      </c>
      <c r="E152" s="9">
        <f>IF(D152="","",IFERROR(INDEX('Stock pièces'!$B$5:$B$404,MATCH(D152,'Stock pièces'!$A$5:$A$404,0)),"Réf. inconnue"))</f>
        <v/>
      </c>
      <c r="F152" s="67" t="n">
        <v>1</v>
      </c>
      <c r="G152" s="81">
        <f>IF(D152="","",IFERROR(INDEX('Stock pièces'!$I$5:$I$404,MATCH(D152,'Stock pièces'!$A$5:$A$404,0)),0))</f>
        <v/>
      </c>
      <c r="H152" s="81">
        <f>IF(D152="","",N(F152)*N(G152))</f>
        <v/>
      </c>
      <c r="I152" s="7" t="inlineStr">
        <is>
          <t>OT-2025-0169</t>
        </is>
      </c>
      <c r="J152" s="9">
        <f>IF(I152="","",IFERROR(INDEX('Ordres de travail'!$D$5:$D$3004,MATCH(I152,'Ordres de travail'!$A$5:$A$3004,0)),""))</f>
        <v/>
      </c>
      <c r="K152" s="9">
        <f>IF(D152="","",IFERROR(INDEX('Stock pièces'!$D$5:$D$404,MATCH(D152,'Stock pièces'!$A$5:$A$404,0)),""))</f>
        <v/>
      </c>
      <c r="L152" s="7" t="n"/>
      <c r="M152" s="7" t="n"/>
    </row>
    <row r="153">
      <c r="A153" s="7" t="inlineStr">
        <is>
          <t>MV-00149</t>
        </is>
      </c>
      <c r="B153" s="75" t="n">
        <v>45742.41666666666</v>
      </c>
      <c r="C153" s="7" t="inlineStr">
        <is>
          <t>Entrée</t>
        </is>
      </c>
      <c r="D153" s="7" t="inlineStr">
        <is>
          <t>PD-0001</t>
        </is>
      </c>
      <c r="E153" s="9">
        <f>IF(D153="","",IFERROR(INDEX('Stock pièces'!$B$5:$B$404,MATCH(D153,'Stock pièces'!$A$5:$A$404,0)),"Réf. inconnue"))</f>
        <v/>
      </c>
      <c r="F153" s="67" t="n">
        <v>8</v>
      </c>
      <c r="G153" s="81">
        <f>IF(D153="","",IFERROR(INDEX('Stock pièces'!$I$5:$I$404,MATCH(D153,'Stock pièces'!$A$5:$A$404,0)),0))</f>
        <v/>
      </c>
      <c r="H153" s="81">
        <f>IF(D153="","",N(F153)*N(G153))</f>
        <v/>
      </c>
      <c r="I153" s="7" t="n"/>
      <c r="J153" s="9">
        <f>IF(I153="","",IFERROR(INDEX('Ordres de travail'!$D$5:$D$3004,MATCH(I153,'Ordres de travail'!$A$5:$A$3004,0)),""))</f>
        <v/>
      </c>
      <c r="K153" s="9">
        <f>IF(D153="","",IFERROR(INDEX('Stock pièces'!$D$5:$D$404,MATCH(D153,'Stock pièces'!$A$5:$A$404,0)),""))</f>
        <v/>
      </c>
      <c r="L153" s="7" t="inlineStr">
        <is>
          <t>CMD-24040</t>
        </is>
      </c>
      <c r="M153" s="7" t="inlineStr">
        <is>
          <t>Réception commande réappro</t>
        </is>
      </c>
    </row>
    <row r="154">
      <c r="A154" s="7" t="inlineStr">
        <is>
          <t>MV-00150</t>
        </is>
      </c>
      <c r="B154" s="75" t="n">
        <v>45743.25833333333</v>
      </c>
      <c r="C154" s="7" t="inlineStr">
        <is>
          <t>Retour</t>
        </is>
      </c>
      <c r="D154" s="7" t="inlineStr">
        <is>
          <t>PD-0054</t>
        </is>
      </c>
      <c r="E154" s="9">
        <f>IF(D154="","",IFERROR(INDEX('Stock pièces'!$B$5:$B$404,MATCH(D154,'Stock pièces'!$A$5:$A$404,0)),"Réf. inconnue"))</f>
        <v/>
      </c>
      <c r="F154" s="67" t="n">
        <v>1</v>
      </c>
      <c r="G154" s="81">
        <f>IF(D154="","",IFERROR(INDEX('Stock pièces'!$I$5:$I$404,MATCH(D154,'Stock pièces'!$A$5:$A$404,0)),0))</f>
        <v/>
      </c>
      <c r="H154" s="81">
        <f>IF(D154="","",N(F154)*N(G154))</f>
        <v/>
      </c>
      <c r="I154" s="7" t="inlineStr">
        <is>
          <t>OT-2025-0179</t>
        </is>
      </c>
      <c r="J154" s="9">
        <f>IF(I154="","",IFERROR(INDEX('Ordres de travail'!$D$5:$D$3004,MATCH(I154,'Ordres de travail'!$A$5:$A$3004,0)),""))</f>
        <v/>
      </c>
      <c r="K154" s="9">
        <f>IF(D154="","",IFERROR(INDEX('Stock pièces'!$D$5:$D$404,MATCH(D154,'Stock pièces'!$A$5:$A$404,0)),""))</f>
        <v/>
      </c>
      <c r="L154" s="7" t="n"/>
      <c r="M154" s="7" t="inlineStr">
        <is>
          <t>Pièce non utilisée</t>
        </is>
      </c>
    </row>
    <row r="155">
      <c r="A155" s="7" t="inlineStr">
        <is>
          <t>MV-00151</t>
        </is>
      </c>
      <c r="B155" s="75" t="n">
        <v>45744.34722222222</v>
      </c>
      <c r="C155" s="7" t="inlineStr">
        <is>
          <t>Sortie</t>
        </is>
      </c>
      <c r="D155" s="7" t="inlineStr">
        <is>
          <t>PD-0025</t>
        </is>
      </c>
      <c r="E155" s="9">
        <f>IF(D155="","",IFERROR(INDEX('Stock pièces'!$B$5:$B$404,MATCH(D155,'Stock pièces'!$A$5:$A$404,0)),"Réf. inconnue"))</f>
        <v/>
      </c>
      <c r="F155" s="67" t="n">
        <v>1</v>
      </c>
      <c r="G155" s="81">
        <f>IF(D155="","",IFERROR(INDEX('Stock pièces'!$I$5:$I$404,MATCH(D155,'Stock pièces'!$A$5:$A$404,0)),0))</f>
        <v/>
      </c>
      <c r="H155" s="81">
        <f>IF(D155="","",N(F155)*N(G155))</f>
        <v/>
      </c>
      <c r="I155" s="7" t="inlineStr">
        <is>
          <t>OT-2025-0175</t>
        </is>
      </c>
      <c r="J155" s="9">
        <f>IF(I155="","",IFERROR(INDEX('Ordres de travail'!$D$5:$D$3004,MATCH(I155,'Ordres de travail'!$A$5:$A$3004,0)),""))</f>
        <v/>
      </c>
      <c r="K155" s="9">
        <f>IF(D155="","",IFERROR(INDEX('Stock pièces'!$D$5:$D$404,MATCH(D155,'Stock pièces'!$A$5:$A$404,0)),""))</f>
        <v/>
      </c>
      <c r="L155" s="7" t="n"/>
      <c r="M155" s="7" t="n"/>
    </row>
    <row r="156">
      <c r="A156" s="7" t="inlineStr">
        <is>
          <t>MV-00152</t>
        </is>
      </c>
      <c r="B156" s="75" t="n">
        <v>45744.70138888889</v>
      </c>
      <c r="C156" s="7" t="inlineStr">
        <is>
          <t>Sortie</t>
        </is>
      </c>
      <c r="D156" s="7" t="inlineStr">
        <is>
          <t>PD-0071</t>
        </is>
      </c>
      <c r="E156" s="9">
        <f>IF(D156="","",IFERROR(INDEX('Stock pièces'!$B$5:$B$404,MATCH(D156,'Stock pièces'!$A$5:$A$404,0)),"Réf. inconnue"))</f>
        <v/>
      </c>
      <c r="F156" s="67" t="n">
        <v>2</v>
      </c>
      <c r="G156" s="81">
        <f>IF(D156="","",IFERROR(INDEX('Stock pièces'!$I$5:$I$404,MATCH(D156,'Stock pièces'!$A$5:$A$404,0)),0))</f>
        <v/>
      </c>
      <c r="H156" s="81">
        <f>IF(D156="","",N(F156)*N(G156))</f>
        <v/>
      </c>
      <c r="I156" s="7" t="inlineStr">
        <is>
          <t>OT-2025-0188</t>
        </is>
      </c>
      <c r="J156" s="9">
        <f>IF(I156="","",IFERROR(INDEX('Ordres de travail'!$D$5:$D$3004,MATCH(I156,'Ordres de travail'!$A$5:$A$3004,0)),""))</f>
        <v/>
      </c>
      <c r="K156" s="9">
        <f>IF(D156="","",IFERROR(INDEX('Stock pièces'!$D$5:$D$404,MATCH(D156,'Stock pièces'!$A$5:$A$404,0)),""))</f>
        <v/>
      </c>
      <c r="L156" s="7" t="n"/>
      <c r="M156" s="7" t="n"/>
    </row>
    <row r="157">
      <c r="A157" s="7" t="inlineStr">
        <is>
          <t>MV-00153</t>
        </is>
      </c>
      <c r="B157" s="75" t="n">
        <v>45747.27777777778</v>
      </c>
      <c r="C157" s="7" t="inlineStr">
        <is>
          <t>Sortie</t>
        </is>
      </c>
      <c r="D157" s="7" t="inlineStr">
        <is>
          <t>PD-0017</t>
        </is>
      </c>
      <c r="E157" s="9">
        <f>IF(D157="","",IFERROR(INDEX('Stock pièces'!$B$5:$B$404,MATCH(D157,'Stock pièces'!$A$5:$A$404,0)),"Réf. inconnue"))</f>
        <v/>
      </c>
      <c r="F157" s="67" t="n">
        <v>1</v>
      </c>
      <c r="G157" s="81">
        <f>IF(D157="","",IFERROR(INDEX('Stock pièces'!$I$5:$I$404,MATCH(D157,'Stock pièces'!$A$5:$A$404,0)),0))</f>
        <v/>
      </c>
      <c r="H157" s="81">
        <f>IF(D157="","",N(F157)*N(G157))</f>
        <v/>
      </c>
      <c r="I157" s="7" t="inlineStr">
        <is>
          <t>OT-2025-0182</t>
        </is>
      </c>
      <c r="J157" s="9">
        <f>IF(I157="","",IFERROR(INDEX('Ordres de travail'!$D$5:$D$3004,MATCH(I157,'Ordres de travail'!$A$5:$A$3004,0)),""))</f>
        <v/>
      </c>
      <c r="K157" s="9">
        <f>IF(D157="","",IFERROR(INDEX('Stock pièces'!$D$5:$D$404,MATCH(D157,'Stock pièces'!$A$5:$A$404,0)),""))</f>
        <v/>
      </c>
      <c r="L157" s="7" t="n"/>
      <c r="M157" s="7" t="n"/>
    </row>
    <row r="158">
      <c r="A158" s="7" t="inlineStr">
        <is>
          <t>MV-00154</t>
        </is>
      </c>
      <c r="B158" s="75" t="n">
        <v>45747.625</v>
      </c>
      <c r="C158" s="7" t="inlineStr">
        <is>
          <t>Sortie</t>
        </is>
      </c>
      <c r="D158" s="7" t="inlineStr">
        <is>
          <t>PD-0015</t>
        </is>
      </c>
      <c r="E158" s="9">
        <f>IF(D158="","",IFERROR(INDEX('Stock pièces'!$B$5:$B$404,MATCH(D158,'Stock pièces'!$A$5:$A$404,0)),"Réf. inconnue"))</f>
        <v/>
      </c>
      <c r="F158" s="67" t="n">
        <v>1</v>
      </c>
      <c r="G158" s="81">
        <f>IF(D158="","",IFERROR(INDEX('Stock pièces'!$I$5:$I$404,MATCH(D158,'Stock pièces'!$A$5:$A$404,0)),0))</f>
        <v/>
      </c>
      <c r="H158" s="81">
        <f>IF(D158="","",N(F158)*N(G158))</f>
        <v/>
      </c>
      <c r="I158" s="7" t="inlineStr">
        <is>
          <t>OT-2025-0181</t>
        </is>
      </c>
      <c r="J158" s="9">
        <f>IF(I158="","",IFERROR(INDEX('Ordres de travail'!$D$5:$D$3004,MATCH(I158,'Ordres de travail'!$A$5:$A$3004,0)),""))</f>
        <v/>
      </c>
      <c r="K158" s="9">
        <f>IF(D158="","",IFERROR(INDEX('Stock pièces'!$D$5:$D$404,MATCH(D158,'Stock pièces'!$A$5:$A$404,0)),""))</f>
        <v/>
      </c>
      <c r="L158" s="7" t="n"/>
      <c r="M158" s="7" t="n"/>
    </row>
    <row r="159">
      <c r="A159" s="7" t="inlineStr">
        <is>
          <t>MV-00155</t>
        </is>
      </c>
      <c r="B159" s="75" t="n">
        <v>45747.625</v>
      </c>
      <c r="C159" s="7" t="inlineStr">
        <is>
          <t>Sortie</t>
        </is>
      </c>
      <c r="D159" s="7" t="inlineStr">
        <is>
          <t>PD-0022</t>
        </is>
      </c>
      <c r="E159" s="9">
        <f>IF(D159="","",IFERROR(INDEX('Stock pièces'!$B$5:$B$404,MATCH(D159,'Stock pièces'!$A$5:$A$404,0)),"Réf. inconnue"))</f>
        <v/>
      </c>
      <c r="F159" s="67" t="n">
        <v>1</v>
      </c>
      <c r="G159" s="81">
        <f>IF(D159="","",IFERROR(INDEX('Stock pièces'!$I$5:$I$404,MATCH(D159,'Stock pièces'!$A$5:$A$404,0)),0))</f>
        <v/>
      </c>
      <c r="H159" s="81">
        <f>IF(D159="","",N(F159)*N(G159))</f>
        <v/>
      </c>
      <c r="I159" s="7" t="inlineStr">
        <is>
          <t>OT-2025-0181</t>
        </is>
      </c>
      <c r="J159" s="9">
        <f>IF(I159="","",IFERROR(INDEX('Ordres de travail'!$D$5:$D$3004,MATCH(I159,'Ordres de travail'!$A$5:$A$3004,0)),""))</f>
        <v/>
      </c>
      <c r="K159" s="9">
        <f>IF(D159="","",IFERROR(INDEX('Stock pièces'!$D$5:$D$404,MATCH(D159,'Stock pièces'!$A$5:$A$404,0)),""))</f>
        <v/>
      </c>
      <c r="L159" s="7" t="n"/>
      <c r="M159" s="7" t="n"/>
    </row>
    <row r="160">
      <c r="A160" s="7" t="inlineStr">
        <is>
          <t>MV-00156</t>
        </is>
      </c>
      <c r="B160" s="75" t="n">
        <v>45748</v>
      </c>
      <c r="C160" s="7" t="inlineStr">
        <is>
          <t>Sortie</t>
        </is>
      </c>
      <c r="D160" s="7" t="inlineStr">
        <is>
          <t>PD-0073</t>
        </is>
      </c>
      <c r="E160" s="9">
        <f>IF(D160="","",IFERROR(INDEX('Stock pièces'!$B$5:$B$404,MATCH(D160,'Stock pièces'!$A$5:$A$404,0)),"Réf. inconnue"))</f>
        <v/>
      </c>
      <c r="F160" s="67" t="n">
        <v>1</v>
      </c>
      <c r="G160" s="81">
        <f>IF(D160="","",IFERROR(INDEX('Stock pièces'!$I$5:$I$404,MATCH(D160,'Stock pièces'!$A$5:$A$404,0)),0))</f>
        <v/>
      </c>
      <c r="H160" s="81">
        <f>IF(D160="","",N(F160)*N(G160))</f>
        <v/>
      </c>
      <c r="I160" s="7" t="inlineStr">
        <is>
          <t>OT-2025-0192</t>
        </is>
      </c>
      <c r="J160" s="9">
        <f>IF(I160="","",IFERROR(INDEX('Ordres de travail'!$D$5:$D$3004,MATCH(I160,'Ordres de travail'!$A$5:$A$3004,0)),""))</f>
        <v/>
      </c>
      <c r="K160" s="9">
        <f>IF(D160="","",IFERROR(INDEX('Stock pièces'!$D$5:$D$404,MATCH(D160,'Stock pièces'!$A$5:$A$404,0)),""))</f>
        <v/>
      </c>
      <c r="L160" s="7" t="n"/>
      <c r="M160" s="7" t="n"/>
    </row>
    <row r="161">
      <c r="A161" s="7" t="inlineStr">
        <is>
          <t>MV-00157</t>
        </is>
      </c>
      <c r="B161" s="75" t="n">
        <v>45749.41666666666</v>
      </c>
      <c r="C161" s="7" t="inlineStr">
        <is>
          <t>Entrée</t>
        </is>
      </c>
      <c r="D161" s="7" t="inlineStr">
        <is>
          <t>PD-0043</t>
        </is>
      </c>
      <c r="E161" s="9">
        <f>IF(D161="","",IFERROR(INDEX('Stock pièces'!$B$5:$B$404,MATCH(D161,'Stock pièces'!$A$5:$A$404,0)),"Réf. inconnue"))</f>
        <v/>
      </c>
      <c r="F161" s="67" t="n">
        <v>1</v>
      </c>
      <c r="G161" s="81">
        <f>IF(D161="","",IFERROR(INDEX('Stock pièces'!$I$5:$I$404,MATCH(D161,'Stock pièces'!$A$5:$A$404,0)),0))</f>
        <v/>
      </c>
      <c r="H161" s="81">
        <f>IF(D161="","",N(F161)*N(G161))</f>
        <v/>
      </c>
      <c r="I161" s="7" t="n"/>
      <c r="J161" s="9">
        <f>IF(I161="","",IFERROR(INDEX('Ordres de travail'!$D$5:$D$3004,MATCH(I161,'Ordres de travail'!$A$5:$A$3004,0)),""))</f>
        <v/>
      </c>
      <c r="K161" s="9">
        <f>IF(D161="","",IFERROR(INDEX('Stock pièces'!$D$5:$D$404,MATCH(D161,'Stock pièces'!$A$5:$A$404,0)),""))</f>
        <v/>
      </c>
      <c r="L161" s="7" t="inlineStr">
        <is>
          <t>CMD-24039</t>
        </is>
      </c>
      <c r="M161" s="7" t="inlineStr">
        <is>
          <t>Réception commande réappro</t>
        </is>
      </c>
    </row>
    <row r="162">
      <c r="A162" s="7" t="inlineStr">
        <is>
          <t>MV-00158</t>
        </is>
      </c>
      <c r="B162" s="75" t="n">
        <v>45749.41666666666</v>
      </c>
      <c r="C162" s="7" t="inlineStr">
        <is>
          <t>Entrée</t>
        </is>
      </c>
      <c r="D162" s="7" t="inlineStr">
        <is>
          <t>PD-0054</t>
        </is>
      </c>
      <c r="E162" s="9">
        <f>IF(D162="","",IFERROR(INDEX('Stock pièces'!$B$5:$B$404,MATCH(D162,'Stock pièces'!$A$5:$A$404,0)),"Réf. inconnue"))</f>
        <v/>
      </c>
      <c r="F162" s="67" t="n">
        <v>3</v>
      </c>
      <c r="G162" s="81">
        <f>IF(D162="","",IFERROR(INDEX('Stock pièces'!$I$5:$I$404,MATCH(D162,'Stock pièces'!$A$5:$A$404,0)),0))</f>
        <v/>
      </c>
      <c r="H162" s="81">
        <f>IF(D162="","",N(F162)*N(G162))</f>
        <v/>
      </c>
      <c r="I162" s="7" t="n"/>
      <c r="J162" s="9">
        <f>IF(I162="","",IFERROR(INDEX('Ordres de travail'!$D$5:$D$3004,MATCH(I162,'Ordres de travail'!$A$5:$A$3004,0)),""))</f>
        <v/>
      </c>
      <c r="K162" s="9">
        <f>IF(D162="","",IFERROR(INDEX('Stock pièces'!$D$5:$D$404,MATCH(D162,'Stock pièces'!$A$5:$A$404,0)),""))</f>
        <v/>
      </c>
      <c r="L162" s="7" t="inlineStr">
        <is>
          <t>CMD-24042</t>
        </is>
      </c>
      <c r="M162" s="7" t="inlineStr">
        <is>
          <t>Réception commande réappro</t>
        </is>
      </c>
    </row>
    <row r="163">
      <c r="A163" s="7" t="inlineStr">
        <is>
          <t>MV-00159</t>
        </is>
      </c>
      <c r="B163" s="75" t="n">
        <v>45750.0625</v>
      </c>
      <c r="C163" s="7" t="inlineStr">
        <is>
          <t>Sortie</t>
        </is>
      </c>
      <c r="D163" s="7" t="inlineStr">
        <is>
          <t>PD-0046</t>
        </is>
      </c>
      <c r="E163" s="9">
        <f>IF(D163="","",IFERROR(INDEX('Stock pièces'!$B$5:$B$404,MATCH(D163,'Stock pièces'!$A$5:$A$404,0)),"Réf. inconnue"))</f>
        <v/>
      </c>
      <c r="F163" s="67" t="n">
        <v>1</v>
      </c>
      <c r="G163" s="81">
        <f>IF(D163="","",IFERROR(INDEX('Stock pièces'!$I$5:$I$404,MATCH(D163,'Stock pièces'!$A$5:$A$404,0)),0))</f>
        <v/>
      </c>
      <c r="H163" s="81">
        <f>IF(D163="","",N(F163)*N(G163))</f>
        <v/>
      </c>
      <c r="I163" s="7" t="inlineStr">
        <is>
          <t>OT-2025-0195</t>
        </is>
      </c>
      <c r="J163" s="9">
        <f>IF(I163="","",IFERROR(INDEX('Ordres de travail'!$D$5:$D$3004,MATCH(I163,'Ordres de travail'!$A$5:$A$3004,0)),""))</f>
        <v/>
      </c>
      <c r="K163" s="9">
        <f>IF(D163="","",IFERROR(INDEX('Stock pièces'!$D$5:$D$404,MATCH(D163,'Stock pièces'!$A$5:$A$404,0)),""))</f>
        <v/>
      </c>
      <c r="L163" s="7" t="n"/>
      <c r="M163" s="7" t="n"/>
    </row>
    <row r="164">
      <c r="A164" s="7" t="inlineStr">
        <is>
          <t>MV-00160</t>
        </is>
      </c>
      <c r="B164" s="75" t="n">
        <v>45754.37152777778</v>
      </c>
      <c r="C164" s="7" t="inlineStr">
        <is>
          <t>Sortie</t>
        </is>
      </c>
      <c r="D164" s="7" t="inlineStr">
        <is>
          <t>PD-0025</t>
        </is>
      </c>
      <c r="E164" s="9">
        <f>IF(D164="","",IFERROR(INDEX('Stock pièces'!$B$5:$B$404,MATCH(D164,'Stock pièces'!$A$5:$A$404,0)),"Réf. inconnue"))</f>
        <v/>
      </c>
      <c r="F164" s="67" t="n">
        <v>2</v>
      </c>
      <c r="G164" s="81">
        <f>IF(D164="","",IFERROR(INDEX('Stock pièces'!$I$5:$I$404,MATCH(D164,'Stock pièces'!$A$5:$A$404,0)),0))</f>
        <v/>
      </c>
      <c r="H164" s="81">
        <f>IF(D164="","",N(F164)*N(G164))</f>
        <v/>
      </c>
      <c r="I164" s="7" t="inlineStr">
        <is>
          <t>OT-2025-0191</t>
        </is>
      </c>
      <c r="J164" s="9">
        <f>IF(I164="","",IFERROR(INDEX('Ordres de travail'!$D$5:$D$3004,MATCH(I164,'Ordres de travail'!$A$5:$A$3004,0)),""))</f>
        <v/>
      </c>
      <c r="K164" s="9">
        <f>IF(D164="","",IFERROR(INDEX('Stock pièces'!$D$5:$D$404,MATCH(D164,'Stock pièces'!$A$5:$A$404,0)),""))</f>
        <v/>
      </c>
      <c r="L164" s="7" t="n"/>
      <c r="M164" s="7" t="n"/>
    </row>
    <row r="165">
      <c r="A165" s="7" t="inlineStr">
        <is>
          <t>MV-00161</t>
        </is>
      </c>
      <c r="B165" s="75" t="n">
        <v>45754.41666666666</v>
      </c>
      <c r="C165" s="7" t="inlineStr">
        <is>
          <t>Entrée</t>
        </is>
      </c>
      <c r="D165" s="7" t="inlineStr">
        <is>
          <t>PD-0017</t>
        </is>
      </c>
      <c r="E165" s="9">
        <f>IF(D165="","",IFERROR(INDEX('Stock pièces'!$B$5:$B$404,MATCH(D165,'Stock pièces'!$A$5:$A$404,0)),"Réf. inconnue"))</f>
        <v/>
      </c>
      <c r="F165" s="67" t="n">
        <v>8</v>
      </c>
      <c r="G165" s="81">
        <f>IF(D165="","",IFERROR(INDEX('Stock pièces'!$I$5:$I$404,MATCH(D165,'Stock pièces'!$A$5:$A$404,0)),0))</f>
        <v/>
      </c>
      <c r="H165" s="81">
        <f>IF(D165="","",N(F165)*N(G165))</f>
        <v/>
      </c>
      <c r="I165" s="7" t="n"/>
      <c r="J165" s="9">
        <f>IF(I165="","",IFERROR(INDEX('Ordres de travail'!$D$5:$D$3004,MATCH(I165,'Ordres de travail'!$A$5:$A$3004,0)),""))</f>
        <v/>
      </c>
      <c r="K165" s="9">
        <f>IF(D165="","",IFERROR(INDEX('Stock pièces'!$D$5:$D$404,MATCH(D165,'Stock pièces'!$A$5:$A$404,0)),""))</f>
        <v/>
      </c>
      <c r="L165" s="7" t="inlineStr">
        <is>
          <t>CMD-24043</t>
        </is>
      </c>
      <c r="M165" s="7" t="inlineStr">
        <is>
          <t>Réception commande réappro</t>
        </is>
      </c>
    </row>
    <row r="166">
      <c r="A166" s="7" t="inlineStr">
        <is>
          <t>MV-00162</t>
        </is>
      </c>
      <c r="B166" s="75" t="n">
        <v>45755.41666666666</v>
      </c>
      <c r="C166" s="7" t="inlineStr">
        <is>
          <t>Entrée</t>
        </is>
      </c>
      <c r="D166" s="7" t="inlineStr">
        <is>
          <t>PD-0004</t>
        </is>
      </c>
      <c r="E166" s="9">
        <f>IF(D166="","",IFERROR(INDEX('Stock pièces'!$B$5:$B$404,MATCH(D166,'Stock pièces'!$A$5:$A$404,0)),"Réf. inconnue"))</f>
        <v/>
      </c>
      <c r="F166" s="67" t="n">
        <v>1</v>
      </c>
      <c r="G166" s="81">
        <f>IF(D166="","",IFERROR(INDEX('Stock pièces'!$I$5:$I$404,MATCH(D166,'Stock pièces'!$A$5:$A$404,0)),0))</f>
        <v/>
      </c>
      <c r="H166" s="81">
        <f>IF(D166="","",N(F166)*N(G166))</f>
        <v/>
      </c>
      <c r="I166" s="7" t="n"/>
      <c r="J166" s="9">
        <f>IF(I166="","",IFERROR(INDEX('Ordres de travail'!$D$5:$D$3004,MATCH(I166,'Ordres de travail'!$A$5:$A$3004,0)),""))</f>
        <v/>
      </c>
      <c r="K166" s="9">
        <f>IF(D166="","",IFERROR(INDEX('Stock pièces'!$D$5:$D$404,MATCH(D166,'Stock pièces'!$A$5:$A$404,0)),""))</f>
        <v/>
      </c>
      <c r="L166" s="7" t="inlineStr">
        <is>
          <t>CMD-24041</t>
        </is>
      </c>
      <c r="M166" s="7" t="inlineStr">
        <is>
          <t>Réception commande réappro</t>
        </is>
      </c>
    </row>
    <row r="167">
      <c r="A167" s="7" t="inlineStr">
        <is>
          <t>MV-00163</t>
        </is>
      </c>
      <c r="B167" s="75" t="n">
        <v>45756.41666666666</v>
      </c>
      <c r="C167" s="7" t="inlineStr">
        <is>
          <t>Entrée</t>
        </is>
      </c>
      <c r="D167" s="7" t="inlineStr">
        <is>
          <t>PD-0071</t>
        </is>
      </c>
      <c r="E167" s="9">
        <f>IF(D167="","",IFERROR(INDEX('Stock pièces'!$B$5:$B$404,MATCH(D167,'Stock pièces'!$A$5:$A$404,0)),"Réf. inconnue"))</f>
        <v/>
      </c>
      <c r="F167" s="67" t="n">
        <v>5</v>
      </c>
      <c r="G167" s="81">
        <f>IF(D167="","",IFERROR(INDEX('Stock pièces'!$I$5:$I$404,MATCH(D167,'Stock pièces'!$A$5:$A$404,0)),0))</f>
        <v/>
      </c>
      <c r="H167" s="81">
        <f>IF(D167="","",N(F167)*N(G167))</f>
        <v/>
      </c>
      <c r="I167" s="7" t="n"/>
      <c r="J167" s="9">
        <f>IF(I167="","",IFERROR(INDEX('Ordres de travail'!$D$5:$D$3004,MATCH(I167,'Ordres de travail'!$A$5:$A$3004,0)),""))</f>
        <v/>
      </c>
      <c r="K167" s="9">
        <f>IF(D167="","",IFERROR(INDEX('Stock pièces'!$D$5:$D$404,MATCH(D167,'Stock pièces'!$A$5:$A$404,0)),""))</f>
        <v/>
      </c>
      <c r="L167" s="7" t="inlineStr">
        <is>
          <t>CMD-24044</t>
        </is>
      </c>
      <c r="M167" s="7" t="inlineStr">
        <is>
          <t>Réception commande réappro</t>
        </is>
      </c>
    </row>
    <row r="168">
      <c r="A168" s="7" t="inlineStr">
        <is>
          <t>MV-00164</t>
        </is>
      </c>
      <c r="B168" s="75" t="n">
        <v>45756.41666666666</v>
      </c>
      <c r="C168" s="7" t="inlineStr">
        <is>
          <t>Entrée</t>
        </is>
      </c>
      <c r="D168" s="7" t="inlineStr">
        <is>
          <t>PD-0046</t>
        </is>
      </c>
      <c r="E168" s="9">
        <f>IF(D168="","",IFERROR(INDEX('Stock pièces'!$B$5:$B$404,MATCH(D168,'Stock pièces'!$A$5:$A$404,0)),"Réf. inconnue"))</f>
        <v/>
      </c>
      <c r="F168" s="67" t="n">
        <v>1</v>
      </c>
      <c r="G168" s="81">
        <f>IF(D168="","",IFERROR(INDEX('Stock pièces'!$I$5:$I$404,MATCH(D168,'Stock pièces'!$A$5:$A$404,0)),0))</f>
        <v/>
      </c>
      <c r="H168" s="81">
        <f>IF(D168="","",N(F168)*N(G168))</f>
        <v/>
      </c>
      <c r="I168" s="7" t="n"/>
      <c r="J168" s="9">
        <f>IF(I168="","",IFERROR(INDEX('Ordres de travail'!$D$5:$D$3004,MATCH(I168,'Ordres de travail'!$A$5:$A$3004,0)),""))</f>
        <v/>
      </c>
      <c r="K168" s="9">
        <f>IF(D168="","",IFERROR(INDEX('Stock pièces'!$D$5:$D$404,MATCH(D168,'Stock pièces'!$A$5:$A$404,0)),""))</f>
        <v/>
      </c>
      <c r="L168" s="7" t="inlineStr">
        <is>
          <t>CMD-24046</t>
        </is>
      </c>
      <c r="M168" s="7" t="inlineStr">
        <is>
          <t>Réception commande réappro</t>
        </is>
      </c>
    </row>
    <row r="169">
      <c r="A169" s="7" t="inlineStr">
        <is>
          <t>MV-00165</t>
        </is>
      </c>
      <c r="B169" s="75" t="n">
        <v>45757.80833333333</v>
      </c>
      <c r="C169" s="7" t="inlineStr">
        <is>
          <t>Sortie</t>
        </is>
      </c>
      <c r="D169" s="7" t="inlineStr">
        <is>
          <t>PD-0018</t>
        </is>
      </c>
      <c r="E169" s="9">
        <f>IF(D169="","",IFERROR(INDEX('Stock pièces'!$B$5:$B$404,MATCH(D169,'Stock pièces'!$A$5:$A$404,0)),"Réf. inconnue"))</f>
        <v/>
      </c>
      <c r="F169" s="67" t="n">
        <v>1</v>
      </c>
      <c r="G169" s="81">
        <f>IF(D169="","",IFERROR(INDEX('Stock pièces'!$I$5:$I$404,MATCH(D169,'Stock pièces'!$A$5:$A$404,0)),0))</f>
        <v/>
      </c>
      <c r="H169" s="81">
        <f>IF(D169="","",N(F169)*N(G169))</f>
        <v/>
      </c>
      <c r="I169" s="7" t="inlineStr">
        <is>
          <t>OT-2025-0203</t>
        </is>
      </c>
      <c r="J169" s="9">
        <f>IF(I169="","",IFERROR(INDEX('Ordres de travail'!$D$5:$D$3004,MATCH(I169,'Ordres de travail'!$A$5:$A$3004,0)),""))</f>
        <v/>
      </c>
      <c r="K169" s="9">
        <f>IF(D169="","",IFERROR(INDEX('Stock pièces'!$D$5:$D$404,MATCH(D169,'Stock pièces'!$A$5:$A$404,0)),""))</f>
        <v/>
      </c>
      <c r="L169" s="7" t="n"/>
      <c r="M169" s="7" t="n"/>
    </row>
    <row r="170">
      <c r="A170" s="7" t="inlineStr">
        <is>
          <t>MV-00166</t>
        </is>
      </c>
      <c r="B170" s="75" t="n">
        <v>45757.80833333333</v>
      </c>
      <c r="C170" s="7" t="inlineStr">
        <is>
          <t>Sortie</t>
        </is>
      </c>
      <c r="D170" s="7" t="inlineStr">
        <is>
          <t>PD-0020</t>
        </is>
      </c>
      <c r="E170" s="9">
        <f>IF(D170="","",IFERROR(INDEX('Stock pièces'!$B$5:$B$404,MATCH(D170,'Stock pièces'!$A$5:$A$404,0)),"Réf. inconnue"))</f>
        <v/>
      </c>
      <c r="F170" s="67" t="n">
        <v>3</v>
      </c>
      <c r="G170" s="81">
        <f>IF(D170="","",IFERROR(INDEX('Stock pièces'!$I$5:$I$404,MATCH(D170,'Stock pièces'!$A$5:$A$404,0)),0))</f>
        <v/>
      </c>
      <c r="H170" s="81">
        <f>IF(D170="","",N(F170)*N(G170))</f>
        <v/>
      </c>
      <c r="I170" s="7" t="inlineStr">
        <is>
          <t>OT-2025-0203</t>
        </is>
      </c>
      <c r="J170" s="9">
        <f>IF(I170="","",IFERROR(INDEX('Ordres de travail'!$D$5:$D$3004,MATCH(I170,'Ordres de travail'!$A$5:$A$3004,0)),""))</f>
        <v/>
      </c>
      <c r="K170" s="9">
        <f>IF(D170="","",IFERROR(INDEX('Stock pièces'!$D$5:$D$404,MATCH(D170,'Stock pièces'!$A$5:$A$404,0)),""))</f>
        <v/>
      </c>
      <c r="L170" s="7" t="n"/>
      <c r="M170" s="7" t="n"/>
    </row>
    <row r="171">
      <c r="A171" s="7" t="inlineStr">
        <is>
          <t>MV-00167</t>
        </is>
      </c>
      <c r="B171" s="75" t="n">
        <v>45757.98472222222</v>
      </c>
      <c r="C171" s="7" t="inlineStr">
        <is>
          <t>Sortie</t>
        </is>
      </c>
      <c r="D171" s="7" t="inlineStr">
        <is>
          <t>PD-0043</t>
        </is>
      </c>
      <c r="E171" s="9">
        <f>IF(D171="","",IFERROR(INDEX('Stock pièces'!$B$5:$B$404,MATCH(D171,'Stock pièces'!$A$5:$A$404,0)),"Réf. inconnue"))</f>
        <v/>
      </c>
      <c r="F171" s="67" t="n">
        <v>1</v>
      </c>
      <c r="G171" s="81">
        <f>IF(D171="","",IFERROR(INDEX('Stock pièces'!$I$5:$I$404,MATCH(D171,'Stock pièces'!$A$5:$A$404,0)),0))</f>
        <v/>
      </c>
      <c r="H171" s="81">
        <f>IF(D171="","",N(F171)*N(G171))</f>
        <v/>
      </c>
      <c r="I171" s="7" t="inlineStr">
        <is>
          <t>OT-2025-0213</t>
        </is>
      </c>
      <c r="J171" s="9">
        <f>IF(I171="","",IFERROR(INDEX('Ordres de travail'!$D$5:$D$3004,MATCH(I171,'Ordres de travail'!$A$5:$A$3004,0)),""))</f>
        <v/>
      </c>
      <c r="K171" s="9">
        <f>IF(D171="","",IFERROR(INDEX('Stock pièces'!$D$5:$D$404,MATCH(D171,'Stock pièces'!$A$5:$A$404,0)),""))</f>
        <v/>
      </c>
      <c r="L171" s="7" t="n"/>
      <c r="M171" s="7" t="n"/>
    </row>
    <row r="172">
      <c r="A172" s="7" t="inlineStr">
        <is>
          <t>MV-00168</t>
        </is>
      </c>
      <c r="B172" s="75" t="n">
        <v>45758.27083333334</v>
      </c>
      <c r="C172" s="7" t="inlineStr">
        <is>
          <t>Sortie</t>
        </is>
      </c>
      <c r="D172" s="7" t="inlineStr">
        <is>
          <t>PD-0019</t>
        </is>
      </c>
      <c r="E172" s="9">
        <f>IF(D172="","",IFERROR(INDEX('Stock pièces'!$B$5:$B$404,MATCH(D172,'Stock pièces'!$A$5:$A$404,0)),"Réf. inconnue"))</f>
        <v/>
      </c>
      <c r="F172" s="67" t="n">
        <v>3</v>
      </c>
      <c r="G172" s="81">
        <f>IF(D172="","",IFERROR(INDEX('Stock pièces'!$I$5:$I$404,MATCH(D172,'Stock pièces'!$A$5:$A$404,0)),0))</f>
        <v/>
      </c>
      <c r="H172" s="81">
        <f>IF(D172="","",N(F172)*N(G172))</f>
        <v/>
      </c>
      <c r="I172" s="7" t="inlineStr">
        <is>
          <t>OT-2025-0201</t>
        </is>
      </c>
      <c r="J172" s="9">
        <f>IF(I172="","",IFERROR(INDEX('Ordres de travail'!$D$5:$D$3004,MATCH(I172,'Ordres de travail'!$A$5:$A$3004,0)),""))</f>
        <v/>
      </c>
      <c r="K172" s="9">
        <f>IF(D172="","",IFERROR(INDEX('Stock pièces'!$D$5:$D$404,MATCH(D172,'Stock pièces'!$A$5:$A$404,0)),""))</f>
        <v/>
      </c>
      <c r="L172" s="7" t="n"/>
      <c r="M172" s="7" t="n"/>
    </row>
    <row r="173">
      <c r="A173" s="7" t="inlineStr">
        <is>
          <t>MV-00169</t>
        </is>
      </c>
      <c r="B173" s="75" t="n">
        <v>45758.27083333334</v>
      </c>
      <c r="C173" s="7" t="inlineStr">
        <is>
          <t>Sortie</t>
        </is>
      </c>
      <c r="D173" s="7" t="inlineStr">
        <is>
          <t>PD-0020</t>
        </is>
      </c>
      <c r="E173" s="9">
        <f>IF(D173="","",IFERROR(INDEX('Stock pièces'!$B$5:$B$404,MATCH(D173,'Stock pièces'!$A$5:$A$404,0)),"Réf. inconnue"))</f>
        <v/>
      </c>
      <c r="F173" s="67" t="n">
        <v>2</v>
      </c>
      <c r="G173" s="81">
        <f>IF(D173="","",IFERROR(INDEX('Stock pièces'!$I$5:$I$404,MATCH(D173,'Stock pièces'!$A$5:$A$404,0)),0))</f>
        <v/>
      </c>
      <c r="H173" s="81">
        <f>IF(D173="","",N(F173)*N(G173))</f>
        <v/>
      </c>
      <c r="I173" s="7" t="inlineStr">
        <is>
          <t>OT-2025-0201</t>
        </is>
      </c>
      <c r="J173" s="9">
        <f>IF(I173="","",IFERROR(INDEX('Ordres de travail'!$D$5:$D$3004,MATCH(I173,'Ordres de travail'!$A$5:$A$3004,0)),""))</f>
        <v/>
      </c>
      <c r="K173" s="9">
        <f>IF(D173="","",IFERROR(INDEX('Stock pièces'!$D$5:$D$404,MATCH(D173,'Stock pièces'!$A$5:$A$404,0)),""))</f>
        <v/>
      </c>
      <c r="L173" s="7" t="n"/>
      <c r="M173" s="7" t="n"/>
    </row>
    <row r="174">
      <c r="A174" s="7" t="inlineStr">
        <is>
          <t>MV-00170</t>
        </is>
      </c>
      <c r="B174" s="75" t="n">
        <v>45759.26597222222</v>
      </c>
      <c r="C174" s="7" t="inlineStr">
        <is>
          <t>Sortie</t>
        </is>
      </c>
      <c r="D174" s="7" t="inlineStr">
        <is>
          <t>PD-0057</t>
        </is>
      </c>
      <c r="E174" s="9">
        <f>IF(D174="","",IFERROR(INDEX('Stock pièces'!$B$5:$B$404,MATCH(D174,'Stock pièces'!$A$5:$A$404,0)),"Réf. inconnue"))</f>
        <v/>
      </c>
      <c r="F174" s="67" t="n">
        <v>1</v>
      </c>
      <c r="G174" s="81">
        <f>IF(D174="","",IFERROR(INDEX('Stock pièces'!$I$5:$I$404,MATCH(D174,'Stock pièces'!$A$5:$A$404,0)),0))</f>
        <v/>
      </c>
      <c r="H174" s="81">
        <f>IF(D174="","",N(F174)*N(G174))</f>
        <v/>
      </c>
      <c r="I174" s="7" t="inlineStr">
        <is>
          <t>OT-2025-0222</t>
        </is>
      </c>
      <c r="J174" s="9">
        <f>IF(I174="","",IFERROR(INDEX('Ordres de travail'!$D$5:$D$3004,MATCH(I174,'Ordres de travail'!$A$5:$A$3004,0)),""))</f>
        <v/>
      </c>
      <c r="K174" s="9">
        <f>IF(D174="","",IFERROR(INDEX('Stock pièces'!$D$5:$D$404,MATCH(D174,'Stock pièces'!$A$5:$A$404,0)),""))</f>
        <v/>
      </c>
      <c r="L174" s="7" t="n"/>
      <c r="M174" s="7" t="n"/>
    </row>
    <row r="175">
      <c r="A175" s="7" t="inlineStr">
        <is>
          <t>MV-00171</t>
        </is>
      </c>
      <c r="B175" s="75" t="n">
        <v>45761.45486111111</v>
      </c>
      <c r="C175" s="7" t="inlineStr">
        <is>
          <t>Sortie</t>
        </is>
      </c>
      <c r="D175" s="7" t="inlineStr">
        <is>
          <t>PD-0025</t>
        </is>
      </c>
      <c r="E175" s="9">
        <f>IF(D175="","",IFERROR(INDEX('Stock pièces'!$B$5:$B$404,MATCH(D175,'Stock pièces'!$A$5:$A$404,0)),"Réf. inconnue"))</f>
        <v/>
      </c>
      <c r="F175" s="67" t="n">
        <v>3</v>
      </c>
      <c r="G175" s="81">
        <f>IF(D175="","",IFERROR(INDEX('Stock pièces'!$I$5:$I$404,MATCH(D175,'Stock pièces'!$A$5:$A$404,0)),0))</f>
        <v/>
      </c>
      <c r="H175" s="81">
        <f>IF(D175="","",N(F175)*N(G175))</f>
        <v/>
      </c>
      <c r="I175" s="7" t="inlineStr">
        <is>
          <t>OT-2025-0209</t>
        </is>
      </c>
      <c r="J175" s="9">
        <f>IF(I175="","",IFERROR(INDEX('Ordres de travail'!$D$5:$D$3004,MATCH(I175,'Ordres de travail'!$A$5:$A$3004,0)),""))</f>
        <v/>
      </c>
      <c r="K175" s="9">
        <f>IF(D175="","",IFERROR(INDEX('Stock pièces'!$D$5:$D$404,MATCH(D175,'Stock pièces'!$A$5:$A$404,0)),""))</f>
        <v/>
      </c>
      <c r="L175" s="7" t="n"/>
      <c r="M175" s="7" t="n"/>
    </row>
    <row r="176">
      <c r="A176" s="7" t="inlineStr">
        <is>
          <t>MV-00172</t>
        </is>
      </c>
      <c r="B176" s="75" t="n">
        <v>45761.54861111111</v>
      </c>
      <c r="C176" s="7" t="inlineStr">
        <is>
          <t>Sortie</t>
        </is>
      </c>
      <c r="D176" s="7" t="inlineStr">
        <is>
          <t>PD-0017</t>
        </is>
      </c>
      <c r="E176" s="9">
        <f>IF(D176="","",IFERROR(INDEX('Stock pièces'!$B$5:$B$404,MATCH(D176,'Stock pièces'!$A$5:$A$404,0)),"Réf. inconnue"))</f>
        <v/>
      </c>
      <c r="F176" s="67" t="n">
        <v>1</v>
      </c>
      <c r="G176" s="81">
        <f>IF(D176="","",IFERROR(INDEX('Stock pièces'!$I$5:$I$404,MATCH(D176,'Stock pièces'!$A$5:$A$404,0)),0))</f>
        <v/>
      </c>
      <c r="H176" s="81">
        <f>IF(D176="","",N(F176)*N(G176))</f>
        <v/>
      </c>
      <c r="I176" s="7" t="inlineStr">
        <is>
          <t>OT-2025-0207</t>
        </is>
      </c>
      <c r="J176" s="9">
        <f>IF(I176="","",IFERROR(INDEX('Ordres de travail'!$D$5:$D$3004,MATCH(I176,'Ordres de travail'!$A$5:$A$3004,0)),""))</f>
        <v/>
      </c>
      <c r="K176" s="9">
        <f>IF(D176="","",IFERROR(INDEX('Stock pièces'!$D$5:$D$404,MATCH(D176,'Stock pièces'!$A$5:$A$404,0)),""))</f>
        <v/>
      </c>
      <c r="L176" s="7" t="n"/>
      <c r="M176" s="7" t="n"/>
    </row>
    <row r="177">
      <c r="A177" s="7" t="inlineStr">
        <is>
          <t>MV-00173</t>
        </is>
      </c>
      <c r="B177" s="75" t="n">
        <v>45764.26736111111</v>
      </c>
      <c r="C177" s="7" t="inlineStr">
        <is>
          <t>Sortie</t>
        </is>
      </c>
      <c r="D177" s="7" t="inlineStr">
        <is>
          <t>PD-0062</t>
        </is>
      </c>
      <c r="E177" s="9">
        <f>IF(D177="","",IFERROR(INDEX('Stock pièces'!$B$5:$B$404,MATCH(D177,'Stock pièces'!$A$5:$A$404,0)),"Réf. inconnue"))</f>
        <v/>
      </c>
      <c r="F177" s="67" t="n">
        <v>1</v>
      </c>
      <c r="G177" s="81">
        <f>IF(D177="","",IFERROR(INDEX('Stock pièces'!$I$5:$I$404,MATCH(D177,'Stock pièces'!$A$5:$A$404,0)),0))</f>
        <v/>
      </c>
      <c r="H177" s="81">
        <f>IF(D177="","",N(F177)*N(G177))</f>
        <v/>
      </c>
      <c r="I177" s="7" t="inlineStr">
        <is>
          <t>OT-2025-0215</t>
        </is>
      </c>
      <c r="J177" s="9">
        <f>IF(I177="","",IFERROR(INDEX('Ordres de travail'!$D$5:$D$3004,MATCH(I177,'Ordres de travail'!$A$5:$A$3004,0)),""))</f>
        <v/>
      </c>
      <c r="K177" s="9">
        <f>IF(D177="","",IFERROR(INDEX('Stock pièces'!$D$5:$D$404,MATCH(D177,'Stock pièces'!$A$5:$A$404,0)),""))</f>
        <v/>
      </c>
      <c r="L177" s="7" t="n"/>
      <c r="M177" s="7" t="n"/>
    </row>
    <row r="178">
      <c r="A178" s="7" t="inlineStr">
        <is>
          <t>MV-00174</t>
        </is>
      </c>
      <c r="B178" s="75" t="n">
        <v>45765.41666666666</v>
      </c>
      <c r="C178" s="7" t="inlineStr">
        <is>
          <t>Entrée</t>
        </is>
      </c>
      <c r="D178" s="7" t="inlineStr">
        <is>
          <t>PD-0020</t>
        </is>
      </c>
      <c r="E178" s="9">
        <f>IF(D178="","",IFERROR(INDEX('Stock pièces'!$B$5:$B$404,MATCH(D178,'Stock pièces'!$A$5:$A$404,0)),"Réf. inconnue"))</f>
        <v/>
      </c>
      <c r="F178" s="67" t="n">
        <v>8</v>
      </c>
      <c r="G178" s="81">
        <f>IF(D178="","",IFERROR(INDEX('Stock pièces'!$I$5:$I$404,MATCH(D178,'Stock pièces'!$A$5:$A$404,0)),0))</f>
        <v/>
      </c>
      <c r="H178" s="81">
        <f>IF(D178="","",N(F178)*N(G178))</f>
        <v/>
      </c>
      <c r="I178" s="7" t="n"/>
      <c r="J178" s="9">
        <f>IF(I178="","",IFERROR(INDEX('Ordres de travail'!$D$5:$D$3004,MATCH(I178,'Ordres de travail'!$A$5:$A$3004,0)),""))</f>
        <v/>
      </c>
      <c r="K178" s="9">
        <f>IF(D178="","",IFERROR(INDEX('Stock pièces'!$D$5:$D$404,MATCH(D178,'Stock pièces'!$A$5:$A$404,0)),""))</f>
        <v/>
      </c>
      <c r="L178" s="7" t="inlineStr">
        <is>
          <t>CMD-24048</t>
        </is>
      </c>
      <c r="M178" s="7" t="inlineStr">
        <is>
          <t>Réception commande réappro</t>
        </is>
      </c>
    </row>
    <row r="179">
      <c r="A179" s="7" t="inlineStr">
        <is>
          <t>MV-00175</t>
        </is>
      </c>
      <c r="B179" s="75" t="n">
        <v>45765.44444444445</v>
      </c>
      <c r="C179" s="7" t="inlineStr">
        <is>
          <t>Sortie</t>
        </is>
      </c>
      <c r="D179" s="7" t="inlineStr">
        <is>
          <t>PD-0017</t>
        </is>
      </c>
      <c r="E179" s="9">
        <f>IF(D179="","",IFERROR(INDEX('Stock pièces'!$B$5:$B$404,MATCH(D179,'Stock pièces'!$A$5:$A$404,0)),"Réf. inconnue"))</f>
        <v/>
      </c>
      <c r="F179" s="67" t="n">
        <v>1</v>
      </c>
      <c r="G179" s="81">
        <f>IF(D179="","",IFERROR(INDEX('Stock pièces'!$I$5:$I$404,MATCH(D179,'Stock pièces'!$A$5:$A$404,0)),0))</f>
        <v/>
      </c>
      <c r="H179" s="81">
        <f>IF(D179="","",N(F179)*N(G179))</f>
        <v/>
      </c>
      <c r="I179" s="7" t="inlineStr">
        <is>
          <t>OT-2025-0221</t>
        </is>
      </c>
      <c r="J179" s="9">
        <f>IF(I179="","",IFERROR(INDEX('Ordres de travail'!$D$5:$D$3004,MATCH(I179,'Ordres de travail'!$A$5:$A$3004,0)),""))</f>
        <v/>
      </c>
      <c r="K179" s="9">
        <f>IF(D179="","",IFERROR(INDEX('Stock pièces'!$D$5:$D$404,MATCH(D179,'Stock pièces'!$A$5:$A$404,0)),""))</f>
        <v/>
      </c>
      <c r="L179" s="7" t="n"/>
      <c r="M179" s="7" t="n"/>
    </row>
    <row r="180">
      <c r="A180" s="7" t="inlineStr">
        <is>
          <t>MV-00176</t>
        </is>
      </c>
      <c r="B180" s="75" t="n">
        <v>45765.61805555555</v>
      </c>
      <c r="C180" s="7" t="inlineStr">
        <is>
          <t>Sortie</t>
        </is>
      </c>
      <c r="D180" s="7" t="inlineStr">
        <is>
          <t>PD-0044</t>
        </is>
      </c>
      <c r="E180" s="9">
        <f>IF(D180="","",IFERROR(INDEX('Stock pièces'!$B$5:$B$404,MATCH(D180,'Stock pièces'!$A$5:$A$404,0)),"Réf. inconnue"))</f>
        <v/>
      </c>
      <c r="F180" s="67" t="n">
        <v>1</v>
      </c>
      <c r="G180" s="81">
        <f>IF(D180="","",IFERROR(INDEX('Stock pièces'!$I$5:$I$404,MATCH(D180,'Stock pièces'!$A$5:$A$404,0)),0))</f>
        <v/>
      </c>
      <c r="H180" s="81">
        <f>IF(D180="","",N(F180)*N(G180))</f>
        <v/>
      </c>
      <c r="I180" s="7" t="inlineStr">
        <is>
          <t>OT-2025-0223</t>
        </is>
      </c>
      <c r="J180" s="9">
        <f>IF(I180="","",IFERROR(INDEX('Ordres de travail'!$D$5:$D$3004,MATCH(I180,'Ordres de travail'!$A$5:$A$3004,0)),""))</f>
        <v/>
      </c>
      <c r="K180" s="9">
        <f>IF(D180="","",IFERROR(INDEX('Stock pièces'!$D$5:$D$404,MATCH(D180,'Stock pièces'!$A$5:$A$404,0)),""))</f>
        <v/>
      </c>
      <c r="L180" s="7" t="n"/>
      <c r="M180" s="7" t="n"/>
    </row>
    <row r="181">
      <c r="A181" s="7" t="inlineStr">
        <is>
          <t>MV-00177</t>
        </is>
      </c>
      <c r="B181" s="75" t="n">
        <v>45768.14375</v>
      </c>
      <c r="C181" s="7" t="inlineStr">
        <is>
          <t>Sortie</t>
        </is>
      </c>
      <c r="D181" s="7" t="inlineStr">
        <is>
          <t>PD-0028</t>
        </is>
      </c>
      <c r="E181" s="9">
        <f>IF(D181="","",IFERROR(INDEX('Stock pièces'!$B$5:$B$404,MATCH(D181,'Stock pièces'!$A$5:$A$404,0)),"Réf. inconnue"))</f>
        <v/>
      </c>
      <c r="F181" s="67" t="n">
        <v>1</v>
      </c>
      <c r="G181" s="81">
        <f>IF(D181="","",IFERROR(INDEX('Stock pièces'!$I$5:$I$404,MATCH(D181,'Stock pièces'!$A$5:$A$404,0)),0))</f>
        <v/>
      </c>
      <c r="H181" s="81">
        <f>IF(D181="","",N(F181)*N(G181))</f>
        <v/>
      </c>
      <c r="I181" s="7" t="inlineStr">
        <is>
          <t>OT-2025-0236</t>
        </is>
      </c>
      <c r="J181" s="9">
        <f>IF(I181="","",IFERROR(INDEX('Ordres de travail'!$D$5:$D$3004,MATCH(I181,'Ordres de travail'!$A$5:$A$3004,0)),""))</f>
        <v/>
      </c>
      <c r="K181" s="9">
        <f>IF(D181="","",IFERROR(INDEX('Stock pièces'!$D$5:$D$404,MATCH(D181,'Stock pièces'!$A$5:$A$404,0)),""))</f>
        <v/>
      </c>
      <c r="L181" s="7" t="n"/>
      <c r="M181" s="7" t="n"/>
    </row>
    <row r="182">
      <c r="A182" s="7" t="inlineStr">
        <is>
          <t>MV-00178</t>
        </is>
      </c>
      <c r="B182" s="75" t="n">
        <v>45768.14375</v>
      </c>
      <c r="C182" s="7" t="inlineStr">
        <is>
          <t>Sortie</t>
        </is>
      </c>
      <c r="D182" s="7" t="inlineStr">
        <is>
          <t>PD-0030</t>
        </is>
      </c>
      <c r="E182" s="9">
        <f>IF(D182="","",IFERROR(INDEX('Stock pièces'!$B$5:$B$404,MATCH(D182,'Stock pièces'!$A$5:$A$404,0)),"Réf. inconnue"))</f>
        <v/>
      </c>
      <c r="F182" s="67" t="n">
        <v>1</v>
      </c>
      <c r="G182" s="81">
        <f>IF(D182="","",IFERROR(INDEX('Stock pièces'!$I$5:$I$404,MATCH(D182,'Stock pièces'!$A$5:$A$404,0)),0))</f>
        <v/>
      </c>
      <c r="H182" s="81">
        <f>IF(D182="","",N(F182)*N(G182))</f>
        <v/>
      </c>
      <c r="I182" s="7" t="inlineStr">
        <is>
          <t>OT-2025-0236</t>
        </is>
      </c>
      <c r="J182" s="9">
        <f>IF(I182="","",IFERROR(INDEX('Ordres de travail'!$D$5:$D$3004,MATCH(I182,'Ordres de travail'!$A$5:$A$3004,0)),""))</f>
        <v/>
      </c>
      <c r="K182" s="9">
        <f>IF(D182="","",IFERROR(INDEX('Stock pièces'!$D$5:$D$404,MATCH(D182,'Stock pièces'!$A$5:$A$404,0)),""))</f>
        <v/>
      </c>
      <c r="L182" s="7" t="n"/>
      <c r="M182" s="7" t="n"/>
    </row>
    <row r="183">
      <c r="A183" s="7" t="inlineStr">
        <is>
          <t>MV-00179</t>
        </is>
      </c>
      <c r="B183" s="75" t="n">
        <v>45768.25347222222</v>
      </c>
      <c r="C183" s="7" t="inlineStr">
        <is>
          <t>Sortie</t>
        </is>
      </c>
      <c r="D183" s="7" t="inlineStr">
        <is>
          <t>PD-0039</t>
        </is>
      </c>
      <c r="E183" s="9">
        <f>IF(D183="","",IFERROR(INDEX('Stock pièces'!$B$5:$B$404,MATCH(D183,'Stock pièces'!$A$5:$A$404,0)),"Réf. inconnue"))</f>
        <v/>
      </c>
      <c r="F183" s="67" t="n">
        <v>2</v>
      </c>
      <c r="G183" s="81">
        <f>IF(D183="","",IFERROR(INDEX('Stock pièces'!$I$5:$I$404,MATCH(D183,'Stock pièces'!$A$5:$A$404,0)),0))</f>
        <v/>
      </c>
      <c r="H183" s="81">
        <f>IF(D183="","",N(F183)*N(G183))</f>
        <v/>
      </c>
      <c r="I183" s="7" t="inlineStr">
        <is>
          <t>OT-2025-0237</t>
        </is>
      </c>
      <c r="J183" s="9">
        <f>IF(I183="","",IFERROR(INDEX('Ordres de travail'!$D$5:$D$3004,MATCH(I183,'Ordres de travail'!$A$5:$A$3004,0)),""))</f>
        <v/>
      </c>
      <c r="K183" s="9">
        <f>IF(D183="","",IFERROR(INDEX('Stock pièces'!$D$5:$D$404,MATCH(D183,'Stock pièces'!$A$5:$A$404,0)),""))</f>
        <v/>
      </c>
      <c r="L183" s="7" t="n"/>
      <c r="M183" s="7" t="n"/>
    </row>
    <row r="184">
      <c r="A184" s="7" t="inlineStr">
        <is>
          <t>MV-00180</t>
        </is>
      </c>
      <c r="B184" s="75" t="n">
        <v>45768.25347222222</v>
      </c>
      <c r="C184" s="7" t="inlineStr">
        <is>
          <t>Sortie</t>
        </is>
      </c>
      <c r="D184" s="7" t="inlineStr">
        <is>
          <t>PD-0041</t>
        </is>
      </c>
      <c r="E184" s="9">
        <f>IF(D184="","",IFERROR(INDEX('Stock pièces'!$B$5:$B$404,MATCH(D184,'Stock pièces'!$A$5:$A$404,0)),"Réf. inconnue"))</f>
        <v/>
      </c>
      <c r="F184" s="67" t="n">
        <v>1</v>
      </c>
      <c r="G184" s="81">
        <f>IF(D184="","",IFERROR(INDEX('Stock pièces'!$I$5:$I$404,MATCH(D184,'Stock pièces'!$A$5:$A$404,0)),0))</f>
        <v/>
      </c>
      <c r="H184" s="81">
        <f>IF(D184="","",N(F184)*N(G184))</f>
        <v/>
      </c>
      <c r="I184" s="7" t="inlineStr">
        <is>
          <t>OT-2025-0237</t>
        </is>
      </c>
      <c r="J184" s="9">
        <f>IF(I184="","",IFERROR(INDEX('Ordres de travail'!$D$5:$D$3004,MATCH(I184,'Ordres de travail'!$A$5:$A$3004,0)),""))</f>
        <v/>
      </c>
      <c r="K184" s="9">
        <f>IF(D184="","",IFERROR(INDEX('Stock pièces'!$D$5:$D$404,MATCH(D184,'Stock pièces'!$A$5:$A$404,0)),""))</f>
        <v/>
      </c>
      <c r="L184" s="7" t="n"/>
      <c r="M184" s="7" t="n"/>
    </row>
    <row r="185">
      <c r="A185" s="7" t="inlineStr">
        <is>
          <t>MV-00181</t>
        </is>
      </c>
      <c r="B185" s="75" t="n">
        <v>45768.38888888889</v>
      </c>
      <c r="C185" s="7" t="inlineStr">
        <is>
          <t>Sortie</t>
        </is>
      </c>
      <c r="D185" s="7" t="inlineStr">
        <is>
          <t>PD-0012</t>
        </is>
      </c>
      <c r="E185" s="9">
        <f>IF(D185="","",IFERROR(INDEX('Stock pièces'!$B$5:$B$404,MATCH(D185,'Stock pièces'!$A$5:$A$404,0)),"Réf. inconnue"))</f>
        <v/>
      </c>
      <c r="F185" s="67" t="n">
        <v>1</v>
      </c>
      <c r="G185" s="81">
        <f>IF(D185="","",IFERROR(INDEX('Stock pièces'!$I$5:$I$404,MATCH(D185,'Stock pièces'!$A$5:$A$404,0)),0))</f>
        <v/>
      </c>
      <c r="H185" s="81">
        <f>IF(D185="","",N(F185)*N(G185))</f>
        <v/>
      </c>
      <c r="I185" s="7" t="inlineStr">
        <is>
          <t>OT-2025-0229</t>
        </is>
      </c>
      <c r="J185" s="9">
        <f>IF(I185="","",IFERROR(INDEX('Ordres de travail'!$D$5:$D$3004,MATCH(I185,'Ordres de travail'!$A$5:$A$3004,0)),""))</f>
        <v/>
      </c>
      <c r="K185" s="9">
        <f>IF(D185="","",IFERROR(INDEX('Stock pièces'!$D$5:$D$404,MATCH(D185,'Stock pièces'!$A$5:$A$404,0)),""))</f>
        <v/>
      </c>
      <c r="L185" s="7" t="n"/>
      <c r="M185" s="7" t="n"/>
    </row>
    <row r="186">
      <c r="A186" s="7" t="inlineStr">
        <is>
          <t>MV-00182</t>
        </is>
      </c>
      <c r="B186" s="75" t="n">
        <v>45768.38888888889</v>
      </c>
      <c r="C186" s="7" t="inlineStr">
        <is>
          <t>Sortie</t>
        </is>
      </c>
      <c r="D186" s="7" t="inlineStr">
        <is>
          <t>PD-0013</t>
        </is>
      </c>
      <c r="E186" s="9">
        <f>IF(D186="","",IFERROR(INDEX('Stock pièces'!$B$5:$B$404,MATCH(D186,'Stock pièces'!$A$5:$A$404,0)),"Réf. inconnue"))</f>
        <v/>
      </c>
      <c r="F186" s="67" t="n">
        <v>1</v>
      </c>
      <c r="G186" s="81">
        <f>IF(D186="","",IFERROR(INDEX('Stock pièces'!$I$5:$I$404,MATCH(D186,'Stock pièces'!$A$5:$A$404,0)),0))</f>
        <v/>
      </c>
      <c r="H186" s="81">
        <f>IF(D186="","",N(F186)*N(G186))</f>
        <v/>
      </c>
      <c r="I186" s="7" t="inlineStr">
        <is>
          <t>OT-2025-0229</t>
        </is>
      </c>
      <c r="J186" s="9">
        <f>IF(I186="","",IFERROR(INDEX('Ordres de travail'!$D$5:$D$3004,MATCH(I186,'Ordres de travail'!$A$5:$A$3004,0)),""))</f>
        <v/>
      </c>
      <c r="K186" s="9">
        <f>IF(D186="","",IFERROR(INDEX('Stock pièces'!$D$5:$D$404,MATCH(D186,'Stock pièces'!$A$5:$A$404,0)),""))</f>
        <v/>
      </c>
      <c r="L186" s="7" t="n"/>
      <c r="M186" s="7" t="n"/>
    </row>
    <row r="187">
      <c r="A187" s="7" t="inlineStr">
        <is>
          <t>MV-00183</t>
        </is>
      </c>
      <c r="B187" s="75" t="n">
        <v>45768.38888888889</v>
      </c>
      <c r="C187" s="7" t="inlineStr">
        <is>
          <t>Sortie</t>
        </is>
      </c>
      <c r="D187" s="7" t="inlineStr">
        <is>
          <t>PD-0024</t>
        </is>
      </c>
      <c r="E187" s="9">
        <f>IF(D187="","",IFERROR(INDEX('Stock pièces'!$B$5:$B$404,MATCH(D187,'Stock pièces'!$A$5:$A$404,0)),"Réf. inconnue"))</f>
        <v/>
      </c>
      <c r="F187" s="67" t="n">
        <v>1</v>
      </c>
      <c r="G187" s="81">
        <f>IF(D187="","",IFERROR(INDEX('Stock pièces'!$I$5:$I$404,MATCH(D187,'Stock pièces'!$A$5:$A$404,0)),0))</f>
        <v/>
      </c>
      <c r="H187" s="81">
        <f>IF(D187="","",N(F187)*N(G187))</f>
        <v/>
      </c>
      <c r="I187" s="7" t="inlineStr">
        <is>
          <t>OT-2025-0229</t>
        </is>
      </c>
      <c r="J187" s="9">
        <f>IF(I187="","",IFERROR(INDEX('Ordres de travail'!$D$5:$D$3004,MATCH(I187,'Ordres de travail'!$A$5:$A$3004,0)),""))</f>
        <v/>
      </c>
      <c r="K187" s="9">
        <f>IF(D187="","",IFERROR(INDEX('Stock pièces'!$D$5:$D$404,MATCH(D187,'Stock pièces'!$A$5:$A$404,0)),""))</f>
        <v/>
      </c>
      <c r="L187" s="7" t="n"/>
      <c r="M187" s="7" t="n"/>
    </row>
    <row r="188">
      <c r="A188" s="7" t="inlineStr">
        <is>
          <t>MV-00184</t>
        </is>
      </c>
      <c r="B188" s="75" t="n">
        <v>45768.39583333334</v>
      </c>
      <c r="C188" s="7" t="inlineStr">
        <is>
          <t>Sortie</t>
        </is>
      </c>
      <c r="D188" s="7" t="inlineStr">
        <is>
          <t>PD-0025</t>
        </is>
      </c>
      <c r="E188" s="9">
        <f>IF(D188="","",IFERROR(INDEX('Stock pièces'!$B$5:$B$404,MATCH(D188,'Stock pièces'!$A$5:$A$404,0)),"Réf. inconnue"))</f>
        <v/>
      </c>
      <c r="F188" s="67" t="n">
        <v>1</v>
      </c>
      <c r="G188" s="81">
        <f>IF(D188="","",IFERROR(INDEX('Stock pièces'!$I$5:$I$404,MATCH(D188,'Stock pièces'!$A$5:$A$404,0)),0))</f>
        <v/>
      </c>
      <c r="H188" s="81">
        <f>IF(D188="","",N(F188)*N(G188))</f>
        <v/>
      </c>
      <c r="I188" s="7" t="inlineStr">
        <is>
          <t>OT-2025-0228</t>
        </is>
      </c>
      <c r="J188" s="9">
        <f>IF(I188="","",IFERROR(INDEX('Ordres de travail'!$D$5:$D$3004,MATCH(I188,'Ordres de travail'!$A$5:$A$3004,0)),""))</f>
        <v/>
      </c>
      <c r="K188" s="9">
        <f>IF(D188="","",IFERROR(INDEX('Stock pièces'!$D$5:$D$404,MATCH(D188,'Stock pièces'!$A$5:$A$404,0)),""))</f>
        <v/>
      </c>
      <c r="L188" s="7" t="n"/>
      <c r="M188" s="7" t="n"/>
    </row>
    <row r="189">
      <c r="A189" s="7" t="inlineStr">
        <is>
          <t>MV-00185</t>
        </is>
      </c>
      <c r="B189" s="75" t="n">
        <v>45768.41666666666</v>
      </c>
      <c r="C189" s="7" t="inlineStr">
        <is>
          <t>Entrée</t>
        </is>
      </c>
      <c r="D189" s="7" t="inlineStr">
        <is>
          <t>PD-0073</t>
        </is>
      </c>
      <c r="E189" s="9">
        <f>IF(D189="","",IFERROR(INDEX('Stock pièces'!$B$5:$B$404,MATCH(D189,'Stock pièces'!$A$5:$A$404,0)),"Réf. inconnue"))</f>
        <v/>
      </c>
      <c r="F189" s="67" t="n">
        <v>1</v>
      </c>
      <c r="G189" s="81">
        <f>IF(D189="","",IFERROR(INDEX('Stock pièces'!$I$5:$I$404,MATCH(D189,'Stock pièces'!$A$5:$A$404,0)),0))</f>
        <v/>
      </c>
      <c r="H189" s="81">
        <f>IF(D189="","",N(F189)*N(G189))</f>
        <v/>
      </c>
      <c r="I189" s="7" t="n"/>
      <c r="J189" s="9">
        <f>IF(I189="","",IFERROR(INDEX('Ordres de travail'!$D$5:$D$3004,MATCH(I189,'Ordres de travail'!$A$5:$A$3004,0)),""))</f>
        <v/>
      </c>
      <c r="K189" s="9">
        <f>IF(D189="","",IFERROR(INDEX('Stock pièces'!$D$5:$D$404,MATCH(D189,'Stock pièces'!$A$5:$A$404,0)),""))</f>
        <v/>
      </c>
      <c r="L189" s="7" t="inlineStr">
        <is>
          <t>CMD-24045</t>
        </is>
      </c>
      <c r="M189" s="7" t="inlineStr">
        <is>
          <t>Réception commande réappro</t>
        </is>
      </c>
    </row>
    <row r="190">
      <c r="A190" s="7" t="inlineStr">
        <is>
          <t>MV-00186</t>
        </is>
      </c>
      <c r="B190" s="75" t="n">
        <v>45768.41666666666</v>
      </c>
      <c r="C190" s="7" t="inlineStr">
        <is>
          <t>Entrée</t>
        </is>
      </c>
      <c r="D190" s="7" t="inlineStr">
        <is>
          <t>PD-0043</t>
        </is>
      </c>
      <c r="E190" s="9">
        <f>IF(D190="","",IFERROR(INDEX('Stock pièces'!$B$5:$B$404,MATCH(D190,'Stock pièces'!$A$5:$A$404,0)),"Réf. inconnue"))</f>
        <v/>
      </c>
      <c r="F190" s="67" t="n">
        <v>1</v>
      </c>
      <c r="G190" s="81">
        <f>IF(D190="","",IFERROR(INDEX('Stock pièces'!$I$5:$I$404,MATCH(D190,'Stock pièces'!$A$5:$A$404,0)),0))</f>
        <v/>
      </c>
      <c r="H190" s="81">
        <f>IF(D190="","",N(F190)*N(G190))</f>
        <v/>
      </c>
      <c r="I190" s="7" t="n"/>
      <c r="J190" s="9">
        <f>IF(I190="","",IFERROR(INDEX('Ordres de travail'!$D$5:$D$3004,MATCH(I190,'Ordres de travail'!$A$5:$A$3004,0)),""))</f>
        <v/>
      </c>
      <c r="K190" s="9">
        <f>IF(D190="","",IFERROR(INDEX('Stock pièces'!$D$5:$D$404,MATCH(D190,'Stock pièces'!$A$5:$A$404,0)),""))</f>
        <v/>
      </c>
      <c r="L190" s="7" t="inlineStr">
        <is>
          <t>CMD-24047</t>
        </is>
      </c>
      <c r="M190" s="7" t="inlineStr">
        <is>
          <t>Réception commande réappro</t>
        </is>
      </c>
    </row>
    <row r="191">
      <c r="A191" s="7" t="inlineStr">
        <is>
          <t>MV-00187</t>
        </is>
      </c>
      <c r="B191" s="75" t="n">
        <v>45769.53472222222</v>
      </c>
      <c r="C191" s="7" t="inlineStr">
        <is>
          <t>Sortie</t>
        </is>
      </c>
      <c r="D191" s="7" t="inlineStr">
        <is>
          <t>PD-0058</t>
        </is>
      </c>
      <c r="E191" s="9">
        <f>IF(D191="","",IFERROR(INDEX('Stock pièces'!$B$5:$B$404,MATCH(D191,'Stock pièces'!$A$5:$A$404,0)),"Réf. inconnue"))</f>
        <v/>
      </c>
      <c r="F191" s="67" t="n">
        <v>1</v>
      </c>
      <c r="G191" s="81">
        <f>IF(D191="","",IFERROR(INDEX('Stock pièces'!$I$5:$I$404,MATCH(D191,'Stock pièces'!$A$5:$A$404,0)),0))</f>
        <v/>
      </c>
      <c r="H191" s="81">
        <f>IF(D191="","",N(F191)*N(G191))</f>
        <v/>
      </c>
      <c r="I191" s="7" t="inlineStr">
        <is>
          <t>OT-2025-0230</t>
        </is>
      </c>
      <c r="J191" s="9">
        <f>IF(I191="","",IFERROR(INDEX('Ordres de travail'!$D$5:$D$3004,MATCH(I191,'Ordres de travail'!$A$5:$A$3004,0)),""))</f>
        <v/>
      </c>
      <c r="K191" s="9">
        <f>IF(D191="","",IFERROR(INDEX('Stock pièces'!$D$5:$D$404,MATCH(D191,'Stock pièces'!$A$5:$A$404,0)),""))</f>
        <v/>
      </c>
      <c r="L191" s="7" t="n"/>
      <c r="M191" s="7" t="n"/>
    </row>
    <row r="192">
      <c r="A192" s="7" t="inlineStr">
        <is>
          <t>MV-00188</t>
        </is>
      </c>
      <c r="B192" s="75" t="n">
        <v>45769.53472222222</v>
      </c>
      <c r="C192" s="7" t="inlineStr">
        <is>
          <t>Sortie</t>
        </is>
      </c>
      <c r="D192" s="7" t="inlineStr">
        <is>
          <t>PD-0059</t>
        </is>
      </c>
      <c r="E192" s="9">
        <f>IF(D192="","",IFERROR(INDEX('Stock pièces'!$B$5:$B$404,MATCH(D192,'Stock pièces'!$A$5:$A$404,0)),"Réf. inconnue"))</f>
        <v/>
      </c>
      <c r="F192" s="67" t="n">
        <v>1</v>
      </c>
      <c r="G192" s="81">
        <f>IF(D192="","",IFERROR(INDEX('Stock pièces'!$I$5:$I$404,MATCH(D192,'Stock pièces'!$A$5:$A$404,0)),0))</f>
        <v/>
      </c>
      <c r="H192" s="81">
        <f>IF(D192="","",N(F192)*N(G192))</f>
        <v/>
      </c>
      <c r="I192" s="7" t="inlineStr">
        <is>
          <t>OT-2025-0230</t>
        </is>
      </c>
      <c r="J192" s="9">
        <f>IF(I192="","",IFERROR(INDEX('Ordres de travail'!$D$5:$D$3004,MATCH(I192,'Ordres de travail'!$A$5:$A$3004,0)),""))</f>
        <v/>
      </c>
      <c r="K192" s="9">
        <f>IF(D192="","",IFERROR(INDEX('Stock pièces'!$D$5:$D$404,MATCH(D192,'Stock pièces'!$A$5:$A$404,0)),""))</f>
        <v/>
      </c>
      <c r="L192" s="7" t="n"/>
      <c r="M192" s="7" t="n"/>
    </row>
    <row r="193">
      <c r="A193" s="7" t="inlineStr">
        <is>
          <t>MV-00189</t>
        </is>
      </c>
      <c r="B193" s="75" t="n">
        <v>45771.59027777778</v>
      </c>
      <c r="C193" s="7" t="inlineStr">
        <is>
          <t>Sortie</t>
        </is>
      </c>
      <c r="D193" s="7" t="inlineStr">
        <is>
          <t>PD-0037</t>
        </is>
      </c>
      <c r="E193" s="9">
        <f>IF(D193="","",IFERROR(INDEX('Stock pièces'!$B$5:$B$404,MATCH(D193,'Stock pièces'!$A$5:$A$404,0)),"Réf. inconnue"))</f>
        <v/>
      </c>
      <c r="F193" s="67" t="n">
        <v>1</v>
      </c>
      <c r="G193" s="81">
        <f>IF(D193="","",IFERROR(INDEX('Stock pièces'!$I$5:$I$404,MATCH(D193,'Stock pièces'!$A$5:$A$404,0)),0))</f>
        <v/>
      </c>
      <c r="H193" s="81">
        <f>IF(D193="","",N(F193)*N(G193))</f>
        <v/>
      </c>
      <c r="I193" s="7" t="inlineStr">
        <is>
          <t>OT-2025-0255</t>
        </is>
      </c>
      <c r="J193" s="9">
        <f>IF(I193="","",IFERROR(INDEX('Ordres de travail'!$D$5:$D$3004,MATCH(I193,'Ordres de travail'!$A$5:$A$3004,0)),""))</f>
        <v/>
      </c>
      <c r="K193" s="9">
        <f>IF(D193="","",IFERROR(INDEX('Stock pièces'!$D$5:$D$404,MATCH(D193,'Stock pièces'!$A$5:$A$404,0)),""))</f>
        <v/>
      </c>
      <c r="L193" s="7" t="n"/>
      <c r="M193" s="7" t="n"/>
    </row>
    <row r="194">
      <c r="A194" s="7" t="inlineStr">
        <is>
          <t>MV-00190</t>
        </is>
      </c>
      <c r="B194" s="75" t="n">
        <v>45771.68819444445</v>
      </c>
      <c r="C194" s="7" t="inlineStr">
        <is>
          <t>Sortie</t>
        </is>
      </c>
      <c r="D194" s="7" t="inlineStr">
        <is>
          <t>PD-0041</t>
        </is>
      </c>
      <c r="E194" s="9">
        <f>IF(D194="","",IFERROR(INDEX('Stock pièces'!$B$5:$B$404,MATCH(D194,'Stock pièces'!$A$5:$A$404,0)),"Réf. inconnue"))</f>
        <v/>
      </c>
      <c r="F194" s="67" t="n">
        <v>1</v>
      </c>
      <c r="G194" s="81">
        <f>IF(D194="","",IFERROR(INDEX('Stock pièces'!$I$5:$I$404,MATCH(D194,'Stock pièces'!$A$5:$A$404,0)),0))</f>
        <v/>
      </c>
      <c r="H194" s="81">
        <f>IF(D194="","",N(F194)*N(G194))</f>
        <v/>
      </c>
      <c r="I194" s="7" t="inlineStr">
        <is>
          <t>OT-2025-0251</t>
        </is>
      </c>
      <c r="J194" s="9">
        <f>IF(I194="","",IFERROR(INDEX('Ordres de travail'!$D$5:$D$3004,MATCH(I194,'Ordres de travail'!$A$5:$A$3004,0)),""))</f>
        <v/>
      </c>
      <c r="K194" s="9">
        <f>IF(D194="","",IFERROR(INDEX('Stock pièces'!$D$5:$D$404,MATCH(D194,'Stock pièces'!$A$5:$A$404,0)),""))</f>
        <v/>
      </c>
      <c r="L194" s="7" t="n"/>
      <c r="M194" s="7" t="n"/>
    </row>
    <row r="195">
      <c r="A195" s="7" t="inlineStr">
        <is>
          <t>MV-00191</t>
        </is>
      </c>
      <c r="B195" s="75" t="n">
        <v>45774.95277777778</v>
      </c>
      <c r="C195" s="7" t="inlineStr">
        <is>
          <t>Sortie</t>
        </is>
      </c>
      <c r="D195" s="7" t="inlineStr">
        <is>
          <t>PD-0043</t>
        </is>
      </c>
      <c r="E195" s="9">
        <f>IF(D195="","",IFERROR(INDEX('Stock pièces'!$B$5:$B$404,MATCH(D195,'Stock pièces'!$A$5:$A$404,0)),"Réf. inconnue"))</f>
        <v/>
      </c>
      <c r="F195" s="67" t="n">
        <v>1</v>
      </c>
      <c r="G195" s="81">
        <f>IF(D195="","",IFERROR(INDEX('Stock pièces'!$I$5:$I$404,MATCH(D195,'Stock pièces'!$A$5:$A$404,0)),0))</f>
        <v/>
      </c>
      <c r="H195" s="81">
        <f>IF(D195="","",N(F195)*N(G195))</f>
        <v/>
      </c>
      <c r="I195" s="7" t="inlineStr">
        <is>
          <t>OT-2025-0260</t>
        </is>
      </c>
      <c r="J195" s="9">
        <f>IF(I195="","",IFERROR(INDEX('Ordres de travail'!$D$5:$D$3004,MATCH(I195,'Ordres de travail'!$A$5:$A$3004,0)),""))</f>
        <v/>
      </c>
      <c r="K195" s="9">
        <f>IF(D195="","",IFERROR(INDEX('Stock pièces'!$D$5:$D$404,MATCH(D195,'Stock pièces'!$A$5:$A$404,0)),""))</f>
        <v/>
      </c>
      <c r="L195" s="7" t="n"/>
      <c r="M195" s="7" t="n"/>
    </row>
    <row r="196">
      <c r="A196" s="7" t="inlineStr">
        <is>
          <t>MV-00192</t>
        </is>
      </c>
      <c r="B196" s="75" t="n">
        <v>45775.39236111111</v>
      </c>
      <c r="C196" s="7" t="inlineStr">
        <is>
          <t>Sortie</t>
        </is>
      </c>
      <c r="D196" s="7" t="inlineStr">
        <is>
          <t>PD-0017</t>
        </is>
      </c>
      <c r="E196" s="9">
        <f>IF(D196="","",IFERROR(INDEX('Stock pièces'!$B$5:$B$404,MATCH(D196,'Stock pièces'!$A$5:$A$404,0)),"Réf. inconnue"))</f>
        <v/>
      </c>
      <c r="F196" s="67" t="n">
        <v>1</v>
      </c>
      <c r="G196" s="81">
        <f>IF(D196="","",IFERROR(INDEX('Stock pièces'!$I$5:$I$404,MATCH(D196,'Stock pièces'!$A$5:$A$404,0)),0))</f>
        <v/>
      </c>
      <c r="H196" s="81">
        <f>IF(D196="","",N(F196)*N(G196))</f>
        <v/>
      </c>
      <c r="I196" s="7" t="inlineStr">
        <is>
          <t>OT-2025-0245</t>
        </is>
      </c>
      <c r="J196" s="9">
        <f>IF(I196="","",IFERROR(INDEX('Ordres de travail'!$D$5:$D$3004,MATCH(I196,'Ordres de travail'!$A$5:$A$3004,0)),""))</f>
        <v/>
      </c>
      <c r="K196" s="9">
        <f>IF(D196="","",IFERROR(INDEX('Stock pièces'!$D$5:$D$404,MATCH(D196,'Stock pièces'!$A$5:$A$404,0)),""))</f>
        <v/>
      </c>
      <c r="L196" s="7" t="n"/>
      <c r="M196" s="7" t="n"/>
    </row>
    <row r="197">
      <c r="A197" s="7" t="inlineStr">
        <is>
          <t>MV-00193</t>
        </is>
      </c>
      <c r="B197" s="75" t="n">
        <v>45775.47222222222</v>
      </c>
      <c r="C197" s="7" t="inlineStr">
        <is>
          <t>Sortie</t>
        </is>
      </c>
      <c r="D197" s="7" t="inlineStr">
        <is>
          <t>PD-0025</t>
        </is>
      </c>
      <c r="E197" s="9">
        <f>IF(D197="","",IFERROR(INDEX('Stock pièces'!$B$5:$B$404,MATCH(D197,'Stock pièces'!$A$5:$A$404,0)),"Réf. inconnue"))</f>
        <v/>
      </c>
      <c r="F197" s="67" t="n">
        <v>3</v>
      </c>
      <c r="G197" s="81">
        <f>IF(D197="","",IFERROR(INDEX('Stock pièces'!$I$5:$I$404,MATCH(D197,'Stock pièces'!$A$5:$A$404,0)),0))</f>
        <v/>
      </c>
      <c r="H197" s="81">
        <f>IF(D197="","",N(F197)*N(G197))</f>
        <v/>
      </c>
      <c r="I197" s="7" t="inlineStr">
        <is>
          <t>OT-2025-0243</t>
        </is>
      </c>
      <c r="J197" s="9">
        <f>IF(I197="","",IFERROR(INDEX('Ordres de travail'!$D$5:$D$3004,MATCH(I197,'Ordres de travail'!$A$5:$A$3004,0)),""))</f>
        <v/>
      </c>
      <c r="K197" s="9">
        <f>IF(D197="","",IFERROR(INDEX('Stock pièces'!$D$5:$D$404,MATCH(D197,'Stock pièces'!$A$5:$A$404,0)),""))</f>
        <v/>
      </c>
      <c r="L197" s="7" t="n"/>
      <c r="M197" s="7" t="n"/>
    </row>
    <row r="198">
      <c r="A198" s="7" t="inlineStr">
        <is>
          <t>MV-00194</t>
        </is>
      </c>
      <c r="B198" s="75" t="n">
        <v>45776.41666666666</v>
      </c>
      <c r="C198" s="7" t="inlineStr">
        <is>
          <t>Entrée</t>
        </is>
      </c>
      <c r="D198" s="7" t="inlineStr">
        <is>
          <t>PD-0044</t>
        </is>
      </c>
      <c r="E198" s="9">
        <f>IF(D198="","",IFERROR(INDEX('Stock pièces'!$B$5:$B$404,MATCH(D198,'Stock pièces'!$A$5:$A$404,0)),"Réf. inconnue"))</f>
        <v/>
      </c>
      <c r="F198" s="67" t="n">
        <v>2</v>
      </c>
      <c r="G198" s="81">
        <f>IF(D198="","",IFERROR(INDEX('Stock pièces'!$I$5:$I$404,MATCH(D198,'Stock pièces'!$A$5:$A$404,0)),0))</f>
        <v/>
      </c>
      <c r="H198" s="81">
        <f>IF(D198="","",N(F198)*N(G198))</f>
        <v/>
      </c>
      <c r="I198" s="7" t="n"/>
      <c r="J198" s="9">
        <f>IF(I198="","",IFERROR(INDEX('Ordres de travail'!$D$5:$D$3004,MATCH(I198,'Ordres de travail'!$A$5:$A$3004,0)),""))</f>
        <v/>
      </c>
      <c r="K198" s="9">
        <f>IF(D198="","",IFERROR(INDEX('Stock pièces'!$D$5:$D$404,MATCH(D198,'Stock pièces'!$A$5:$A$404,0)),""))</f>
        <v/>
      </c>
      <c r="L198" s="7" t="inlineStr">
        <is>
          <t>CMD-24050</t>
        </is>
      </c>
      <c r="M198" s="7" t="inlineStr">
        <is>
          <t>Réception commande réappro</t>
        </is>
      </c>
    </row>
    <row r="199">
      <c r="A199" s="7" t="inlineStr">
        <is>
          <t>MV-00195</t>
        </is>
      </c>
      <c r="B199" s="75" t="n">
        <v>45776.45138888889</v>
      </c>
      <c r="C199" s="7" t="inlineStr">
        <is>
          <t>Sortie</t>
        </is>
      </c>
      <c r="D199" s="7" t="inlineStr">
        <is>
          <t>PD-0012</t>
        </is>
      </c>
      <c r="E199" s="9">
        <f>IF(D199="","",IFERROR(INDEX('Stock pièces'!$B$5:$B$404,MATCH(D199,'Stock pièces'!$A$5:$A$404,0)),"Réf. inconnue"))</f>
        <v/>
      </c>
      <c r="F199" s="67" t="n">
        <v>1</v>
      </c>
      <c r="G199" s="81">
        <f>IF(D199="","",IFERROR(INDEX('Stock pièces'!$I$5:$I$404,MATCH(D199,'Stock pièces'!$A$5:$A$404,0)),0))</f>
        <v/>
      </c>
      <c r="H199" s="81">
        <f>IF(D199="","",N(F199)*N(G199))</f>
        <v/>
      </c>
      <c r="I199" s="7" t="inlineStr">
        <is>
          <t>OT-2025-0248</t>
        </is>
      </c>
      <c r="J199" s="9">
        <f>IF(I199="","",IFERROR(INDEX('Ordres de travail'!$D$5:$D$3004,MATCH(I199,'Ordres de travail'!$A$5:$A$3004,0)),""))</f>
        <v/>
      </c>
      <c r="K199" s="9">
        <f>IF(D199="","",IFERROR(INDEX('Stock pièces'!$D$5:$D$404,MATCH(D199,'Stock pièces'!$A$5:$A$404,0)),""))</f>
        <v/>
      </c>
      <c r="L199" s="7" t="n"/>
      <c r="M199" s="7" t="n"/>
    </row>
    <row r="200">
      <c r="A200" s="7" t="inlineStr">
        <is>
          <t>MV-00196</t>
        </is>
      </c>
      <c r="B200" s="75" t="n">
        <v>45776.45138888889</v>
      </c>
      <c r="C200" s="7" t="inlineStr">
        <is>
          <t>Sortie</t>
        </is>
      </c>
      <c r="D200" s="7" t="inlineStr">
        <is>
          <t>PD-0013</t>
        </is>
      </c>
      <c r="E200" s="9">
        <f>IF(D200="","",IFERROR(INDEX('Stock pièces'!$B$5:$B$404,MATCH(D200,'Stock pièces'!$A$5:$A$404,0)),"Réf. inconnue"))</f>
        <v/>
      </c>
      <c r="F200" s="67" t="n">
        <v>1</v>
      </c>
      <c r="G200" s="81">
        <f>IF(D200="","",IFERROR(INDEX('Stock pièces'!$I$5:$I$404,MATCH(D200,'Stock pièces'!$A$5:$A$404,0)),0))</f>
        <v/>
      </c>
      <c r="H200" s="81">
        <f>IF(D200="","",N(F200)*N(G200))</f>
        <v/>
      </c>
      <c r="I200" s="7" t="inlineStr">
        <is>
          <t>OT-2025-0248</t>
        </is>
      </c>
      <c r="J200" s="9">
        <f>IF(I200="","",IFERROR(INDEX('Ordres de travail'!$D$5:$D$3004,MATCH(I200,'Ordres de travail'!$A$5:$A$3004,0)),""))</f>
        <v/>
      </c>
      <c r="K200" s="9">
        <f>IF(D200="","",IFERROR(INDEX('Stock pièces'!$D$5:$D$404,MATCH(D200,'Stock pièces'!$A$5:$A$404,0)),""))</f>
        <v/>
      </c>
      <c r="L200" s="7" t="n"/>
      <c r="M200" s="7" t="n"/>
    </row>
    <row r="201">
      <c r="A201" s="7" t="inlineStr">
        <is>
          <t>MV-00197</t>
        </is>
      </c>
      <c r="B201" s="75" t="n">
        <v>45776.45138888889</v>
      </c>
      <c r="C201" s="7" t="inlineStr">
        <is>
          <t>Sortie</t>
        </is>
      </c>
      <c r="D201" s="7" t="inlineStr">
        <is>
          <t>PD-0024</t>
        </is>
      </c>
      <c r="E201" s="9">
        <f>IF(D201="","",IFERROR(INDEX('Stock pièces'!$B$5:$B$404,MATCH(D201,'Stock pièces'!$A$5:$A$404,0)),"Réf. inconnue"))</f>
        <v/>
      </c>
      <c r="F201" s="67" t="n">
        <v>1</v>
      </c>
      <c r="G201" s="81">
        <f>IF(D201="","",IFERROR(INDEX('Stock pièces'!$I$5:$I$404,MATCH(D201,'Stock pièces'!$A$5:$A$404,0)),0))</f>
        <v/>
      </c>
      <c r="H201" s="81">
        <f>IF(D201="","",N(F201)*N(G201))</f>
        <v/>
      </c>
      <c r="I201" s="7" t="inlineStr">
        <is>
          <t>OT-2025-0248</t>
        </is>
      </c>
      <c r="J201" s="9">
        <f>IF(I201="","",IFERROR(INDEX('Ordres de travail'!$D$5:$D$3004,MATCH(I201,'Ordres de travail'!$A$5:$A$3004,0)),""))</f>
        <v/>
      </c>
      <c r="K201" s="9">
        <f>IF(D201="","",IFERROR(INDEX('Stock pièces'!$D$5:$D$404,MATCH(D201,'Stock pièces'!$A$5:$A$404,0)),""))</f>
        <v/>
      </c>
      <c r="L201" s="7" t="n"/>
      <c r="M201" s="7" t="n"/>
    </row>
    <row r="202">
      <c r="A202" s="7" t="inlineStr">
        <is>
          <t>MV-00198</t>
        </is>
      </c>
      <c r="B202" s="75" t="n">
        <v>45777.50416666667</v>
      </c>
      <c r="C202" s="7" t="inlineStr">
        <is>
          <t>Sortie</t>
        </is>
      </c>
      <c r="D202" s="7" t="inlineStr">
        <is>
          <t>PD-0011</t>
        </is>
      </c>
      <c r="E202" s="9">
        <f>IF(D202="","",IFERROR(INDEX('Stock pièces'!$B$5:$B$404,MATCH(D202,'Stock pièces'!$A$5:$A$404,0)),"Réf. inconnue"))</f>
        <v/>
      </c>
      <c r="F202" s="67" t="n">
        <v>3</v>
      </c>
      <c r="G202" s="81">
        <f>IF(D202="","",IFERROR(INDEX('Stock pièces'!$I$5:$I$404,MATCH(D202,'Stock pièces'!$A$5:$A$404,0)),0))</f>
        <v/>
      </c>
      <c r="H202" s="81">
        <f>IF(D202="","",N(F202)*N(G202))</f>
        <v/>
      </c>
      <c r="I202" s="7" t="inlineStr">
        <is>
          <t>OT-2025-0265</t>
        </is>
      </c>
      <c r="J202" s="9">
        <f>IF(I202="","",IFERROR(INDEX('Ordres de travail'!$D$5:$D$3004,MATCH(I202,'Ordres de travail'!$A$5:$A$3004,0)),""))</f>
        <v/>
      </c>
      <c r="K202" s="9">
        <f>IF(D202="","",IFERROR(INDEX('Stock pièces'!$D$5:$D$404,MATCH(D202,'Stock pièces'!$A$5:$A$404,0)),""))</f>
        <v/>
      </c>
      <c r="L202" s="7" t="n"/>
      <c r="M202" s="7" t="n"/>
    </row>
    <row r="203">
      <c r="A203" s="7" t="inlineStr">
        <is>
          <t>MV-00199</t>
        </is>
      </c>
      <c r="B203" s="75" t="n">
        <v>45778.31944444445</v>
      </c>
      <c r="C203" s="7" t="inlineStr">
        <is>
          <t>Sortie</t>
        </is>
      </c>
      <c r="D203" s="7" t="inlineStr">
        <is>
          <t>PD-0017</t>
        </is>
      </c>
      <c r="E203" s="9">
        <f>IF(D203="","",IFERROR(INDEX('Stock pièces'!$B$5:$B$404,MATCH(D203,'Stock pièces'!$A$5:$A$404,0)),"Réf. inconnue"))</f>
        <v/>
      </c>
      <c r="F203" s="67" t="n">
        <v>1</v>
      </c>
      <c r="G203" s="81">
        <f>IF(D203="","",IFERROR(INDEX('Stock pièces'!$I$5:$I$404,MATCH(D203,'Stock pièces'!$A$5:$A$404,0)),0))</f>
        <v/>
      </c>
      <c r="H203" s="81">
        <f>IF(D203="","",N(F203)*N(G203))</f>
        <v/>
      </c>
      <c r="I203" s="7" t="inlineStr">
        <is>
          <t>OT-2025-0253</t>
        </is>
      </c>
      <c r="J203" s="9">
        <f>IF(I203="","",IFERROR(INDEX('Ordres de travail'!$D$5:$D$3004,MATCH(I203,'Ordres de travail'!$A$5:$A$3004,0)),""))</f>
        <v/>
      </c>
      <c r="K203" s="9">
        <f>IF(D203="","",IFERROR(INDEX('Stock pièces'!$D$5:$D$404,MATCH(D203,'Stock pièces'!$A$5:$A$404,0)),""))</f>
        <v/>
      </c>
      <c r="L203" s="7" t="n"/>
      <c r="M203" s="7" t="n"/>
    </row>
    <row r="204">
      <c r="A204" s="7" t="inlineStr">
        <is>
          <t>MV-00200</t>
        </is>
      </c>
      <c r="B204" s="75" t="n">
        <v>45778.41666666666</v>
      </c>
      <c r="C204" s="7" t="inlineStr">
        <is>
          <t>Entrée</t>
        </is>
      </c>
      <c r="D204" s="7" t="inlineStr">
        <is>
          <t>PD-0030</t>
        </is>
      </c>
      <c r="E204" s="9">
        <f>IF(D204="","",IFERROR(INDEX('Stock pièces'!$B$5:$B$404,MATCH(D204,'Stock pièces'!$A$5:$A$404,0)),"Réf. inconnue"))</f>
        <v/>
      </c>
      <c r="F204" s="67" t="n">
        <v>1</v>
      </c>
      <c r="G204" s="81">
        <f>IF(D204="","",IFERROR(INDEX('Stock pièces'!$I$5:$I$404,MATCH(D204,'Stock pièces'!$A$5:$A$404,0)),0))</f>
        <v/>
      </c>
      <c r="H204" s="81">
        <f>IF(D204="","",N(F204)*N(G204))</f>
        <v/>
      </c>
      <c r="I204" s="7" t="n"/>
      <c r="J204" s="9">
        <f>IF(I204="","",IFERROR(INDEX('Ordres de travail'!$D$5:$D$3004,MATCH(I204,'Ordres de travail'!$A$5:$A$3004,0)),""))</f>
        <v/>
      </c>
      <c r="K204" s="9">
        <f>IF(D204="","",IFERROR(INDEX('Stock pièces'!$D$5:$D$404,MATCH(D204,'Stock pièces'!$A$5:$A$404,0)),""))</f>
        <v/>
      </c>
      <c r="L204" s="7" t="inlineStr">
        <is>
          <t>CMD-24051</t>
        </is>
      </c>
      <c r="M204" s="7" t="inlineStr">
        <is>
          <t>Réception commande réappro</t>
        </is>
      </c>
    </row>
    <row r="205">
      <c r="A205" s="7" t="inlineStr">
        <is>
          <t>MV-00201</t>
        </is>
      </c>
      <c r="B205" s="75" t="n">
        <v>45778.41666666666</v>
      </c>
      <c r="C205" s="7" t="inlineStr">
        <is>
          <t>Entrée</t>
        </is>
      </c>
      <c r="D205" s="7" t="inlineStr">
        <is>
          <t>PD-0024</t>
        </is>
      </c>
      <c r="E205" s="9">
        <f>IF(D205="","",IFERROR(INDEX('Stock pièces'!$B$5:$B$404,MATCH(D205,'Stock pièces'!$A$5:$A$404,0)),"Réf. inconnue"))</f>
        <v/>
      </c>
      <c r="F205" s="67" t="n">
        <v>2</v>
      </c>
      <c r="G205" s="81">
        <f>IF(D205="","",IFERROR(INDEX('Stock pièces'!$I$5:$I$404,MATCH(D205,'Stock pièces'!$A$5:$A$404,0)),0))</f>
        <v/>
      </c>
      <c r="H205" s="81">
        <f>IF(D205="","",N(F205)*N(G205))</f>
        <v/>
      </c>
      <c r="I205" s="7" t="n"/>
      <c r="J205" s="9">
        <f>IF(I205="","",IFERROR(INDEX('Ordres de travail'!$D$5:$D$3004,MATCH(I205,'Ordres de travail'!$A$5:$A$3004,0)),""))</f>
        <v/>
      </c>
      <c r="K205" s="9">
        <f>IF(D205="","",IFERROR(INDEX('Stock pièces'!$D$5:$D$404,MATCH(D205,'Stock pièces'!$A$5:$A$404,0)),""))</f>
        <v/>
      </c>
      <c r="L205" s="7" t="inlineStr">
        <is>
          <t>CMD-24053</t>
        </is>
      </c>
      <c r="M205" s="7" t="inlineStr">
        <is>
          <t>Réception commande réappro</t>
        </is>
      </c>
    </row>
    <row r="206">
      <c r="A206" s="7" t="inlineStr">
        <is>
          <t>MV-00202</t>
        </is>
      </c>
      <c r="B206" s="75" t="n">
        <v>45778.41666666666</v>
      </c>
      <c r="C206" s="7" t="inlineStr">
        <is>
          <t>Entrée</t>
        </is>
      </c>
      <c r="D206" s="7" t="inlineStr">
        <is>
          <t>PD-0059</t>
        </is>
      </c>
      <c r="E206" s="9">
        <f>IF(D206="","",IFERROR(INDEX('Stock pièces'!$B$5:$B$404,MATCH(D206,'Stock pièces'!$A$5:$A$404,0)),"Réf. inconnue"))</f>
        <v/>
      </c>
      <c r="F206" s="67" t="n">
        <v>4</v>
      </c>
      <c r="G206" s="81">
        <f>IF(D206="","",IFERROR(INDEX('Stock pièces'!$I$5:$I$404,MATCH(D206,'Stock pièces'!$A$5:$A$404,0)),0))</f>
        <v/>
      </c>
      <c r="H206" s="81">
        <f>IF(D206="","",N(F206)*N(G206))</f>
        <v/>
      </c>
      <c r="I206" s="7" t="n"/>
      <c r="J206" s="9">
        <f>IF(I206="","",IFERROR(INDEX('Ordres de travail'!$D$5:$D$3004,MATCH(I206,'Ordres de travail'!$A$5:$A$3004,0)),""))</f>
        <v/>
      </c>
      <c r="K206" s="9">
        <f>IF(D206="","",IFERROR(INDEX('Stock pièces'!$D$5:$D$404,MATCH(D206,'Stock pièces'!$A$5:$A$404,0)),""))</f>
        <v/>
      </c>
      <c r="L206" s="7" t="inlineStr">
        <is>
          <t>CMD-24054</t>
        </is>
      </c>
      <c r="M206" s="7" t="inlineStr">
        <is>
          <t>Réception commande réappro</t>
        </is>
      </c>
    </row>
    <row r="207">
      <c r="A207" s="7" t="inlineStr">
        <is>
          <t>MV-00203</t>
        </is>
      </c>
      <c r="B207" s="75" t="n">
        <v>45778.41666666666</v>
      </c>
      <c r="C207" s="7" t="inlineStr">
        <is>
          <t>Entrée</t>
        </is>
      </c>
      <c r="D207" s="7" t="inlineStr">
        <is>
          <t>PD-0037</t>
        </is>
      </c>
      <c r="E207" s="9">
        <f>IF(D207="","",IFERROR(INDEX('Stock pièces'!$B$5:$B$404,MATCH(D207,'Stock pièces'!$A$5:$A$404,0)),"Réf. inconnue"))</f>
        <v/>
      </c>
      <c r="F207" s="67" t="n">
        <v>1</v>
      </c>
      <c r="G207" s="81">
        <f>IF(D207="","",IFERROR(INDEX('Stock pièces'!$I$5:$I$404,MATCH(D207,'Stock pièces'!$A$5:$A$404,0)),0))</f>
        <v/>
      </c>
      <c r="H207" s="81">
        <f>IF(D207="","",N(F207)*N(G207))</f>
        <v/>
      </c>
      <c r="I207" s="7" t="n"/>
      <c r="J207" s="9">
        <f>IF(I207="","",IFERROR(INDEX('Ordres de travail'!$D$5:$D$3004,MATCH(I207,'Ordres de travail'!$A$5:$A$3004,0)),""))</f>
        <v/>
      </c>
      <c r="K207" s="9">
        <f>IF(D207="","",IFERROR(INDEX('Stock pièces'!$D$5:$D$404,MATCH(D207,'Stock pièces'!$A$5:$A$404,0)),""))</f>
        <v/>
      </c>
      <c r="L207" s="7" t="inlineStr">
        <is>
          <t>CMD-24055</t>
        </is>
      </c>
      <c r="M207" s="7" t="inlineStr">
        <is>
          <t>Réception commande réappro</t>
        </is>
      </c>
    </row>
    <row r="208">
      <c r="A208" s="7" t="inlineStr">
        <is>
          <t>MV-00204</t>
        </is>
      </c>
      <c r="B208" s="75" t="n">
        <v>45778.84722222222</v>
      </c>
      <c r="C208" s="7" t="inlineStr">
        <is>
          <t>Entrée</t>
        </is>
      </c>
      <c r="D208" s="7" t="inlineStr">
        <is>
          <t>PD-0011</t>
        </is>
      </c>
      <c r="E208" s="9">
        <f>IF(D208="","",IFERROR(INDEX('Stock pièces'!$B$5:$B$404,MATCH(D208,'Stock pièces'!$A$5:$A$404,0)),"Réf. inconnue"))</f>
        <v/>
      </c>
      <c r="F208" s="67" t="n">
        <v>3</v>
      </c>
      <c r="G208" s="81">
        <f>IF(D208="","",IFERROR(INDEX('Stock pièces'!$I$5:$I$404,MATCH(D208,'Stock pièces'!$A$5:$A$404,0)),0))</f>
        <v/>
      </c>
      <c r="H208" s="81">
        <f>IF(D208="","",N(F208)*N(G208))</f>
        <v/>
      </c>
      <c r="I208" s="7" t="n"/>
      <c r="J208" s="9">
        <f>IF(I208="","",IFERROR(INDEX('Ordres de travail'!$D$5:$D$3004,MATCH(I208,'Ordres de travail'!$A$5:$A$3004,0)),""))</f>
        <v/>
      </c>
      <c r="K208" s="9">
        <f>IF(D208="","",IFERROR(INDEX('Stock pièces'!$D$5:$D$404,MATCH(D208,'Stock pièces'!$A$5:$A$404,0)),""))</f>
        <v/>
      </c>
      <c r="L208" s="7" t="inlineStr">
        <is>
          <t>URG-24059</t>
        </is>
      </c>
      <c r="M208" s="7" t="inlineStr">
        <is>
          <t>Achat urgent (rupture)</t>
        </is>
      </c>
    </row>
    <row r="209">
      <c r="A209" s="7" t="inlineStr">
        <is>
          <t>MV-00205</t>
        </is>
      </c>
      <c r="B209" s="75" t="n">
        <v>45778.85069444445</v>
      </c>
      <c r="C209" s="7" t="inlineStr">
        <is>
          <t>Sortie</t>
        </is>
      </c>
      <c r="D209" s="7" t="inlineStr">
        <is>
          <t>PD-0011</t>
        </is>
      </c>
      <c r="E209" s="9">
        <f>IF(D209="","",IFERROR(INDEX('Stock pièces'!$B$5:$B$404,MATCH(D209,'Stock pièces'!$A$5:$A$404,0)),"Réf. inconnue"))</f>
        <v/>
      </c>
      <c r="F209" s="67" t="n">
        <v>2</v>
      </c>
      <c r="G209" s="81">
        <f>IF(D209="","",IFERROR(INDEX('Stock pièces'!$I$5:$I$404,MATCH(D209,'Stock pièces'!$A$5:$A$404,0)),0))</f>
        <v/>
      </c>
      <c r="H209" s="81">
        <f>IF(D209="","",N(F209)*N(G209))</f>
        <v/>
      </c>
      <c r="I209" s="7" t="inlineStr">
        <is>
          <t>OT-2025-0269</t>
        </is>
      </c>
      <c r="J209" s="9">
        <f>IF(I209="","",IFERROR(INDEX('Ordres de travail'!$D$5:$D$3004,MATCH(I209,'Ordres de travail'!$A$5:$A$3004,0)),""))</f>
        <v/>
      </c>
      <c r="K209" s="9">
        <f>IF(D209="","",IFERROR(INDEX('Stock pièces'!$D$5:$D$404,MATCH(D209,'Stock pièces'!$A$5:$A$404,0)),""))</f>
        <v/>
      </c>
      <c r="L209" s="7" t="n"/>
      <c r="M209" s="7" t="n"/>
    </row>
    <row r="210">
      <c r="A210" s="7" t="inlineStr">
        <is>
          <t>MV-00206</t>
        </is>
      </c>
      <c r="B210" s="75" t="n">
        <v>45778.85069444445</v>
      </c>
      <c r="C210" s="7" t="inlineStr">
        <is>
          <t>Sortie</t>
        </is>
      </c>
      <c r="D210" s="7" t="inlineStr">
        <is>
          <t>PD-0056</t>
        </is>
      </c>
      <c r="E210" s="9">
        <f>IF(D210="","",IFERROR(INDEX('Stock pièces'!$B$5:$B$404,MATCH(D210,'Stock pièces'!$A$5:$A$404,0)),"Réf. inconnue"))</f>
        <v/>
      </c>
      <c r="F210" s="67" t="n">
        <v>1</v>
      </c>
      <c r="G210" s="81">
        <f>IF(D210="","",IFERROR(INDEX('Stock pièces'!$I$5:$I$404,MATCH(D210,'Stock pièces'!$A$5:$A$404,0)),0))</f>
        <v/>
      </c>
      <c r="H210" s="81">
        <f>IF(D210="","",N(F210)*N(G210))</f>
        <v/>
      </c>
      <c r="I210" s="7" t="inlineStr">
        <is>
          <t>OT-2025-0269</t>
        </is>
      </c>
      <c r="J210" s="9">
        <f>IF(I210="","",IFERROR(INDEX('Ordres de travail'!$D$5:$D$3004,MATCH(I210,'Ordres de travail'!$A$5:$A$3004,0)),""))</f>
        <v/>
      </c>
      <c r="K210" s="9">
        <f>IF(D210="","",IFERROR(INDEX('Stock pièces'!$D$5:$D$404,MATCH(D210,'Stock pièces'!$A$5:$A$404,0)),""))</f>
        <v/>
      </c>
      <c r="L210" s="7" t="n"/>
      <c r="M210" s="7" t="n"/>
    </row>
    <row r="211">
      <c r="A211" s="7" t="inlineStr">
        <is>
          <t>MV-00207</t>
        </is>
      </c>
      <c r="B211" s="75" t="n">
        <v>45779.44097222222</v>
      </c>
      <c r="C211" s="7" t="inlineStr">
        <is>
          <t>Sortie</t>
        </is>
      </c>
      <c r="D211" s="7" t="inlineStr">
        <is>
          <t>PD-0028</t>
        </is>
      </c>
      <c r="E211" s="9">
        <f>IF(D211="","",IFERROR(INDEX('Stock pièces'!$B$5:$B$404,MATCH(D211,'Stock pièces'!$A$5:$A$404,0)),"Réf. inconnue"))</f>
        <v/>
      </c>
      <c r="F211" s="67" t="n">
        <v>1</v>
      </c>
      <c r="G211" s="81">
        <f>IF(D211="","",IFERROR(INDEX('Stock pièces'!$I$5:$I$404,MATCH(D211,'Stock pièces'!$A$5:$A$404,0)),0))</f>
        <v/>
      </c>
      <c r="H211" s="81">
        <f>IF(D211="","",N(F211)*N(G211))</f>
        <v/>
      </c>
      <c r="I211" s="7" t="inlineStr">
        <is>
          <t>OT-2025-0270</t>
        </is>
      </c>
      <c r="J211" s="9">
        <f>IF(I211="","",IFERROR(INDEX('Ordres de travail'!$D$5:$D$3004,MATCH(I211,'Ordres de travail'!$A$5:$A$3004,0)),""))</f>
        <v/>
      </c>
      <c r="K211" s="9">
        <f>IF(D211="","",IFERROR(INDEX('Stock pièces'!$D$5:$D$404,MATCH(D211,'Stock pièces'!$A$5:$A$404,0)),""))</f>
        <v/>
      </c>
      <c r="L211" s="7" t="n"/>
      <c r="M211" s="7" t="n"/>
    </row>
    <row r="212">
      <c r="A212" s="7" t="inlineStr">
        <is>
          <t>MV-00208</t>
        </is>
      </c>
      <c r="B212" s="75" t="n">
        <v>45781.32569444444</v>
      </c>
      <c r="C212" s="7" t="inlineStr">
        <is>
          <t>Sortie</t>
        </is>
      </c>
      <c r="D212" s="7" t="inlineStr">
        <is>
          <t>PD-0054</t>
        </is>
      </c>
      <c r="E212" s="9">
        <f>IF(D212="","",IFERROR(INDEX('Stock pièces'!$B$5:$B$404,MATCH(D212,'Stock pièces'!$A$5:$A$404,0)),"Réf. inconnue"))</f>
        <v/>
      </c>
      <c r="F212" s="67" t="n">
        <v>1</v>
      </c>
      <c r="G212" s="81">
        <f>IF(D212="","",IFERROR(INDEX('Stock pièces'!$I$5:$I$404,MATCH(D212,'Stock pièces'!$A$5:$A$404,0)),0))</f>
        <v/>
      </c>
      <c r="H212" s="81">
        <f>IF(D212="","",N(F212)*N(G212))</f>
        <v/>
      </c>
      <c r="I212" s="7" t="inlineStr">
        <is>
          <t>OT-2025-0268</t>
        </is>
      </c>
      <c r="J212" s="9">
        <f>IF(I212="","",IFERROR(INDEX('Ordres de travail'!$D$5:$D$3004,MATCH(I212,'Ordres de travail'!$A$5:$A$3004,0)),""))</f>
        <v/>
      </c>
      <c r="K212" s="9">
        <f>IF(D212="","",IFERROR(INDEX('Stock pièces'!$D$5:$D$404,MATCH(D212,'Stock pièces'!$A$5:$A$404,0)),""))</f>
        <v/>
      </c>
      <c r="L212" s="7" t="n"/>
      <c r="M212" s="7" t="n"/>
    </row>
    <row r="213">
      <c r="A213" s="7" t="inlineStr">
        <is>
          <t>MV-00209</t>
        </is>
      </c>
      <c r="B213" s="75" t="n">
        <v>45782.35416666666</v>
      </c>
      <c r="C213" s="7" t="inlineStr">
        <is>
          <t>Sortie</t>
        </is>
      </c>
      <c r="D213" s="7" t="inlineStr">
        <is>
          <t>PD-0025</t>
        </is>
      </c>
      <c r="E213" s="9">
        <f>IF(D213="","",IFERROR(INDEX('Stock pièces'!$B$5:$B$404,MATCH(D213,'Stock pièces'!$A$5:$A$404,0)),"Réf. inconnue"))</f>
        <v/>
      </c>
      <c r="F213" s="67" t="n">
        <v>3</v>
      </c>
      <c r="G213" s="81">
        <f>IF(D213="","",IFERROR(INDEX('Stock pièces'!$I$5:$I$404,MATCH(D213,'Stock pièces'!$A$5:$A$404,0)),0))</f>
        <v/>
      </c>
      <c r="H213" s="81">
        <f>IF(D213="","",N(F213)*N(G213))</f>
        <v/>
      </c>
      <c r="I213" s="7" t="inlineStr">
        <is>
          <t>OT-2025-0261</t>
        </is>
      </c>
      <c r="J213" s="9">
        <f>IF(I213="","",IFERROR(INDEX('Ordres de travail'!$D$5:$D$3004,MATCH(I213,'Ordres de travail'!$A$5:$A$3004,0)),""))</f>
        <v/>
      </c>
      <c r="K213" s="9">
        <f>IF(D213="","",IFERROR(INDEX('Stock pièces'!$D$5:$D$404,MATCH(D213,'Stock pièces'!$A$5:$A$404,0)),""))</f>
        <v/>
      </c>
      <c r="L213" s="7" t="n"/>
      <c r="M213" s="7" t="n"/>
    </row>
    <row r="214">
      <c r="A214" s="7" t="inlineStr">
        <is>
          <t>MV-00210</t>
        </is>
      </c>
      <c r="B214" s="75" t="n">
        <v>45782.40972222222</v>
      </c>
      <c r="C214" s="7" t="inlineStr">
        <is>
          <t>Sortie</t>
        </is>
      </c>
      <c r="D214" s="7" t="inlineStr">
        <is>
          <t>PD-0019</t>
        </is>
      </c>
      <c r="E214" s="9">
        <f>IF(D214="","",IFERROR(INDEX('Stock pièces'!$B$5:$B$404,MATCH(D214,'Stock pièces'!$A$5:$A$404,0)),"Réf. inconnue"))</f>
        <v/>
      </c>
      <c r="F214" s="67" t="n">
        <v>4</v>
      </c>
      <c r="G214" s="81">
        <f>IF(D214="","",IFERROR(INDEX('Stock pièces'!$I$5:$I$404,MATCH(D214,'Stock pièces'!$A$5:$A$404,0)),0))</f>
        <v/>
      </c>
      <c r="H214" s="81">
        <f>IF(D214="","",N(F214)*N(G214))</f>
        <v/>
      </c>
      <c r="I214" s="7" t="inlineStr">
        <is>
          <t>OT-2025-0263</t>
        </is>
      </c>
      <c r="J214" s="9">
        <f>IF(I214="","",IFERROR(INDEX('Ordres de travail'!$D$5:$D$3004,MATCH(I214,'Ordres de travail'!$A$5:$A$3004,0)),""))</f>
        <v/>
      </c>
      <c r="K214" s="9">
        <f>IF(D214="","",IFERROR(INDEX('Stock pièces'!$D$5:$D$404,MATCH(D214,'Stock pièces'!$A$5:$A$404,0)),""))</f>
        <v/>
      </c>
      <c r="L214" s="7" t="n"/>
      <c r="M214" s="7" t="n"/>
    </row>
    <row r="215">
      <c r="A215" s="7" t="inlineStr">
        <is>
          <t>MV-00211</t>
        </is>
      </c>
      <c r="B215" s="75" t="n">
        <v>45782.41666666666</v>
      </c>
      <c r="C215" s="7" t="inlineStr">
        <is>
          <t>Entrée</t>
        </is>
      </c>
      <c r="D215" s="7" t="inlineStr">
        <is>
          <t>PD-0057</t>
        </is>
      </c>
      <c r="E215" s="9">
        <f>IF(D215="","",IFERROR(INDEX('Stock pièces'!$B$5:$B$404,MATCH(D215,'Stock pièces'!$A$5:$A$404,0)),"Réf. inconnue"))</f>
        <v/>
      </c>
      <c r="F215" s="67" t="n">
        <v>1</v>
      </c>
      <c r="G215" s="81">
        <f>IF(D215="","",IFERROR(INDEX('Stock pièces'!$I$5:$I$404,MATCH(D215,'Stock pièces'!$A$5:$A$404,0)),0))</f>
        <v/>
      </c>
      <c r="H215" s="81">
        <f>IF(D215="","",N(F215)*N(G215))</f>
        <v/>
      </c>
      <c r="I215" s="7" t="n"/>
      <c r="J215" s="9">
        <f>IF(I215="","",IFERROR(INDEX('Ordres de travail'!$D$5:$D$3004,MATCH(I215,'Ordres de travail'!$A$5:$A$3004,0)),""))</f>
        <v/>
      </c>
      <c r="K215" s="9">
        <f>IF(D215="","",IFERROR(INDEX('Stock pièces'!$D$5:$D$404,MATCH(D215,'Stock pièces'!$A$5:$A$404,0)),""))</f>
        <v/>
      </c>
      <c r="L215" s="7" t="inlineStr">
        <is>
          <t>CMD-24049</t>
        </is>
      </c>
      <c r="M215" s="7" t="inlineStr">
        <is>
          <t>Réception commande réappro</t>
        </is>
      </c>
    </row>
    <row r="216">
      <c r="A216" s="7" t="inlineStr">
        <is>
          <t>MV-00212</t>
        </is>
      </c>
      <c r="B216" s="75" t="n">
        <v>45782.41666666666</v>
      </c>
      <c r="C216" s="7" t="inlineStr">
        <is>
          <t>Entrée</t>
        </is>
      </c>
      <c r="D216" s="7" t="inlineStr">
        <is>
          <t>PD-0041</t>
        </is>
      </c>
      <c r="E216" s="9">
        <f>IF(D216="","",IFERROR(INDEX('Stock pièces'!$B$5:$B$404,MATCH(D216,'Stock pièces'!$A$5:$A$404,0)),"Réf. inconnue"))</f>
        <v/>
      </c>
      <c r="F216" s="67" t="n">
        <v>1</v>
      </c>
      <c r="G216" s="81">
        <f>IF(D216="","",IFERROR(INDEX('Stock pièces'!$I$5:$I$404,MATCH(D216,'Stock pièces'!$A$5:$A$404,0)),0))</f>
        <v/>
      </c>
      <c r="H216" s="81">
        <f>IF(D216="","",N(F216)*N(G216))</f>
        <v/>
      </c>
      <c r="I216" s="7" t="n"/>
      <c r="J216" s="9">
        <f>IF(I216="","",IFERROR(INDEX('Ordres de travail'!$D$5:$D$3004,MATCH(I216,'Ordres de travail'!$A$5:$A$3004,0)),""))</f>
        <v/>
      </c>
      <c r="K216" s="9">
        <f>IF(D216="","",IFERROR(INDEX('Stock pièces'!$D$5:$D$404,MATCH(D216,'Stock pièces'!$A$5:$A$404,0)),""))</f>
        <v/>
      </c>
      <c r="L216" s="7" t="inlineStr">
        <is>
          <t>CMD-24052</t>
        </is>
      </c>
      <c r="M216" s="7" t="inlineStr">
        <is>
          <t>Réception commande réappro</t>
        </is>
      </c>
    </row>
    <row r="217">
      <c r="A217" s="7" t="inlineStr">
        <is>
          <t>MV-00213</t>
        </is>
      </c>
      <c r="B217" s="75" t="n">
        <v>45782.41666666666</v>
      </c>
      <c r="C217" s="7" t="inlineStr">
        <is>
          <t>Entrée</t>
        </is>
      </c>
      <c r="D217" s="7" t="inlineStr">
        <is>
          <t>PD-0012</t>
        </is>
      </c>
      <c r="E217" s="9">
        <f>IF(D217="","",IFERROR(INDEX('Stock pièces'!$B$5:$B$404,MATCH(D217,'Stock pièces'!$A$5:$A$404,0)),"Réf. inconnue"))</f>
        <v/>
      </c>
      <c r="F217" s="67" t="n">
        <v>4</v>
      </c>
      <c r="G217" s="81">
        <f>IF(D217="","",IFERROR(INDEX('Stock pièces'!$I$5:$I$404,MATCH(D217,'Stock pièces'!$A$5:$A$404,0)),0))</f>
        <v/>
      </c>
      <c r="H217" s="81">
        <f>IF(D217="","",N(F217)*N(G217))</f>
        <v/>
      </c>
      <c r="I217" s="7" t="n"/>
      <c r="J217" s="9">
        <f>IF(I217="","",IFERROR(INDEX('Ordres de travail'!$D$5:$D$3004,MATCH(I217,'Ordres de travail'!$A$5:$A$3004,0)),""))</f>
        <v/>
      </c>
      <c r="K217" s="9">
        <f>IF(D217="","",IFERROR(INDEX('Stock pièces'!$D$5:$D$404,MATCH(D217,'Stock pièces'!$A$5:$A$404,0)),""))</f>
        <v/>
      </c>
      <c r="L217" s="7" t="inlineStr">
        <is>
          <t>CMD-24057</t>
        </is>
      </c>
      <c r="M217" s="7" t="inlineStr">
        <is>
          <t>Réception commande réappro</t>
        </is>
      </c>
    </row>
    <row r="218">
      <c r="A218" s="7" t="inlineStr">
        <is>
          <t>MV-00214</t>
        </is>
      </c>
      <c r="B218" s="75" t="n">
        <v>45782.66111111111</v>
      </c>
      <c r="C218" s="7" t="inlineStr">
        <is>
          <t>Entrée</t>
        </is>
      </c>
      <c r="D218" s="7" t="inlineStr">
        <is>
          <t>PD-0043</t>
        </is>
      </c>
      <c r="E218" s="9">
        <f>IF(D218="","",IFERROR(INDEX('Stock pièces'!$B$5:$B$404,MATCH(D218,'Stock pièces'!$A$5:$A$404,0)),"Réf. inconnue"))</f>
        <v/>
      </c>
      <c r="F218" s="67" t="n">
        <v>1</v>
      </c>
      <c r="G218" s="81">
        <f>IF(D218="","",IFERROR(INDEX('Stock pièces'!$I$5:$I$404,MATCH(D218,'Stock pièces'!$A$5:$A$404,0)),0))</f>
        <v/>
      </c>
      <c r="H218" s="81">
        <f>IF(D218="","",N(F218)*N(G218))</f>
        <v/>
      </c>
      <c r="I218" s="7" t="n"/>
      <c r="J218" s="9">
        <f>IF(I218="","",IFERROR(INDEX('Ordres de travail'!$D$5:$D$3004,MATCH(I218,'Ordres de travail'!$A$5:$A$3004,0)),""))</f>
        <v/>
      </c>
      <c r="K218" s="9">
        <f>IF(D218="","",IFERROR(INDEX('Stock pièces'!$D$5:$D$404,MATCH(D218,'Stock pièces'!$A$5:$A$404,0)),""))</f>
        <v/>
      </c>
      <c r="L218" s="7" t="inlineStr">
        <is>
          <t>URG-24063</t>
        </is>
      </c>
      <c r="M218" s="7" t="inlineStr">
        <is>
          <t>Achat urgent (rupture)</t>
        </is>
      </c>
    </row>
    <row r="219">
      <c r="A219" s="7" t="inlineStr">
        <is>
          <t>MV-00215</t>
        </is>
      </c>
      <c r="B219" s="75" t="n">
        <v>45782.66458333333</v>
      </c>
      <c r="C219" s="7" t="inlineStr">
        <is>
          <t>Sortie</t>
        </is>
      </c>
      <c r="D219" s="7" t="inlineStr">
        <is>
          <t>PD-0043</t>
        </is>
      </c>
      <c r="E219" s="9">
        <f>IF(D219="","",IFERROR(INDEX('Stock pièces'!$B$5:$B$404,MATCH(D219,'Stock pièces'!$A$5:$A$404,0)),"Réf. inconnue"))</f>
        <v/>
      </c>
      <c r="F219" s="67" t="n">
        <v>1</v>
      </c>
      <c r="G219" s="81">
        <f>IF(D219="","",IFERROR(INDEX('Stock pièces'!$I$5:$I$404,MATCH(D219,'Stock pièces'!$A$5:$A$404,0)),0))</f>
        <v/>
      </c>
      <c r="H219" s="81">
        <f>IF(D219="","",N(F219)*N(G219))</f>
        <v/>
      </c>
      <c r="I219" s="7" t="inlineStr">
        <is>
          <t>OT-2025-0275</t>
        </is>
      </c>
      <c r="J219" s="9">
        <f>IF(I219="","",IFERROR(INDEX('Ordres de travail'!$D$5:$D$3004,MATCH(I219,'Ordres de travail'!$A$5:$A$3004,0)),""))</f>
        <v/>
      </c>
      <c r="K219" s="9">
        <f>IF(D219="","",IFERROR(INDEX('Stock pièces'!$D$5:$D$404,MATCH(D219,'Stock pièces'!$A$5:$A$404,0)),""))</f>
        <v/>
      </c>
      <c r="L219" s="7" t="n"/>
      <c r="M219" s="7" t="n"/>
    </row>
    <row r="220">
      <c r="A220" s="7" t="inlineStr">
        <is>
          <t>MV-00216</t>
        </is>
      </c>
      <c r="B220" s="75" t="n">
        <v>45782.91875</v>
      </c>
      <c r="C220" s="7" t="inlineStr">
        <is>
          <t>Sortie</t>
        </is>
      </c>
      <c r="D220" s="7" t="inlineStr">
        <is>
          <t>PD-0033</t>
        </is>
      </c>
      <c r="E220" s="9">
        <f>IF(D220="","",IFERROR(INDEX('Stock pièces'!$B$5:$B$404,MATCH(D220,'Stock pièces'!$A$5:$A$404,0)),"Réf. inconnue"))</f>
        <v/>
      </c>
      <c r="F220" s="67" t="n">
        <v>1</v>
      </c>
      <c r="G220" s="81">
        <f>IF(D220="","",IFERROR(INDEX('Stock pièces'!$I$5:$I$404,MATCH(D220,'Stock pièces'!$A$5:$A$404,0)),0))</f>
        <v/>
      </c>
      <c r="H220" s="81">
        <f>IF(D220="","",N(F220)*N(G220))</f>
        <v/>
      </c>
      <c r="I220" s="7" t="inlineStr">
        <is>
          <t>OT-2025-0278</t>
        </is>
      </c>
      <c r="J220" s="9">
        <f>IF(I220="","",IFERROR(INDEX('Ordres de travail'!$D$5:$D$3004,MATCH(I220,'Ordres de travail'!$A$5:$A$3004,0)),""))</f>
        <v/>
      </c>
      <c r="K220" s="9">
        <f>IF(D220="","",IFERROR(INDEX('Stock pièces'!$D$5:$D$404,MATCH(D220,'Stock pièces'!$A$5:$A$404,0)),""))</f>
        <v/>
      </c>
      <c r="L220" s="7" t="n"/>
      <c r="M220" s="7" t="n"/>
    </row>
    <row r="221">
      <c r="A221" s="7" t="inlineStr">
        <is>
          <t>MV-00217</t>
        </is>
      </c>
      <c r="B221" s="75" t="n">
        <v>45783.4875</v>
      </c>
      <c r="C221" s="7" t="inlineStr">
        <is>
          <t>Sortie</t>
        </is>
      </c>
      <c r="D221" s="7" t="inlineStr">
        <is>
          <t>PD-0067</t>
        </is>
      </c>
      <c r="E221" s="9">
        <f>IF(D221="","",IFERROR(INDEX('Stock pièces'!$B$5:$B$404,MATCH(D221,'Stock pièces'!$A$5:$A$404,0)),"Réf. inconnue"))</f>
        <v/>
      </c>
      <c r="F221" s="67" t="n">
        <v>2</v>
      </c>
      <c r="G221" s="81">
        <f>IF(D221="","",IFERROR(INDEX('Stock pièces'!$I$5:$I$404,MATCH(D221,'Stock pièces'!$A$5:$A$404,0)),0))</f>
        <v/>
      </c>
      <c r="H221" s="81">
        <f>IF(D221="","",N(F221)*N(G221))</f>
        <v/>
      </c>
      <c r="I221" s="7" t="inlineStr">
        <is>
          <t>OT-2025-0281</t>
        </is>
      </c>
      <c r="J221" s="9">
        <f>IF(I221="","",IFERROR(INDEX('Ordres de travail'!$D$5:$D$3004,MATCH(I221,'Ordres de travail'!$A$5:$A$3004,0)),""))</f>
        <v/>
      </c>
      <c r="K221" s="9">
        <f>IF(D221="","",IFERROR(INDEX('Stock pièces'!$D$5:$D$404,MATCH(D221,'Stock pièces'!$A$5:$A$404,0)),""))</f>
        <v/>
      </c>
      <c r="L221" s="7" t="n"/>
      <c r="M221" s="7" t="n"/>
    </row>
    <row r="222">
      <c r="A222" s="7" t="inlineStr">
        <is>
          <t>MV-00218</t>
        </is>
      </c>
      <c r="B222" s="75" t="n">
        <v>45783.4875</v>
      </c>
      <c r="C222" s="7" t="inlineStr">
        <is>
          <t>Sortie</t>
        </is>
      </c>
      <c r="D222" s="7" t="inlineStr">
        <is>
          <t>PD-0068</t>
        </is>
      </c>
      <c r="E222" s="9">
        <f>IF(D222="","",IFERROR(INDEX('Stock pièces'!$B$5:$B$404,MATCH(D222,'Stock pièces'!$A$5:$A$404,0)),"Réf. inconnue"))</f>
        <v/>
      </c>
      <c r="F222" s="67" t="n">
        <v>1</v>
      </c>
      <c r="G222" s="81">
        <f>IF(D222="","",IFERROR(INDEX('Stock pièces'!$I$5:$I$404,MATCH(D222,'Stock pièces'!$A$5:$A$404,0)),0))</f>
        <v/>
      </c>
      <c r="H222" s="81">
        <f>IF(D222="","",N(F222)*N(G222))</f>
        <v/>
      </c>
      <c r="I222" s="7" t="inlineStr">
        <is>
          <t>OT-2025-0281</t>
        </is>
      </c>
      <c r="J222" s="9">
        <f>IF(I222="","",IFERROR(INDEX('Ordres de travail'!$D$5:$D$3004,MATCH(I222,'Ordres de travail'!$A$5:$A$3004,0)),""))</f>
        <v/>
      </c>
      <c r="K222" s="9">
        <f>IF(D222="","",IFERROR(INDEX('Stock pièces'!$D$5:$D$404,MATCH(D222,'Stock pièces'!$A$5:$A$404,0)),""))</f>
        <v/>
      </c>
      <c r="L222" s="7" t="n"/>
      <c r="M222" s="7" t="n"/>
    </row>
    <row r="223">
      <c r="A223" s="7" t="inlineStr">
        <is>
          <t>MV-00219</t>
        </is>
      </c>
      <c r="B223" s="75" t="n">
        <v>45783.86597222222</v>
      </c>
      <c r="C223" s="7" t="inlineStr">
        <is>
          <t>Sortie</t>
        </is>
      </c>
      <c r="D223" s="7" t="inlineStr">
        <is>
          <t>PD-0057</t>
        </is>
      </c>
      <c r="E223" s="9">
        <f>IF(D223="","",IFERROR(INDEX('Stock pièces'!$B$5:$B$404,MATCH(D223,'Stock pièces'!$A$5:$A$404,0)),"Réf. inconnue"))</f>
        <v/>
      </c>
      <c r="F223" s="67" t="n">
        <v>1</v>
      </c>
      <c r="G223" s="81">
        <f>IF(D223="","",IFERROR(INDEX('Stock pièces'!$I$5:$I$404,MATCH(D223,'Stock pièces'!$A$5:$A$404,0)),0))</f>
        <v/>
      </c>
      <c r="H223" s="81">
        <f>IF(D223="","",N(F223)*N(G223))</f>
        <v/>
      </c>
      <c r="I223" s="7" t="inlineStr">
        <is>
          <t>OT-2025-0277</t>
        </is>
      </c>
      <c r="J223" s="9">
        <f>IF(I223="","",IFERROR(INDEX('Ordres de travail'!$D$5:$D$3004,MATCH(I223,'Ordres de travail'!$A$5:$A$3004,0)),""))</f>
        <v/>
      </c>
      <c r="K223" s="9">
        <f>IF(D223="","",IFERROR(INDEX('Stock pièces'!$D$5:$D$404,MATCH(D223,'Stock pièces'!$A$5:$A$404,0)),""))</f>
        <v/>
      </c>
      <c r="L223" s="7" t="n"/>
      <c r="M223" s="7" t="n"/>
    </row>
    <row r="224">
      <c r="A224" s="7" t="inlineStr">
        <is>
          <t>MV-00220</t>
        </is>
      </c>
      <c r="B224" s="75" t="n">
        <v>45784.41666666666</v>
      </c>
      <c r="C224" s="7" t="inlineStr">
        <is>
          <t>Entrée</t>
        </is>
      </c>
      <c r="D224" s="7" t="inlineStr">
        <is>
          <t>PD-0028</t>
        </is>
      </c>
      <c r="E224" s="9">
        <f>IF(D224="","",IFERROR(INDEX('Stock pièces'!$B$5:$B$404,MATCH(D224,'Stock pièces'!$A$5:$A$404,0)),"Réf. inconnue"))</f>
        <v/>
      </c>
      <c r="F224" s="67" t="n">
        <v>5</v>
      </c>
      <c r="G224" s="81">
        <f>IF(D224="","",IFERROR(INDEX('Stock pièces'!$I$5:$I$404,MATCH(D224,'Stock pièces'!$A$5:$A$404,0)),0))</f>
        <v/>
      </c>
      <c r="H224" s="81">
        <f>IF(D224="","",N(F224)*N(G224))</f>
        <v/>
      </c>
      <c r="I224" s="7" t="n"/>
      <c r="J224" s="9">
        <f>IF(I224="","",IFERROR(INDEX('Ordres de travail'!$D$5:$D$3004,MATCH(I224,'Ordres de travail'!$A$5:$A$3004,0)),""))</f>
        <v/>
      </c>
      <c r="K224" s="9">
        <f>IF(D224="","",IFERROR(INDEX('Stock pièces'!$D$5:$D$404,MATCH(D224,'Stock pièces'!$A$5:$A$404,0)),""))</f>
        <v/>
      </c>
      <c r="L224" s="7" t="inlineStr">
        <is>
          <t>CMD-24062</t>
        </is>
      </c>
      <c r="M224" s="7" t="inlineStr">
        <is>
          <t>Réception commande réappro</t>
        </is>
      </c>
    </row>
    <row r="225">
      <c r="A225" s="7" t="inlineStr">
        <is>
          <t>MV-00221</t>
        </is>
      </c>
      <c r="B225" s="75" t="n">
        <v>45785.41666666666</v>
      </c>
      <c r="C225" s="7" t="inlineStr">
        <is>
          <t>Entrée</t>
        </is>
      </c>
      <c r="D225" s="7" t="inlineStr">
        <is>
          <t>PD-0011</t>
        </is>
      </c>
      <c r="E225" s="9">
        <f>IF(D225="","",IFERROR(INDEX('Stock pièces'!$B$5:$B$404,MATCH(D225,'Stock pièces'!$A$5:$A$404,0)),"Réf. inconnue"))</f>
        <v/>
      </c>
      <c r="F225" s="67" t="n">
        <v>2</v>
      </c>
      <c r="G225" s="81">
        <f>IF(D225="","",IFERROR(INDEX('Stock pièces'!$I$5:$I$404,MATCH(D225,'Stock pièces'!$A$5:$A$404,0)),0))</f>
        <v/>
      </c>
      <c r="H225" s="81">
        <f>IF(D225="","",N(F225)*N(G225))</f>
        <v/>
      </c>
      <c r="I225" s="7" t="n"/>
      <c r="J225" s="9">
        <f>IF(I225="","",IFERROR(INDEX('Ordres de travail'!$D$5:$D$3004,MATCH(I225,'Ordres de travail'!$A$5:$A$3004,0)),""))</f>
        <v/>
      </c>
      <c r="K225" s="9">
        <f>IF(D225="","",IFERROR(INDEX('Stock pièces'!$D$5:$D$404,MATCH(D225,'Stock pièces'!$A$5:$A$404,0)),""))</f>
        <v/>
      </c>
      <c r="L225" s="7" t="inlineStr">
        <is>
          <t>CMD-24060</t>
        </is>
      </c>
      <c r="M225" s="7" t="inlineStr">
        <is>
          <t>Réception commande réappro</t>
        </is>
      </c>
    </row>
    <row r="226">
      <c r="A226" s="7" t="inlineStr">
        <is>
          <t>MV-00222</t>
        </is>
      </c>
      <c r="B226" s="75" t="n">
        <v>45785.54305555556</v>
      </c>
      <c r="C226" s="7" t="inlineStr">
        <is>
          <t>Sortie</t>
        </is>
      </c>
      <c r="D226" s="7" t="inlineStr">
        <is>
          <t>PD-0054</t>
        </is>
      </c>
      <c r="E226" s="9">
        <f>IF(D226="","",IFERROR(INDEX('Stock pièces'!$B$5:$B$404,MATCH(D226,'Stock pièces'!$A$5:$A$404,0)),"Réf. inconnue"))</f>
        <v/>
      </c>
      <c r="F226" s="67" t="n">
        <v>1</v>
      </c>
      <c r="G226" s="81">
        <f>IF(D226="","",IFERROR(INDEX('Stock pièces'!$I$5:$I$404,MATCH(D226,'Stock pièces'!$A$5:$A$404,0)),0))</f>
        <v/>
      </c>
      <c r="H226" s="81">
        <f>IF(D226="","",N(F226)*N(G226))</f>
        <v/>
      </c>
      <c r="I226" s="7" t="inlineStr">
        <is>
          <t>OT-2025-0287</t>
        </is>
      </c>
      <c r="J226" s="9">
        <f>IF(I226="","",IFERROR(INDEX('Ordres de travail'!$D$5:$D$3004,MATCH(I226,'Ordres de travail'!$A$5:$A$3004,0)),""))</f>
        <v/>
      </c>
      <c r="K226" s="9">
        <f>IF(D226="","",IFERROR(INDEX('Stock pièces'!$D$5:$D$404,MATCH(D226,'Stock pièces'!$A$5:$A$404,0)),""))</f>
        <v/>
      </c>
      <c r="L226" s="7" t="n"/>
      <c r="M226" s="7" t="n"/>
    </row>
    <row r="227">
      <c r="A227" s="7" t="inlineStr">
        <is>
          <t>MV-00223</t>
        </is>
      </c>
      <c r="B227" s="75" t="n">
        <v>45785.54305555556</v>
      </c>
      <c r="C227" s="7" t="inlineStr">
        <is>
          <t>Sortie</t>
        </is>
      </c>
      <c r="D227" s="7" t="inlineStr">
        <is>
          <t>PD-0055</t>
        </is>
      </c>
      <c r="E227" s="9">
        <f>IF(D227="","",IFERROR(INDEX('Stock pièces'!$B$5:$B$404,MATCH(D227,'Stock pièces'!$A$5:$A$404,0)),"Réf. inconnue"))</f>
        <v/>
      </c>
      <c r="F227" s="67" t="n">
        <v>2</v>
      </c>
      <c r="G227" s="81">
        <f>IF(D227="","",IFERROR(INDEX('Stock pièces'!$I$5:$I$404,MATCH(D227,'Stock pièces'!$A$5:$A$404,0)),0))</f>
        <v/>
      </c>
      <c r="H227" s="81">
        <f>IF(D227="","",N(F227)*N(G227))</f>
        <v/>
      </c>
      <c r="I227" s="7" t="inlineStr">
        <is>
          <t>OT-2025-0287</t>
        </is>
      </c>
      <c r="J227" s="9">
        <f>IF(I227="","",IFERROR(INDEX('Ordres de travail'!$D$5:$D$3004,MATCH(I227,'Ordres de travail'!$A$5:$A$3004,0)),""))</f>
        <v/>
      </c>
      <c r="K227" s="9">
        <f>IF(D227="","",IFERROR(INDEX('Stock pièces'!$D$5:$D$404,MATCH(D227,'Stock pièces'!$A$5:$A$404,0)),""))</f>
        <v/>
      </c>
      <c r="L227" s="7" t="n"/>
      <c r="M227" s="7" t="n"/>
    </row>
    <row r="228">
      <c r="A228" s="7" t="inlineStr">
        <is>
          <t>MV-00224</t>
        </is>
      </c>
      <c r="B228" s="75" t="n">
        <v>45786.29861111111</v>
      </c>
      <c r="C228" s="7" t="inlineStr">
        <is>
          <t>Sortie</t>
        </is>
      </c>
      <c r="D228" s="7" t="inlineStr">
        <is>
          <t>PD-0011</t>
        </is>
      </c>
      <c r="E228" s="9">
        <f>IF(D228="","",IFERROR(INDEX('Stock pièces'!$B$5:$B$404,MATCH(D228,'Stock pièces'!$A$5:$A$404,0)),"Réf. inconnue"))</f>
        <v/>
      </c>
      <c r="F228" s="67" t="n">
        <v>2</v>
      </c>
      <c r="G228" s="81">
        <f>IF(D228="","",IFERROR(INDEX('Stock pièces'!$I$5:$I$404,MATCH(D228,'Stock pièces'!$A$5:$A$404,0)),0))</f>
        <v/>
      </c>
      <c r="H228" s="81">
        <f>IF(D228="","",N(F228)*N(G228))</f>
        <v/>
      </c>
      <c r="I228" s="7" t="inlineStr">
        <is>
          <t>OT-2025-0293</t>
        </is>
      </c>
      <c r="J228" s="9">
        <f>IF(I228="","",IFERROR(INDEX('Ordres de travail'!$D$5:$D$3004,MATCH(I228,'Ordres de travail'!$A$5:$A$3004,0)),""))</f>
        <v/>
      </c>
      <c r="K228" s="9">
        <f>IF(D228="","",IFERROR(INDEX('Stock pièces'!$D$5:$D$404,MATCH(D228,'Stock pièces'!$A$5:$A$404,0)),""))</f>
        <v/>
      </c>
      <c r="L228" s="7" t="n"/>
      <c r="M228" s="7" t="n"/>
    </row>
    <row r="229">
      <c r="A229" s="7" t="inlineStr">
        <is>
          <t>MV-00225</t>
        </is>
      </c>
      <c r="B229" s="75" t="n">
        <v>45786.91666666666</v>
      </c>
      <c r="C229" s="7" t="inlineStr">
        <is>
          <t>Sortie</t>
        </is>
      </c>
      <c r="D229" s="7" t="inlineStr">
        <is>
          <t>PD-0055</t>
        </is>
      </c>
      <c r="E229" s="9">
        <f>IF(D229="","",IFERROR(INDEX('Stock pièces'!$B$5:$B$404,MATCH(D229,'Stock pièces'!$A$5:$A$404,0)),"Réf. inconnue"))</f>
        <v/>
      </c>
      <c r="F229" s="67" t="n">
        <v>3</v>
      </c>
      <c r="G229" s="81">
        <f>IF(D229="","",IFERROR(INDEX('Stock pièces'!$I$5:$I$404,MATCH(D229,'Stock pièces'!$A$5:$A$404,0)),0))</f>
        <v/>
      </c>
      <c r="H229" s="81">
        <f>IF(D229="","",N(F229)*N(G229))</f>
        <v/>
      </c>
      <c r="I229" s="7" t="inlineStr">
        <is>
          <t>OT-2025-0295</t>
        </is>
      </c>
      <c r="J229" s="9">
        <f>IF(I229="","",IFERROR(INDEX('Ordres de travail'!$D$5:$D$3004,MATCH(I229,'Ordres de travail'!$A$5:$A$3004,0)),""))</f>
        <v/>
      </c>
      <c r="K229" s="9">
        <f>IF(D229="","",IFERROR(INDEX('Stock pièces'!$D$5:$D$404,MATCH(D229,'Stock pièces'!$A$5:$A$404,0)),""))</f>
        <v/>
      </c>
      <c r="L229" s="7" t="n"/>
      <c r="M229" s="7" t="n"/>
    </row>
    <row r="230">
      <c r="A230" s="7" t="inlineStr">
        <is>
          <t>MV-00226</t>
        </is>
      </c>
      <c r="B230" s="75" t="n">
        <v>45786.91666666666</v>
      </c>
      <c r="C230" s="7" t="inlineStr">
        <is>
          <t>Sortie</t>
        </is>
      </c>
      <c r="D230" s="7" t="inlineStr">
        <is>
          <t>PD-0056</t>
        </is>
      </c>
      <c r="E230" s="9">
        <f>IF(D230="","",IFERROR(INDEX('Stock pièces'!$B$5:$B$404,MATCH(D230,'Stock pièces'!$A$5:$A$404,0)),"Réf. inconnue"))</f>
        <v/>
      </c>
      <c r="F230" s="67" t="n">
        <v>1</v>
      </c>
      <c r="G230" s="81">
        <f>IF(D230="","",IFERROR(INDEX('Stock pièces'!$I$5:$I$404,MATCH(D230,'Stock pièces'!$A$5:$A$404,0)),0))</f>
        <v/>
      </c>
      <c r="H230" s="81">
        <f>IF(D230="","",N(F230)*N(G230))</f>
        <v/>
      </c>
      <c r="I230" s="7" t="inlineStr">
        <is>
          <t>OT-2025-0295</t>
        </is>
      </c>
      <c r="J230" s="9">
        <f>IF(I230="","",IFERROR(INDEX('Ordres de travail'!$D$5:$D$3004,MATCH(I230,'Ordres de travail'!$A$5:$A$3004,0)),""))</f>
        <v/>
      </c>
      <c r="K230" s="9">
        <f>IF(D230="","",IFERROR(INDEX('Stock pièces'!$D$5:$D$404,MATCH(D230,'Stock pièces'!$A$5:$A$404,0)),""))</f>
        <v/>
      </c>
      <c r="L230" s="7" t="n"/>
      <c r="M230" s="7" t="n"/>
    </row>
    <row r="231">
      <c r="A231" s="7" t="inlineStr">
        <is>
          <t>MV-00227</t>
        </is>
      </c>
      <c r="B231" s="75" t="n">
        <v>45787.76319444444</v>
      </c>
      <c r="C231" s="7" t="inlineStr">
        <is>
          <t>Entrée</t>
        </is>
      </c>
      <c r="D231" s="7" t="inlineStr">
        <is>
          <t>PD-0057</t>
        </is>
      </c>
      <c r="E231" s="9">
        <f>IF(D231="","",IFERROR(INDEX('Stock pièces'!$B$5:$B$404,MATCH(D231,'Stock pièces'!$A$5:$A$404,0)),"Réf. inconnue"))</f>
        <v/>
      </c>
      <c r="F231" s="67" t="n">
        <v>1</v>
      </c>
      <c r="G231" s="81">
        <f>IF(D231="","",IFERROR(INDEX('Stock pièces'!$I$5:$I$404,MATCH(D231,'Stock pièces'!$A$5:$A$404,0)),0))</f>
        <v/>
      </c>
      <c r="H231" s="81">
        <f>IF(D231="","",N(F231)*N(G231))</f>
        <v/>
      </c>
      <c r="I231" s="7" t="n"/>
      <c r="J231" s="9">
        <f>IF(I231="","",IFERROR(INDEX('Ordres de travail'!$D$5:$D$3004,MATCH(I231,'Ordres de travail'!$A$5:$A$3004,0)),""))</f>
        <v/>
      </c>
      <c r="K231" s="9">
        <f>IF(D231="","",IFERROR(INDEX('Stock pièces'!$D$5:$D$404,MATCH(D231,'Stock pièces'!$A$5:$A$404,0)),""))</f>
        <v/>
      </c>
      <c r="L231" s="7" t="inlineStr">
        <is>
          <t>URG-24071</t>
        </is>
      </c>
      <c r="M231" s="7" t="inlineStr">
        <is>
          <t>Achat urgent (rupture)</t>
        </is>
      </c>
    </row>
    <row r="232">
      <c r="A232" s="7" t="inlineStr">
        <is>
          <t>MV-00228</t>
        </is>
      </c>
      <c r="B232" s="75" t="n">
        <v>45787.76666666667</v>
      </c>
      <c r="C232" s="7" t="inlineStr">
        <is>
          <t>Sortie</t>
        </is>
      </c>
      <c r="D232" s="7" t="inlineStr">
        <is>
          <t>PD-0057</t>
        </is>
      </c>
      <c r="E232" s="9">
        <f>IF(D232="","",IFERROR(INDEX('Stock pièces'!$B$5:$B$404,MATCH(D232,'Stock pièces'!$A$5:$A$404,0)),"Réf. inconnue"))</f>
        <v/>
      </c>
      <c r="F232" s="67" t="n">
        <v>1</v>
      </c>
      <c r="G232" s="81">
        <f>IF(D232="","",IFERROR(INDEX('Stock pièces'!$I$5:$I$404,MATCH(D232,'Stock pièces'!$A$5:$A$404,0)),0))</f>
        <v/>
      </c>
      <c r="H232" s="81">
        <f>IF(D232="","",N(F232)*N(G232))</f>
        <v/>
      </c>
      <c r="I232" s="7" t="inlineStr">
        <is>
          <t>OT-2025-0297</t>
        </is>
      </c>
      <c r="J232" s="9">
        <f>IF(I232="","",IFERROR(INDEX('Ordres de travail'!$D$5:$D$3004,MATCH(I232,'Ordres de travail'!$A$5:$A$3004,0)),""))</f>
        <v/>
      </c>
      <c r="K232" s="9">
        <f>IF(D232="","",IFERROR(INDEX('Stock pièces'!$D$5:$D$404,MATCH(D232,'Stock pièces'!$A$5:$A$404,0)),""))</f>
        <v/>
      </c>
      <c r="L232" s="7" t="n"/>
      <c r="M232" s="7" t="n"/>
    </row>
    <row r="233">
      <c r="A233" s="7" t="inlineStr">
        <is>
          <t>MV-00229</t>
        </is>
      </c>
      <c r="B233" s="75" t="n">
        <v>45789.41666666666</v>
      </c>
      <c r="C233" s="7" t="inlineStr">
        <is>
          <t>Entrée</t>
        </is>
      </c>
      <c r="D233" s="7" t="inlineStr">
        <is>
          <t>PD-0056</t>
        </is>
      </c>
      <c r="E233" s="9">
        <f>IF(D233="","",IFERROR(INDEX('Stock pièces'!$B$5:$B$404,MATCH(D233,'Stock pièces'!$A$5:$A$404,0)),"Réf. inconnue"))</f>
        <v/>
      </c>
      <c r="F233" s="67" t="n">
        <v>1</v>
      </c>
      <c r="G233" s="81">
        <f>IF(D233="","",IFERROR(INDEX('Stock pièces'!$I$5:$I$404,MATCH(D233,'Stock pièces'!$A$5:$A$404,0)),0))</f>
        <v/>
      </c>
      <c r="H233" s="81">
        <f>IF(D233="","",N(F233)*N(G233))</f>
        <v/>
      </c>
      <c r="I233" s="7" t="n"/>
      <c r="J233" s="9">
        <f>IF(I233="","",IFERROR(INDEX('Ordres de travail'!$D$5:$D$3004,MATCH(I233,'Ordres de travail'!$A$5:$A$3004,0)),""))</f>
        <v/>
      </c>
      <c r="K233" s="9">
        <f>IF(D233="","",IFERROR(INDEX('Stock pièces'!$D$5:$D$404,MATCH(D233,'Stock pièces'!$A$5:$A$404,0)),""))</f>
        <v/>
      </c>
      <c r="L233" s="7" t="inlineStr">
        <is>
          <t>CMD-24061</t>
        </is>
      </c>
      <c r="M233" s="7" t="inlineStr">
        <is>
          <t>Réception commande réappro</t>
        </is>
      </c>
    </row>
    <row r="234">
      <c r="A234" s="7" t="inlineStr">
        <is>
          <t>MV-00230</t>
        </is>
      </c>
      <c r="B234" s="75" t="n">
        <v>45789.52708333333</v>
      </c>
      <c r="C234" s="7" t="inlineStr">
        <is>
          <t>Sortie</t>
        </is>
      </c>
      <c r="D234" s="7" t="inlineStr">
        <is>
          <t>PD-0006</t>
        </is>
      </c>
      <c r="E234" s="9">
        <f>IF(D234="","",IFERROR(INDEX('Stock pièces'!$B$5:$B$404,MATCH(D234,'Stock pièces'!$A$5:$A$404,0)),"Réf. inconnue"))</f>
        <v/>
      </c>
      <c r="F234" s="67" t="n">
        <v>2</v>
      </c>
      <c r="G234" s="81">
        <f>IF(D234="","",IFERROR(INDEX('Stock pièces'!$I$5:$I$404,MATCH(D234,'Stock pièces'!$A$5:$A$404,0)),0))</f>
        <v/>
      </c>
      <c r="H234" s="81">
        <f>IF(D234="","",N(F234)*N(G234))</f>
        <v/>
      </c>
      <c r="I234" s="7" t="inlineStr">
        <is>
          <t>OT-2025-0305</t>
        </is>
      </c>
      <c r="J234" s="9">
        <f>IF(I234="","",IFERROR(INDEX('Ordres de travail'!$D$5:$D$3004,MATCH(I234,'Ordres de travail'!$A$5:$A$3004,0)),""))</f>
        <v/>
      </c>
      <c r="K234" s="9">
        <f>IF(D234="","",IFERROR(INDEX('Stock pièces'!$D$5:$D$404,MATCH(D234,'Stock pièces'!$A$5:$A$404,0)),""))</f>
        <v/>
      </c>
      <c r="L234" s="7" t="n"/>
      <c r="M234" s="7" t="n"/>
    </row>
    <row r="235">
      <c r="A235" s="7" t="inlineStr">
        <is>
          <t>MV-00231</t>
        </is>
      </c>
      <c r="B235" s="75" t="n">
        <v>45790.27777777778</v>
      </c>
      <c r="C235" s="7" t="inlineStr">
        <is>
          <t>Sortie</t>
        </is>
      </c>
      <c r="D235" s="7" t="inlineStr">
        <is>
          <t>PD-0017</t>
        </is>
      </c>
      <c r="E235" s="9">
        <f>IF(D235="","",IFERROR(INDEX('Stock pièces'!$B$5:$B$404,MATCH(D235,'Stock pièces'!$A$5:$A$404,0)),"Réf. inconnue"))</f>
        <v/>
      </c>
      <c r="F235" s="67" t="n">
        <v>1</v>
      </c>
      <c r="G235" s="81">
        <f>IF(D235="","",IFERROR(INDEX('Stock pièces'!$I$5:$I$404,MATCH(D235,'Stock pièces'!$A$5:$A$404,0)),0))</f>
        <v/>
      </c>
      <c r="H235" s="81">
        <f>IF(D235="","",N(F235)*N(G235))</f>
        <v/>
      </c>
      <c r="I235" s="7" t="inlineStr">
        <is>
          <t>OT-2025-0282</t>
        </is>
      </c>
      <c r="J235" s="9">
        <f>IF(I235="","",IFERROR(INDEX('Ordres de travail'!$D$5:$D$3004,MATCH(I235,'Ordres de travail'!$A$5:$A$3004,0)),""))</f>
        <v/>
      </c>
      <c r="K235" s="9">
        <f>IF(D235="","",IFERROR(INDEX('Stock pièces'!$D$5:$D$404,MATCH(D235,'Stock pièces'!$A$5:$A$404,0)),""))</f>
        <v/>
      </c>
      <c r="L235" s="7" t="n"/>
      <c r="M235" s="7" t="n"/>
    </row>
    <row r="236">
      <c r="A236" s="7" t="inlineStr">
        <is>
          <t>MV-00232</t>
        </is>
      </c>
      <c r="B236" s="75" t="n">
        <v>45790.35069444445</v>
      </c>
      <c r="C236" s="7" t="inlineStr">
        <is>
          <t>Sortie</t>
        </is>
      </c>
      <c r="D236" s="7" t="inlineStr">
        <is>
          <t>PD-0021</t>
        </is>
      </c>
      <c r="E236" s="9">
        <f>IF(D236="","",IFERROR(INDEX('Stock pièces'!$B$5:$B$404,MATCH(D236,'Stock pièces'!$A$5:$A$404,0)),"Réf. inconnue"))</f>
        <v/>
      </c>
      <c r="F236" s="67" t="n">
        <v>1</v>
      </c>
      <c r="G236" s="81">
        <f>IF(D236="","",IFERROR(INDEX('Stock pièces'!$I$5:$I$404,MATCH(D236,'Stock pièces'!$A$5:$A$404,0)),0))</f>
        <v/>
      </c>
      <c r="H236" s="81">
        <f>IF(D236="","",N(F236)*N(G236))</f>
        <v/>
      </c>
      <c r="I236" s="7" t="inlineStr">
        <is>
          <t>OT-2025-0283</t>
        </is>
      </c>
      <c r="J236" s="9">
        <f>IF(I236="","",IFERROR(INDEX('Ordres de travail'!$D$5:$D$3004,MATCH(I236,'Ordres de travail'!$A$5:$A$3004,0)),""))</f>
        <v/>
      </c>
      <c r="K236" s="9">
        <f>IF(D236="","",IFERROR(INDEX('Stock pièces'!$D$5:$D$404,MATCH(D236,'Stock pièces'!$A$5:$A$404,0)),""))</f>
        <v/>
      </c>
      <c r="L236" s="7" t="n"/>
      <c r="M236" s="7" t="n"/>
    </row>
    <row r="237">
      <c r="A237" s="7" t="inlineStr">
        <is>
          <t>MV-00233</t>
        </is>
      </c>
      <c r="B237" s="75" t="n">
        <v>45791.00138888889</v>
      </c>
      <c r="C237" s="7" t="inlineStr">
        <is>
          <t>Sortie</t>
        </is>
      </c>
      <c r="D237" s="7" t="inlineStr">
        <is>
          <t>PD-0031</t>
        </is>
      </c>
      <c r="E237" s="9">
        <f>IF(D237="","",IFERROR(INDEX('Stock pièces'!$B$5:$B$404,MATCH(D237,'Stock pièces'!$A$5:$A$404,0)),"Réf. inconnue"))</f>
        <v/>
      </c>
      <c r="F237" s="67" t="n">
        <v>3</v>
      </c>
      <c r="G237" s="81">
        <f>IF(D237="","",IFERROR(INDEX('Stock pièces'!$I$5:$I$404,MATCH(D237,'Stock pièces'!$A$5:$A$404,0)),0))</f>
        <v/>
      </c>
      <c r="H237" s="81">
        <f>IF(D237="","",N(F237)*N(G237))</f>
        <v/>
      </c>
      <c r="I237" s="7" t="inlineStr">
        <is>
          <t>OT-2025-0310</t>
        </is>
      </c>
      <c r="J237" s="9">
        <f>IF(I237="","",IFERROR(INDEX('Ordres de travail'!$D$5:$D$3004,MATCH(I237,'Ordres de travail'!$A$5:$A$3004,0)),""))</f>
        <v/>
      </c>
      <c r="K237" s="9">
        <f>IF(D237="","",IFERROR(INDEX('Stock pièces'!$D$5:$D$404,MATCH(D237,'Stock pièces'!$A$5:$A$404,0)),""))</f>
        <v/>
      </c>
      <c r="L237" s="7" t="n"/>
      <c r="M237" s="7" t="n"/>
    </row>
    <row r="238">
      <c r="A238" s="7" t="inlineStr">
        <is>
          <t>MV-00234</t>
        </is>
      </c>
      <c r="B238" s="75" t="n">
        <v>45791.02569444444</v>
      </c>
      <c r="C238" s="7" t="inlineStr">
        <is>
          <t>Sortie</t>
        </is>
      </c>
      <c r="D238" s="7" t="inlineStr">
        <is>
          <t>PD-0071</t>
        </is>
      </c>
      <c r="E238" s="9">
        <f>IF(D238="","",IFERROR(INDEX('Stock pièces'!$B$5:$B$404,MATCH(D238,'Stock pièces'!$A$5:$A$404,0)),"Réf. inconnue"))</f>
        <v/>
      </c>
      <c r="F238" s="67" t="n">
        <v>3</v>
      </c>
      <c r="G238" s="81">
        <f>IF(D238="","",IFERROR(INDEX('Stock pièces'!$I$5:$I$404,MATCH(D238,'Stock pièces'!$A$5:$A$404,0)),0))</f>
        <v/>
      </c>
      <c r="H238" s="81">
        <f>IF(D238="","",N(F238)*N(G238))</f>
        <v/>
      </c>
      <c r="I238" s="7" t="inlineStr">
        <is>
          <t>OT-2025-0307</t>
        </is>
      </c>
      <c r="J238" s="9">
        <f>IF(I238="","",IFERROR(INDEX('Ordres de travail'!$D$5:$D$3004,MATCH(I238,'Ordres de travail'!$A$5:$A$3004,0)),""))</f>
        <v/>
      </c>
      <c r="K238" s="9">
        <f>IF(D238="","",IFERROR(INDEX('Stock pièces'!$D$5:$D$404,MATCH(D238,'Stock pièces'!$A$5:$A$404,0)),""))</f>
        <v/>
      </c>
      <c r="L238" s="7" t="n"/>
      <c r="M238" s="7" t="n"/>
    </row>
    <row r="239">
      <c r="A239" s="7" t="inlineStr">
        <is>
          <t>MV-00235</t>
        </is>
      </c>
      <c r="B239" s="75" t="n">
        <v>45791.02569444444</v>
      </c>
      <c r="C239" s="7" t="inlineStr">
        <is>
          <t>Sortie</t>
        </is>
      </c>
      <c r="D239" s="7" t="inlineStr">
        <is>
          <t>PD-0072</t>
        </is>
      </c>
      <c r="E239" s="9">
        <f>IF(D239="","",IFERROR(INDEX('Stock pièces'!$B$5:$B$404,MATCH(D239,'Stock pièces'!$A$5:$A$404,0)),"Réf. inconnue"))</f>
        <v/>
      </c>
      <c r="F239" s="67" t="n">
        <v>1</v>
      </c>
      <c r="G239" s="81">
        <f>IF(D239="","",IFERROR(INDEX('Stock pièces'!$I$5:$I$404,MATCH(D239,'Stock pièces'!$A$5:$A$404,0)),0))</f>
        <v/>
      </c>
      <c r="H239" s="81">
        <f>IF(D239="","",N(F239)*N(G239))</f>
        <v/>
      </c>
      <c r="I239" s="7" t="inlineStr">
        <is>
          <t>OT-2025-0307</t>
        </is>
      </c>
      <c r="J239" s="9">
        <f>IF(I239="","",IFERROR(INDEX('Ordres de travail'!$D$5:$D$3004,MATCH(I239,'Ordres de travail'!$A$5:$A$3004,0)),""))</f>
        <v/>
      </c>
      <c r="K239" s="9">
        <f>IF(D239="","",IFERROR(INDEX('Stock pièces'!$D$5:$D$404,MATCH(D239,'Stock pièces'!$A$5:$A$404,0)),""))</f>
        <v/>
      </c>
      <c r="L239" s="7" t="n"/>
      <c r="M239" s="7" t="n"/>
    </row>
    <row r="240">
      <c r="A240" s="7" t="inlineStr">
        <is>
          <t>MV-00236</t>
        </is>
      </c>
      <c r="B240" s="75" t="n">
        <v>45791.20972222222</v>
      </c>
      <c r="C240" s="7" t="inlineStr">
        <is>
          <t>Sortie</t>
        </is>
      </c>
      <c r="D240" s="7" t="inlineStr">
        <is>
          <t>PD-0066</t>
        </is>
      </c>
      <c r="E240" s="9">
        <f>IF(D240="","",IFERROR(INDEX('Stock pièces'!$B$5:$B$404,MATCH(D240,'Stock pièces'!$A$5:$A$404,0)),"Réf. inconnue"))</f>
        <v/>
      </c>
      <c r="F240" s="67" t="n">
        <v>1</v>
      </c>
      <c r="G240" s="81">
        <f>IF(D240="","",IFERROR(INDEX('Stock pièces'!$I$5:$I$404,MATCH(D240,'Stock pièces'!$A$5:$A$404,0)),0))</f>
        <v/>
      </c>
      <c r="H240" s="81">
        <f>IF(D240="","",N(F240)*N(G240))</f>
        <v/>
      </c>
      <c r="I240" s="7" t="inlineStr">
        <is>
          <t>OT-2025-0309</t>
        </is>
      </c>
      <c r="J240" s="9">
        <f>IF(I240="","",IFERROR(INDEX('Ordres de travail'!$D$5:$D$3004,MATCH(I240,'Ordres de travail'!$A$5:$A$3004,0)),""))</f>
        <v/>
      </c>
      <c r="K240" s="9">
        <f>IF(D240="","",IFERROR(INDEX('Stock pièces'!$D$5:$D$404,MATCH(D240,'Stock pièces'!$A$5:$A$404,0)),""))</f>
        <v/>
      </c>
      <c r="L240" s="7" t="n"/>
      <c r="M240" s="7" t="n"/>
    </row>
    <row r="241">
      <c r="A241" s="7" t="inlineStr">
        <is>
          <t>MV-00237</t>
        </is>
      </c>
      <c r="B241" s="75" t="n">
        <v>45792.28819444445</v>
      </c>
      <c r="C241" s="7" t="inlineStr">
        <is>
          <t>Sortie</t>
        </is>
      </c>
      <c r="D241" s="7" t="inlineStr">
        <is>
          <t>PD-0021</t>
        </is>
      </c>
      <c r="E241" s="9">
        <f>IF(D241="","",IFERROR(INDEX('Stock pièces'!$B$5:$B$404,MATCH(D241,'Stock pièces'!$A$5:$A$404,0)),"Réf. inconnue"))</f>
        <v/>
      </c>
      <c r="F241" s="67" t="n">
        <v>1</v>
      </c>
      <c r="G241" s="81">
        <f>IF(D241="","",IFERROR(INDEX('Stock pièces'!$I$5:$I$404,MATCH(D241,'Stock pièces'!$A$5:$A$404,0)),0))</f>
        <v/>
      </c>
      <c r="H241" s="81">
        <f>IF(D241="","",N(F241)*N(G241))</f>
        <v/>
      </c>
      <c r="I241" s="7" t="inlineStr">
        <is>
          <t>OT-2025-0288</t>
        </is>
      </c>
      <c r="J241" s="9">
        <f>IF(I241="","",IFERROR(INDEX('Ordres de travail'!$D$5:$D$3004,MATCH(I241,'Ordres de travail'!$A$5:$A$3004,0)),""))</f>
        <v/>
      </c>
      <c r="K241" s="9">
        <f>IF(D241="","",IFERROR(INDEX('Stock pièces'!$D$5:$D$404,MATCH(D241,'Stock pièces'!$A$5:$A$404,0)),""))</f>
        <v/>
      </c>
      <c r="L241" s="7" t="n"/>
      <c r="M241" s="7" t="n"/>
    </row>
    <row r="242">
      <c r="A242" s="7" t="inlineStr">
        <is>
          <t>MV-00238</t>
        </is>
      </c>
      <c r="B242" s="75" t="n">
        <v>45792.41666666666</v>
      </c>
      <c r="C242" s="7" t="inlineStr">
        <is>
          <t>Entrée</t>
        </is>
      </c>
      <c r="D242" s="7" t="inlineStr">
        <is>
          <t>PD-0043</t>
        </is>
      </c>
      <c r="E242" s="9">
        <f>IF(D242="","",IFERROR(INDEX('Stock pièces'!$B$5:$B$404,MATCH(D242,'Stock pièces'!$A$5:$A$404,0)),"Réf. inconnue"))</f>
        <v/>
      </c>
      <c r="F242" s="67" t="n">
        <v>1</v>
      </c>
      <c r="G242" s="81">
        <f>IF(D242="","",IFERROR(INDEX('Stock pièces'!$I$5:$I$404,MATCH(D242,'Stock pièces'!$A$5:$A$404,0)),0))</f>
        <v/>
      </c>
      <c r="H242" s="81">
        <f>IF(D242="","",N(F242)*N(G242))</f>
        <v/>
      </c>
      <c r="I242" s="7" t="n"/>
      <c r="J242" s="9">
        <f>IF(I242="","",IFERROR(INDEX('Ordres de travail'!$D$5:$D$3004,MATCH(I242,'Ordres de travail'!$A$5:$A$3004,0)),""))</f>
        <v/>
      </c>
      <c r="K242" s="9">
        <f>IF(D242="","",IFERROR(INDEX('Stock pièces'!$D$5:$D$404,MATCH(D242,'Stock pièces'!$A$5:$A$404,0)),""))</f>
        <v/>
      </c>
      <c r="L242" s="7" t="inlineStr">
        <is>
          <t>CMD-24064</t>
        </is>
      </c>
      <c r="M242" s="7" t="inlineStr">
        <is>
          <t>Réception commande réappro</t>
        </is>
      </c>
    </row>
    <row r="243">
      <c r="A243" s="7" t="inlineStr">
        <is>
          <t>MV-00239</t>
        </is>
      </c>
      <c r="B243" s="75" t="n">
        <v>45792.41666666666</v>
      </c>
      <c r="C243" s="7" t="inlineStr">
        <is>
          <t>Entrée</t>
        </is>
      </c>
      <c r="D243" s="7" t="inlineStr">
        <is>
          <t>PD-0033</t>
        </is>
      </c>
      <c r="E243" s="9">
        <f>IF(D243="","",IFERROR(INDEX('Stock pièces'!$B$5:$B$404,MATCH(D243,'Stock pièces'!$A$5:$A$404,0)),"Réf. inconnue"))</f>
        <v/>
      </c>
      <c r="F243" s="67" t="n">
        <v>1</v>
      </c>
      <c r="G243" s="81">
        <f>IF(D243="","",IFERROR(INDEX('Stock pièces'!$I$5:$I$404,MATCH(D243,'Stock pièces'!$A$5:$A$404,0)),0))</f>
        <v/>
      </c>
      <c r="H243" s="81">
        <f>IF(D243="","",N(F243)*N(G243))</f>
        <v/>
      </c>
      <c r="I243" s="7" t="n"/>
      <c r="J243" s="9">
        <f>IF(I243="","",IFERROR(INDEX('Ordres de travail'!$D$5:$D$3004,MATCH(I243,'Ordres de travail'!$A$5:$A$3004,0)),""))</f>
        <v/>
      </c>
      <c r="K243" s="9">
        <f>IF(D243="","",IFERROR(INDEX('Stock pièces'!$D$5:$D$404,MATCH(D243,'Stock pièces'!$A$5:$A$404,0)),""))</f>
        <v/>
      </c>
      <c r="L243" s="7" t="inlineStr">
        <is>
          <t>CMD-24065</t>
        </is>
      </c>
      <c r="M243" s="7" t="inlineStr">
        <is>
          <t>Réception commande réappro</t>
        </is>
      </c>
    </row>
    <row r="244">
      <c r="A244" s="7" t="inlineStr">
        <is>
          <t>MV-00240</t>
        </is>
      </c>
      <c r="B244" s="75" t="n">
        <v>45792.41666666666</v>
      </c>
      <c r="C244" s="7" t="inlineStr">
        <is>
          <t>Entrée</t>
        </is>
      </c>
      <c r="D244" s="7" t="inlineStr">
        <is>
          <t>PD-0011</t>
        </is>
      </c>
      <c r="E244" s="9">
        <f>IF(D244="","",IFERROR(INDEX('Stock pièces'!$B$5:$B$404,MATCH(D244,'Stock pièces'!$A$5:$A$404,0)),"Réf. inconnue"))</f>
        <v/>
      </c>
      <c r="F244" s="67" t="n">
        <v>2</v>
      </c>
      <c r="G244" s="81">
        <f>IF(D244="","",IFERROR(INDEX('Stock pièces'!$I$5:$I$404,MATCH(D244,'Stock pièces'!$A$5:$A$404,0)),0))</f>
        <v/>
      </c>
      <c r="H244" s="81">
        <f>IF(D244="","",N(F244)*N(G244))</f>
        <v/>
      </c>
      <c r="I244" s="7" t="n"/>
      <c r="J244" s="9">
        <f>IF(I244="","",IFERROR(INDEX('Ordres de travail'!$D$5:$D$3004,MATCH(I244,'Ordres de travail'!$A$5:$A$3004,0)),""))</f>
        <v/>
      </c>
      <c r="K244" s="9">
        <f>IF(D244="","",IFERROR(INDEX('Stock pièces'!$D$5:$D$404,MATCH(D244,'Stock pièces'!$A$5:$A$404,0)),""))</f>
        <v/>
      </c>
      <c r="L244" s="7" t="inlineStr">
        <is>
          <t>CMD-24070</t>
        </is>
      </c>
      <c r="M244" s="7" t="inlineStr">
        <is>
          <t>Réception commande réappro</t>
        </is>
      </c>
    </row>
    <row r="245">
      <c r="A245" s="7" t="inlineStr">
        <is>
          <t>MV-00241</t>
        </is>
      </c>
      <c r="B245" s="75" t="n">
        <v>45792.45486111111</v>
      </c>
      <c r="C245" s="7" t="inlineStr">
        <is>
          <t>Sortie</t>
        </is>
      </c>
      <c r="D245" s="7" t="inlineStr">
        <is>
          <t>PD-0062</t>
        </is>
      </c>
      <c r="E245" s="9">
        <f>IF(D245="","",IFERROR(INDEX('Stock pièces'!$B$5:$B$404,MATCH(D245,'Stock pièces'!$A$5:$A$404,0)),"Réf. inconnue"))</f>
        <v/>
      </c>
      <c r="F245" s="67" t="n">
        <v>1</v>
      </c>
      <c r="G245" s="81">
        <f>IF(D245="","",IFERROR(INDEX('Stock pièces'!$I$5:$I$404,MATCH(D245,'Stock pièces'!$A$5:$A$404,0)),0))</f>
        <v/>
      </c>
      <c r="H245" s="81">
        <f>IF(D245="","",N(F245)*N(G245))</f>
        <v/>
      </c>
      <c r="I245" s="7" t="inlineStr">
        <is>
          <t>OT-2025-0289</t>
        </is>
      </c>
      <c r="J245" s="9">
        <f>IF(I245="","",IFERROR(INDEX('Ordres de travail'!$D$5:$D$3004,MATCH(I245,'Ordres de travail'!$A$5:$A$3004,0)),""))</f>
        <v/>
      </c>
      <c r="K245" s="9">
        <f>IF(D245="","",IFERROR(INDEX('Stock pièces'!$D$5:$D$404,MATCH(D245,'Stock pièces'!$A$5:$A$404,0)),""))</f>
        <v/>
      </c>
      <c r="L245" s="7" t="n"/>
      <c r="M245" s="7" t="n"/>
    </row>
    <row r="246">
      <c r="A246" s="7" t="inlineStr">
        <is>
          <t>MV-00242</t>
        </is>
      </c>
      <c r="B246" s="75" t="n">
        <v>45792.45833333334</v>
      </c>
      <c r="C246" s="7" t="inlineStr">
        <is>
          <t>Sortie</t>
        </is>
      </c>
      <c r="D246" s="7" t="inlineStr">
        <is>
          <t>PD-0025</t>
        </is>
      </c>
      <c r="E246" s="9">
        <f>IF(D246="","",IFERROR(INDEX('Stock pièces'!$B$5:$B$404,MATCH(D246,'Stock pièces'!$A$5:$A$404,0)),"Réf. inconnue"))</f>
        <v/>
      </c>
      <c r="F246" s="67" t="n">
        <v>3</v>
      </c>
      <c r="G246" s="81">
        <f>IF(D246="","",IFERROR(INDEX('Stock pièces'!$I$5:$I$404,MATCH(D246,'Stock pièces'!$A$5:$A$404,0)),0))</f>
        <v/>
      </c>
      <c r="H246" s="81">
        <f>IF(D246="","",N(F246)*N(G246))</f>
        <v/>
      </c>
      <c r="I246" s="7" t="inlineStr">
        <is>
          <t>OT-2025-0291</t>
        </is>
      </c>
      <c r="J246" s="9">
        <f>IF(I246="","",IFERROR(INDEX('Ordres de travail'!$D$5:$D$3004,MATCH(I246,'Ordres de travail'!$A$5:$A$3004,0)),""))</f>
        <v/>
      </c>
      <c r="K246" s="9">
        <f>IF(D246="","",IFERROR(INDEX('Stock pièces'!$D$5:$D$404,MATCH(D246,'Stock pièces'!$A$5:$A$404,0)),""))</f>
        <v/>
      </c>
      <c r="L246" s="7" t="n"/>
      <c r="M246" s="7" t="n"/>
    </row>
    <row r="247">
      <c r="A247" s="7" t="inlineStr">
        <is>
          <t>MV-00243</t>
        </is>
      </c>
      <c r="B247" s="75" t="n">
        <v>45793.41666666666</v>
      </c>
      <c r="C247" s="7" t="inlineStr">
        <is>
          <t>Entrée</t>
        </is>
      </c>
      <c r="D247" s="7" t="inlineStr">
        <is>
          <t>PD-0067</t>
        </is>
      </c>
      <c r="E247" s="9">
        <f>IF(D247="","",IFERROR(INDEX('Stock pièces'!$B$5:$B$404,MATCH(D247,'Stock pièces'!$A$5:$A$404,0)),"Réf. inconnue"))</f>
        <v/>
      </c>
      <c r="F247" s="67" t="n">
        <v>2</v>
      </c>
      <c r="G247" s="81">
        <f>IF(D247="","",IFERROR(INDEX('Stock pièces'!$I$5:$I$404,MATCH(D247,'Stock pièces'!$A$5:$A$404,0)),0))</f>
        <v/>
      </c>
      <c r="H247" s="81">
        <f>IF(D247="","",N(F247)*N(G247))</f>
        <v/>
      </c>
      <c r="I247" s="7" t="n"/>
      <c r="J247" s="9">
        <f>IF(I247="","",IFERROR(INDEX('Ordres de travail'!$D$5:$D$3004,MATCH(I247,'Ordres de travail'!$A$5:$A$3004,0)),""))</f>
        <v/>
      </c>
      <c r="K247" s="9">
        <f>IF(D247="","",IFERROR(INDEX('Stock pièces'!$D$5:$D$404,MATCH(D247,'Stock pièces'!$A$5:$A$404,0)),""))</f>
        <v/>
      </c>
      <c r="L247" s="7" t="inlineStr">
        <is>
          <t>CMD-24066</t>
        </is>
      </c>
      <c r="M247" s="7" t="inlineStr">
        <is>
          <t>Réception commande réappro</t>
        </is>
      </c>
    </row>
    <row r="248">
      <c r="A248" s="7" t="inlineStr">
        <is>
          <t>MV-00244</t>
        </is>
      </c>
      <c r="B248" s="75" t="n">
        <v>45793.41666666666</v>
      </c>
      <c r="C248" s="7" t="inlineStr">
        <is>
          <t>Entrée</t>
        </is>
      </c>
      <c r="D248" s="7" t="inlineStr">
        <is>
          <t>PD-0031</t>
        </is>
      </c>
      <c r="E248" s="9">
        <f>IF(D248="","",IFERROR(INDEX('Stock pièces'!$B$5:$B$404,MATCH(D248,'Stock pièces'!$A$5:$A$404,0)),"Réf. inconnue"))</f>
        <v/>
      </c>
      <c r="F248" s="67" t="n">
        <v>8</v>
      </c>
      <c r="G248" s="81">
        <f>IF(D248="","",IFERROR(INDEX('Stock pièces'!$I$5:$I$404,MATCH(D248,'Stock pièces'!$A$5:$A$404,0)),0))</f>
        <v/>
      </c>
      <c r="H248" s="81">
        <f>IF(D248="","",N(F248)*N(G248))</f>
        <v/>
      </c>
      <c r="I248" s="7" t="n"/>
      <c r="J248" s="9">
        <f>IF(I248="","",IFERROR(INDEX('Ordres de travail'!$D$5:$D$3004,MATCH(I248,'Ordres de travail'!$A$5:$A$3004,0)),""))</f>
        <v/>
      </c>
      <c r="K248" s="9">
        <f>IF(D248="","",IFERROR(INDEX('Stock pièces'!$D$5:$D$404,MATCH(D248,'Stock pièces'!$A$5:$A$404,0)),""))</f>
        <v/>
      </c>
      <c r="L248" s="7" t="inlineStr">
        <is>
          <t>CMD-24073</t>
        </is>
      </c>
      <c r="M248" s="7" t="inlineStr">
        <is>
          <t>Réception commande réappro</t>
        </is>
      </c>
    </row>
    <row r="249">
      <c r="A249" s="7" t="inlineStr">
        <is>
          <t>MV-00245</t>
        </is>
      </c>
      <c r="B249" s="75" t="n">
        <v>45793.94305555556</v>
      </c>
      <c r="C249" s="7" t="inlineStr">
        <is>
          <t>Sortie</t>
        </is>
      </c>
      <c r="D249" s="7" t="inlineStr">
        <is>
          <t>PD-0040</t>
        </is>
      </c>
      <c r="E249" s="9">
        <f>IF(D249="","",IFERROR(INDEX('Stock pièces'!$B$5:$B$404,MATCH(D249,'Stock pièces'!$A$5:$A$404,0)),"Réf. inconnue"))</f>
        <v/>
      </c>
      <c r="F249" s="67" t="n">
        <v>2</v>
      </c>
      <c r="G249" s="81">
        <f>IF(D249="","",IFERROR(INDEX('Stock pièces'!$I$5:$I$404,MATCH(D249,'Stock pièces'!$A$5:$A$404,0)),0))</f>
        <v/>
      </c>
      <c r="H249" s="81">
        <f>IF(D249="","",N(F249)*N(G249))</f>
        <v/>
      </c>
      <c r="I249" s="7" t="inlineStr">
        <is>
          <t>OT-2025-0317</t>
        </is>
      </c>
      <c r="J249" s="9">
        <f>IF(I249="","",IFERROR(INDEX('Ordres de travail'!$D$5:$D$3004,MATCH(I249,'Ordres de travail'!$A$5:$A$3004,0)),""))</f>
        <v/>
      </c>
      <c r="K249" s="9">
        <f>IF(D249="","",IFERROR(INDEX('Stock pièces'!$D$5:$D$404,MATCH(D249,'Stock pièces'!$A$5:$A$404,0)),""))</f>
        <v/>
      </c>
      <c r="L249" s="7" t="n"/>
      <c r="M249" s="7" t="n"/>
    </row>
    <row r="250">
      <c r="A250" s="7" t="inlineStr">
        <is>
          <t>MV-00246</t>
        </is>
      </c>
      <c r="B250" s="75" t="n">
        <v>45796.41666666666</v>
      </c>
      <c r="C250" s="7" t="inlineStr">
        <is>
          <t>Entrée</t>
        </is>
      </c>
      <c r="D250" s="7" t="inlineStr">
        <is>
          <t>PD-0054</t>
        </is>
      </c>
      <c r="E250" s="9">
        <f>IF(D250="","",IFERROR(INDEX('Stock pièces'!$B$5:$B$404,MATCH(D250,'Stock pièces'!$A$5:$A$404,0)),"Réf. inconnue"))</f>
        <v/>
      </c>
      <c r="F250" s="67" t="n">
        <v>2</v>
      </c>
      <c r="G250" s="81">
        <f>IF(D250="","",IFERROR(INDEX('Stock pièces'!$I$5:$I$404,MATCH(D250,'Stock pièces'!$A$5:$A$404,0)),0))</f>
        <v/>
      </c>
      <c r="H250" s="81">
        <f>IF(D250="","",N(F250)*N(G250))</f>
        <v/>
      </c>
      <c r="I250" s="7" t="n"/>
      <c r="J250" s="9">
        <f>IF(I250="","",IFERROR(INDEX('Ordres de travail'!$D$5:$D$3004,MATCH(I250,'Ordres de travail'!$A$5:$A$3004,0)),""))</f>
        <v/>
      </c>
      <c r="K250" s="9">
        <f>IF(D250="","",IFERROR(INDEX('Stock pièces'!$D$5:$D$404,MATCH(D250,'Stock pièces'!$A$5:$A$404,0)),""))</f>
        <v/>
      </c>
      <c r="L250" s="7" t="inlineStr">
        <is>
          <t>CMD-24069</t>
        </is>
      </c>
      <c r="M250" s="7" t="inlineStr">
        <is>
          <t>Réception commande réappro</t>
        </is>
      </c>
    </row>
    <row r="251">
      <c r="A251" s="7" t="inlineStr">
        <is>
          <t>MV-00247</t>
        </is>
      </c>
      <c r="B251" s="75" t="n">
        <v>45796.43402777778</v>
      </c>
      <c r="C251" s="7" t="inlineStr">
        <is>
          <t>Sortie</t>
        </is>
      </c>
      <c r="D251" s="7" t="inlineStr">
        <is>
          <t>PD-0025</t>
        </is>
      </c>
      <c r="E251" s="9">
        <f>IF(D251="","",IFERROR(INDEX('Stock pièces'!$B$5:$B$404,MATCH(D251,'Stock pièces'!$A$5:$A$404,0)),"Réf. inconnue"))</f>
        <v/>
      </c>
      <c r="F251" s="67" t="n">
        <v>1</v>
      </c>
      <c r="G251" s="81">
        <f>IF(D251="","",IFERROR(INDEX('Stock pièces'!$I$5:$I$404,MATCH(D251,'Stock pièces'!$A$5:$A$404,0)),0))</f>
        <v/>
      </c>
      <c r="H251" s="81">
        <f>IF(D251="","",N(F251)*N(G251))</f>
        <v/>
      </c>
      <c r="I251" s="7" t="inlineStr">
        <is>
          <t>OT-2025-0299</t>
        </is>
      </c>
      <c r="J251" s="9">
        <f>IF(I251="","",IFERROR(INDEX('Ordres de travail'!$D$5:$D$3004,MATCH(I251,'Ordres de travail'!$A$5:$A$3004,0)),""))</f>
        <v/>
      </c>
      <c r="K251" s="9">
        <f>IF(D251="","",IFERROR(INDEX('Stock pièces'!$D$5:$D$404,MATCH(D251,'Stock pièces'!$A$5:$A$404,0)),""))</f>
        <v/>
      </c>
      <c r="L251" s="7" t="n"/>
      <c r="M251" s="7" t="n"/>
    </row>
    <row r="252">
      <c r="A252" s="7" t="inlineStr">
        <is>
          <t>MV-00248</t>
        </is>
      </c>
      <c r="B252" s="75" t="n">
        <v>45796.68958333333</v>
      </c>
      <c r="C252" s="7" t="inlineStr">
        <is>
          <t>Sortie</t>
        </is>
      </c>
      <c r="D252" s="7" t="inlineStr">
        <is>
          <t>PD-0031</t>
        </is>
      </c>
      <c r="E252" s="9">
        <f>IF(D252="","",IFERROR(INDEX('Stock pièces'!$B$5:$B$404,MATCH(D252,'Stock pièces'!$A$5:$A$404,0)),"Réf. inconnue"))</f>
        <v/>
      </c>
      <c r="F252" s="67" t="n">
        <v>1</v>
      </c>
      <c r="G252" s="81">
        <f>IF(D252="","",IFERROR(INDEX('Stock pièces'!$I$5:$I$404,MATCH(D252,'Stock pièces'!$A$5:$A$404,0)),0))</f>
        <v/>
      </c>
      <c r="H252" s="81">
        <f>IF(D252="","",N(F252)*N(G252))</f>
        <v/>
      </c>
      <c r="I252" s="7" t="inlineStr">
        <is>
          <t>OT-2025-0325</t>
        </is>
      </c>
      <c r="J252" s="9">
        <f>IF(I252="","",IFERROR(INDEX('Ordres de travail'!$D$5:$D$3004,MATCH(I252,'Ordres de travail'!$A$5:$A$3004,0)),""))</f>
        <v/>
      </c>
      <c r="K252" s="9">
        <f>IF(D252="","",IFERROR(INDEX('Stock pièces'!$D$5:$D$404,MATCH(D252,'Stock pièces'!$A$5:$A$404,0)),""))</f>
        <v/>
      </c>
      <c r="L252" s="7" t="n"/>
      <c r="M252" s="7" t="n"/>
    </row>
    <row r="253">
      <c r="A253" s="7" t="inlineStr">
        <is>
          <t>MV-00249</t>
        </is>
      </c>
      <c r="B253" s="75" t="n">
        <v>45798.41666666666</v>
      </c>
      <c r="C253" s="7" t="inlineStr">
        <is>
          <t>Entrée</t>
        </is>
      </c>
      <c r="D253" s="7" t="inlineStr">
        <is>
          <t>PD-0068</t>
        </is>
      </c>
      <c r="E253" s="9">
        <f>IF(D253="","",IFERROR(INDEX('Stock pièces'!$B$5:$B$404,MATCH(D253,'Stock pièces'!$A$5:$A$404,0)),"Réf. inconnue"))</f>
        <v/>
      </c>
      <c r="F253" s="67" t="n">
        <v>1</v>
      </c>
      <c r="G253" s="81">
        <f>IF(D253="","",IFERROR(INDEX('Stock pièces'!$I$5:$I$404,MATCH(D253,'Stock pièces'!$A$5:$A$404,0)),0))</f>
        <v/>
      </c>
      <c r="H253" s="81">
        <f>IF(D253="","",N(F253)*N(G253))</f>
        <v/>
      </c>
      <c r="I253" s="7" t="n"/>
      <c r="J253" s="9">
        <f>IF(I253="","",IFERROR(INDEX('Ordres de travail'!$D$5:$D$3004,MATCH(I253,'Ordres de travail'!$A$5:$A$3004,0)),""))</f>
        <v/>
      </c>
      <c r="K253" s="9">
        <f>IF(D253="","",IFERROR(INDEX('Stock pièces'!$D$5:$D$404,MATCH(D253,'Stock pièces'!$A$5:$A$404,0)),""))</f>
        <v/>
      </c>
      <c r="L253" s="7" t="inlineStr">
        <is>
          <t>CMD-24067</t>
        </is>
      </c>
      <c r="M253" s="7" t="inlineStr">
        <is>
          <t>Réception commande réappro</t>
        </is>
      </c>
    </row>
    <row r="254">
      <c r="A254" s="7" t="inlineStr">
        <is>
          <t>MV-00250</t>
        </is>
      </c>
      <c r="B254" s="75" t="n">
        <v>45798.44444444445</v>
      </c>
      <c r="C254" s="7" t="inlineStr">
        <is>
          <t>Sortie</t>
        </is>
      </c>
      <c r="D254" s="7" t="inlineStr">
        <is>
          <t>PD-0017</t>
        </is>
      </c>
      <c r="E254" s="9">
        <f>IF(D254="","",IFERROR(INDEX('Stock pièces'!$B$5:$B$404,MATCH(D254,'Stock pièces'!$A$5:$A$404,0)),"Réf. inconnue"))</f>
        <v/>
      </c>
      <c r="F254" s="67" t="n">
        <v>1</v>
      </c>
      <c r="G254" s="81">
        <f>IF(D254="","",IFERROR(INDEX('Stock pièces'!$I$5:$I$404,MATCH(D254,'Stock pièces'!$A$5:$A$404,0)),0))</f>
        <v/>
      </c>
      <c r="H254" s="81">
        <f>IF(D254="","",N(F254)*N(G254))</f>
        <v/>
      </c>
      <c r="I254" s="7" t="inlineStr">
        <is>
          <t>OT-2025-0311</t>
        </is>
      </c>
      <c r="J254" s="9">
        <f>IF(I254="","",IFERROR(INDEX('Ordres de travail'!$D$5:$D$3004,MATCH(I254,'Ordres de travail'!$A$5:$A$3004,0)),""))</f>
        <v/>
      </c>
      <c r="K254" s="9">
        <f>IF(D254="","",IFERROR(INDEX('Stock pièces'!$D$5:$D$404,MATCH(D254,'Stock pièces'!$A$5:$A$404,0)),""))</f>
        <v/>
      </c>
      <c r="L254" s="7" t="n"/>
      <c r="M254" s="7" t="n"/>
    </row>
    <row r="255">
      <c r="A255" s="7" t="inlineStr">
        <is>
          <t>MV-00251</t>
        </is>
      </c>
      <c r="B255" s="75" t="n">
        <v>45798.67013888889</v>
      </c>
      <c r="C255" s="7" t="inlineStr">
        <is>
          <t>Sortie</t>
        </is>
      </c>
      <c r="D255" s="7" t="inlineStr">
        <is>
          <t>PD-0037</t>
        </is>
      </c>
      <c r="E255" s="9">
        <f>IF(D255="","",IFERROR(INDEX('Stock pièces'!$B$5:$B$404,MATCH(D255,'Stock pièces'!$A$5:$A$404,0)),"Réf. inconnue"))</f>
        <v/>
      </c>
      <c r="F255" s="67" t="n">
        <v>1</v>
      </c>
      <c r="G255" s="81">
        <f>IF(D255="","",IFERROR(INDEX('Stock pièces'!$I$5:$I$404,MATCH(D255,'Stock pièces'!$A$5:$A$404,0)),0))</f>
        <v/>
      </c>
      <c r="H255" s="81">
        <f>IF(D255="","",N(F255)*N(G255))</f>
        <v/>
      </c>
      <c r="I255" s="7" t="inlineStr">
        <is>
          <t>OT-2025-0329</t>
        </is>
      </c>
      <c r="J255" s="9">
        <f>IF(I255="","",IFERROR(INDEX('Ordres de travail'!$D$5:$D$3004,MATCH(I255,'Ordres de travail'!$A$5:$A$3004,0)),""))</f>
        <v/>
      </c>
      <c r="K255" s="9">
        <f>IF(D255="","",IFERROR(INDEX('Stock pièces'!$D$5:$D$404,MATCH(D255,'Stock pièces'!$A$5:$A$404,0)),""))</f>
        <v/>
      </c>
      <c r="L255" s="7" t="n"/>
      <c r="M255" s="7" t="n"/>
    </row>
    <row r="256">
      <c r="A256" s="7" t="inlineStr">
        <is>
          <t>MV-00252</t>
        </is>
      </c>
      <c r="B256" s="75" t="n">
        <v>45799.5625</v>
      </c>
      <c r="C256" s="7" t="inlineStr">
        <is>
          <t>Sortie</t>
        </is>
      </c>
      <c r="D256" s="7" t="inlineStr">
        <is>
          <t>PD-0025</t>
        </is>
      </c>
      <c r="E256" s="9">
        <f>IF(D256="","",IFERROR(INDEX('Stock pièces'!$B$5:$B$404,MATCH(D256,'Stock pièces'!$A$5:$A$404,0)),"Réf. inconnue"))</f>
        <v/>
      </c>
      <c r="F256" s="67" t="n">
        <v>2</v>
      </c>
      <c r="G256" s="81">
        <f>IF(D256="","",IFERROR(INDEX('Stock pièces'!$I$5:$I$404,MATCH(D256,'Stock pièces'!$A$5:$A$404,0)),0))</f>
        <v/>
      </c>
      <c r="H256" s="81">
        <f>IF(D256="","",N(F256)*N(G256))</f>
        <v/>
      </c>
      <c r="I256" s="7" t="inlineStr">
        <is>
          <t>OT-2025-0314</t>
        </is>
      </c>
      <c r="J256" s="9">
        <f>IF(I256="","",IFERROR(INDEX('Ordres de travail'!$D$5:$D$3004,MATCH(I256,'Ordres de travail'!$A$5:$A$3004,0)),""))</f>
        <v/>
      </c>
      <c r="K256" s="9">
        <f>IF(D256="","",IFERROR(INDEX('Stock pièces'!$D$5:$D$404,MATCH(D256,'Stock pièces'!$A$5:$A$404,0)),""))</f>
        <v/>
      </c>
      <c r="L256" s="7" t="n"/>
      <c r="M256" s="7" t="n"/>
    </row>
    <row r="257">
      <c r="A257" s="7" t="inlineStr">
        <is>
          <t>MV-00253</t>
        </is>
      </c>
      <c r="B257" s="75" t="n">
        <v>45799.76180555556</v>
      </c>
      <c r="C257" s="7" t="inlineStr">
        <is>
          <t>Sortie</t>
        </is>
      </c>
      <c r="D257" s="7" t="inlineStr">
        <is>
          <t>PD-0028</t>
        </is>
      </c>
      <c r="E257" s="9">
        <f>IF(D257="","",IFERROR(INDEX('Stock pièces'!$B$5:$B$404,MATCH(D257,'Stock pièces'!$A$5:$A$404,0)),"Réf. inconnue"))</f>
        <v/>
      </c>
      <c r="F257" s="67" t="n">
        <v>2</v>
      </c>
      <c r="G257" s="81">
        <f>IF(D257="","",IFERROR(INDEX('Stock pièces'!$I$5:$I$404,MATCH(D257,'Stock pièces'!$A$5:$A$404,0)),0))</f>
        <v/>
      </c>
      <c r="H257" s="81">
        <f>IF(D257="","",N(F257)*N(G257))</f>
        <v/>
      </c>
      <c r="I257" s="7" t="inlineStr">
        <is>
          <t>OT-2025-0333</t>
        </is>
      </c>
      <c r="J257" s="9">
        <f>IF(I257="","",IFERROR(INDEX('Ordres de travail'!$D$5:$D$3004,MATCH(I257,'Ordres de travail'!$A$5:$A$3004,0)),""))</f>
        <v/>
      </c>
      <c r="K257" s="9">
        <f>IF(D257="","",IFERROR(INDEX('Stock pièces'!$D$5:$D$404,MATCH(D257,'Stock pièces'!$A$5:$A$404,0)),""))</f>
        <v/>
      </c>
      <c r="L257" s="7" t="n"/>
      <c r="M257" s="7" t="n"/>
    </row>
    <row r="258">
      <c r="A258" s="7" t="inlineStr">
        <is>
          <t>MV-00254</t>
        </is>
      </c>
      <c r="B258" s="75" t="n">
        <v>45800.28125</v>
      </c>
      <c r="C258" s="7" t="inlineStr">
        <is>
          <t>Sortie</t>
        </is>
      </c>
      <c r="D258" s="7" t="inlineStr">
        <is>
          <t>PD-0022</t>
        </is>
      </c>
      <c r="E258" s="9">
        <f>IF(D258="","",IFERROR(INDEX('Stock pièces'!$B$5:$B$404,MATCH(D258,'Stock pièces'!$A$5:$A$404,0)),"Réf. inconnue"))</f>
        <v/>
      </c>
      <c r="F258" s="67" t="n">
        <v>1</v>
      </c>
      <c r="G258" s="81">
        <f>IF(D258="","",IFERROR(INDEX('Stock pièces'!$I$5:$I$404,MATCH(D258,'Stock pièces'!$A$5:$A$404,0)),0))</f>
        <v/>
      </c>
      <c r="H258" s="81">
        <f>IF(D258="","",N(F258)*N(G258))</f>
        <v/>
      </c>
      <c r="I258" s="7" t="inlineStr">
        <is>
          <t>OT-2025-0334</t>
        </is>
      </c>
      <c r="J258" s="9">
        <f>IF(I258="","",IFERROR(INDEX('Ordres de travail'!$D$5:$D$3004,MATCH(I258,'Ordres de travail'!$A$5:$A$3004,0)),""))</f>
        <v/>
      </c>
      <c r="K258" s="9">
        <f>IF(D258="","",IFERROR(INDEX('Stock pièces'!$D$5:$D$404,MATCH(D258,'Stock pièces'!$A$5:$A$404,0)),""))</f>
        <v/>
      </c>
      <c r="L258" s="7" t="n"/>
      <c r="M258" s="7" t="n"/>
    </row>
    <row r="259">
      <c r="A259" s="7" t="inlineStr">
        <is>
          <t>MV-00255</t>
        </is>
      </c>
      <c r="B259" s="75" t="n">
        <v>45800.28125</v>
      </c>
      <c r="C259" s="7" t="inlineStr">
        <is>
          <t>Sortie</t>
        </is>
      </c>
      <c r="D259" s="7" t="inlineStr">
        <is>
          <t>PD-0023</t>
        </is>
      </c>
      <c r="E259" s="9">
        <f>IF(D259="","",IFERROR(INDEX('Stock pièces'!$B$5:$B$404,MATCH(D259,'Stock pièces'!$A$5:$A$404,0)),"Réf. inconnue"))</f>
        <v/>
      </c>
      <c r="F259" s="67" t="n">
        <v>1</v>
      </c>
      <c r="G259" s="81">
        <f>IF(D259="","",IFERROR(INDEX('Stock pièces'!$I$5:$I$404,MATCH(D259,'Stock pièces'!$A$5:$A$404,0)),0))</f>
        <v/>
      </c>
      <c r="H259" s="81">
        <f>IF(D259="","",N(F259)*N(G259))</f>
        <v/>
      </c>
      <c r="I259" s="7" t="inlineStr">
        <is>
          <t>OT-2025-0334</t>
        </is>
      </c>
      <c r="J259" s="9">
        <f>IF(I259="","",IFERROR(INDEX('Ordres de travail'!$D$5:$D$3004,MATCH(I259,'Ordres de travail'!$A$5:$A$3004,0)),""))</f>
        <v/>
      </c>
      <c r="K259" s="9">
        <f>IF(D259="","",IFERROR(INDEX('Stock pièces'!$D$5:$D$404,MATCH(D259,'Stock pièces'!$A$5:$A$404,0)),""))</f>
        <v/>
      </c>
      <c r="L259" s="7" t="n"/>
      <c r="M259" s="7" t="n"/>
    </row>
    <row r="260">
      <c r="A260" s="7" t="inlineStr">
        <is>
          <t>MV-00256</t>
        </is>
      </c>
      <c r="B260" s="75" t="n">
        <v>45800.76180555556</v>
      </c>
      <c r="C260" s="7" t="inlineStr">
        <is>
          <t>Retour</t>
        </is>
      </c>
      <c r="D260" s="7" t="inlineStr">
        <is>
          <t>PD-0028</t>
        </is>
      </c>
      <c r="E260" s="9">
        <f>IF(D260="","",IFERROR(INDEX('Stock pièces'!$B$5:$B$404,MATCH(D260,'Stock pièces'!$A$5:$A$404,0)),"Réf. inconnue"))</f>
        <v/>
      </c>
      <c r="F260" s="67" t="n">
        <v>1</v>
      </c>
      <c r="G260" s="81">
        <f>IF(D260="","",IFERROR(INDEX('Stock pièces'!$I$5:$I$404,MATCH(D260,'Stock pièces'!$A$5:$A$404,0)),0))</f>
        <v/>
      </c>
      <c r="H260" s="81">
        <f>IF(D260="","",N(F260)*N(G260))</f>
        <v/>
      </c>
      <c r="I260" s="7" t="inlineStr">
        <is>
          <t>OT-2025-0333</t>
        </is>
      </c>
      <c r="J260" s="9">
        <f>IF(I260="","",IFERROR(INDEX('Ordres de travail'!$D$5:$D$3004,MATCH(I260,'Ordres de travail'!$A$5:$A$3004,0)),""))</f>
        <v/>
      </c>
      <c r="K260" s="9">
        <f>IF(D260="","",IFERROR(INDEX('Stock pièces'!$D$5:$D$404,MATCH(D260,'Stock pièces'!$A$5:$A$404,0)),""))</f>
        <v/>
      </c>
      <c r="L260" s="7" t="n"/>
      <c r="M260" s="7" t="inlineStr">
        <is>
          <t>Pièce non utilisée</t>
        </is>
      </c>
    </row>
    <row r="261">
      <c r="A261" s="7" t="inlineStr">
        <is>
          <t>MV-00257</t>
        </is>
      </c>
      <c r="B261" s="75" t="n">
        <v>45803.29861111111</v>
      </c>
      <c r="C261" s="7" t="inlineStr">
        <is>
          <t>Sortie</t>
        </is>
      </c>
      <c r="D261" s="7" t="inlineStr">
        <is>
          <t>PD-0017</t>
        </is>
      </c>
      <c r="E261" s="9">
        <f>IF(D261="","",IFERROR(INDEX('Stock pièces'!$B$5:$B$404,MATCH(D261,'Stock pièces'!$A$5:$A$404,0)),"Réf. inconnue"))</f>
        <v/>
      </c>
      <c r="F261" s="67" t="n">
        <v>1</v>
      </c>
      <c r="G261" s="81">
        <f>IF(D261="","",IFERROR(INDEX('Stock pièces'!$I$5:$I$404,MATCH(D261,'Stock pièces'!$A$5:$A$404,0)),0))</f>
        <v/>
      </c>
      <c r="H261" s="81">
        <f>IF(D261="","",N(F261)*N(G261))</f>
        <v/>
      </c>
      <c r="I261" s="7" t="inlineStr">
        <is>
          <t>OT-2025-0320</t>
        </is>
      </c>
      <c r="J261" s="9">
        <f>IF(I261="","",IFERROR(INDEX('Ordres de travail'!$D$5:$D$3004,MATCH(I261,'Ordres de travail'!$A$5:$A$3004,0)),""))</f>
        <v/>
      </c>
      <c r="K261" s="9">
        <f>IF(D261="","",IFERROR(INDEX('Stock pièces'!$D$5:$D$404,MATCH(D261,'Stock pièces'!$A$5:$A$404,0)),""))</f>
        <v/>
      </c>
      <c r="L261" s="7" t="n"/>
      <c r="M261" s="7" t="n"/>
    </row>
    <row r="262">
      <c r="A262" s="7" t="inlineStr">
        <is>
          <t>MV-00258</t>
        </is>
      </c>
      <c r="B262" s="75" t="n">
        <v>45803.30902777778</v>
      </c>
      <c r="C262" s="7" t="inlineStr">
        <is>
          <t>Sortie</t>
        </is>
      </c>
      <c r="D262" s="7" t="inlineStr">
        <is>
          <t>PD-0059</t>
        </is>
      </c>
      <c r="E262" s="9">
        <f>IF(D262="","",IFERROR(INDEX('Stock pièces'!$B$5:$B$404,MATCH(D262,'Stock pièces'!$A$5:$A$404,0)),"Réf. inconnue"))</f>
        <v/>
      </c>
      <c r="F262" s="67" t="n">
        <v>1</v>
      </c>
      <c r="G262" s="81">
        <f>IF(D262="","",IFERROR(INDEX('Stock pièces'!$I$5:$I$404,MATCH(D262,'Stock pièces'!$A$5:$A$404,0)),0))</f>
        <v/>
      </c>
      <c r="H262" s="81">
        <f>IF(D262="","",N(F262)*N(G262))</f>
        <v/>
      </c>
      <c r="I262" s="7" t="inlineStr">
        <is>
          <t>OT-2025-0318</t>
        </is>
      </c>
      <c r="J262" s="9">
        <f>IF(I262="","",IFERROR(INDEX('Ordres de travail'!$D$5:$D$3004,MATCH(I262,'Ordres de travail'!$A$5:$A$3004,0)),""))</f>
        <v/>
      </c>
      <c r="K262" s="9">
        <f>IF(D262="","",IFERROR(INDEX('Stock pièces'!$D$5:$D$404,MATCH(D262,'Stock pièces'!$A$5:$A$404,0)),""))</f>
        <v/>
      </c>
      <c r="L262" s="7" t="n"/>
      <c r="M262" s="7" t="n"/>
    </row>
    <row r="263">
      <c r="A263" s="7" t="inlineStr">
        <is>
          <t>MV-00259</t>
        </is>
      </c>
      <c r="B263" s="75" t="n">
        <v>45803.34722222222</v>
      </c>
      <c r="C263" s="7" t="inlineStr">
        <is>
          <t>Sortie</t>
        </is>
      </c>
      <c r="D263" s="7" t="inlineStr">
        <is>
          <t>PD-0019</t>
        </is>
      </c>
      <c r="E263" s="9">
        <f>IF(D263="","",IFERROR(INDEX('Stock pièces'!$B$5:$B$404,MATCH(D263,'Stock pièces'!$A$5:$A$404,0)),"Réf. inconnue"))</f>
        <v/>
      </c>
      <c r="F263" s="67" t="n">
        <v>3</v>
      </c>
      <c r="G263" s="81">
        <f>IF(D263="","",IFERROR(INDEX('Stock pièces'!$I$5:$I$404,MATCH(D263,'Stock pièces'!$A$5:$A$404,0)),0))</f>
        <v/>
      </c>
      <c r="H263" s="81">
        <f>IF(D263="","",N(F263)*N(G263))</f>
        <v/>
      </c>
      <c r="I263" s="7" t="inlineStr">
        <is>
          <t>OT-2025-0324</t>
        </is>
      </c>
      <c r="J263" s="9">
        <f>IF(I263="","",IFERROR(INDEX('Ordres de travail'!$D$5:$D$3004,MATCH(I263,'Ordres de travail'!$A$5:$A$3004,0)),""))</f>
        <v/>
      </c>
      <c r="K263" s="9">
        <f>IF(D263="","",IFERROR(INDEX('Stock pièces'!$D$5:$D$404,MATCH(D263,'Stock pièces'!$A$5:$A$404,0)),""))</f>
        <v/>
      </c>
      <c r="L263" s="7" t="n"/>
      <c r="M263" s="7" t="n"/>
    </row>
    <row r="264">
      <c r="A264" s="7" t="inlineStr">
        <is>
          <t>MV-00260</t>
        </is>
      </c>
      <c r="B264" s="75" t="n">
        <v>45803.34722222222</v>
      </c>
      <c r="C264" s="7" t="inlineStr">
        <is>
          <t>Sortie</t>
        </is>
      </c>
      <c r="D264" s="7" t="inlineStr">
        <is>
          <t>PD-0020</t>
        </is>
      </c>
      <c r="E264" s="9">
        <f>IF(D264="","",IFERROR(INDEX('Stock pièces'!$B$5:$B$404,MATCH(D264,'Stock pièces'!$A$5:$A$404,0)),"Réf. inconnue"))</f>
        <v/>
      </c>
      <c r="F264" s="67" t="n">
        <v>2</v>
      </c>
      <c r="G264" s="81">
        <f>IF(D264="","",IFERROR(INDEX('Stock pièces'!$I$5:$I$404,MATCH(D264,'Stock pièces'!$A$5:$A$404,0)),0))</f>
        <v/>
      </c>
      <c r="H264" s="81">
        <f>IF(D264="","",N(F264)*N(G264))</f>
        <v/>
      </c>
      <c r="I264" s="7" t="inlineStr">
        <is>
          <t>OT-2025-0324</t>
        </is>
      </c>
      <c r="J264" s="9">
        <f>IF(I264="","",IFERROR(INDEX('Ordres de travail'!$D$5:$D$3004,MATCH(I264,'Ordres de travail'!$A$5:$A$3004,0)),""))</f>
        <v/>
      </c>
      <c r="K264" s="9">
        <f>IF(D264="","",IFERROR(INDEX('Stock pièces'!$D$5:$D$404,MATCH(D264,'Stock pièces'!$A$5:$A$404,0)),""))</f>
        <v/>
      </c>
      <c r="L264" s="7" t="n"/>
      <c r="M264" s="7" t="n"/>
    </row>
    <row r="265">
      <c r="A265" s="7" t="inlineStr">
        <is>
          <t>MV-00261</t>
        </is>
      </c>
      <c r="B265" s="75" t="n">
        <v>45803.41666666666</v>
      </c>
      <c r="C265" s="7" t="inlineStr">
        <is>
          <t>Entrée</t>
        </is>
      </c>
      <c r="D265" s="7" t="inlineStr">
        <is>
          <t>PD-0025</t>
        </is>
      </c>
      <c r="E265" s="9">
        <f>IF(D265="","",IFERROR(INDEX('Stock pièces'!$B$5:$B$404,MATCH(D265,'Stock pièces'!$A$5:$A$404,0)),"Réf. inconnue"))</f>
        <v/>
      </c>
      <c r="F265" s="67" t="n">
        <v>36</v>
      </c>
      <c r="G265" s="81">
        <f>IF(D265="","",IFERROR(INDEX('Stock pièces'!$I$5:$I$404,MATCH(D265,'Stock pièces'!$A$5:$A$404,0)),0))</f>
        <v/>
      </c>
      <c r="H265" s="81">
        <f>IF(D265="","",N(F265)*N(G265))</f>
        <v/>
      </c>
      <c r="I265" s="7" t="n"/>
      <c r="J265" s="9">
        <f>IF(I265="","",IFERROR(INDEX('Ordres de travail'!$D$5:$D$3004,MATCH(I265,'Ordres de travail'!$A$5:$A$3004,0)),""))</f>
        <v/>
      </c>
      <c r="K265" s="9">
        <f>IF(D265="","",IFERROR(INDEX('Stock pièces'!$D$5:$D$404,MATCH(D265,'Stock pièces'!$A$5:$A$404,0)),""))</f>
        <v/>
      </c>
      <c r="L265" s="7" t="inlineStr">
        <is>
          <t>CMD-24074</t>
        </is>
      </c>
      <c r="M265" s="7" t="inlineStr">
        <is>
          <t>Réception commande réappro</t>
        </is>
      </c>
    </row>
    <row r="266">
      <c r="A266" s="7" t="inlineStr">
        <is>
          <t>MV-00262</t>
        </is>
      </c>
      <c r="B266" s="75" t="n">
        <v>45803.41666666666</v>
      </c>
      <c r="C266" s="7" t="inlineStr">
        <is>
          <t>Entrée</t>
        </is>
      </c>
      <c r="D266" s="7" t="inlineStr">
        <is>
          <t>PD-0037</t>
        </is>
      </c>
      <c r="E266" s="9">
        <f>IF(D266="","",IFERROR(INDEX('Stock pièces'!$B$5:$B$404,MATCH(D266,'Stock pièces'!$A$5:$A$404,0)),"Réf. inconnue"))</f>
        <v/>
      </c>
      <c r="F266" s="67" t="n">
        <v>1</v>
      </c>
      <c r="G266" s="81">
        <f>IF(D266="","",IFERROR(INDEX('Stock pièces'!$I$5:$I$404,MATCH(D266,'Stock pièces'!$A$5:$A$404,0)),0))</f>
        <v/>
      </c>
      <c r="H266" s="81">
        <f>IF(D266="","",N(F266)*N(G266))</f>
        <v/>
      </c>
      <c r="I266" s="7" t="n"/>
      <c r="J266" s="9">
        <f>IF(I266="","",IFERROR(INDEX('Ordres de travail'!$D$5:$D$3004,MATCH(I266,'Ordres de travail'!$A$5:$A$3004,0)),""))</f>
        <v/>
      </c>
      <c r="K266" s="9">
        <f>IF(D266="","",IFERROR(INDEX('Stock pièces'!$D$5:$D$404,MATCH(D266,'Stock pièces'!$A$5:$A$404,0)),""))</f>
        <v/>
      </c>
      <c r="L266" s="7" t="inlineStr">
        <is>
          <t>CMD-24075</t>
        </is>
      </c>
      <c r="M266" s="7" t="inlineStr">
        <is>
          <t>Réception commande réappro</t>
        </is>
      </c>
    </row>
    <row r="267">
      <c r="A267" s="7" t="inlineStr">
        <is>
          <t>MV-00263</t>
        </is>
      </c>
      <c r="B267" s="75" t="n">
        <v>45803.57638888889</v>
      </c>
      <c r="C267" s="7" t="inlineStr">
        <is>
          <t>Sortie</t>
        </is>
      </c>
      <c r="D267" s="7" t="inlineStr">
        <is>
          <t>PD-0025</t>
        </is>
      </c>
      <c r="E267" s="9">
        <f>IF(D267="","",IFERROR(INDEX('Stock pièces'!$B$5:$B$404,MATCH(D267,'Stock pièces'!$A$5:$A$404,0)),"Réf. inconnue"))</f>
        <v/>
      </c>
      <c r="F267" s="67" t="n">
        <v>3</v>
      </c>
      <c r="G267" s="81">
        <f>IF(D267="","",IFERROR(INDEX('Stock pièces'!$I$5:$I$404,MATCH(D267,'Stock pièces'!$A$5:$A$404,0)),0))</f>
        <v/>
      </c>
      <c r="H267" s="81">
        <f>IF(D267="","",N(F267)*N(G267))</f>
        <v/>
      </c>
      <c r="I267" s="7" t="inlineStr">
        <is>
          <t>OT-2025-0323</t>
        </is>
      </c>
      <c r="J267" s="9">
        <f>IF(I267="","",IFERROR(INDEX('Ordres de travail'!$D$5:$D$3004,MATCH(I267,'Ordres de travail'!$A$5:$A$3004,0)),""))</f>
        <v/>
      </c>
      <c r="K267" s="9">
        <f>IF(D267="","",IFERROR(INDEX('Stock pièces'!$D$5:$D$404,MATCH(D267,'Stock pièces'!$A$5:$A$404,0)),""))</f>
        <v/>
      </c>
      <c r="L267" s="7" t="n"/>
      <c r="M267" s="7" t="n"/>
    </row>
    <row r="268">
      <c r="A268" s="7" t="inlineStr">
        <is>
          <t>MV-00264</t>
        </is>
      </c>
      <c r="B268" s="75" t="n">
        <v>45804.59861111111</v>
      </c>
      <c r="C268" s="7" t="inlineStr">
        <is>
          <t>Sortie</t>
        </is>
      </c>
      <c r="D268" s="7" t="inlineStr">
        <is>
          <t>PD-0038</t>
        </is>
      </c>
      <c r="E268" s="9">
        <f>IF(D268="","",IFERROR(INDEX('Stock pièces'!$B$5:$B$404,MATCH(D268,'Stock pièces'!$A$5:$A$404,0)),"Réf. inconnue"))</f>
        <v/>
      </c>
      <c r="F268" s="67" t="n">
        <v>2</v>
      </c>
      <c r="G268" s="81">
        <f>IF(D268="","",IFERROR(INDEX('Stock pièces'!$I$5:$I$404,MATCH(D268,'Stock pièces'!$A$5:$A$404,0)),0))</f>
        <v/>
      </c>
      <c r="H268" s="81">
        <f>IF(D268="","",N(F268)*N(G268))</f>
        <v/>
      </c>
      <c r="I268" s="7" t="inlineStr">
        <is>
          <t>OT-2025-0343</t>
        </is>
      </c>
      <c r="J268" s="9">
        <f>IF(I268="","",IFERROR(INDEX('Ordres de travail'!$D$5:$D$3004,MATCH(I268,'Ordres de travail'!$A$5:$A$3004,0)),""))</f>
        <v/>
      </c>
      <c r="K268" s="9">
        <f>IF(D268="","",IFERROR(INDEX('Stock pièces'!$D$5:$D$404,MATCH(D268,'Stock pièces'!$A$5:$A$404,0)),""))</f>
        <v/>
      </c>
      <c r="L268" s="7" t="n"/>
      <c r="M268" s="7" t="n"/>
    </row>
    <row r="269">
      <c r="A269" s="7" t="inlineStr">
        <is>
          <t>MV-00265</t>
        </is>
      </c>
      <c r="B269" s="75" t="n">
        <v>45805.78888888889</v>
      </c>
      <c r="C269" s="7" t="inlineStr">
        <is>
          <t>Sortie</t>
        </is>
      </c>
      <c r="D269" s="7" t="inlineStr">
        <is>
          <t>PD-0001</t>
        </is>
      </c>
      <c r="E269" s="9">
        <f>IF(D269="","",IFERROR(INDEX('Stock pièces'!$B$5:$B$404,MATCH(D269,'Stock pièces'!$A$5:$A$404,0)),"Réf. inconnue"))</f>
        <v/>
      </c>
      <c r="F269" s="67" t="n">
        <v>2</v>
      </c>
      <c r="G269" s="81">
        <f>IF(D269="","",IFERROR(INDEX('Stock pièces'!$I$5:$I$404,MATCH(D269,'Stock pièces'!$A$5:$A$404,0)),0))</f>
        <v/>
      </c>
      <c r="H269" s="81">
        <f>IF(D269="","",N(F269)*N(G269))</f>
        <v/>
      </c>
      <c r="I269" s="7" t="inlineStr">
        <is>
          <t>OT-2025-0345</t>
        </is>
      </c>
      <c r="J269" s="9">
        <f>IF(I269="","",IFERROR(INDEX('Ordres de travail'!$D$5:$D$3004,MATCH(I269,'Ordres de travail'!$A$5:$A$3004,0)),""))</f>
        <v/>
      </c>
      <c r="K269" s="9">
        <f>IF(D269="","",IFERROR(INDEX('Stock pièces'!$D$5:$D$404,MATCH(D269,'Stock pièces'!$A$5:$A$404,0)),""))</f>
        <v/>
      </c>
      <c r="L269" s="7" t="n"/>
      <c r="M269" s="7" t="n"/>
    </row>
    <row r="270">
      <c r="A270" s="7" t="inlineStr">
        <is>
          <t>MV-00266</t>
        </is>
      </c>
      <c r="B270" s="75" t="n">
        <v>45806.29166666666</v>
      </c>
      <c r="C270" s="7" t="inlineStr">
        <is>
          <t>Sortie</t>
        </is>
      </c>
      <c r="D270" s="7" t="inlineStr">
        <is>
          <t>PD-0017</t>
        </is>
      </c>
      <c r="E270" s="9">
        <f>IF(D270="","",IFERROR(INDEX('Stock pièces'!$B$5:$B$404,MATCH(D270,'Stock pièces'!$A$5:$A$404,0)),"Réf. inconnue"))</f>
        <v/>
      </c>
      <c r="F270" s="67" t="n">
        <v>1</v>
      </c>
      <c r="G270" s="81">
        <f>IF(D270="","",IFERROR(INDEX('Stock pièces'!$I$5:$I$404,MATCH(D270,'Stock pièces'!$A$5:$A$404,0)),0))</f>
        <v/>
      </c>
      <c r="H270" s="81">
        <f>IF(D270="","",N(F270)*N(G270))</f>
        <v/>
      </c>
      <c r="I270" s="7" t="inlineStr">
        <is>
          <t>OT-2025-0332</t>
        </is>
      </c>
      <c r="J270" s="9">
        <f>IF(I270="","",IFERROR(INDEX('Ordres de travail'!$D$5:$D$3004,MATCH(I270,'Ordres de travail'!$A$5:$A$3004,0)),""))</f>
        <v/>
      </c>
      <c r="K270" s="9">
        <f>IF(D270="","",IFERROR(INDEX('Stock pièces'!$D$5:$D$404,MATCH(D270,'Stock pièces'!$A$5:$A$404,0)),""))</f>
        <v/>
      </c>
      <c r="L270" s="7" t="n"/>
      <c r="M270" s="7" t="n"/>
    </row>
    <row r="271">
      <c r="A271" s="7" t="inlineStr">
        <is>
          <t>MV-00267</t>
        </is>
      </c>
      <c r="B271" s="75" t="n">
        <v>45806.41666666666</v>
      </c>
      <c r="C271" s="7" t="inlineStr">
        <is>
          <t>Entrée</t>
        </is>
      </c>
      <c r="D271" s="7" t="inlineStr">
        <is>
          <t>PD-0022</t>
        </is>
      </c>
      <c r="E271" s="9">
        <f>IF(D271="","",IFERROR(INDEX('Stock pièces'!$B$5:$B$404,MATCH(D271,'Stock pièces'!$A$5:$A$404,0)),"Réf. inconnue"))</f>
        <v/>
      </c>
      <c r="F271" s="67" t="n">
        <v>2</v>
      </c>
      <c r="G271" s="81">
        <f>IF(D271="","",IFERROR(INDEX('Stock pièces'!$I$5:$I$404,MATCH(D271,'Stock pièces'!$A$5:$A$404,0)),0))</f>
        <v/>
      </c>
      <c r="H271" s="81">
        <f>IF(D271="","",N(F271)*N(G271))</f>
        <v/>
      </c>
      <c r="I271" s="7" t="n"/>
      <c r="J271" s="9">
        <f>IF(I271="","",IFERROR(INDEX('Ordres de travail'!$D$5:$D$3004,MATCH(I271,'Ordres de travail'!$A$5:$A$3004,0)),""))</f>
        <v/>
      </c>
      <c r="K271" s="9">
        <f>IF(D271="","",IFERROR(INDEX('Stock pièces'!$D$5:$D$404,MATCH(D271,'Stock pièces'!$A$5:$A$404,0)),""))</f>
        <v/>
      </c>
      <c r="L271" s="7" t="inlineStr">
        <is>
          <t>CMD-24076</t>
        </is>
      </c>
      <c r="M271" s="7" t="inlineStr">
        <is>
          <t>Réception commande réappro</t>
        </is>
      </c>
    </row>
    <row r="272">
      <c r="A272" s="7" t="inlineStr">
        <is>
          <t>MV-00268</t>
        </is>
      </c>
      <c r="B272" s="75" t="n">
        <v>45806.41666666666</v>
      </c>
      <c r="C272" s="7" t="inlineStr">
        <is>
          <t>Entrée</t>
        </is>
      </c>
      <c r="D272" s="7" t="inlineStr">
        <is>
          <t>PD-0023</t>
        </is>
      </c>
      <c r="E272" s="9">
        <f>IF(D272="","",IFERROR(INDEX('Stock pièces'!$B$5:$B$404,MATCH(D272,'Stock pièces'!$A$5:$A$404,0)),"Réf. inconnue"))</f>
        <v/>
      </c>
      <c r="F272" s="67" t="n">
        <v>4</v>
      </c>
      <c r="G272" s="81">
        <f>IF(D272="","",IFERROR(INDEX('Stock pièces'!$I$5:$I$404,MATCH(D272,'Stock pièces'!$A$5:$A$404,0)),0))</f>
        <v/>
      </c>
      <c r="H272" s="81">
        <f>IF(D272="","",N(F272)*N(G272))</f>
        <v/>
      </c>
      <c r="I272" s="7" t="n"/>
      <c r="J272" s="9">
        <f>IF(I272="","",IFERROR(INDEX('Ordres de travail'!$D$5:$D$3004,MATCH(I272,'Ordres de travail'!$A$5:$A$3004,0)),""))</f>
        <v/>
      </c>
      <c r="K272" s="9">
        <f>IF(D272="","",IFERROR(INDEX('Stock pièces'!$D$5:$D$404,MATCH(D272,'Stock pièces'!$A$5:$A$404,0)),""))</f>
        <v/>
      </c>
      <c r="L272" s="7" t="inlineStr">
        <is>
          <t>CMD-24077</t>
        </is>
      </c>
      <c r="M272" s="7" t="inlineStr">
        <is>
          <t>Réception commande réappro</t>
        </is>
      </c>
    </row>
    <row r="273">
      <c r="A273" s="7" t="inlineStr">
        <is>
          <t>MV-00269</t>
        </is>
      </c>
      <c r="B273" s="75" t="n">
        <v>45810.30902777778</v>
      </c>
      <c r="C273" s="7" t="inlineStr">
        <is>
          <t>Sortie</t>
        </is>
      </c>
      <c r="D273" s="7" t="inlineStr">
        <is>
          <t>PD-0025</t>
        </is>
      </c>
      <c r="E273" s="9">
        <f>IF(D273="","",IFERROR(INDEX('Stock pièces'!$B$5:$B$404,MATCH(D273,'Stock pièces'!$A$5:$A$404,0)),"Réf. inconnue"))</f>
        <v/>
      </c>
      <c r="F273" s="67" t="n">
        <v>2</v>
      </c>
      <c r="G273" s="81">
        <f>IF(D273="","",IFERROR(INDEX('Stock pièces'!$I$5:$I$404,MATCH(D273,'Stock pièces'!$A$5:$A$404,0)),0))</f>
        <v/>
      </c>
      <c r="H273" s="81">
        <f>IF(D273="","",N(F273)*N(G273))</f>
        <v/>
      </c>
      <c r="I273" s="7" t="inlineStr">
        <is>
          <t>OT-2025-0337</t>
        </is>
      </c>
      <c r="J273" s="9">
        <f>IF(I273="","",IFERROR(INDEX('Ordres de travail'!$D$5:$D$3004,MATCH(I273,'Ordres de travail'!$A$5:$A$3004,0)),""))</f>
        <v/>
      </c>
      <c r="K273" s="9">
        <f>IF(D273="","",IFERROR(INDEX('Stock pièces'!$D$5:$D$404,MATCH(D273,'Stock pièces'!$A$5:$A$404,0)),""))</f>
        <v/>
      </c>
      <c r="L273" s="7" t="n"/>
      <c r="M273" s="7" t="n"/>
    </row>
    <row r="274">
      <c r="A274" s="7" t="inlineStr">
        <is>
          <t>MV-00270</t>
        </is>
      </c>
      <c r="B274" s="75" t="n">
        <v>45810.41666666666</v>
      </c>
      <c r="C274" s="7" t="inlineStr">
        <is>
          <t>Entrée</t>
        </is>
      </c>
      <c r="D274" s="7" t="inlineStr">
        <is>
          <t>PD-0057</t>
        </is>
      </c>
      <c r="E274" s="9">
        <f>IF(D274="","",IFERROR(INDEX('Stock pièces'!$B$5:$B$404,MATCH(D274,'Stock pièces'!$A$5:$A$404,0)),"Réf. inconnue"))</f>
        <v/>
      </c>
      <c r="F274" s="67" t="n">
        <v>1</v>
      </c>
      <c r="G274" s="81">
        <f>IF(D274="","",IFERROR(INDEX('Stock pièces'!$I$5:$I$404,MATCH(D274,'Stock pièces'!$A$5:$A$404,0)),0))</f>
        <v/>
      </c>
      <c r="H274" s="81">
        <f>IF(D274="","",N(F274)*N(G274))</f>
        <v/>
      </c>
      <c r="I274" s="7" t="n"/>
      <c r="J274" s="9">
        <f>IF(I274="","",IFERROR(INDEX('Ordres de travail'!$D$5:$D$3004,MATCH(I274,'Ordres de travail'!$A$5:$A$3004,0)),""))</f>
        <v/>
      </c>
      <c r="K274" s="9">
        <f>IF(D274="","",IFERROR(INDEX('Stock pièces'!$D$5:$D$404,MATCH(D274,'Stock pièces'!$A$5:$A$404,0)),""))</f>
        <v/>
      </c>
      <c r="L274" s="7" t="inlineStr">
        <is>
          <t>CMD-24072</t>
        </is>
      </c>
      <c r="M274" s="7" t="inlineStr">
        <is>
          <t>Réception commande réappro</t>
        </is>
      </c>
    </row>
    <row r="275">
      <c r="A275" s="7" t="inlineStr">
        <is>
          <t>MV-00271</t>
        </is>
      </c>
      <c r="B275" s="75" t="n">
        <v>45810.41666666666</v>
      </c>
      <c r="C275" s="7" t="inlineStr">
        <is>
          <t>Entrée</t>
        </is>
      </c>
      <c r="D275" s="7" t="inlineStr">
        <is>
          <t>PD-0019</t>
        </is>
      </c>
      <c r="E275" s="9">
        <f>IF(D275="","",IFERROR(INDEX('Stock pièces'!$B$5:$B$404,MATCH(D275,'Stock pièces'!$A$5:$A$404,0)),"Réf. inconnue"))</f>
        <v/>
      </c>
      <c r="F275" s="67" t="n">
        <v>18</v>
      </c>
      <c r="G275" s="81">
        <f>IF(D275="","",IFERROR(INDEX('Stock pièces'!$I$5:$I$404,MATCH(D275,'Stock pièces'!$A$5:$A$404,0)),0))</f>
        <v/>
      </c>
      <c r="H275" s="81">
        <f>IF(D275="","",N(F275)*N(G275))</f>
        <v/>
      </c>
      <c r="I275" s="7" t="n"/>
      <c r="J275" s="9">
        <f>IF(I275="","",IFERROR(INDEX('Ordres de travail'!$D$5:$D$3004,MATCH(I275,'Ordres de travail'!$A$5:$A$3004,0)),""))</f>
        <v/>
      </c>
      <c r="K275" s="9">
        <f>IF(D275="","",IFERROR(INDEX('Stock pièces'!$D$5:$D$404,MATCH(D275,'Stock pièces'!$A$5:$A$404,0)),""))</f>
        <v/>
      </c>
      <c r="L275" s="7" t="inlineStr">
        <is>
          <t>CMD-24079</t>
        </is>
      </c>
      <c r="M275" s="7" t="inlineStr">
        <is>
          <t>Réception commande réappro</t>
        </is>
      </c>
    </row>
    <row r="276">
      <c r="A276" s="7" t="inlineStr">
        <is>
          <t>MV-00272</t>
        </is>
      </c>
      <c r="B276" s="75" t="n">
        <v>45810.57986111111</v>
      </c>
      <c r="C276" s="7" t="inlineStr">
        <is>
          <t>Sortie</t>
        </is>
      </c>
      <c r="D276" s="7" t="inlineStr">
        <is>
          <t>PD-0015</t>
        </is>
      </c>
      <c r="E276" s="9">
        <f>IF(D276="","",IFERROR(INDEX('Stock pièces'!$B$5:$B$404,MATCH(D276,'Stock pièces'!$A$5:$A$404,0)),"Réf. inconnue"))</f>
        <v/>
      </c>
      <c r="F276" s="67" t="n">
        <v>1</v>
      </c>
      <c r="G276" s="81">
        <f>IF(D276="","",IFERROR(INDEX('Stock pièces'!$I$5:$I$404,MATCH(D276,'Stock pièces'!$A$5:$A$404,0)),0))</f>
        <v/>
      </c>
      <c r="H276" s="81">
        <f>IF(D276="","",N(F276)*N(G276))</f>
        <v/>
      </c>
      <c r="I276" s="7" t="inlineStr">
        <is>
          <t>OT-2025-0338</t>
        </is>
      </c>
      <c r="J276" s="9">
        <f>IF(I276="","",IFERROR(INDEX('Ordres de travail'!$D$5:$D$3004,MATCH(I276,'Ordres de travail'!$A$5:$A$3004,0)),""))</f>
        <v/>
      </c>
      <c r="K276" s="9">
        <f>IF(D276="","",IFERROR(INDEX('Stock pièces'!$D$5:$D$404,MATCH(D276,'Stock pièces'!$A$5:$A$404,0)),""))</f>
        <v/>
      </c>
      <c r="L276" s="7" t="n"/>
      <c r="M276" s="7" t="n"/>
    </row>
    <row r="277">
      <c r="A277" s="7" t="inlineStr">
        <is>
          <t>MV-00273</t>
        </is>
      </c>
      <c r="B277" s="75" t="n">
        <v>45810.57986111111</v>
      </c>
      <c r="C277" s="7" t="inlineStr">
        <is>
          <t>Sortie</t>
        </is>
      </c>
      <c r="D277" s="7" t="inlineStr">
        <is>
          <t>PD-0022</t>
        </is>
      </c>
      <c r="E277" s="9">
        <f>IF(D277="","",IFERROR(INDEX('Stock pièces'!$B$5:$B$404,MATCH(D277,'Stock pièces'!$A$5:$A$404,0)),"Réf. inconnue"))</f>
        <v/>
      </c>
      <c r="F277" s="67" t="n">
        <v>1</v>
      </c>
      <c r="G277" s="81">
        <f>IF(D277="","",IFERROR(INDEX('Stock pièces'!$I$5:$I$404,MATCH(D277,'Stock pièces'!$A$5:$A$404,0)),0))</f>
        <v/>
      </c>
      <c r="H277" s="81">
        <f>IF(D277="","",N(F277)*N(G277))</f>
        <v/>
      </c>
      <c r="I277" s="7" t="inlineStr">
        <is>
          <t>OT-2025-0338</t>
        </is>
      </c>
      <c r="J277" s="9">
        <f>IF(I277="","",IFERROR(INDEX('Ordres de travail'!$D$5:$D$3004,MATCH(I277,'Ordres de travail'!$A$5:$A$3004,0)),""))</f>
        <v/>
      </c>
      <c r="K277" s="9">
        <f>IF(D277="","",IFERROR(INDEX('Stock pièces'!$D$5:$D$404,MATCH(D277,'Stock pièces'!$A$5:$A$404,0)),""))</f>
        <v/>
      </c>
      <c r="L277" s="7" t="n"/>
      <c r="M277" s="7" t="n"/>
    </row>
    <row r="278">
      <c r="A278" s="7" t="inlineStr">
        <is>
          <t>MV-00274</t>
        </is>
      </c>
      <c r="B278" s="75" t="n">
        <v>45810.58055555556</v>
      </c>
      <c r="C278" s="7" t="inlineStr">
        <is>
          <t>Sortie</t>
        </is>
      </c>
      <c r="D278" s="7" t="inlineStr">
        <is>
          <t>PD-0009</t>
        </is>
      </c>
      <c r="E278" s="9">
        <f>IF(D278="","",IFERROR(INDEX('Stock pièces'!$B$5:$B$404,MATCH(D278,'Stock pièces'!$A$5:$A$404,0)),"Réf. inconnue"))</f>
        <v/>
      </c>
      <c r="F278" s="67" t="n">
        <v>2</v>
      </c>
      <c r="G278" s="81">
        <f>IF(D278="","",IFERROR(INDEX('Stock pièces'!$I$5:$I$404,MATCH(D278,'Stock pièces'!$A$5:$A$404,0)),0))</f>
        <v/>
      </c>
      <c r="H278" s="81">
        <f>IF(D278="","",N(F278)*N(G278))</f>
        <v/>
      </c>
      <c r="I278" s="7" t="inlineStr">
        <is>
          <t>OT-2025-0349</t>
        </is>
      </c>
      <c r="J278" s="9">
        <f>IF(I278="","",IFERROR(INDEX('Ordres de travail'!$D$5:$D$3004,MATCH(I278,'Ordres de travail'!$A$5:$A$3004,0)),""))</f>
        <v/>
      </c>
      <c r="K278" s="9">
        <f>IF(D278="","",IFERROR(INDEX('Stock pièces'!$D$5:$D$404,MATCH(D278,'Stock pièces'!$A$5:$A$404,0)),""))</f>
        <v/>
      </c>
      <c r="L278" s="7" t="n"/>
      <c r="M278" s="7" t="n"/>
    </row>
    <row r="279">
      <c r="A279" s="7" t="inlineStr">
        <is>
          <t>MV-00275</t>
        </is>
      </c>
      <c r="B279" s="75" t="n">
        <v>45813.10902777778</v>
      </c>
      <c r="C279" s="7" t="inlineStr">
        <is>
          <t>Sortie</t>
        </is>
      </c>
      <c r="D279" s="7" t="inlineStr">
        <is>
          <t>PD-0038</t>
        </is>
      </c>
      <c r="E279" s="9">
        <f>IF(D279="","",IFERROR(INDEX('Stock pièces'!$B$5:$B$404,MATCH(D279,'Stock pièces'!$A$5:$A$404,0)),"Réf. inconnue"))</f>
        <v/>
      </c>
      <c r="F279" s="67" t="n">
        <v>1</v>
      </c>
      <c r="G279" s="81">
        <f>IF(D279="","",IFERROR(INDEX('Stock pièces'!$I$5:$I$404,MATCH(D279,'Stock pièces'!$A$5:$A$404,0)),0))</f>
        <v/>
      </c>
      <c r="H279" s="81">
        <f>IF(D279="","",N(F279)*N(G279))</f>
        <v/>
      </c>
      <c r="I279" s="7" t="inlineStr">
        <is>
          <t>OT-2025-0355</t>
        </is>
      </c>
      <c r="J279" s="9">
        <f>IF(I279="","",IFERROR(INDEX('Ordres de travail'!$D$5:$D$3004,MATCH(I279,'Ordres de travail'!$A$5:$A$3004,0)),""))</f>
        <v/>
      </c>
      <c r="K279" s="9">
        <f>IF(D279="","",IFERROR(INDEX('Stock pièces'!$D$5:$D$404,MATCH(D279,'Stock pièces'!$A$5:$A$404,0)),""))</f>
        <v/>
      </c>
      <c r="L279" s="7" t="n"/>
      <c r="M279" s="7" t="n"/>
    </row>
    <row r="280">
      <c r="A280" s="7" t="inlineStr">
        <is>
          <t>MV-00276</t>
        </is>
      </c>
      <c r="B280" s="75" t="n">
        <v>45813.10902777778</v>
      </c>
      <c r="C280" s="7" t="inlineStr">
        <is>
          <t>Sortie</t>
        </is>
      </c>
      <c r="D280" s="7" t="inlineStr">
        <is>
          <t>PD-0044</t>
        </is>
      </c>
      <c r="E280" s="9">
        <f>IF(D280="","",IFERROR(INDEX('Stock pièces'!$B$5:$B$404,MATCH(D280,'Stock pièces'!$A$5:$A$404,0)),"Réf. inconnue"))</f>
        <v/>
      </c>
      <c r="F280" s="67" t="n">
        <v>3</v>
      </c>
      <c r="G280" s="81">
        <f>IF(D280="","",IFERROR(INDEX('Stock pièces'!$I$5:$I$404,MATCH(D280,'Stock pièces'!$A$5:$A$404,0)),0))</f>
        <v/>
      </c>
      <c r="H280" s="81">
        <f>IF(D280="","",N(F280)*N(G280))</f>
        <v/>
      </c>
      <c r="I280" s="7" t="inlineStr">
        <is>
          <t>OT-2025-0355</t>
        </is>
      </c>
      <c r="J280" s="9">
        <f>IF(I280="","",IFERROR(INDEX('Ordres de travail'!$D$5:$D$3004,MATCH(I280,'Ordres de travail'!$A$5:$A$3004,0)),""))</f>
        <v/>
      </c>
      <c r="K280" s="9">
        <f>IF(D280="","",IFERROR(INDEX('Stock pièces'!$D$5:$D$404,MATCH(D280,'Stock pièces'!$A$5:$A$404,0)),""))</f>
        <v/>
      </c>
      <c r="L280" s="7" t="n"/>
      <c r="M280" s="7" t="n"/>
    </row>
    <row r="281">
      <c r="A281" s="7" t="inlineStr">
        <is>
          <t>MV-00277</t>
        </is>
      </c>
      <c r="B281" s="75" t="n">
        <v>45813.18125</v>
      </c>
      <c r="C281" s="7" t="inlineStr">
        <is>
          <t>Sortie</t>
        </is>
      </c>
      <c r="D281" s="7" t="inlineStr">
        <is>
          <t>PD-0075</t>
        </is>
      </c>
      <c r="E281" s="9">
        <f>IF(D281="","",IFERROR(INDEX('Stock pièces'!$B$5:$B$404,MATCH(D281,'Stock pièces'!$A$5:$A$404,0)),"Réf. inconnue"))</f>
        <v/>
      </c>
      <c r="F281" s="67" t="n">
        <v>1</v>
      </c>
      <c r="G281" s="81">
        <f>IF(D281="","",IFERROR(INDEX('Stock pièces'!$I$5:$I$404,MATCH(D281,'Stock pièces'!$A$5:$A$404,0)),0))</f>
        <v/>
      </c>
      <c r="H281" s="81">
        <f>IF(D281="","",N(F281)*N(G281))</f>
        <v/>
      </c>
      <c r="I281" s="7" t="inlineStr">
        <is>
          <t>OT-2025-0352</t>
        </is>
      </c>
      <c r="J281" s="9">
        <f>IF(I281="","",IFERROR(INDEX('Ordres de travail'!$D$5:$D$3004,MATCH(I281,'Ordres de travail'!$A$5:$A$3004,0)),""))</f>
        <v/>
      </c>
      <c r="K281" s="9">
        <f>IF(D281="","",IFERROR(INDEX('Stock pièces'!$D$5:$D$404,MATCH(D281,'Stock pièces'!$A$5:$A$404,0)),""))</f>
        <v/>
      </c>
      <c r="L281" s="7" t="n"/>
      <c r="M281" s="7" t="n"/>
    </row>
    <row r="282">
      <c r="A282" s="7" t="inlineStr">
        <is>
          <t>MV-00278</t>
        </is>
      </c>
      <c r="B282" s="75" t="n">
        <v>45814.44861111111</v>
      </c>
      <c r="C282" s="7" t="inlineStr">
        <is>
          <t>Sortie</t>
        </is>
      </c>
      <c r="D282" s="7" t="inlineStr">
        <is>
          <t>PD-0067</t>
        </is>
      </c>
      <c r="E282" s="9">
        <f>IF(D282="","",IFERROR(INDEX('Stock pièces'!$B$5:$B$404,MATCH(D282,'Stock pièces'!$A$5:$A$404,0)),"Réf. inconnue"))</f>
        <v/>
      </c>
      <c r="F282" s="67" t="n">
        <v>2</v>
      </c>
      <c r="G282" s="81">
        <f>IF(D282="","",IFERROR(INDEX('Stock pièces'!$I$5:$I$404,MATCH(D282,'Stock pièces'!$A$5:$A$404,0)),0))</f>
        <v/>
      </c>
      <c r="H282" s="81">
        <f>IF(D282="","",N(F282)*N(G282))</f>
        <v/>
      </c>
      <c r="I282" s="7" t="inlineStr">
        <is>
          <t>OT-2025-0357</t>
        </is>
      </c>
      <c r="J282" s="9">
        <f>IF(I282="","",IFERROR(INDEX('Ordres de travail'!$D$5:$D$3004,MATCH(I282,'Ordres de travail'!$A$5:$A$3004,0)),""))</f>
        <v/>
      </c>
      <c r="K282" s="9">
        <f>IF(D282="","",IFERROR(INDEX('Stock pièces'!$D$5:$D$404,MATCH(D282,'Stock pièces'!$A$5:$A$404,0)),""))</f>
        <v/>
      </c>
      <c r="L282" s="7" t="n"/>
      <c r="M282" s="7" t="n"/>
    </row>
    <row r="283">
      <c r="A283" s="7" t="inlineStr">
        <is>
          <t>MV-00279</t>
        </is>
      </c>
      <c r="B283" s="75" t="n">
        <v>45817.41666666666</v>
      </c>
      <c r="C283" s="7" t="inlineStr">
        <is>
          <t>Entrée</t>
        </is>
      </c>
      <c r="D283" s="7" t="inlineStr">
        <is>
          <t>PD-0017</t>
        </is>
      </c>
      <c r="E283" s="9">
        <f>IF(D283="","",IFERROR(INDEX('Stock pièces'!$B$5:$B$404,MATCH(D283,'Stock pièces'!$A$5:$A$404,0)),"Réf. inconnue"))</f>
        <v/>
      </c>
      <c r="F283" s="67" t="n">
        <v>8</v>
      </c>
      <c r="G283" s="81">
        <f>IF(D283="","",IFERROR(INDEX('Stock pièces'!$I$5:$I$404,MATCH(D283,'Stock pièces'!$A$5:$A$404,0)),0))</f>
        <v/>
      </c>
      <c r="H283" s="81">
        <f>IF(D283="","",N(F283)*N(G283))</f>
        <v/>
      </c>
      <c r="I283" s="7" t="n"/>
      <c r="J283" s="9">
        <f>IF(I283="","",IFERROR(INDEX('Ordres de travail'!$D$5:$D$3004,MATCH(I283,'Ordres de travail'!$A$5:$A$3004,0)),""))</f>
        <v/>
      </c>
      <c r="K283" s="9">
        <f>IF(D283="","",IFERROR(INDEX('Stock pièces'!$D$5:$D$404,MATCH(D283,'Stock pièces'!$A$5:$A$404,0)),""))</f>
        <v/>
      </c>
      <c r="L283" s="7" t="inlineStr">
        <is>
          <t>CMD-24078</t>
        </is>
      </c>
      <c r="M283" s="7" t="inlineStr">
        <is>
          <t>Réception commande réappro</t>
        </is>
      </c>
    </row>
    <row r="284">
      <c r="A284" s="7" t="inlineStr">
        <is>
          <t>MV-00280</t>
        </is>
      </c>
      <c r="B284" s="75" t="n">
        <v>45818.3125</v>
      </c>
      <c r="C284" s="7" t="inlineStr">
        <is>
          <t>Sortie</t>
        </is>
      </c>
      <c r="D284" s="7" t="inlineStr">
        <is>
          <t>PD-0025</t>
        </is>
      </c>
      <c r="E284" s="9">
        <f>IF(D284="","",IFERROR(INDEX('Stock pièces'!$B$5:$B$404,MATCH(D284,'Stock pièces'!$A$5:$A$404,0)),"Réf. inconnue"))</f>
        <v/>
      </c>
      <c r="F284" s="67" t="n">
        <v>1</v>
      </c>
      <c r="G284" s="81">
        <f>IF(D284="","",IFERROR(INDEX('Stock pièces'!$I$5:$I$404,MATCH(D284,'Stock pièces'!$A$5:$A$404,0)),0))</f>
        <v/>
      </c>
      <c r="H284" s="81">
        <f>IF(D284="","",N(F284)*N(G284))</f>
        <v/>
      </c>
      <c r="I284" s="7" t="inlineStr">
        <is>
          <t>OT-2025-0350</t>
        </is>
      </c>
      <c r="J284" s="9">
        <f>IF(I284="","",IFERROR(INDEX('Ordres de travail'!$D$5:$D$3004,MATCH(I284,'Ordres de travail'!$A$5:$A$3004,0)),""))</f>
        <v/>
      </c>
      <c r="K284" s="9">
        <f>IF(D284="","",IFERROR(INDEX('Stock pièces'!$D$5:$D$404,MATCH(D284,'Stock pièces'!$A$5:$A$404,0)),""))</f>
        <v/>
      </c>
      <c r="L284" s="7" t="n"/>
      <c r="M284" s="7" t="n"/>
    </row>
    <row r="285">
      <c r="A285" s="7" t="inlineStr">
        <is>
          <t>MV-00281</t>
        </is>
      </c>
      <c r="B285" s="75" t="n">
        <v>45819.48611111111</v>
      </c>
      <c r="C285" s="7" t="inlineStr">
        <is>
          <t>Sortie</t>
        </is>
      </c>
      <c r="D285" s="7" t="inlineStr">
        <is>
          <t>PD-0062</t>
        </is>
      </c>
      <c r="E285" s="9">
        <f>IF(D285="","",IFERROR(INDEX('Stock pièces'!$B$5:$B$404,MATCH(D285,'Stock pièces'!$A$5:$A$404,0)),"Réf. inconnue"))</f>
        <v/>
      </c>
      <c r="F285" s="67" t="n">
        <v>1</v>
      </c>
      <c r="G285" s="81">
        <f>IF(D285="","",IFERROR(INDEX('Stock pièces'!$I$5:$I$404,MATCH(D285,'Stock pièces'!$A$5:$A$404,0)),0))</f>
        <v/>
      </c>
      <c r="H285" s="81">
        <f>IF(D285="","",N(F285)*N(G285))</f>
        <v/>
      </c>
      <c r="I285" s="7" t="inlineStr">
        <is>
          <t>OT-2025-0353</t>
        </is>
      </c>
      <c r="J285" s="9">
        <f>IF(I285="","",IFERROR(INDEX('Ordres de travail'!$D$5:$D$3004,MATCH(I285,'Ordres de travail'!$A$5:$A$3004,0)),""))</f>
        <v/>
      </c>
      <c r="K285" s="9">
        <f>IF(D285="","",IFERROR(INDEX('Stock pièces'!$D$5:$D$404,MATCH(D285,'Stock pièces'!$A$5:$A$404,0)),""))</f>
        <v/>
      </c>
      <c r="L285" s="7" t="n"/>
      <c r="M285" s="7" t="n"/>
    </row>
    <row r="286">
      <c r="A286" s="7" t="inlineStr">
        <is>
          <t>MV-00282</t>
        </is>
      </c>
      <c r="B286" s="75" t="n">
        <v>45821.59791666667</v>
      </c>
      <c r="C286" s="7" t="inlineStr">
        <is>
          <t>Sortie</t>
        </is>
      </c>
      <c r="D286" s="7" t="inlineStr">
        <is>
          <t>PD-0049</t>
        </is>
      </c>
      <c r="E286" s="9">
        <f>IF(D286="","",IFERROR(INDEX('Stock pièces'!$B$5:$B$404,MATCH(D286,'Stock pièces'!$A$5:$A$404,0)),"Réf. inconnue"))</f>
        <v/>
      </c>
      <c r="F286" s="67" t="n">
        <v>2</v>
      </c>
      <c r="G286" s="81">
        <f>IF(D286="","",IFERROR(INDEX('Stock pièces'!$I$5:$I$404,MATCH(D286,'Stock pièces'!$A$5:$A$404,0)),0))</f>
        <v/>
      </c>
      <c r="H286" s="81">
        <f>IF(D286="","",N(F286)*N(G286))</f>
        <v/>
      </c>
      <c r="I286" s="7" t="inlineStr">
        <is>
          <t>OT-2025-0366</t>
        </is>
      </c>
      <c r="J286" s="9">
        <f>IF(I286="","",IFERROR(INDEX('Ordres de travail'!$D$5:$D$3004,MATCH(I286,'Ordres de travail'!$A$5:$A$3004,0)),""))</f>
        <v/>
      </c>
      <c r="K286" s="9">
        <f>IF(D286="","",IFERROR(INDEX('Stock pièces'!$D$5:$D$404,MATCH(D286,'Stock pièces'!$A$5:$A$404,0)),""))</f>
        <v/>
      </c>
      <c r="L286" s="7" t="n"/>
      <c r="M286" s="7" t="n"/>
    </row>
    <row r="287">
      <c r="A287" s="7" t="inlineStr">
        <is>
          <t>MV-00283</t>
        </is>
      </c>
      <c r="B287" s="75" t="n">
        <v>45824.41666666666</v>
      </c>
      <c r="C287" s="7" t="inlineStr">
        <is>
          <t>Entrée</t>
        </is>
      </c>
      <c r="D287" s="7" t="inlineStr">
        <is>
          <t>PD-0044</t>
        </is>
      </c>
      <c r="E287" s="9">
        <f>IF(D287="","",IFERROR(INDEX('Stock pièces'!$B$5:$B$404,MATCH(D287,'Stock pièces'!$A$5:$A$404,0)),"Réf. inconnue"))</f>
        <v/>
      </c>
      <c r="F287" s="67" t="n">
        <v>3</v>
      </c>
      <c r="G287" s="81">
        <f>IF(D287="","",IFERROR(INDEX('Stock pièces'!$I$5:$I$404,MATCH(D287,'Stock pièces'!$A$5:$A$404,0)),0))</f>
        <v/>
      </c>
      <c r="H287" s="81">
        <f>IF(D287="","",N(F287)*N(G287))</f>
        <v/>
      </c>
      <c r="I287" s="7" t="n"/>
      <c r="J287" s="9">
        <f>IF(I287="","",IFERROR(INDEX('Ordres de travail'!$D$5:$D$3004,MATCH(I287,'Ordres de travail'!$A$5:$A$3004,0)),""))</f>
        <v/>
      </c>
      <c r="K287" s="9">
        <f>IF(D287="","",IFERROR(INDEX('Stock pièces'!$D$5:$D$404,MATCH(D287,'Stock pièces'!$A$5:$A$404,0)),""))</f>
        <v/>
      </c>
      <c r="L287" s="7" t="inlineStr">
        <is>
          <t>CMD-24080</t>
        </is>
      </c>
      <c r="M287" s="7" t="inlineStr">
        <is>
          <t>Réception commande réappro</t>
        </is>
      </c>
    </row>
    <row r="288">
      <c r="A288" s="7" t="inlineStr">
        <is>
          <t>MV-00284</t>
        </is>
      </c>
      <c r="B288" s="75" t="n">
        <v>45824.41666666666</v>
      </c>
      <c r="C288" s="7" t="inlineStr">
        <is>
          <t>Entrée</t>
        </is>
      </c>
      <c r="D288" s="7" t="inlineStr">
        <is>
          <t>PD-0067</t>
        </is>
      </c>
      <c r="E288" s="9">
        <f>IF(D288="","",IFERROR(INDEX('Stock pièces'!$B$5:$B$404,MATCH(D288,'Stock pièces'!$A$5:$A$404,0)),"Réf. inconnue"))</f>
        <v/>
      </c>
      <c r="F288" s="67" t="n">
        <v>2</v>
      </c>
      <c r="G288" s="81">
        <f>IF(D288="","",IFERROR(INDEX('Stock pièces'!$I$5:$I$404,MATCH(D288,'Stock pièces'!$A$5:$A$404,0)),0))</f>
        <v/>
      </c>
      <c r="H288" s="81">
        <f>IF(D288="","",N(F288)*N(G288))</f>
        <v/>
      </c>
      <c r="I288" s="7" t="n"/>
      <c r="J288" s="9">
        <f>IF(I288="","",IFERROR(INDEX('Ordres de travail'!$D$5:$D$3004,MATCH(I288,'Ordres de travail'!$A$5:$A$3004,0)),""))</f>
        <v/>
      </c>
      <c r="K288" s="9">
        <f>IF(D288="","",IFERROR(INDEX('Stock pièces'!$D$5:$D$404,MATCH(D288,'Stock pièces'!$A$5:$A$404,0)),""))</f>
        <v/>
      </c>
      <c r="L288" s="7" t="inlineStr">
        <is>
          <t>CMD-24081</t>
        </is>
      </c>
      <c r="M288" s="7" t="inlineStr">
        <is>
          <t>Réception commande réappro</t>
        </is>
      </c>
    </row>
    <row r="289">
      <c r="A289" s="7" t="inlineStr">
        <is>
          <t>MV-00285</t>
        </is>
      </c>
      <c r="B289" s="75" t="n">
        <v>45825.47986111111</v>
      </c>
      <c r="C289" s="7" t="inlineStr">
        <is>
          <t>Sortie</t>
        </is>
      </c>
      <c r="D289" s="7" t="inlineStr">
        <is>
          <t>PD-0032</t>
        </is>
      </c>
      <c r="E289" s="9">
        <f>IF(D289="","",IFERROR(INDEX('Stock pièces'!$B$5:$B$404,MATCH(D289,'Stock pièces'!$A$5:$A$404,0)),"Réf. inconnue"))</f>
        <v/>
      </c>
      <c r="F289" s="67" t="n">
        <v>1</v>
      </c>
      <c r="G289" s="81">
        <f>IF(D289="","",IFERROR(INDEX('Stock pièces'!$I$5:$I$404,MATCH(D289,'Stock pièces'!$A$5:$A$404,0)),0))</f>
        <v/>
      </c>
      <c r="H289" s="81">
        <f>IF(D289="","",N(F289)*N(G289))</f>
        <v/>
      </c>
      <c r="I289" s="7" t="inlineStr">
        <is>
          <t>OT-2025-0379</t>
        </is>
      </c>
      <c r="J289" s="9">
        <f>IF(I289="","",IFERROR(INDEX('Ordres de travail'!$D$5:$D$3004,MATCH(I289,'Ordres de travail'!$A$5:$A$3004,0)),""))</f>
        <v/>
      </c>
      <c r="K289" s="9">
        <f>IF(D289="","",IFERROR(INDEX('Stock pièces'!$D$5:$D$404,MATCH(D289,'Stock pièces'!$A$5:$A$404,0)),""))</f>
        <v/>
      </c>
      <c r="L289" s="7" t="n"/>
      <c r="M289" s="7" t="n"/>
    </row>
    <row r="290">
      <c r="A290" s="7" t="inlineStr">
        <is>
          <t>MV-00286</t>
        </is>
      </c>
      <c r="B290" s="75" t="n">
        <v>45825.48611111111</v>
      </c>
      <c r="C290" s="7" t="inlineStr">
        <is>
          <t>Sortie</t>
        </is>
      </c>
      <c r="D290" s="7" t="inlineStr">
        <is>
          <t>PD-0017</t>
        </is>
      </c>
      <c r="E290" s="9">
        <f>IF(D290="","",IFERROR(INDEX('Stock pièces'!$B$5:$B$404,MATCH(D290,'Stock pièces'!$A$5:$A$404,0)),"Réf. inconnue"))</f>
        <v/>
      </c>
      <c r="F290" s="67" t="n">
        <v>1</v>
      </c>
      <c r="G290" s="81">
        <f>IF(D290="","",IFERROR(INDEX('Stock pièces'!$I$5:$I$404,MATCH(D290,'Stock pièces'!$A$5:$A$404,0)),0))</f>
        <v/>
      </c>
      <c r="H290" s="81">
        <f>IF(D290="","",N(F290)*N(G290))</f>
        <v/>
      </c>
      <c r="I290" s="7" t="inlineStr">
        <is>
          <t>OT-2025-0363</t>
        </is>
      </c>
      <c r="J290" s="9">
        <f>IF(I290="","",IFERROR(INDEX('Ordres de travail'!$D$5:$D$3004,MATCH(I290,'Ordres de travail'!$A$5:$A$3004,0)),""))</f>
        <v/>
      </c>
      <c r="K290" s="9">
        <f>IF(D290="","",IFERROR(INDEX('Stock pièces'!$D$5:$D$404,MATCH(D290,'Stock pièces'!$A$5:$A$404,0)),""))</f>
        <v/>
      </c>
      <c r="L290" s="7" t="n"/>
      <c r="M290" s="7" t="n"/>
    </row>
    <row r="291">
      <c r="A291" s="7" t="inlineStr">
        <is>
          <t>MV-00287</t>
        </is>
      </c>
      <c r="B291" s="75" t="n">
        <v>45825.5625</v>
      </c>
      <c r="C291" s="7" t="inlineStr">
        <is>
          <t>Sortie</t>
        </is>
      </c>
      <c r="D291" s="7" t="inlineStr">
        <is>
          <t>PD-0015</t>
        </is>
      </c>
      <c r="E291" s="9">
        <f>IF(D291="","",IFERROR(INDEX('Stock pièces'!$B$5:$B$404,MATCH(D291,'Stock pièces'!$A$5:$A$404,0)),"Réf. inconnue"))</f>
        <v/>
      </c>
      <c r="F291" s="67" t="n">
        <v>1</v>
      </c>
      <c r="G291" s="81">
        <f>IF(D291="","",IFERROR(INDEX('Stock pièces'!$I$5:$I$404,MATCH(D291,'Stock pièces'!$A$5:$A$404,0)),0))</f>
        <v/>
      </c>
      <c r="H291" s="81">
        <f>IF(D291="","",N(F291)*N(G291))</f>
        <v/>
      </c>
      <c r="I291" s="7" t="inlineStr">
        <is>
          <t>OT-2025-0364</t>
        </is>
      </c>
      <c r="J291" s="9">
        <f>IF(I291="","",IFERROR(INDEX('Ordres de travail'!$D$5:$D$3004,MATCH(I291,'Ordres de travail'!$A$5:$A$3004,0)),""))</f>
        <v/>
      </c>
      <c r="K291" s="9">
        <f>IF(D291="","",IFERROR(INDEX('Stock pièces'!$D$5:$D$404,MATCH(D291,'Stock pièces'!$A$5:$A$404,0)),""))</f>
        <v/>
      </c>
      <c r="L291" s="7" t="n"/>
      <c r="M291" s="7" t="n"/>
    </row>
    <row r="292">
      <c r="A292" s="7" t="inlineStr">
        <is>
          <t>MV-00288</t>
        </is>
      </c>
      <c r="B292" s="75" t="n">
        <v>45825.5625</v>
      </c>
      <c r="C292" s="7" t="inlineStr">
        <is>
          <t>Sortie</t>
        </is>
      </c>
      <c r="D292" s="7" t="inlineStr">
        <is>
          <t>PD-0022</t>
        </is>
      </c>
      <c r="E292" s="9">
        <f>IF(D292="","",IFERROR(INDEX('Stock pièces'!$B$5:$B$404,MATCH(D292,'Stock pièces'!$A$5:$A$404,0)),"Réf. inconnue"))</f>
        <v/>
      </c>
      <c r="F292" s="67" t="n">
        <v>1</v>
      </c>
      <c r="G292" s="81">
        <f>IF(D292="","",IFERROR(INDEX('Stock pièces'!$I$5:$I$404,MATCH(D292,'Stock pièces'!$A$5:$A$404,0)),0))</f>
        <v/>
      </c>
      <c r="H292" s="81">
        <f>IF(D292="","",N(F292)*N(G292))</f>
        <v/>
      </c>
      <c r="I292" s="7" t="inlineStr">
        <is>
          <t>OT-2025-0364</t>
        </is>
      </c>
      <c r="J292" s="9">
        <f>IF(I292="","",IFERROR(INDEX('Ordres de travail'!$D$5:$D$3004,MATCH(I292,'Ordres de travail'!$A$5:$A$3004,0)),""))</f>
        <v/>
      </c>
      <c r="K292" s="9">
        <f>IF(D292="","",IFERROR(INDEX('Stock pièces'!$D$5:$D$404,MATCH(D292,'Stock pièces'!$A$5:$A$404,0)),""))</f>
        <v/>
      </c>
      <c r="L292" s="7" t="n"/>
      <c r="M292" s="7" t="n"/>
    </row>
    <row r="293">
      <c r="A293" s="7" t="inlineStr">
        <is>
          <t>MV-00289</t>
        </is>
      </c>
      <c r="B293" s="75" t="n">
        <v>45825.60138888889</v>
      </c>
      <c r="C293" s="7" t="inlineStr">
        <is>
          <t>Sortie</t>
        </is>
      </c>
      <c r="D293" s="7" t="inlineStr">
        <is>
          <t>PD-0056</t>
        </is>
      </c>
      <c r="E293" s="9">
        <f>IF(D293="","",IFERROR(INDEX('Stock pièces'!$B$5:$B$404,MATCH(D293,'Stock pièces'!$A$5:$A$404,0)),"Réf. inconnue"))</f>
        <v/>
      </c>
      <c r="F293" s="67" t="n">
        <v>1</v>
      </c>
      <c r="G293" s="81">
        <f>IF(D293="","",IFERROR(INDEX('Stock pièces'!$I$5:$I$404,MATCH(D293,'Stock pièces'!$A$5:$A$404,0)),0))</f>
        <v/>
      </c>
      <c r="H293" s="81">
        <f>IF(D293="","",N(F293)*N(G293))</f>
        <v/>
      </c>
      <c r="I293" s="7" t="inlineStr">
        <is>
          <t>OT-2025-0380</t>
        </is>
      </c>
      <c r="J293" s="9">
        <f>IF(I293="","",IFERROR(INDEX('Ordres de travail'!$D$5:$D$3004,MATCH(I293,'Ordres de travail'!$A$5:$A$3004,0)),""))</f>
        <v/>
      </c>
      <c r="K293" s="9">
        <f>IF(D293="","",IFERROR(INDEX('Stock pièces'!$D$5:$D$404,MATCH(D293,'Stock pièces'!$A$5:$A$404,0)),""))</f>
        <v/>
      </c>
      <c r="L293" s="7" t="n"/>
      <c r="M293" s="7" t="n"/>
    </row>
    <row r="294">
      <c r="A294" s="7" t="inlineStr">
        <is>
          <t>MV-00290</t>
        </is>
      </c>
      <c r="B294" s="75" t="n">
        <v>45826.41666666666</v>
      </c>
      <c r="C294" s="7" t="inlineStr">
        <is>
          <t>Entrée</t>
        </is>
      </c>
      <c r="D294" s="7" t="inlineStr">
        <is>
          <t>PD-0049</t>
        </is>
      </c>
      <c r="E294" s="9">
        <f>IF(D294="","",IFERROR(INDEX('Stock pièces'!$B$5:$B$404,MATCH(D294,'Stock pièces'!$A$5:$A$404,0)),"Réf. inconnue"))</f>
        <v/>
      </c>
      <c r="F294" s="67" t="n">
        <v>3</v>
      </c>
      <c r="G294" s="81">
        <f>IF(D294="","",IFERROR(INDEX('Stock pièces'!$I$5:$I$404,MATCH(D294,'Stock pièces'!$A$5:$A$404,0)),0))</f>
        <v/>
      </c>
      <c r="H294" s="81">
        <f>IF(D294="","",N(F294)*N(G294))</f>
        <v/>
      </c>
      <c r="I294" s="7" t="n"/>
      <c r="J294" s="9">
        <f>IF(I294="","",IFERROR(INDEX('Ordres de travail'!$D$5:$D$3004,MATCH(I294,'Ordres de travail'!$A$5:$A$3004,0)),""))</f>
        <v/>
      </c>
      <c r="K294" s="9">
        <f>IF(D294="","",IFERROR(INDEX('Stock pièces'!$D$5:$D$404,MATCH(D294,'Stock pièces'!$A$5:$A$404,0)),""))</f>
        <v/>
      </c>
      <c r="L294" s="7" t="inlineStr">
        <is>
          <t>CMD-24082</t>
        </is>
      </c>
      <c r="M294" s="7" t="inlineStr">
        <is>
          <t>Réception commande réappro</t>
        </is>
      </c>
    </row>
    <row r="295">
      <c r="A295" s="7" t="inlineStr">
        <is>
          <t>MV-00291</t>
        </is>
      </c>
      <c r="B295" s="75" t="n">
        <v>45828.58333333334</v>
      </c>
      <c r="C295" s="7" t="inlineStr">
        <is>
          <t>Sortie</t>
        </is>
      </c>
      <c r="D295" s="7" t="inlineStr">
        <is>
          <t>PD-0021</t>
        </is>
      </c>
      <c r="E295" s="9">
        <f>IF(D295="","",IFERROR(INDEX('Stock pièces'!$B$5:$B$404,MATCH(D295,'Stock pièces'!$A$5:$A$404,0)),"Réf. inconnue"))</f>
        <v/>
      </c>
      <c r="F295" s="67" t="n">
        <v>1</v>
      </c>
      <c r="G295" s="81">
        <f>IF(D295="","",IFERROR(INDEX('Stock pièces'!$I$5:$I$404,MATCH(D295,'Stock pièces'!$A$5:$A$404,0)),0))</f>
        <v/>
      </c>
      <c r="H295" s="81">
        <f>IF(D295="","",N(F295)*N(G295))</f>
        <v/>
      </c>
      <c r="I295" s="7" t="inlineStr">
        <is>
          <t>OT-2025-0367</t>
        </is>
      </c>
      <c r="J295" s="9">
        <f>IF(I295="","",IFERROR(INDEX('Ordres de travail'!$D$5:$D$3004,MATCH(I295,'Ordres de travail'!$A$5:$A$3004,0)),""))</f>
        <v/>
      </c>
      <c r="K295" s="9">
        <f>IF(D295="","",IFERROR(INDEX('Stock pièces'!$D$5:$D$404,MATCH(D295,'Stock pièces'!$A$5:$A$404,0)),""))</f>
        <v/>
      </c>
      <c r="L295" s="7" t="n"/>
      <c r="M295" s="7" t="n"/>
    </row>
    <row r="296">
      <c r="A296" s="7" t="inlineStr">
        <is>
          <t>MV-00292</t>
        </is>
      </c>
      <c r="B296" s="75" t="n">
        <v>45831.27777777778</v>
      </c>
      <c r="C296" s="7" t="inlineStr">
        <is>
          <t>Sortie</t>
        </is>
      </c>
      <c r="D296" s="7" t="inlineStr">
        <is>
          <t>PD-0017</t>
        </is>
      </c>
      <c r="E296" s="9">
        <f>IF(D296="","",IFERROR(INDEX('Stock pièces'!$B$5:$B$404,MATCH(D296,'Stock pièces'!$A$5:$A$404,0)),"Réf. inconnue"))</f>
        <v/>
      </c>
      <c r="F296" s="67" t="n">
        <v>1</v>
      </c>
      <c r="G296" s="81">
        <f>IF(D296="","",IFERROR(INDEX('Stock pièces'!$I$5:$I$404,MATCH(D296,'Stock pièces'!$A$5:$A$404,0)),0))</f>
        <v/>
      </c>
      <c r="H296" s="81">
        <f>IF(D296="","",N(F296)*N(G296))</f>
        <v/>
      </c>
      <c r="I296" s="7" t="inlineStr">
        <is>
          <t>OT-2025-0374</t>
        </is>
      </c>
      <c r="J296" s="9">
        <f>IF(I296="","",IFERROR(INDEX('Ordres de travail'!$D$5:$D$3004,MATCH(I296,'Ordres de travail'!$A$5:$A$3004,0)),""))</f>
        <v/>
      </c>
      <c r="K296" s="9">
        <f>IF(D296="","",IFERROR(INDEX('Stock pièces'!$D$5:$D$404,MATCH(D296,'Stock pièces'!$A$5:$A$404,0)),""))</f>
        <v/>
      </c>
      <c r="L296" s="7" t="n"/>
      <c r="M296" s="7" t="n"/>
    </row>
    <row r="297">
      <c r="A297" s="7" t="inlineStr">
        <is>
          <t>MV-00293</t>
        </is>
      </c>
      <c r="B297" s="75" t="n">
        <v>45831.41666666666</v>
      </c>
      <c r="C297" s="7" t="inlineStr">
        <is>
          <t>Entrée</t>
        </is>
      </c>
      <c r="D297" s="7" t="inlineStr">
        <is>
          <t>PD-0032</t>
        </is>
      </c>
      <c r="E297" s="9">
        <f>IF(D297="","",IFERROR(INDEX('Stock pièces'!$B$5:$B$404,MATCH(D297,'Stock pièces'!$A$5:$A$404,0)),"Réf. inconnue"))</f>
        <v/>
      </c>
      <c r="F297" s="67" t="n">
        <v>2</v>
      </c>
      <c r="G297" s="81">
        <f>IF(D297="","",IFERROR(INDEX('Stock pièces'!$I$5:$I$404,MATCH(D297,'Stock pièces'!$A$5:$A$404,0)),0))</f>
        <v/>
      </c>
      <c r="H297" s="81">
        <f>IF(D297="","",N(F297)*N(G297))</f>
        <v/>
      </c>
      <c r="I297" s="7" t="n"/>
      <c r="J297" s="9">
        <f>IF(I297="","",IFERROR(INDEX('Ordres de travail'!$D$5:$D$3004,MATCH(I297,'Ordres de travail'!$A$5:$A$3004,0)),""))</f>
        <v/>
      </c>
      <c r="K297" s="9">
        <f>IF(D297="","",IFERROR(INDEX('Stock pièces'!$D$5:$D$404,MATCH(D297,'Stock pièces'!$A$5:$A$404,0)),""))</f>
        <v/>
      </c>
      <c r="L297" s="7" t="inlineStr">
        <is>
          <t>CMD-24083</t>
        </is>
      </c>
      <c r="M297" s="7" t="inlineStr">
        <is>
          <t>Réception commande réappro</t>
        </is>
      </c>
    </row>
    <row r="298">
      <c r="A298" s="7" t="inlineStr">
        <is>
          <t>MV-00294</t>
        </is>
      </c>
      <c r="B298" s="75" t="n">
        <v>45831.41666666666</v>
      </c>
      <c r="C298" s="7" t="inlineStr">
        <is>
          <t>Entrée</t>
        </is>
      </c>
      <c r="D298" s="7" t="inlineStr">
        <is>
          <t>PD-0022</t>
        </is>
      </c>
      <c r="E298" s="9">
        <f>IF(D298="","",IFERROR(INDEX('Stock pièces'!$B$5:$B$404,MATCH(D298,'Stock pièces'!$A$5:$A$404,0)),"Réf. inconnue"))</f>
        <v/>
      </c>
      <c r="F298" s="67" t="n">
        <v>2</v>
      </c>
      <c r="G298" s="81">
        <f>IF(D298="","",IFERROR(INDEX('Stock pièces'!$I$5:$I$404,MATCH(D298,'Stock pièces'!$A$5:$A$404,0)),0))</f>
        <v/>
      </c>
      <c r="H298" s="81">
        <f>IF(D298="","",N(F298)*N(G298))</f>
        <v/>
      </c>
      <c r="I298" s="7" t="n"/>
      <c r="J298" s="9">
        <f>IF(I298="","",IFERROR(INDEX('Ordres de travail'!$D$5:$D$3004,MATCH(I298,'Ordres de travail'!$A$5:$A$3004,0)),""))</f>
        <v/>
      </c>
      <c r="K298" s="9">
        <f>IF(D298="","",IFERROR(INDEX('Stock pièces'!$D$5:$D$404,MATCH(D298,'Stock pièces'!$A$5:$A$404,0)),""))</f>
        <v/>
      </c>
      <c r="L298" s="7" t="inlineStr">
        <is>
          <t>CMD-24084</t>
        </is>
      </c>
      <c r="M298" s="7" t="inlineStr">
        <is>
          <t>Réception commande réappro</t>
        </is>
      </c>
    </row>
    <row r="299">
      <c r="A299" s="7" t="inlineStr">
        <is>
          <t>MV-00295</t>
        </is>
      </c>
      <c r="B299" s="75" t="n">
        <v>45831.53819444445</v>
      </c>
      <c r="C299" s="7" t="inlineStr">
        <is>
          <t>Sortie</t>
        </is>
      </c>
      <c r="D299" s="7" t="inlineStr">
        <is>
          <t>PD-0021</t>
        </is>
      </c>
      <c r="E299" s="9">
        <f>IF(D299="","",IFERROR(INDEX('Stock pièces'!$B$5:$B$404,MATCH(D299,'Stock pièces'!$A$5:$A$404,0)),"Réf. inconnue"))</f>
        <v/>
      </c>
      <c r="F299" s="67" t="n">
        <v>1</v>
      </c>
      <c r="G299" s="81">
        <f>IF(D299="","",IFERROR(INDEX('Stock pièces'!$I$5:$I$404,MATCH(D299,'Stock pièces'!$A$5:$A$404,0)),0))</f>
        <v/>
      </c>
      <c r="H299" s="81">
        <f>IF(D299="","",N(F299)*N(G299))</f>
        <v/>
      </c>
      <c r="I299" s="7" t="inlineStr">
        <is>
          <t>OT-2025-0372</t>
        </is>
      </c>
      <c r="J299" s="9">
        <f>IF(I299="","",IFERROR(INDEX('Ordres de travail'!$D$5:$D$3004,MATCH(I299,'Ordres de travail'!$A$5:$A$3004,0)),""))</f>
        <v/>
      </c>
      <c r="K299" s="9">
        <f>IF(D299="","",IFERROR(INDEX('Stock pièces'!$D$5:$D$404,MATCH(D299,'Stock pièces'!$A$5:$A$404,0)),""))</f>
        <v/>
      </c>
      <c r="L299" s="7" t="n"/>
      <c r="M299" s="7" t="n"/>
    </row>
    <row r="300">
      <c r="A300" s="7" t="inlineStr">
        <is>
          <t>MV-00296</t>
        </is>
      </c>
      <c r="B300" s="75" t="n">
        <v>45831.58333333334</v>
      </c>
      <c r="C300" s="7" t="inlineStr">
        <is>
          <t>Sortie</t>
        </is>
      </c>
      <c r="D300" s="7" t="inlineStr">
        <is>
          <t>PD-0059</t>
        </is>
      </c>
      <c r="E300" s="9">
        <f>IF(D300="","",IFERROR(INDEX('Stock pièces'!$B$5:$B$404,MATCH(D300,'Stock pièces'!$A$5:$A$404,0)),"Réf. inconnue"))</f>
        <v/>
      </c>
      <c r="F300" s="67" t="n">
        <v>1</v>
      </c>
      <c r="G300" s="81">
        <f>IF(D300="","",IFERROR(INDEX('Stock pièces'!$I$5:$I$404,MATCH(D300,'Stock pièces'!$A$5:$A$404,0)),0))</f>
        <v/>
      </c>
      <c r="H300" s="81">
        <f>IF(D300="","",N(F300)*N(G300))</f>
        <v/>
      </c>
      <c r="I300" s="7" t="inlineStr">
        <is>
          <t>OT-2025-0377</t>
        </is>
      </c>
      <c r="J300" s="9">
        <f>IF(I300="","",IFERROR(INDEX('Ordres de travail'!$D$5:$D$3004,MATCH(I300,'Ordres de travail'!$A$5:$A$3004,0)),""))</f>
        <v/>
      </c>
      <c r="K300" s="9">
        <f>IF(D300="","",IFERROR(INDEX('Stock pièces'!$D$5:$D$404,MATCH(D300,'Stock pièces'!$A$5:$A$404,0)),""))</f>
        <v/>
      </c>
      <c r="L300" s="7" t="n"/>
      <c r="M300" s="7" t="n"/>
    </row>
    <row r="301">
      <c r="A301" s="7" t="inlineStr">
        <is>
          <t>MV-00297</t>
        </is>
      </c>
      <c r="B301" s="75" t="n">
        <v>45832.57361111111</v>
      </c>
      <c r="C301" s="7" t="inlineStr">
        <is>
          <t>Sortie</t>
        </is>
      </c>
      <c r="D301" s="7" t="inlineStr">
        <is>
          <t>PD-0066</t>
        </is>
      </c>
      <c r="E301" s="9">
        <f>IF(D301="","",IFERROR(INDEX('Stock pièces'!$B$5:$B$404,MATCH(D301,'Stock pièces'!$A$5:$A$404,0)),"Réf. inconnue"))</f>
        <v/>
      </c>
      <c r="F301" s="67" t="n">
        <v>1</v>
      </c>
      <c r="G301" s="81">
        <f>IF(D301="","",IFERROR(INDEX('Stock pièces'!$I$5:$I$404,MATCH(D301,'Stock pièces'!$A$5:$A$404,0)),0))</f>
        <v/>
      </c>
      <c r="H301" s="81">
        <f>IF(D301="","",N(F301)*N(G301))</f>
        <v/>
      </c>
      <c r="I301" s="7" t="inlineStr">
        <is>
          <t>OT-2025-0395</t>
        </is>
      </c>
      <c r="J301" s="9">
        <f>IF(I301="","",IFERROR(INDEX('Ordres de travail'!$D$5:$D$3004,MATCH(I301,'Ordres de travail'!$A$5:$A$3004,0)),""))</f>
        <v/>
      </c>
      <c r="K301" s="9">
        <f>IF(D301="","",IFERROR(INDEX('Stock pièces'!$D$5:$D$404,MATCH(D301,'Stock pièces'!$A$5:$A$404,0)),""))</f>
        <v/>
      </c>
      <c r="L301" s="7" t="n"/>
      <c r="M301" s="7" t="n"/>
    </row>
    <row r="302">
      <c r="A302" s="7" t="inlineStr">
        <is>
          <t>MV-00298</t>
        </is>
      </c>
      <c r="B302" s="75" t="n">
        <v>45833.56944444445</v>
      </c>
      <c r="C302" s="7" t="inlineStr">
        <is>
          <t>Sortie</t>
        </is>
      </c>
      <c r="D302" s="7" t="inlineStr">
        <is>
          <t>PD-0017</t>
        </is>
      </c>
      <c r="E302" s="9">
        <f>IF(D302="","",IFERROR(INDEX('Stock pièces'!$B$5:$B$404,MATCH(D302,'Stock pièces'!$A$5:$A$404,0)),"Réf. inconnue"))</f>
        <v/>
      </c>
      <c r="F302" s="67" t="n">
        <v>1</v>
      </c>
      <c r="G302" s="81">
        <f>IF(D302="","",IFERROR(INDEX('Stock pièces'!$I$5:$I$404,MATCH(D302,'Stock pièces'!$A$5:$A$404,0)),0))</f>
        <v/>
      </c>
      <c r="H302" s="81">
        <f>IF(D302="","",N(F302)*N(G302))</f>
        <v/>
      </c>
      <c r="I302" s="7" t="inlineStr">
        <is>
          <t>OT-2025-0381</t>
        </is>
      </c>
      <c r="J302" s="9">
        <f>IF(I302="","",IFERROR(INDEX('Ordres de travail'!$D$5:$D$3004,MATCH(I302,'Ordres de travail'!$A$5:$A$3004,0)),""))</f>
        <v/>
      </c>
      <c r="K302" s="9">
        <f>IF(D302="","",IFERROR(INDEX('Stock pièces'!$D$5:$D$404,MATCH(D302,'Stock pièces'!$A$5:$A$404,0)),""))</f>
        <v/>
      </c>
      <c r="L302" s="7" t="n"/>
      <c r="M302" s="7" t="n"/>
    </row>
    <row r="303">
      <c r="A303" s="7" t="inlineStr">
        <is>
          <t>MV-00299</t>
        </is>
      </c>
      <c r="B303" s="75" t="n">
        <v>45834.54861111111</v>
      </c>
      <c r="C303" s="7" t="inlineStr">
        <is>
          <t>Sortie</t>
        </is>
      </c>
      <c r="D303" s="7" t="inlineStr">
        <is>
          <t>PD-0019</t>
        </is>
      </c>
      <c r="E303" s="9">
        <f>IF(D303="","",IFERROR(INDEX('Stock pièces'!$B$5:$B$404,MATCH(D303,'Stock pièces'!$A$5:$A$404,0)),"Réf. inconnue"))</f>
        <v/>
      </c>
      <c r="F303" s="67" t="n">
        <v>2</v>
      </c>
      <c r="G303" s="81">
        <f>IF(D303="","",IFERROR(INDEX('Stock pièces'!$I$5:$I$404,MATCH(D303,'Stock pièces'!$A$5:$A$404,0)),0))</f>
        <v/>
      </c>
      <c r="H303" s="81">
        <f>IF(D303="","",N(F303)*N(G303))</f>
        <v/>
      </c>
      <c r="I303" s="7" t="inlineStr">
        <is>
          <t>OT-2025-0384</t>
        </is>
      </c>
      <c r="J303" s="9">
        <f>IF(I303="","",IFERROR(INDEX('Ordres de travail'!$D$5:$D$3004,MATCH(I303,'Ordres de travail'!$A$5:$A$3004,0)),""))</f>
        <v/>
      </c>
      <c r="K303" s="9">
        <f>IF(D303="","",IFERROR(INDEX('Stock pièces'!$D$5:$D$404,MATCH(D303,'Stock pièces'!$A$5:$A$404,0)),""))</f>
        <v/>
      </c>
      <c r="L303" s="7" t="n"/>
      <c r="M303" s="7" t="n"/>
    </row>
    <row r="304">
      <c r="A304" s="7" t="inlineStr">
        <is>
          <t>MV-00300</t>
        </is>
      </c>
      <c r="B304" s="75" t="n">
        <v>45836.87361111111</v>
      </c>
      <c r="C304" s="7" t="inlineStr">
        <is>
          <t>Sortie</t>
        </is>
      </c>
      <c r="D304" s="7" t="inlineStr">
        <is>
          <t>PD-0055</t>
        </is>
      </c>
      <c r="E304" s="9">
        <f>IF(D304="","",IFERROR(INDEX('Stock pièces'!$B$5:$B$404,MATCH(D304,'Stock pièces'!$A$5:$A$404,0)),"Réf. inconnue"))</f>
        <v/>
      </c>
      <c r="F304" s="67" t="n">
        <v>2</v>
      </c>
      <c r="G304" s="81">
        <f>IF(D304="","",IFERROR(INDEX('Stock pièces'!$I$5:$I$404,MATCH(D304,'Stock pièces'!$A$5:$A$404,0)),0))</f>
        <v/>
      </c>
      <c r="H304" s="81">
        <f>IF(D304="","",N(F304)*N(G304))</f>
        <v/>
      </c>
      <c r="I304" s="7" t="inlineStr">
        <is>
          <t>OT-2025-0404</t>
        </is>
      </c>
      <c r="J304" s="9">
        <f>IF(I304="","",IFERROR(INDEX('Ordres de travail'!$D$5:$D$3004,MATCH(I304,'Ordres de travail'!$A$5:$A$3004,0)),""))</f>
        <v/>
      </c>
      <c r="K304" s="9">
        <f>IF(D304="","",IFERROR(INDEX('Stock pièces'!$D$5:$D$404,MATCH(D304,'Stock pièces'!$A$5:$A$404,0)),""))</f>
        <v/>
      </c>
      <c r="L304" s="7" t="n"/>
      <c r="M304" s="7" t="n"/>
    </row>
    <row r="305">
      <c r="A305" s="7" t="inlineStr">
        <is>
          <t>MV-00301</t>
        </is>
      </c>
      <c r="B305" s="75" t="n">
        <v>45838.3125</v>
      </c>
      <c r="C305" s="7" t="inlineStr">
        <is>
          <t>Sortie</t>
        </is>
      </c>
      <c r="D305" s="7" t="inlineStr">
        <is>
          <t>PD-0017</t>
        </is>
      </c>
      <c r="E305" s="9">
        <f>IF(D305="","",IFERROR(INDEX('Stock pièces'!$B$5:$B$404,MATCH(D305,'Stock pièces'!$A$5:$A$404,0)),"Réf. inconnue"))</f>
        <v/>
      </c>
      <c r="F305" s="67" t="n">
        <v>1</v>
      </c>
      <c r="G305" s="81">
        <f>IF(D305="","",IFERROR(INDEX('Stock pièces'!$I$5:$I$404,MATCH(D305,'Stock pièces'!$A$5:$A$404,0)),0))</f>
        <v/>
      </c>
      <c r="H305" s="81">
        <f>IF(D305="","",N(F305)*N(G305))</f>
        <v/>
      </c>
      <c r="I305" s="7" t="inlineStr">
        <is>
          <t>OT-2025-0389</t>
        </is>
      </c>
      <c r="J305" s="9">
        <f>IF(I305="","",IFERROR(INDEX('Ordres de travail'!$D$5:$D$3004,MATCH(I305,'Ordres de travail'!$A$5:$A$3004,0)),""))</f>
        <v/>
      </c>
      <c r="K305" s="9">
        <f>IF(D305="","",IFERROR(INDEX('Stock pièces'!$D$5:$D$404,MATCH(D305,'Stock pièces'!$A$5:$A$404,0)),""))</f>
        <v/>
      </c>
      <c r="L305" s="7" t="n"/>
      <c r="M305" s="7" t="n"/>
    </row>
    <row r="306">
      <c r="A306" s="7" t="inlineStr">
        <is>
          <t>MV-00302</t>
        </is>
      </c>
      <c r="B306" s="75" t="n">
        <v>45838.41666666666</v>
      </c>
      <c r="C306" s="7" t="inlineStr">
        <is>
          <t>Entrée</t>
        </is>
      </c>
      <c r="D306" s="7" t="inlineStr">
        <is>
          <t>PD-0056</t>
        </is>
      </c>
      <c r="E306" s="9">
        <f>IF(D306="","",IFERROR(INDEX('Stock pièces'!$B$5:$B$404,MATCH(D306,'Stock pièces'!$A$5:$A$404,0)),"Réf. inconnue"))</f>
        <v/>
      </c>
      <c r="F306" s="67" t="n">
        <v>2</v>
      </c>
      <c r="G306" s="81">
        <f>IF(D306="","",IFERROR(INDEX('Stock pièces'!$I$5:$I$404,MATCH(D306,'Stock pièces'!$A$5:$A$404,0)),0))</f>
        <v/>
      </c>
      <c r="H306" s="81">
        <f>IF(D306="","",N(F306)*N(G306))</f>
        <v/>
      </c>
      <c r="I306" s="7" t="n"/>
      <c r="J306" s="9">
        <f>IF(I306="","",IFERROR(INDEX('Ordres de travail'!$D$5:$D$3004,MATCH(I306,'Ordres de travail'!$A$5:$A$3004,0)),""))</f>
        <v/>
      </c>
      <c r="K306" s="9">
        <f>IF(D306="","",IFERROR(INDEX('Stock pièces'!$D$5:$D$404,MATCH(D306,'Stock pièces'!$A$5:$A$404,0)),""))</f>
        <v/>
      </c>
      <c r="L306" s="7" t="inlineStr">
        <is>
          <t>CMD-24085</t>
        </is>
      </c>
      <c r="M306" s="7" t="inlineStr">
        <is>
          <t>Réception commande réappro</t>
        </is>
      </c>
    </row>
    <row r="307">
      <c r="A307" s="7" t="inlineStr">
        <is>
          <t>MV-00303</t>
        </is>
      </c>
      <c r="B307" s="75" t="n">
        <v>45838.41666666666</v>
      </c>
      <c r="C307" s="7" t="inlineStr">
        <is>
          <t>Entrée</t>
        </is>
      </c>
      <c r="D307" s="7" t="inlineStr">
        <is>
          <t>PD-0021</t>
        </is>
      </c>
      <c r="E307" s="9">
        <f>IF(D307="","",IFERROR(INDEX('Stock pièces'!$B$5:$B$404,MATCH(D307,'Stock pièces'!$A$5:$A$404,0)),"Réf. inconnue"))</f>
        <v/>
      </c>
      <c r="F307" s="67" t="n">
        <v>4</v>
      </c>
      <c r="G307" s="81">
        <f>IF(D307="","",IFERROR(INDEX('Stock pièces'!$I$5:$I$404,MATCH(D307,'Stock pièces'!$A$5:$A$404,0)),0))</f>
        <v/>
      </c>
      <c r="H307" s="81">
        <f>IF(D307="","",N(F307)*N(G307))</f>
        <v/>
      </c>
      <c r="I307" s="7" t="n"/>
      <c r="J307" s="9">
        <f>IF(I307="","",IFERROR(INDEX('Ordres de travail'!$D$5:$D$3004,MATCH(I307,'Ordres de travail'!$A$5:$A$3004,0)),""))</f>
        <v/>
      </c>
      <c r="K307" s="9">
        <f>IF(D307="","",IFERROR(INDEX('Stock pièces'!$D$5:$D$404,MATCH(D307,'Stock pièces'!$A$5:$A$404,0)),""))</f>
        <v/>
      </c>
      <c r="L307" s="7" t="inlineStr">
        <is>
          <t>CMD-24086</t>
        </is>
      </c>
      <c r="M307" s="7" t="inlineStr">
        <is>
          <t>Réception commande réappro</t>
        </is>
      </c>
    </row>
    <row r="308">
      <c r="A308" s="7" t="inlineStr">
        <is>
          <t>MV-00304</t>
        </is>
      </c>
      <c r="B308" s="75" t="n">
        <v>45838.51458333333</v>
      </c>
      <c r="C308" s="7" t="inlineStr">
        <is>
          <t>Sortie</t>
        </is>
      </c>
      <c r="D308" s="7" t="inlineStr">
        <is>
          <t>PD-0045</t>
        </is>
      </c>
      <c r="E308" s="9">
        <f>IF(D308="","",IFERROR(INDEX('Stock pièces'!$B$5:$B$404,MATCH(D308,'Stock pièces'!$A$5:$A$404,0)),"Réf. inconnue"))</f>
        <v/>
      </c>
      <c r="F308" s="67" t="n">
        <v>1</v>
      </c>
      <c r="G308" s="81">
        <f>IF(D308="","",IFERROR(INDEX('Stock pièces'!$I$5:$I$404,MATCH(D308,'Stock pièces'!$A$5:$A$404,0)),0))</f>
        <v/>
      </c>
      <c r="H308" s="81">
        <f>IF(D308="","",N(F308)*N(G308))</f>
        <v/>
      </c>
      <c r="I308" s="7" t="inlineStr">
        <is>
          <t>OT-2025-0410</t>
        </is>
      </c>
      <c r="J308" s="9">
        <f>IF(I308="","",IFERROR(INDEX('Ordres de travail'!$D$5:$D$3004,MATCH(I308,'Ordres de travail'!$A$5:$A$3004,0)),""))</f>
        <v/>
      </c>
      <c r="K308" s="9">
        <f>IF(D308="","",IFERROR(INDEX('Stock pièces'!$D$5:$D$404,MATCH(D308,'Stock pièces'!$A$5:$A$404,0)),""))</f>
        <v/>
      </c>
      <c r="L308" s="7" t="n"/>
      <c r="M308" s="7" t="n"/>
    </row>
    <row r="309">
      <c r="A309" s="7" t="inlineStr">
        <is>
          <t>MV-00305</t>
        </is>
      </c>
      <c r="B309" s="75" t="n">
        <v>45839.41666666666</v>
      </c>
      <c r="C309" s="7" t="inlineStr">
        <is>
          <t>Entrée</t>
        </is>
      </c>
      <c r="D309" s="7" t="inlineStr">
        <is>
          <t>PD-0066</t>
        </is>
      </c>
      <c r="E309" s="9">
        <f>IF(D309="","",IFERROR(INDEX('Stock pièces'!$B$5:$B$404,MATCH(D309,'Stock pièces'!$A$5:$A$404,0)),"Réf. inconnue"))</f>
        <v/>
      </c>
      <c r="F309" s="67" t="n">
        <v>2</v>
      </c>
      <c r="G309" s="81">
        <f>IF(D309="","",IFERROR(INDEX('Stock pièces'!$I$5:$I$404,MATCH(D309,'Stock pièces'!$A$5:$A$404,0)),0))</f>
        <v/>
      </c>
      <c r="H309" s="81">
        <f>IF(D309="","",N(F309)*N(G309))</f>
        <v/>
      </c>
      <c r="I309" s="7" t="n"/>
      <c r="J309" s="9">
        <f>IF(I309="","",IFERROR(INDEX('Ordres de travail'!$D$5:$D$3004,MATCH(I309,'Ordres de travail'!$A$5:$A$3004,0)),""))</f>
        <v/>
      </c>
      <c r="K309" s="9">
        <f>IF(D309="","",IFERROR(INDEX('Stock pièces'!$D$5:$D$404,MATCH(D309,'Stock pièces'!$A$5:$A$404,0)),""))</f>
        <v/>
      </c>
      <c r="L309" s="7" t="inlineStr">
        <is>
          <t>CMD-24087</t>
        </is>
      </c>
      <c r="M309" s="7" t="inlineStr">
        <is>
          <t>Réception commande réappro</t>
        </is>
      </c>
    </row>
    <row r="310">
      <c r="A310" s="7" t="inlineStr">
        <is>
          <t>MV-00306</t>
        </is>
      </c>
      <c r="B310" s="75" t="n">
        <v>45840.41666666666</v>
      </c>
      <c r="C310" s="7" t="inlineStr">
        <is>
          <t>Entrée</t>
        </is>
      </c>
      <c r="D310" s="7" t="inlineStr">
        <is>
          <t>PD-0055</t>
        </is>
      </c>
      <c r="E310" s="9">
        <f>IF(D310="","",IFERROR(INDEX('Stock pièces'!$B$5:$B$404,MATCH(D310,'Stock pièces'!$A$5:$A$404,0)),"Réf. inconnue"))</f>
        <v/>
      </c>
      <c r="F310" s="67" t="n">
        <v>7</v>
      </c>
      <c r="G310" s="81">
        <f>IF(D310="","",IFERROR(INDEX('Stock pièces'!$I$5:$I$404,MATCH(D310,'Stock pièces'!$A$5:$A$404,0)),0))</f>
        <v/>
      </c>
      <c r="H310" s="81">
        <f>IF(D310="","",N(F310)*N(G310))</f>
        <v/>
      </c>
      <c r="I310" s="7" t="n"/>
      <c r="J310" s="9">
        <f>IF(I310="","",IFERROR(INDEX('Ordres de travail'!$D$5:$D$3004,MATCH(I310,'Ordres de travail'!$A$5:$A$3004,0)),""))</f>
        <v/>
      </c>
      <c r="K310" s="9">
        <f>IF(D310="","",IFERROR(INDEX('Stock pièces'!$D$5:$D$404,MATCH(D310,'Stock pièces'!$A$5:$A$404,0)),""))</f>
        <v/>
      </c>
      <c r="L310" s="7" t="inlineStr">
        <is>
          <t>CMD-24088</t>
        </is>
      </c>
      <c r="M310" s="7" t="inlineStr">
        <is>
          <t>Réception commande réappro</t>
        </is>
      </c>
    </row>
    <row r="311">
      <c r="A311" s="7" t="inlineStr">
        <is>
          <t>MV-00307</t>
        </is>
      </c>
      <c r="B311" s="75" t="n">
        <v>45840.41666666666</v>
      </c>
      <c r="C311" s="7" t="inlineStr">
        <is>
          <t>Sortie</t>
        </is>
      </c>
      <c r="D311" s="7" t="inlineStr">
        <is>
          <t>PD-0027</t>
        </is>
      </c>
      <c r="E311" s="9">
        <f>IF(D311="","",IFERROR(INDEX('Stock pièces'!$B$5:$B$404,MATCH(D311,'Stock pièces'!$A$5:$A$404,0)),"Réf. inconnue"))</f>
        <v/>
      </c>
      <c r="F311" s="67" t="n">
        <v>1</v>
      </c>
      <c r="G311" s="81">
        <f>IF(D311="","",IFERROR(INDEX('Stock pièces'!$I$5:$I$404,MATCH(D311,'Stock pièces'!$A$5:$A$404,0)),0))</f>
        <v/>
      </c>
      <c r="H311" s="81">
        <f>IF(D311="","",N(F311)*N(G311))</f>
        <v/>
      </c>
      <c r="I311" s="7" t="inlineStr">
        <is>
          <t>OT-2025-0397</t>
        </is>
      </c>
      <c r="J311" s="9">
        <f>IF(I311="","",IFERROR(INDEX('Ordres de travail'!$D$5:$D$3004,MATCH(I311,'Ordres de travail'!$A$5:$A$3004,0)),""))</f>
        <v/>
      </c>
      <c r="K311" s="9">
        <f>IF(D311="","",IFERROR(INDEX('Stock pièces'!$D$5:$D$404,MATCH(D311,'Stock pièces'!$A$5:$A$404,0)),""))</f>
        <v/>
      </c>
      <c r="L311" s="7" t="n"/>
      <c r="M311" s="7" t="n"/>
    </row>
    <row r="312">
      <c r="A312" s="7" t="inlineStr">
        <is>
          <t>MV-00308</t>
        </is>
      </c>
      <c r="B312" s="75" t="n">
        <v>45841.54166666666</v>
      </c>
      <c r="C312" s="7" t="inlineStr">
        <is>
          <t>Sortie</t>
        </is>
      </c>
      <c r="D312" s="7" t="inlineStr">
        <is>
          <t>PD-0025</t>
        </is>
      </c>
      <c r="E312" s="9">
        <f>IF(D312="","",IFERROR(INDEX('Stock pièces'!$B$5:$B$404,MATCH(D312,'Stock pièces'!$A$5:$A$404,0)),"Réf. inconnue"))</f>
        <v/>
      </c>
      <c r="F312" s="67" t="n">
        <v>2</v>
      </c>
      <c r="G312" s="81">
        <f>IF(D312="","",IFERROR(INDEX('Stock pièces'!$I$5:$I$404,MATCH(D312,'Stock pièces'!$A$5:$A$404,0)),0))</f>
        <v/>
      </c>
      <c r="H312" s="81">
        <f>IF(D312="","",N(F312)*N(G312))</f>
        <v/>
      </c>
      <c r="I312" s="7" t="inlineStr">
        <is>
          <t>OT-2025-0399</t>
        </is>
      </c>
      <c r="J312" s="9">
        <f>IF(I312="","",IFERROR(INDEX('Ordres de travail'!$D$5:$D$3004,MATCH(I312,'Ordres de travail'!$A$5:$A$3004,0)),""))</f>
        <v/>
      </c>
      <c r="K312" s="9">
        <f>IF(D312="","",IFERROR(INDEX('Stock pièces'!$D$5:$D$404,MATCH(D312,'Stock pièces'!$A$5:$A$404,0)),""))</f>
        <v/>
      </c>
      <c r="L312" s="7" t="n"/>
      <c r="M312" s="7" t="n"/>
    </row>
    <row r="313">
      <c r="A313" s="7" t="inlineStr">
        <is>
          <t>MV-00309</t>
        </is>
      </c>
      <c r="B313" s="75" t="n">
        <v>45844.22847222222</v>
      </c>
      <c r="C313" s="7" t="inlineStr">
        <is>
          <t>Sortie</t>
        </is>
      </c>
      <c r="D313" s="7" t="inlineStr">
        <is>
          <t>PD-0045</t>
        </is>
      </c>
      <c r="E313" s="9">
        <f>IF(D313="","",IFERROR(INDEX('Stock pièces'!$B$5:$B$404,MATCH(D313,'Stock pièces'!$A$5:$A$404,0)),"Réf. inconnue"))</f>
        <v/>
      </c>
      <c r="F313" s="67" t="n">
        <v>2</v>
      </c>
      <c r="G313" s="81">
        <f>IF(D313="","",IFERROR(INDEX('Stock pièces'!$I$5:$I$404,MATCH(D313,'Stock pièces'!$A$5:$A$404,0)),0))</f>
        <v/>
      </c>
      <c r="H313" s="81">
        <f>IF(D313="","",N(F313)*N(G313))</f>
        <v/>
      </c>
      <c r="I313" s="7" t="inlineStr">
        <is>
          <t>OT-2025-0416</t>
        </is>
      </c>
      <c r="J313" s="9">
        <f>IF(I313="","",IFERROR(INDEX('Ordres de travail'!$D$5:$D$3004,MATCH(I313,'Ordres de travail'!$A$5:$A$3004,0)),""))</f>
        <v/>
      </c>
      <c r="K313" s="9">
        <f>IF(D313="","",IFERROR(INDEX('Stock pièces'!$D$5:$D$404,MATCH(D313,'Stock pièces'!$A$5:$A$404,0)),""))</f>
        <v/>
      </c>
      <c r="L313" s="7" t="n"/>
      <c r="M313" s="7" t="n"/>
    </row>
    <row r="314">
      <c r="A314" s="7" t="inlineStr">
        <is>
          <t>MV-00310</t>
        </is>
      </c>
      <c r="B314" s="75" t="n">
        <v>45845.41666666666</v>
      </c>
      <c r="C314" s="7" t="inlineStr">
        <is>
          <t>Entrée</t>
        </is>
      </c>
      <c r="D314" s="7" t="inlineStr">
        <is>
          <t>PD-0045</t>
        </is>
      </c>
      <c r="E314" s="9">
        <f>IF(D314="","",IFERROR(INDEX('Stock pièces'!$B$5:$B$404,MATCH(D314,'Stock pièces'!$A$5:$A$404,0)),"Réf. inconnue"))</f>
        <v/>
      </c>
      <c r="F314" s="67" t="n">
        <v>2</v>
      </c>
      <c r="G314" s="81">
        <f>IF(D314="","",IFERROR(INDEX('Stock pièces'!$I$5:$I$404,MATCH(D314,'Stock pièces'!$A$5:$A$404,0)),0))</f>
        <v/>
      </c>
      <c r="H314" s="81">
        <f>IF(D314="","",N(F314)*N(G314))</f>
        <v/>
      </c>
      <c r="I314" s="7" t="n"/>
      <c r="J314" s="9">
        <f>IF(I314="","",IFERROR(INDEX('Ordres de travail'!$D$5:$D$3004,MATCH(I314,'Ordres de travail'!$A$5:$A$3004,0)),""))</f>
        <v/>
      </c>
      <c r="K314" s="9">
        <f>IF(D314="","",IFERROR(INDEX('Stock pièces'!$D$5:$D$404,MATCH(D314,'Stock pièces'!$A$5:$A$404,0)),""))</f>
        <v/>
      </c>
      <c r="L314" s="7" t="inlineStr">
        <is>
          <t>CMD-24089</t>
        </is>
      </c>
      <c r="M314" s="7" t="inlineStr">
        <is>
          <t>Réception commande réappro</t>
        </is>
      </c>
    </row>
    <row r="315">
      <c r="A315" s="7" t="inlineStr">
        <is>
          <t>MV-00311</t>
        </is>
      </c>
      <c r="B315" s="75" t="n">
        <v>45845.45138888889</v>
      </c>
      <c r="C315" s="7" t="inlineStr">
        <is>
          <t>Sortie</t>
        </is>
      </c>
      <c r="D315" s="7" t="inlineStr">
        <is>
          <t>PD-0025</t>
        </is>
      </c>
      <c r="E315" s="9">
        <f>IF(D315="","",IFERROR(INDEX('Stock pièces'!$B$5:$B$404,MATCH(D315,'Stock pièces'!$A$5:$A$404,0)),"Réf. inconnue"))</f>
        <v/>
      </c>
      <c r="F315" s="67" t="n">
        <v>3</v>
      </c>
      <c r="G315" s="81">
        <f>IF(D315="","",IFERROR(INDEX('Stock pièces'!$I$5:$I$404,MATCH(D315,'Stock pièces'!$A$5:$A$404,0)),0))</f>
        <v/>
      </c>
      <c r="H315" s="81">
        <f>IF(D315="","",N(F315)*N(G315))</f>
        <v/>
      </c>
      <c r="I315" s="7" t="inlineStr">
        <is>
          <t>OT-2025-0409</t>
        </is>
      </c>
      <c r="J315" s="9">
        <f>IF(I315="","",IFERROR(INDEX('Ordres de travail'!$D$5:$D$3004,MATCH(I315,'Ordres de travail'!$A$5:$A$3004,0)),""))</f>
        <v/>
      </c>
      <c r="K315" s="9">
        <f>IF(D315="","",IFERROR(INDEX('Stock pièces'!$D$5:$D$404,MATCH(D315,'Stock pièces'!$A$5:$A$404,0)),""))</f>
        <v/>
      </c>
      <c r="L315" s="7" t="n"/>
      <c r="M315" s="7" t="n"/>
    </row>
    <row r="316">
      <c r="A316" s="7" t="inlineStr">
        <is>
          <t>MV-00312</t>
        </is>
      </c>
      <c r="B316" s="75" t="n">
        <v>45845.625</v>
      </c>
      <c r="C316" s="7" t="inlineStr">
        <is>
          <t>Sortie</t>
        </is>
      </c>
      <c r="D316" s="7" t="inlineStr">
        <is>
          <t>PD-0025</t>
        </is>
      </c>
      <c r="E316" s="9">
        <f>IF(D316="","",IFERROR(INDEX('Stock pièces'!$B$5:$B$404,MATCH(D316,'Stock pièces'!$A$5:$A$404,0)),"Réf. inconnue"))</f>
        <v/>
      </c>
      <c r="F316" s="67" t="n">
        <v>1</v>
      </c>
      <c r="G316" s="81">
        <f>IF(D316="","",IFERROR(INDEX('Stock pièces'!$I$5:$I$404,MATCH(D316,'Stock pièces'!$A$5:$A$404,0)),0))</f>
        <v/>
      </c>
      <c r="H316" s="81">
        <f>IF(D316="","",N(F316)*N(G316))</f>
        <v/>
      </c>
      <c r="I316" s="7" t="inlineStr">
        <is>
          <t>OT-2025-0408</t>
        </is>
      </c>
      <c r="J316" s="9">
        <f>IF(I316="","",IFERROR(INDEX('Ordres de travail'!$D$5:$D$3004,MATCH(I316,'Ordres de travail'!$A$5:$A$3004,0)),""))</f>
        <v/>
      </c>
      <c r="K316" s="9">
        <f>IF(D316="","",IFERROR(INDEX('Stock pièces'!$D$5:$D$404,MATCH(D316,'Stock pièces'!$A$5:$A$404,0)),""))</f>
        <v/>
      </c>
      <c r="L316" s="7" t="n"/>
      <c r="M316" s="7" t="n"/>
    </row>
    <row r="317">
      <c r="A317" s="7" t="inlineStr">
        <is>
          <t>MV-00313</t>
        </is>
      </c>
      <c r="B317" s="75" t="n">
        <v>45845.74722222222</v>
      </c>
      <c r="C317" s="7" t="inlineStr">
        <is>
          <t>Sortie</t>
        </is>
      </c>
      <c r="D317" s="7" t="inlineStr">
        <is>
          <t>PD-0068</t>
        </is>
      </c>
      <c r="E317" s="9">
        <f>IF(D317="","",IFERROR(INDEX('Stock pièces'!$B$5:$B$404,MATCH(D317,'Stock pièces'!$A$5:$A$404,0)),"Réf. inconnue"))</f>
        <v/>
      </c>
      <c r="F317" s="67" t="n">
        <v>1</v>
      </c>
      <c r="G317" s="81">
        <f>IF(D317="","",IFERROR(INDEX('Stock pièces'!$I$5:$I$404,MATCH(D317,'Stock pièces'!$A$5:$A$404,0)),0))</f>
        <v/>
      </c>
      <c r="H317" s="81">
        <f>IF(D317="","",N(F317)*N(G317))</f>
        <v/>
      </c>
      <c r="I317" s="7" t="inlineStr">
        <is>
          <t>OT-2025-0422</t>
        </is>
      </c>
      <c r="J317" s="9">
        <f>IF(I317="","",IFERROR(INDEX('Ordres de travail'!$D$5:$D$3004,MATCH(I317,'Ordres de travail'!$A$5:$A$3004,0)),""))</f>
        <v/>
      </c>
      <c r="K317" s="9">
        <f>IF(D317="","",IFERROR(INDEX('Stock pièces'!$D$5:$D$404,MATCH(D317,'Stock pièces'!$A$5:$A$404,0)),""))</f>
        <v/>
      </c>
      <c r="L317" s="7" t="n"/>
      <c r="M317" s="7" t="n"/>
    </row>
    <row r="318">
      <c r="A318" s="7" t="inlineStr">
        <is>
          <t>MV-00314</t>
        </is>
      </c>
      <c r="B318" s="75" t="n">
        <v>45846.05277777778</v>
      </c>
      <c r="C318" s="7" t="inlineStr">
        <is>
          <t>Entrée</t>
        </is>
      </c>
      <c r="D318" s="7" t="inlineStr">
        <is>
          <t>PD-0045</t>
        </is>
      </c>
      <c r="E318" s="9">
        <f>IF(D318="","",IFERROR(INDEX('Stock pièces'!$B$5:$B$404,MATCH(D318,'Stock pièces'!$A$5:$A$404,0)),"Réf. inconnue"))</f>
        <v/>
      </c>
      <c r="F318" s="67" t="n">
        <v>2</v>
      </c>
      <c r="G318" s="81">
        <f>IF(D318="","",IFERROR(INDEX('Stock pièces'!$I$5:$I$404,MATCH(D318,'Stock pièces'!$A$5:$A$404,0)),0))</f>
        <v/>
      </c>
      <c r="H318" s="81">
        <f>IF(D318="","",N(F318)*N(G318))</f>
        <v/>
      </c>
      <c r="I318" s="7" t="n"/>
      <c r="J318" s="9">
        <f>IF(I318="","",IFERROR(INDEX('Ordres de travail'!$D$5:$D$3004,MATCH(I318,'Ordres de travail'!$A$5:$A$3004,0)),""))</f>
        <v/>
      </c>
      <c r="K318" s="9">
        <f>IF(D318="","",IFERROR(INDEX('Stock pièces'!$D$5:$D$404,MATCH(D318,'Stock pièces'!$A$5:$A$404,0)),""))</f>
        <v/>
      </c>
      <c r="L318" s="7" t="inlineStr">
        <is>
          <t>URG-24091</t>
        </is>
      </c>
      <c r="M318" s="7" t="inlineStr">
        <is>
          <t>Achat urgent (rupture)</t>
        </is>
      </c>
    </row>
    <row r="319">
      <c r="A319" s="7" t="inlineStr">
        <is>
          <t>MV-00315</t>
        </is>
      </c>
      <c r="B319" s="75" t="n">
        <v>45846.05625</v>
      </c>
      <c r="C319" s="7" t="inlineStr">
        <is>
          <t>Sortie</t>
        </is>
      </c>
      <c r="D319" s="7" t="inlineStr">
        <is>
          <t>PD-0045</t>
        </is>
      </c>
      <c r="E319" s="9">
        <f>IF(D319="","",IFERROR(INDEX('Stock pièces'!$B$5:$B$404,MATCH(D319,'Stock pièces'!$A$5:$A$404,0)),"Réf. inconnue"))</f>
        <v/>
      </c>
      <c r="F319" s="67" t="n">
        <v>3</v>
      </c>
      <c r="G319" s="81">
        <f>IF(D319="","",IFERROR(INDEX('Stock pièces'!$I$5:$I$404,MATCH(D319,'Stock pièces'!$A$5:$A$404,0)),0))</f>
        <v/>
      </c>
      <c r="H319" s="81">
        <f>IF(D319="","",N(F319)*N(G319))</f>
        <v/>
      </c>
      <c r="I319" s="7" t="inlineStr">
        <is>
          <t>OT-2025-0423</t>
        </is>
      </c>
      <c r="J319" s="9">
        <f>IF(I319="","",IFERROR(INDEX('Ordres de travail'!$D$5:$D$3004,MATCH(I319,'Ordres de travail'!$A$5:$A$3004,0)),""))</f>
        <v/>
      </c>
      <c r="K319" s="9">
        <f>IF(D319="","",IFERROR(INDEX('Stock pièces'!$D$5:$D$404,MATCH(D319,'Stock pièces'!$A$5:$A$404,0)),""))</f>
        <v/>
      </c>
      <c r="L319" s="7" t="n"/>
      <c r="M319" s="7" t="n"/>
    </row>
    <row r="320">
      <c r="A320" s="7" t="inlineStr">
        <is>
          <t>MV-00316</t>
        </is>
      </c>
      <c r="B320" s="75" t="n">
        <v>45846.06944444445</v>
      </c>
      <c r="C320" s="7" t="inlineStr">
        <is>
          <t>Sortie</t>
        </is>
      </c>
      <c r="D320" s="7" t="inlineStr">
        <is>
          <t>PD-0056</t>
        </is>
      </c>
      <c r="E320" s="9">
        <f>IF(D320="","",IFERROR(INDEX('Stock pièces'!$B$5:$B$404,MATCH(D320,'Stock pièces'!$A$5:$A$404,0)),"Réf. inconnue"))</f>
        <v/>
      </c>
      <c r="F320" s="67" t="n">
        <v>1</v>
      </c>
      <c r="G320" s="81">
        <f>IF(D320="","",IFERROR(INDEX('Stock pièces'!$I$5:$I$404,MATCH(D320,'Stock pièces'!$A$5:$A$404,0)),0))</f>
        <v/>
      </c>
      <c r="H320" s="81">
        <f>IF(D320="","",N(F320)*N(G320))</f>
        <v/>
      </c>
      <c r="I320" s="7" t="inlineStr">
        <is>
          <t>OT-2025-0424</t>
        </is>
      </c>
      <c r="J320" s="9">
        <f>IF(I320="","",IFERROR(INDEX('Ordres de travail'!$D$5:$D$3004,MATCH(I320,'Ordres de travail'!$A$5:$A$3004,0)),""))</f>
        <v/>
      </c>
      <c r="K320" s="9">
        <f>IF(D320="","",IFERROR(INDEX('Stock pièces'!$D$5:$D$404,MATCH(D320,'Stock pièces'!$A$5:$A$404,0)),""))</f>
        <v/>
      </c>
      <c r="L320" s="7" t="n"/>
      <c r="M320" s="7" t="n"/>
    </row>
    <row r="321">
      <c r="A321" s="7" t="inlineStr">
        <is>
          <t>MV-00317</t>
        </is>
      </c>
      <c r="B321" s="75" t="n">
        <v>45846.06944444445</v>
      </c>
      <c r="C321" s="7" t="inlineStr">
        <is>
          <t>Sortie</t>
        </is>
      </c>
      <c r="D321" s="7" t="inlineStr">
        <is>
          <t>PD-0057</t>
        </is>
      </c>
      <c r="E321" s="9">
        <f>IF(D321="","",IFERROR(INDEX('Stock pièces'!$B$5:$B$404,MATCH(D321,'Stock pièces'!$A$5:$A$404,0)),"Réf. inconnue"))</f>
        <v/>
      </c>
      <c r="F321" s="67" t="n">
        <v>1</v>
      </c>
      <c r="G321" s="81">
        <f>IF(D321="","",IFERROR(INDEX('Stock pièces'!$I$5:$I$404,MATCH(D321,'Stock pièces'!$A$5:$A$404,0)),0))</f>
        <v/>
      </c>
      <c r="H321" s="81">
        <f>IF(D321="","",N(F321)*N(G321))</f>
        <v/>
      </c>
      <c r="I321" s="7" t="inlineStr">
        <is>
          <t>OT-2025-0424</t>
        </is>
      </c>
      <c r="J321" s="9">
        <f>IF(I321="","",IFERROR(INDEX('Ordres de travail'!$D$5:$D$3004,MATCH(I321,'Ordres de travail'!$A$5:$A$3004,0)),""))</f>
        <v/>
      </c>
      <c r="K321" s="9">
        <f>IF(D321="","",IFERROR(INDEX('Stock pièces'!$D$5:$D$404,MATCH(D321,'Stock pièces'!$A$5:$A$404,0)),""))</f>
        <v/>
      </c>
      <c r="L321" s="7" t="n"/>
      <c r="M321" s="7" t="n"/>
    </row>
    <row r="322">
      <c r="A322" s="7" t="inlineStr">
        <is>
          <t>MV-00318</t>
        </is>
      </c>
      <c r="B322" s="75" t="n">
        <v>45846.29861111111</v>
      </c>
      <c r="C322" s="7" t="inlineStr">
        <is>
          <t>Sortie</t>
        </is>
      </c>
      <c r="D322" s="7" t="inlineStr">
        <is>
          <t>PD-0062</t>
        </is>
      </c>
      <c r="E322" s="9">
        <f>IF(D322="","",IFERROR(INDEX('Stock pièces'!$B$5:$B$404,MATCH(D322,'Stock pièces'!$A$5:$A$404,0)),"Réf. inconnue"))</f>
        <v/>
      </c>
      <c r="F322" s="67" t="n">
        <v>1</v>
      </c>
      <c r="G322" s="81">
        <f>IF(D322="","",IFERROR(INDEX('Stock pièces'!$I$5:$I$404,MATCH(D322,'Stock pièces'!$A$5:$A$404,0)),0))</f>
        <v/>
      </c>
      <c r="H322" s="81">
        <f>IF(D322="","",N(F322)*N(G322))</f>
        <v/>
      </c>
      <c r="I322" s="7" t="inlineStr">
        <is>
          <t>OT-2025-0412</t>
        </is>
      </c>
      <c r="J322" s="9">
        <f>IF(I322="","",IFERROR(INDEX('Ordres de travail'!$D$5:$D$3004,MATCH(I322,'Ordres de travail'!$A$5:$A$3004,0)),""))</f>
        <v/>
      </c>
      <c r="K322" s="9">
        <f>IF(D322="","",IFERROR(INDEX('Stock pièces'!$D$5:$D$404,MATCH(D322,'Stock pièces'!$A$5:$A$404,0)),""))</f>
        <v/>
      </c>
      <c r="L322" s="7" t="n"/>
      <c r="M322" s="7" t="n"/>
    </row>
    <row r="323">
      <c r="A323" s="7" t="inlineStr">
        <is>
          <t>MV-00319</t>
        </is>
      </c>
      <c r="B323" s="75" t="n">
        <v>45848.38888888889</v>
      </c>
      <c r="C323" s="7" t="inlineStr">
        <is>
          <t>Sortie</t>
        </is>
      </c>
      <c r="D323" s="7" t="inlineStr">
        <is>
          <t>PD-0012</t>
        </is>
      </c>
      <c r="E323" s="9">
        <f>IF(D323="","",IFERROR(INDEX('Stock pièces'!$B$5:$B$404,MATCH(D323,'Stock pièces'!$A$5:$A$404,0)),"Réf. inconnue"))</f>
        <v/>
      </c>
      <c r="F323" s="67" t="n">
        <v>1</v>
      </c>
      <c r="G323" s="81">
        <f>IF(D323="","",IFERROR(INDEX('Stock pièces'!$I$5:$I$404,MATCH(D323,'Stock pièces'!$A$5:$A$404,0)),0))</f>
        <v/>
      </c>
      <c r="H323" s="81">
        <f>IF(D323="","",N(F323)*N(G323))</f>
        <v/>
      </c>
      <c r="I323" s="7" t="inlineStr">
        <is>
          <t>OT-2025-0414</t>
        </is>
      </c>
      <c r="J323" s="9">
        <f>IF(I323="","",IFERROR(INDEX('Ordres de travail'!$D$5:$D$3004,MATCH(I323,'Ordres de travail'!$A$5:$A$3004,0)),""))</f>
        <v/>
      </c>
      <c r="K323" s="9">
        <f>IF(D323="","",IFERROR(INDEX('Stock pièces'!$D$5:$D$404,MATCH(D323,'Stock pièces'!$A$5:$A$404,0)),""))</f>
        <v/>
      </c>
      <c r="L323" s="7" t="n"/>
      <c r="M323" s="7" t="n"/>
    </row>
    <row r="324">
      <c r="A324" s="7" t="inlineStr">
        <is>
          <t>MV-00320</t>
        </is>
      </c>
      <c r="B324" s="75" t="n">
        <v>45848.38888888889</v>
      </c>
      <c r="C324" s="7" t="inlineStr">
        <is>
          <t>Sortie</t>
        </is>
      </c>
      <c r="D324" s="7" t="inlineStr">
        <is>
          <t>PD-0013</t>
        </is>
      </c>
      <c r="E324" s="9">
        <f>IF(D324="","",IFERROR(INDEX('Stock pièces'!$B$5:$B$404,MATCH(D324,'Stock pièces'!$A$5:$A$404,0)),"Réf. inconnue"))</f>
        <v/>
      </c>
      <c r="F324" s="67" t="n">
        <v>1</v>
      </c>
      <c r="G324" s="81">
        <f>IF(D324="","",IFERROR(INDEX('Stock pièces'!$I$5:$I$404,MATCH(D324,'Stock pièces'!$A$5:$A$404,0)),0))</f>
        <v/>
      </c>
      <c r="H324" s="81">
        <f>IF(D324="","",N(F324)*N(G324))</f>
        <v/>
      </c>
      <c r="I324" s="7" t="inlineStr">
        <is>
          <t>OT-2025-0414</t>
        </is>
      </c>
      <c r="J324" s="9">
        <f>IF(I324="","",IFERROR(INDEX('Ordres de travail'!$D$5:$D$3004,MATCH(I324,'Ordres de travail'!$A$5:$A$3004,0)),""))</f>
        <v/>
      </c>
      <c r="K324" s="9">
        <f>IF(D324="","",IFERROR(INDEX('Stock pièces'!$D$5:$D$404,MATCH(D324,'Stock pièces'!$A$5:$A$404,0)),""))</f>
        <v/>
      </c>
      <c r="L324" s="7" t="n"/>
      <c r="M324" s="7" t="n"/>
    </row>
    <row r="325">
      <c r="A325" s="7" t="inlineStr">
        <is>
          <t>MV-00321</t>
        </is>
      </c>
      <c r="B325" s="75" t="n">
        <v>45848.38888888889</v>
      </c>
      <c r="C325" s="7" t="inlineStr">
        <is>
          <t>Sortie</t>
        </is>
      </c>
      <c r="D325" s="7" t="inlineStr">
        <is>
          <t>PD-0024</t>
        </is>
      </c>
      <c r="E325" s="9">
        <f>IF(D325="","",IFERROR(INDEX('Stock pièces'!$B$5:$B$404,MATCH(D325,'Stock pièces'!$A$5:$A$404,0)),"Réf. inconnue"))</f>
        <v/>
      </c>
      <c r="F325" s="67" t="n">
        <v>1</v>
      </c>
      <c r="G325" s="81">
        <f>IF(D325="","",IFERROR(INDEX('Stock pièces'!$I$5:$I$404,MATCH(D325,'Stock pièces'!$A$5:$A$404,0)),0))</f>
        <v/>
      </c>
      <c r="H325" s="81">
        <f>IF(D325="","",N(F325)*N(G325))</f>
        <v/>
      </c>
      <c r="I325" s="7" t="inlineStr">
        <is>
          <t>OT-2025-0414</t>
        </is>
      </c>
      <c r="J325" s="9">
        <f>IF(I325="","",IFERROR(INDEX('Ordres de travail'!$D$5:$D$3004,MATCH(I325,'Ordres de travail'!$A$5:$A$3004,0)),""))</f>
        <v/>
      </c>
      <c r="K325" s="9">
        <f>IF(D325="","",IFERROR(INDEX('Stock pièces'!$D$5:$D$404,MATCH(D325,'Stock pièces'!$A$5:$A$404,0)),""))</f>
        <v/>
      </c>
      <c r="L325" s="7" t="n"/>
      <c r="M325" s="7" t="n"/>
    </row>
    <row r="326">
      <c r="A326" s="7" t="inlineStr">
        <is>
          <t>MV-00322</t>
        </is>
      </c>
      <c r="B326" s="75" t="n">
        <v>45849.41666666666</v>
      </c>
      <c r="C326" s="7" t="inlineStr">
        <is>
          <t>Entrée</t>
        </is>
      </c>
      <c r="D326" s="7" t="inlineStr">
        <is>
          <t>PD-0062</t>
        </is>
      </c>
      <c r="E326" s="9">
        <f>IF(D326="","",IFERROR(INDEX('Stock pièces'!$B$5:$B$404,MATCH(D326,'Stock pièces'!$A$5:$A$404,0)),"Réf. inconnue"))</f>
        <v/>
      </c>
      <c r="F326" s="67" t="n">
        <v>15</v>
      </c>
      <c r="G326" s="81">
        <f>IF(D326="","",IFERROR(INDEX('Stock pièces'!$I$5:$I$404,MATCH(D326,'Stock pièces'!$A$5:$A$404,0)),0))</f>
        <v/>
      </c>
      <c r="H326" s="81">
        <f>IF(D326="","",N(F326)*N(G326))</f>
        <v/>
      </c>
      <c r="I326" s="7" t="n"/>
      <c r="J326" s="9">
        <f>IF(I326="","",IFERROR(INDEX('Ordres de travail'!$D$5:$D$3004,MATCH(I326,'Ordres de travail'!$A$5:$A$3004,0)),""))</f>
        <v/>
      </c>
      <c r="K326" s="9">
        <f>IF(D326="","",IFERROR(INDEX('Stock pièces'!$D$5:$D$404,MATCH(D326,'Stock pièces'!$A$5:$A$404,0)),""))</f>
        <v/>
      </c>
      <c r="L326" s="7" t="inlineStr">
        <is>
          <t>CMD-24095</t>
        </is>
      </c>
      <c r="M326" s="7" t="inlineStr">
        <is>
          <t>Réception commande réappro</t>
        </is>
      </c>
    </row>
    <row r="327">
      <c r="A327" s="7" t="inlineStr">
        <is>
          <t>MV-00323</t>
        </is>
      </c>
      <c r="B327" s="75" t="n">
        <v>45852.27777777778</v>
      </c>
      <c r="C327" s="7" t="inlineStr">
        <is>
          <t>Sortie</t>
        </is>
      </c>
      <c r="D327" s="7" t="inlineStr">
        <is>
          <t>PD-0062</t>
        </is>
      </c>
      <c r="E327" s="9">
        <f>IF(D327="","",IFERROR(INDEX('Stock pièces'!$B$5:$B$404,MATCH(D327,'Stock pièces'!$A$5:$A$404,0)),"Réf. inconnue"))</f>
        <v/>
      </c>
      <c r="F327" s="67" t="n">
        <v>1</v>
      </c>
      <c r="G327" s="81">
        <f>IF(D327="","",IFERROR(INDEX('Stock pièces'!$I$5:$I$404,MATCH(D327,'Stock pièces'!$A$5:$A$404,0)),0))</f>
        <v/>
      </c>
      <c r="H327" s="81">
        <f>IF(D327="","",N(F327)*N(G327))</f>
        <v/>
      </c>
      <c r="I327" s="7" t="inlineStr">
        <is>
          <t>OT-2025-0417</t>
        </is>
      </c>
      <c r="J327" s="9">
        <f>IF(I327="","",IFERROR(INDEX('Ordres de travail'!$D$5:$D$3004,MATCH(I327,'Ordres de travail'!$A$5:$A$3004,0)),""))</f>
        <v/>
      </c>
      <c r="K327" s="9">
        <f>IF(D327="","",IFERROR(INDEX('Stock pièces'!$D$5:$D$404,MATCH(D327,'Stock pièces'!$A$5:$A$404,0)),""))</f>
        <v/>
      </c>
      <c r="L327" s="7" t="n"/>
      <c r="M327" s="7" t="n"/>
    </row>
    <row r="328">
      <c r="A328" s="7" t="inlineStr">
        <is>
          <t>MV-00324</t>
        </is>
      </c>
      <c r="B328" s="75" t="n">
        <v>45852.52083333334</v>
      </c>
      <c r="C328" s="7" t="inlineStr">
        <is>
          <t>Sortie</t>
        </is>
      </c>
      <c r="D328" s="7" t="inlineStr">
        <is>
          <t>PD-0021</t>
        </is>
      </c>
      <c r="E328" s="9">
        <f>IF(D328="","",IFERROR(INDEX('Stock pièces'!$B$5:$B$404,MATCH(D328,'Stock pièces'!$A$5:$A$404,0)),"Réf. inconnue"))</f>
        <v/>
      </c>
      <c r="F328" s="67" t="n">
        <v>1</v>
      </c>
      <c r="G328" s="81">
        <f>IF(D328="","",IFERROR(INDEX('Stock pièces'!$I$5:$I$404,MATCH(D328,'Stock pièces'!$A$5:$A$404,0)),0))</f>
        <v/>
      </c>
      <c r="H328" s="81">
        <f>IF(D328="","",N(F328)*N(G328))</f>
        <v/>
      </c>
      <c r="I328" s="7" t="inlineStr">
        <is>
          <t>OT-2025-0420</t>
        </is>
      </c>
      <c r="J328" s="9">
        <f>IF(I328="","",IFERROR(INDEX('Ordres de travail'!$D$5:$D$3004,MATCH(I328,'Ordres de travail'!$A$5:$A$3004,0)),""))</f>
        <v/>
      </c>
      <c r="K328" s="9">
        <f>IF(D328="","",IFERROR(INDEX('Stock pièces'!$D$5:$D$404,MATCH(D328,'Stock pièces'!$A$5:$A$404,0)),""))</f>
        <v/>
      </c>
      <c r="L328" s="7" t="n"/>
      <c r="M328" s="7" t="n"/>
    </row>
    <row r="329">
      <c r="A329" s="7" t="inlineStr">
        <is>
          <t>MV-00325</t>
        </is>
      </c>
      <c r="B329" s="75" t="n">
        <v>45853.5625</v>
      </c>
      <c r="C329" s="7" t="inlineStr">
        <is>
          <t>Sortie</t>
        </is>
      </c>
      <c r="D329" s="7" t="inlineStr">
        <is>
          <t>PD-0019</t>
        </is>
      </c>
      <c r="E329" s="9">
        <f>IF(D329="","",IFERROR(INDEX('Stock pièces'!$B$5:$B$404,MATCH(D329,'Stock pièces'!$A$5:$A$404,0)),"Réf. inconnue"))</f>
        <v/>
      </c>
      <c r="F329" s="67" t="n">
        <v>3</v>
      </c>
      <c r="G329" s="81">
        <f>IF(D329="","",IFERROR(INDEX('Stock pièces'!$I$5:$I$404,MATCH(D329,'Stock pièces'!$A$5:$A$404,0)),0))</f>
        <v/>
      </c>
      <c r="H329" s="81">
        <f>IF(D329="","",N(F329)*N(G329))</f>
        <v/>
      </c>
      <c r="I329" s="7" t="inlineStr">
        <is>
          <t>OT-2025-0425</t>
        </is>
      </c>
      <c r="J329" s="9">
        <f>IF(I329="","",IFERROR(INDEX('Ordres de travail'!$D$5:$D$3004,MATCH(I329,'Ordres de travail'!$A$5:$A$3004,0)),""))</f>
        <v/>
      </c>
      <c r="K329" s="9">
        <f>IF(D329="","",IFERROR(INDEX('Stock pièces'!$D$5:$D$404,MATCH(D329,'Stock pièces'!$A$5:$A$404,0)),""))</f>
        <v/>
      </c>
      <c r="L329" s="7" t="n"/>
      <c r="M329" s="7" t="n"/>
    </row>
    <row r="330">
      <c r="A330" s="7" t="inlineStr">
        <is>
          <t>MV-00326</t>
        </is>
      </c>
      <c r="B330" s="75" t="n">
        <v>45853.5625</v>
      </c>
      <c r="C330" s="7" t="inlineStr">
        <is>
          <t>Sortie</t>
        </is>
      </c>
      <c r="D330" s="7" t="inlineStr">
        <is>
          <t>PD-0020</t>
        </is>
      </c>
      <c r="E330" s="9">
        <f>IF(D330="","",IFERROR(INDEX('Stock pièces'!$B$5:$B$404,MATCH(D330,'Stock pièces'!$A$5:$A$404,0)),"Réf. inconnue"))</f>
        <v/>
      </c>
      <c r="F330" s="67" t="n">
        <v>2</v>
      </c>
      <c r="G330" s="81">
        <f>IF(D330="","",IFERROR(INDEX('Stock pièces'!$I$5:$I$404,MATCH(D330,'Stock pièces'!$A$5:$A$404,0)),0))</f>
        <v/>
      </c>
      <c r="H330" s="81">
        <f>IF(D330="","",N(F330)*N(G330))</f>
        <v/>
      </c>
      <c r="I330" s="7" t="inlineStr">
        <is>
          <t>OT-2025-0425</t>
        </is>
      </c>
      <c r="J330" s="9">
        <f>IF(I330="","",IFERROR(INDEX('Ordres de travail'!$D$5:$D$3004,MATCH(I330,'Ordres de travail'!$A$5:$A$3004,0)),""))</f>
        <v/>
      </c>
      <c r="K330" s="9">
        <f>IF(D330="","",IFERROR(INDEX('Stock pièces'!$D$5:$D$404,MATCH(D330,'Stock pièces'!$A$5:$A$404,0)),""))</f>
        <v/>
      </c>
      <c r="L330" s="7" t="n"/>
      <c r="M330" s="7" t="n"/>
    </row>
    <row r="331">
      <c r="A331" s="7" t="inlineStr">
        <is>
          <t>MV-00327</t>
        </is>
      </c>
      <c r="B331" s="75" t="n">
        <v>45854.39583333334</v>
      </c>
      <c r="C331" s="7" t="inlineStr">
        <is>
          <t>Sortie</t>
        </is>
      </c>
      <c r="D331" s="7" t="inlineStr">
        <is>
          <t>PD-0017</t>
        </is>
      </c>
      <c r="E331" s="9">
        <f>IF(D331="","",IFERROR(INDEX('Stock pièces'!$B$5:$B$404,MATCH(D331,'Stock pièces'!$A$5:$A$404,0)),"Réf. inconnue"))</f>
        <v/>
      </c>
      <c r="F331" s="67" t="n">
        <v>1</v>
      </c>
      <c r="G331" s="81">
        <f>IF(D331="","",IFERROR(INDEX('Stock pièces'!$I$5:$I$404,MATCH(D331,'Stock pièces'!$A$5:$A$404,0)),0))</f>
        <v/>
      </c>
      <c r="H331" s="81">
        <f>IF(D331="","",N(F331)*N(G331))</f>
        <v/>
      </c>
      <c r="I331" s="7" t="inlineStr">
        <is>
          <t>OT-2025-0426</t>
        </is>
      </c>
      <c r="J331" s="9">
        <f>IF(I331="","",IFERROR(INDEX('Ordres de travail'!$D$5:$D$3004,MATCH(I331,'Ordres de travail'!$A$5:$A$3004,0)),""))</f>
        <v/>
      </c>
      <c r="K331" s="9">
        <f>IF(D331="","",IFERROR(INDEX('Stock pièces'!$D$5:$D$404,MATCH(D331,'Stock pièces'!$A$5:$A$404,0)),""))</f>
        <v/>
      </c>
      <c r="L331" s="7" t="n"/>
      <c r="M331" s="7" t="n"/>
    </row>
    <row r="332">
      <c r="A332" s="7" t="inlineStr">
        <is>
          <t>MV-00328</t>
        </is>
      </c>
      <c r="B332" s="75" t="n">
        <v>45854.41666666666</v>
      </c>
      <c r="C332" s="7" t="inlineStr">
        <is>
          <t>Entrée</t>
        </is>
      </c>
      <c r="D332" s="7" t="inlineStr">
        <is>
          <t>PD-0045</t>
        </is>
      </c>
      <c r="E332" s="9">
        <f>IF(D332="","",IFERROR(INDEX('Stock pièces'!$B$5:$B$404,MATCH(D332,'Stock pièces'!$A$5:$A$404,0)),"Réf. inconnue"))</f>
        <v/>
      </c>
      <c r="F332" s="67" t="n">
        <v>3</v>
      </c>
      <c r="G332" s="81">
        <f>IF(D332="","",IFERROR(INDEX('Stock pièces'!$I$5:$I$404,MATCH(D332,'Stock pièces'!$A$5:$A$404,0)),0))</f>
        <v/>
      </c>
      <c r="H332" s="81">
        <f>IF(D332="","",N(F332)*N(G332))</f>
        <v/>
      </c>
      <c r="I332" s="7" t="n"/>
      <c r="J332" s="9">
        <f>IF(I332="","",IFERROR(INDEX('Ordres de travail'!$D$5:$D$3004,MATCH(I332,'Ordres de travail'!$A$5:$A$3004,0)),""))</f>
        <v/>
      </c>
      <c r="K332" s="9">
        <f>IF(D332="","",IFERROR(INDEX('Stock pièces'!$D$5:$D$404,MATCH(D332,'Stock pièces'!$A$5:$A$404,0)),""))</f>
        <v/>
      </c>
      <c r="L332" s="7" t="inlineStr">
        <is>
          <t>CMD-24092</t>
        </is>
      </c>
      <c r="M332" s="7" t="inlineStr">
        <is>
          <t>Réception commande réappro</t>
        </is>
      </c>
    </row>
    <row r="333">
      <c r="A333" s="7" t="inlineStr">
        <is>
          <t>MV-00329</t>
        </is>
      </c>
      <c r="B333" s="75" t="n">
        <v>45855.53819444445</v>
      </c>
      <c r="C333" s="7" t="inlineStr">
        <is>
          <t>Sortie</t>
        </is>
      </c>
      <c r="D333" s="7" t="inlineStr">
        <is>
          <t>PD-0021</t>
        </is>
      </c>
      <c r="E333" s="9">
        <f>IF(D333="","",IFERROR(INDEX('Stock pièces'!$B$5:$B$404,MATCH(D333,'Stock pièces'!$A$5:$A$404,0)),"Réf. inconnue"))</f>
        <v/>
      </c>
      <c r="F333" s="67" t="n">
        <v>1</v>
      </c>
      <c r="G333" s="81">
        <f>IF(D333="","",IFERROR(INDEX('Stock pièces'!$I$5:$I$404,MATCH(D333,'Stock pièces'!$A$5:$A$404,0)),0))</f>
        <v/>
      </c>
      <c r="H333" s="81">
        <f>IF(D333="","",N(F333)*N(G333))</f>
        <v/>
      </c>
      <c r="I333" s="7" t="inlineStr">
        <is>
          <t>OT-2025-0427</t>
        </is>
      </c>
      <c r="J333" s="9">
        <f>IF(I333="","",IFERROR(INDEX('Ordres de travail'!$D$5:$D$3004,MATCH(I333,'Ordres de travail'!$A$5:$A$3004,0)),""))</f>
        <v/>
      </c>
      <c r="K333" s="9">
        <f>IF(D333="","",IFERROR(INDEX('Stock pièces'!$D$5:$D$404,MATCH(D333,'Stock pièces'!$A$5:$A$404,0)),""))</f>
        <v/>
      </c>
      <c r="L333" s="7" t="n"/>
      <c r="M333" s="7" t="n"/>
    </row>
    <row r="334">
      <c r="A334" s="7" t="inlineStr">
        <is>
          <t>MV-00330</t>
        </is>
      </c>
      <c r="B334" s="75" t="n">
        <v>45856.41666666666</v>
      </c>
      <c r="C334" s="7" t="inlineStr">
        <is>
          <t>Entrée</t>
        </is>
      </c>
      <c r="D334" s="7" t="inlineStr">
        <is>
          <t>PD-0056</t>
        </is>
      </c>
      <c r="E334" s="9">
        <f>IF(D334="","",IFERROR(INDEX('Stock pièces'!$B$5:$B$404,MATCH(D334,'Stock pièces'!$A$5:$A$404,0)),"Réf. inconnue"))</f>
        <v/>
      </c>
      <c r="F334" s="67" t="n">
        <v>1</v>
      </c>
      <c r="G334" s="81">
        <f>IF(D334="","",IFERROR(INDEX('Stock pièces'!$I$5:$I$404,MATCH(D334,'Stock pièces'!$A$5:$A$404,0)),0))</f>
        <v/>
      </c>
      <c r="H334" s="81">
        <f>IF(D334="","",N(F334)*N(G334))</f>
        <v/>
      </c>
      <c r="I334" s="7" t="n"/>
      <c r="J334" s="9">
        <f>IF(I334="","",IFERROR(INDEX('Ordres de travail'!$D$5:$D$3004,MATCH(I334,'Ordres de travail'!$A$5:$A$3004,0)),""))</f>
        <v/>
      </c>
      <c r="K334" s="9">
        <f>IF(D334="","",IFERROR(INDEX('Stock pièces'!$D$5:$D$404,MATCH(D334,'Stock pièces'!$A$5:$A$404,0)),""))</f>
        <v/>
      </c>
      <c r="L334" s="7" t="inlineStr">
        <is>
          <t>CMD-24093</t>
        </is>
      </c>
      <c r="M334" s="7" t="inlineStr">
        <is>
          <t>Réception commande réappro</t>
        </is>
      </c>
    </row>
    <row r="335">
      <c r="A335" s="7" t="inlineStr">
        <is>
          <t>MV-00331</t>
        </is>
      </c>
      <c r="B335" s="75" t="n">
        <v>45859.41666666666</v>
      </c>
      <c r="C335" s="7" t="inlineStr">
        <is>
          <t>Entrée</t>
        </is>
      </c>
      <c r="D335" s="7" t="inlineStr">
        <is>
          <t>PD-0024</t>
        </is>
      </c>
      <c r="E335" s="9">
        <f>IF(D335="","",IFERROR(INDEX('Stock pièces'!$B$5:$B$404,MATCH(D335,'Stock pièces'!$A$5:$A$404,0)),"Réf. inconnue"))</f>
        <v/>
      </c>
      <c r="F335" s="67" t="n">
        <v>2</v>
      </c>
      <c r="G335" s="81">
        <f>IF(D335="","",IFERROR(INDEX('Stock pièces'!$I$5:$I$404,MATCH(D335,'Stock pièces'!$A$5:$A$404,0)),0))</f>
        <v/>
      </c>
      <c r="H335" s="81">
        <f>IF(D335="","",N(F335)*N(G335))</f>
        <v/>
      </c>
      <c r="I335" s="7" t="n"/>
      <c r="J335" s="9">
        <f>IF(I335="","",IFERROR(INDEX('Ordres de travail'!$D$5:$D$3004,MATCH(I335,'Ordres de travail'!$A$5:$A$3004,0)),""))</f>
        <v/>
      </c>
      <c r="K335" s="9">
        <f>IF(D335="","",IFERROR(INDEX('Stock pièces'!$D$5:$D$404,MATCH(D335,'Stock pièces'!$A$5:$A$404,0)),""))</f>
        <v/>
      </c>
      <c r="L335" s="7" t="inlineStr">
        <is>
          <t>CMD-24096</t>
        </is>
      </c>
      <c r="M335" s="7" t="inlineStr">
        <is>
          <t>Réception commande réappro</t>
        </is>
      </c>
    </row>
    <row r="336">
      <c r="A336" s="7" t="inlineStr">
        <is>
          <t>MV-00332</t>
        </is>
      </c>
      <c r="B336" s="75" t="n">
        <v>45859.575</v>
      </c>
      <c r="C336" s="7" t="inlineStr">
        <is>
          <t>Sortie</t>
        </is>
      </c>
      <c r="D336" s="7" t="inlineStr">
        <is>
          <t>PD-0041</t>
        </is>
      </c>
      <c r="E336" s="9">
        <f>IF(D336="","",IFERROR(INDEX('Stock pièces'!$B$5:$B$404,MATCH(D336,'Stock pièces'!$A$5:$A$404,0)),"Réf. inconnue"))</f>
        <v/>
      </c>
      <c r="F336" s="67" t="n">
        <v>1</v>
      </c>
      <c r="G336" s="81">
        <f>IF(D336="","",IFERROR(INDEX('Stock pièces'!$I$5:$I$404,MATCH(D336,'Stock pièces'!$A$5:$A$404,0)),0))</f>
        <v/>
      </c>
      <c r="H336" s="81">
        <f>IF(D336="","",N(F336)*N(G336))</f>
        <v/>
      </c>
      <c r="I336" s="7" t="inlineStr">
        <is>
          <t>OT-2025-0447</t>
        </is>
      </c>
      <c r="J336" s="9">
        <f>IF(I336="","",IFERROR(INDEX('Ordres de travail'!$D$5:$D$3004,MATCH(I336,'Ordres de travail'!$A$5:$A$3004,0)),""))</f>
        <v/>
      </c>
      <c r="K336" s="9">
        <f>IF(D336="","",IFERROR(INDEX('Stock pièces'!$D$5:$D$404,MATCH(D336,'Stock pièces'!$A$5:$A$404,0)),""))</f>
        <v/>
      </c>
      <c r="L336" s="7" t="n"/>
      <c r="M336" s="7" t="n"/>
    </row>
    <row r="337">
      <c r="A337" s="7" t="inlineStr">
        <is>
          <t>MV-00333</t>
        </is>
      </c>
      <c r="B337" s="75" t="n">
        <v>45861.60138888889</v>
      </c>
      <c r="C337" s="7" t="inlineStr">
        <is>
          <t>Sortie</t>
        </is>
      </c>
      <c r="D337" s="7" t="inlineStr">
        <is>
          <t>PD-0056</t>
        </is>
      </c>
      <c r="E337" s="9">
        <f>IF(D337="","",IFERROR(INDEX('Stock pièces'!$B$5:$B$404,MATCH(D337,'Stock pièces'!$A$5:$A$404,0)),"Réf. inconnue"))</f>
        <v/>
      </c>
      <c r="F337" s="67" t="n">
        <v>1</v>
      </c>
      <c r="G337" s="81">
        <f>IF(D337="","",IFERROR(INDEX('Stock pièces'!$I$5:$I$404,MATCH(D337,'Stock pièces'!$A$5:$A$404,0)),0))</f>
        <v/>
      </c>
      <c r="H337" s="81">
        <f>IF(D337="","",N(F337)*N(G337))</f>
        <v/>
      </c>
      <c r="I337" s="7" t="inlineStr">
        <is>
          <t>OT-2025-0451</t>
        </is>
      </c>
      <c r="J337" s="9">
        <f>IF(I337="","",IFERROR(INDEX('Ordres de travail'!$D$5:$D$3004,MATCH(I337,'Ordres de travail'!$A$5:$A$3004,0)),""))</f>
        <v/>
      </c>
      <c r="K337" s="9">
        <f>IF(D337="","",IFERROR(INDEX('Stock pièces'!$D$5:$D$404,MATCH(D337,'Stock pièces'!$A$5:$A$404,0)),""))</f>
        <v/>
      </c>
      <c r="L337" s="7" t="n"/>
      <c r="M337" s="7" t="n"/>
    </row>
    <row r="338">
      <c r="A338" s="7" t="inlineStr">
        <is>
          <t>MV-00334</t>
        </is>
      </c>
      <c r="B338" s="75" t="n">
        <v>45861.67083333333</v>
      </c>
      <c r="C338" s="7" t="inlineStr">
        <is>
          <t>Sortie</t>
        </is>
      </c>
      <c r="D338" s="7" t="inlineStr">
        <is>
          <t>PD-0071</t>
        </is>
      </c>
      <c r="E338" s="9">
        <f>IF(D338="","",IFERROR(INDEX('Stock pièces'!$B$5:$B$404,MATCH(D338,'Stock pièces'!$A$5:$A$404,0)),"Réf. inconnue"))</f>
        <v/>
      </c>
      <c r="F338" s="67" t="n">
        <v>3</v>
      </c>
      <c r="G338" s="81">
        <f>IF(D338="","",IFERROR(INDEX('Stock pièces'!$I$5:$I$404,MATCH(D338,'Stock pièces'!$A$5:$A$404,0)),0))</f>
        <v/>
      </c>
      <c r="H338" s="81">
        <f>IF(D338="","",N(F338)*N(G338))</f>
        <v/>
      </c>
      <c r="I338" s="7" t="inlineStr">
        <is>
          <t>OT-2025-0453</t>
        </is>
      </c>
      <c r="J338" s="9">
        <f>IF(I338="","",IFERROR(INDEX('Ordres de travail'!$D$5:$D$3004,MATCH(I338,'Ordres de travail'!$A$5:$A$3004,0)),""))</f>
        <v/>
      </c>
      <c r="K338" s="9">
        <f>IF(D338="","",IFERROR(INDEX('Stock pièces'!$D$5:$D$404,MATCH(D338,'Stock pièces'!$A$5:$A$404,0)),""))</f>
        <v/>
      </c>
      <c r="L338" s="7" t="n"/>
      <c r="M338" s="7" t="n"/>
    </row>
    <row r="339">
      <c r="A339" s="7" t="inlineStr">
        <is>
          <t>MV-00335</t>
        </is>
      </c>
      <c r="B339" s="75" t="n">
        <v>45862.30555555555</v>
      </c>
      <c r="C339" s="7" t="inlineStr">
        <is>
          <t>Sortie</t>
        </is>
      </c>
      <c r="D339" s="7" t="inlineStr">
        <is>
          <t>PD-0017</t>
        </is>
      </c>
      <c r="E339" s="9">
        <f>IF(D339="","",IFERROR(INDEX('Stock pièces'!$B$5:$B$404,MATCH(D339,'Stock pièces'!$A$5:$A$404,0)),"Réf. inconnue"))</f>
        <v/>
      </c>
      <c r="F339" s="67" t="n">
        <v>1</v>
      </c>
      <c r="G339" s="81">
        <f>IF(D339="","",IFERROR(INDEX('Stock pièces'!$I$5:$I$404,MATCH(D339,'Stock pièces'!$A$5:$A$404,0)),0))</f>
        <v/>
      </c>
      <c r="H339" s="81">
        <f>IF(D339="","",N(F339)*N(G339))</f>
        <v/>
      </c>
      <c r="I339" s="7" t="inlineStr">
        <is>
          <t>OT-2025-0437</t>
        </is>
      </c>
      <c r="J339" s="9">
        <f>IF(I339="","",IFERROR(INDEX('Ordres de travail'!$D$5:$D$3004,MATCH(I339,'Ordres de travail'!$A$5:$A$3004,0)),""))</f>
        <v/>
      </c>
      <c r="K339" s="9">
        <f>IF(D339="","",IFERROR(INDEX('Stock pièces'!$D$5:$D$404,MATCH(D339,'Stock pièces'!$A$5:$A$404,0)),""))</f>
        <v/>
      </c>
      <c r="L339" s="7" t="n"/>
      <c r="M339" s="7" t="n"/>
    </row>
    <row r="340">
      <c r="A340" s="7" t="inlineStr">
        <is>
          <t>MV-00336</t>
        </is>
      </c>
      <c r="B340" s="75" t="n">
        <v>45863.41666666666</v>
      </c>
      <c r="C340" s="7" t="inlineStr">
        <is>
          <t>Entrée</t>
        </is>
      </c>
      <c r="D340" s="7" t="inlineStr">
        <is>
          <t>PD-0068</t>
        </is>
      </c>
      <c r="E340" s="9">
        <f>IF(D340="","",IFERROR(INDEX('Stock pièces'!$B$5:$B$404,MATCH(D340,'Stock pièces'!$A$5:$A$404,0)),"Réf. inconnue"))</f>
        <v/>
      </c>
      <c r="F340" s="67" t="n">
        <v>1</v>
      </c>
      <c r="G340" s="81">
        <f>IF(D340="","",IFERROR(INDEX('Stock pièces'!$I$5:$I$404,MATCH(D340,'Stock pièces'!$A$5:$A$404,0)),0))</f>
        <v/>
      </c>
      <c r="H340" s="81">
        <f>IF(D340="","",N(F340)*N(G340))</f>
        <v/>
      </c>
      <c r="I340" s="7" t="n"/>
      <c r="J340" s="9">
        <f>IF(I340="","",IFERROR(INDEX('Ordres de travail'!$D$5:$D$3004,MATCH(I340,'Ordres de travail'!$A$5:$A$3004,0)),""))</f>
        <v/>
      </c>
      <c r="K340" s="9">
        <f>IF(D340="","",IFERROR(INDEX('Stock pièces'!$D$5:$D$404,MATCH(D340,'Stock pièces'!$A$5:$A$404,0)),""))</f>
        <v/>
      </c>
      <c r="L340" s="7" t="inlineStr">
        <is>
          <t>CMD-24090</t>
        </is>
      </c>
      <c r="M340" s="7" t="inlineStr">
        <is>
          <t>Réception commande réappro</t>
        </is>
      </c>
    </row>
    <row r="341">
      <c r="A341" s="7" t="inlineStr">
        <is>
          <t>MV-00337</t>
        </is>
      </c>
      <c r="B341" s="75" t="n">
        <v>45863.60069444445</v>
      </c>
      <c r="C341" s="7" t="inlineStr">
        <is>
          <t>Sortie</t>
        </is>
      </c>
      <c r="D341" s="7" t="inlineStr">
        <is>
          <t>PD-0017</t>
        </is>
      </c>
      <c r="E341" s="9">
        <f>IF(D341="","",IFERROR(INDEX('Stock pièces'!$B$5:$B$404,MATCH(D341,'Stock pièces'!$A$5:$A$404,0)),"Réf. inconnue"))</f>
        <v/>
      </c>
      <c r="F341" s="67" t="n">
        <v>1</v>
      </c>
      <c r="G341" s="81">
        <f>IF(D341="","",IFERROR(INDEX('Stock pièces'!$I$5:$I$404,MATCH(D341,'Stock pièces'!$A$5:$A$404,0)),0))</f>
        <v/>
      </c>
      <c r="H341" s="81">
        <f>IF(D341="","",N(F341)*N(G341))</f>
        <v/>
      </c>
      <c r="I341" s="7" t="inlineStr">
        <is>
          <t>OT-2025-0440</t>
        </is>
      </c>
      <c r="J341" s="9">
        <f>IF(I341="","",IFERROR(INDEX('Ordres de travail'!$D$5:$D$3004,MATCH(I341,'Ordres de travail'!$A$5:$A$3004,0)),""))</f>
        <v/>
      </c>
      <c r="K341" s="9">
        <f>IF(D341="","",IFERROR(INDEX('Stock pièces'!$D$5:$D$404,MATCH(D341,'Stock pièces'!$A$5:$A$404,0)),""))</f>
        <v/>
      </c>
      <c r="L341" s="7" t="n"/>
      <c r="M341" s="7" t="n"/>
    </row>
    <row r="342">
      <c r="A342" s="7" t="inlineStr">
        <is>
          <t>MV-00338</t>
        </is>
      </c>
      <c r="B342" s="75" t="n">
        <v>45863.6125</v>
      </c>
      <c r="C342" s="7" t="inlineStr">
        <is>
          <t>Sortie</t>
        </is>
      </c>
      <c r="D342" s="7" t="inlineStr">
        <is>
          <t>PD-0062</t>
        </is>
      </c>
      <c r="E342" s="9">
        <f>IF(D342="","",IFERROR(INDEX('Stock pièces'!$B$5:$B$404,MATCH(D342,'Stock pièces'!$A$5:$A$404,0)),"Réf. inconnue"))</f>
        <v/>
      </c>
      <c r="F342" s="67" t="n">
        <v>2</v>
      </c>
      <c r="G342" s="81">
        <f>IF(D342="","",IFERROR(INDEX('Stock pièces'!$I$5:$I$404,MATCH(D342,'Stock pièces'!$A$5:$A$404,0)),0))</f>
        <v/>
      </c>
      <c r="H342" s="81">
        <f>IF(D342="","",N(F342)*N(G342))</f>
        <v/>
      </c>
      <c r="I342" s="7" t="inlineStr">
        <is>
          <t>OT-2025-0456</t>
        </is>
      </c>
      <c r="J342" s="9">
        <f>IF(I342="","",IFERROR(INDEX('Ordres de travail'!$D$5:$D$3004,MATCH(I342,'Ordres de travail'!$A$5:$A$3004,0)),""))</f>
        <v/>
      </c>
      <c r="K342" s="9">
        <f>IF(D342="","",IFERROR(INDEX('Stock pièces'!$D$5:$D$404,MATCH(D342,'Stock pièces'!$A$5:$A$404,0)),""))</f>
        <v/>
      </c>
      <c r="L342" s="7" t="n"/>
      <c r="M342" s="7" t="n"/>
    </row>
    <row r="343">
      <c r="A343" s="7" t="inlineStr">
        <is>
          <t>MV-00339</t>
        </is>
      </c>
      <c r="B343" s="75" t="n">
        <v>45863.6125</v>
      </c>
      <c r="C343" s="7" t="inlineStr">
        <is>
          <t>Sortie</t>
        </is>
      </c>
      <c r="D343" s="7" t="inlineStr">
        <is>
          <t>PD-0064</t>
        </is>
      </c>
      <c r="E343" s="9">
        <f>IF(D343="","",IFERROR(INDEX('Stock pièces'!$B$5:$B$404,MATCH(D343,'Stock pièces'!$A$5:$A$404,0)),"Réf. inconnue"))</f>
        <v/>
      </c>
      <c r="F343" s="67" t="n">
        <v>3</v>
      </c>
      <c r="G343" s="81">
        <f>IF(D343="","",IFERROR(INDEX('Stock pièces'!$I$5:$I$404,MATCH(D343,'Stock pièces'!$A$5:$A$404,0)),0))</f>
        <v/>
      </c>
      <c r="H343" s="81">
        <f>IF(D343="","",N(F343)*N(G343))</f>
        <v/>
      </c>
      <c r="I343" s="7" t="inlineStr">
        <is>
          <t>OT-2025-0456</t>
        </is>
      </c>
      <c r="J343" s="9">
        <f>IF(I343="","",IFERROR(INDEX('Ordres de travail'!$D$5:$D$3004,MATCH(I343,'Ordres de travail'!$A$5:$A$3004,0)),""))</f>
        <v/>
      </c>
      <c r="K343" s="9">
        <f>IF(D343="","",IFERROR(INDEX('Stock pièces'!$D$5:$D$404,MATCH(D343,'Stock pièces'!$A$5:$A$404,0)),""))</f>
        <v/>
      </c>
      <c r="L343" s="7" t="n"/>
      <c r="M343" s="7" t="n"/>
    </row>
    <row r="344">
      <c r="A344" s="7" t="inlineStr">
        <is>
          <t>MV-00340</t>
        </is>
      </c>
      <c r="B344" s="75" t="n">
        <v>45864.6125</v>
      </c>
      <c r="C344" s="7" t="inlineStr">
        <is>
          <t>Retour</t>
        </is>
      </c>
      <c r="D344" s="7" t="inlineStr">
        <is>
          <t>PD-0062</t>
        </is>
      </c>
      <c r="E344" s="9">
        <f>IF(D344="","",IFERROR(INDEX('Stock pièces'!$B$5:$B$404,MATCH(D344,'Stock pièces'!$A$5:$A$404,0)),"Réf. inconnue"))</f>
        <v/>
      </c>
      <c r="F344" s="67" t="n">
        <v>1</v>
      </c>
      <c r="G344" s="81">
        <f>IF(D344="","",IFERROR(INDEX('Stock pièces'!$I$5:$I$404,MATCH(D344,'Stock pièces'!$A$5:$A$404,0)),0))</f>
        <v/>
      </c>
      <c r="H344" s="81">
        <f>IF(D344="","",N(F344)*N(G344))</f>
        <v/>
      </c>
      <c r="I344" s="7" t="inlineStr">
        <is>
          <t>OT-2025-0456</t>
        </is>
      </c>
      <c r="J344" s="9">
        <f>IF(I344="","",IFERROR(INDEX('Ordres de travail'!$D$5:$D$3004,MATCH(I344,'Ordres de travail'!$A$5:$A$3004,0)),""))</f>
        <v/>
      </c>
      <c r="K344" s="9">
        <f>IF(D344="","",IFERROR(INDEX('Stock pièces'!$D$5:$D$404,MATCH(D344,'Stock pièces'!$A$5:$A$404,0)),""))</f>
        <v/>
      </c>
      <c r="L344" s="7" t="n"/>
      <c r="M344" s="7" t="inlineStr">
        <is>
          <t>Pièce non utilisée</t>
        </is>
      </c>
    </row>
    <row r="345">
      <c r="A345" s="7" t="inlineStr">
        <is>
          <t>MV-00341</t>
        </is>
      </c>
      <c r="B345" s="75" t="n">
        <v>45864.73055555556</v>
      </c>
      <c r="C345" s="7" t="inlineStr">
        <is>
          <t>Sortie</t>
        </is>
      </c>
      <c r="D345" s="7" t="inlineStr">
        <is>
          <t>PD-0055</t>
        </is>
      </c>
      <c r="E345" s="9">
        <f>IF(D345="","",IFERROR(INDEX('Stock pièces'!$B$5:$B$404,MATCH(D345,'Stock pièces'!$A$5:$A$404,0)),"Réf. inconnue"))</f>
        <v/>
      </c>
      <c r="F345" s="67" t="n">
        <v>1</v>
      </c>
      <c r="G345" s="81">
        <f>IF(D345="","",IFERROR(INDEX('Stock pièces'!$I$5:$I$404,MATCH(D345,'Stock pièces'!$A$5:$A$404,0)),0))</f>
        <v/>
      </c>
      <c r="H345" s="81">
        <f>IF(D345="","",N(F345)*N(G345))</f>
        <v/>
      </c>
      <c r="I345" s="7" t="inlineStr">
        <is>
          <t>OT-2025-0458</t>
        </is>
      </c>
      <c r="J345" s="9">
        <f>IF(I345="","",IFERROR(INDEX('Ordres de travail'!$D$5:$D$3004,MATCH(I345,'Ordres de travail'!$A$5:$A$3004,0)),""))</f>
        <v/>
      </c>
      <c r="K345" s="9">
        <f>IF(D345="","",IFERROR(INDEX('Stock pièces'!$D$5:$D$404,MATCH(D345,'Stock pièces'!$A$5:$A$404,0)),""))</f>
        <v/>
      </c>
      <c r="L345" s="7" t="n"/>
      <c r="M345" s="7" t="n"/>
    </row>
    <row r="346">
      <c r="A346" s="7" t="inlineStr">
        <is>
          <t>MV-00342</t>
        </is>
      </c>
      <c r="B346" s="75" t="n">
        <v>45866.41666666666</v>
      </c>
      <c r="C346" s="7" t="inlineStr">
        <is>
          <t>Entrée</t>
        </is>
      </c>
      <c r="D346" s="7" t="inlineStr">
        <is>
          <t>PD-0057</t>
        </is>
      </c>
      <c r="E346" s="9">
        <f>IF(D346="","",IFERROR(INDEX('Stock pièces'!$B$5:$B$404,MATCH(D346,'Stock pièces'!$A$5:$A$404,0)),"Réf. inconnue"))</f>
        <v/>
      </c>
      <c r="F346" s="67" t="n">
        <v>1</v>
      </c>
      <c r="G346" s="81">
        <f>IF(D346="","",IFERROR(INDEX('Stock pièces'!$I$5:$I$404,MATCH(D346,'Stock pièces'!$A$5:$A$404,0)),0))</f>
        <v/>
      </c>
      <c r="H346" s="81">
        <f>IF(D346="","",N(F346)*N(G346))</f>
        <v/>
      </c>
      <c r="I346" s="7" t="n"/>
      <c r="J346" s="9">
        <f>IF(I346="","",IFERROR(INDEX('Ordres de travail'!$D$5:$D$3004,MATCH(I346,'Ordres de travail'!$A$5:$A$3004,0)),""))</f>
        <v/>
      </c>
      <c r="K346" s="9">
        <f>IF(D346="","",IFERROR(INDEX('Stock pièces'!$D$5:$D$404,MATCH(D346,'Stock pièces'!$A$5:$A$404,0)),""))</f>
        <v/>
      </c>
      <c r="L346" s="7" t="inlineStr">
        <is>
          <t>CMD-24094</t>
        </is>
      </c>
      <c r="M346" s="7" t="inlineStr">
        <is>
          <t>Réception commande réappro</t>
        </is>
      </c>
    </row>
    <row r="347">
      <c r="A347" s="7" t="inlineStr">
        <is>
          <t>MV-00343</t>
        </is>
      </c>
      <c r="B347" s="75" t="n">
        <v>45866.57430555556</v>
      </c>
      <c r="C347" s="7" t="inlineStr">
        <is>
          <t>Sortie</t>
        </is>
      </c>
      <c r="D347" s="7" t="inlineStr">
        <is>
          <t>PD-0025</t>
        </is>
      </c>
      <c r="E347" s="9">
        <f>IF(D347="","",IFERROR(INDEX('Stock pièces'!$B$5:$B$404,MATCH(D347,'Stock pièces'!$A$5:$A$404,0)),"Réf. inconnue"))</f>
        <v/>
      </c>
      <c r="F347" s="67" t="n">
        <v>2</v>
      </c>
      <c r="G347" s="81">
        <f>IF(D347="","",IFERROR(INDEX('Stock pièces'!$I$5:$I$404,MATCH(D347,'Stock pièces'!$A$5:$A$404,0)),0))</f>
        <v/>
      </c>
      <c r="H347" s="81">
        <f>IF(D347="","",N(F347)*N(G347))</f>
        <v/>
      </c>
      <c r="I347" s="7" t="inlineStr">
        <is>
          <t>OT-2025-0469</t>
        </is>
      </c>
      <c r="J347" s="9">
        <f>IF(I347="","",IFERROR(INDEX('Ordres de travail'!$D$5:$D$3004,MATCH(I347,'Ordres de travail'!$A$5:$A$3004,0)),""))</f>
        <v/>
      </c>
      <c r="K347" s="9">
        <f>IF(D347="","",IFERROR(INDEX('Stock pièces'!$D$5:$D$404,MATCH(D347,'Stock pièces'!$A$5:$A$404,0)),""))</f>
        <v/>
      </c>
      <c r="L347" s="7" t="n"/>
      <c r="M347" s="7" t="n"/>
    </row>
    <row r="348">
      <c r="A348" s="7" t="inlineStr">
        <is>
          <t>MV-00344</t>
        </is>
      </c>
      <c r="B348" s="75" t="n">
        <v>45867.34722222222</v>
      </c>
      <c r="C348" s="7" t="inlineStr">
        <is>
          <t>Sortie</t>
        </is>
      </c>
      <c r="D348" s="7" t="inlineStr">
        <is>
          <t>PD-0058</t>
        </is>
      </c>
      <c r="E348" s="9">
        <f>IF(D348="","",IFERROR(INDEX('Stock pièces'!$B$5:$B$404,MATCH(D348,'Stock pièces'!$A$5:$A$404,0)),"Réf. inconnue"))</f>
        <v/>
      </c>
      <c r="F348" s="67" t="n">
        <v>1</v>
      </c>
      <c r="G348" s="81">
        <f>IF(D348="","",IFERROR(INDEX('Stock pièces'!$I$5:$I$404,MATCH(D348,'Stock pièces'!$A$5:$A$404,0)),0))</f>
        <v/>
      </c>
      <c r="H348" s="81">
        <f>IF(D348="","",N(F348)*N(G348))</f>
        <v/>
      </c>
      <c r="I348" s="7" t="inlineStr">
        <is>
          <t>OT-2025-0450</t>
        </is>
      </c>
      <c r="J348" s="9">
        <f>IF(I348="","",IFERROR(INDEX('Ordres de travail'!$D$5:$D$3004,MATCH(I348,'Ordres de travail'!$A$5:$A$3004,0)),""))</f>
        <v/>
      </c>
      <c r="K348" s="9">
        <f>IF(D348="","",IFERROR(INDEX('Stock pièces'!$D$5:$D$404,MATCH(D348,'Stock pièces'!$A$5:$A$404,0)),""))</f>
        <v/>
      </c>
      <c r="L348" s="7" t="n"/>
      <c r="M348" s="7" t="n"/>
    </row>
    <row r="349">
      <c r="A349" s="7" t="inlineStr">
        <is>
          <t>MV-00345</t>
        </is>
      </c>
      <c r="B349" s="75" t="n">
        <v>45867.34722222222</v>
      </c>
      <c r="C349" s="7" t="inlineStr">
        <is>
          <t>Sortie</t>
        </is>
      </c>
      <c r="D349" s="7" t="inlineStr">
        <is>
          <t>PD-0059</t>
        </is>
      </c>
      <c r="E349" s="9">
        <f>IF(D349="","",IFERROR(INDEX('Stock pièces'!$B$5:$B$404,MATCH(D349,'Stock pièces'!$A$5:$A$404,0)),"Réf. inconnue"))</f>
        <v/>
      </c>
      <c r="F349" s="67" t="n">
        <v>1</v>
      </c>
      <c r="G349" s="81">
        <f>IF(D349="","",IFERROR(INDEX('Stock pièces'!$I$5:$I$404,MATCH(D349,'Stock pièces'!$A$5:$A$404,0)),0))</f>
        <v/>
      </c>
      <c r="H349" s="81">
        <f>IF(D349="","",N(F349)*N(G349))</f>
        <v/>
      </c>
      <c r="I349" s="7" t="inlineStr">
        <is>
          <t>OT-2025-0450</t>
        </is>
      </c>
      <c r="J349" s="9">
        <f>IF(I349="","",IFERROR(INDEX('Ordres de travail'!$D$5:$D$3004,MATCH(I349,'Ordres de travail'!$A$5:$A$3004,0)),""))</f>
        <v/>
      </c>
      <c r="K349" s="9">
        <f>IF(D349="","",IFERROR(INDEX('Stock pièces'!$D$5:$D$404,MATCH(D349,'Stock pièces'!$A$5:$A$404,0)),""))</f>
        <v/>
      </c>
      <c r="L349" s="7" t="n"/>
      <c r="M349" s="7" t="n"/>
    </row>
    <row r="350">
      <c r="A350" s="7" t="inlineStr">
        <is>
          <t>MV-00346</t>
        </is>
      </c>
      <c r="B350" s="75" t="n">
        <v>45867.41666666666</v>
      </c>
      <c r="C350" s="7" t="inlineStr">
        <is>
          <t>Entrée</t>
        </is>
      </c>
      <c r="D350" s="7" t="inlineStr">
        <is>
          <t>PD-0064</t>
        </is>
      </c>
      <c r="E350" s="9">
        <f>IF(D350="","",IFERROR(INDEX('Stock pièces'!$B$5:$B$404,MATCH(D350,'Stock pièces'!$A$5:$A$404,0)),"Réf. inconnue"))</f>
        <v/>
      </c>
      <c r="F350" s="67" t="n">
        <v>4</v>
      </c>
      <c r="G350" s="81">
        <f>IF(D350="","",IFERROR(INDEX('Stock pièces'!$I$5:$I$404,MATCH(D350,'Stock pièces'!$A$5:$A$404,0)),0))</f>
        <v/>
      </c>
      <c r="H350" s="81">
        <f>IF(D350="","",N(F350)*N(G350))</f>
        <v/>
      </c>
      <c r="I350" s="7" t="n"/>
      <c r="J350" s="9">
        <f>IF(I350="","",IFERROR(INDEX('Ordres de travail'!$D$5:$D$3004,MATCH(I350,'Ordres de travail'!$A$5:$A$3004,0)),""))</f>
        <v/>
      </c>
      <c r="K350" s="9">
        <f>IF(D350="","",IFERROR(INDEX('Stock pièces'!$D$5:$D$404,MATCH(D350,'Stock pièces'!$A$5:$A$404,0)),""))</f>
        <v/>
      </c>
      <c r="L350" s="7" t="inlineStr">
        <is>
          <t>CMD-24101</t>
        </is>
      </c>
      <c r="M350" s="7" t="inlineStr">
        <is>
          <t>Réception commande réappro</t>
        </is>
      </c>
    </row>
    <row r="351">
      <c r="A351" s="7" t="inlineStr">
        <is>
          <t>MV-00347</t>
        </is>
      </c>
      <c r="B351" s="75" t="n">
        <v>45867.49861111111</v>
      </c>
      <c r="C351" s="7" t="inlineStr">
        <is>
          <t>Sortie</t>
        </is>
      </c>
      <c r="D351" s="7" t="inlineStr">
        <is>
          <t>PD-0067</t>
        </is>
      </c>
      <c r="E351" s="9">
        <f>IF(D351="","",IFERROR(INDEX('Stock pièces'!$B$5:$B$404,MATCH(D351,'Stock pièces'!$A$5:$A$404,0)),"Réf. inconnue"))</f>
        <v/>
      </c>
      <c r="F351" s="67" t="n">
        <v>2</v>
      </c>
      <c r="G351" s="81">
        <f>IF(D351="","",IFERROR(INDEX('Stock pièces'!$I$5:$I$404,MATCH(D351,'Stock pièces'!$A$5:$A$404,0)),0))</f>
        <v/>
      </c>
      <c r="H351" s="81">
        <f>IF(D351="","",N(F351)*N(G351))</f>
        <v/>
      </c>
      <c r="I351" s="7" t="inlineStr">
        <is>
          <t>OT-2025-0470</t>
        </is>
      </c>
      <c r="J351" s="9">
        <f>IF(I351="","",IFERROR(INDEX('Ordres de travail'!$D$5:$D$3004,MATCH(I351,'Ordres de travail'!$A$5:$A$3004,0)),""))</f>
        <v/>
      </c>
      <c r="K351" s="9">
        <f>IF(D351="","",IFERROR(INDEX('Stock pièces'!$D$5:$D$404,MATCH(D351,'Stock pièces'!$A$5:$A$404,0)),""))</f>
        <v/>
      </c>
      <c r="L351" s="7" t="n"/>
      <c r="M351" s="7" t="n"/>
    </row>
    <row r="352">
      <c r="A352" s="7" t="inlineStr">
        <is>
          <t>MV-00348</t>
        </is>
      </c>
      <c r="B352" s="75" t="n">
        <v>45867.76111111111</v>
      </c>
      <c r="C352" s="7" t="inlineStr">
        <is>
          <t>Sortie</t>
        </is>
      </c>
      <c r="D352" s="7" t="inlineStr">
        <is>
          <t>PD-0025</t>
        </is>
      </c>
      <c r="E352" s="9">
        <f>IF(D352="","",IFERROR(INDEX('Stock pièces'!$B$5:$B$404,MATCH(D352,'Stock pièces'!$A$5:$A$404,0)),"Réf. inconnue"))</f>
        <v/>
      </c>
      <c r="F352" s="67" t="n">
        <v>3</v>
      </c>
      <c r="G352" s="81">
        <f>IF(D352="","",IFERROR(INDEX('Stock pièces'!$I$5:$I$404,MATCH(D352,'Stock pièces'!$A$5:$A$404,0)),0))</f>
        <v/>
      </c>
      <c r="H352" s="81">
        <f>IF(D352="","",N(F352)*N(G352))</f>
        <v/>
      </c>
      <c r="I352" s="7" t="inlineStr">
        <is>
          <t>OT-2025-0474</t>
        </is>
      </c>
      <c r="J352" s="9">
        <f>IF(I352="","",IFERROR(INDEX('Ordres de travail'!$D$5:$D$3004,MATCH(I352,'Ordres de travail'!$A$5:$A$3004,0)),""))</f>
        <v/>
      </c>
      <c r="K352" s="9">
        <f>IF(D352="","",IFERROR(INDEX('Stock pièces'!$D$5:$D$404,MATCH(D352,'Stock pièces'!$A$5:$A$404,0)),""))</f>
        <v/>
      </c>
      <c r="L352" s="7" t="n"/>
      <c r="M352" s="7" t="n"/>
    </row>
    <row r="353">
      <c r="A353" s="7" t="inlineStr">
        <is>
          <t>MV-00349</t>
        </is>
      </c>
      <c r="B353" s="75" t="n">
        <v>45870.27777777778</v>
      </c>
      <c r="C353" s="7" t="inlineStr">
        <is>
          <t>Sortie</t>
        </is>
      </c>
      <c r="D353" s="7" t="inlineStr">
        <is>
          <t>PD-0019</t>
        </is>
      </c>
      <c r="E353" s="9">
        <f>IF(D353="","",IFERROR(INDEX('Stock pièces'!$B$5:$B$404,MATCH(D353,'Stock pièces'!$A$5:$A$404,0)),"Réf. inconnue"))</f>
        <v/>
      </c>
      <c r="F353" s="67" t="n">
        <v>2</v>
      </c>
      <c r="G353" s="81">
        <f>IF(D353="","",IFERROR(INDEX('Stock pièces'!$I$5:$I$404,MATCH(D353,'Stock pièces'!$A$5:$A$404,0)),0))</f>
        <v/>
      </c>
      <c r="H353" s="81">
        <f>IF(D353="","",N(F353)*N(G353))</f>
        <v/>
      </c>
      <c r="I353" s="7" t="inlineStr">
        <is>
          <t>OT-2025-0454</t>
        </is>
      </c>
      <c r="J353" s="9">
        <f>IF(I353="","",IFERROR(INDEX('Ordres de travail'!$D$5:$D$3004,MATCH(I353,'Ordres de travail'!$A$5:$A$3004,0)),""))</f>
        <v/>
      </c>
      <c r="K353" s="9">
        <f>IF(D353="","",IFERROR(INDEX('Stock pièces'!$D$5:$D$404,MATCH(D353,'Stock pièces'!$A$5:$A$404,0)),""))</f>
        <v/>
      </c>
      <c r="L353" s="7" t="n"/>
      <c r="M353" s="7" t="n"/>
    </row>
    <row r="354">
      <c r="A354" s="7" t="inlineStr">
        <is>
          <t>MV-00350</t>
        </is>
      </c>
      <c r="B354" s="75" t="n">
        <v>45873.29166666666</v>
      </c>
      <c r="C354" s="7" t="inlineStr">
        <is>
          <t>Sortie</t>
        </is>
      </c>
      <c r="D354" s="7" t="inlineStr">
        <is>
          <t>PD-0017</t>
        </is>
      </c>
      <c r="E354" s="9">
        <f>IF(D354="","",IFERROR(INDEX('Stock pièces'!$B$5:$B$404,MATCH(D354,'Stock pièces'!$A$5:$A$404,0)),"Réf. inconnue"))</f>
        <v/>
      </c>
      <c r="F354" s="67" t="n">
        <v>1</v>
      </c>
      <c r="G354" s="81">
        <f>IF(D354="","",IFERROR(INDEX('Stock pièces'!$I$5:$I$404,MATCH(D354,'Stock pièces'!$A$5:$A$404,0)),0))</f>
        <v/>
      </c>
      <c r="H354" s="81">
        <f>IF(D354="","",N(F354)*N(G354))</f>
        <v/>
      </c>
      <c r="I354" s="7" t="inlineStr">
        <is>
          <t>OT-2025-0460</t>
        </is>
      </c>
      <c r="J354" s="9">
        <f>IF(I354="","",IFERROR(INDEX('Ordres de travail'!$D$5:$D$3004,MATCH(I354,'Ordres de travail'!$A$5:$A$3004,0)),""))</f>
        <v/>
      </c>
      <c r="K354" s="9">
        <f>IF(D354="","",IFERROR(INDEX('Stock pièces'!$D$5:$D$404,MATCH(D354,'Stock pièces'!$A$5:$A$404,0)),""))</f>
        <v/>
      </c>
      <c r="L354" s="7" t="n"/>
      <c r="M354" s="7" t="n"/>
    </row>
    <row r="355">
      <c r="A355" s="7" t="inlineStr">
        <is>
          <t>MV-00351</t>
        </is>
      </c>
      <c r="B355" s="75" t="n">
        <v>45873.34722222222</v>
      </c>
      <c r="C355" s="7" t="inlineStr">
        <is>
          <t>Sortie</t>
        </is>
      </c>
      <c r="D355" s="7" t="inlineStr">
        <is>
          <t>PD-0025</t>
        </is>
      </c>
      <c r="E355" s="9">
        <f>IF(D355="","",IFERROR(INDEX('Stock pièces'!$B$5:$B$404,MATCH(D355,'Stock pièces'!$A$5:$A$404,0)),"Réf. inconnue"))</f>
        <v/>
      </c>
      <c r="F355" s="67" t="n">
        <v>1</v>
      </c>
      <c r="G355" s="81">
        <f>IF(D355="","",IFERROR(INDEX('Stock pièces'!$I$5:$I$404,MATCH(D355,'Stock pièces'!$A$5:$A$404,0)),0))</f>
        <v/>
      </c>
      <c r="H355" s="81">
        <f>IF(D355="","",N(F355)*N(G355))</f>
        <v/>
      </c>
      <c r="I355" s="7" t="inlineStr">
        <is>
          <t>OT-2025-0463</t>
        </is>
      </c>
      <c r="J355" s="9">
        <f>IF(I355="","",IFERROR(INDEX('Ordres de travail'!$D$5:$D$3004,MATCH(I355,'Ordres de travail'!$A$5:$A$3004,0)),""))</f>
        <v/>
      </c>
      <c r="K355" s="9">
        <f>IF(D355="","",IFERROR(INDEX('Stock pièces'!$D$5:$D$404,MATCH(D355,'Stock pièces'!$A$5:$A$404,0)),""))</f>
        <v/>
      </c>
      <c r="L355" s="7" t="n"/>
      <c r="M355" s="7" t="n"/>
    </row>
    <row r="356">
      <c r="A356" s="7" t="inlineStr">
        <is>
          <t>MV-00352</t>
        </is>
      </c>
      <c r="B356" s="75" t="n">
        <v>45873.41666666666</v>
      </c>
      <c r="C356" s="7" t="inlineStr">
        <is>
          <t>Entrée</t>
        </is>
      </c>
      <c r="D356" s="7" t="inlineStr">
        <is>
          <t>PD-0041</t>
        </is>
      </c>
      <c r="E356" s="9">
        <f>IF(D356="","",IFERROR(INDEX('Stock pièces'!$B$5:$B$404,MATCH(D356,'Stock pièces'!$A$5:$A$404,0)),"Réf. inconnue"))</f>
        <v/>
      </c>
      <c r="F356" s="67" t="n">
        <v>2</v>
      </c>
      <c r="G356" s="81">
        <f>IF(D356="","",IFERROR(INDEX('Stock pièces'!$I$5:$I$404,MATCH(D356,'Stock pièces'!$A$5:$A$404,0)),0))</f>
        <v/>
      </c>
      <c r="H356" s="81">
        <f>IF(D356="","",N(F356)*N(G356))</f>
        <v/>
      </c>
      <c r="I356" s="7" t="n"/>
      <c r="J356" s="9">
        <f>IF(I356="","",IFERROR(INDEX('Ordres de travail'!$D$5:$D$3004,MATCH(I356,'Ordres de travail'!$A$5:$A$3004,0)),""))</f>
        <v/>
      </c>
      <c r="K356" s="9">
        <f>IF(D356="","",IFERROR(INDEX('Stock pièces'!$D$5:$D$404,MATCH(D356,'Stock pièces'!$A$5:$A$404,0)),""))</f>
        <v/>
      </c>
      <c r="L356" s="7" t="inlineStr">
        <is>
          <t>CMD-24097</t>
        </is>
      </c>
      <c r="M356" s="7" t="inlineStr">
        <is>
          <t>Réception commande réappro</t>
        </is>
      </c>
    </row>
    <row r="357">
      <c r="A357" s="7" t="inlineStr">
        <is>
          <t>MV-00353</t>
        </is>
      </c>
      <c r="B357" s="75" t="n">
        <v>45873.41666666666</v>
      </c>
      <c r="C357" s="7" t="inlineStr">
        <is>
          <t>Entrée</t>
        </is>
      </c>
      <c r="D357" s="7" t="inlineStr">
        <is>
          <t>PD-0056</t>
        </is>
      </c>
      <c r="E357" s="9">
        <f>IF(D357="","",IFERROR(INDEX('Stock pièces'!$B$5:$B$404,MATCH(D357,'Stock pièces'!$A$5:$A$404,0)),"Réf. inconnue"))</f>
        <v/>
      </c>
      <c r="F357" s="67" t="n">
        <v>1</v>
      </c>
      <c r="G357" s="81">
        <f>IF(D357="","",IFERROR(INDEX('Stock pièces'!$I$5:$I$404,MATCH(D357,'Stock pièces'!$A$5:$A$404,0)),0))</f>
        <v/>
      </c>
      <c r="H357" s="81">
        <f>IF(D357="","",N(F357)*N(G357))</f>
        <v/>
      </c>
      <c r="I357" s="7" t="n"/>
      <c r="J357" s="9">
        <f>IF(I357="","",IFERROR(INDEX('Ordres de travail'!$D$5:$D$3004,MATCH(I357,'Ordres de travail'!$A$5:$A$3004,0)),""))</f>
        <v/>
      </c>
      <c r="K357" s="9">
        <f>IF(D357="","",IFERROR(INDEX('Stock pièces'!$D$5:$D$404,MATCH(D357,'Stock pièces'!$A$5:$A$404,0)),""))</f>
        <v/>
      </c>
      <c r="L357" s="7" t="inlineStr">
        <is>
          <t>CMD-24098</t>
        </is>
      </c>
      <c r="M357" s="7" t="inlineStr">
        <is>
          <t>Réception commande réappro</t>
        </is>
      </c>
    </row>
    <row r="358">
      <c r="A358" s="7" t="inlineStr">
        <is>
          <t>MV-00354</t>
        </is>
      </c>
      <c r="B358" s="75" t="n">
        <v>45873.41666666666</v>
      </c>
      <c r="C358" s="7" t="inlineStr">
        <is>
          <t>Entrée</t>
        </is>
      </c>
      <c r="D358" s="7" t="inlineStr">
        <is>
          <t>PD-0071</t>
        </is>
      </c>
      <c r="E358" s="9">
        <f>IF(D358="","",IFERROR(INDEX('Stock pièces'!$B$5:$B$404,MATCH(D358,'Stock pièces'!$A$5:$A$404,0)),"Réf. inconnue"))</f>
        <v/>
      </c>
      <c r="F358" s="67" t="n">
        <v>6</v>
      </c>
      <c r="G358" s="81">
        <f>IF(D358="","",IFERROR(INDEX('Stock pièces'!$I$5:$I$404,MATCH(D358,'Stock pièces'!$A$5:$A$404,0)),0))</f>
        <v/>
      </c>
      <c r="H358" s="81">
        <f>IF(D358="","",N(F358)*N(G358))</f>
        <v/>
      </c>
      <c r="I358" s="7" t="n"/>
      <c r="J358" s="9">
        <f>IF(I358="","",IFERROR(INDEX('Ordres de travail'!$D$5:$D$3004,MATCH(I358,'Ordres de travail'!$A$5:$A$3004,0)),""))</f>
        <v/>
      </c>
      <c r="K358" s="9">
        <f>IF(D358="","",IFERROR(INDEX('Stock pièces'!$D$5:$D$404,MATCH(D358,'Stock pièces'!$A$5:$A$404,0)),""))</f>
        <v/>
      </c>
      <c r="L358" s="7" t="inlineStr">
        <is>
          <t>CMD-24099</t>
        </is>
      </c>
      <c r="M358" s="7" t="inlineStr">
        <is>
          <t>Réception commande réappro</t>
        </is>
      </c>
    </row>
    <row r="359">
      <c r="A359" s="7" t="inlineStr">
        <is>
          <t>MV-00355</t>
        </is>
      </c>
      <c r="B359" s="75" t="n">
        <v>45873.50694444445</v>
      </c>
      <c r="C359" s="7" t="inlineStr">
        <is>
          <t>Sortie</t>
        </is>
      </c>
      <c r="D359" s="7" t="inlineStr">
        <is>
          <t>PD-0025</t>
        </is>
      </c>
      <c r="E359" s="9">
        <f>IF(D359="","",IFERROR(INDEX('Stock pièces'!$B$5:$B$404,MATCH(D359,'Stock pièces'!$A$5:$A$404,0)),"Réf. inconnue"))</f>
        <v/>
      </c>
      <c r="F359" s="67" t="n">
        <v>3</v>
      </c>
      <c r="G359" s="81">
        <f>IF(D359="","",IFERROR(INDEX('Stock pièces'!$I$5:$I$404,MATCH(D359,'Stock pièces'!$A$5:$A$404,0)),0))</f>
        <v/>
      </c>
      <c r="H359" s="81">
        <f>IF(D359="","",N(F359)*N(G359))</f>
        <v/>
      </c>
      <c r="I359" s="7" t="inlineStr">
        <is>
          <t>OT-2025-0464</t>
        </is>
      </c>
      <c r="J359" s="9">
        <f>IF(I359="","",IFERROR(INDEX('Ordres de travail'!$D$5:$D$3004,MATCH(I359,'Ordres de travail'!$A$5:$A$3004,0)),""))</f>
        <v/>
      </c>
      <c r="K359" s="9">
        <f>IF(D359="","",IFERROR(INDEX('Stock pièces'!$D$5:$D$404,MATCH(D359,'Stock pièces'!$A$5:$A$404,0)),""))</f>
        <v/>
      </c>
      <c r="L359" s="7" t="n"/>
      <c r="M359" s="7" t="n"/>
    </row>
    <row r="360">
      <c r="A360" s="7" t="inlineStr">
        <is>
          <t>MV-00356</t>
        </is>
      </c>
      <c r="B360" s="75" t="n">
        <v>45874.375</v>
      </c>
      <c r="C360" s="7" t="inlineStr">
        <is>
          <t>Sortie</t>
        </is>
      </c>
      <c r="D360" s="7" t="inlineStr">
        <is>
          <t>PD-0015</t>
        </is>
      </c>
      <c r="E360" s="9">
        <f>IF(D360="","",IFERROR(INDEX('Stock pièces'!$B$5:$B$404,MATCH(D360,'Stock pièces'!$A$5:$A$404,0)),"Réf. inconnue"))</f>
        <v/>
      </c>
      <c r="F360" s="67" t="n">
        <v>1</v>
      </c>
      <c r="G360" s="81">
        <f>IF(D360="","",IFERROR(INDEX('Stock pièces'!$I$5:$I$404,MATCH(D360,'Stock pièces'!$A$5:$A$404,0)),0))</f>
        <v/>
      </c>
      <c r="H360" s="81">
        <f>IF(D360="","",N(F360)*N(G360))</f>
        <v/>
      </c>
      <c r="I360" s="7" t="inlineStr">
        <is>
          <t>OT-2025-0472</t>
        </is>
      </c>
      <c r="J360" s="9">
        <f>IF(I360="","",IFERROR(INDEX('Ordres de travail'!$D$5:$D$3004,MATCH(I360,'Ordres de travail'!$A$5:$A$3004,0)),""))</f>
        <v/>
      </c>
      <c r="K360" s="9">
        <f>IF(D360="","",IFERROR(INDEX('Stock pièces'!$D$5:$D$404,MATCH(D360,'Stock pièces'!$A$5:$A$404,0)),""))</f>
        <v/>
      </c>
      <c r="L360" s="7" t="n"/>
      <c r="M360" s="7" t="n"/>
    </row>
    <row r="361">
      <c r="A361" s="7" t="inlineStr">
        <is>
          <t>MV-00357</t>
        </is>
      </c>
      <c r="B361" s="75" t="n">
        <v>45874.375</v>
      </c>
      <c r="C361" s="7" t="inlineStr">
        <is>
          <t>Sortie</t>
        </is>
      </c>
      <c r="D361" s="7" t="inlineStr">
        <is>
          <t>PD-0016</t>
        </is>
      </c>
      <c r="E361" s="9">
        <f>IF(D361="","",IFERROR(INDEX('Stock pièces'!$B$5:$B$404,MATCH(D361,'Stock pièces'!$A$5:$A$404,0)),"Réf. inconnue"))</f>
        <v/>
      </c>
      <c r="F361" s="67" t="n">
        <v>1</v>
      </c>
      <c r="G361" s="81">
        <f>IF(D361="","",IFERROR(INDEX('Stock pièces'!$I$5:$I$404,MATCH(D361,'Stock pièces'!$A$5:$A$404,0)),0))</f>
        <v/>
      </c>
      <c r="H361" s="81">
        <f>IF(D361="","",N(F361)*N(G361))</f>
        <v/>
      </c>
      <c r="I361" s="7" t="inlineStr">
        <is>
          <t>OT-2025-0472</t>
        </is>
      </c>
      <c r="J361" s="9">
        <f>IF(I361="","",IFERROR(INDEX('Ordres de travail'!$D$5:$D$3004,MATCH(I361,'Ordres de travail'!$A$5:$A$3004,0)),""))</f>
        <v/>
      </c>
      <c r="K361" s="9">
        <f>IF(D361="","",IFERROR(INDEX('Stock pièces'!$D$5:$D$404,MATCH(D361,'Stock pièces'!$A$5:$A$404,0)),""))</f>
        <v/>
      </c>
      <c r="L361" s="7" t="n"/>
      <c r="M361" s="7" t="n"/>
    </row>
    <row r="362">
      <c r="A362" s="7" t="inlineStr">
        <is>
          <t>MV-00358</t>
        </is>
      </c>
      <c r="B362" s="75" t="n">
        <v>45874.375</v>
      </c>
      <c r="C362" s="7" t="inlineStr">
        <is>
          <t>Sortie</t>
        </is>
      </c>
      <c r="D362" s="7" t="inlineStr">
        <is>
          <t>PD-0022</t>
        </is>
      </c>
      <c r="E362" s="9">
        <f>IF(D362="","",IFERROR(INDEX('Stock pièces'!$B$5:$B$404,MATCH(D362,'Stock pièces'!$A$5:$A$404,0)),"Réf. inconnue"))</f>
        <v/>
      </c>
      <c r="F362" s="67" t="n">
        <v>1</v>
      </c>
      <c r="G362" s="81">
        <f>IF(D362="","",IFERROR(INDEX('Stock pièces'!$I$5:$I$404,MATCH(D362,'Stock pièces'!$A$5:$A$404,0)),0))</f>
        <v/>
      </c>
      <c r="H362" s="81">
        <f>IF(D362="","",N(F362)*N(G362))</f>
        <v/>
      </c>
      <c r="I362" s="7" t="inlineStr">
        <is>
          <t>OT-2025-0472</t>
        </is>
      </c>
      <c r="J362" s="9">
        <f>IF(I362="","",IFERROR(INDEX('Ordres de travail'!$D$5:$D$3004,MATCH(I362,'Ordres de travail'!$A$5:$A$3004,0)),""))</f>
        <v/>
      </c>
      <c r="K362" s="9">
        <f>IF(D362="","",IFERROR(INDEX('Stock pièces'!$D$5:$D$404,MATCH(D362,'Stock pièces'!$A$5:$A$404,0)),""))</f>
        <v/>
      </c>
      <c r="L362" s="7" t="n"/>
      <c r="M362" s="7" t="n"/>
    </row>
    <row r="363">
      <c r="A363" s="7" t="inlineStr">
        <is>
          <t>MV-00359</t>
        </is>
      </c>
      <c r="B363" s="75" t="n">
        <v>45874.41666666666</v>
      </c>
      <c r="C363" s="7" t="inlineStr">
        <is>
          <t>Entrée</t>
        </is>
      </c>
      <c r="D363" s="7" t="inlineStr">
        <is>
          <t>PD-0017</t>
        </is>
      </c>
      <c r="E363" s="9">
        <f>IF(D363="","",IFERROR(INDEX('Stock pièces'!$B$5:$B$404,MATCH(D363,'Stock pièces'!$A$5:$A$404,0)),"Réf. inconnue"))</f>
        <v/>
      </c>
      <c r="F363" s="67" t="n">
        <v>8</v>
      </c>
      <c r="G363" s="81">
        <f>IF(D363="","",IFERROR(INDEX('Stock pièces'!$I$5:$I$404,MATCH(D363,'Stock pièces'!$A$5:$A$404,0)),0))</f>
        <v/>
      </c>
      <c r="H363" s="81">
        <f>IF(D363="","",N(F363)*N(G363))</f>
        <v/>
      </c>
      <c r="I363" s="7" t="n"/>
      <c r="J363" s="9">
        <f>IF(I363="","",IFERROR(INDEX('Ordres de travail'!$D$5:$D$3004,MATCH(I363,'Ordres de travail'!$A$5:$A$3004,0)),""))</f>
        <v/>
      </c>
      <c r="K363" s="9">
        <f>IF(D363="","",IFERROR(INDEX('Stock pièces'!$D$5:$D$404,MATCH(D363,'Stock pièces'!$A$5:$A$404,0)),""))</f>
        <v/>
      </c>
      <c r="L363" s="7" t="inlineStr">
        <is>
          <t>CMD-24100</t>
        </is>
      </c>
      <c r="M363" s="7" t="inlineStr">
        <is>
          <t>Réception commande réappro</t>
        </is>
      </c>
    </row>
    <row r="364">
      <c r="A364" s="7" t="inlineStr">
        <is>
          <t>MV-00360</t>
        </is>
      </c>
      <c r="B364" s="75" t="n">
        <v>45874.47777777778</v>
      </c>
      <c r="C364" s="7" t="inlineStr">
        <is>
          <t>Sortie</t>
        </is>
      </c>
      <c r="D364" s="7" t="inlineStr">
        <is>
          <t>PD-0021</t>
        </is>
      </c>
      <c r="E364" s="9">
        <f>IF(D364="","",IFERROR(INDEX('Stock pièces'!$B$5:$B$404,MATCH(D364,'Stock pièces'!$A$5:$A$404,0)),"Réf. inconnue"))</f>
        <v/>
      </c>
      <c r="F364" s="67" t="n">
        <v>1</v>
      </c>
      <c r="G364" s="81">
        <f>IF(D364="","",IFERROR(INDEX('Stock pièces'!$I$5:$I$404,MATCH(D364,'Stock pièces'!$A$5:$A$404,0)),0))</f>
        <v/>
      </c>
      <c r="H364" s="81">
        <f>IF(D364="","",N(F364)*N(G364))</f>
        <v/>
      </c>
      <c r="I364" s="7" t="inlineStr">
        <is>
          <t>OT-2025-0488</t>
        </is>
      </c>
      <c r="J364" s="9">
        <f>IF(I364="","",IFERROR(INDEX('Ordres de travail'!$D$5:$D$3004,MATCH(I364,'Ordres de travail'!$A$5:$A$3004,0)),""))</f>
        <v/>
      </c>
      <c r="K364" s="9">
        <f>IF(D364="","",IFERROR(INDEX('Stock pièces'!$D$5:$D$404,MATCH(D364,'Stock pièces'!$A$5:$A$404,0)),""))</f>
        <v/>
      </c>
      <c r="L364" s="7" t="n"/>
      <c r="M364" s="7" t="n"/>
    </row>
    <row r="365">
      <c r="A365" s="7" t="inlineStr">
        <is>
          <t>MV-00361</t>
        </is>
      </c>
      <c r="B365" s="75" t="n">
        <v>45874.47777777778</v>
      </c>
      <c r="C365" s="7" t="inlineStr">
        <is>
          <t>Sortie</t>
        </is>
      </c>
      <c r="D365" s="7" t="inlineStr">
        <is>
          <t>PD-0026</t>
        </is>
      </c>
      <c r="E365" s="9">
        <f>IF(D365="","",IFERROR(INDEX('Stock pièces'!$B$5:$B$404,MATCH(D365,'Stock pièces'!$A$5:$A$404,0)),"Réf. inconnue"))</f>
        <v/>
      </c>
      <c r="F365" s="67" t="n">
        <v>1</v>
      </c>
      <c r="G365" s="81">
        <f>IF(D365="","",IFERROR(INDEX('Stock pièces'!$I$5:$I$404,MATCH(D365,'Stock pièces'!$A$5:$A$404,0)),0))</f>
        <v/>
      </c>
      <c r="H365" s="81">
        <f>IF(D365="","",N(F365)*N(G365))</f>
        <v/>
      </c>
      <c r="I365" s="7" t="inlineStr">
        <is>
          <t>OT-2025-0488</t>
        </is>
      </c>
      <c r="J365" s="9">
        <f>IF(I365="","",IFERROR(INDEX('Ordres de travail'!$D$5:$D$3004,MATCH(I365,'Ordres de travail'!$A$5:$A$3004,0)),""))</f>
        <v/>
      </c>
      <c r="K365" s="9">
        <f>IF(D365="","",IFERROR(INDEX('Stock pièces'!$D$5:$D$404,MATCH(D365,'Stock pièces'!$A$5:$A$404,0)),""))</f>
        <v/>
      </c>
      <c r="L365" s="7" t="n"/>
      <c r="M365" s="7" t="n"/>
    </row>
    <row r="366">
      <c r="A366" s="7" t="inlineStr">
        <is>
          <t>MV-00362</t>
        </is>
      </c>
      <c r="B366" s="75" t="n">
        <v>45875.04722222222</v>
      </c>
      <c r="C366" s="7" t="inlineStr">
        <is>
          <t>Sortie</t>
        </is>
      </c>
      <c r="D366" s="7" t="inlineStr">
        <is>
          <t>PD-0030</t>
        </is>
      </c>
      <c r="E366" s="9">
        <f>IF(D366="","",IFERROR(INDEX('Stock pièces'!$B$5:$B$404,MATCH(D366,'Stock pièces'!$A$5:$A$404,0)),"Réf. inconnue"))</f>
        <v/>
      </c>
      <c r="F366" s="67" t="n">
        <v>1</v>
      </c>
      <c r="G366" s="81">
        <f>IF(D366="","",IFERROR(INDEX('Stock pièces'!$I$5:$I$404,MATCH(D366,'Stock pièces'!$A$5:$A$404,0)),0))</f>
        <v/>
      </c>
      <c r="H366" s="81">
        <f>IF(D366="","",N(F366)*N(G366))</f>
        <v/>
      </c>
      <c r="I366" s="7" t="inlineStr">
        <is>
          <t>OT-2025-0482</t>
        </is>
      </c>
      <c r="J366" s="9">
        <f>IF(I366="","",IFERROR(INDEX('Ordres de travail'!$D$5:$D$3004,MATCH(I366,'Ordres de travail'!$A$5:$A$3004,0)),""))</f>
        <v/>
      </c>
      <c r="K366" s="9">
        <f>IF(D366="","",IFERROR(INDEX('Stock pièces'!$D$5:$D$404,MATCH(D366,'Stock pièces'!$A$5:$A$404,0)),""))</f>
        <v/>
      </c>
      <c r="L366" s="7" t="n"/>
      <c r="M366" s="7" t="n"/>
    </row>
    <row r="367">
      <c r="A367" s="7" t="inlineStr">
        <is>
          <t>MV-00363</t>
        </is>
      </c>
      <c r="B367" s="75" t="n">
        <v>45875.04722222222</v>
      </c>
      <c r="C367" s="7" t="inlineStr">
        <is>
          <t>Sortie</t>
        </is>
      </c>
      <c r="D367" s="7" t="inlineStr">
        <is>
          <t>PD-0032</t>
        </is>
      </c>
      <c r="E367" s="9">
        <f>IF(D367="","",IFERROR(INDEX('Stock pièces'!$B$5:$B$404,MATCH(D367,'Stock pièces'!$A$5:$A$404,0)),"Réf. inconnue"))</f>
        <v/>
      </c>
      <c r="F367" s="67" t="n">
        <v>1</v>
      </c>
      <c r="G367" s="81">
        <f>IF(D367="","",IFERROR(INDEX('Stock pièces'!$I$5:$I$404,MATCH(D367,'Stock pièces'!$A$5:$A$404,0)),0))</f>
        <v/>
      </c>
      <c r="H367" s="81">
        <f>IF(D367="","",N(F367)*N(G367))</f>
        <v/>
      </c>
      <c r="I367" s="7" t="inlineStr">
        <is>
          <t>OT-2025-0482</t>
        </is>
      </c>
      <c r="J367" s="9">
        <f>IF(I367="","",IFERROR(INDEX('Ordres de travail'!$D$5:$D$3004,MATCH(I367,'Ordres de travail'!$A$5:$A$3004,0)),""))</f>
        <v/>
      </c>
      <c r="K367" s="9">
        <f>IF(D367="","",IFERROR(INDEX('Stock pièces'!$D$5:$D$404,MATCH(D367,'Stock pièces'!$A$5:$A$404,0)),""))</f>
        <v/>
      </c>
      <c r="L367" s="7" t="n"/>
      <c r="M367" s="7" t="n"/>
    </row>
    <row r="368">
      <c r="A368" s="7" t="inlineStr">
        <is>
          <t>MV-00364</t>
        </is>
      </c>
      <c r="B368" s="75" t="n">
        <v>45875.07638888889</v>
      </c>
      <c r="C368" s="7" t="inlineStr">
        <is>
          <t>Sortie</t>
        </is>
      </c>
      <c r="D368" s="7" t="inlineStr">
        <is>
          <t>PD-0064</t>
        </is>
      </c>
      <c r="E368" s="9">
        <f>IF(D368="","",IFERROR(INDEX('Stock pièces'!$B$5:$B$404,MATCH(D368,'Stock pièces'!$A$5:$A$404,0)),"Réf. inconnue"))</f>
        <v/>
      </c>
      <c r="F368" s="67" t="n">
        <v>1</v>
      </c>
      <c r="G368" s="81">
        <f>IF(D368="","",IFERROR(INDEX('Stock pièces'!$I$5:$I$404,MATCH(D368,'Stock pièces'!$A$5:$A$404,0)),0))</f>
        <v/>
      </c>
      <c r="H368" s="81">
        <f>IF(D368="","",N(F368)*N(G368))</f>
        <v/>
      </c>
      <c r="I368" s="7" t="inlineStr">
        <is>
          <t>OT-2025-0483</t>
        </is>
      </c>
      <c r="J368" s="9">
        <f>IF(I368="","",IFERROR(INDEX('Ordres de travail'!$D$5:$D$3004,MATCH(I368,'Ordres de travail'!$A$5:$A$3004,0)),""))</f>
        <v/>
      </c>
      <c r="K368" s="9">
        <f>IF(D368="","",IFERROR(INDEX('Stock pièces'!$D$5:$D$404,MATCH(D368,'Stock pièces'!$A$5:$A$404,0)),""))</f>
        <v/>
      </c>
      <c r="L368" s="7" t="n"/>
      <c r="M368" s="7" t="n"/>
    </row>
    <row r="369">
      <c r="A369" s="7" t="inlineStr">
        <is>
          <t>MV-00365</t>
        </is>
      </c>
      <c r="B369" s="75" t="n">
        <v>45875.41666666666</v>
      </c>
      <c r="C369" s="7" t="inlineStr">
        <is>
          <t>Entrée</t>
        </is>
      </c>
      <c r="D369" s="7" t="inlineStr">
        <is>
          <t>PD-0058</t>
        </is>
      </c>
      <c r="E369" s="9">
        <f>IF(D369="","",IFERROR(INDEX('Stock pièces'!$B$5:$B$404,MATCH(D369,'Stock pièces'!$A$5:$A$404,0)),"Réf. inconnue"))</f>
        <v/>
      </c>
      <c r="F369" s="67" t="n">
        <v>7</v>
      </c>
      <c r="G369" s="81">
        <f>IF(D369="","",IFERROR(INDEX('Stock pièces'!$I$5:$I$404,MATCH(D369,'Stock pièces'!$A$5:$A$404,0)),0))</f>
        <v/>
      </c>
      <c r="H369" s="81">
        <f>IF(D369="","",N(F369)*N(G369))</f>
        <v/>
      </c>
      <c r="I369" s="7" t="n"/>
      <c r="J369" s="9">
        <f>IF(I369="","",IFERROR(INDEX('Ordres de travail'!$D$5:$D$3004,MATCH(I369,'Ordres de travail'!$A$5:$A$3004,0)),""))</f>
        <v/>
      </c>
      <c r="K369" s="9">
        <f>IF(D369="","",IFERROR(INDEX('Stock pièces'!$D$5:$D$404,MATCH(D369,'Stock pièces'!$A$5:$A$404,0)),""))</f>
        <v/>
      </c>
      <c r="L369" s="7" t="inlineStr">
        <is>
          <t>CMD-24102</t>
        </is>
      </c>
      <c r="M369" s="7" t="inlineStr">
        <is>
          <t>Réception commande réappro</t>
        </is>
      </c>
    </row>
    <row r="370">
      <c r="A370" s="7" t="inlineStr">
        <is>
          <t>MV-00366</t>
        </is>
      </c>
      <c r="B370" s="75" t="n">
        <v>45875.41666666666</v>
      </c>
      <c r="C370" s="7" t="inlineStr">
        <is>
          <t>Entrée</t>
        </is>
      </c>
      <c r="D370" s="7" t="inlineStr">
        <is>
          <t>PD-0067</t>
        </is>
      </c>
      <c r="E370" s="9">
        <f>IF(D370="","",IFERROR(INDEX('Stock pièces'!$B$5:$B$404,MATCH(D370,'Stock pièces'!$A$5:$A$404,0)),"Réf. inconnue"))</f>
        <v/>
      </c>
      <c r="F370" s="67" t="n">
        <v>2</v>
      </c>
      <c r="G370" s="81">
        <f>IF(D370="","",IFERROR(INDEX('Stock pièces'!$I$5:$I$404,MATCH(D370,'Stock pièces'!$A$5:$A$404,0)),0))</f>
        <v/>
      </c>
      <c r="H370" s="81">
        <f>IF(D370="","",N(F370)*N(G370))</f>
        <v/>
      </c>
      <c r="I370" s="7" t="n"/>
      <c r="J370" s="9">
        <f>IF(I370="","",IFERROR(INDEX('Ordres de travail'!$D$5:$D$3004,MATCH(I370,'Ordres de travail'!$A$5:$A$3004,0)),""))</f>
        <v/>
      </c>
      <c r="K370" s="9">
        <f>IF(D370="","",IFERROR(INDEX('Stock pièces'!$D$5:$D$404,MATCH(D370,'Stock pièces'!$A$5:$A$404,0)),""))</f>
        <v/>
      </c>
      <c r="L370" s="7" t="inlineStr">
        <is>
          <t>CMD-24103</t>
        </is>
      </c>
      <c r="M370" s="7" t="inlineStr">
        <is>
          <t>Réception commande réappro</t>
        </is>
      </c>
    </row>
    <row r="371">
      <c r="A371" s="7" t="inlineStr">
        <is>
          <t>MV-00367</t>
        </is>
      </c>
      <c r="B371" s="75" t="n">
        <v>45875.61111111111</v>
      </c>
      <c r="C371" s="7" t="inlineStr">
        <is>
          <t>Sortie</t>
        </is>
      </c>
      <c r="D371" s="7" t="inlineStr">
        <is>
          <t>PD-0025</t>
        </is>
      </c>
      <c r="E371" s="9">
        <f>IF(D371="","",IFERROR(INDEX('Stock pièces'!$B$5:$B$404,MATCH(D371,'Stock pièces'!$A$5:$A$404,0)),"Réf. inconnue"))</f>
        <v/>
      </c>
      <c r="F371" s="67" t="n">
        <v>3</v>
      </c>
      <c r="G371" s="81">
        <f>IF(D371="","",IFERROR(INDEX('Stock pièces'!$I$5:$I$404,MATCH(D371,'Stock pièces'!$A$5:$A$404,0)),0))</f>
        <v/>
      </c>
      <c r="H371" s="81">
        <f>IF(D371="","",N(F371)*N(G371))</f>
        <v/>
      </c>
      <c r="I371" s="7" t="inlineStr">
        <is>
          <t>OT-2025-0475</t>
        </is>
      </c>
      <c r="J371" s="9">
        <f>IF(I371="","",IFERROR(INDEX('Ordres de travail'!$D$5:$D$3004,MATCH(I371,'Ordres de travail'!$A$5:$A$3004,0)),""))</f>
        <v/>
      </c>
      <c r="K371" s="9">
        <f>IF(D371="","",IFERROR(INDEX('Stock pièces'!$D$5:$D$404,MATCH(D371,'Stock pièces'!$A$5:$A$404,0)),""))</f>
        <v/>
      </c>
      <c r="L371" s="7" t="n"/>
      <c r="M371" s="7" t="n"/>
    </row>
    <row r="372">
      <c r="A372" s="7" t="inlineStr">
        <is>
          <t>MV-00368</t>
        </is>
      </c>
      <c r="B372" s="75" t="n">
        <v>45877.28819444445</v>
      </c>
      <c r="C372" s="7" t="inlineStr">
        <is>
          <t>Sortie</t>
        </is>
      </c>
      <c r="D372" s="7" t="inlineStr">
        <is>
          <t>PD-0062</t>
        </is>
      </c>
      <c r="E372" s="9">
        <f>IF(D372="","",IFERROR(INDEX('Stock pièces'!$B$5:$B$404,MATCH(D372,'Stock pièces'!$A$5:$A$404,0)),"Réf. inconnue"))</f>
        <v/>
      </c>
      <c r="F372" s="67" t="n">
        <v>1</v>
      </c>
      <c r="G372" s="81">
        <f>IF(D372="","",IFERROR(INDEX('Stock pièces'!$I$5:$I$404,MATCH(D372,'Stock pièces'!$A$5:$A$404,0)),0))</f>
        <v/>
      </c>
      <c r="H372" s="81">
        <f>IF(D372="","",N(F372)*N(G372))</f>
        <v/>
      </c>
      <c r="I372" s="7" t="inlineStr">
        <is>
          <t>OT-2025-0478</t>
        </is>
      </c>
      <c r="J372" s="9">
        <f>IF(I372="","",IFERROR(INDEX('Ordres de travail'!$D$5:$D$3004,MATCH(I372,'Ordres de travail'!$A$5:$A$3004,0)),""))</f>
        <v/>
      </c>
      <c r="K372" s="9">
        <f>IF(D372="","",IFERROR(INDEX('Stock pièces'!$D$5:$D$404,MATCH(D372,'Stock pièces'!$A$5:$A$404,0)),""))</f>
        <v/>
      </c>
      <c r="L372" s="7" t="n"/>
      <c r="M372" s="7" t="n"/>
    </row>
    <row r="373">
      <c r="A373" s="7" t="inlineStr">
        <is>
          <t>MV-00369</t>
        </is>
      </c>
      <c r="B373" s="75" t="n">
        <v>45877.28819444445</v>
      </c>
      <c r="C373" s="7" t="inlineStr">
        <is>
          <t>Sortie</t>
        </is>
      </c>
      <c r="D373" s="7" t="inlineStr">
        <is>
          <t>PD-0063</t>
        </is>
      </c>
      <c r="E373" s="9">
        <f>IF(D373="","",IFERROR(INDEX('Stock pièces'!$B$5:$B$404,MATCH(D373,'Stock pièces'!$A$5:$A$404,0)),"Réf. inconnue"))</f>
        <v/>
      </c>
      <c r="F373" s="67" t="n">
        <v>1</v>
      </c>
      <c r="G373" s="81">
        <f>IF(D373="","",IFERROR(INDEX('Stock pièces'!$I$5:$I$404,MATCH(D373,'Stock pièces'!$A$5:$A$404,0)),0))</f>
        <v/>
      </c>
      <c r="H373" s="81">
        <f>IF(D373="","",N(F373)*N(G373))</f>
        <v/>
      </c>
      <c r="I373" s="7" t="inlineStr">
        <is>
          <t>OT-2025-0478</t>
        </is>
      </c>
      <c r="J373" s="9">
        <f>IF(I373="","",IFERROR(INDEX('Ordres de travail'!$D$5:$D$3004,MATCH(I373,'Ordres de travail'!$A$5:$A$3004,0)),""))</f>
        <v/>
      </c>
      <c r="K373" s="9">
        <f>IF(D373="","",IFERROR(INDEX('Stock pièces'!$D$5:$D$404,MATCH(D373,'Stock pièces'!$A$5:$A$404,0)),""))</f>
        <v/>
      </c>
      <c r="L373" s="7" t="n"/>
      <c r="M373" s="7" t="n"/>
    </row>
    <row r="374">
      <c r="A374" s="7" t="inlineStr">
        <is>
          <t>MV-00370</t>
        </is>
      </c>
      <c r="B374" s="75" t="n">
        <v>45877.88125</v>
      </c>
      <c r="C374" s="7" t="inlineStr">
        <is>
          <t>Sortie</t>
        </is>
      </c>
      <c r="D374" s="7" t="inlineStr">
        <is>
          <t>PD-0054</t>
        </is>
      </c>
      <c r="E374" s="9">
        <f>IF(D374="","",IFERROR(INDEX('Stock pièces'!$B$5:$B$404,MATCH(D374,'Stock pièces'!$A$5:$A$404,0)),"Réf. inconnue"))</f>
        <v/>
      </c>
      <c r="F374" s="67" t="n">
        <v>3</v>
      </c>
      <c r="G374" s="81">
        <f>IF(D374="","",IFERROR(INDEX('Stock pièces'!$I$5:$I$404,MATCH(D374,'Stock pièces'!$A$5:$A$404,0)),0))</f>
        <v/>
      </c>
      <c r="H374" s="81">
        <f>IF(D374="","",N(F374)*N(G374))</f>
        <v/>
      </c>
      <c r="I374" s="7" t="inlineStr">
        <is>
          <t>OT-2025-0493</t>
        </is>
      </c>
      <c r="J374" s="9">
        <f>IF(I374="","",IFERROR(INDEX('Ordres de travail'!$D$5:$D$3004,MATCH(I374,'Ordres de travail'!$A$5:$A$3004,0)),""))</f>
        <v/>
      </c>
      <c r="K374" s="9">
        <f>IF(D374="","",IFERROR(INDEX('Stock pièces'!$D$5:$D$404,MATCH(D374,'Stock pièces'!$A$5:$A$404,0)),""))</f>
        <v/>
      </c>
      <c r="L374" s="7" t="n"/>
      <c r="M374" s="7" t="n"/>
    </row>
    <row r="375">
      <c r="A375" s="7" t="inlineStr">
        <is>
          <t>MV-00371</t>
        </is>
      </c>
      <c r="B375" s="75" t="n">
        <v>45880.52291666667</v>
      </c>
      <c r="C375" s="7" t="inlineStr">
        <is>
          <t>Sortie</t>
        </is>
      </c>
      <c r="D375" s="7" t="inlineStr">
        <is>
          <t>PD-0040</t>
        </is>
      </c>
      <c r="E375" s="9">
        <f>IF(D375="","",IFERROR(INDEX('Stock pièces'!$B$5:$B$404,MATCH(D375,'Stock pièces'!$A$5:$A$404,0)),"Réf. inconnue"))</f>
        <v/>
      </c>
      <c r="F375" s="67" t="n">
        <v>2</v>
      </c>
      <c r="G375" s="81">
        <f>IF(D375="","",IFERROR(INDEX('Stock pièces'!$I$5:$I$404,MATCH(D375,'Stock pièces'!$A$5:$A$404,0)),0))</f>
        <v/>
      </c>
      <c r="H375" s="81">
        <f>IF(D375="","",N(F375)*N(G375))</f>
        <v/>
      </c>
      <c r="I375" s="7" t="inlineStr">
        <is>
          <t>OT-2025-0497</t>
        </is>
      </c>
      <c r="J375" s="9">
        <f>IF(I375="","",IFERROR(INDEX('Ordres de travail'!$D$5:$D$3004,MATCH(I375,'Ordres de travail'!$A$5:$A$3004,0)),""))</f>
        <v/>
      </c>
      <c r="K375" s="9">
        <f>IF(D375="","",IFERROR(INDEX('Stock pièces'!$D$5:$D$404,MATCH(D375,'Stock pièces'!$A$5:$A$404,0)),""))</f>
        <v/>
      </c>
      <c r="L375" s="7" t="n"/>
      <c r="M375" s="7" t="n"/>
    </row>
    <row r="376">
      <c r="A376" s="7" t="inlineStr">
        <is>
          <t>MV-00372</t>
        </is>
      </c>
      <c r="B376" s="75" t="n">
        <v>45880.55694444444</v>
      </c>
      <c r="C376" s="7" t="inlineStr">
        <is>
          <t>Sortie</t>
        </is>
      </c>
      <c r="D376" s="7" t="inlineStr">
        <is>
          <t>PD-0010</t>
        </is>
      </c>
      <c r="E376" s="9">
        <f>IF(D376="","",IFERROR(INDEX('Stock pièces'!$B$5:$B$404,MATCH(D376,'Stock pièces'!$A$5:$A$404,0)),"Réf. inconnue"))</f>
        <v/>
      </c>
      <c r="F376" s="67" t="n">
        <v>1</v>
      </c>
      <c r="G376" s="81">
        <f>IF(D376="","",IFERROR(INDEX('Stock pièces'!$I$5:$I$404,MATCH(D376,'Stock pièces'!$A$5:$A$404,0)),0))</f>
        <v/>
      </c>
      <c r="H376" s="81">
        <f>IF(D376="","",N(F376)*N(G376))</f>
        <v/>
      </c>
      <c r="I376" s="7" t="inlineStr">
        <is>
          <t>OT-2025-0498</t>
        </is>
      </c>
      <c r="J376" s="9">
        <f>IF(I376="","",IFERROR(INDEX('Ordres de travail'!$D$5:$D$3004,MATCH(I376,'Ordres de travail'!$A$5:$A$3004,0)),""))</f>
        <v/>
      </c>
      <c r="K376" s="9">
        <f>IF(D376="","",IFERROR(INDEX('Stock pièces'!$D$5:$D$404,MATCH(D376,'Stock pièces'!$A$5:$A$404,0)),""))</f>
        <v/>
      </c>
      <c r="L376" s="7" t="n"/>
      <c r="M376" s="7" t="n"/>
    </row>
    <row r="377">
      <c r="A377" s="7" t="inlineStr">
        <is>
          <t>MV-00373</t>
        </is>
      </c>
      <c r="B377" s="75" t="n">
        <v>45881.18055555555</v>
      </c>
      <c r="C377" s="7" t="inlineStr">
        <is>
          <t>Sortie</t>
        </is>
      </c>
      <c r="D377" s="7" t="inlineStr">
        <is>
          <t>PD-0068</t>
        </is>
      </c>
      <c r="E377" s="9">
        <f>IF(D377="","",IFERROR(INDEX('Stock pièces'!$B$5:$B$404,MATCH(D377,'Stock pièces'!$A$5:$A$404,0)),"Réf. inconnue"))</f>
        <v/>
      </c>
      <c r="F377" s="67" t="n">
        <v>1</v>
      </c>
      <c r="G377" s="81">
        <f>IF(D377="","",IFERROR(INDEX('Stock pièces'!$I$5:$I$404,MATCH(D377,'Stock pièces'!$A$5:$A$404,0)),0))</f>
        <v/>
      </c>
      <c r="H377" s="81">
        <f>IF(D377="","",N(F377)*N(G377))</f>
        <v/>
      </c>
      <c r="I377" s="7" t="inlineStr">
        <is>
          <t>OT-2025-0494</t>
        </is>
      </c>
      <c r="J377" s="9">
        <f>IF(I377="","",IFERROR(INDEX('Ordres de travail'!$D$5:$D$3004,MATCH(I377,'Ordres de travail'!$A$5:$A$3004,0)),""))</f>
        <v/>
      </c>
      <c r="K377" s="9">
        <f>IF(D377="","",IFERROR(INDEX('Stock pièces'!$D$5:$D$404,MATCH(D377,'Stock pièces'!$A$5:$A$404,0)),""))</f>
        <v/>
      </c>
      <c r="L377" s="7" t="n"/>
      <c r="M377" s="7" t="n"/>
    </row>
    <row r="378">
      <c r="A378" s="7" t="inlineStr">
        <is>
          <t>MV-00374</t>
        </is>
      </c>
      <c r="B378" s="75" t="n">
        <v>45881.18055555555</v>
      </c>
      <c r="C378" s="7" t="inlineStr">
        <is>
          <t>Sortie</t>
        </is>
      </c>
      <c r="D378" s="7" t="inlineStr">
        <is>
          <t>PD-0069</t>
        </is>
      </c>
      <c r="E378" s="9">
        <f>IF(D378="","",IFERROR(INDEX('Stock pièces'!$B$5:$B$404,MATCH(D378,'Stock pièces'!$A$5:$A$404,0)),"Réf. inconnue"))</f>
        <v/>
      </c>
      <c r="F378" s="67" t="n">
        <v>1</v>
      </c>
      <c r="G378" s="81">
        <f>IF(D378="","",IFERROR(INDEX('Stock pièces'!$I$5:$I$404,MATCH(D378,'Stock pièces'!$A$5:$A$404,0)),0))</f>
        <v/>
      </c>
      <c r="H378" s="81">
        <f>IF(D378="","",N(F378)*N(G378))</f>
        <v/>
      </c>
      <c r="I378" s="7" t="inlineStr">
        <is>
          <t>OT-2025-0494</t>
        </is>
      </c>
      <c r="J378" s="9">
        <f>IF(I378="","",IFERROR(INDEX('Ordres de travail'!$D$5:$D$3004,MATCH(I378,'Ordres de travail'!$A$5:$A$3004,0)),""))</f>
        <v/>
      </c>
      <c r="K378" s="9">
        <f>IF(D378="","",IFERROR(INDEX('Stock pièces'!$D$5:$D$404,MATCH(D378,'Stock pièces'!$A$5:$A$404,0)),""))</f>
        <v/>
      </c>
      <c r="L378" s="7" t="n"/>
      <c r="M378" s="7" t="n"/>
    </row>
    <row r="379">
      <c r="A379" s="7" t="inlineStr">
        <is>
          <t>MV-00375</t>
        </is>
      </c>
      <c r="B379" s="75" t="n">
        <v>45881.32638888889</v>
      </c>
      <c r="C379" s="7" t="inlineStr">
        <is>
          <t>Sortie</t>
        </is>
      </c>
      <c r="D379" s="7" t="inlineStr">
        <is>
          <t>PD-0017</t>
        </is>
      </c>
      <c r="E379" s="9">
        <f>IF(D379="","",IFERROR(INDEX('Stock pièces'!$B$5:$B$404,MATCH(D379,'Stock pièces'!$A$5:$A$404,0)),"Réf. inconnue"))</f>
        <v/>
      </c>
      <c r="F379" s="67" t="n">
        <v>1</v>
      </c>
      <c r="G379" s="81">
        <f>IF(D379="","",IFERROR(INDEX('Stock pièces'!$I$5:$I$404,MATCH(D379,'Stock pièces'!$A$5:$A$404,0)),0))</f>
        <v/>
      </c>
      <c r="H379" s="81">
        <f>IF(D379="","",N(F379)*N(G379))</f>
        <v/>
      </c>
      <c r="I379" s="7" t="inlineStr">
        <is>
          <t>OT-2025-0484</t>
        </is>
      </c>
      <c r="J379" s="9">
        <f>IF(I379="","",IFERROR(INDEX('Ordres de travail'!$D$5:$D$3004,MATCH(I379,'Ordres de travail'!$A$5:$A$3004,0)),""))</f>
        <v/>
      </c>
      <c r="K379" s="9">
        <f>IF(D379="","",IFERROR(INDEX('Stock pièces'!$D$5:$D$404,MATCH(D379,'Stock pièces'!$A$5:$A$404,0)),""))</f>
        <v/>
      </c>
      <c r="L379" s="7" t="n"/>
      <c r="M379" s="7" t="n"/>
    </row>
    <row r="380">
      <c r="A380" s="7" t="inlineStr">
        <is>
          <t>MV-00376</t>
        </is>
      </c>
      <c r="B380" s="75" t="n">
        <v>45882.41666666666</v>
      </c>
      <c r="C380" s="7" t="inlineStr">
        <is>
          <t>Entrée</t>
        </is>
      </c>
      <c r="D380" s="7" t="inlineStr">
        <is>
          <t>PD-0026</t>
        </is>
      </c>
      <c r="E380" s="9">
        <f>IF(D380="","",IFERROR(INDEX('Stock pièces'!$B$5:$B$404,MATCH(D380,'Stock pièces'!$A$5:$A$404,0)),"Réf. inconnue"))</f>
        <v/>
      </c>
      <c r="F380" s="67" t="n">
        <v>1</v>
      </c>
      <c r="G380" s="81">
        <f>IF(D380="","",IFERROR(INDEX('Stock pièces'!$I$5:$I$404,MATCH(D380,'Stock pièces'!$A$5:$A$404,0)),0))</f>
        <v/>
      </c>
      <c r="H380" s="81">
        <f>IF(D380="","",N(F380)*N(G380))</f>
        <v/>
      </c>
      <c r="I380" s="7" t="n"/>
      <c r="J380" s="9">
        <f>IF(I380="","",IFERROR(INDEX('Ordres de travail'!$D$5:$D$3004,MATCH(I380,'Ordres de travail'!$A$5:$A$3004,0)),""))</f>
        <v/>
      </c>
      <c r="K380" s="9">
        <f>IF(D380="","",IFERROR(INDEX('Stock pièces'!$D$5:$D$404,MATCH(D380,'Stock pièces'!$A$5:$A$404,0)),""))</f>
        <v/>
      </c>
      <c r="L380" s="7" t="inlineStr">
        <is>
          <t>CMD-24104</t>
        </is>
      </c>
      <c r="M380" s="7" t="inlineStr">
        <is>
          <t>Réception commande réappro</t>
        </is>
      </c>
    </row>
    <row r="381">
      <c r="A381" s="7" t="inlineStr">
        <is>
          <t>MV-00377</t>
        </is>
      </c>
      <c r="B381" s="75" t="n">
        <v>45883.39583333334</v>
      </c>
      <c r="C381" s="7" t="inlineStr">
        <is>
          <t>Sortie</t>
        </is>
      </c>
      <c r="D381" s="7" t="inlineStr">
        <is>
          <t>PD-0025</t>
        </is>
      </c>
      <c r="E381" s="9">
        <f>IF(D381="","",IFERROR(INDEX('Stock pièces'!$B$5:$B$404,MATCH(D381,'Stock pièces'!$A$5:$A$404,0)),"Réf. inconnue"))</f>
        <v/>
      </c>
      <c r="F381" s="67" t="n">
        <v>2</v>
      </c>
      <c r="G381" s="81">
        <f>IF(D381="","",IFERROR(INDEX('Stock pièces'!$I$5:$I$404,MATCH(D381,'Stock pièces'!$A$5:$A$404,0)),0))</f>
        <v/>
      </c>
      <c r="H381" s="81">
        <f>IF(D381="","",N(F381)*N(G381))</f>
        <v/>
      </c>
      <c r="I381" s="7" t="inlineStr">
        <is>
          <t>OT-2025-0491</t>
        </is>
      </c>
      <c r="J381" s="9">
        <f>IF(I381="","",IFERROR(INDEX('Ordres de travail'!$D$5:$D$3004,MATCH(I381,'Ordres de travail'!$A$5:$A$3004,0)),""))</f>
        <v/>
      </c>
      <c r="K381" s="9">
        <f>IF(D381="","",IFERROR(INDEX('Stock pièces'!$D$5:$D$404,MATCH(D381,'Stock pièces'!$A$5:$A$404,0)),""))</f>
        <v/>
      </c>
      <c r="L381" s="7" t="n"/>
      <c r="M381" s="7" t="n"/>
    </row>
    <row r="382">
      <c r="A382" s="7" t="inlineStr">
        <is>
          <t>MV-00378</t>
        </is>
      </c>
      <c r="B382" s="75" t="n">
        <v>45883.41666666666</v>
      </c>
      <c r="C382" s="7" t="inlineStr">
        <is>
          <t>Entrée</t>
        </is>
      </c>
      <c r="D382" s="7" t="inlineStr">
        <is>
          <t>PD-0030</t>
        </is>
      </c>
      <c r="E382" s="9">
        <f>IF(D382="","",IFERROR(INDEX('Stock pièces'!$B$5:$B$404,MATCH(D382,'Stock pièces'!$A$5:$A$404,0)),"Réf. inconnue"))</f>
        <v/>
      </c>
      <c r="F382" s="67" t="n">
        <v>1</v>
      </c>
      <c r="G382" s="81">
        <f>IF(D382="","",IFERROR(INDEX('Stock pièces'!$I$5:$I$404,MATCH(D382,'Stock pièces'!$A$5:$A$404,0)),0))</f>
        <v/>
      </c>
      <c r="H382" s="81">
        <f>IF(D382="","",N(F382)*N(G382))</f>
        <v/>
      </c>
      <c r="I382" s="7" t="n"/>
      <c r="J382" s="9">
        <f>IF(I382="","",IFERROR(INDEX('Ordres de travail'!$D$5:$D$3004,MATCH(I382,'Ordres de travail'!$A$5:$A$3004,0)),""))</f>
        <v/>
      </c>
      <c r="K382" s="9">
        <f>IF(D382="","",IFERROR(INDEX('Stock pièces'!$D$5:$D$404,MATCH(D382,'Stock pièces'!$A$5:$A$404,0)),""))</f>
        <v/>
      </c>
      <c r="L382" s="7" t="inlineStr">
        <is>
          <t>CMD-24105</t>
        </is>
      </c>
      <c r="M382" s="7" t="inlineStr">
        <is>
          <t>Réception commande réappro</t>
        </is>
      </c>
    </row>
    <row r="383">
      <c r="A383" s="7" t="inlineStr">
        <is>
          <t>MV-00379</t>
        </is>
      </c>
      <c r="B383" s="75" t="n">
        <v>45884.41666666666</v>
      </c>
      <c r="C383" s="7" t="inlineStr">
        <is>
          <t>Entrée</t>
        </is>
      </c>
      <c r="D383" s="7" t="inlineStr">
        <is>
          <t>PD-0040</t>
        </is>
      </c>
      <c r="E383" s="9">
        <f>IF(D383="","",IFERROR(INDEX('Stock pièces'!$B$5:$B$404,MATCH(D383,'Stock pièces'!$A$5:$A$404,0)),"Réf. inconnue"))</f>
        <v/>
      </c>
      <c r="F383" s="67" t="n">
        <v>6</v>
      </c>
      <c r="G383" s="81">
        <f>IF(D383="","",IFERROR(INDEX('Stock pièces'!$I$5:$I$404,MATCH(D383,'Stock pièces'!$A$5:$A$404,0)),0))</f>
        <v/>
      </c>
      <c r="H383" s="81">
        <f>IF(D383="","",N(F383)*N(G383))</f>
        <v/>
      </c>
      <c r="I383" s="7" t="n"/>
      <c r="J383" s="9">
        <f>IF(I383="","",IFERROR(INDEX('Ordres de travail'!$D$5:$D$3004,MATCH(I383,'Ordres de travail'!$A$5:$A$3004,0)),""))</f>
        <v/>
      </c>
      <c r="K383" s="9">
        <f>IF(D383="","",IFERROR(INDEX('Stock pièces'!$D$5:$D$404,MATCH(D383,'Stock pièces'!$A$5:$A$404,0)),""))</f>
        <v/>
      </c>
      <c r="L383" s="7" t="inlineStr">
        <is>
          <t>CMD-24107</t>
        </is>
      </c>
      <c r="M383" s="7" t="inlineStr">
        <is>
          <t>Réception commande réappro</t>
        </is>
      </c>
    </row>
    <row r="384">
      <c r="A384" s="7" t="inlineStr">
        <is>
          <t>MV-00380</t>
        </is>
      </c>
      <c r="B384" s="75" t="n">
        <v>45884.82152777778</v>
      </c>
      <c r="C384" s="7" t="inlineStr">
        <is>
          <t>Sortie</t>
        </is>
      </c>
      <c r="D384" s="7" t="inlineStr">
        <is>
          <t>PD-0028</t>
        </is>
      </c>
      <c r="E384" s="9">
        <f>IF(D384="","",IFERROR(INDEX('Stock pièces'!$B$5:$B$404,MATCH(D384,'Stock pièces'!$A$5:$A$404,0)),"Réf. inconnue"))</f>
        <v/>
      </c>
      <c r="F384" s="67" t="n">
        <v>1</v>
      </c>
      <c r="G384" s="81">
        <f>IF(D384="","",IFERROR(INDEX('Stock pièces'!$I$5:$I$404,MATCH(D384,'Stock pièces'!$A$5:$A$404,0)),0))</f>
        <v/>
      </c>
      <c r="H384" s="81">
        <f>IF(D384="","",N(F384)*N(G384))</f>
        <v/>
      </c>
      <c r="I384" s="7" t="inlineStr">
        <is>
          <t>OT-2025-0513</t>
        </is>
      </c>
      <c r="J384" s="9">
        <f>IF(I384="","",IFERROR(INDEX('Ordres de travail'!$D$5:$D$3004,MATCH(I384,'Ordres de travail'!$A$5:$A$3004,0)),""))</f>
        <v/>
      </c>
      <c r="K384" s="9">
        <f>IF(D384="","",IFERROR(INDEX('Stock pièces'!$D$5:$D$404,MATCH(D384,'Stock pièces'!$A$5:$A$404,0)),""))</f>
        <v/>
      </c>
      <c r="L384" s="7" t="n"/>
      <c r="M384" s="7" t="n"/>
    </row>
    <row r="385">
      <c r="A385" s="7" t="inlineStr">
        <is>
          <t>MV-00381</t>
        </is>
      </c>
      <c r="B385" s="75" t="n">
        <v>45887.41666666666</v>
      </c>
      <c r="C385" s="7" t="inlineStr">
        <is>
          <t>Entrée</t>
        </is>
      </c>
      <c r="D385" s="7" t="inlineStr">
        <is>
          <t>PD-0054</t>
        </is>
      </c>
      <c r="E385" s="9">
        <f>IF(D385="","",IFERROR(INDEX('Stock pièces'!$B$5:$B$404,MATCH(D385,'Stock pièces'!$A$5:$A$404,0)),"Réf. inconnue"))</f>
        <v/>
      </c>
      <c r="F385" s="67" t="n">
        <v>3</v>
      </c>
      <c r="G385" s="81">
        <f>IF(D385="","",IFERROR(INDEX('Stock pièces'!$I$5:$I$404,MATCH(D385,'Stock pièces'!$A$5:$A$404,0)),0))</f>
        <v/>
      </c>
      <c r="H385" s="81">
        <f>IF(D385="","",N(F385)*N(G385))</f>
        <v/>
      </c>
      <c r="I385" s="7" t="n"/>
      <c r="J385" s="9">
        <f>IF(I385="","",IFERROR(INDEX('Ordres de travail'!$D$5:$D$3004,MATCH(I385,'Ordres de travail'!$A$5:$A$3004,0)),""))</f>
        <v/>
      </c>
      <c r="K385" s="9">
        <f>IF(D385="","",IFERROR(INDEX('Stock pièces'!$D$5:$D$404,MATCH(D385,'Stock pièces'!$A$5:$A$404,0)),""))</f>
        <v/>
      </c>
      <c r="L385" s="7" t="inlineStr">
        <is>
          <t>CMD-24106</t>
        </is>
      </c>
      <c r="M385" s="7" t="inlineStr">
        <is>
          <t>Réception commande réappro</t>
        </is>
      </c>
    </row>
    <row r="386">
      <c r="A386" s="7" t="inlineStr">
        <is>
          <t>MV-00382</t>
        </is>
      </c>
      <c r="B386" s="75" t="n">
        <v>45887.85347222222</v>
      </c>
      <c r="C386" s="7" t="inlineStr">
        <is>
          <t>Sortie</t>
        </is>
      </c>
      <c r="D386" s="7" t="inlineStr">
        <is>
          <t>PD-0028</t>
        </is>
      </c>
      <c r="E386" s="9">
        <f>IF(D386="","",IFERROR(INDEX('Stock pièces'!$B$5:$B$404,MATCH(D386,'Stock pièces'!$A$5:$A$404,0)),"Réf. inconnue"))</f>
        <v/>
      </c>
      <c r="F386" s="67" t="n">
        <v>2</v>
      </c>
      <c r="G386" s="81">
        <f>IF(D386="","",IFERROR(INDEX('Stock pièces'!$I$5:$I$404,MATCH(D386,'Stock pièces'!$A$5:$A$404,0)),0))</f>
        <v/>
      </c>
      <c r="H386" s="81">
        <f>IF(D386="","",N(F386)*N(G386))</f>
        <v/>
      </c>
      <c r="I386" s="7" t="inlineStr">
        <is>
          <t>OT-2025-0519</t>
        </is>
      </c>
      <c r="J386" s="9">
        <f>IF(I386="","",IFERROR(INDEX('Ordres de travail'!$D$5:$D$3004,MATCH(I386,'Ordres de travail'!$A$5:$A$3004,0)),""))</f>
        <v/>
      </c>
      <c r="K386" s="9">
        <f>IF(D386="","",IFERROR(INDEX('Stock pièces'!$D$5:$D$404,MATCH(D386,'Stock pièces'!$A$5:$A$404,0)),""))</f>
        <v/>
      </c>
      <c r="L386" s="7" t="n"/>
      <c r="M386" s="7" t="n"/>
    </row>
    <row r="387">
      <c r="A387" s="7" t="inlineStr">
        <is>
          <t>MV-00383</t>
        </is>
      </c>
      <c r="B387" s="75" t="n">
        <v>45888.32638888889</v>
      </c>
      <c r="C387" s="7" t="inlineStr">
        <is>
          <t>Sortie</t>
        </is>
      </c>
      <c r="D387" s="7" t="inlineStr">
        <is>
          <t>PD-0012</t>
        </is>
      </c>
      <c r="E387" s="9">
        <f>IF(D387="","",IFERROR(INDEX('Stock pièces'!$B$5:$B$404,MATCH(D387,'Stock pièces'!$A$5:$A$404,0)),"Réf. inconnue"))</f>
        <v/>
      </c>
      <c r="F387" s="67" t="n">
        <v>1</v>
      </c>
      <c r="G387" s="81">
        <f>IF(D387="","",IFERROR(INDEX('Stock pièces'!$I$5:$I$404,MATCH(D387,'Stock pièces'!$A$5:$A$404,0)),0))</f>
        <v/>
      </c>
      <c r="H387" s="81">
        <f>IF(D387="","",N(F387)*N(G387))</f>
        <v/>
      </c>
      <c r="I387" s="7" t="inlineStr">
        <is>
          <t>OT-2025-0501</t>
        </is>
      </c>
      <c r="J387" s="9">
        <f>IF(I387="","",IFERROR(INDEX('Ordres de travail'!$D$5:$D$3004,MATCH(I387,'Ordres de travail'!$A$5:$A$3004,0)),""))</f>
        <v/>
      </c>
      <c r="K387" s="9">
        <f>IF(D387="","",IFERROR(INDEX('Stock pièces'!$D$5:$D$404,MATCH(D387,'Stock pièces'!$A$5:$A$404,0)),""))</f>
        <v/>
      </c>
      <c r="L387" s="7" t="n"/>
      <c r="M387" s="7" t="n"/>
    </row>
    <row r="388">
      <c r="A388" s="7" t="inlineStr">
        <is>
          <t>MV-00384</t>
        </is>
      </c>
      <c r="B388" s="75" t="n">
        <v>45888.32638888889</v>
      </c>
      <c r="C388" s="7" t="inlineStr">
        <is>
          <t>Sortie</t>
        </is>
      </c>
      <c r="D388" s="7" t="inlineStr">
        <is>
          <t>PD-0013</t>
        </is>
      </c>
      <c r="E388" s="9">
        <f>IF(D388="","",IFERROR(INDEX('Stock pièces'!$B$5:$B$404,MATCH(D388,'Stock pièces'!$A$5:$A$404,0)),"Réf. inconnue"))</f>
        <v/>
      </c>
      <c r="F388" s="67" t="n">
        <v>1</v>
      </c>
      <c r="G388" s="81">
        <f>IF(D388="","",IFERROR(INDEX('Stock pièces'!$I$5:$I$404,MATCH(D388,'Stock pièces'!$A$5:$A$404,0)),0))</f>
        <v/>
      </c>
      <c r="H388" s="81">
        <f>IF(D388="","",N(F388)*N(G388))</f>
        <v/>
      </c>
      <c r="I388" s="7" t="inlineStr">
        <is>
          <t>OT-2025-0501</t>
        </is>
      </c>
      <c r="J388" s="9">
        <f>IF(I388="","",IFERROR(INDEX('Ordres de travail'!$D$5:$D$3004,MATCH(I388,'Ordres de travail'!$A$5:$A$3004,0)),""))</f>
        <v/>
      </c>
      <c r="K388" s="9">
        <f>IF(D388="","",IFERROR(INDEX('Stock pièces'!$D$5:$D$404,MATCH(D388,'Stock pièces'!$A$5:$A$404,0)),""))</f>
        <v/>
      </c>
      <c r="L388" s="7" t="n"/>
      <c r="M388" s="7" t="n"/>
    </row>
    <row r="389">
      <c r="A389" s="7" t="inlineStr">
        <is>
          <t>MV-00385</t>
        </is>
      </c>
      <c r="B389" s="75" t="n">
        <v>45888.32638888889</v>
      </c>
      <c r="C389" s="7" t="inlineStr">
        <is>
          <t>Sortie</t>
        </is>
      </c>
      <c r="D389" s="7" t="inlineStr">
        <is>
          <t>PD-0014</t>
        </is>
      </c>
      <c r="E389" s="9">
        <f>IF(D389="","",IFERROR(INDEX('Stock pièces'!$B$5:$B$404,MATCH(D389,'Stock pièces'!$A$5:$A$404,0)),"Réf. inconnue"))</f>
        <v/>
      </c>
      <c r="F389" s="67" t="n">
        <v>1</v>
      </c>
      <c r="G389" s="81">
        <f>IF(D389="","",IFERROR(INDEX('Stock pièces'!$I$5:$I$404,MATCH(D389,'Stock pièces'!$A$5:$A$404,0)),0))</f>
        <v/>
      </c>
      <c r="H389" s="81">
        <f>IF(D389="","",N(F389)*N(G389))</f>
        <v/>
      </c>
      <c r="I389" s="7" t="inlineStr">
        <is>
          <t>OT-2025-0501</t>
        </is>
      </c>
      <c r="J389" s="9">
        <f>IF(I389="","",IFERROR(INDEX('Ordres de travail'!$D$5:$D$3004,MATCH(I389,'Ordres de travail'!$A$5:$A$3004,0)),""))</f>
        <v/>
      </c>
      <c r="K389" s="9">
        <f>IF(D389="","",IFERROR(INDEX('Stock pièces'!$D$5:$D$404,MATCH(D389,'Stock pièces'!$A$5:$A$404,0)),""))</f>
        <v/>
      </c>
      <c r="L389" s="7" t="n"/>
      <c r="M389" s="7" t="n"/>
    </row>
    <row r="390">
      <c r="A390" s="7" t="inlineStr">
        <is>
          <t>MV-00386</t>
        </is>
      </c>
      <c r="B390" s="75" t="n">
        <v>45888.32638888889</v>
      </c>
      <c r="C390" s="7" t="inlineStr">
        <is>
          <t>Sortie</t>
        </is>
      </c>
      <c r="D390" s="7" t="inlineStr">
        <is>
          <t>PD-0024</t>
        </is>
      </c>
      <c r="E390" s="9">
        <f>IF(D390="","",IFERROR(INDEX('Stock pièces'!$B$5:$B$404,MATCH(D390,'Stock pièces'!$A$5:$A$404,0)),"Réf. inconnue"))</f>
        <v/>
      </c>
      <c r="F390" s="67" t="n">
        <v>1</v>
      </c>
      <c r="G390" s="81">
        <f>IF(D390="","",IFERROR(INDEX('Stock pièces'!$I$5:$I$404,MATCH(D390,'Stock pièces'!$A$5:$A$404,0)),0))</f>
        <v/>
      </c>
      <c r="H390" s="81">
        <f>IF(D390="","",N(F390)*N(G390))</f>
        <v/>
      </c>
      <c r="I390" s="7" t="inlineStr">
        <is>
          <t>OT-2025-0501</t>
        </is>
      </c>
      <c r="J390" s="9">
        <f>IF(I390="","",IFERROR(INDEX('Ordres de travail'!$D$5:$D$3004,MATCH(I390,'Ordres de travail'!$A$5:$A$3004,0)),""))</f>
        <v/>
      </c>
      <c r="K390" s="9">
        <f>IF(D390="","",IFERROR(INDEX('Stock pièces'!$D$5:$D$404,MATCH(D390,'Stock pièces'!$A$5:$A$404,0)),""))</f>
        <v/>
      </c>
      <c r="L390" s="7" t="n"/>
      <c r="M390" s="7" t="n"/>
    </row>
    <row r="391">
      <c r="A391" s="7" t="inlineStr">
        <is>
          <t>MV-00387</t>
        </is>
      </c>
      <c r="B391" s="75" t="n">
        <v>45888.35416666666</v>
      </c>
      <c r="C391" s="7" t="inlineStr">
        <is>
          <t>Sortie</t>
        </is>
      </c>
      <c r="D391" s="7" t="inlineStr">
        <is>
          <t>PD-0062</t>
        </is>
      </c>
      <c r="E391" s="9">
        <f>IF(D391="","",IFERROR(INDEX('Stock pièces'!$B$5:$B$404,MATCH(D391,'Stock pièces'!$A$5:$A$404,0)),"Réf. inconnue"))</f>
        <v/>
      </c>
      <c r="F391" s="67" t="n">
        <v>1</v>
      </c>
      <c r="G391" s="81">
        <f>IF(D391="","",IFERROR(INDEX('Stock pièces'!$I$5:$I$404,MATCH(D391,'Stock pièces'!$A$5:$A$404,0)),0))</f>
        <v/>
      </c>
      <c r="H391" s="81">
        <f>IF(D391="","",N(F391)*N(G391))</f>
        <v/>
      </c>
      <c r="I391" s="7" t="inlineStr">
        <is>
          <t>OT-2025-0502</t>
        </is>
      </c>
      <c r="J391" s="9">
        <f>IF(I391="","",IFERROR(INDEX('Ordres de travail'!$D$5:$D$3004,MATCH(I391,'Ordres de travail'!$A$5:$A$3004,0)),""))</f>
        <v/>
      </c>
      <c r="K391" s="9">
        <f>IF(D391="","",IFERROR(INDEX('Stock pièces'!$D$5:$D$404,MATCH(D391,'Stock pièces'!$A$5:$A$404,0)),""))</f>
        <v/>
      </c>
      <c r="L391" s="7" t="n"/>
      <c r="M391" s="7" t="n"/>
    </row>
    <row r="392">
      <c r="A392" s="7" t="inlineStr">
        <is>
          <t>MV-00388</t>
        </is>
      </c>
      <c r="B392" s="75" t="n">
        <v>45889.47222222222</v>
      </c>
      <c r="C392" s="7" t="inlineStr">
        <is>
          <t>Sortie</t>
        </is>
      </c>
      <c r="D392" s="7" t="inlineStr">
        <is>
          <t>PD-0021</t>
        </is>
      </c>
      <c r="E392" s="9">
        <f>IF(D392="","",IFERROR(INDEX('Stock pièces'!$B$5:$B$404,MATCH(D392,'Stock pièces'!$A$5:$A$404,0)),"Réf. inconnue"))</f>
        <v/>
      </c>
      <c r="F392" s="67" t="n">
        <v>1</v>
      </c>
      <c r="G392" s="81">
        <f>IF(D392="","",IFERROR(INDEX('Stock pièces'!$I$5:$I$404,MATCH(D392,'Stock pièces'!$A$5:$A$404,0)),0))</f>
        <v/>
      </c>
      <c r="H392" s="81">
        <f>IF(D392="","",N(F392)*N(G392))</f>
        <v/>
      </c>
      <c r="I392" s="7" t="inlineStr">
        <is>
          <t>OT-2025-0504</t>
        </is>
      </c>
      <c r="J392" s="9">
        <f>IF(I392="","",IFERROR(INDEX('Ordres de travail'!$D$5:$D$3004,MATCH(I392,'Ordres de travail'!$A$5:$A$3004,0)),""))</f>
        <v/>
      </c>
      <c r="K392" s="9">
        <f>IF(D392="","",IFERROR(INDEX('Stock pièces'!$D$5:$D$404,MATCH(D392,'Stock pièces'!$A$5:$A$404,0)),""))</f>
        <v/>
      </c>
      <c r="L392" s="7" t="n"/>
      <c r="M392" s="7" t="n"/>
    </row>
    <row r="393">
      <c r="A393" s="7" t="inlineStr">
        <is>
          <t>MV-00389</t>
        </is>
      </c>
      <c r="B393" s="75" t="n">
        <v>45890.34722222222</v>
      </c>
      <c r="C393" s="7" t="inlineStr">
        <is>
          <t>Sortie</t>
        </is>
      </c>
      <c r="D393" s="7" t="inlineStr">
        <is>
          <t>PD-0017</t>
        </is>
      </c>
      <c r="E393" s="9">
        <f>IF(D393="","",IFERROR(INDEX('Stock pièces'!$B$5:$B$404,MATCH(D393,'Stock pièces'!$A$5:$A$404,0)),"Réf. inconnue"))</f>
        <v/>
      </c>
      <c r="F393" s="67" t="n">
        <v>1</v>
      </c>
      <c r="G393" s="81">
        <f>IF(D393="","",IFERROR(INDEX('Stock pièces'!$I$5:$I$404,MATCH(D393,'Stock pièces'!$A$5:$A$404,0)),0))</f>
        <v/>
      </c>
      <c r="H393" s="81">
        <f>IF(D393="","",N(F393)*N(G393))</f>
        <v/>
      </c>
      <c r="I393" s="7" t="inlineStr">
        <is>
          <t>OT-2025-0508</t>
        </is>
      </c>
      <c r="J393" s="9">
        <f>IF(I393="","",IFERROR(INDEX('Ordres de travail'!$D$5:$D$3004,MATCH(I393,'Ordres de travail'!$A$5:$A$3004,0)),""))</f>
        <v/>
      </c>
      <c r="K393" s="9">
        <f>IF(D393="","",IFERROR(INDEX('Stock pièces'!$D$5:$D$404,MATCH(D393,'Stock pièces'!$A$5:$A$404,0)),""))</f>
        <v/>
      </c>
      <c r="L393" s="7" t="n"/>
      <c r="M393" s="7" t="n"/>
    </row>
    <row r="394">
      <c r="A394" s="7" t="inlineStr">
        <is>
          <t>MV-00390</t>
        </is>
      </c>
      <c r="B394" s="75" t="n">
        <v>45891.36805555555</v>
      </c>
      <c r="C394" s="7" t="inlineStr">
        <is>
          <t>Sortie</t>
        </is>
      </c>
      <c r="D394" s="7" t="inlineStr">
        <is>
          <t>PD-0056</t>
        </is>
      </c>
      <c r="E394" s="9">
        <f>IF(D394="","",IFERROR(INDEX('Stock pièces'!$B$5:$B$404,MATCH(D394,'Stock pièces'!$A$5:$A$404,0)),"Réf. inconnue"))</f>
        <v/>
      </c>
      <c r="F394" s="67" t="n">
        <v>1</v>
      </c>
      <c r="G394" s="81">
        <f>IF(D394="","",IFERROR(INDEX('Stock pièces'!$I$5:$I$404,MATCH(D394,'Stock pièces'!$A$5:$A$404,0)),0))</f>
        <v/>
      </c>
      <c r="H394" s="81">
        <f>IF(D394="","",N(F394)*N(G394))</f>
        <v/>
      </c>
      <c r="I394" s="7" t="inlineStr">
        <is>
          <t>OT-2025-0527</t>
        </is>
      </c>
      <c r="J394" s="9">
        <f>IF(I394="","",IFERROR(INDEX('Ordres de travail'!$D$5:$D$3004,MATCH(I394,'Ordres de travail'!$A$5:$A$3004,0)),""))</f>
        <v/>
      </c>
      <c r="K394" s="9">
        <f>IF(D394="","",IFERROR(INDEX('Stock pièces'!$D$5:$D$404,MATCH(D394,'Stock pièces'!$A$5:$A$404,0)),""))</f>
        <v/>
      </c>
      <c r="L394" s="7" t="n"/>
      <c r="M394" s="7" t="n"/>
    </row>
    <row r="395">
      <c r="A395" s="7" t="inlineStr">
        <is>
          <t>MV-00391</t>
        </is>
      </c>
      <c r="B395" s="75" t="n">
        <v>45891.41666666666</v>
      </c>
      <c r="C395" s="7" t="inlineStr">
        <is>
          <t>Entrée</t>
        </is>
      </c>
      <c r="D395" s="7" t="inlineStr">
        <is>
          <t>PD-0069</t>
        </is>
      </c>
      <c r="E395" s="9">
        <f>IF(D395="","",IFERROR(INDEX('Stock pièces'!$B$5:$B$404,MATCH(D395,'Stock pièces'!$A$5:$A$404,0)),"Réf. inconnue"))</f>
        <v/>
      </c>
      <c r="F395" s="67" t="n">
        <v>1</v>
      </c>
      <c r="G395" s="81">
        <f>IF(D395="","",IFERROR(INDEX('Stock pièces'!$I$5:$I$404,MATCH(D395,'Stock pièces'!$A$5:$A$404,0)),0))</f>
        <v/>
      </c>
      <c r="H395" s="81">
        <f>IF(D395="","",N(F395)*N(G395))</f>
        <v/>
      </c>
      <c r="I395" s="7" t="n"/>
      <c r="J395" s="9">
        <f>IF(I395="","",IFERROR(INDEX('Ordres de travail'!$D$5:$D$3004,MATCH(I395,'Ordres de travail'!$A$5:$A$3004,0)),""))</f>
        <v/>
      </c>
      <c r="K395" s="9">
        <f>IF(D395="","",IFERROR(INDEX('Stock pièces'!$D$5:$D$404,MATCH(D395,'Stock pièces'!$A$5:$A$404,0)),""))</f>
        <v/>
      </c>
      <c r="L395" s="7" t="inlineStr">
        <is>
          <t>CMD-24110</t>
        </is>
      </c>
      <c r="M395" s="7" t="inlineStr">
        <is>
          <t>Réception commande réappro</t>
        </is>
      </c>
    </row>
    <row r="396">
      <c r="A396" s="7" t="inlineStr">
        <is>
          <t>MV-00392</t>
        </is>
      </c>
      <c r="B396" s="75" t="n">
        <v>45891.46319444444</v>
      </c>
      <c r="C396" s="7" t="inlineStr">
        <is>
          <t>Sortie</t>
        </is>
      </c>
      <c r="D396" s="7" t="inlineStr">
        <is>
          <t>PD-0019</t>
        </is>
      </c>
      <c r="E396" s="9">
        <f>IF(D396="","",IFERROR(INDEX('Stock pièces'!$B$5:$B$404,MATCH(D396,'Stock pièces'!$A$5:$A$404,0)),"Réf. inconnue"))</f>
        <v/>
      </c>
      <c r="F396" s="67" t="n">
        <v>3</v>
      </c>
      <c r="G396" s="81">
        <f>IF(D396="","",IFERROR(INDEX('Stock pièces'!$I$5:$I$404,MATCH(D396,'Stock pièces'!$A$5:$A$404,0)),0))</f>
        <v/>
      </c>
      <c r="H396" s="81">
        <f>IF(D396="","",N(F396)*N(G396))</f>
        <v/>
      </c>
      <c r="I396" s="7" t="inlineStr">
        <is>
          <t>OT-2025-0526</t>
        </is>
      </c>
      <c r="J396" s="9">
        <f>IF(I396="","",IFERROR(INDEX('Ordres de travail'!$D$5:$D$3004,MATCH(I396,'Ordres de travail'!$A$5:$A$3004,0)),""))</f>
        <v/>
      </c>
      <c r="K396" s="9">
        <f>IF(D396="","",IFERROR(INDEX('Stock pièces'!$D$5:$D$404,MATCH(D396,'Stock pièces'!$A$5:$A$404,0)),""))</f>
        <v/>
      </c>
      <c r="L396" s="7" t="n"/>
      <c r="M396" s="7" t="n"/>
    </row>
    <row r="397">
      <c r="A397" s="7" t="inlineStr">
        <is>
          <t>MV-00393</t>
        </is>
      </c>
      <c r="B397" s="75" t="n">
        <v>45891.46319444444</v>
      </c>
      <c r="C397" s="7" t="inlineStr">
        <is>
          <t>Sortie</t>
        </is>
      </c>
      <c r="D397" s="7" t="inlineStr">
        <is>
          <t>PD-0020</t>
        </is>
      </c>
      <c r="E397" s="9">
        <f>IF(D397="","",IFERROR(INDEX('Stock pièces'!$B$5:$B$404,MATCH(D397,'Stock pièces'!$A$5:$A$404,0)),"Réf. inconnue"))</f>
        <v/>
      </c>
      <c r="F397" s="67" t="n">
        <v>2</v>
      </c>
      <c r="G397" s="81">
        <f>IF(D397="","",IFERROR(INDEX('Stock pièces'!$I$5:$I$404,MATCH(D397,'Stock pièces'!$A$5:$A$404,0)),0))</f>
        <v/>
      </c>
      <c r="H397" s="81">
        <f>IF(D397="","",N(F397)*N(G397))</f>
        <v/>
      </c>
      <c r="I397" s="7" t="inlineStr">
        <is>
          <t>OT-2025-0526</t>
        </is>
      </c>
      <c r="J397" s="9">
        <f>IF(I397="","",IFERROR(INDEX('Ordres de travail'!$D$5:$D$3004,MATCH(I397,'Ordres de travail'!$A$5:$A$3004,0)),""))</f>
        <v/>
      </c>
      <c r="K397" s="9">
        <f>IF(D397="","",IFERROR(INDEX('Stock pièces'!$D$5:$D$404,MATCH(D397,'Stock pièces'!$A$5:$A$404,0)),""))</f>
        <v/>
      </c>
      <c r="L397" s="7" t="n"/>
      <c r="M397" s="7" t="n"/>
    </row>
    <row r="398">
      <c r="A398" s="7" t="inlineStr">
        <is>
          <t>MV-00394</t>
        </is>
      </c>
      <c r="B398" s="75" t="n">
        <v>45891.73541666667</v>
      </c>
      <c r="C398" s="7" t="inlineStr">
        <is>
          <t>Sortie</t>
        </is>
      </c>
      <c r="D398" s="7" t="inlineStr">
        <is>
          <t>PD-0046</t>
        </is>
      </c>
      <c r="E398" s="9">
        <f>IF(D398="","",IFERROR(INDEX('Stock pièces'!$B$5:$B$404,MATCH(D398,'Stock pièces'!$A$5:$A$404,0)),"Réf. inconnue"))</f>
        <v/>
      </c>
      <c r="F398" s="67" t="n">
        <v>1</v>
      </c>
      <c r="G398" s="81">
        <f>IF(D398="","",IFERROR(INDEX('Stock pièces'!$I$5:$I$404,MATCH(D398,'Stock pièces'!$A$5:$A$404,0)),0))</f>
        <v/>
      </c>
      <c r="H398" s="81">
        <f>IF(D398="","",N(F398)*N(G398))</f>
        <v/>
      </c>
      <c r="I398" s="7" t="inlineStr">
        <is>
          <t>OT-2025-0528</t>
        </is>
      </c>
      <c r="J398" s="9">
        <f>IF(I398="","",IFERROR(INDEX('Ordres de travail'!$D$5:$D$3004,MATCH(I398,'Ordres de travail'!$A$5:$A$3004,0)),""))</f>
        <v/>
      </c>
      <c r="K398" s="9">
        <f>IF(D398="","",IFERROR(INDEX('Stock pièces'!$D$5:$D$404,MATCH(D398,'Stock pièces'!$A$5:$A$404,0)),""))</f>
        <v/>
      </c>
      <c r="L398" s="7" t="n"/>
      <c r="M398" s="7" t="n"/>
    </row>
    <row r="399">
      <c r="A399" s="7" t="inlineStr">
        <is>
          <t>MV-00395</t>
        </is>
      </c>
      <c r="B399" s="75" t="n">
        <v>45892.77083333334</v>
      </c>
      <c r="C399" s="7" t="inlineStr">
        <is>
          <t>Sortie</t>
        </is>
      </c>
      <c r="D399" s="7" t="inlineStr">
        <is>
          <t>PD-0067</t>
        </is>
      </c>
      <c r="E399" s="9">
        <f>IF(D399="","",IFERROR(INDEX('Stock pièces'!$B$5:$B$404,MATCH(D399,'Stock pièces'!$A$5:$A$404,0)),"Réf. inconnue"))</f>
        <v/>
      </c>
      <c r="F399" s="67" t="n">
        <v>1</v>
      </c>
      <c r="G399" s="81">
        <f>IF(D399="","",IFERROR(INDEX('Stock pièces'!$I$5:$I$404,MATCH(D399,'Stock pièces'!$A$5:$A$404,0)),0))</f>
        <v/>
      </c>
      <c r="H399" s="81">
        <f>IF(D399="","",N(F399)*N(G399))</f>
        <v/>
      </c>
      <c r="I399" s="7" t="inlineStr">
        <is>
          <t>OT-2025-0529</t>
        </is>
      </c>
      <c r="J399" s="9">
        <f>IF(I399="","",IFERROR(INDEX('Ordres de travail'!$D$5:$D$3004,MATCH(I399,'Ordres de travail'!$A$5:$A$3004,0)),""))</f>
        <v/>
      </c>
      <c r="K399" s="9">
        <f>IF(D399="","",IFERROR(INDEX('Stock pièces'!$D$5:$D$404,MATCH(D399,'Stock pièces'!$A$5:$A$404,0)),""))</f>
        <v/>
      </c>
      <c r="L399" s="7" t="n"/>
      <c r="M399" s="7" t="n"/>
    </row>
    <row r="400">
      <c r="A400" s="7" t="inlineStr">
        <is>
          <t>MV-00396</t>
        </is>
      </c>
      <c r="B400" s="75" t="n">
        <v>45892.77083333334</v>
      </c>
      <c r="C400" s="7" t="inlineStr">
        <is>
          <t>Sortie</t>
        </is>
      </c>
      <c r="D400" s="7" t="inlineStr">
        <is>
          <t>PD-0069</t>
        </is>
      </c>
      <c r="E400" s="9">
        <f>IF(D400="","",IFERROR(INDEX('Stock pièces'!$B$5:$B$404,MATCH(D400,'Stock pièces'!$A$5:$A$404,0)),"Réf. inconnue"))</f>
        <v/>
      </c>
      <c r="F400" s="67" t="n">
        <v>1</v>
      </c>
      <c r="G400" s="81">
        <f>IF(D400="","",IFERROR(INDEX('Stock pièces'!$I$5:$I$404,MATCH(D400,'Stock pièces'!$A$5:$A$404,0)),0))</f>
        <v/>
      </c>
      <c r="H400" s="81">
        <f>IF(D400="","",N(F400)*N(G400))</f>
        <v/>
      </c>
      <c r="I400" s="7" t="inlineStr">
        <is>
          <t>OT-2025-0529</t>
        </is>
      </c>
      <c r="J400" s="9">
        <f>IF(I400="","",IFERROR(INDEX('Ordres de travail'!$D$5:$D$3004,MATCH(I400,'Ordres de travail'!$A$5:$A$3004,0)),""))</f>
        <v/>
      </c>
      <c r="K400" s="9">
        <f>IF(D400="","",IFERROR(INDEX('Stock pièces'!$D$5:$D$404,MATCH(D400,'Stock pièces'!$A$5:$A$404,0)),""))</f>
        <v/>
      </c>
      <c r="L400" s="7" t="n"/>
      <c r="M400" s="7" t="n"/>
    </row>
    <row r="401">
      <c r="A401" s="7" t="inlineStr">
        <is>
          <t>MV-00397</t>
        </is>
      </c>
      <c r="B401" s="75" t="n">
        <v>45894.26041666666</v>
      </c>
      <c r="C401" s="7" t="inlineStr">
        <is>
          <t>Sortie</t>
        </is>
      </c>
      <c r="D401" s="7" t="inlineStr">
        <is>
          <t>PD-0069</t>
        </is>
      </c>
      <c r="E401" s="9">
        <f>IF(D401="","",IFERROR(INDEX('Stock pièces'!$B$5:$B$404,MATCH(D401,'Stock pièces'!$A$5:$A$404,0)),"Réf. inconnue"))</f>
        <v/>
      </c>
      <c r="F401" s="67" t="n">
        <v>1</v>
      </c>
      <c r="G401" s="81">
        <f>IF(D401="","",IFERROR(INDEX('Stock pièces'!$I$5:$I$404,MATCH(D401,'Stock pièces'!$A$5:$A$404,0)),0))</f>
        <v/>
      </c>
      <c r="H401" s="81">
        <f>IF(D401="","",N(F401)*N(G401))</f>
        <v/>
      </c>
      <c r="I401" s="7" t="inlineStr">
        <is>
          <t>OT-2025-0530</t>
        </is>
      </c>
      <c r="J401" s="9">
        <f>IF(I401="","",IFERROR(INDEX('Ordres de travail'!$D$5:$D$3004,MATCH(I401,'Ordres de travail'!$A$5:$A$3004,0)),""))</f>
        <v/>
      </c>
      <c r="K401" s="9">
        <f>IF(D401="","",IFERROR(INDEX('Stock pièces'!$D$5:$D$404,MATCH(D401,'Stock pièces'!$A$5:$A$404,0)),""))</f>
        <v/>
      </c>
      <c r="L401" s="7" t="n"/>
      <c r="M401" s="7" t="n"/>
    </row>
    <row r="402">
      <c r="A402" s="7" t="inlineStr">
        <is>
          <t>MV-00398</t>
        </is>
      </c>
      <c r="B402" s="75" t="n">
        <v>45894.31944444445</v>
      </c>
      <c r="C402" s="7" t="inlineStr">
        <is>
          <t>Sortie</t>
        </is>
      </c>
      <c r="D402" s="7" t="inlineStr">
        <is>
          <t>PD-0015</t>
        </is>
      </c>
      <c r="E402" s="9">
        <f>IF(D402="","",IFERROR(INDEX('Stock pièces'!$B$5:$B$404,MATCH(D402,'Stock pièces'!$A$5:$A$404,0)),"Réf. inconnue"))</f>
        <v/>
      </c>
      <c r="F402" s="67" t="n">
        <v>1</v>
      </c>
      <c r="G402" s="81">
        <f>IF(D402="","",IFERROR(INDEX('Stock pièces'!$I$5:$I$404,MATCH(D402,'Stock pièces'!$A$5:$A$404,0)),0))</f>
        <v/>
      </c>
      <c r="H402" s="81">
        <f>IF(D402="","",N(F402)*N(G402))</f>
        <v/>
      </c>
      <c r="I402" s="7" t="inlineStr">
        <is>
          <t>OT-2025-0517</t>
        </is>
      </c>
      <c r="J402" s="9">
        <f>IF(I402="","",IFERROR(INDEX('Ordres de travail'!$D$5:$D$3004,MATCH(I402,'Ordres de travail'!$A$5:$A$3004,0)),""))</f>
        <v/>
      </c>
      <c r="K402" s="9">
        <f>IF(D402="","",IFERROR(INDEX('Stock pièces'!$D$5:$D$404,MATCH(D402,'Stock pièces'!$A$5:$A$404,0)),""))</f>
        <v/>
      </c>
      <c r="L402" s="7" t="n"/>
      <c r="M402" s="7" t="n"/>
    </row>
    <row r="403">
      <c r="A403" s="7" t="inlineStr">
        <is>
          <t>MV-00399</t>
        </is>
      </c>
      <c r="B403" s="75" t="n">
        <v>45894.31944444445</v>
      </c>
      <c r="C403" s="7" t="inlineStr">
        <is>
          <t>Sortie</t>
        </is>
      </c>
      <c r="D403" s="7" t="inlineStr">
        <is>
          <t>PD-0022</t>
        </is>
      </c>
      <c r="E403" s="9">
        <f>IF(D403="","",IFERROR(INDEX('Stock pièces'!$B$5:$B$404,MATCH(D403,'Stock pièces'!$A$5:$A$404,0)),"Réf. inconnue"))</f>
        <v/>
      </c>
      <c r="F403" s="67" t="n">
        <v>1</v>
      </c>
      <c r="G403" s="81">
        <f>IF(D403="","",IFERROR(INDEX('Stock pièces'!$I$5:$I$404,MATCH(D403,'Stock pièces'!$A$5:$A$404,0)),0))</f>
        <v/>
      </c>
      <c r="H403" s="81">
        <f>IF(D403="","",N(F403)*N(G403))</f>
        <v/>
      </c>
      <c r="I403" s="7" t="inlineStr">
        <is>
          <t>OT-2025-0517</t>
        </is>
      </c>
      <c r="J403" s="9">
        <f>IF(I403="","",IFERROR(INDEX('Ordres de travail'!$D$5:$D$3004,MATCH(I403,'Ordres de travail'!$A$5:$A$3004,0)),""))</f>
        <v/>
      </c>
      <c r="K403" s="9">
        <f>IF(D403="","",IFERROR(INDEX('Stock pièces'!$D$5:$D$404,MATCH(D403,'Stock pièces'!$A$5:$A$404,0)),""))</f>
        <v/>
      </c>
      <c r="L403" s="7" t="n"/>
      <c r="M403" s="7" t="n"/>
    </row>
    <row r="404">
      <c r="A404" s="7" t="inlineStr">
        <is>
          <t>MV-00400</t>
        </is>
      </c>
      <c r="B404" s="75" t="n">
        <v>45894.40277777778</v>
      </c>
      <c r="C404" s="7" t="inlineStr">
        <is>
          <t>Sortie</t>
        </is>
      </c>
      <c r="D404" s="7" t="inlineStr">
        <is>
          <t>PD-0012</t>
        </is>
      </c>
      <c r="E404" s="9">
        <f>IF(D404="","",IFERROR(INDEX('Stock pièces'!$B$5:$B$404,MATCH(D404,'Stock pièces'!$A$5:$A$404,0)),"Réf. inconnue"))</f>
        <v/>
      </c>
      <c r="F404" s="67" t="n">
        <v>1</v>
      </c>
      <c r="G404" s="81">
        <f>IF(D404="","",IFERROR(INDEX('Stock pièces'!$I$5:$I$404,MATCH(D404,'Stock pièces'!$A$5:$A$404,0)),0))</f>
        <v/>
      </c>
      <c r="H404" s="81">
        <f>IF(D404="","",N(F404)*N(G404))</f>
        <v/>
      </c>
      <c r="I404" s="7" t="inlineStr">
        <is>
          <t>OT-2025-0518</t>
        </is>
      </c>
      <c r="J404" s="9">
        <f>IF(I404="","",IFERROR(INDEX('Ordres de travail'!$D$5:$D$3004,MATCH(I404,'Ordres de travail'!$A$5:$A$3004,0)),""))</f>
        <v/>
      </c>
      <c r="K404" s="9">
        <f>IF(D404="","",IFERROR(INDEX('Stock pièces'!$D$5:$D$404,MATCH(D404,'Stock pièces'!$A$5:$A$404,0)),""))</f>
        <v/>
      </c>
      <c r="L404" s="7" t="n"/>
      <c r="M404" s="7" t="n"/>
    </row>
    <row r="405">
      <c r="A405" s="7" t="inlineStr">
        <is>
          <t>MV-00401</t>
        </is>
      </c>
      <c r="B405" s="75" t="n">
        <v>45894.40277777778</v>
      </c>
      <c r="C405" s="7" t="inlineStr">
        <is>
          <t>Sortie</t>
        </is>
      </c>
      <c r="D405" s="7" t="inlineStr">
        <is>
          <t>PD-0013</t>
        </is>
      </c>
      <c r="E405" s="9">
        <f>IF(D405="","",IFERROR(INDEX('Stock pièces'!$B$5:$B$404,MATCH(D405,'Stock pièces'!$A$5:$A$404,0)),"Réf. inconnue"))</f>
        <v/>
      </c>
      <c r="F405" s="67" t="n">
        <v>1</v>
      </c>
      <c r="G405" s="81">
        <f>IF(D405="","",IFERROR(INDEX('Stock pièces'!$I$5:$I$404,MATCH(D405,'Stock pièces'!$A$5:$A$404,0)),0))</f>
        <v/>
      </c>
      <c r="H405" s="81">
        <f>IF(D405="","",N(F405)*N(G405))</f>
        <v/>
      </c>
      <c r="I405" s="7" t="inlineStr">
        <is>
          <t>OT-2025-0518</t>
        </is>
      </c>
      <c r="J405" s="9">
        <f>IF(I405="","",IFERROR(INDEX('Ordres de travail'!$D$5:$D$3004,MATCH(I405,'Ordres de travail'!$A$5:$A$3004,0)),""))</f>
        <v/>
      </c>
      <c r="K405" s="9">
        <f>IF(D405="","",IFERROR(INDEX('Stock pièces'!$D$5:$D$404,MATCH(D405,'Stock pièces'!$A$5:$A$404,0)),""))</f>
        <v/>
      </c>
      <c r="L405" s="7" t="n"/>
      <c r="M405" s="7" t="n"/>
    </row>
    <row r="406">
      <c r="A406" s="7" t="inlineStr">
        <is>
          <t>MV-00402</t>
        </is>
      </c>
      <c r="B406" s="75" t="n">
        <v>45894.40277777778</v>
      </c>
      <c r="C406" s="7" t="inlineStr">
        <is>
          <t>Sortie</t>
        </is>
      </c>
      <c r="D406" s="7" t="inlineStr">
        <is>
          <t>PD-0024</t>
        </is>
      </c>
      <c r="E406" s="9">
        <f>IF(D406="","",IFERROR(INDEX('Stock pièces'!$B$5:$B$404,MATCH(D406,'Stock pièces'!$A$5:$A$404,0)),"Réf. inconnue"))</f>
        <v/>
      </c>
      <c r="F406" s="67" t="n">
        <v>1</v>
      </c>
      <c r="G406" s="81">
        <f>IF(D406="","",IFERROR(INDEX('Stock pièces'!$I$5:$I$404,MATCH(D406,'Stock pièces'!$A$5:$A$404,0)),0))</f>
        <v/>
      </c>
      <c r="H406" s="81">
        <f>IF(D406="","",N(F406)*N(G406))</f>
        <v/>
      </c>
      <c r="I406" s="7" t="inlineStr">
        <is>
          <t>OT-2025-0518</t>
        </is>
      </c>
      <c r="J406" s="9">
        <f>IF(I406="","",IFERROR(INDEX('Ordres de travail'!$D$5:$D$3004,MATCH(I406,'Ordres de travail'!$A$5:$A$3004,0)),""))</f>
        <v/>
      </c>
      <c r="K406" s="9">
        <f>IF(D406="","",IFERROR(INDEX('Stock pièces'!$D$5:$D$404,MATCH(D406,'Stock pièces'!$A$5:$A$404,0)),""))</f>
        <v/>
      </c>
      <c r="L406" s="7" t="n"/>
      <c r="M406" s="7" t="n"/>
    </row>
    <row r="407">
      <c r="A407" s="7" t="inlineStr">
        <is>
          <t>MV-00403</t>
        </is>
      </c>
      <c r="B407" s="75" t="n">
        <v>45894.41319444445</v>
      </c>
      <c r="C407" s="7" t="inlineStr">
        <is>
          <t>Sortie</t>
        </is>
      </c>
      <c r="D407" s="7" t="inlineStr">
        <is>
          <t>PD-0015</t>
        </is>
      </c>
      <c r="E407" s="9">
        <f>IF(D407="","",IFERROR(INDEX('Stock pièces'!$B$5:$B$404,MATCH(D407,'Stock pièces'!$A$5:$A$404,0)),"Réf. inconnue"))</f>
        <v/>
      </c>
      <c r="F407" s="67" t="n">
        <v>1</v>
      </c>
      <c r="G407" s="81">
        <f>IF(D407="","",IFERROR(INDEX('Stock pièces'!$I$5:$I$404,MATCH(D407,'Stock pièces'!$A$5:$A$404,0)),0))</f>
        <v/>
      </c>
      <c r="H407" s="81">
        <f>IF(D407="","",N(F407)*N(G407))</f>
        <v/>
      </c>
      <c r="I407" s="7" t="inlineStr">
        <is>
          <t>OT-2025-0516</t>
        </is>
      </c>
      <c r="J407" s="9">
        <f>IF(I407="","",IFERROR(INDEX('Ordres de travail'!$D$5:$D$3004,MATCH(I407,'Ordres de travail'!$A$5:$A$3004,0)),""))</f>
        <v/>
      </c>
      <c r="K407" s="9">
        <f>IF(D407="","",IFERROR(INDEX('Stock pièces'!$D$5:$D$404,MATCH(D407,'Stock pièces'!$A$5:$A$404,0)),""))</f>
        <v/>
      </c>
      <c r="L407" s="7" t="n"/>
      <c r="M407" s="7" t="n"/>
    </row>
    <row r="408">
      <c r="A408" s="7" t="inlineStr">
        <is>
          <t>MV-00404</t>
        </is>
      </c>
      <c r="B408" s="75" t="n">
        <v>45894.41319444445</v>
      </c>
      <c r="C408" s="7" t="inlineStr">
        <is>
          <t>Sortie</t>
        </is>
      </c>
      <c r="D408" s="7" t="inlineStr">
        <is>
          <t>PD-0016</t>
        </is>
      </c>
      <c r="E408" s="9">
        <f>IF(D408="","",IFERROR(INDEX('Stock pièces'!$B$5:$B$404,MATCH(D408,'Stock pièces'!$A$5:$A$404,0)),"Réf. inconnue"))</f>
        <v/>
      </c>
      <c r="F408" s="67" t="n">
        <v>1</v>
      </c>
      <c r="G408" s="81">
        <f>IF(D408="","",IFERROR(INDEX('Stock pièces'!$I$5:$I$404,MATCH(D408,'Stock pièces'!$A$5:$A$404,0)),0))</f>
        <v/>
      </c>
      <c r="H408" s="81">
        <f>IF(D408="","",N(F408)*N(G408))</f>
        <v/>
      </c>
      <c r="I408" s="7" t="inlineStr">
        <is>
          <t>OT-2025-0516</t>
        </is>
      </c>
      <c r="J408" s="9">
        <f>IF(I408="","",IFERROR(INDEX('Ordres de travail'!$D$5:$D$3004,MATCH(I408,'Ordres de travail'!$A$5:$A$3004,0)),""))</f>
        <v/>
      </c>
      <c r="K408" s="9">
        <f>IF(D408="","",IFERROR(INDEX('Stock pièces'!$D$5:$D$404,MATCH(D408,'Stock pièces'!$A$5:$A$404,0)),""))</f>
        <v/>
      </c>
      <c r="L408" s="7" t="n"/>
      <c r="M408" s="7" t="n"/>
    </row>
    <row r="409">
      <c r="A409" s="7" t="inlineStr">
        <is>
          <t>MV-00405</t>
        </is>
      </c>
      <c r="B409" s="75" t="n">
        <v>45894.41319444445</v>
      </c>
      <c r="C409" s="7" t="inlineStr">
        <is>
          <t>Sortie</t>
        </is>
      </c>
      <c r="D409" s="7" t="inlineStr">
        <is>
          <t>PD-0022</t>
        </is>
      </c>
      <c r="E409" s="9">
        <f>IF(D409="","",IFERROR(INDEX('Stock pièces'!$B$5:$B$404,MATCH(D409,'Stock pièces'!$A$5:$A$404,0)),"Réf. inconnue"))</f>
        <v/>
      </c>
      <c r="F409" s="67" t="n">
        <v>1</v>
      </c>
      <c r="G409" s="81">
        <f>IF(D409="","",IFERROR(INDEX('Stock pièces'!$I$5:$I$404,MATCH(D409,'Stock pièces'!$A$5:$A$404,0)),0))</f>
        <v/>
      </c>
      <c r="H409" s="81">
        <f>IF(D409="","",N(F409)*N(G409))</f>
        <v/>
      </c>
      <c r="I409" s="7" t="inlineStr">
        <is>
          <t>OT-2025-0516</t>
        </is>
      </c>
      <c r="J409" s="9">
        <f>IF(I409="","",IFERROR(INDEX('Ordres de travail'!$D$5:$D$3004,MATCH(I409,'Ordres de travail'!$A$5:$A$3004,0)),""))</f>
        <v/>
      </c>
      <c r="K409" s="9">
        <f>IF(D409="","",IFERROR(INDEX('Stock pièces'!$D$5:$D$404,MATCH(D409,'Stock pièces'!$A$5:$A$404,0)),""))</f>
        <v/>
      </c>
      <c r="L409" s="7" t="n"/>
      <c r="M409" s="7" t="n"/>
    </row>
    <row r="410">
      <c r="A410" s="7" t="inlineStr">
        <is>
          <t>MV-00406</t>
        </is>
      </c>
      <c r="B410" s="75" t="n">
        <v>45894.41666666666</v>
      </c>
      <c r="C410" s="7" t="inlineStr">
        <is>
          <t>Entrée</t>
        </is>
      </c>
      <c r="D410" s="7" t="inlineStr">
        <is>
          <t>PD-0013</t>
        </is>
      </c>
      <c r="E410" s="9">
        <f>IF(D410="","",IFERROR(INDEX('Stock pièces'!$B$5:$B$404,MATCH(D410,'Stock pièces'!$A$5:$A$404,0)),"Réf. inconnue"))</f>
        <v/>
      </c>
      <c r="F410" s="67" t="n">
        <v>4</v>
      </c>
      <c r="G410" s="81">
        <f>IF(D410="","",IFERROR(INDEX('Stock pièces'!$I$5:$I$404,MATCH(D410,'Stock pièces'!$A$5:$A$404,0)),0))</f>
        <v/>
      </c>
      <c r="H410" s="81">
        <f>IF(D410="","",N(F410)*N(G410))</f>
        <v/>
      </c>
      <c r="I410" s="7" t="n"/>
      <c r="J410" s="9">
        <f>IF(I410="","",IFERROR(INDEX('Ordres de travail'!$D$5:$D$3004,MATCH(I410,'Ordres de travail'!$A$5:$A$3004,0)),""))</f>
        <v/>
      </c>
      <c r="K410" s="9">
        <f>IF(D410="","",IFERROR(INDEX('Stock pièces'!$D$5:$D$404,MATCH(D410,'Stock pièces'!$A$5:$A$404,0)),""))</f>
        <v/>
      </c>
      <c r="L410" s="7" t="inlineStr">
        <is>
          <t>CMD-24111</t>
        </is>
      </c>
      <c r="M410" s="7" t="inlineStr">
        <is>
          <t>Réception commande réappro</t>
        </is>
      </c>
    </row>
    <row r="411">
      <c r="A411" s="7" t="inlineStr">
        <is>
          <t>MV-00407</t>
        </is>
      </c>
      <c r="B411" s="75" t="n">
        <v>45894.41666666666</v>
      </c>
      <c r="C411" s="7" t="inlineStr">
        <is>
          <t>Entrée</t>
        </is>
      </c>
      <c r="D411" s="7" t="inlineStr">
        <is>
          <t>PD-0021</t>
        </is>
      </c>
      <c r="E411" s="9">
        <f>IF(D411="","",IFERROR(INDEX('Stock pièces'!$B$5:$B$404,MATCH(D411,'Stock pièces'!$A$5:$A$404,0)),"Réf. inconnue"))</f>
        <v/>
      </c>
      <c r="F411" s="67" t="n">
        <v>4</v>
      </c>
      <c r="G411" s="81">
        <f>IF(D411="","",IFERROR(INDEX('Stock pièces'!$I$5:$I$404,MATCH(D411,'Stock pièces'!$A$5:$A$404,0)),0))</f>
        <v/>
      </c>
      <c r="H411" s="81">
        <f>IF(D411="","",N(F411)*N(G411))</f>
        <v/>
      </c>
      <c r="I411" s="7" t="n"/>
      <c r="J411" s="9">
        <f>IF(I411="","",IFERROR(INDEX('Ordres de travail'!$D$5:$D$3004,MATCH(I411,'Ordres de travail'!$A$5:$A$3004,0)),""))</f>
        <v/>
      </c>
      <c r="K411" s="9">
        <f>IF(D411="","",IFERROR(INDEX('Stock pièces'!$D$5:$D$404,MATCH(D411,'Stock pièces'!$A$5:$A$404,0)),""))</f>
        <v/>
      </c>
      <c r="L411" s="7" t="inlineStr">
        <is>
          <t>CMD-24113</t>
        </is>
      </c>
      <c r="M411" s="7" t="inlineStr">
        <is>
          <t>Réception commande réappro</t>
        </is>
      </c>
    </row>
    <row r="412">
      <c r="A412" s="7" t="inlineStr">
        <is>
          <t>MV-00408</t>
        </is>
      </c>
      <c r="B412" s="75" t="n">
        <v>45895.38472222222</v>
      </c>
      <c r="C412" s="7" t="inlineStr">
        <is>
          <t>Sortie</t>
        </is>
      </c>
      <c r="D412" s="7" t="inlineStr">
        <is>
          <t>PD-0041</t>
        </is>
      </c>
      <c r="E412" s="9">
        <f>IF(D412="","",IFERROR(INDEX('Stock pièces'!$B$5:$B$404,MATCH(D412,'Stock pièces'!$A$5:$A$404,0)),"Réf. inconnue"))</f>
        <v/>
      </c>
      <c r="F412" s="67" t="n">
        <v>1</v>
      </c>
      <c r="G412" s="81">
        <f>IF(D412="","",IFERROR(INDEX('Stock pièces'!$I$5:$I$404,MATCH(D412,'Stock pièces'!$A$5:$A$404,0)),0))</f>
        <v/>
      </c>
      <c r="H412" s="81">
        <f>IF(D412="","",N(F412)*N(G412))</f>
        <v/>
      </c>
      <c r="I412" s="7" t="inlineStr">
        <is>
          <t>OT-2025-0539</t>
        </is>
      </c>
      <c r="J412" s="9">
        <f>IF(I412="","",IFERROR(INDEX('Ordres de travail'!$D$5:$D$3004,MATCH(I412,'Ordres de travail'!$A$5:$A$3004,0)),""))</f>
        <v/>
      </c>
      <c r="K412" s="9">
        <f>IF(D412="","",IFERROR(INDEX('Stock pièces'!$D$5:$D$404,MATCH(D412,'Stock pièces'!$A$5:$A$404,0)),""))</f>
        <v/>
      </c>
      <c r="L412" s="7" t="n"/>
      <c r="M412" s="7" t="n"/>
    </row>
    <row r="413">
      <c r="A413" s="7" t="inlineStr">
        <is>
          <t>MV-00409</t>
        </is>
      </c>
      <c r="B413" s="75" t="n">
        <v>45895.38472222222</v>
      </c>
      <c r="C413" s="7" t="inlineStr">
        <is>
          <t>Sortie</t>
        </is>
      </c>
      <c r="D413" s="7" t="inlineStr">
        <is>
          <t>PD-0043</t>
        </is>
      </c>
      <c r="E413" s="9">
        <f>IF(D413="","",IFERROR(INDEX('Stock pièces'!$B$5:$B$404,MATCH(D413,'Stock pièces'!$A$5:$A$404,0)),"Réf. inconnue"))</f>
        <v/>
      </c>
      <c r="F413" s="67" t="n">
        <v>1</v>
      </c>
      <c r="G413" s="81">
        <f>IF(D413="","",IFERROR(INDEX('Stock pièces'!$I$5:$I$404,MATCH(D413,'Stock pièces'!$A$5:$A$404,0)),0))</f>
        <v/>
      </c>
      <c r="H413" s="81">
        <f>IF(D413="","",N(F413)*N(G413))</f>
        <v/>
      </c>
      <c r="I413" s="7" t="inlineStr">
        <is>
          <t>OT-2025-0539</t>
        </is>
      </c>
      <c r="J413" s="9">
        <f>IF(I413="","",IFERROR(INDEX('Ordres de travail'!$D$5:$D$3004,MATCH(I413,'Ordres de travail'!$A$5:$A$3004,0)),""))</f>
        <v/>
      </c>
      <c r="K413" s="9">
        <f>IF(D413="","",IFERROR(INDEX('Stock pièces'!$D$5:$D$404,MATCH(D413,'Stock pièces'!$A$5:$A$404,0)),""))</f>
        <v/>
      </c>
      <c r="L413" s="7" t="n"/>
      <c r="M413" s="7" t="n"/>
    </row>
    <row r="414">
      <c r="A414" s="7" t="inlineStr">
        <is>
          <t>MV-00410</t>
        </is>
      </c>
      <c r="B414" s="75" t="n">
        <v>45895.52083333334</v>
      </c>
      <c r="C414" s="7" t="inlineStr">
        <is>
          <t>Sortie</t>
        </is>
      </c>
      <c r="D414" s="7" t="inlineStr">
        <is>
          <t>PD-0025</t>
        </is>
      </c>
      <c r="E414" s="9">
        <f>IF(D414="","",IFERROR(INDEX('Stock pièces'!$B$5:$B$404,MATCH(D414,'Stock pièces'!$A$5:$A$404,0)),"Réf. inconnue"))</f>
        <v/>
      </c>
      <c r="F414" s="67" t="n">
        <v>2</v>
      </c>
      <c r="G414" s="81">
        <f>IF(D414="","",IFERROR(INDEX('Stock pièces'!$I$5:$I$404,MATCH(D414,'Stock pièces'!$A$5:$A$404,0)),0))</f>
        <v/>
      </c>
      <c r="H414" s="81">
        <f>IF(D414="","",N(F414)*N(G414))</f>
        <v/>
      </c>
      <c r="I414" s="7" t="inlineStr">
        <is>
          <t>OT-2025-0520</t>
        </is>
      </c>
      <c r="J414" s="9">
        <f>IF(I414="","",IFERROR(INDEX('Ordres de travail'!$D$5:$D$3004,MATCH(I414,'Ordres de travail'!$A$5:$A$3004,0)),""))</f>
        <v/>
      </c>
      <c r="K414" s="9">
        <f>IF(D414="","",IFERROR(INDEX('Stock pièces'!$D$5:$D$404,MATCH(D414,'Stock pièces'!$A$5:$A$404,0)),""))</f>
        <v/>
      </c>
      <c r="L414" s="7" t="n"/>
      <c r="M414" s="7" t="n"/>
    </row>
    <row r="415">
      <c r="A415" s="7" t="inlineStr">
        <is>
          <t>MV-00411</t>
        </is>
      </c>
      <c r="B415" s="75" t="n">
        <v>45896.41666666666</v>
      </c>
      <c r="C415" s="7" t="inlineStr">
        <is>
          <t>Entrée</t>
        </is>
      </c>
      <c r="D415" s="7" t="inlineStr">
        <is>
          <t>PD-0014</t>
        </is>
      </c>
      <c r="E415" s="9">
        <f>IF(D415="","",IFERROR(INDEX('Stock pièces'!$B$5:$B$404,MATCH(D415,'Stock pièces'!$A$5:$A$404,0)),"Réf. inconnue"))</f>
        <v/>
      </c>
      <c r="F415" s="67" t="n">
        <v>1</v>
      </c>
      <c r="G415" s="81">
        <f>IF(D415="","",IFERROR(INDEX('Stock pièces'!$I$5:$I$404,MATCH(D415,'Stock pièces'!$A$5:$A$404,0)),0))</f>
        <v/>
      </c>
      <c r="H415" s="81">
        <f>IF(D415="","",N(F415)*N(G415))</f>
        <v/>
      </c>
      <c r="I415" s="7" t="n"/>
      <c r="J415" s="9">
        <f>IF(I415="","",IFERROR(INDEX('Ordres de travail'!$D$5:$D$3004,MATCH(I415,'Ordres de travail'!$A$5:$A$3004,0)),""))</f>
        <v/>
      </c>
      <c r="K415" s="9">
        <f>IF(D415="","",IFERROR(INDEX('Stock pièces'!$D$5:$D$404,MATCH(D415,'Stock pièces'!$A$5:$A$404,0)),""))</f>
        <v/>
      </c>
      <c r="L415" s="7" t="inlineStr">
        <is>
          <t>CMD-24112</t>
        </is>
      </c>
      <c r="M415" s="7" t="inlineStr">
        <is>
          <t>Réception commande réappro</t>
        </is>
      </c>
    </row>
    <row r="416">
      <c r="A416" s="7" t="inlineStr">
        <is>
          <t>MV-00412</t>
        </is>
      </c>
      <c r="B416" s="75" t="n">
        <v>45896.41666666666</v>
      </c>
      <c r="C416" s="7" t="inlineStr">
        <is>
          <t>Entrée</t>
        </is>
      </c>
      <c r="D416" s="7" t="inlineStr">
        <is>
          <t>PD-0046</t>
        </is>
      </c>
      <c r="E416" s="9">
        <f>IF(D416="","",IFERROR(INDEX('Stock pièces'!$B$5:$B$404,MATCH(D416,'Stock pièces'!$A$5:$A$404,0)),"Réf. inconnue"))</f>
        <v/>
      </c>
      <c r="F416" s="67" t="n">
        <v>1</v>
      </c>
      <c r="G416" s="81">
        <f>IF(D416="","",IFERROR(INDEX('Stock pièces'!$I$5:$I$404,MATCH(D416,'Stock pièces'!$A$5:$A$404,0)),0))</f>
        <v/>
      </c>
      <c r="H416" s="81">
        <f>IF(D416="","",N(F416)*N(G416))</f>
        <v/>
      </c>
      <c r="I416" s="7" t="n"/>
      <c r="J416" s="9">
        <f>IF(I416="","",IFERROR(INDEX('Ordres de travail'!$D$5:$D$3004,MATCH(I416,'Ordres de travail'!$A$5:$A$3004,0)),""))</f>
        <v/>
      </c>
      <c r="K416" s="9">
        <f>IF(D416="","",IFERROR(INDEX('Stock pièces'!$D$5:$D$404,MATCH(D416,'Stock pièces'!$A$5:$A$404,0)),""))</f>
        <v/>
      </c>
      <c r="L416" s="7" t="inlineStr">
        <is>
          <t>CMD-24115</t>
        </is>
      </c>
      <c r="M416" s="7" t="inlineStr">
        <is>
          <t>Réception commande réappro</t>
        </is>
      </c>
    </row>
    <row r="417">
      <c r="A417" s="7" t="inlineStr">
        <is>
          <t>MV-00413</t>
        </is>
      </c>
      <c r="B417" s="75" t="n">
        <v>45896.41666666666</v>
      </c>
      <c r="C417" s="7" t="inlineStr">
        <is>
          <t>Sortie</t>
        </is>
      </c>
      <c r="D417" s="7" t="inlineStr">
        <is>
          <t>PD-0019</t>
        </is>
      </c>
      <c r="E417" s="9">
        <f>IF(D417="","",IFERROR(INDEX('Stock pièces'!$B$5:$B$404,MATCH(D417,'Stock pièces'!$A$5:$A$404,0)),"Réf. inconnue"))</f>
        <v/>
      </c>
      <c r="F417" s="67" t="n">
        <v>2</v>
      </c>
      <c r="G417" s="81">
        <f>IF(D417="","",IFERROR(INDEX('Stock pièces'!$I$5:$I$404,MATCH(D417,'Stock pièces'!$A$5:$A$404,0)),0))</f>
        <v/>
      </c>
      <c r="H417" s="81">
        <f>IF(D417="","",N(F417)*N(G417))</f>
        <v/>
      </c>
      <c r="I417" s="7" t="inlineStr">
        <is>
          <t>OT-2025-0523</t>
        </is>
      </c>
      <c r="J417" s="9">
        <f>IF(I417="","",IFERROR(INDEX('Ordres de travail'!$D$5:$D$3004,MATCH(I417,'Ordres de travail'!$A$5:$A$3004,0)),""))</f>
        <v/>
      </c>
      <c r="K417" s="9">
        <f>IF(D417="","",IFERROR(INDEX('Stock pièces'!$D$5:$D$404,MATCH(D417,'Stock pièces'!$A$5:$A$404,0)),""))</f>
        <v/>
      </c>
      <c r="L417" s="7" t="n"/>
      <c r="M417" s="7" t="n"/>
    </row>
    <row r="418">
      <c r="A418" s="7" t="inlineStr">
        <is>
          <t>MV-00414</t>
        </is>
      </c>
      <c r="B418" s="75" t="n">
        <v>45896.41666666666</v>
      </c>
      <c r="C418" s="7" t="inlineStr">
        <is>
          <t>Sortie</t>
        </is>
      </c>
      <c r="D418" s="7" t="inlineStr">
        <is>
          <t>PD-0020</t>
        </is>
      </c>
      <c r="E418" s="9">
        <f>IF(D418="","",IFERROR(INDEX('Stock pièces'!$B$5:$B$404,MATCH(D418,'Stock pièces'!$A$5:$A$404,0)),"Réf. inconnue"))</f>
        <v/>
      </c>
      <c r="F418" s="67" t="n">
        <v>2</v>
      </c>
      <c r="G418" s="81">
        <f>IF(D418="","",IFERROR(INDEX('Stock pièces'!$I$5:$I$404,MATCH(D418,'Stock pièces'!$A$5:$A$404,0)),0))</f>
        <v/>
      </c>
      <c r="H418" s="81">
        <f>IF(D418="","",N(F418)*N(G418))</f>
        <v/>
      </c>
      <c r="I418" s="7" t="inlineStr">
        <is>
          <t>OT-2025-0523</t>
        </is>
      </c>
      <c r="J418" s="9">
        <f>IF(I418="","",IFERROR(INDEX('Ordres de travail'!$D$5:$D$3004,MATCH(I418,'Ordres de travail'!$A$5:$A$3004,0)),""))</f>
        <v/>
      </c>
      <c r="K418" s="9">
        <f>IF(D418="","",IFERROR(INDEX('Stock pièces'!$D$5:$D$404,MATCH(D418,'Stock pièces'!$A$5:$A$404,0)),""))</f>
        <v/>
      </c>
      <c r="L418" s="7" t="n"/>
      <c r="M418" s="7" t="n"/>
    </row>
    <row r="419">
      <c r="A419" s="7" t="inlineStr">
        <is>
          <t>MV-00415</t>
        </is>
      </c>
      <c r="B419" s="75" t="n">
        <v>45896.52083333334</v>
      </c>
      <c r="C419" s="7" t="inlineStr">
        <is>
          <t>Retour</t>
        </is>
      </c>
      <c r="D419" s="7" t="inlineStr">
        <is>
          <t>PD-0025</t>
        </is>
      </c>
      <c r="E419" s="9">
        <f>IF(D419="","",IFERROR(INDEX('Stock pièces'!$B$5:$B$404,MATCH(D419,'Stock pièces'!$A$5:$A$404,0)),"Réf. inconnue"))</f>
        <v/>
      </c>
      <c r="F419" s="67" t="n">
        <v>1</v>
      </c>
      <c r="G419" s="81">
        <f>IF(D419="","",IFERROR(INDEX('Stock pièces'!$I$5:$I$404,MATCH(D419,'Stock pièces'!$A$5:$A$404,0)),0))</f>
        <v/>
      </c>
      <c r="H419" s="81">
        <f>IF(D419="","",N(F419)*N(G419))</f>
        <v/>
      </c>
      <c r="I419" s="7" t="inlineStr">
        <is>
          <t>OT-2025-0520</t>
        </is>
      </c>
      <c r="J419" s="9">
        <f>IF(I419="","",IFERROR(INDEX('Ordres de travail'!$D$5:$D$3004,MATCH(I419,'Ordres de travail'!$A$5:$A$3004,0)),""))</f>
        <v/>
      </c>
      <c r="K419" s="9">
        <f>IF(D419="","",IFERROR(INDEX('Stock pièces'!$D$5:$D$404,MATCH(D419,'Stock pièces'!$A$5:$A$404,0)),""))</f>
        <v/>
      </c>
      <c r="L419" s="7" t="n"/>
      <c r="M419" s="7" t="inlineStr">
        <is>
          <t>Pièce non utilisée</t>
        </is>
      </c>
    </row>
    <row r="420">
      <c r="A420" s="7" t="inlineStr">
        <is>
          <t>MV-00416</t>
        </is>
      </c>
      <c r="B420" s="75" t="n">
        <v>45897.39236111111</v>
      </c>
      <c r="C420" s="7" t="inlineStr">
        <is>
          <t>Sortie</t>
        </is>
      </c>
      <c r="D420" s="7" t="inlineStr">
        <is>
          <t>PD-0025</t>
        </is>
      </c>
      <c r="E420" s="9">
        <f>IF(D420="","",IFERROR(INDEX('Stock pièces'!$B$5:$B$404,MATCH(D420,'Stock pièces'!$A$5:$A$404,0)),"Réf. inconnue"))</f>
        <v/>
      </c>
      <c r="F420" s="67" t="n">
        <v>1</v>
      </c>
      <c r="G420" s="81">
        <f>IF(D420="","",IFERROR(INDEX('Stock pièces'!$I$5:$I$404,MATCH(D420,'Stock pièces'!$A$5:$A$404,0)),0))</f>
        <v/>
      </c>
      <c r="H420" s="81">
        <f>IF(D420="","",N(F420)*N(G420))</f>
        <v/>
      </c>
      <c r="I420" s="7" t="inlineStr">
        <is>
          <t>OT-2025-0525</t>
        </is>
      </c>
      <c r="J420" s="9">
        <f>IF(I420="","",IFERROR(INDEX('Ordres de travail'!$D$5:$D$3004,MATCH(I420,'Ordres de travail'!$A$5:$A$3004,0)),""))</f>
        <v/>
      </c>
      <c r="K420" s="9">
        <f>IF(D420="","",IFERROR(INDEX('Stock pièces'!$D$5:$D$404,MATCH(D420,'Stock pièces'!$A$5:$A$404,0)),""))</f>
        <v/>
      </c>
      <c r="L420" s="7" t="n"/>
      <c r="M420" s="7" t="n"/>
    </row>
    <row r="421">
      <c r="A421" s="7" t="inlineStr">
        <is>
          <t>MV-00417</t>
        </is>
      </c>
      <c r="B421" s="75" t="n">
        <v>45897.49097222222</v>
      </c>
      <c r="C421" s="7" t="inlineStr">
        <is>
          <t>Entrée</t>
        </is>
      </c>
      <c r="D421" s="7" t="inlineStr">
        <is>
          <t>PD-0068</t>
        </is>
      </c>
      <c r="E421" s="9">
        <f>IF(D421="","",IFERROR(INDEX('Stock pièces'!$B$5:$B$404,MATCH(D421,'Stock pièces'!$A$5:$A$404,0)),"Réf. inconnue"))</f>
        <v/>
      </c>
      <c r="F421" s="67" t="n">
        <v>1</v>
      </c>
      <c r="G421" s="81">
        <f>IF(D421="","",IFERROR(INDEX('Stock pièces'!$I$5:$I$404,MATCH(D421,'Stock pièces'!$A$5:$A$404,0)),0))</f>
        <v/>
      </c>
      <c r="H421" s="81">
        <f>IF(D421="","",N(F421)*N(G421))</f>
        <v/>
      </c>
      <c r="I421" s="7" t="n"/>
      <c r="J421" s="9">
        <f>IF(I421="","",IFERROR(INDEX('Ordres de travail'!$D$5:$D$3004,MATCH(I421,'Ordres de travail'!$A$5:$A$3004,0)),""))</f>
        <v/>
      </c>
      <c r="K421" s="9">
        <f>IF(D421="","",IFERROR(INDEX('Stock pièces'!$D$5:$D$404,MATCH(D421,'Stock pièces'!$A$5:$A$404,0)),""))</f>
        <v/>
      </c>
      <c r="L421" s="7" t="inlineStr">
        <is>
          <t>URG-24124</t>
        </is>
      </c>
      <c r="M421" s="7" t="inlineStr">
        <is>
          <t>Achat urgent (rupture)</t>
        </is>
      </c>
    </row>
    <row r="422">
      <c r="A422" s="7" t="inlineStr">
        <is>
          <t>MV-00418</t>
        </is>
      </c>
      <c r="B422" s="75" t="n">
        <v>45897.49444444444</v>
      </c>
      <c r="C422" s="7" t="inlineStr">
        <is>
          <t>Sortie</t>
        </is>
      </c>
      <c r="D422" s="7" t="inlineStr">
        <is>
          <t>PD-0068</t>
        </is>
      </c>
      <c r="E422" s="9">
        <f>IF(D422="","",IFERROR(INDEX('Stock pièces'!$B$5:$B$404,MATCH(D422,'Stock pièces'!$A$5:$A$404,0)),"Réf. inconnue"))</f>
        <v/>
      </c>
      <c r="F422" s="67" t="n">
        <v>1</v>
      </c>
      <c r="G422" s="81">
        <f>IF(D422="","",IFERROR(INDEX('Stock pièces'!$I$5:$I$404,MATCH(D422,'Stock pièces'!$A$5:$A$404,0)),0))</f>
        <v/>
      </c>
      <c r="H422" s="81">
        <f>IF(D422="","",N(F422)*N(G422))</f>
        <v/>
      </c>
      <c r="I422" s="7" t="inlineStr">
        <is>
          <t>OT-2025-0546</t>
        </is>
      </c>
      <c r="J422" s="9">
        <f>IF(I422="","",IFERROR(INDEX('Ordres de travail'!$D$5:$D$3004,MATCH(I422,'Ordres de travail'!$A$5:$A$3004,0)),""))</f>
        <v/>
      </c>
      <c r="K422" s="9">
        <f>IF(D422="","",IFERROR(INDEX('Stock pièces'!$D$5:$D$404,MATCH(D422,'Stock pièces'!$A$5:$A$404,0)),""))</f>
        <v/>
      </c>
      <c r="L422" s="7" t="n"/>
      <c r="M422" s="7" t="n"/>
    </row>
    <row r="423">
      <c r="A423" s="7" t="inlineStr">
        <is>
          <t>MV-00419</t>
        </is>
      </c>
      <c r="B423" s="75" t="n">
        <v>45898.8</v>
      </c>
      <c r="C423" s="7" t="inlineStr">
        <is>
          <t>Sortie</t>
        </is>
      </c>
      <c r="D423" s="7" t="inlineStr">
        <is>
          <t>PD-0011</t>
        </is>
      </c>
      <c r="E423" s="9">
        <f>IF(D423="","",IFERROR(INDEX('Stock pièces'!$B$5:$B$404,MATCH(D423,'Stock pièces'!$A$5:$A$404,0)),"Réf. inconnue"))</f>
        <v/>
      </c>
      <c r="F423" s="67" t="n">
        <v>2</v>
      </c>
      <c r="G423" s="81">
        <f>IF(D423="","",IFERROR(INDEX('Stock pièces'!$I$5:$I$404,MATCH(D423,'Stock pièces'!$A$5:$A$404,0)),0))</f>
        <v/>
      </c>
      <c r="H423" s="81">
        <f>IF(D423="","",N(F423)*N(G423))</f>
        <v/>
      </c>
      <c r="I423" s="7" t="inlineStr">
        <is>
          <t>OT-2025-0548</t>
        </is>
      </c>
      <c r="J423" s="9">
        <f>IF(I423="","",IFERROR(INDEX('Ordres de travail'!$D$5:$D$3004,MATCH(I423,'Ordres de travail'!$A$5:$A$3004,0)),""))</f>
        <v/>
      </c>
      <c r="K423" s="9">
        <f>IF(D423="","",IFERROR(INDEX('Stock pièces'!$D$5:$D$404,MATCH(D423,'Stock pièces'!$A$5:$A$404,0)),""))</f>
        <v/>
      </c>
      <c r="L423" s="7" t="n"/>
      <c r="M423" s="7" t="n"/>
    </row>
    <row r="424">
      <c r="A424" s="7" t="inlineStr">
        <is>
          <t>MV-00420</t>
        </is>
      </c>
      <c r="B424" s="75" t="n">
        <v>45898.82152777778</v>
      </c>
      <c r="C424" s="7" t="inlineStr">
        <is>
          <t>Sortie</t>
        </is>
      </c>
      <c r="D424" s="7" t="inlineStr">
        <is>
          <t>PD-0055</t>
        </is>
      </c>
      <c r="E424" s="9">
        <f>IF(D424="","",IFERROR(INDEX('Stock pièces'!$B$5:$B$404,MATCH(D424,'Stock pièces'!$A$5:$A$404,0)),"Réf. inconnue"))</f>
        <v/>
      </c>
      <c r="F424" s="67" t="n">
        <v>1</v>
      </c>
      <c r="G424" s="81">
        <f>IF(D424="","",IFERROR(INDEX('Stock pièces'!$I$5:$I$404,MATCH(D424,'Stock pièces'!$A$5:$A$404,0)),0))</f>
        <v/>
      </c>
      <c r="H424" s="81">
        <f>IF(D424="","",N(F424)*N(G424))</f>
        <v/>
      </c>
      <c r="I424" s="7" t="inlineStr">
        <is>
          <t>OT-2025-0549</t>
        </is>
      </c>
      <c r="J424" s="9">
        <f>IF(I424="","",IFERROR(INDEX('Ordres de travail'!$D$5:$D$3004,MATCH(I424,'Ordres de travail'!$A$5:$A$3004,0)),""))</f>
        <v/>
      </c>
      <c r="K424" s="9">
        <f>IF(D424="","",IFERROR(INDEX('Stock pièces'!$D$5:$D$404,MATCH(D424,'Stock pièces'!$A$5:$A$404,0)),""))</f>
        <v/>
      </c>
      <c r="L424" s="7" t="n"/>
      <c r="M424" s="7" t="n"/>
    </row>
    <row r="425">
      <c r="A425" s="7" t="inlineStr">
        <is>
          <t>MV-00421</t>
        </is>
      </c>
      <c r="B425" s="75" t="n">
        <v>45899.6625</v>
      </c>
      <c r="C425" s="7" t="inlineStr">
        <is>
          <t>Sortie</t>
        </is>
      </c>
      <c r="D425" s="7" t="inlineStr">
        <is>
          <t>PD-0051</t>
        </is>
      </c>
      <c r="E425" s="9">
        <f>IF(D425="","",IFERROR(INDEX('Stock pièces'!$B$5:$B$404,MATCH(D425,'Stock pièces'!$A$5:$A$404,0)),"Réf. inconnue"))</f>
        <v/>
      </c>
      <c r="F425" s="67" t="n">
        <v>1</v>
      </c>
      <c r="G425" s="81">
        <f>IF(D425="","",IFERROR(INDEX('Stock pièces'!$I$5:$I$404,MATCH(D425,'Stock pièces'!$A$5:$A$404,0)),0))</f>
        <v/>
      </c>
      <c r="H425" s="81">
        <f>IF(D425="","",N(F425)*N(G425))</f>
        <v/>
      </c>
      <c r="I425" s="7" t="inlineStr">
        <is>
          <t>OT-2025-0551</t>
        </is>
      </c>
      <c r="J425" s="9">
        <f>IF(I425="","",IFERROR(INDEX('Ordres de travail'!$D$5:$D$3004,MATCH(I425,'Ordres de travail'!$A$5:$A$3004,0)),""))</f>
        <v/>
      </c>
      <c r="K425" s="9">
        <f>IF(D425="","",IFERROR(INDEX('Stock pièces'!$D$5:$D$404,MATCH(D425,'Stock pièces'!$A$5:$A$404,0)),""))</f>
        <v/>
      </c>
      <c r="L425" s="7" t="n"/>
      <c r="M425" s="7" t="n"/>
    </row>
    <row r="426">
      <c r="A426" s="7" t="inlineStr">
        <is>
          <t>MV-00422</t>
        </is>
      </c>
      <c r="B426" s="75" t="n">
        <v>45899.6625</v>
      </c>
      <c r="C426" s="7" t="inlineStr">
        <is>
          <t>Sortie</t>
        </is>
      </c>
      <c r="D426" s="7" t="inlineStr">
        <is>
          <t>PD-0053</t>
        </is>
      </c>
      <c r="E426" s="9">
        <f>IF(D426="","",IFERROR(INDEX('Stock pièces'!$B$5:$B$404,MATCH(D426,'Stock pièces'!$A$5:$A$404,0)),"Réf. inconnue"))</f>
        <v/>
      </c>
      <c r="F426" s="67" t="n">
        <v>1</v>
      </c>
      <c r="G426" s="81">
        <f>IF(D426="","",IFERROR(INDEX('Stock pièces'!$I$5:$I$404,MATCH(D426,'Stock pièces'!$A$5:$A$404,0)),0))</f>
        <v/>
      </c>
      <c r="H426" s="81">
        <f>IF(D426="","",N(F426)*N(G426))</f>
        <v/>
      </c>
      <c r="I426" s="7" t="inlineStr">
        <is>
          <t>OT-2025-0551</t>
        </is>
      </c>
      <c r="J426" s="9">
        <f>IF(I426="","",IFERROR(INDEX('Ordres de travail'!$D$5:$D$3004,MATCH(I426,'Ordres de travail'!$A$5:$A$3004,0)),""))</f>
        <v/>
      </c>
      <c r="K426" s="9">
        <f>IF(D426="","",IFERROR(INDEX('Stock pièces'!$D$5:$D$404,MATCH(D426,'Stock pièces'!$A$5:$A$404,0)),""))</f>
        <v/>
      </c>
      <c r="L426" s="7" t="n"/>
      <c r="M426" s="7" t="n"/>
    </row>
    <row r="427">
      <c r="A427" s="7" t="inlineStr">
        <is>
          <t>MV-00423</t>
        </is>
      </c>
      <c r="B427" s="75" t="n">
        <v>45900.45347222222</v>
      </c>
      <c r="C427" s="7" t="inlineStr">
        <is>
          <t>Sortie</t>
        </is>
      </c>
      <c r="D427" s="7" t="inlineStr">
        <is>
          <t>PD-0041</t>
        </is>
      </c>
      <c r="E427" s="9">
        <f>IF(D427="","",IFERROR(INDEX('Stock pièces'!$B$5:$B$404,MATCH(D427,'Stock pièces'!$A$5:$A$404,0)),"Réf. inconnue"))</f>
        <v/>
      </c>
      <c r="F427" s="67" t="n">
        <v>1</v>
      </c>
      <c r="G427" s="81">
        <f>IF(D427="","",IFERROR(INDEX('Stock pièces'!$I$5:$I$404,MATCH(D427,'Stock pièces'!$A$5:$A$404,0)),0))</f>
        <v/>
      </c>
      <c r="H427" s="81">
        <f>IF(D427="","",N(F427)*N(G427))</f>
        <v/>
      </c>
      <c r="I427" s="7" t="inlineStr">
        <is>
          <t>OT-2025-0550</t>
        </is>
      </c>
      <c r="J427" s="9">
        <f>IF(I427="","",IFERROR(INDEX('Ordres de travail'!$D$5:$D$3004,MATCH(I427,'Ordres de travail'!$A$5:$A$3004,0)),""))</f>
        <v/>
      </c>
      <c r="K427" s="9">
        <f>IF(D427="","",IFERROR(INDEX('Stock pièces'!$D$5:$D$404,MATCH(D427,'Stock pièces'!$A$5:$A$404,0)),""))</f>
        <v/>
      </c>
      <c r="L427" s="7" t="n"/>
      <c r="M427" s="7" t="n"/>
    </row>
    <row r="428">
      <c r="A428" s="7" t="inlineStr">
        <is>
          <t>MV-00424</t>
        </is>
      </c>
      <c r="B428" s="75" t="n">
        <v>45901.37152777778</v>
      </c>
      <c r="C428" s="7" t="inlineStr">
        <is>
          <t>Sortie</t>
        </is>
      </c>
      <c r="D428" s="7" t="inlineStr">
        <is>
          <t>PD-0017</t>
        </is>
      </c>
      <c r="E428" s="9">
        <f>IF(D428="","",IFERROR(INDEX('Stock pièces'!$B$5:$B$404,MATCH(D428,'Stock pièces'!$A$5:$A$404,0)),"Réf. inconnue"))</f>
        <v/>
      </c>
      <c r="F428" s="67" t="n">
        <v>1</v>
      </c>
      <c r="G428" s="81">
        <f>IF(D428="","",IFERROR(INDEX('Stock pièces'!$I$5:$I$404,MATCH(D428,'Stock pièces'!$A$5:$A$404,0)),0))</f>
        <v/>
      </c>
      <c r="H428" s="81">
        <f>IF(D428="","",N(F428)*N(G428))</f>
        <v/>
      </c>
      <c r="I428" s="7" t="inlineStr">
        <is>
          <t>OT-2025-0531</t>
        </is>
      </c>
      <c r="J428" s="9">
        <f>IF(I428="","",IFERROR(INDEX('Ordres de travail'!$D$5:$D$3004,MATCH(I428,'Ordres de travail'!$A$5:$A$3004,0)),""))</f>
        <v/>
      </c>
      <c r="K428" s="9">
        <f>IF(D428="","",IFERROR(INDEX('Stock pièces'!$D$5:$D$404,MATCH(D428,'Stock pièces'!$A$5:$A$404,0)),""))</f>
        <v/>
      </c>
      <c r="L428" s="7" t="n"/>
      <c r="M428" s="7" t="n"/>
    </row>
    <row r="429">
      <c r="A429" s="7" t="inlineStr">
        <is>
          <t>MV-00425</t>
        </is>
      </c>
      <c r="B429" s="75" t="n">
        <v>45901.38680555556</v>
      </c>
      <c r="C429" s="7" t="inlineStr">
        <is>
          <t>Sortie</t>
        </is>
      </c>
      <c r="D429" s="7" t="inlineStr">
        <is>
          <t>PD-0040</t>
        </is>
      </c>
      <c r="E429" s="9">
        <f>IF(D429="","",IFERROR(INDEX('Stock pièces'!$B$5:$B$404,MATCH(D429,'Stock pièces'!$A$5:$A$404,0)),"Réf. inconnue"))</f>
        <v/>
      </c>
      <c r="F429" s="67" t="n">
        <v>2</v>
      </c>
      <c r="G429" s="81">
        <f>IF(D429="","",IFERROR(INDEX('Stock pièces'!$I$5:$I$404,MATCH(D429,'Stock pièces'!$A$5:$A$404,0)),0))</f>
        <v/>
      </c>
      <c r="H429" s="81">
        <f>IF(D429="","",N(F429)*N(G429))</f>
        <v/>
      </c>
      <c r="I429" s="7" t="inlineStr">
        <is>
          <t>OT-2025-0552</t>
        </is>
      </c>
      <c r="J429" s="9">
        <f>IF(I429="","",IFERROR(INDEX('Ordres de travail'!$D$5:$D$3004,MATCH(I429,'Ordres de travail'!$A$5:$A$3004,0)),""))</f>
        <v/>
      </c>
      <c r="K429" s="9">
        <f>IF(D429="","",IFERROR(INDEX('Stock pièces'!$D$5:$D$404,MATCH(D429,'Stock pièces'!$A$5:$A$404,0)),""))</f>
        <v/>
      </c>
      <c r="L429" s="7" t="n"/>
      <c r="M429" s="7" t="n"/>
    </row>
    <row r="430">
      <c r="A430" s="7" t="inlineStr">
        <is>
          <t>MV-00426</t>
        </is>
      </c>
      <c r="B430" s="75" t="n">
        <v>45901.41666666666</v>
      </c>
      <c r="C430" s="7" t="inlineStr">
        <is>
          <t>Entrée</t>
        </is>
      </c>
      <c r="D430" s="7" t="inlineStr">
        <is>
          <t>PD-0010</t>
        </is>
      </c>
      <c r="E430" s="9">
        <f>IF(D430="","",IFERROR(INDEX('Stock pièces'!$B$5:$B$404,MATCH(D430,'Stock pièces'!$A$5:$A$404,0)),"Réf. inconnue"))</f>
        <v/>
      </c>
      <c r="F430" s="67" t="n">
        <v>1</v>
      </c>
      <c r="G430" s="81">
        <f>IF(D430="","",IFERROR(INDEX('Stock pièces'!$I$5:$I$404,MATCH(D430,'Stock pièces'!$A$5:$A$404,0)),0))</f>
        <v/>
      </c>
      <c r="H430" s="81">
        <f>IF(D430="","",N(F430)*N(G430))</f>
        <v/>
      </c>
      <c r="I430" s="7" t="n"/>
      <c r="J430" s="9">
        <f>IF(I430="","",IFERROR(INDEX('Ordres de travail'!$D$5:$D$3004,MATCH(I430,'Ordres de travail'!$A$5:$A$3004,0)),""))</f>
        <v/>
      </c>
      <c r="K430" s="9">
        <f>IF(D430="","",IFERROR(INDEX('Stock pièces'!$D$5:$D$404,MATCH(D430,'Stock pièces'!$A$5:$A$404,0)),""))</f>
        <v/>
      </c>
      <c r="L430" s="7" t="inlineStr">
        <is>
          <t>CMD-24108</t>
        </is>
      </c>
      <c r="M430" s="7" t="inlineStr">
        <is>
          <t>Réception commande réappro</t>
        </is>
      </c>
    </row>
    <row r="431">
      <c r="A431" s="7" t="inlineStr">
        <is>
          <t>MV-00427</t>
        </is>
      </c>
      <c r="B431" s="75" t="n">
        <v>45901.41666666666</v>
      </c>
      <c r="C431" s="7" t="inlineStr">
        <is>
          <t>Entrée</t>
        </is>
      </c>
      <c r="D431" s="7" t="inlineStr">
        <is>
          <t>PD-0022</t>
        </is>
      </c>
      <c r="E431" s="9">
        <f>IF(D431="","",IFERROR(INDEX('Stock pièces'!$B$5:$B$404,MATCH(D431,'Stock pièces'!$A$5:$A$404,0)),"Réf. inconnue"))</f>
        <v/>
      </c>
      <c r="F431" s="67" t="n">
        <v>2</v>
      </c>
      <c r="G431" s="81">
        <f>IF(D431="","",IFERROR(INDEX('Stock pièces'!$I$5:$I$404,MATCH(D431,'Stock pièces'!$A$5:$A$404,0)),0))</f>
        <v/>
      </c>
      <c r="H431" s="81">
        <f>IF(D431="","",N(F431)*N(G431))</f>
        <v/>
      </c>
      <c r="I431" s="7" t="n"/>
      <c r="J431" s="9">
        <f>IF(I431="","",IFERROR(INDEX('Ordres de travail'!$D$5:$D$3004,MATCH(I431,'Ordres de travail'!$A$5:$A$3004,0)),""))</f>
        <v/>
      </c>
      <c r="K431" s="9">
        <f>IF(D431="","",IFERROR(INDEX('Stock pièces'!$D$5:$D$404,MATCH(D431,'Stock pièces'!$A$5:$A$404,0)),""))</f>
        <v/>
      </c>
      <c r="L431" s="7" t="inlineStr">
        <is>
          <t>CMD-24117</t>
        </is>
      </c>
      <c r="M431" s="7" t="inlineStr">
        <is>
          <t>Réception commande réappro</t>
        </is>
      </c>
    </row>
    <row r="432">
      <c r="A432" s="7" t="inlineStr">
        <is>
          <t>MV-00428</t>
        </is>
      </c>
      <c r="B432" s="75" t="n">
        <v>45901.41666666666</v>
      </c>
      <c r="C432" s="7" t="inlineStr">
        <is>
          <t>Entrée</t>
        </is>
      </c>
      <c r="D432" s="7" t="inlineStr">
        <is>
          <t>PD-0015</t>
        </is>
      </c>
      <c r="E432" s="9">
        <f>IF(D432="","",IFERROR(INDEX('Stock pièces'!$B$5:$B$404,MATCH(D432,'Stock pièces'!$A$5:$A$404,0)),"Réf. inconnue"))</f>
        <v/>
      </c>
      <c r="F432" s="67" t="n">
        <v>6</v>
      </c>
      <c r="G432" s="81">
        <f>IF(D432="","",IFERROR(INDEX('Stock pièces'!$I$5:$I$404,MATCH(D432,'Stock pièces'!$A$5:$A$404,0)),0))</f>
        <v/>
      </c>
      <c r="H432" s="81">
        <f>IF(D432="","",N(F432)*N(G432))</f>
        <v/>
      </c>
      <c r="I432" s="7" t="n"/>
      <c r="J432" s="9">
        <f>IF(I432="","",IFERROR(INDEX('Ordres de travail'!$D$5:$D$3004,MATCH(I432,'Ordres de travail'!$A$5:$A$3004,0)),""))</f>
        <v/>
      </c>
      <c r="K432" s="9">
        <f>IF(D432="","",IFERROR(INDEX('Stock pièces'!$D$5:$D$404,MATCH(D432,'Stock pièces'!$A$5:$A$404,0)),""))</f>
        <v/>
      </c>
      <c r="L432" s="7" t="inlineStr">
        <is>
          <t>CMD-24119</t>
        </is>
      </c>
      <c r="M432" s="7" t="inlineStr">
        <is>
          <t>Réception commande réappro</t>
        </is>
      </c>
    </row>
    <row r="433">
      <c r="A433" s="7" t="inlineStr">
        <is>
          <t>MV-00429</t>
        </is>
      </c>
      <c r="B433" s="75" t="n">
        <v>45901.4375</v>
      </c>
      <c r="C433" s="7" t="inlineStr">
        <is>
          <t>Sortie</t>
        </is>
      </c>
      <c r="D433" s="7" t="inlineStr">
        <is>
          <t>PD-0017</t>
        </is>
      </c>
      <c r="E433" s="9">
        <f>IF(D433="","",IFERROR(INDEX('Stock pièces'!$B$5:$B$404,MATCH(D433,'Stock pièces'!$A$5:$A$404,0)),"Réf. inconnue"))</f>
        <v/>
      </c>
      <c r="F433" s="67" t="n">
        <v>1</v>
      </c>
      <c r="G433" s="81">
        <f>IF(D433="","",IFERROR(INDEX('Stock pièces'!$I$5:$I$404,MATCH(D433,'Stock pièces'!$A$5:$A$404,0)),0))</f>
        <v/>
      </c>
      <c r="H433" s="81">
        <f>IF(D433="","",N(F433)*N(G433))</f>
        <v/>
      </c>
      <c r="I433" s="7" t="inlineStr">
        <is>
          <t>OT-2025-0534</t>
        </is>
      </c>
      <c r="J433" s="9">
        <f>IF(I433="","",IFERROR(INDEX('Ordres de travail'!$D$5:$D$3004,MATCH(I433,'Ordres de travail'!$A$5:$A$3004,0)),""))</f>
        <v/>
      </c>
      <c r="K433" s="9">
        <f>IF(D433="","",IFERROR(INDEX('Stock pièces'!$D$5:$D$404,MATCH(D433,'Stock pièces'!$A$5:$A$404,0)),""))</f>
        <v/>
      </c>
      <c r="L433" s="7" t="n"/>
      <c r="M433" s="7" t="n"/>
    </row>
    <row r="434">
      <c r="A434" s="7" t="inlineStr">
        <is>
          <t>MV-00430</t>
        </is>
      </c>
      <c r="B434" s="75" t="n">
        <v>45902.06527777778</v>
      </c>
      <c r="C434" s="7" t="inlineStr">
        <is>
          <t>Sortie</t>
        </is>
      </c>
      <c r="D434" s="7" t="inlineStr">
        <is>
          <t>PD-0052</t>
        </is>
      </c>
      <c r="E434" s="9">
        <f>IF(D434="","",IFERROR(INDEX('Stock pièces'!$B$5:$B$404,MATCH(D434,'Stock pièces'!$A$5:$A$404,0)),"Réf. inconnue"))</f>
        <v/>
      </c>
      <c r="F434" s="67" t="n">
        <v>1</v>
      </c>
      <c r="G434" s="81">
        <f>IF(D434="","",IFERROR(INDEX('Stock pièces'!$I$5:$I$404,MATCH(D434,'Stock pièces'!$A$5:$A$404,0)),0))</f>
        <v/>
      </c>
      <c r="H434" s="81">
        <f>IF(D434="","",N(F434)*N(G434))</f>
        <v/>
      </c>
      <c r="I434" s="7" t="inlineStr">
        <is>
          <t>OT-2025-0558</t>
        </is>
      </c>
      <c r="J434" s="9">
        <f>IF(I434="","",IFERROR(INDEX('Ordres de travail'!$D$5:$D$3004,MATCH(I434,'Ordres de travail'!$A$5:$A$3004,0)),""))</f>
        <v/>
      </c>
      <c r="K434" s="9">
        <f>IF(D434="","",IFERROR(INDEX('Stock pièces'!$D$5:$D$404,MATCH(D434,'Stock pièces'!$A$5:$A$404,0)),""))</f>
        <v/>
      </c>
      <c r="L434" s="7" t="n"/>
      <c r="M434" s="7" t="n"/>
    </row>
    <row r="435">
      <c r="A435" s="7" t="inlineStr">
        <is>
          <t>MV-00431</t>
        </is>
      </c>
      <c r="B435" s="75" t="n">
        <v>45902.41666666666</v>
      </c>
      <c r="C435" s="7" t="inlineStr">
        <is>
          <t>Entrée</t>
        </is>
      </c>
      <c r="D435" s="7" t="inlineStr">
        <is>
          <t>PD-0069</t>
        </is>
      </c>
      <c r="E435" s="9">
        <f>IF(D435="","",IFERROR(INDEX('Stock pièces'!$B$5:$B$404,MATCH(D435,'Stock pièces'!$A$5:$A$404,0)),"Réf. inconnue"))</f>
        <v/>
      </c>
      <c r="F435" s="67" t="n">
        <v>1</v>
      </c>
      <c r="G435" s="81">
        <f>IF(D435="","",IFERROR(INDEX('Stock pièces'!$I$5:$I$404,MATCH(D435,'Stock pièces'!$A$5:$A$404,0)),0))</f>
        <v/>
      </c>
      <c r="H435" s="81">
        <f>IF(D435="","",N(F435)*N(G435))</f>
        <v/>
      </c>
      <c r="I435" s="7" t="n"/>
      <c r="J435" s="9">
        <f>IF(I435="","",IFERROR(INDEX('Ordres de travail'!$D$5:$D$3004,MATCH(I435,'Ordres de travail'!$A$5:$A$3004,0)),""))</f>
        <v/>
      </c>
      <c r="K435" s="9">
        <f>IF(D435="","",IFERROR(INDEX('Stock pièces'!$D$5:$D$404,MATCH(D435,'Stock pièces'!$A$5:$A$404,0)),""))</f>
        <v/>
      </c>
      <c r="L435" s="7" t="inlineStr">
        <is>
          <t>CMD-24116</t>
        </is>
      </c>
      <c r="M435" s="7" t="inlineStr">
        <is>
          <t>Réception commande réappro</t>
        </is>
      </c>
    </row>
    <row r="436">
      <c r="A436" s="7" t="inlineStr">
        <is>
          <t>MV-00432</t>
        </is>
      </c>
      <c r="B436" s="75" t="n">
        <v>45902.41666666666</v>
      </c>
      <c r="C436" s="7" t="inlineStr">
        <is>
          <t>Entrée</t>
        </is>
      </c>
      <c r="D436" s="7" t="inlineStr">
        <is>
          <t>PD-0016</t>
        </is>
      </c>
      <c r="E436" s="9">
        <f>IF(D436="","",IFERROR(INDEX('Stock pièces'!$B$5:$B$404,MATCH(D436,'Stock pièces'!$A$5:$A$404,0)),"Réf. inconnue"))</f>
        <v/>
      </c>
      <c r="F436" s="67" t="n">
        <v>2</v>
      </c>
      <c r="G436" s="81">
        <f>IF(D436="","",IFERROR(INDEX('Stock pièces'!$I$5:$I$404,MATCH(D436,'Stock pièces'!$A$5:$A$404,0)),0))</f>
        <v/>
      </c>
      <c r="H436" s="81">
        <f>IF(D436="","",N(F436)*N(G436))</f>
        <v/>
      </c>
      <c r="I436" s="7" t="n"/>
      <c r="J436" s="9">
        <f>IF(I436="","",IFERROR(INDEX('Ordres de travail'!$D$5:$D$3004,MATCH(I436,'Ordres de travail'!$A$5:$A$3004,0)),""))</f>
        <v/>
      </c>
      <c r="K436" s="9">
        <f>IF(D436="","",IFERROR(INDEX('Stock pièces'!$D$5:$D$404,MATCH(D436,'Stock pièces'!$A$5:$A$404,0)),""))</f>
        <v/>
      </c>
      <c r="L436" s="7" t="inlineStr">
        <is>
          <t>CMD-24120</t>
        </is>
      </c>
      <c r="M436" s="7" t="inlineStr">
        <is>
          <t>Réception commande réappro</t>
        </is>
      </c>
    </row>
    <row r="437">
      <c r="A437" s="7" t="inlineStr">
        <is>
          <t>MV-00433</t>
        </is>
      </c>
      <c r="B437" s="75" t="n">
        <v>45903.34027777778</v>
      </c>
      <c r="C437" s="7" t="inlineStr">
        <is>
          <t>Sortie</t>
        </is>
      </c>
      <c r="D437" s="7" t="inlineStr">
        <is>
          <t>PD-0025</t>
        </is>
      </c>
      <c r="E437" s="9">
        <f>IF(D437="","",IFERROR(INDEX('Stock pièces'!$B$5:$B$404,MATCH(D437,'Stock pièces'!$A$5:$A$404,0)),"Réf. inconnue"))</f>
        <v/>
      </c>
      <c r="F437" s="67" t="n">
        <v>1</v>
      </c>
      <c r="G437" s="81">
        <f>IF(D437="","",IFERROR(INDEX('Stock pièces'!$I$5:$I$404,MATCH(D437,'Stock pièces'!$A$5:$A$404,0)),0))</f>
        <v/>
      </c>
      <c r="H437" s="81">
        <f>IF(D437="","",N(F437)*N(G437))</f>
        <v/>
      </c>
      <c r="I437" s="7" t="inlineStr">
        <is>
          <t>OT-2025-0540</t>
        </is>
      </c>
      <c r="J437" s="9">
        <f>IF(I437="","",IFERROR(INDEX('Ordres de travail'!$D$5:$D$3004,MATCH(I437,'Ordres de travail'!$A$5:$A$3004,0)),""))</f>
        <v/>
      </c>
      <c r="K437" s="9">
        <f>IF(D437="","",IFERROR(INDEX('Stock pièces'!$D$5:$D$404,MATCH(D437,'Stock pièces'!$A$5:$A$404,0)),""))</f>
        <v/>
      </c>
      <c r="L437" s="7" t="n"/>
      <c r="M437" s="7" t="n"/>
    </row>
    <row r="438">
      <c r="A438" s="7" t="inlineStr">
        <is>
          <t>MV-00434</t>
        </is>
      </c>
      <c r="B438" s="75" t="n">
        <v>45903.34027777778</v>
      </c>
      <c r="C438" s="7" t="inlineStr">
        <is>
          <t>Sortie</t>
        </is>
      </c>
      <c r="D438" s="7" t="inlineStr">
        <is>
          <t>PD-0059</t>
        </is>
      </c>
      <c r="E438" s="9">
        <f>IF(D438="","",IFERROR(INDEX('Stock pièces'!$B$5:$B$404,MATCH(D438,'Stock pièces'!$A$5:$A$404,0)),"Réf. inconnue"))</f>
        <v/>
      </c>
      <c r="F438" s="67" t="n">
        <v>1</v>
      </c>
      <c r="G438" s="81">
        <f>IF(D438="","",IFERROR(INDEX('Stock pièces'!$I$5:$I$404,MATCH(D438,'Stock pièces'!$A$5:$A$404,0)),0))</f>
        <v/>
      </c>
      <c r="H438" s="81">
        <f>IF(D438="","",N(F438)*N(G438))</f>
        <v/>
      </c>
      <c r="I438" s="7" t="inlineStr">
        <is>
          <t>OT-2025-0541</t>
        </is>
      </c>
      <c r="J438" s="9">
        <f>IF(I438="","",IFERROR(INDEX('Ordres de travail'!$D$5:$D$3004,MATCH(I438,'Ordres de travail'!$A$5:$A$3004,0)),""))</f>
        <v/>
      </c>
      <c r="K438" s="9">
        <f>IF(D438="","",IFERROR(INDEX('Stock pièces'!$D$5:$D$404,MATCH(D438,'Stock pièces'!$A$5:$A$404,0)),""))</f>
        <v/>
      </c>
      <c r="L438" s="7" t="n"/>
      <c r="M438" s="7" t="n"/>
    </row>
    <row r="439">
      <c r="A439" s="7" t="inlineStr">
        <is>
          <t>MV-00435</t>
        </is>
      </c>
      <c r="B439" s="75" t="n">
        <v>45903.38888888889</v>
      </c>
      <c r="C439" s="7" t="inlineStr">
        <is>
          <t>Sortie</t>
        </is>
      </c>
      <c r="D439" s="7" t="inlineStr">
        <is>
          <t>PD-0025</t>
        </is>
      </c>
      <c r="E439" s="9">
        <f>IF(D439="","",IFERROR(INDEX('Stock pièces'!$B$5:$B$404,MATCH(D439,'Stock pièces'!$A$5:$A$404,0)),"Réf. inconnue"))</f>
        <v/>
      </c>
      <c r="F439" s="67" t="n">
        <v>2</v>
      </c>
      <c r="G439" s="81">
        <f>IF(D439="","",IFERROR(INDEX('Stock pièces'!$I$5:$I$404,MATCH(D439,'Stock pièces'!$A$5:$A$404,0)),0))</f>
        <v/>
      </c>
      <c r="H439" s="81">
        <f>IF(D439="","",N(F439)*N(G439))</f>
        <v/>
      </c>
      <c r="I439" s="7" t="inlineStr">
        <is>
          <t>OT-2025-0543</t>
        </is>
      </c>
      <c r="J439" s="9">
        <f>IF(I439="","",IFERROR(INDEX('Ordres de travail'!$D$5:$D$3004,MATCH(I439,'Ordres de travail'!$A$5:$A$3004,0)),""))</f>
        <v/>
      </c>
      <c r="K439" s="9">
        <f>IF(D439="","",IFERROR(INDEX('Stock pièces'!$D$5:$D$404,MATCH(D439,'Stock pièces'!$A$5:$A$404,0)),""))</f>
        <v/>
      </c>
      <c r="L439" s="7" t="n"/>
      <c r="M439" s="7" t="n"/>
    </row>
    <row r="440">
      <c r="A440" s="7" t="inlineStr">
        <is>
          <t>MV-00436</t>
        </is>
      </c>
      <c r="B440" s="75" t="n">
        <v>45903.40277777778</v>
      </c>
      <c r="C440" s="7" t="inlineStr">
        <is>
          <t>Sortie</t>
        </is>
      </c>
      <c r="D440" s="7" t="inlineStr">
        <is>
          <t>PD-0025</t>
        </is>
      </c>
      <c r="E440" s="9">
        <f>IF(D440="","",IFERROR(INDEX('Stock pièces'!$B$5:$B$404,MATCH(D440,'Stock pièces'!$A$5:$A$404,0)),"Réf. inconnue"))</f>
        <v/>
      </c>
      <c r="F440" s="67" t="n">
        <v>1</v>
      </c>
      <c r="G440" s="81">
        <f>IF(D440="","",IFERROR(INDEX('Stock pièces'!$I$5:$I$404,MATCH(D440,'Stock pièces'!$A$5:$A$404,0)),0))</f>
        <v/>
      </c>
      <c r="H440" s="81">
        <f>IF(D440="","",N(F440)*N(G440))</f>
        <v/>
      </c>
      <c r="I440" s="7" t="inlineStr">
        <is>
          <t>OT-2025-0542</t>
        </is>
      </c>
      <c r="J440" s="9">
        <f>IF(I440="","",IFERROR(INDEX('Ordres de travail'!$D$5:$D$3004,MATCH(I440,'Ordres de travail'!$A$5:$A$3004,0)),""))</f>
        <v/>
      </c>
      <c r="K440" s="9">
        <f>IF(D440="","",IFERROR(INDEX('Stock pièces'!$D$5:$D$404,MATCH(D440,'Stock pièces'!$A$5:$A$404,0)),""))</f>
        <v/>
      </c>
      <c r="L440" s="7" t="n"/>
      <c r="M440" s="7" t="n"/>
    </row>
    <row r="441">
      <c r="A441" s="7" t="inlineStr">
        <is>
          <t>MV-00437</t>
        </is>
      </c>
      <c r="B441" s="75" t="n">
        <v>45903.41666666666</v>
      </c>
      <c r="C441" s="7" t="inlineStr">
        <is>
          <t>Entrée</t>
        </is>
      </c>
      <c r="D441" s="7" t="inlineStr">
        <is>
          <t>PD-0056</t>
        </is>
      </c>
      <c r="E441" s="9">
        <f>IF(D441="","",IFERROR(INDEX('Stock pièces'!$B$5:$B$404,MATCH(D441,'Stock pièces'!$A$5:$A$404,0)),"Réf. inconnue"))</f>
        <v/>
      </c>
      <c r="F441" s="67" t="n">
        <v>1</v>
      </c>
      <c r="G441" s="81">
        <f>IF(D441="","",IFERROR(INDEX('Stock pièces'!$I$5:$I$404,MATCH(D441,'Stock pièces'!$A$5:$A$404,0)),0))</f>
        <v/>
      </c>
      <c r="H441" s="81">
        <f>IF(D441="","",N(F441)*N(G441))</f>
        <v/>
      </c>
      <c r="I441" s="7" t="n"/>
      <c r="J441" s="9">
        <f>IF(I441="","",IFERROR(INDEX('Ordres de travail'!$D$5:$D$3004,MATCH(I441,'Ordres de travail'!$A$5:$A$3004,0)),""))</f>
        <v/>
      </c>
      <c r="K441" s="9">
        <f>IF(D441="","",IFERROR(INDEX('Stock pièces'!$D$5:$D$404,MATCH(D441,'Stock pièces'!$A$5:$A$404,0)),""))</f>
        <v/>
      </c>
      <c r="L441" s="7" t="inlineStr">
        <is>
          <t>CMD-24114</t>
        </is>
      </c>
      <c r="M441" s="7" t="inlineStr">
        <is>
          <t>Réception commande réappro</t>
        </is>
      </c>
    </row>
    <row r="442">
      <c r="A442" s="7" t="inlineStr">
        <is>
          <t>MV-00438</t>
        </is>
      </c>
      <c r="B442" s="75" t="n">
        <v>45903.41666666666</v>
      </c>
      <c r="C442" s="7" t="inlineStr">
        <is>
          <t>Entrée</t>
        </is>
      </c>
      <c r="D442" s="7" t="inlineStr">
        <is>
          <t>PD-0024</t>
        </is>
      </c>
      <c r="E442" s="9">
        <f>IF(D442="","",IFERROR(INDEX('Stock pièces'!$B$5:$B$404,MATCH(D442,'Stock pièces'!$A$5:$A$404,0)),"Réf. inconnue"))</f>
        <v/>
      </c>
      <c r="F442" s="67" t="n">
        <v>2</v>
      </c>
      <c r="G442" s="81">
        <f>IF(D442="","",IFERROR(INDEX('Stock pièces'!$I$5:$I$404,MATCH(D442,'Stock pièces'!$A$5:$A$404,0)),0))</f>
        <v/>
      </c>
      <c r="H442" s="81">
        <f>IF(D442="","",N(F442)*N(G442))</f>
        <v/>
      </c>
      <c r="I442" s="7" t="n"/>
      <c r="J442" s="9">
        <f>IF(I442="","",IFERROR(INDEX('Ordres de travail'!$D$5:$D$3004,MATCH(I442,'Ordres de travail'!$A$5:$A$3004,0)),""))</f>
        <v/>
      </c>
      <c r="K442" s="9">
        <f>IF(D442="","",IFERROR(INDEX('Stock pièces'!$D$5:$D$404,MATCH(D442,'Stock pièces'!$A$5:$A$404,0)),""))</f>
        <v/>
      </c>
      <c r="L442" s="7" t="inlineStr">
        <is>
          <t>CMD-24118</t>
        </is>
      </c>
      <c r="M442" s="7" t="inlineStr">
        <is>
          <t>Réception commande réappro</t>
        </is>
      </c>
    </row>
    <row r="443">
      <c r="A443" s="7" t="inlineStr">
        <is>
          <t>MV-00439</t>
        </is>
      </c>
      <c r="B443" s="75" t="n">
        <v>45903.88263888889</v>
      </c>
      <c r="C443" s="7" t="inlineStr">
        <is>
          <t>Sortie</t>
        </is>
      </c>
      <c r="D443" s="7" t="inlineStr">
        <is>
          <t>PD-0040</t>
        </is>
      </c>
      <c r="E443" s="9">
        <f>IF(D443="","",IFERROR(INDEX('Stock pièces'!$B$5:$B$404,MATCH(D443,'Stock pièces'!$A$5:$A$404,0)),"Réf. inconnue"))</f>
        <v/>
      </c>
      <c r="F443" s="67" t="n">
        <v>2</v>
      </c>
      <c r="G443" s="81">
        <f>IF(D443="","",IFERROR(INDEX('Stock pièces'!$I$5:$I$404,MATCH(D443,'Stock pièces'!$A$5:$A$404,0)),0))</f>
        <v/>
      </c>
      <c r="H443" s="81">
        <f>IF(D443="","",N(F443)*N(G443))</f>
        <v/>
      </c>
      <c r="I443" s="7" t="inlineStr">
        <is>
          <t>OT-2025-0564</t>
        </is>
      </c>
      <c r="J443" s="9">
        <f>IF(I443="","",IFERROR(INDEX('Ordres de travail'!$D$5:$D$3004,MATCH(I443,'Ordres de travail'!$A$5:$A$3004,0)),""))</f>
        <v/>
      </c>
      <c r="K443" s="9">
        <f>IF(D443="","",IFERROR(INDEX('Stock pièces'!$D$5:$D$404,MATCH(D443,'Stock pièces'!$A$5:$A$404,0)),""))</f>
        <v/>
      </c>
      <c r="L443" s="7" t="n"/>
      <c r="M443" s="7" t="n"/>
    </row>
    <row r="444">
      <c r="A444" s="7" t="inlineStr">
        <is>
          <t>MV-00440</t>
        </is>
      </c>
      <c r="B444" s="75" t="n">
        <v>45904.41666666666</v>
      </c>
      <c r="C444" s="7" t="inlineStr">
        <is>
          <t>Entrée</t>
        </is>
      </c>
      <c r="D444" s="7" t="inlineStr">
        <is>
          <t>PD-0020</t>
        </is>
      </c>
      <c r="E444" s="9">
        <f>IF(D444="","",IFERROR(INDEX('Stock pièces'!$B$5:$B$404,MATCH(D444,'Stock pièces'!$A$5:$A$404,0)),"Réf. inconnue"))</f>
        <v/>
      </c>
      <c r="F444" s="67" t="n">
        <v>8</v>
      </c>
      <c r="G444" s="81">
        <f>IF(D444="","",IFERROR(INDEX('Stock pièces'!$I$5:$I$404,MATCH(D444,'Stock pièces'!$A$5:$A$404,0)),0))</f>
        <v/>
      </c>
      <c r="H444" s="81">
        <f>IF(D444="","",N(F444)*N(G444))</f>
        <v/>
      </c>
      <c r="I444" s="7" t="n"/>
      <c r="J444" s="9">
        <f>IF(I444="","",IFERROR(INDEX('Ordres de travail'!$D$5:$D$3004,MATCH(I444,'Ordres de travail'!$A$5:$A$3004,0)),""))</f>
        <v/>
      </c>
      <c r="K444" s="9">
        <f>IF(D444="","",IFERROR(INDEX('Stock pièces'!$D$5:$D$404,MATCH(D444,'Stock pièces'!$A$5:$A$404,0)),""))</f>
        <v/>
      </c>
      <c r="L444" s="7" t="inlineStr">
        <is>
          <t>CMD-24123</t>
        </is>
      </c>
      <c r="M444" s="7" t="inlineStr">
        <is>
          <t>Réception commande réappro</t>
        </is>
      </c>
    </row>
    <row r="445">
      <c r="A445" s="7" t="inlineStr">
        <is>
          <t>MV-00441</t>
        </is>
      </c>
      <c r="B445" s="75" t="n">
        <v>45905.41666666666</v>
      </c>
      <c r="C445" s="7" t="inlineStr">
        <is>
          <t>Entrée</t>
        </is>
      </c>
      <c r="D445" s="7" t="inlineStr">
        <is>
          <t>PD-0041</t>
        </is>
      </c>
      <c r="E445" s="9">
        <f>IF(D445="","",IFERROR(INDEX('Stock pièces'!$B$5:$B$404,MATCH(D445,'Stock pièces'!$A$5:$A$404,0)),"Réf. inconnue"))</f>
        <v/>
      </c>
      <c r="F445" s="67" t="n">
        <v>1</v>
      </c>
      <c r="G445" s="81">
        <f>IF(D445="","",IFERROR(INDEX('Stock pièces'!$I$5:$I$404,MATCH(D445,'Stock pièces'!$A$5:$A$404,0)),0))</f>
        <v/>
      </c>
      <c r="H445" s="81">
        <f>IF(D445="","",N(F445)*N(G445))</f>
        <v/>
      </c>
      <c r="I445" s="7" t="n"/>
      <c r="J445" s="9">
        <f>IF(I445="","",IFERROR(INDEX('Ordres de travail'!$D$5:$D$3004,MATCH(I445,'Ordres de travail'!$A$5:$A$3004,0)),""))</f>
        <v/>
      </c>
      <c r="K445" s="9">
        <f>IF(D445="","",IFERROR(INDEX('Stock pièces'!$D$5:$D$404,MATCH(D445,'Stock pièces'!$A$5:$A$404,0)),""))</f>
        <v/>
      </c>
      <c r="L445" s="7" t="inlineStr">
        <is>
          <t>CMD-24121</t>
        </is>
      </c>
      <c r="M445" s="7" t="inlineStr">
        <is>
          <t>Réception commande réappro</t>
        </is>
      </c>
    </row>
    <row r="446">
      <c r="A446" s="7" t="inlineStr">
        <is>
          <t>MV-00442</t>
        </is>
      </c>
      <c r="B446" s="75" t="n">
        <v>45905.41666666666</v>
      </c>
      <c r="C446" s="7" t="inlineStr">
        <is>
          <t>Entrée</t>
        </is>
      </c>
      <c r="D446" s="7" t="inlineStr">
        <is>
          <t>PD-0043</t>
        </is>
      </c>
      <c r="E446" s="9">
        <f>IF(D446="","",IFERROR(INDEX('Stock pièces'!$B$5:$B$404,MATCH(D446,'Stock pièces'!$A$5:$A$404,0)),"Réf. inconnue"))</f>
        <v/>
      </c>
      <c r="F446" s="67" t="n">
        <v>1</v>
      </c>
      <c r="G446" s="81">
        <f>IF(D446="","",IFERROR(INDEX('Stock pièces'!$I$5:$I$404,MATCH(D446,'Stock pièces'!$A$5:$A$404,0)),0))</f>
        <v/>
      </c>
      <c r="H446" s="81">
        <f>IF(D446="","",N(F446)*N(G446))</f>
        <v/>
      </c>
      <c r="I446" s="7" t="n"/>
      <c r="J446" s="9">
        <f>IF(I446="","",IFERROR(INDEX('Ordres de travail'!$D$5:$D$3004,MATCH(I446,'Ordres de travail'!$A$5:$A$3004,0)),""))</f>
        <v/>
      </c>
      <c r="K446" s="9">
        <f>IF(D446="","",IFERROR(INDEX('Stock pièces'!$D$5:$D$404,MATCH(D446,'Stock pièces'!$A$5:$A$404,0)),""))</f>
        <v/>
      </c>
      <c r="L446" s="7" t="inlineStr">
        <is>
          <t>CMD-24122</t>
        </is>
      </c>
      <c r="M446" s="7" t="inlineStr">
        <is>
          <t>Réception commande réappro</t>
        </is>
      </c>
    </row>
    <row r="447">
      <c r="A447" s="7" t="inlineStr">
        <is>
          <t>MV-00443</t>
        </is>
      </c>
      <c r="B447" s="75" t="n">
        <v>45906.76875</v>
      </c>
      <c r="C447" s="7" t="inlineStr">
        <is>
          <t>Sortie</t>
        </is>
      </c>
      <c r="D447" s="7" t="inlineStr">
        <is>
          <t>PD-0043</t>
        </is>
      </c>
      <c r="E447" s="9">
        <f>IF(D447="","",IFERROR(INDEX('Stock pièces'!$B$5:$B$404,MATCH(D447,'Stock pièces'!$A$5:$A$404,0)),"Réf. inconnue"))</f>
        <v/>
      </c>
      <c r="F447" s="67" t="n">
        <v>1</v>
      </c>
      <c r="G447" s="81">
        <f>IF(D447="","",IFERROR(INDEX('Stock pièces'!$I$5:$I$404,MATCH(D447,'Stock pièces'!$A$5:$A$404,0)),0))</f>
        <v/>
      </c>
      <c r="H447" s="81">
        <f>IF(D447="","",N(F447)*N(G447))</f>
        <v/>
      </c>
      <c r="I447" s="7" t="inlineStr">
        <is>
          <t>OT-2025-0569</t>
        </is>
      </c>
      <c r="J447" s="9">
        <f>IF(I447="","",IFERROR(INDEX('Ordres de travail'!$D$5:$D$3004,MATCH(I447,'Ordres de travail'!$A$5:$A$3004,0)),""))</f>
        <v/>
      </c>
      <c r="K447" s="9">
        <f>IF(D447="","",IFERROR(INDEX('Stock pièces'!$D$5:$D$404,MATCH(D447,'Stock pièces'!$A$5:$A$404,0)),""))</f>
        <v/>
      </c>
      <c r="L447" s="7" t="n"/>
      <c r="M447" s="7" t="n"/>
    </row>
    <row r="448">
      <c r="A448" s="7" t="inlineStr">
        <is>
          <t>MV-00444</t>
        </is>
      </c>
      <c r="B448" s="75" t="n">
        <v>45908.26388888889</v>
      </c>
      <c r="C448" s="7" t="inlineStr">
        <is>
          <t>Sortie</t>
        </is>
      </c>
      <c r="D448" s="7" t="inlineStr">
        <is>
          <t>PD-0021</t>
        </is>
      </c>
      <c r="E448" s="9">
        <f>IF(D448="","",IFERROR(INDEX('Stock pièces'!$B$5:$B$404,MATCH(D448,'Stock pièces'!$A$5:$A$404,0)),"Réf. inconnue"))</f>
        <v/>
      </c>
      <c r="F448" s="67" t="n">
        <v>1</v>
      </c>
      <c r="G448" s="81">
        <f>IF(D448="","",IFERROR(INDEX('Stock pièces'!$I$5:$I$404,MATCH(D448,'Stock pièces'!$A$5:$A$404,0)),0))</f>
        <v/>
      </c>
      <c r="H448" s="81">
        <f>IF(D448="","",N(F448)*N(G448))</f>
        <v/>
      </c>
      <c r="I448" s="7" t="inlineStr">
        <is>
          <t>OT-2025-0553</t>
        </is>
      </c>
      <c r="J448" s="9">
        <f>IF(I448="","",IFERROR(INDEX('Ordres de travail'!$D$5:$D$3004,MATCH(I448,'Ordres de travail'!$A$5:$A$3004,0)),""))</f>
        <v/>
      </c>
      <c r="K448" s="9">
        <f>IF(D448="","",IFERROR(INDEX('Stock pièces'!$D$5:$D$404,MATCH(D448,'Stock pièces'!$A$5:$A$404,0)),""))</f>
        <v/>
      </c>
      <c r="L448" s="7" t="n"/>
      <c r="M448" s="7" t="n"/>
    </row>
    <row r="449">
      <c r="A449" s="7" t="inlineStr">
        <is>
          <t>MV-00445</t>
        </is>
      </c>
      <c r="B449" s="75" t="n">
        <v>45908.32986111111</v>
      </c>
      <c r="C449" s="7" t="inlineStr">
        <is>
          <t>Sortie</t>
        </is>
      </c>
      <c r="D449" s="7" t="inlineStr">
        <is>
          <t>PD-0025</t>
        </is>
      </c>
      <c r="E449" s="9">
        <f>IF(D449="","",IFERROR(INDEX('Stock pièces'!$B$5:$B$404,MATCH(D449,'Stock pièces'!$A$5:$A$404,0)),"Réf. inconnue"))</f>
        <v/>
      </c>
      <c r="F449" s="67" t="n">
        <v>1</v>
      </c>
      <c r="G449" s="81">
        <f>IF(D449="","",IFERROR(INDEX('Stock pièces'!$I$5:$I$404,MATCH(D449,'Stock pièces'!$A$5:$A$404,0)),0))</f>
        <v/>
      </c>
      <c r="H449" s="81">
        <f>IF(D449="","",N(F449)*N(G449))</f>
        <v/>
      </c>
      <c r="I449" s="7" t="inlineStr">
        <is>
          <t>OT-2025-0554</t>
        </is>
      </c>
      <c r="J449" s="9">
        <f>IF(I449="","",IFERROR(INDEX('Ordres de travail'!$D$5:$D$3004,MATCH(I449,'Ordres de travail'!$A$5:$A$3004,0)),""))</f>
        <v/>
      </c>
      <c r="K449" s="9">
        <f>IF(D449="","",IFERROR(INDEX('Stock pièces'!$D$5:$D$404,MATCH(D449,'Stock pièces'!$A$5:$A$404,0)),""))</f>
        <v/>
      </c>
      <c r="L449" s="7" t="n"/>
      <c r="M449" s="7" t="n"/>
    </row>
    <row r="450">
      <c r="A450" s="7" t="inlineStr">
        <is>
          <t>MV-00446</t>
        </is>
      </c>
      <c r="B450" s="75" t="n">
        <v>45908.41666666666</v>
      </c>
      <c r="C450" s="7" t="inlineStr">
        <is>
          <t>Entrée</t>
        </is>
      </c>
      <c r="D450" s="7" t="inlineStr">
        <is>
          <t>PD-0011</t>
        </is>
      </c>
      <c r="E450" s="9">
        <f>IF(D450="","",IFERROR(INDEX('Stock pièces'!$B$5:$B$404,MATCH(D450,'Stock pièces'!$A$5:$A$404,0)),"Réf. inconnue"))</f>
        <v/>
      </c>
      <c r="F450" s="67" t="n">
        <v>2</v>
      </c>
      <c r="G450" s="81">
        <f>IF(D450="","",IFERROR(INDEX('Stock pièces'!$I$5:$I$404,MATCH(D450,'Stock pièces'!$A$5:$A$404,0)),0))</f>
        <v/>
      </c>
      <c r="H450" s="81">
        <f>IF(D450="","",N(F450)*N(G450))</f>
        <v/>
      </c>
      <c r="I450" s="7" t="n"/>
      <c r="J450" s="9">
        <f>IF(I450="","",IFERROR(INDEX('Ordres de travail'!$D$5:$D$3004,MATCH(I450,'Ordres de travail'!$A$5:$A$3004,0)),""))</f>
        <v/>
      </c>
      <c r="K450" s="9">
        <f>IF(D450="","",IFERROR(INDEX('Stock pièces'!$D$5:$D$404,MATCH(D450,'Stock pièces'!$A$5:$A$404,0)),""))</f>
        <v/>
      </c>
      <c r="L450" s="7" t="inlineStr">
        <is>
          <t>CMD-24126</t>
        </is>
      </c>
      <c r="M450" s="7" t="inlineStr">
        <is>
          <t>Réception commande réappro</t>
        </is>
      </c>
    </row>
    <row r="451">
      <c r="A451" s="7" t="inlineStr">
        <is>
          <t>MV-00447</t>
        </is>
      </c>
      <c r="B451" s="75" t="n">
        <v>45908.41666666666</v>
      </c>
      <c r="C451" s="7" t="inlineStr">
        <is>
          <t>Entrée</t>
        </is>
      </c>
      <c r="D451" s="7" t="inlineStr">
        <is>
          <t>PD-0053</t>
        </is>
      </c>
      <c r="E451" s="9">
        <f>IF(D451="","",IFERROR(INDEX('Stock pièces'!$B$5:$B$404,MATCH(D451,'Stock pièces'!$A$5:$A$404,0)),"Réf. inconnue"))</f>
        <v/>
      </c>
      <c r="F451" s="67" t="n">
        <v>1</v>
      </c>
      <c r="G451" s="81">
        <f>IF(D451="","",IFERROR(INDEX('Stock pièces'!$I$5:$I$404,MATCH(D451,'Stock pièces'!$A$5:$A$404,0)),0))</f>
        <v/>
      </c>
      <c r="H451" s="81">
        <f>IF(D451="","",N(F451)*N(G451))</f>
        <v/>
      </c>
      <c r="I451" s="7" t="n"/>
      <c r="J451" s="9">
        <f>IF(I451="","",IFERROR(INDEX('Ordres de travail'!$D$5:$D$3004,MATCH(I451,'Ordres de travail'!$A$5:$A$3004,0)),""))</f>
        <v/>
      </c>
      <c r="K451" s="9">
        <f>IF(D451="","",IFERROR(INDEX('Stock pièces'!$D$5:$D$404,MATCH(D451,'Stock pièces'!$A$5:$A$404,0)),""))</f>
        <v/>
      </c>
      <c r="L451" s="7" t="inlineStr">
        <is>
          <t>CMD-24127</t>
        </is>
      </c>
      <c r="M451" s="7" t="inlineStr">
        <is>
          <t>Réception commande réappro</t>
        </is>
      </c>
    </row>
    <row r="452">
      <c r="A452" s="7" t="inlineStr">
        <is>
          <t>MV-00448</t>
        </is>
      </c>
      <c r="B452" s="75" t="n">
        <v>45908.85625</v>
      </c>
      <c r="C452" s="7" t="inlineStr">
        <is>
          <t>Sortie</t>
        </is>
      </c>
      <c r="D452" s="7" t="inlineStr">
        <is>
          <t>PD-0007</t>
        </is>
      </c>
      <c r="E452" s="9">
        <f>IF(D452="","",IFERROR(INDEX('Stock pièces'!$B$5:$B$404,MATCH(D452,'Stock pièces'!$A$5:$A$404,0)),"Réf. inconnue"))</f>
        <v/>
      </c>
      <c r="F452" s="67" t="n">
        <v>3</v>
      </c>
      <c r="G452" s="81">
        <f>IF(D452="","",IFERROR(INDEX('Stock pièces'!$I$5:$I$404,MATCH(D452,'Stock pièces'!$A$5:$A$404,0)),0))</f>
        <v/>
      </c>
      <c r="H452" s="81">
        <f>IF(D452="","",N(F452)*N(G452))</f>
        <v/>
      </c>
      <c r="I452" s="7" t="inlineStr">
        <is>
          <t>OT-2025-0572</t>
        </is>
      </c>
      <c r="J452" s="9">
        <f>IF(I452="","",IFERROR(INDEX('Ordres de travail'!$D$5:$D$3004,MATCH(I452,'Ordres de travail'!$A$5:$A$3004,0)),""))</f>
        <v/>
      </c>
      <c r="K452" s="9">
        <f>IF(D452="","",IFERROR(INDEX('Stock pièces'!$D$5:$D$404,MATCH(D452,'Stock pièces'!$A$5:$A$404,0)),""))</f>
        <v/>
      </c>
      <c r="L452" s="7" t="n"/>
      <c r="M452" s="7" t="n"/>
    </row>
    <row r="453">
      <c r="A453" s="7" t="inlineStr">
        <is>
          <t>MV-00449</t>
        </is>
      </c>
      <c r="B453" s="75" t="n">
        <v>45909.28819444445</v>
      </c>
      <c r="C453" s="7" t="inlineStr">
        <is>
          <t>Sortie</t>
        </is>
      </c>
      <c r="D453" s="7" t="inlineStr">
        <is>
          <t>PD-0062</t>
        </is>
      </c>
      <c r="E453" s="9">
        <f>IF(D453="","",IFERROR(INDEX('Stock pièces'!$B$5:$B$404,MATCH(D453,'Stock pièces'!$A$5:$A$404,0)),"Réf. inconnue"))</f>
        <v/>
      </c>
      <c r="F453" s="67" t="n">
        <v>1</v>
      </c>
      <c r="G453" s="81">
        <f>IF(D453="","",IFERROR(INDEX('Stock pièces'!$I$5:$I$404,MATCH(D453,'Stock pièces'!$A$5:$A$404,0)),0))</f>
        <v/>
      </c>
      <c r="H453" s="81">
        <f>IF(D453="","",N(F453)*N(G453))</f>
        <v/>
      </c>
      <c r="I453" s="7" t="inlineStr">
        <is>
          <t>OT-2025-0561</t>
        </is>
      </c>
      <c r="J453" s="9">
        <f>IF(I453="","",IFERROR(INDEX('Ordres de travail'!$D$5:$D$3004,MATCH(I453,'Ordres de travail'!$A$5:$A$3004,0)),""))</f>
        <v/>
      </c>
      <c r="K453" s="9">
        <f>IF(D453="","",IFERROR(INDEX('Stock pièces'!$D$5:$D$404,MATCH(D453,'Stock pièces'!$A$5:$A$404,0)),""))</f>
        <v/>
      </c>
      <c r="L453" s="7" t="n"/>
      <c r="M453" s="7" t="n"/>
    </row>
    <row r="454">
      <c r="A454" s="7" t="inlineStr">
        <is>
          <t>MV-00450</t>
        </is>
      </c>
      <c r="B454" s="75" t="n">
        <v>45909.41666666666</v>
      </c>
      <c r="C454" s="7" t="inlineStr">
        <is>
          <t>Entrée</t>
        </is>
      </c>
      <c r="D454" s="7" t="inlineStr">
        <is>
          <t>PD-0052</t>
        </is>
      </c>
      <c r="E454" s="9">
        <f>IF(D454="","",IFERROR(INDEX('Stock pièces'!$B$5:$B$404,MATCH(D454,'Stock pièces'!$A$5:$A$404,0)),"Réf. inconnue"))</f>
        <v/>
      </c>
      <c r="F454" s="67" t="n">
        <v>2</v>
      </c>
      <c r="G454" s="81">
        <f>IF(D454="","",IFERROR(INDEX('Stock pièces'!$I$5:$I$404,MATCH(D454,'Stock pièces'!$A$5:$A$404,0)),0))</f>
        <v/>
      </c>
      <c r="H454" s="81">
        <f>IF(D454="","",N(F454)*N(G454))</f>
        <v/>
      </c>
      <c r="I454" s="7" t="n"/>
      <c r="J454" s="9">
        <f>IF(I454="","",IFERROR(INDEX('Ordres de travail'!$D$5:$D$3004,MATCH(I454,'Ordres de travail'!$A$5:$A$3004,0)),""))</f>
        <v/>
      </c>
      <c r="K454" s="9">
        <f>IF(D454="","",IFERROR(INDEX('Stock pièces'!$D$5:$D$404,MATCH(D454,'Stock pièces'!$A$5:$A$404,0)),""))</f>
        <v/>
      </c>
      <c r="L454" s="7" t="inlineStr">
        <is>
          <t>CMD-24128</t>
        </is>
      </c>
      <c r="M454" s="7" t="inlineStr">
        <is>
          <t>Réception commande réappro</t>
        </is>
      </c>
    </row>
    <row r="455">
      <c r="A455" s="7" t="inlineStr">
        <is>
          <t>MV-00451</t>
        </is>
      </c>
      <c r="B455" s="75" t="n">
        <v>45909.44444444445</v>
      </c>
      <c r="C455" s="7" t="inlineStr">
        <is>
          <t>Sortie</t>
        </is>
      </c>
      <c r="D455" s="7" t="inlineStr">
        <is>
          <t>PD-0017</t>
        </is>
      </c>
      <c r="E455" s="9">
        <f>IF(D455="","",IFERROR(INDEX('Stock pièces'!$B$5:$B$404,MATCH(D455,'Stock pièces'!$A$5:$A$404,0)),"Réf. inconnue"))</f>
        <v/>
      </c>
      <c r="F455" s="67" t="n">
        <v>1</v>
      </c>
      <c r="G455" s="81">
        <f>IF(D455="","",IFERROR(INDEX('Stock pièces'!$I$5:$I$404,MATCH(D455,'Stock pièces'!$A$5:$A$404,0)),0))</f>
        <v/>
      </c>
      <c r="H455" s="81">
        <f>IF(D455="","",N(F455)*N(G455))</f>
        <v/>
      </c>
      <c r="I455" s="7" t="inlineStr">
        <is>
          <t>OT-2025-0562</t>
        </is>
      </c>
      <c r="J455" s="9">
        <f>IF(I455="","",IFERROR(INDEX('Ordres de travail'!$D$5:$D$3004,MATCH(I455,'Ordres de travail'!$A$5:$A$3004,0)),""))</f>
        <v/>
      </c>
      <c r="K455" s="9">
        <f>IF(D455="","",IFERROR(INDEX('Stock pièces'!$D$5:$D$404,MATCH(D455,'Stock pièces'!$A$5:$A$404,0)),""))</f>
        <v/>
      </c>
      <c r="L455" s="7" t="n"/>
      <c r="M455" s="7" t="n"/>
    </row>
    <row r="456">
      <c r="A456" s="7" t="inlineStr">
        <is>
          <t>MV-00452</t>
        </is>
      </c>
      <c r="B456" s="75" t="n">
        <v>45915.41666666666</v>
      </c>
      <c r="C456" s="7" t="inlineStr">
        <is>
          <t>Entrée</t>
        </is>
      </c>
      <c r="D456" s="7" t="inlineStr">
        <is>
          <t>PD-0068</t>
        </is>
      </c>
      <c r="E456" s="9">
        <f>IF(D456="","",IFERROR(INDEX('Stock pièces'!$B$5:$B$404,MATCH(D456,'Stock pièces'!$A$5:$A$404,0)),"Réf. inconnue"))</f>
        <v/>
      </c>
      <c r="F456" s="67" t="n">
        <v>1</v>
      </c>
      <c r="G456" s="81">
        <f>IF(D456="","",IFERROR(INDEX('Stock pièces'!$I$5:$I$404,MATCH(D456,'Stock pièces'!$A$5:$A$404,0)),0))</f>
        <v/>
      </c>
      <c r="H456" s="81">
        <f>IF(D456="","",N(F456)*N(G456))</f>
        <v/>
      </c>
      <c r="I456" s="7" t="n"/>
      <c r="J456" s="9">
        <f>IF(I456="","",IFERROR(INDEX('Ordres de travail'!$D$5:$D$3004,MATCH(I456,'Ordres de travail'!$A$5:$A$3004,0)),""))</f>
        <v/>
      </c>
      <c r="K456" s="9">
        <f>IF(D456="","",IFERROR(INDEX('Stock pièces'!$D$5:$D$404,MATCH(D456,'Stock pièces'!$A$5:$A$404,0)),""))</f>
        <v/>
      </c>
      <c r="L456" s="7" t="inlineStr">
        <is>
          <t>CMD-24125</t>
        </is>
      </c>
      <c r="M456" s="7" t="inlineStr">
        <is>
          <t>Réception commande réappro</t>
        </is>
      </c>
    </row>
    <row r="457">
      <c r="A457" s="7" t="inlineStr">
        <is>
          <t>MV-00453</t>
        </is>
      </c>
      <c r="B457" s="75" t="n">
        <v>45915.41666666666</v>
      </c>
      <c r="C457" s="7" t="inlineStr">
        <is>
          <t>Entrée</t>
        </is>
      </c>
      <c r="D457" s="7" t="inlineStr">
        <is>
          <t>PD-0059</t>
        </is>
      </c>
      <c r="E457" s="9">
        <f>IF(D457="","",IFERROR(INDEX('Stock pièces'!$B$5:$B$404,MATCH(D457,'Stock pièces'!$A$5:$A$404,0)),"Réf. inconnue"))</f>
        <v/>
      </c>
      <c r="F457" s="67" t="n">
        <v>4</v>
      </c>
      <c r="G457" s="81">
        <f>IF(D457="","",IFERROR(INDEX('Stock pièces'!$I$5:$I$404,MATCH(D457,'Stock pièces'!$A$5:$A$404,0)),0))</f>
        <v/>
      </c>
      <c r="H457" s="81">
        <f>IF(D457="","",N(F457)*N(G457))</f>
        <v/>
      </c>
      <c r="I457" s="7" t="n"/>
      <c r="J457" s="9">
        <f>IF(I457="","",IFERROR(INDEX('Ordres de travail'!$D$5:$D$3004,MATCH(I457,'Ordres de travail'!$A$5:$A$3004,0)),""))</f>
        <v/>
      </c>
      <c r="K457" s="9">
        <f>IF(D457="","",IFERROR(INDEX('Stock pièces'!$D$5:$D$404,MATCH(D457,'Stock pièces'!$A$5:$A$404,0)),""))</f>
        <v/>
      </c>
      <c r="L457" s="7" t="inlineStr">
        <is>
          <t>CMD-24129</t>
        </is>
      </c>
      <c r="M457" s="7" t="inlineStr">
        <is>
          <t>Réception commande réappro</t>
        </is>
      </c>
    </row>
    <row r="458">
      <c r="A458" s="7" t="inlineStr">
        <is>
          <t>MV-00454</t>
        </is>
      </c>
      <c r="B458" s="75" t="n">
        <v>45915.41666666666</v>
      </c>
      <c r="C458" s="7" t="inlineStr">
        <is>
          <t>Entrée</t>
        </is>
      </c>
      <c r="D458" s="7" t="inlineStr">
        <is>
          <t>PD-0007</t>
        </is>
      </c>
      <c r="E458" s="9">
        <f>IF(D458="","",IFERROR(INDEX('Stock pièces'!$B$5:$B$404,MATCH(D458,'Stock pièces'!$A$5:$A$404,0)),"Réf. inconnue"))</f>
        <v/>
      </c>
      <c r="F458" s="67" t="n">
        <v>3</v>
      </c>
      <c r="G458" s="81">
        <f>IF(D458="","",IFERROR(INDEX('Stock pièces'!$I$5:$I$404,MATCH(D458,'Stock pièces'!$A$5:$A$404,0)),0))</f>
        <v/>
      </c>
      <c r="H458" s="81">
        <f>IF(D458="","",N(F458)*N(G458))</f>
        <v/>
      </c>
      <c r="I458" s="7" t="n"/>
      <c r="J458" s="9">
        <f>IF(I458="","",IFERROR(INDEX('Ordres de travail'!$D$5:$D$3004,MATCH(I458,'Ordres de travail'!$A$5:$A$3004,0)),""))</f>
        <v/>
      </c>
      <c r="K458" s="9">
        <f>IF(D458="","",IFERROR(INDEX('Stock pièces'!$D$5:$D$404,MATCH(D458,'Stock pièces'!$A$5:$A$404,0)),""))</f>
        <v/>
      </c>
      <c r="L458" s="7" t="inlineStr">
        <is>
          <t>CMD-24131</t>
        </is>
      </c>
      <c r="M458" s="7" t="inlineStr">
        <is>
          <t>Réception commande réappro</t>
        </is>
      </c>
    </row>
    <row r="459">
      <c r="A459" s="7" t="inlineStr">
        <is>
          <t>MV-00455</t>
        </is>
      </c>
      <c r="B459" s="75" t="n">
        <v>45915.48055555556</v>
      </c>
      <c r="C459" s="7" t="inlineStr">
        <is>
          <t>Entrée</t>
        </is>
      </c>
      <c r="D459" s="7" t="inlineStr">
        <is>
          <t>PD-0043</t>
        </is>
      </c>
      <c r="E459" s="9">
        <f>IF(D459="","",IFERROR(INDEX('Stock pièces'!$B$5:$B$404,MATCH(D459,'Stock pièces'!$A$5:$A$404,0)),"Réf. inconnue"))</f>
        <v/>
      </c>
      <c r="F459" s="67" t="n">
        <v>1</v>
      </c>
      <c r="G459" s="81">
        <f>IF(D459="","",IFERROR(INDEX('Stock pièces'!$I$5:$I$404,MATCH(D459,'Stock pièces'!$A$5:$A$404,0)),0))</f>
        <v/>
      </c>
      <c r="H459" s="81">
        <f>IF(D459="","",N(F459)*N(G459))</f>
        <v/>
      </c>
      <c r="I459" s="7" t="n"/>
      <c r="J459" s="9">
        <f>IF(I459="","",IFERROR(INDEX('Ordres de travail'!$D$5:$D$3004,MATCH(I459,'Ordres de travail'!$A$5:$A$3004,0)),""))</f>
        <v/>
      </c>
      <c r="K459" s="9">
        <f>IF(D459="","",IFERROR(INDEX('Stock pièces'!$D$5:$D$404,MATCH(D459,'Stock pièces'!$A$5:$A$404,0)),""))</f>
        <v/>
      </c>
      <c r="L459" s="7" t="inlineStr">
        <is>
          <t>URG-24132</t>
        </is>
      </c>
      <c r="M459" s="7" t="inlineStr">
        <is>
          <t>Achat urgent (rupture)</t>
        </is>
      </c>
    </row>
    <row r="460">
      <c r="A460" s="7" t="inlineStr">
        <is>
          <t>MV-00456</t>
        </is>
      </c>
      <c r="B460" s="75" t="n">
        <v>45915.48402777778</v>
      </c>
      <c r="C460" s="7" t="inlineStr">
        <is>
          <t>Sortie</t>
        </is>
      </c>
      <c r="D460" s="7" t="inlineStr">
        <is>
          <t>PD-0043</t>
        </is>
      </c>
      <c r="E460" s="9">
        <f>IF(D460="","",IFERROR(INDEX('Stock pièces'!$B$5:$B$404,MATCH(D460,'Stock pièces'!$A$5:$A$404,0)),"Réf. inconnue"))</f>
        <v/>
      </c>
      <c r="F460" s="67" t="n">
        <v>1</v>
      </c>
      <c r="G460" s="81">
        <f>IF(D460="","",IFERROR(INDEX('Stock pièces'!$I$5:$I$404,MATCH(D460,'Stock pièces'!$A$5:$A$404,0)),0))</f>
        <v/>
      </c>
      <c r="H460" s="81">
        <f>IF(D460="","",N(F460)*N(G460))</f>
        <v/>
      </c>
      <c r="I460" s="7" t="inlineStr">
        <is>
          <t>OT-2025-0581</t>
        </is>
      </c>
      <c r="J460" s="9">
        <f>IF(I460="","",IFERROR(INDEX('Ordres de travail'!$D$5:$D$3004,MATCH(I460,'Ordres de travail'!$A$5:$A$3004,0)),""))</f>
        <v/>
      </c>
      <c r="K460" s="9">
        <f>IF(D460="","",IFERROR(INDEX('Stock pièces'!$D$5:$D$404,MATCH(D460,'Stock pièces'!$A$5:$A$404,0)),""))</f>
        <v/>
      </c>
      <c r="L460" s="7" t="n"/>
      <c r="M460" s="7" t="n"/>
    </row>
    <row r="461">
      <c r="A461" s="7" t="inlineStr">
        <is>
          <t>MV-00457</t>
        </is>
      </c>
      <c r="B461" s="75" t="n">
        <v>45917.29166666666</v>
      </c>
      <c r="C461" s="7" t="inlineStr">
        <is>
          <t>Sortie</t>
        </is>
      </c>
      <c r="D461" s="7" t="inlineStr">
        <is>
          <t>PD-0017</t>
        </is>
      </c>
      <c r="E461" s="9">
        <f>IF(D461="","",IFERROR(INDEX('Stock pièces'!$B$5:$B$404,MATCH(D461,'Stock pièces'!$A$5:$A$404,0)),"Réf. inconnue"))</f>
        <v/>
      </c>
      <c r="F461" s="67" t="n">
        <v>1</v>
      </c>
      <c r="G461" s="81">
        <f>IF(D461="","",IFERROR(INDEX('Stock pièces'!$I$5:$I$404,MATCH(D461,'Stock pièces'!$A$5:$A$404,0)),0))</f>
        <v/>
      </c>
      <c r="H461" s="81">
        <f>IF(D461="","",N(F461)*N(G461))</f>
        <v/>
      </c>
      <c r="I461" s="7" t="inlineStr">
        <is>
          <t>OT-2025-0574</t>
        </is>
      </c>
      <c r="J461" s="9">
        <f>IF(I461="","",IFERROR(INDEX('Ordres de travail'!$D$5:$D$3004,MATCH(I461,'Ordres de travail'!$A$5:$A$3004,0)),""))</f>
        <v/>
      </c>
      <c r="K461" s="9">
        <f>IF(D461="","",IFERROR(INDEX('Stock pièces'!$D$5:$D$404,MATCH(D461,'Stock pièces'!$A$5:$A$404,0)),""))</f>
        <v/>
      </c>
      <c r="L461" s="7" t="n"/>
      <c r="M461" s="7" t="n"/>
    </row>
    <row r="462">
      <c r="A462" s="7" t="inlineStr">
        <is>
          <t>MV-00458</t>
        </is>
      </c>
      <c r="B462" s="75" t="n">
        <v>45917.45833333334</v>
      </c>
      <c r="C462" s="7" t="inlineStr">
        <is>
          <t>Sortie</t>
        </is>
      </c>
      <c r="D462" s="7" t="inlineStr">
        <is>
          <t>PD-0025</t>
        </is>
      </c>
      <c r="E462" s="9">
        <f>IF(D462="","",IFERROR(INDEX('Stock pièces'!$B$5:$B$404,MATCH(D462,'Stock pièces'!$A$5:$A$404,0)),"Réf. inconnue"))</f>
        <v/>
      </c>
      <c r="F462" s="67" t="n">
        <v>1</v>
      </c>
      <c r="G462" s="81">
        <f>IF(D462="","",IFERROR(INDEX('Stock pièces'!$I$5:$I$404,MATCH(D462,'Stock pièces'!$A$5:$A$404,0)),0))</f>
        <v/>
      </c>
      <c r="H462" s="81">
        <f>IF(D462="","",N(F462)*N(G462))</f>
        <v/>
      </c>
      <c r="I462" s="7" t="inlineStr">
        <is>
          <t>OT-2025-0573</t>
        </is>
      </c>
      <c r="J462" s="9">
        <f>IF(I462="","",IFERROR(INDEX('Ordres de travail'!$D$5:$D$3004,MATCH(I462,'Ordres de travail'!$A$5:$A$3004,0)),""))</f>
        <v/>
      </c>
      <c r="K462" s="9">
        <f>IF(D462="","",IFERROR(INDEX('Stock pièces'!$D$5:$D$404,MATCH(D462,'Stock pièces'!$A$5:$A$404,0)),""))</f>
        <v/>
      </c>
      <c r="L462" s="7" t="n"/>
      <c r="M462" s="7" t="n"/>
    </row>
    <row r="463">
      <c r="A463" s="7" t="inlineStr">
        <is>
          <t>MV-00459</t>
        </is>
      </c>
      <c r="B463" s="75" t="n">
        <v>45918.47152777778</v>
      </c>
      <c r="C463" s="7" t="inlineStr">
        <is>
          <t>Entrée</t>
        </is>
      </c>
      <c r="D463" s="7" t="inlineStr">
        <is>
          <t>PD-0067</t>
        </is>
      </c>
      <c r="E463" s="9">
        <f>IF(D463="","",IFERROR(INDEX('Stock pièces'!$B$5:$B$404,MATCH(D463,'Stock pièces'!$A$5:$A$404,0)),"Réf. inconnue"))</f>
        <v/>
      </c>
      <c r="F463" s="67" t="n">
        <v>1</v>
      </c>
      <c r="G463" s="81">
        <f>IF(D463="","",IFERROR(INDEX('Stock pièces'!$I$5:$I$404,MATCH(D463,'Stock pièces'!$A$5:$A$404,0)),0))</f>
        <v/>
      </c>
      <c r="H463" s="81">
        <f>IF(D463="","",N(F463)*N(G463))</f>
        <v/>
      </c>
      <c r="I463" s="7" t="n"/>
      <c r="J463" s="9">
        <f>IF(I463="","",IFERROR(INDEX('Ordres de travail'!$D$5:$D$3004,MATCH(I463,'Ordres de travail'!$A$5:$A$3004,0)),""))</f>
        <v/>
      </c>
      <c r="K463" s="9">
        <f>IF(D463="","",IFERROR(INDEX('Stock pièces'!$D$5:$D$404,MATCH(D463,'Stock pièces'!$A$5:$A$404,0)),""))</f>
        <v/>
      </c>
      <c r="L463" s="7" t="inlineStr">
        <is>
          <t>URG-24135</t>
        </is>
      </c>
      <c r="M463" s="7" t="inlineStr">
        <is>
          <t>Achat urgent (rupture)</t>
        </is>
      </c>
    </row>
    <row r="464">
      <c r="A464" s="7" t="inlineStr">
        <is>
          <t>MV-00460</t>
        </is>
      </c>
      <c r="B464" s="75" t="n">
        <v>45918.475</v>
      </c>
      <c r="C464" s="7" t="inlineStr">
        <is>
          <t>Sortie</t>
        </is>
      </c>
      <c r="D464" s="7" t="inlineStr">
        <is>
          <t>PD-0067</t>
        </is>
      </c>
      <c r="E464" s="9">
        <f>IF(D464="","",IFERROR(INDEX('Stock pièces'!$B$5:$B$404,MATCH(D464,'Stock pièces'!$A$5:$A$404,0)),"Réf. inconnue"))</f>
        <v/>
      </c>
      <c r="F464" s="67" t="n">
        <v>3</v>
      </c>
      <c r="G464" s="81">
        <f>IF(D464="","",IFERROR(INDEX('Stock pièces'!$I$5:$I$404,MATCH(D464,'Stock pièces'!$A$5:$A$404,0)),0))</f>
        <v/>
      </c>
      <c r="H464" s="81">
        <f>IF(D464="","",N(F464)*N(G464))</f>
        <v/>
      </c>
      <c r="I464" s="7" t="inlineStr">
        <is>
          <t>OT-2025-0587</t>
        </is>
      </c>
      <c r="J464" s="9">
        <f>IF(I464="","",IFERROR(INDEX('Ordres de travail'!$D$5:$D$3004,MATCH(I464,'Ordres de travail'!$A$5:$A$3004,0)),""))</f>
        <v/>
      </c>
      <c r="K464" s="9">
        <f>IF(D464="","",IFERROR(INDEX('Stock pièces'!$D$5:$D$404,MATCH(D464,'Stock pièces'!$A$5:$A$404,0)),""))</f>
        <v/>
      </c>
      <c r="L464" s="7" t="n"/>
      <c r="M464" s="7" t="n"/>
    </row>
    <row r="465">
      <c r="A465" s="7" t="inlineStr">
        <is>
          <t>MV-00461</t>
        </is>
      </c>
      <c r="B465" s="75" t="n">
        <v>45918.475</v>
      </c>
      <c r="C465" s="7" t="inlineStr">
        <is>
          <t>Sortie</t>
        </is>
      </c>
      <c r="D465" s="7" t="inlineStr">
        <is>
          <t>PD-0069</t>
        </is>
      </c>
      <c r="E465" s="9">
        <f>IF(D465="","",IFERROR(INDEX('Stock pièces'!$B$5:$B$404,MATCH(D465,'Stock pièces'!$A$5:$A$404,0)),"Réf. inconnue"))</f>
        <v/>
      </c>
      <c r="F465" s="67" t="n">
        <v>1</v>
      </c>
      <c r="G465" s="81">
        <f>IF(D465="","",IFERROR(INDEX('Stock pièces'!$I$5:$I$404,MATCH(D465,'Stock pièces'!$A$5:$A$404,0)),0))</f>
        <v/>
      </c>
      <c r="H465" s="81">
        <f>IF(D465="","",N(F465)*N(G465))</f>
        <v/>
      </c>
      <c r="I465" s="7" t="inlineStr">
        <is>
          <t>OT-2025-0587</t>
        </is>
      </c>
      <c r="J465" s="9">
        <f>IF(I465="","",IFERROR(INDEX('Ordres de travail'!$D$5:$D$3004,MATCH(I465,'Ordres de travail'!$A$5:$A$3004,0)),""))</f>
        <v/>
      </c>
      <c r="K465" s="9">
        <f>IF(D465="","",IFERROR(INDEX('Stock pièces'!$D$5:$D$404,MATCH(D465,'Stock pièces'!$A$5:$A$404,0)),""))</f>
        <v/>
      </c>
      <c r="L465" s="7" t="n"/>
      <c r="M465" s="7" t="n"/>
    </row>
    <row r="466">
      <c r="A466" s="7" t="inlineStr">
        <is>
          <t>MV-00462</t>
        </is>
      </c>
      <c r="B466" s="75" t="n">
        <v>45918.47638888889</v>
      </c>
      <c r="C466" s="7" t="inlineStr">
        <is>
          <t>Sortie</t>
        </is>
      </c>
      <c r="D466" s="7" t="inlineStr">
        <is>
          <t>PD-0038</t>
        </is>
      </c>
      <c r="E466" s="9">
        <f>IF(D466="","",IFERROR(INDEX('Stock pièces'!$B$5:$B$404,MATCH(D466,'Stock pièces'!$A$5:$A$404,0)),"Réf. inconnue"))</f>
        <v/>
      </c>
      <c r="F466" s="67" t="n">
        <v>2</v>
      </c>
      <c r="G466" s="81">
        <f>IF(D466="","",IFERROR(INDEX('Stock pièces'!$I$5:$I$404,MATCH(D466,'Stock pièces'!$A$5:$A$404,0)),0))</f>
        <v/>
      </c>
      <c r="H466" s="81">
        <f>IF(D466="","",N(F466)*N(G466))</f>
        <v/>
      </c>
      <c r="I466" s="7" t="inlineStr">
        <is>
          <t>OT-2025-0589</t>
        </is>
      </c>
      <c r="J466" s="9">
        <f>IF(I466="","",IFERROR(INDEX('Ordres de travail'!$D$5:$D$3004,MATCH(I466,'Ordres de travail'!$A$5:$A$3004,0)),""))</f>
        <v/>
      </c>
      <c r="K466" s="9">
        <f>IF(D466="","",IFERROR(INDEX('Stock pièces'!$D$5:$D$404,MATCH(D466,'Stock pièces'!$A$5:$A$404,0)),""))</f>
        <v/>
      </c>
      <c r="L466" s="7" t="n"/>
      <c r="M466" s="7" t="n"/>
    </row>
    <row r="467">
      <c r="A467" s="7" t="inlineStr">
        <is>
          <t>MV-00463</t>
        </is>
      </c>
      <c r="B467" s="75" t="n">
        <v>45922.57638888889</v>
      </c>
      <c r="C467" s="7" t="inlineStr">
        <is>
          <t>Sortie</t>
        </is>
      </c>
      <c r="D467" s="7" t="inlineStr">
        <is>
          <t>PD-0019</t>
        </is>
      </c>
      <c r="E467" s="9">
        <f>IF(D467="","",IFERROR(INDEX('Stock pièces'!$B$5:$B$404,MATCH(D467,'Stock pièces'!$A$5:$A$404,0)),"Réf. inconnue"))</f>
        <v/>
      </c>
      <c r="F467" s="67" t="n">
        <v>2</v>
      </c>
      <c r="G467" s="81">
        <f>IF(D467="","",IFERROR(INDEX('Stock pièces'!$I$5:$I$404,MATCH(D467,'Stock pièces'!$A$5:$A$404,0)),0))</f>
        <v/>
      </c>
      <c r="H467" s="81">
        <f>IF(D467="","",N(F467)*N(G467))</f>
        <v/>
      </c>
      <c r="I467" s="7" t="inlineStr">
        <is>
          <t>OT-2025-0580</t>
        </is>
      </c>
      <c r="J467" s="9">
        <f>IF(I467="","",IFERROR(INDEX('Ordres de travail'!$D$5:$D$3004,MATCH(I467,'Ordres de travail'!$A$5:$A$3004,0)),""))</f>
        <v/>
      </c>
      <c r="K467" s="9">
        <f>IF(D467="","",IFERROR(INDEX('Stock pièces'!$D$5:$D$404,MATCH(D467,'Stock pièces'!$A$5:$A$404,0)),""))</f>
        <v/>
      </c>
      <c r="L467" s="7" t="n"/>
      <c r="M467" s="7" t="n"/>
    </row>
    <row r="468">
      <c r="A468" s="7" t="inlineStr">
        <is>
          <t>MV-00464</t>
        </is>
      </c>
      <c r="B468" s="75" t="n">
        <v>45922.57638888889</v>
      </c>
      <c r="C468" s="7" t="inlineStr">
        <is>
          <t>Sortie</t>
        </is>
      </c>
      <c r="D468" s="7" t="inlineStr">
        <is>
          <t>PD-0021</t>
        </is>
      </c>
      <c r="E468" s="9">
        <f>IF(D468="","",IFERROR(INDEX('Stock pièces'!$B$5:$B$404,MATCH(D468,'Stock pièces'!$A$5:$A$404,0)),"Réf. inconnue"))</f>
        <v/>
      </c>
      <c r="F468" s="67" t="n">
        <v>1</v>
      </c>
      <c r="G468" s="81">
        <f>IF(D468="","",IFERROR(INDEX('Stock pièces'!$I$5:$I$404,MATCH(D468,'Stock pièces'!$A$5:$A$404,0)),0))</f>
        <v/>
      </c>
      <c r="H468" s="81">
        <f>IF(D468="","",N(F468)*N(G468))</f>
        <v/>
      </c>
      <c r="I468" s="7" t="inlineStr">
        <is>
          <t>OT-2025-0577</t>
        </is>
      </c>
      <c r="J468" s="9">
        <f>IF(I468="","",IFERROR(INDEX('Ordres de travail'!$D$5:$D$3004,MATCH(I468,'Ordres de travail'!$A$5:$A$3004,0)),""))</f>
        <v/>
      </c>
      <c r="K468" s="9">
        <f>IF(D468="","",IFERROR(INDEX('Stock pièces'!$D$5:$D$404,MATCH(D468,'Stock pièces'!$A$5:$A$404,0)),""))</f>
        <v/>
      </c>
      <c r="L468" s="7" t="n"/>
      <c r="M468" s="7" t="n"/>
    </row>
    <row r="469">
      <c r="A469" s="7" t="inlineStr">
        <is>
          <t>MV-00465</t>
        </is>
      </c>
      <c r="B469" s="75" t="n">
        <v>45923.41666666666</v>
      </c>
      <c r="C469" s="7" t="inlineStr">
        <is>
          <t>Entrée</t>
        </is>
      </c>
      <c r="D469" s="7" t="inlineStr">
        <is>
          <t>PD-0025</t>
        </is>
      </c>
      <c r="E469" s="9">
        <f>IF(D469="","",IFERROR(INDEX('Stock pièces'!$B$5:$B$404,MATCH(D469,'Stock pièces'!$A$5:$A$404,0)),"Réf. inconnue"))</f>
        <v/>
      </c>
      <c r="F469" s="67" t="n">
        <v>36</v>
      </c>
      <c r="G469" s="81">
        <f>IF(D469="","",IFERROR(INDEX('Stock pièces'!$I$5:$I$404,MATCH(D469,'Stock pièces'!$A$5:$A$404,0)),0))</f>
        <v/>
      </c>
      <c r="H469" s="81">
        <f>IF(D469="","",N(F469)*N(G469))</f>
        <v/>
      </c>
      <c r="I469" s="7" t="n"/>
      <c r="J469" s="9">
        <f>IF(I469="","",IFERROR(INDEX('Ordres de travail'!$D$5:$D$3004,MATCH(I469,'Ordres de travail'!$A$5:$A$3004,0)),""))</f>
        <v/>
      </c>
      <c r="K469" s="9">
        <f>IF(D469="","",IFERROR(INDEX('Stock pièces'!$D$5:$D$404,MATCH(D469,'Stock pièces'!$A$5:$A$404,0)),""))</f>
        <v/>
      </c>
      <c r="L469" s="7" t="inlineStr">
        <is>
          <t>CMD-24134</t>
        </is>
      </c>
      <c r="M469" s="7" t="inlineStr">
        <is>
          <t>Réception commande réappro</t>
        </is>
      </c>
    </row>
    <row r="470">
      <c r="A470" s="7" t="inlineStr">
        <is>
          <t>MV-00466</t>
        </is>
      </c>
      <c r="B470" s="75" t="n">
        <v>45923.57638888889</v>
      </c>
      <c r="C470" s="7" t="inlineStr">
        <is>
          <t>Entrée</t>
        </is>
      </c>
      <c r="D470" s="7" t="inlineStr">
        <is>
          <t>PD-0069</t>
        </is>
      </c>
      <c r="E470" s="9">
        <f>IF(D470="","",IFERROR(INDEX('Stock pièces'!$B$5:$B$404,MATCH(D470,'Stock pièces'!$A$5:$A$404,0)),"Réf. inconnue"))</f>
        <v/>
      </c>
      <c r="F470" s="67" t="n">
        <v>2</v>
      </c>
      <c r="G470" s="81">
        <f>IF(D470="","",IFERROR(INDEX('Stock pièces'!$I$5:$I$404,MATCH(D470,'Stock pièces'!$A$5:$A$404,0)),0))</f>
        <v/>
      </c>
      <c r="H470" s="81">
        <f>IF(D470="","",N(F470)*N(G470))</f>
        <v/>
      </c>
      <c r="I470" s="7" t="n"/>
      <c r="J470" s="9">
        <f>IF(I470="","",IFERROR(INDEX('Ordres de travail'!$D$5:$D$3004,MATCH(I470,'Ordres de travail'!$A$5:$A$3004,0)),""))</f>
        <v/>
      </c>
      <c r="K470" s="9">
        <f>IF(D470="","",IFERROR(INDEX('Stock pièces'!$D$5:$D$404,MATCH(D470,'Stock pièces'!$A$5:$A$404,0)),""))</f>
        <v/>
      </c>
      <c r="L470" s="7" t="inlineStr">
        <is>
          <t>URG-24139</t>
        </is>
      </c>
      <c r="M470" s="7" t="inlineStr">
        <is>
          <t>Achat urgent (rupture)</t>
        </is>
      </c>
    </row>
    <row r="471">
      <c r="A471" s="7" t="inlineStr">
        <is>
          <t>MV-00467</t>
        </is>
      </c>
      <c r="B471" s="75" t="n">
        <v>45923.57986111111</v>
      </c>
      <c r="C471" s="7" t="inlineStr">
        <is>
          <t>Sortie</t>
        </is>
      </c>
      <c r="D471" s="7" t="inlineStr">
        <is>
          <t>PD-0068</t>
        </is>
      </c>
      <c r="E471" s="9">
        <f>IF(D471="","",IFERROR(INDEX('Stock pièces'!$B$5:$B$404,MATCH(D471,'Stock pièces'!$A$5:$A$404,0)),"Réf. inconnue"))</f>
        <v/>
      </c>
      <c r="F471" s="67" t="n">
        <v>1</v>
      </c>
      <c r="G471" s="81">
        <f>IF(D471="","",IFERROR(INDEX('Stock pièces'!$I$5:$I$404,MATCH(D471,'Stock pièces'!$A$5:$A$404,0)),0))</f>
        <v/>
      </c>
      <c r="H471" s="81">
        <f>IF(D471="","",N(F471)*N(G471))</f>
        <v/>
      </c>
      <c r="I471" s="7" t="inlineStr">
        <is>
          <t>OT-2025-0586</t>
        </is>
      </c>
      <c r="J471" s="9">
        <f>IF(I471="","",IFERROR(INDEX('Ordres de travail'!$D$5:$D$3004,MATCH(I471,'Ordres de travail'!$A$5:$A$3004,0)),""))</f>
        <v/>
      </c>
      <c r="K471" s="9">
        <f>IF(D471="","",IFERROR(INDEX('Stock pièces'!$D$5:$D$404,MATCH(D471,'Stock pièces'!$A$5:$A$404,0)),""))</f>
        <v/>
      </c>
      <c r="L471" s="7" t="n"/>
      <c r="M471" s="7" t="n"/>
    </row>
    <row r="472">
      <c r="A472" s="7" t="inlineStr">
        <is>
          <t>MV-00468</t>
        </is>
      </c>
      <c r="B472" s="75" t="n">
        <v>45923.57986111111</v>
      </c>
      <c r="C472" s="7" t="inlineStr">
        <is>
          <t>Sortie</t>
        </is>
      </c>
      <c r="D472" s="7" t="inlineStr">
        <is>
          <t>PD-0069</t>
        </is>
      </c>
      <c r="E472" s="9">
        <f>IF(D472="","",IFERROR(INDEX('Stock pièces'!$B$5:$B$404,MATCH(D472,'Stock pièces'!$A$5:$A$404,0)),"Réf. inconnue"))</f>
        <v/>
      </c>
      <c r="F472" s="67" t="n">
        <v>1</v>
      </c>
      <c r="G472" s="81">
        <f>IF(D472="","",IFERROR(INDEX('Stock pièces'!$I$5:$I$404,MATCH(D472,'Stock pièces'!$A$5:$A$404,0)),0))</f>
        <v/>
      </c>
      <c r="H472" s="81">
        <f>IF(D472="","",N(F472)*N(G472))</f>
        <v/>
      </c>
      <c r="I472" s="7" t="inlineStr">
        <is>
          <t>OT-2025-0586</t>
        </is>
      </c>
      <c r="J472" s="9">
        <f>IF(I472="","",IFERROR(INDEX('Ordres de travail'!$D$5:$D$3004,MATCH(I472,'Ordres de travail'!$A$5:$A$3004,0)),""))</f>
        <v/>
      </c>
      <c r="K472" s="9">
        <f>IF(D472="","",IFERROR(INDEX('Stock pièces'!$D$5:$D$404,MATCH(D472,'Stock pièces'!$A$5:$A$404,0)),""))</f>
        <v/>
      </c>
      <c r="L472" s="7" t="n"/>
      <c r="M472" s="7" t="n"/>
    </row>
    <row r="473">
      <c r="A473" s="7" t="inlineStr">
        <is>
          <t>MV-00469</t>
        </is>
      </c>
      <c r="B473" s="75" t="n">
        <v>45924.40277777778</v>
      </c>
      <c r="C473" s="7" t="inlineStr">
        <is>
          <t>Sortie</t>
        </is>
      </c>
      <c r="D473" s="7" t="inlineStr">
        <is>
          <t>PD-0062</t>
        </is>
      </c>
      <c r="E473" s="9">
        <f>IF(D473="","",IFERROR(INDEX('Stock pièces'!$B$5:$B$404,MATCH(D473,'Stock pièces'!$A$5:$A$404,0)),"Réf. inconnue"))</f>
        <v/>
      </c>
      <c r="F473" s="67" t="n">
        <v>1</v>
      </c>
      <c r="G473" s="81">
        <f>IF(D473="","",IFERROR(INDEX('Stock pièces'!$I$5:$I$404,MATCH(D473,'Stock pièces'!$A$5:$A$404,0)),0))</f>
        <v/>
      </c>
      <c r="H473" s="81">
        <f>IF(D473="","",N(F473)*N(G473))</f>
        <v/>
      </c>
      <c r="I473" s="7" t="inlineStr">
        <is>
          <t>OT-2025-0585</t>
        </is>
      </c>
      <c r="J473" s="9">
        <f>IF(I473="","",IFERROR(INDEX('Ordres de travail'!$D$5:$D$3004,MATCH(I473,'Ordres de travail'!$A$5:$A$3004,0)),""))</f>
        <v/>
      </c>
      <c r="K473" s="9">
        <f>IF(D473="","",IFERROR(INDEX('Stock pièces'!$D$5:$D$404,MATCH(D473,'Stock pièces'!$A$5:$A$404,0)),""))</f>
        <v/>
      </c>
      <c r="L473" s="7" t="n"/>
      <c r="M473" s="7" t="n"/>
    </row>
    <row r="474">
      <c r="A474" s="7" t="inlineStr">
        <is>
          <t>MV-00470</t>
        </is>
      </c>
      <c r="B474" s="75" t="n">
        <v>45924.40277777778</v>
      </c>
      <c r="C474" s="7" t="inlineStr">
        <is>
          <t>Sortie</t>
        </is>
      </c>
      <c r="D474" s="7" t="inlineStr">
        <is>
          <t>PD-0063</t>
        </is>
      </c>
      <c r="E474" s="9">
        <f>IF(D474="","",IFERROR(INDEX('Stock pièces'!$B$5:$B$404,MATCH(D474,'Stock pièces'!$A$5:$A$404,0)),"Réf. inconnue"))</f>
        <v/>
      </c>
      <c r="F474" s="67" t="n">
        <v>1</v>
      </c>
      <c r="G474" s="81">
        <f>IF(D474="","",IFERROR(INDEX('Stock pièces'!$I$5:$I$404,MATCH(D474,'Stock pièces'!$A$5:$A$404,0)),0))</f>
        <v/>
      </c>
      <c r="H474" s="81">
        <f>IF(D474="","",N(F474)*N(G474))</f>
        <v/>
      </c>
      <c r="I474" s="7" t="inlineStr">
        <is>
          <t>OT-2025-0585</t>
        </is>
      </c>
      <c r="J474" s="9">
        <f>IF(I474="","",IFERROR(INDEX('Ordres de travail'!$D$5:$D$3004,MATCH(I474,'Ordres de travail'!$A$5:$A$3004,0)),""))</f>
        <v/>
      </c>
      <c r="K474" s="9">
        <f>IF(D474="","",IFERROR(INDEX('Stock pièces'!$D$5:$D$404,MATCH(D474,'Stock pièces'!$A$5:$A$404,0)),""))</f>
        <v/>
      </c>
      <c r="L474" s="7" t="n"/>
      <c r="M474" s="7" t="n"/>
    </row>
    <row r="475">
      <c r="A475" s="7" t="inlineStr">
        <is>
          <t>MV-00471</t>
        </is>
      </c>
      <c r="B475" s="75" t="n">
        <v>45925.65486111111</v>
      </c>
      <c r="C475" s="7" t="inlineStr">
        <is>
          <t>Sortie</t>
        </is>
      </c>
      <c r="D475" s="7" t="inlineStr">
        <is>
          <t>PD-0038</t>
        </is>
      </c>
      <c r="E475" s="9">
        <f>IF(D475="","",IFERROR(INDEX('Stock pièces'!$B$5:$B$404,MATCH(D475,'Stock pièces'!$A$5:$A$404,0)),"Réf. inconnue"))</f>
        <v/>
      </c>
      <c r="F475" s="67" t="n">
        <v>2</v>
      </c>
      <c r="G475" s="81">
        <f>IF(D475="","",IFERROR(INDEX('Stock pièces'!$I$5:$I$404,MATCH(D475,'Stock pièces'!$A$5:$A$404,0)),0))</f>
        <v/>
      </c>
      <c r="H475" s="81">
        <f>IF(D475="","",N(F475)*N(G475))</f>
        <v/>
      </c>
      <c r="I475" s="7" t="inlineStr">
        <is>
          <t>OT-2025-0606</t>
        </is>
      </c>
      <c r="J475" s="9">
        <f>IF(I475="","",IFERROR(INDEX('Ordres de travail'!$D$5:$D$3004,MATCH(I475,'Ordres de travail'!$A$5:$A$3004,0)),""))</f>
        <v/>
      </c>
      <c r="K475" s="9">
        <f>IF(D475="","",IFERROR(INDEX('Stock pièces'!$D$5:$D$404,MATCH(D475,'Stock pièces'!$A$5:$A$404,0)),""))</f>
        <v/>
      </c>
      <c r="L475" s="7" t="n"/>
      <c r="M475" s="7" t="n"/>
    </row>
    <row r="476">
      <c r="A476" s="7" t="inlineStr">
        <is>
          <t>MV-00472</t>
        </is>
      </c>
      <c r="B476" s="75" t="n">
        <v>45926.71597222222</v>
      </c>
      <c r="C476" s="7" t="inlineStr">
        <is>
          <t>Sortie</t>
        </is>
      </c>
      <c r="D476" s="7" t="inlineStr">
        <is>
          <t>PD-0062</t>
        </is>
      </c>
      <c r="E476" s="9">
        <f>IF(D476="","",IFERROR(INDEX('Stock pièces'!$B$5:$B$404,MATCH(D476,'Stock pièces'!$A$5:$A$404,0)),"Réf. inconnue"))</f>
        <v/>
      </c>
      <c r="F476" s="67" t="n">
        <v>1</v>
      </c>
      <c r="G476" s="81">
        <f>IF(D476="","",IFERROR(INDEX('Stock pièces'!$I$5:$I$404,MATCH(D476,'Stock pièces'!$A$5:$A$404,0)),0))</f>
        <v/>
      </c>
      <c r="H476" s="81">
        <f>IF(D476="","",N(F476)*N(G476))</f>
        <v/>
      </c>
      <c r="I476" s="7" t="inlineStr">
        <is>
          <t>OT-2025-0605</t>
        </is>
      </c>
      <c r="J476" s="9">
        <f>IF(I476="","",IFERROR(INDEX('Ordres de travail'!$D$5:$D$3004,MATCH(I476,'Ordres de travail'!$A$5:$A$3004,0)),""))</f>
        <v/>
      </c>
      <c r="K476" s="9">
        <f>IF(D476="","",IFERROR(INDEX('Stock pièces'!$D$5:$D$404,MATCH(D476,'Stock pièces'!$A$5:$A$404,0)),""))</f>
        <v/>
      </c>
      <c r="L476" s="7" t="n"/>
      <c r="M476" s="7" t="n"/>
    </row>
    <row r="477">
      <c r="A477" s="7" t="inlineStr">
        <is>
          <t>MV-00473</t>
        </is>
      </c>
      <c r="B477" s="75" t="n">
        <v>45926.83888888889</v>
      </c>
      <c r="C477" s="7" t="inlineStr">
        <is>
          <t>Sortie</t>
        </is>
      </c>
      <c r="D477" s="7" t="inlineStr">
        <is>
          <t>PD-0054</t>
        </is>
      </c>
      <c r="E477" s="9">
        <f>IF(D477="","",IFERROR(INDEX('Stock pièces'!$B$5:$B$404,MATCH(D477,'Stock pièces'!$A$5:$A$404,0)),"Réf. inconnue"))</f>
        <v/>
      </c>
      <c r="F477" s="67" t="n">
        <v>3</v>
      </c>
      <c r="G477" s="81">
        <f>IF(D477="","",IFERROR(INDEX('Stock pièces'!$I$5:$I$404,MATCH(D477,'Stock pièces'!$A$5:$A$404,0)),0))</f>
        <v/>
      </c>
      <c r="H477" s="81">
        <f>IF(D477="","",N(F477)*N(G477))</f>
        <v/>
      </c>
      <c r="I477" s="7" t="inlineStr">
        <is>
          <t>OT-2025-0607</t>
        </is>
      </c>
      <c r="J477" s="9">
        <f>IF(I477="","",IFERROR(INDEX('Ordres de travail'!$D$5:$D$3004,MATCH(I477,'Ordres de travail'!$A$5:$A$3004,0)),""))</f>
        <v/>
      </c>
      <c r="K477" s="9">
        <f>IF(D477="","",IFERROR(INDEX('Stock pièces'!$D$5:$D$404,MATCH(D477,'Stock pièces'!$A$5:$A$404,0)),""))</f>
        <v/>
      </c>
      <c r="L477" s="7" t="n"/>
      <c r="M477" s="7" t="n"/>
    </row>
    <row r="478">
      <c r="A478" s="7" t="inlineStr">
        <is>
          <t>MV-00474</t>
        </is>
      </c>
      <c r="B478" s="75" t="n">
        <v>45926.83888888889</v>
      </c>
      <c r="C478" s="7" t="inlineStr">
        <is>
          <t>Sortie</t>
        </is>
      </c>
      <c r="D478" s="7" t="inlineStr">
        <is>
          <t>PD-0055</t>
        </is>
      </c>
      <c r="E478" s="9">
        <f>IF(D478="","",IFERROR(INDEX('Stock pièces'!$B$5:$B$404,MATCH(D478,'Stock pièces'!$A$5:$A$404,0)),"Réf. inconnue"))</f>
        <v/>
      </c>
      <c r="F478" s="67" t="n">
        <v>2</v>
      </c>
      <c r="G478" s="81">
        <f>IF(D478="","",IFERROR(INDEX('Stock pièces'!$I$5:$I$404,MATCH(D478,'Stock pièces'!$A$5:$A$404,0)),0))</f>
        <v/>
      </c>
      <c r="H478" s="81">
        <f>IF(D478="","",N(F478)*N(G478))</f>
        <v/>
      </c>
      <c r="I478" s="7" t="inlineStr">
        <is>
          <t>OT-2025-0607</t>
        </is>
      </c>
      <c r="J478" s="9">
        <f>IF(I478="","",IFERROR(INDEX('Ordres de travail'!$D$5:$D$3004,MATCH(I478,'Ordres de travail'!$A$5:$A$3004,0)),""))</f>
        <v/>
      </c>
      <c r="K478" s="9">
        <f>IF(D478="","",IFERROR(INDEX('Stock pièces'!$D$5:$D$404,MATCH(D478,'Stock pièces'!$A$5:$A$404,0)),""))</f>
        <v/>
      </c>
      <c r="L478" s="7" t="n"/>
      <c r="M478" s="7" t="n"/>
    </row>
    <row r="479">
      <c r="A479" s="7" t="inlineStr">
        <is>
          <t>MV-00475</t>
        </is>
      </c>
      <c r="B479" s="75" t="n">
        <v>45927.42638888889</v>
      </c>
      <c r="C479" s="7" t="inlineStr">
        <is>
          <t>Sortie</t>
        </is>
      </c>
      <c r="D479" s="7" t="inlineStr">
        <is>
          <t>PD-0007</t>
        </is>
      </c>
      <c r="E479" s="9">
        <f>IF(D479="","",IFERROR(INDEX('Stock pièces'!$B$5:$B$404,MATCH(D479,'Stock pièces'!$A$5:$A$404,0)),"Réf. inconnue"))</f>
        <v/>
      </c>
      <c r="F479" s="67" t="n">
        <v>1</v>
      </c>
      <c r="G479" s="81">
        <f>IF(D479="","",IFERROR(INDEX('Stock pièces'!$I$5:$I$404,MATCH(D479,'Stock pièces'!$A$5:$A$404,0)),0))</f>
        <v/>
      </c>
      <c r="H479" s="81">
        <f>IF(D479="","",N(F479)*N(G479))</f>
        <v/>
      </c>
      <c r="I479" s="7" t="inlineStr">
        <is>
          <t>OT-2025-0609</t>
        </is>
      </c>
      <c r="J479" s="9">
        <f>IF(I479="","",IFERROR(INDEX('Ordres de travail'!$D$5:$D$3004,MATCH(I479,'Ordres de travail'!$A$5:$A$3004,0)),""))</f>
        <v/>
      </c>
      <c r="K479" s="9">
        <f>IF(D479="","",IFERROR(INDEX('Stock pièces'!$D$5:$D$404,MATCH(D479,'Stock pièces'!$A$5:$A$404,0)),""))</f>
        <v/>
      </c>
      <c r="L479" s="7" t="n"/>
      <c r="M479" s="7" t="n"/>
    </row>
    <row r="480">
      <c r="A480" s="7" t="inlineStr">
        <is>
          <t>MV-00476</t>
        </is>
      </c>
      <c r="B480" s="75" t="n">
        <v>45927.42638888889</v>
      </c>
      <c r="C480" s="7" t="inlineStr">
        <is>
          <t>Sortie</t>
        </is>
      </c>
      <c r="D480" s="7" t="inlineStr">
        <is>
          <t>PD-0029</t>
        </is>
      </c>
      <c r="E480" s="9">
        <f>IF(D480="","",IFERROR(INDEX('Stock pièces'!$B$5:$B$404,MATCH(D480,'Stock pièces'!$A$5:$A$404,0)),"Réf. inconnue"))</f>
        <v/>
      </c>
      <c r="F480" s="67" t="n">
        <v>2</v>
      </c>
      <c r="G480" s="81">
        <f>IF(D480="","",IFERROR(INDEX('Stock pièces'!$I$5:$I$404,MATCH(D480,'Stock pièces'!$A$5:$A$404,0)),0))</f>
        <v/>
      </c>
      <c r="H480" s="81">
        <f>IF(D480="","",N(F480)*N(G480))</f>
        <v/>
      </c>
      <c r="I480" s="7" t="inlineStr">
        <is>
          <t>OT-2025-0609</t>
        </is>
      </c>
      <c r="J480" s="9">
        <f>IF(I480="","",IFERROR(INDEX('Ordres de travail'!$D$5:$D$3004,MATCH(I480,'Ordres de travail'!$A$5:$A$3004,0)),""))</f>
        <v/>
      </c>
      <c r="K480" s="9">
        <f>IF(D480="","",IFERROR(INDEX('Stock pièces'!$D$5:$D$404,MATCH(D480,'Stock pièces'!$A$5:$A$404,0)),""))</f>
        <v/>
      </c>
      <c r="L480" s="7" t="n"/>
      <c r="M480" s="7" t="n"/>
    </row>
    <row r="481">
      <c r="A481" s="7" t="inlineStr">
        <is>
          <t>MV-00477</t>
        </is>
      </c>
      <c r="B481" s="75" t="n">
        <v>45927.55347222222</v>
      </c>
      <c r="C481" s="7" t="inlineStr">
        <is>
          <t>Sortie</t>
        </is>
      </c>
      <c r="D481" s="7" t="inlineStr">
        <is>
          <t>PD-0021</t>
        </is>
      </c>
      <c r="E481" s="9">
        <f>IF(D481="","",IFERROR(INDEX('Stock pièces'!$B$5:$B$404,MATCH(D481,'Stock pièces'!$A$5:$A$404,0)),"Réf. inconnue"))</f>
        <v/>
      </c>
      <c r="F481" s="67" t="n">
        <v>2</v>
      </c>
      <c r="G481" s="81">
        <f>IF(D481="","",IFERROR(INDEX('Stock pièces'!$I$5:$I$404,MATCH(D481,'Stock pièces'!$A$5:$A$404,0)),0))</f>
        <v/>
      </c>
      <c r="H481" s="81">
        <f>IF(D481="","",N(F481)*N(G481))</f>
        <v/>
      </c>
      <c r="I481" s="7" t="inlineStr">
        <is>
          <t>OT-2025-0610</t>
        </is>
      </c>
      <c r="J481" s="9">
        <f>IF(I481="","",IFERROR(INDEX('Ordres de travail'!$D$5:$D$3004,MATCH(I481,'Ordres de travail'!$A$5:$A$3004,0)),""))</f>
        <v/>
      </c>
      <c r="K481" s="9">
        <f>IF(D481="","",IFERROR(INDEX('Stock pièces'!$D$5:$D$404,MATCH(D481,'Stock pièces'!$A$5:$A$404,0)),""))</f>
        <v/>
      </c>
      <c r="L481" s="7" t="n"/>
      <c r="M481" s="7" t="n"/>
    </row>
    <row r="482">
      <c r="A482" s="7" t="inlineStr">
        <is>
          <t>MV-00478</t>
        </is>
      </c>
      <c r="B482" s="75" t="n">
        <v>45927.83541666667</v>
      </c>
      <c r="C482" s="7" t="inlineStr">
        <is>
          <t>Sortie</t>
        </is>
      </c>
      <c r="D482" s="7" t="inlineStr">
        <is>
          <t>PD-0001</t>
        </is>
      </c>
      <c r="E482" s="9">
        <f>IF(D482="","",IFERROR(INDEX('Stock pièces'!$B$5:$B$404,MATCH(D482,'Stock pièces'!$A$5:$A$404,0)),"Réf. inconnue"))</f>
        <v/>
      </c>
      <c r="F482" s="67" t="n">
        <v>1</v>
      </c>
      <c r="G482" s="81">
        <f>IF(D482="","",IFERROR(INDEX('Stock pièces'!$I$5:$I$404,MATCH(D482,'Stock pièces'!$A$5:$A$404,0)),0))</f>
        <v/>
      </c>
      <c r="H482" s="81">
        <f>IF(D482="","",N(F482)*N(G482))</f>
        <v/>
      </c>
      <c r="I482" s="7" t="inlineStr">
        <is>
          <t>OT-2025-0608</t>
        </is>
      </c>
      <c r="J482" s="9">
        <f>IF(I482="","",IFERROR(INDEX('Ordres de travail'!$D$5:$D$3004,MATCH(I482,'Ordres de travail'!$A$5:$A$3004,0)),""))</f>
        <v/>
      </c>
      <c r="K482" s="9">
        <f>IF(D482="","",IFERROR(INDEX('Stock pièces'!$D$5:$D$404,MATCH(D482,'Stock pièces'!$A$5:$A$404,0)),""))</f>
        <v/>
      </c>
      <c r="L482" s="7" t="n"/>
      <c r="M482" s="7" t="n"/>
    </row>
    <row r="483">
      <c r="A483" s="7" t="inlineStr">
        <is>
          <t>MV-00479</t>
        </is>
      </c>
      <c r="B483" s="75" t="n">
        <v>45927.83541666667</v>
      </c>
      <c r="C483" s="7" t="inlineStr">
        <is>
          <t>Sortie</t>
        </is>
      </c>
      <c r="D483" s="7" t="inlineStr">
        <is>
          <t>PD-0002</t>
        </is>
      </c>
      <c r="E483" s="9">
        <f>IF(D483="","",IFERROR(INDEX('Stock pièces'!$B$5:$B$404,MATCH(D483,'Stock pièces'!$A$5:$A$404,0)),"Réf. inconnue"))</f>
        <v/>
      </c>
      <c r="F483" s="67" t="n">
        <v>2</v>
      </c>
      <c r="G483" s="81">
        <f>IF(D483="","",IFERROR(INDEX('Stock pièces'!$I$5:$I$404,MATCH(D483,'Stock pièces'!$A$5:$A$404,0)),0))</f>
        <v/>
      </c>
      <c r="H483" s="81">
        <f>IF(D483="","",N(F483)*N(G483))</f>
        <v/>
      </c>
      <c r="I483" s="7" t="inlineStr">
        <is>
          <t>OT-2025-0608</t>
        </is>
      </c>
      <c r="J483" s="9">
        <f>IF(I483="","",IFERROR(INDEX('Ordres de travail'!$D$5:$D$3004,MATCH(I483,'Ordres de travail'!$A$5:$A$3004,0)),""))</f>
        <v/>
      </c>
      <c r="K483" s="9">
        <f>IF(D483="","",IFERROR(INDEX('Stock pièces'!$D$5:$D$404,MATCH(D483,'Stock pièces'!$A$5:$A$404,0)),""))</f>
        <v/>
      </c>
      <c r="L483" s="7" t="n"/>
      <c r="M483" s="7" t="n"/>
    </row>
    <row r="484">
      <c r="A484" s="7" t="inlineStr">
        <is>
          <t>MV-00480</t>
        </is>
      </c>
      <c r="B484" s="75" t="n">
        <v>45929.39583333334</v>
      </c>
      <c r="C484" s="7" t="inlineStr">
        <is>
          <t>Sortie</t>
        </is>
      </c>
      <c r="D484" s="7" t="inlineStr">
        <is>
          <t>PD-0017</t>
        </is>
      </c>
      <c r="E484" s="9">
        <f>IF(D484="","",IFERROR(INDEX('Stock pièces'!$B$5:$B$404,MATCH(D484,'Stock pièces'!$A$5:$A$404,0)),"Réf. inconnue"))</f>
        <v/>
      </c>
      <c r="F484" s="67" t="n">
        <v>1</v>
      </c>
      <c r="G484" s="81">
        <f>IF(D484="","",IFERROR(INDEX('Stock pièces'!$I$5:$I$404,MATCH(D484,'Stock pièces'!$A$5:$A$404,0)),0))</f>
        <v/>
      </c>
      <c r="H484" s="81">
        <f>IF(D484="","",N(F484)*N(G484))</f>
        <v/>
      </c>
      <c r="I484" s="7" t="inlineStr">
        <is>
          <t>OT-2025-0594</t>
        </is>
      </c>
      <c r="J484" s="9">
        <f>IF(I484="","",IFERROR(INDEX('Ordres de travail'!$D$5:$D$3004,MATCH(I484,'Ordres de travail'!$A$5:$A$3004,0)),""))</f>
        <v/>
      </c>
      <c r="K484" s="9">
        <f>IF(D484="","",IFERROR(INDEX('Stock pièces'!$D$5:$D$404,MATCH(D484,'Stock pièces'!$A$5:$A$404,0)),""))</f>
        <v/>
      </c>
      <c r="L484" s="7" t="n"/>
      <c r="M484" s="7" t="n"/>
    </row>
    <row r="485">
      <c r="A485" s="7" t="inlineStr">
        <is>
          <t>MV-00481</t>
        </is>
      </c>
      <c r="B485" s="75" t="n">
        <v>45929.41666666666</v>
      </c>
      <c r="C485" s="7" t="inlineStr">
        <is>
          <t>Entrée</t>
        </is>
      </c>
      <c r="D485" s="7" t="inlineStr">
        <is>
          <t>PD-0043</t>
        </is>
      </c>
      <c r="E485" s="9">
        <f>IF(D485="","",IFERROR(INDEX('Stock pièces'!$B$5:$B$404,MATCH(D485,'Stock pièces'!$A$5:$A$404,0)),"Réf. inconnue"))</f>
        <v/>
      </c>
      <c r="F485" s="67" t="n">
        <v>1</v>
      </c>
      <c r="G485" s="81">
        <f>IF(D485="","",IFERROR(INDEX('Stock pièces'!$I$5:$I$404,MATCH(D485,'Stock pièces'!$A$5:$A$404,0)),0))</f>
        <v/>
      </c>
      <c r="H485" s="81">
        <f>IF(D485="","",N(F485)*N(G485))</f>
        <v/>
      </c>
      <c r="I485" s="7" t="n"/>
      <c r="J485" s="9">
        <f>IF(I485="","",IFERROR(INDEX('Ordres de travail'!$D$5:$D$3004,MATCH(I485,'Ordres de travail'!$A$5:$A$3004,0)),""))</f>
        <v/>
      </c>
      <c r="K485" s="9">
        <f>IF(D485="","",IFERROR(INDEX('Stock pièces'!$D$5:$D$404,MATCH(D485,'Stock pièces'!$A$5:$A$404,0)),""))</f>
        <v/>
      </c>
      <c r="L485" s="7" t="inlineStr">
        <is>
          <t>CMD-24133</t>
        </is>
      </c>
      <c r="M485" s="7" t="inlineStr">
        <is>
          <t>Réception commande réappro</t>
        </is>
      </c>
    </row>
    <row r="486">
      <c r="A486" s="7" t="inlineStr">
        <is>
          <t>MV-00482</t>
        </is>
      </c>
      <c r="B486" s="75" t="n">
        <v>45929.41666666666</v>
      </c>
      <c r="C486" s="7" t="inlineStr">
        <is>
          <t>Entrée</t>
        </is>
      </c>
      <c r="D486" s="7" t="inlineStr">
        <is>
          <t>PD-0067</t>
        </is>
      </c>
      <c r="E486" s="9">
        <f>IF(D486="","",IFERROR(INDEX('Stock pièces'!$B$5:$B$404,MATCH(D486,'Stock pièces'!$A$5:$A$404,0)),"Réf. inconnue"))</f>
        <v/>
      </c>
      <c r="F486" s="67" t="n">
        <v>3</v>
      </c>
      <c r="G486" s="81">
        <f>IF(D486="","",IFERROR(INDEX('Stock pièces'!$I$5:$I$404,MATCH(D486,'Stock pièces'!$A$5:$A$404,0)),0))</f>
        <v/>
      </c>
      <c r="H486" s="81">
        <f>IF(D486="","",N(F486)*N(G486))</f>
        <v/>
      </c>
      <c r="I486" s="7" t="n"/>
      <c r="J486" s="9">
        <f>IF(I486="","",IFERROR(INDEX('Ordres de travail'!$D$5:$D$3004,MATCH(I486,'Ordres de travail'!$A$5:$A$3004,0)),""))</f>
        <v/>
      </c>
      <c r="K486" s="9">
        <f>IF(D486="","",IFERROR(INDEX('Stock pièces'!$D$5:$D$404,MATCH(D486,'Stock pièces'!$A$5:$A$404,0)),""))</f>
        <v/>
      </c>
      <c r="L486" s="7" t="inlineStr">
        <is>
          <t>CMD-24136</t>
        </is>
      </c>
      <c r="M486" s="7" t="inlineStr">
        <is>
          <t>Réception commande réappro</t>
        </is>
      </c>
    </row>
    <row r="487">
      <c r="A487" s="7" t="inlineStr">
        <is>
          <t>MV-00483</t>
        </is>
      </c>
      <c r="B487" s="75" t="n">
        <v>45930.41666666666</v>
      </c>
      <c r="C487" s="7" t="inlineStr">
        <is>
          <t>Entrée</t>
        </is>
      </c>
      <c r="D487" s="7" t="inlineStr">
        <is>
          <t>PD-0002</t>
        </is>
      </c>
      <c r="E487" s="9">
        <f>IF(D487="","",IFERROR(INDEX('Stock pièces'!$B$5:$B$404,MATCH(D487,'Stock pièces'!$A$5:$A$404,0)),"Réf. inconnue"))</f>
        <v/>
      </c>
      <c r="F487" s="67" t="n">
        <v>4</v>
      </c>
      <c r="G487" s="81">
        <f>IF(D487="","",IFERROR(INDEX('Stock pièces'!$I$5:$I$404,MATCH(D487,'Stock pièces'!$A$5:$A$404,0)),0))</f>
        <v/>
      </c>
      <c r="H487" s="81">
        <f>IF(D487="","",N(F487)*N(G487))</f>
        <v/>
      </c>
      <c r="I487" s="7" t="n"/>
      <c r="J487" s="9">
        <f>IF(I487="","",IFERROR(INDEX('Ordres de travail'!$D$5:$D$3004,MATCH(I487,'Ordres de travail'!$A$5:$A$3004,0)),""))</f>
        <v/>
      </c>
      <c r="K487" s="9">
        <f>IF(D487="","",IFERROR(INDEX('Stock pièces'!$D$5:$D$404,MATCH(D487,'Stock pièces'!$A$5:$A$404,0)),""))</f>
        <v/>
      </c>
      <c r="L487" s="7" t="inlineStr">
        <is>
          <t>CMD-24145</t>
        </is>
      </c>
      <c r="M487" s="7" t="inlineStr">
        <is>
          <t>Réception commande réappro</t>
        </is>
      </c>
    </row>
    <row r="488">
      <c r="A488" s="7" t="inlineStr">
        <is>
          <t>MV-00484</t>
        </is>
      </c>
      <c r="B488" s="75" t="n">
        <v>45930.4375</v>
      </c>
      <c r="C488" s="7" t="inlineStr">
        <is>
          <t>Sortie</t>
        </is>
      </c>
      <c r="D488" s="7" t="inlineStr">
        <is>
          <t>PD-0025</t>
        </is>
      </c>
      <c r="E488" s="9">
        <f>IF(D488="","",IFERROR(INDEX('Stock pièces'!$B$5:$B$404,MATCH(D488,'Stock pièces'!$A$5:$A$404,0)),"Réf. inconnue"))</f>
        <v/>
      </c>
      <c r="F488" s="67" t="n">
        <v>1</v>
      </c>
      <c r="G488" s="81">
        <f>IF(D488="","",IFERROR(INDEX('Stock pièces'!$I$5:$I$404,MATCH(D488,'Stock pièces'!$A$5:$A$404,0)),0))</f>
        <v/>
      </c>
      <c r="H488" s="81">
        <f>IF(D488="","",N(F488)*N(G488))</f>
        <v/>
      </c>
      <c r="I488" s="7" t="inlineStr">
        <is>
          <t>OT-2025-0596</t>
        </is>
      </c>
      <c r="J488" s="9">
        <f>IF(I488="","",IFERROR(INDEX('Ordres de travail'!$D$5:$D$3004,MATCH(I488,'Ordres de travail'!$A$5:$A$3004,0)),""))</f>
        <v/>
      </c>
      <c r="K488" s="9">
        <f>IF(D488="","",IFERROR(INDEX('Stock pièces'!$D$5:$D$404,MATCH(D488,'Stock pièces'!$A$5:$A$404,0)),""))</f>
        <v/>
      </c>
      <c r="L488" s="7" t="n"/>
      <c r="M488" s="7" t="n"/>
    </row>
    <row r="489">
      <c r="A489" s="7" t="inlineStr">
        <is>
          <t>MV-00485</t>
        </is>
      </c>
      <c r="B489" s="75" t="n">
        <v>45931.41666666666</v>
      </c>
      <c r="C489" s="7" t="inlineStr">
        <is>
          <t>Entrée</t>
        </is>
      </c>
      <c r="D489" s="7" t="inlineStr">
        <is>
          <t>PD-0038</t>
        </is>
      </c>
      <c r="E489" s="9">
        <f>IF(D489="","",IFERROR(INDEX('Stock pièces'!$B$5:$B$404,MATCH(D489,'Stock pièces'!$A$5:$A$404,0)),"Réf. inconnue"))</f>
        <v/>
      </c>
      <c r="F489" s="67" t="n">
        <v>7</v>
      </c>
      <c r="G489" s="81">
        <f>IF(D489="","",IFERROR(INDEX('Stock pièces'!$I$5:$I$404,MATCH(D489,'Stock pièces'!$A$5:$A$404,0)),0))</f>
        <v/>
      </c>
      <c r="H489" s="81">
        <f>IF(D489="","",N(F489)*N(G489))</f>
        <v/>
      </c>
      <c r="I489" s="7" t="n"/>
      <c r="J489" s="9">
        <f>IF(I489="","",IFERROR(INDEX('Ordres de travail'!$D$5:$D$3004,MATCH(I489,'Ordres de travail'!$A$5:$A$3004,0)),""))</f>
        <v/>
      </c>
      <c r="K489" s="9">
        <f>IF(D489="","",IFERROR(INDEX('Stock pièces'!$D$5:$D$404,MATCH(D489,'Stock pièces'!$A$5:$A$404,0)),""))</f>
        <v/>
      </c>
      <c r="L489" s="7" t="inlineStr">
        <is>
          <t>CMD-24141</t>
        </is>
      </c>
      <c r="M489" s="7" t="inlineStr">
        <is>
          <t>Réception commande réappro</t>
        </is>
      </c>
    </row>
    <row r="490">
      <c r="A490" s="7" t="inlineStr">
        <is>
          <t>MV-00486</t>
        </is>
      </c>
      <c r="B490" s="75" t="n">
        <v>45931.41666666666</v>
      </c>
      <c r="C490" s="7" t="inlineStr">
        <is>
          <t>Entrée</t>
        </is>
      </c>
      <c r="D490" s="7" t="inlineStr">
        <is>
          <t>PD-0029</t>
        </is>
      </c>
      <c r="E490" s="9">
        <f>IF(D490="","",IFERROR(INDEX('Stock pièces'!$B$5:$B$404,MATCH(D490,'Stock pièces'!$A$5:$A$404,0)),"Réf. inconnue"))</f>
        <v/>
      </c>
      <c r="F490" s="67" t="n">
        <v>4</v>
      </c>
      <c r="G490" s="81">
        <f>IF(D490="","",IFERROR(INDEX('Stock pièces'!$I$5:$I$404,MATCH(D490,'Stock pièces'!$A$5:$A$404,0)),0))</f>
        <v/>
      </c>
      <c r="H490" s="81">
        <f>IF(D490="","",N(F490)*N(G490))</f>
        <v/>
      </c>
      <c r="I490" s="7" t="n"/>
      <c r="J490" s="9">
        <f>IF(I490="","",IFERROR(INDEX('Ordres de travail'!$D$5:$D$3004,MATCH(I490,'Ordres de travail'!$A$5:$A$3004,0)),""))</f>
        <v/>
      </c>
      <c r="K490" s="9">
        <f>IF(D490="","",IFERROR(INDEX('Stock pièces'!$D$5:$D$404,MATCH(D490,'Stock pièces'!$A$5:$A$404,0)),""))</f>
        <v/>
      </c>
      <c r="L490" s="7" t="inlineStr">
        <is>
          <t>CMD-24143</t>
        </is>
      </c>
      <c r="M490" s="7" t="inlineStr">
        <is>
          <t>Réception commande réappro</t>
        </is>
      </c>
    </row>
    <row r="491">
      <c r="A491" s="7" t="inlineStr">
        <is>
          <t>MV-00487</t>
        </is>
      </c>
      <c r="B491" s="75" t="n">
        <v>45932.38194444445</v>
      </c>
      <c r="C491" s="7" t="inlineStr">
        <is>
          <t>Sortie</t>
        </is>
      </c>
      <c r="D491" s="7" t="inlineStr">
        <is>
          <t>PD-0017</t>
        </is>
      </c>
      <c r="E491" s="9">
        <f>IF(D491="","",IFERROR(INDEX('Stock pièces'!$B$5:$B$404,MATCH(D491,'Stock pièces'!$A$5:$A$404,0)),"Réf. inconnue"))</f>
        <v/>
      </c>
      <c r="F491" s="67" t="n">
        <v>1</v>
      </c>
      <c r="G491" s="81">
        <f>IF(D491="","",IFERROR(INDEX('Stock pièces'!$I$5:$I$404,MATCH(D491,'Stock pièces'!$A$5:$A$404,0)),0))</f>
        <v/>
      </c>
      <c r="H491" s="81">
        <f>IF(D491="","",N(F491)*N(G491))</f>
        <v/>
      </c>
      <c r="I491" s="7" t="inlineStr">
        <is>
          <t>OT-2025-0603</t>
        </is>
      </c>
      <c r="J491" s="9">
        <f>IF(I491="","",IFERROR(INDEX('Ordres de travail'!$D$5:$D$3004,MATCH(I491,'Ordres de travail'!$A$5:$A$3004,0)),""))</f>
        <v/>
      </c>
      <c r="K491" s="9">
        <f>IF(D491="","",IFERROR(INDEX('Stock pièces'!$D$5:$D$404,MATCH(D491,'Stock pièces'!$A$5:$A$404,0)),""))</f>
        <v/>
      </c>
      <c r="L491" s="7" t="n"/>
      <c r="M491" s="7" t="n"/>
    </row>
    <row r="492">
      <c r="A492" s="7" t="inlineStr">
        <is>
          <t>MV-00488</t>
        </is>
      </c>
      <c r="B492" s="75" t="n">
        <v>45933.41666666666</v>
      </c>
      <c r="C492" s="7" t="inlineStr">
        <is>
          <t>Entrée</t>
        </is>
      </c>
      <c r="D492" s="7" t="inlineStr">
        <is>
          <t>PD-0069</t>
        </is>
      </c>
      <c r="E492" s="9">
        <f>IF(D492="","",IFERROR(INDEX('Stock pièces'!$B$5:$B$404,MATCH(D492,'Stock pièces'!$A$5:$A$404,0)),"Réf. inconnue"))</f>
        <v/>
      </c>
      <c r="F492" s="67" t="n">
        <v>1</v>
      </c>
      <c r="G492" s="81">
        <f>IF(D492="","",IFERROR(INDEX('Stock pièces'!$I$5:$I$404,MATCH(D492,'Stock pièces'!$A$5:$A$404,0)),0))</f>
        <v/>
      </c>
      <c r="H492" s="81">
        <f>IF(D492="","",N(F492)*N(G492))</f>
        <v/>
      </c>
      <c r="I492" s="7" t="n"/>
      <c r="J492" s="9">
        <f>IF(I492="","",IFERROR(INDEX('Ordres de travail'!$D$5:$D$3004,MATCH(I492,'Ordres de travail'!$A$5:$A$3004,0)),""))</f>
        <v/>
      </c>
      <c r="K492" s="9">
        <f>IF(D492="","",IFERROR(INDEX('Stock pièces'!$D$5:$D$404,MATCH(D492,'Stock pièces'!$A$5:$A$404,0)),""))</f>
        <v/>
      </c>
      <c r="L492" s="7" t="inlineStr">
        <is>
          <t>CMD-24140</t>
        </is>
      </c>
      <c r="M492" s="7" t="inlineStr">
        <is>
          <t>Réception commande réappro</t>
        </is>
      </c>
    </row>
    <row r="493">
      <c r="A493" s="7" t="inlineStr">
        <is>
          <t>MV-00489</t>
        </is>
      </c>
      <c r="B493" s="75" t="n">
        <v>45933.41666666666</v>
      </c>
      <c r="C493" s="7" t="inlineStr">
        <is>
          <t>Entrée</t>
        </is>
      </c>
      <c r="D493" s="7" t="inlineStr">
        <is>
          <t>PD-0054</t>
        </is>
      </c>
      <c r="E493" s="9">
        <f>IF(D493="","",IFERROR(INDEX('Stock pièces'!$B$5:$B$404,MATCH(D493,'Stock pièces'!$A$5:$A$404,0)),"Réf. inconnue"))</f>
        <v/>
      </c>
      <c r="F493" s="67" t="n">
        <v>3</v>
      </c>
      <c r="G493" s="81">
        <f>IF(D493="","",IFERROR(INDEX('Stock pièces'!$I$5:$I$404,MATCH(D493,'Stock pièces'!$A$5:$A$404,0)),0))</f>
        <v/>
      </c>
      <c r="H493" s="81">
        <f>IF(D493="","",N(F493)*N(G493))</f>
        <v/>
      </c>
      <c r="I493" s="7" t="n"/>
      <c r="J493" s="9">
        <f>IF(I493="","",IFERROR(INDEX('Ordres de travail'!$D$5:$D$3004,MATCH(I493,'Ordres de travail'!$A$5:$A$3004,0)),""))</f>
        <v/>
      </c>
      <c r="K493" s="9">
        <f>IF(D493="","",IFERROR(INDEX('Stock pièces'!$D$5:$D$404,MATCH(D493,'Stock pièces'!$A$5:$A$404,0)),""))</f>
        <v/>
      </c>
      <c r="L493" s="7" t="inlineStr">
        <is>
          <t>CMD-24142</t>
        </is>
      </c>
      <c r="M493" s="7" t="inlineStr">
        <is>
          <t>Réception commande réappro</t>
        </is>
      </c>
    </row>
    <row r="494">
      <c r="A494" s="7" t="inlineStr">
        <is>
          <t>MV-00490</t>
        </is>
      </c>
      <c r="B494" s="75" t="n">
        <v>45933.41666666666</v>
      </c>
      <c r="C494" s="7" t="inlineStr">
        <is>
          <t>Entrée</t>
        </is>
      </c>
      <c r="D494" s="7" t="inlineStr">
        <is>
          <t>PD-0021</t>
        </is>
      </c>
      <c r="E494" s="9">
        <f>IF(D494="","",IFERROR(INDEX('Stock pièces'!$B$5:$B$404,MATCH(D494,'Stock pièces'!$A$5:$A$404,0)),"Réf. inconnue"))</f>
        <v/>
      </c>
      <c r="F494" s="67" t="n">
        <v>4</v>
      </c>
      <c r="G494" s="81">
        <f>IF(D494="","",IFERROR(INDEX('Stock pièces'!$I$5:$I$404,MATCH(D494,'Stock pièces'!$A$5:$A$404,0)),0))</f>
        <v/>
      </c>
      <c r="H494" s="81">
        <f>IF(D494="","",N(F494)*N(G494))</f>
        <v/>
      </c>
      <c r="I494" s="7" t="n"/>
      <c r="J494" s="9">
        <f>IF(I494="","",IFERROR(INDEX('Ordres de travail'!$D$5:$D$3004,MATCH(I494,'Ordres de travail'!$A$5:$A$3004,0)),""))</f>
        <v/>
      </c>
      <c r="K494" s="9">
        <f>IF(D494="","",IFERROR(INDEX('Stock pièces'!$D$5:$D$404,MATCH(D494,'Stock pièces'!$A$5:$A$404,0)),""))</f>
        <v/>
      </c>
      <c r="L494" s="7" t="inlineStr">
        <is>
          <t>CMD-24144</t>
        </is>
      </c>
      <c r="M494" s="7" t="inlineStr">
        <is>
          <t>Réception commande réappro</t>
        </is>
      </c>
    </row>
    <row r="495">
      <c r="A495" s="7" t="inlineStr">
        <is>
          <t>MV-00491</t>
        </is>
      </c>
      <c r="B495" s="75" t="n">
        <v>45934.63819444444</v>
      </c>
      <c r="C495" s="7" t="inlineStr">
        <is>
          <t>Sortie</t>
        </is>
      </c>
      <c r="D495" s="7" t="inlineStr">
        <is>
          <t>PD-0004</t>
        </is>
      </c>
      <c r="E495" s="9">
        <f>IF(D495="","",IFERROR(INDEX('Stock pièces'!$B$5:$B$404,MATCH(D495,'Stock pièces'!$A$5:$A$404,0)),"Réf. inconnue"))</f>
        <v/>
      </c>
      <c r="F495" s="67" t="n">
        <v>1</v>
      </c>
      <c r="G495" s="81">
        <f>IF(D495="","",IFERROR(INDEX('Stock pièces'!$I$5:$I$404,MATCH(D495,'Stock pièces'!$A$5:$A$404,0)),0))</f>
        <v/>
      </c>
      <c r="H495" s="81">
        <f>IF(D495="","",N(F495)*N(G495))</f>
        <v/>
      </c>
      <c r="I495" s="7" t="inlineStr">
        <is>
          <t>OT-2025-0622</t>
        </is>
      </c>
      <c r="J495" s="9">
        <f>IF(I495="","",IFERROR(INDEX('Ordres de travail'!$D$5:$D$3004,MATCH(I495,'Ordres de travail'!$A$5:$A$3004,0)),""))</f>
        <v/>
      </c>
      <c r="K495" s="9">
        <f>IF(D495="","",IFERROR(INDEX('Stock pièces'!$D$5:$D$404,MATCH(D495,'Stock pièces'!$A$5:$A$404,0)),""))</f>
        <v/>
      </c>
      <c r="L495" s="7" t="n"/>
      <c r="M495" s="7" t="n"/>
    </row>
    <row r="496">
      <c r="A496" s="7" t="inlineStr">
        <is>
          <t>MV-00492</t>
        </is>
      </c>
      <c r="B496" s="75" t="n">
        <v>45936.36111111111</v>
      </c>
      <c r="C496" s="7" t="inlineStr">
        <is>
          <t>Sortie</t>
        </is>
      </c>
      <c r="D496" s="7" t="inlineStr">
        <is>
          <t>PD-0059</t>
        </is>
      </c>
      <c r="E496" s="9">
        <f>IF(D496="","",IFERROR(INDEX('Stock pièces'!$B$5:$B$404,MATCH(D496,'Stock pièces'!$A$5:$A$404,0)),"Réf. inconnue"))</f>
        <v/>
      </c>
      <c r="F496" s="67" t="n">
        <v>1</v>
      </c>
      <c r="G496" s="81">
        <f>IF(D496="","",IFERROR(INDEX('Stock pièces'!$I$5:$I$404,MATCH(D496,'Stock pièces'!$A$5:$A$404,0)),0))</f>
        <v/>
      </c>
      <c r="H496" s="81">
        <f>IF(D496="","",N(F496)*N(G496))</f>
        <v/>
      </c>
      <c r="I496" s="7" t="inlineStr">
        <is>
          <t>OT-2025-0615</t>
        </is>
      </c>
      <c r="J496" s="9">
        <f>IF(I496="","",IFERROR(INDEX('Ordres de travail'!$D$5:$D$3004,MATCH(I496,'Ordres de travail'!$A$5:$A$3004,0)),""))</f>
        <v/>
      </c>
      <c r="K496" s="9">
        <f>IF(D496="","",IFERROR(INDEX('Stock pièces'!$D$5:$D$404,MATCH(D496,'Stock pièces'!$A$5:$A$404,0)),""))</f>
        <v/>
      </c>
      <c r="L496" s="7" t="n"/>
      <c r="M496" s="7" t="n"/>
    </row>
    <row r="497">
      <c r="A497" s="7" t="inlineStr">
        <is>
          <t>MV-00493</t>
        </is>
      </c>
      <c r="B497" s="75" t="n">
        <v>45936.49652777778</v>
      </c>
      <c r="C497" s="7" t="inlineStr">
        <is>
          <t>Sortie</t>
        </is>
      </c>
      <c r="D497" s="7" t="inlineStr">
        <is>
          <t>PD-0025</t>
        </is>
      </c>
      <c r="E497" s="9">
        <f>IF(D497="","",IFERROR(INDEX('Stock pièces'!$B$5:$B$404,MATCH(D497,'Stock pièces'!$A$5:$A$404,0)),"Réf. inconnue"))</f>
        <v/>
      </c>
      <c r="F497" s="67" t="n">
        <v>1</v>
      </c>
      <c r="G497" s="81">
        <f>IF(D497="","",IFERROR(INDEX('Stock pièces'!$I$5:$I$404,MATCH(D497,'Stock pièces'!$A$5:$A$404,0)),0))</f>
        <v/>
      </c>
      <c r="H497" s="81">
        <f>IF(D497="","",N(F497)*N(G497))</f>
        <v/>
      </c>
      <c r="I497" s="7" t="inlineStr">
        <is>
          <t>OT-2025-0612</t>
        </is>
      </c>
      <c r="J497" s="9">
        <f>IF(I497="","",IFERROR(INDEX('Ordres de travail'!$D$5:$D$3004,MATCH(I497,'Ordres de travail'!$A$5:$A$3004,0)),""))</f>
        <v/>
      </c>
      <c r="K497" s="9">
        <f>IF(D497="","",IFERROR(INDEX('Stock pièces'!$D$5:$D$404,MATCH(D497,'Stock pièces'!$A$5:$A$404,0)),""))</f>
        <v/>
      </c>
      <c r="L497" s="7" t="n"/>
      <c r="M497" s="7" t="n"/>
    </row>
    <row r="498">
      <c r="A498" s="7" t="inlineStr">
        <is>
          <t>MV-00494</t>
        </is>
      </c>
      <c r="B498" s="75" t="n">
        <v>45937.56527777778</v>
      </c>
      <c r="C498" s="7" t="inlineStr">
        <is>
          <t>Sortie</t>
        </is>
      </c>
      <c r="D498" s="7" t="inlineStr">
        <is>
          <t>PD-0046</t>
        </is>
      </c>
      <c r="E498" s="9">
        <f>IF(D498="","",IFERROR(INDEX('Stock pièces'!$B$5:$B$404,MATCH(D498,'Stock pièces'!$A$5:$A$404,0)),"Réf. inconnue"))</f>
        <v/>
      </c>
      <c r="F498" s="67" t="n">
        <v>1</v>
      </c>
      <c r="G498" s="81">
        <f>IF(D498="","",IFERROR(INDEX('Stock pièces'!$I$5:$I$404,MATCH(D498,'Stock pièces'!$A$5:$A$404,0)),0))</f>
        <v/>
      </c>
      <c r="H498" s="81">
        <f>IF(D498="","",N(F498)*N(G498))</f>
        <v/>
      </c>
      <c r="I498" s="7" t="inlineStr">
        <is>
          <t>OT-2025-0634</t>
        </is>
      </c>
      <c r="J498" s="9">
        <f>IF(I498="","",IFERROR(INDEX('Ordres de travail'!$D$5:$D$3004,MATCH(I498,'Ordres de travail'!$A$5:$A$3004,0)),""))</f>
        <v/>
      </c>
      <c r="K498" s="9">
        <f>IF(D498="","",IFERROR(INDEX('Stock pièces'!$D$5:$D$404,MATCH(D498,'Stock pièces'!$A$5:$A$404,0)),""))</f>
        <v/>
      </c>
      <c r="L498" s="7" t="n"/>
      <c r="M498" s="7" t="n"/>
    </row>
    <row r="499">
      <c r="A499" s="7" t="inlineStr">
        <is>
          <t>MV-00495</t>
        </is>
      </c>
      <c r="B499" s="75" t="n">
        <v>45938.43402777778</v>
      </c>
      <c r="C499" s="7" t="inlineStr">
        <is>
          <t>Sortie</t>
        </is>
      </c>
      <c r="D499" s="7" t="inlineStr">
        <is>
          <t>PD-0017</t>
        </is>
      </c>
      <c r="E499" s="9">
        <f>IF(D499="","",IFERROR(INDEX('Stock pièces'!$B$5:$B$404,MATCH(D499,'Stock pièces'!$A$5:$A$404,0)),"Réf. inconnue"))</f>
        <v/>
      </c>
      <c r="F499" s="67" t="n">
        <v>1</v>
      </c>
      <c r="G499" s="81">
        <f>IF(D499="","",IFERROR(INDEX('Stock pièces'!$I$5:$I$404,MATCH(D499,'Stock pièces'!$A$5:$A$404,0)),0))</f>
        <v/>
      </c>
      <c r="H499" s="81">
        <f>IF(D499="","",N(F499)*N(G499))</f>
        <v/>
      </c>
      <c r="I499" s="7" t="inlineStr">
        <is>
          <t>OT-2025-0619</t>
        </is>
      </c>
      <c r="J499" s="9">
        <f>IF(I499="","",IFERROR(INDEX('Ordres de travail'!$D$5:$D$3004,MATCH(I499,'Ordres de travail'!$A$5:$A$3004,0)),""))</f>
        <v/>
      </c>
      <c r="K499" s="9">
        <f>IF(D499="","",IFERROR(INDEX('Stock pièces'!$D$5:$D$404,MATCH(D499,'Stock pièces'!$A$5:$A$404,0)),""))</f>
        <v/>
      </c>
      <c r="L499" s="7" t="n"/>
      <c r="M499" s="7" t="n"/>
    </row>
    <row r="500">
      <c r="A500" s="7" t="inlineStr">
        <is>
          <t>MV-00496</t>
        </is>
      </c>
      <c r="B500" s="75" t="n">
        <v>45938.64652777778</v>
      </c>
      <c r="C500" s="7" t="inlineStr">
        <is>
          <t>Sortie</t>
        </is>
      </c>
      <c r="D500" s="7" t="inlineStr">
        <is>
          <t>PD-0026</t>
        </is>
      </c>
      <c r="E500" s="9">
        <f>IF(D500="","",IFERROR(INDEX('Stock pièces'!$B$5:$B$404,MATCH(D500,'Stock pièces'!$A$5:$A$404,0)),"Réf. inconnue"))</f>
        <v/>
      </c>
      <c r="F500" s="67" t="n">
        <v>1</v>
      </c>
      <c r="G500" s="81">
        <f>IF(D500="","",IFERROR(INDEX('Stock pièces'!$I$5:$I$404,MATCH(D500,'Stock pièces'!$A$5:$A$404,0)),0))</f>
        <v/>
      </c>
      <c r="H500" s="81">
        <f>IF(D500="","",N(F500)*N(G500))</f>
        <v/>
      </c>
      <c r="I500" s="7" t="inlineStr">
        <is>
          <t>OT-2025-0635</t>
        </is>
      </c>
      <c r="J500" s="9">
        <f>IF(I500="","",IFERROR(INDEX('Ordres de travail'!$D$5:$D$3004,MATCH(I500,'Ordres de travail'!$A$5:$A$3004,0)),""))</f>
        <v/>
      </c>
      <c r="K500" s="9">
        <f>IF(D500="","",IFERROR(INDEX('Stock pièces'!$D$5:$D$404,MATCH(D500,'Stock pièces'!$A$5:$A$404,0)),""))</f>
        <v/>
      </c>
      <c r="L500" s="7" t="n"/>
      <c r="M500" s="7" t="n"/>
    </row>
    <row r="501">
      <c r="A501" s="7" t="inlineStr">
        <is>
          <t>MV-00497</t>
        </is>
      </c>
      <c r="B501" s="75" t="n">
        <v>45939.40277777778</v>
      </c>
      <c r="C501" s="7" t="inlineStr">
        <is>
          <t>Sortie</t>
        </is>
      </c>
      <c r="D501" s="7" t="inlineStr">
        <is>
          <t>PD-0062</t>
        </is>
      </c>
      <c r="E501" s="9">
        <f>IF(D501="","",IFERROR(INDEX('Stock pièces'!$B$5:$B$404,MATCH(D501,'Stock pièces'!$A$5:$A$404,0)),"Réf. inconnue"))</f>
        <v/>
      </c>
      <c r="F501" s="67" t="n">
        <v>1</v>
      </c>
      <c r="G501" s="81">
        <f>IF(D501="","",IFERROR(INDEX('Stock pièces'!$I$5:$I$404,MATCH(D501,'Stock pièces'!$A$5:$A$404,0)),0))</f>
        <v/>
      </c>
      <c r="H501" s="81">
        <f>IF(D501="","",N(F501)*N(G501))</f>
        <v/>
      </c>
      <c r="I501" s="7" t="inlineStr">
        <is>
          <t>OT-2025-0620</t>
        </is>
      </c>
      <c r="J501" s="9">
        <f>IF(I501="","",IFERROR(INDEX('Ordres de travail'!$D$5:$D$3004,MATCH(I501,'Ordres de travail'!$A$5:$A$3004,0)),""))</f>
        <v/>
      </c>
      <c r="K501" s="9">
        <f>IF(D501="","",IFERROR(INDEX('Stock pièces'!$D$5:$D$404,MATCH(D501,'Stock pièces'!$A$5:$A$404,0)),""))</f>
        <v/>
      </c>
      <c r="L501" s="7" t="n"/>
      <c r="M501" s="7" t="n"/>
    </row>
    <row r="502">
      <c r="A502" s="7" t="inlineStr">
        <is>
          <t>MV-00498</t>
        </is>
      </c>
      <c r="B502" s="75" t="n">
        <v>45939.40277777778</v>
      </c>
      <c r="C502" s="7" t="inlineStr">
        <is>
          <t>Sortie</t>
        </is>
      </c>
      <c r="D502" s="7" t="inlineStr">
        <is>
          <t>PD-0063</t>
        </is>
      </c>
      <c r="E502" s="9">
        <f>IF(D502="","",IFERROR(INDEX('Stock pièces'!$B$5:$B$404,MATCH(D502,'Stock pièces'!$A$5:$A$404,0)),"Réf. inconnue"))</f>
        <v/>
      </c>
      <c r="F502" s="67" t="n">
        <v>1</v>
      </c>
      <c r="G502" s="81">
        <f>IF(D502="","",IFERROR(INDEX('Stock pièces'!$I$5:$I$404,MATCH(D502,'Stock pièces'!$A$5:$A$404,0)),0))</f>
        <v/>
      </c>
      <c r="H502" s="81">
        <f>IF(D502="","",N(F502)*N(G502))</f>
        <v/>
      </c>
      <c r="I502" s="7" t="inlineStr">
        <is>
          <t>OT-2025-0620</t>
        </is>
      </c>
      <c r="J502" s="9">
        <f>IF(I502="","",IFERROR(INDEX('Ordres de travail'!$D$5:$D$3004,MATCH(I502,'Ordres de travail'!$A$5:$A$3004,0)),""))</f>
        <v/>
      </c>
      <c r="K502" s="9">
        <f>IF(D502="","",IFERROR(INDEX('Stock pièces'!$D$5:$D$404,MATCH(D502,'Stock pièces'!$A$5:$A$404,0)),""))</f>
        <v/>
      </c>
      <c r="L502" s="7" t="n"/>
      <c r="M502" s="7" t="n"/>
    </row>
    <row r="503">
      <c r="A503" s="7" t="inlineStr">
        <is>
          <t>MV-00499</t>
        </is>
      </c>
      <c r="B503" s="75" t="n">
        <v>45939.62430555555</v>
      </c>
      <c r="C503" s="7" t="inlineStr">
        <is>
          <t>Sortie</t>
        </is>
      </c>
      <c r="D503" s="7" t="inlineStr">
        <is>
          <t>PD-0072</t>
        </is>
      </c>
      <c r="E503" s="9">
        <f>IF(D503="","",IFERROR(INDEX('Stock pièces'!$B$5:$B$404,MATCH(D503,'Stock pièces'!$A$5:$A$404,0)),"Réf. inconnue"))</f>
        <v/>
      </c>
      <c r="F503" s="67" t="n">
        <v>1</v>
      </c>
      <c r="G503" s="81">
        <f>IF(D503="","",IFERROR(INDEX('Stock pièces'!$I$5:$I$404,MATCH(D503,'Stock pièces'!$A$5:$A$404,0)),0))</f>
        <v/>
      </c>
      <c r="H503" s="81">
        <f>IF(D503="","",N(F503)*N(G503))</f>
        <v/>
      </c>
      <c r="I503" s="7" t="inlineStr">
        <is>
          <t>OT-2025-0637</t>
        </is>
      </c>
      <c r="J503" s="9">
        <f>IF(I503="","",IFERROR(INDEX('Ordres de travail'!$D$5:$D$3004,MATCH(I503,'Ordres de travail'!$A$5:$A$3004,0)),""))</f>
        <v/>
      </c>
      <c r="K503" s="9">
        <f>IF(D503="","",IFERROR(INDEX('Stock pièces'!$D$5:$D$404,MATCH(D503,'Stock pièces'!$A$5:$A$404,0)),""))</f>
        <v/>
      </c>
      <c r="L503" s="7" t="n"/>
      <c r="M503" s="7" t="n"/>
    </row>
    <row r="504">
      <c r="A504" s="7" t="inlineStr">
        <is>
          <t>MV-00500</t>
        </is>
      </c>
      <c r="B504" s="75" t="n">
        <v>45940.41666666666</v>
      </c>
      <c r="C504" s="7" t="inlineStr">
        <is>
          <t>Entrée</t>
        </is>
      </c>
      <c r="D504" s="7" t="inlineStr">
        <is>
          <t>PD-0017</t>
        </is>
      </c>
      <c r="E504" s="9">
        <f>IF(D504="","",IFERROR(INDEX('Stock pièces'!$B$5:$B$404,MATCH(D504,'Stock pièces'!$A$5:$A$404,0)),"Réf. inconnue"))</f>
        <v/>
      </c>
      <c r="F504" s="67" t="n">
        <v>8</v>
      </c>
      <c r="G504" s="81">
        <f>IF(D504="","",IFERROR(INDEX('Stock pièces'!$I$5:$I$404,MATCH(D504,'Stock pièces'!$A$5:$A$404,0)),0))</f>
        <v/>
      </c>
      <c r="H504" s="81">
        <f>IF(D504="","",N(F504)*N(G504))</f>
        <v/>
      </c>
      <c r="I504" s="7" t="n"/>
      <c r="J504" s="9">
        <f>IF(I504="","",IFERROR(INDEX('Ordres de travail'!$D$5:$D$3004,MATCH(I504,'Ordres de travail'!$A$5:$A$3004,0)),""))</f>
        <v/>
      </c>
      <c r="K504" s="9">
        <f>IF(D504="","",IFERROR(INDEX('Stock pièces'!$D$5:$D$404,MATCH(D504,'Stock pièces'!$A$5:$A$404,0)),""))</f>
        <v/>
      </c>
      <c r="L504" s="7" t="inlineStr">
        <is>
          <t>CMD-24146</t>
        </is>
      </c>
      <c r="M504" s="7" t="inlineStr">
        <is>
          <t>Réception commande réappro</t>
        </is>
      </c>
    </row>
    <row r="505">
      <c r="A505" s="7" t="inlineStr">
        <is>
          <t>MV-00501</t>
        </is>
      </c>
      <c r="B505" s="75" t="n">
        <v>45941.82013888889</v>
      </c>
      <c r="C505" s="7" t="inlineStr">
        <is>
          <t>Sortie</t>
        </is>
      </c>
      <c r="D505" s="7" t="inlineStr">
        <is>
          <t>PD-0011</t>
        </is>
      </c>
      <c r="E505" s="9">
        <f>IF(D505="","",IFERROR(INDEX('Stock pièces'!$B$5:$B$404,MATCH(D505,'Stock pièces'!$A$5:$A$404,0)),"Réf. inconnue"))</f>
        <v/>
      </c>
      <c r="F505" s="67" t="n">
        <v>1</v>
      </c>
      <c r="G505" s="81">
        <f>IF(D505="","",IFERROR(INDEX('Stock pièces'!$I$5:$I$404,MATCH(D505,'Stock pièces'!$A$5:$A$404,0)),0))</f>
        <v/>
      </c>
      <c r="H505" s="81">
        <f>IF(D505="","",N(F505)*N(G505))</f>
        <v/>
      </c>
      <c r="I505" s="7" t="inlineStr">
        <is>
          <t>OT-2025-0639</t>
        </is>
      </c>
      <c r="J505" s="9">
        <f>IF(I505="","",IFERROR(INDEX('Ordres de travail'!$D$5:$D$3004,MATCH(I505,'Ordres de travail'!$A$5:$A$3004,0)),""))</f>
        <v/>
      </c>
      <c r="K505" s="9">
        <f>IF(D505="","",IFERROR(INDEX('Stock pièces'!$D$5:$D$404,MATCH(D505,'Stock pièces'!$A$5:$A$404,0)),""))</f>
        <v/>
      </c>
      <c r="L505" s="7" t="n"/>
      <c r="M505" s="7" t="n"/>
    </row>
    <row r="506">
      <c r="A506" s="7" t="inlineStr">
        <is>
          <t>MV-00502</t>
        </is>
      </c>
      <c r="B506" s="75" t="n">
        <v>45943.41666666666</v>
      </c>
      <c r="C506" s="7" t="inlineStr">
        <is>
          <t>Entrée</t>
        </is>
      </c>
      <c r="D506" s="7" t="inlineStr">
        <is>
          <t>PD-0068</t>
        </is>
      </c>
      <c r="E506" s="9">
        <f>IF(D506="","",IFERROR(INDEX('Stock pièces'!$B$5:$B$404,MATCH(D506,'Stock pièces'!$A$5:$A$404,0)),"Réf. inconnue"))</f>
        <v/>
      </c>
      <c r="F506" s="67" t="n">
        <v>1</v>
      </c>
      <c r="G506" s="81">
        <f>IF(D506="","",IFERROR(INDEX('Stock pièces'!$I$5:$I$404,MATCH(D506,'Stock pièces'!$A$5:$A$404,0)),0))</f>
        <v/>
      </c>
      <c r="H506" s="81">
        <f>IF(D506="","",N(F506)*N(G506))</f>
        <v/>
      </c>
      <c r="I506" s="7" t="n"/>
      <c r="J506" s="9">
        <f>IF(I506="","",IFERROR(INDEX('Ordres de travail'!$D$5:$D$3004,MATCH(I506,'Ordres de travail'!$A$5:$A$3004,0)),""))</f>
        <v/>
      </c>
      <c r="K506" s="9">
        <f>IF(D506="","",IFERROR(INDEX('Stock pièces'!$D$5:$D$404,MATCH(D506,'Stock pièces'!$A$5:$A$404,0)),""))</f>
        <v/>
      </c>
      <c r="L506" s="7" t="inlineStr">
        <is>
          <t>CMD-24138</t>
        </is>
      </c>
      <c r="M506" s="7" t="inlineStr">
        <is>
          <t>Réception commande réappro</t>
        </is>
      </c>
    </row>
    <row r="507">
      <c r="A507" s="7" t="inlineStr">
        <is>
          <t>MV-00503</t>
        </is>
      </c>
      <c r="B507" s="75" t="n">
        <v>45943.41666666666</v>
      </c>
      <c r="C507" s="7" t="inlineStr">
        <is>
          <t>Entrée</t>
        </is>
      </c>
      <c r="D507" s="7" t="inlineStr">
        <is>
          <t>PD-0063</t>
        </is>
      </c>
      <c r="E507" s="9">
        <f>IF(D507="","",IFERROR(INDEX('Stock pièces'!$B$5:$B$404,MATCH(D507,'Stock pièces'!$A$5:$A$404,0)),"Réf. inconnue"))</f>
        <v/>
      </c>
      <c r="F507" s="67" t="n">
        <v>7</v>
      </c>
      <c r="G507" s="81">
        <f>IF(D507="","",IFERROR(INDEX('Stock pièces'!$I$5:$I$404,MATCH(D507,'Stock pièces'!$A$5:$A$404,0)),0))</f>
        <v/>
      </c>
      <c r="H507" s="81">
        <f>IF(D507="","",N(F507)*N(G507))</f>
        <v/>
      </c>
      <c r="I507" s="7" t="n"/>
      <c r="J507" s="9">
        <f>IF(I507="","",IFERROR(INDEX('Ordres de travail'!$D$5:$D$3004,MATCH(I507,'Ordres de travail'!$A$5:$A$3004,0)),""))</f>
        <v/>
      </c>
      <c r="K507" s="9">
        <f>IF(D507="","",IFERROR(INDEX('Stock pièces'!$D$5:$D$404,MATCH(D507,'Stock pièces'!$A$5:$A$404,0)),""))</f>
        <v/>
      </c>
      <c r="L507" s="7" t="inlineStr">
        <is>
          <t>CMD-24150</t>
        </is>
      </c>
      <c r="M507" s="7" t="inlineStr">
        <is>
          <t>Réception commande réappro</t>
        </is>
      </c>
    </row>
    <row r="508">
      <c r="A508" s="7" t="inlineStr">
        <is>
          <t>MV-00504</t>
        </is>
      </c>
      <c r="B508" s="75" t="n">
        <v>45943.54861111111</v>
      </c>
      <c r="C508" s="7" t="inlineStr">
        <is>
          <t>Sortie</t>
        </is>
      </c>
      <c r="D508" s="7" t="inlineStr">
        <is>
          <t>PD-0025</t>
        </is>
      </c>
      <c r="E508" s="9">
        <f>IF(D508="","",IFERROR(INDEX('Stock pièces'!$B$5:$B$404,MATCH(D508,'Stock pièces'!$A$5:$A$404,0)),"Réf. inconnue"))</f>
        <v/>
      </c>
      <c r="F508" s="67" t="n">
        <v>3</v>
      </c>
      <c r="G508" s="81">
        <f>IF(D508="","",IFERROR(INDEX('Stock pièces'!$I$5:$I$404,MATCH(D508,'Stock pièces'!$A$5:$A$404,0)),0))</f>
        <v/>
      </c>
      <c r="H508" s="81">
        <f>IF(D508="","",N(F508)*N(G508))</f>
        <v/>
      </c>
      <c r="I508" s="7" t="inlineStr">
        <is>
          <t>OT-2025-0626</t>
        </is>
      </c>
      <c r="J508" s="9">
        <f>IF(I508="","",IFERROR(INDEX('Ordres de travail'!$D$5:$D$3004,MATCH(I508,'Ordres de travail'!$A$5:$A$3004,0)),""))</f>
        <v/>
      </c>
      <c r="K508" s="9">
        <f>IF(D508="","",IFERROR(INDEX('Stock pièces'!$D$5:$D$404,MATCH(D508,'Stock pièces'!$A$5:$A$404,0)),""))</f>
        <v/>
      </c>
      <c r="L508" s="7" t="n"/>
      <c r="M508" s="7" t="n"/>
    </row>
    <row r="509">
      <c r="A509" s="7" t="inlineStr">
        <is>
          <t>MV-00505</t>
        </is>
      </c>
      <c r="B509" s="75" t="n">
        <v>45943.59722222222</v>
      </c>
      <c r="C509" s="7" t="inlineStr">
        <is>
          <t>Sortie</t>
        </is>
      </c>
      <c r="D509" s="7" t="inlineStr">
        <is>
          <t>PD-0019</t>
        </is>
      </c>
      <c r="E509" s="9">
        <f>IF(D509="","",IFERROR(INDEX('Stock pièces'!$B$5:$B$404,MATCH(D509,'Stock pièces'!$A$5:$A$404,0)),"Réf. inconnue"))</f>
        <v/>
      </c>
      <c r="F509" s="67" t="n">
        <v>3</v>
      </c>
      <c r="G509" s="81">
        <f>IF(D509="","",IFERROR(INDEX('Stock pièces'!$I$5:$I$404,MATCH(D509,'Stock pièces'!$A$5:$A$404,0)),0))</f>
        <v/>
      </c>
      <c r="H509" s="81">
        <f>IF(D509="","",N(F509)*N(G509))</f>
        <v/>
      </c>
      <c r="I509" s="7" t="inlineStr">
        <is>
          <t>OT-2025-0629</t>
        </is>
      </c>
      <c r="J509" s="9">
        <f>IF(I509="","",IFERROR(INDEX('Ordres de travail'!$D$5:$D$3004,MATCH(I509,'Ordres de travail'!$A$5:$A$3004,0)),""))</f>
        <v/>
      </c>
      <c r="K509" s="9">
        <f>IF(D509="","",IFERROR(INDEX('Stock pièces'!$D$5:$D$404,MATCH(D509,'Stock pièces'!$A$5:$A$404,0)),""))</f>
        <v/>
      </c>
      <c r="L509" s="7" t="n"/>
      <c r="M509" s="7" t="n"/>
    </row>
    <row r="510">
      <c r="A510" s="7" t="inlineStr">
        <is>
          <t>MV-00506</t>
        </is>
      </c>
      <c r="B510" s="75" t="n">
        <v>45944.49305555555</v>
      </c>
      <c r="C510" s="7" t="inlineStr">
        <is>
          <t>Sortie</t>
        </is>
      </c>
      <c r="D510" s="7" t="inlineStr">
        <is>
          <t>PD-0017</t>
        </is>
      </c>
      <c r="E510" s="9">
        <f>IF(D510="","",IFERROR(INDEX('Stock pièces'!$B$5:$B$404,MATCH(D510,'Stock pièces'!$A$5:$A$404,0)),"Réf. inconnue"))</f>
        <v/>
      </c>
      <c r="F510" s="67" t="n">
        <v>1</v>
      </c>
      <c r="G510" s="81">
        <f>IF(D510="","",IFERROR(INDEX('Stock pièces'!$I$5:$I$404,MATCH(D510,'Stock pièces'!$A$5:$A$404,0)),0))</f>
        <v/>
      </c>
      <c r="H510" s="81">
        <f>IF(D510="","",N(F510)*N(G510))</f>
        <v/>
      </c>
      <c r="I510" s="7" t="inlineStr">
        <is>
          <t>OT-2025-0633</t>
        </is>
      </c>
      <c r="J510" s="9">
        <f>IF(I510="","",IFERROR(INDEX('Ordres de travail'!$D$5:$D$3004,MATCH(I510,'Ordres de travail'!$A$5:$A$3004,0)),""))</f>
        <v/>
      </c>
      <c r="K510" s="9">
        <f>IF(D510="","",IFERROR(INDEX('Stock pièces'!$D$5:$D$404,MATCH(D510,'Stock pièces'!$A$5:$A$404,0)),""))</f>
        <v/>
      </c>
      <c r="L510" s="7" t="n"/>
      <c r="M510" s="7" t="n"/>
    </row>
    <row r="511">
      <c r="A511" s="7" t="inlineStr">
        <is>
          <t>MV-00507</t>
        </is>
      </c>
      <c r="B511" s="75" t="n">
        <v>45945.41666666666</v>
      </c>
      <c r="C511" s="7" t="inlineStr">
        <is>
          <t>Entrée</t>
        </is>
      </c>
      <c r="D511" s="7" t="inlineStr">
        <is>
          <t>PD-0046</t>
        </is>
      </c>
      <c r="E511" s="9">
        <f>IF(D511="","",IFERROR(INDEX('Stock pièces'!$B$5:$B$404,MATCH(D511,'Stock pièces'!$A$5:$A$404,0)),"Réf. inconnue"))</f>
        <v/>
      </c>
      <c r="F511" s="67" t="n">
        <v>1</v>
      </c>
      <c r="G511" s="81">
        <f>IF(D511="","",IFERROR(INDEX('Stock pièces'!$I$5:$I$404,MATCH(D511,'Stock pièces'!$A$5:$A$404,0)),0))</f>
        <v/>
      </c>
      <c r="H511" s="81">
        <f>IF(D511="","",N(F511)*N(G511))</f>
        <v/>
      </c>
      <c r="I511" s="7" t="n"/>
      <c r="J511" s="9">
        <f>IF(I511="","",IFERROR(INDEX('Ordres de travail'!$D$5:$D$3004,MATCH(I511,'Ordres de travail'!$A$5:$A$3004,0)),""))</f>
        <v/>
      </c>
      <c r="K511" s="9">
        <f>IF(D511="","",IFERROR(INDEX('Stock pièces'!$D$5:$D$404,MATCH(D511,'Stock pièces'!$A$5:$A$404,0)),""))</f>
        <v/>
      </c>
      <c r="L511" s="7" t="inlineStr">
        <is>
          <t>CMD-24148</t>
        </is>
      </c>
      <c r="M511" s="7" t="inlineStr">
        <is>
          <t>Réception commande réappro</t>
        </is>
      </c>
    </row>
    <row r="512">
      <c r="A512" s="7" t="inlineStr">
        <is>
          <t>MV-00508</t>
        </is>
      </c>
      <c r="B512" s="75" t="n">
        <v>45946.37152777778</v>
      </c>
      <c r="C512" s="7" t="inlineStr">
        <is>
          <t>Sortie</t>
        </is>
      </c>
      <c r="D512" s="7" t="inlineStr">
        <is>
          <t>PD-0055</t>
        </is>
      </c>
      <c r="E512" s="9">
        <f>IF(D512="","",IFERROR(INDEX('Stock pièces'!$B$5:$B$404,MATCH(D512,'Stock pièces'!$A$5:$A$404,0)),"Réf. inconnue"))</f>
        <v/>
      </c>
      <c r="F512" s="67" t="n">
        <v>3</v>
      </c>
      <c r="G512" s="81">
        <f>IF(D512="","",IFERROR(INDEX('Stock pièces'!$I$5:$I$404,MATCH(D512,'Stock pièces'!$A$5:$A$404,0)),0))</f>
        <v/>
      </c>
      <c r="H512" s="81">
        <f>IF(D512="","",N(F512)*N(G512))</f>
        <v/>
      </c>
      <c r="I512" s="7" t="inlineStr">
        <is>
          <t>OT-2025-0644</t>
        </is>
      </c>
      <c r="J512" s="9">
        <f>IF(I512="","",IFERROR(INDEX('Ordres de travail'!$D$5:$D$3004,MATCH(I512,'Ordres de travail'!$A$5:$A$3004,0)),""))</f>
        <v/>
      </c>
      <c r="K512" s="9">
        <f>IF(D512="","",IFERROR(INDEX('Stock pièces'!$D$5:$D$404,MATCH(D512,'Stock pièces'!$A$5:$A$404,0)),""))</f>
        <v/>
      </c>
      <c r="L512" s="7" t="n"/>
      <c r="M512" s="7" t="n"/>
    </row>
    <row r="513">
      <c r="A513" s="7" t="inlineStr">
        <is>
          <t>MV-00509</t>
        </is>
      </c>
      <c r="B513" s="75" t="n">
        <v>45946.37152777778</v>
      </c>
      <c r="C513" s="7" t="inlineStr">
        <is>
          <t>Sortie</t>
        </is>
      </c>
      <c r="D513" s="7" t="inlineStr">
        <is>
          <t>PD-0056</t>
        </is>
      </c>
      <c r="E513" s="9">
        <f>IF(D513="","",IFERROR(INDEX('Stock pièces'!$B$5:$B$404,MATCH(D513,'Stock pièces'!$A$5:$A$404,0)),"Réf. inconnue"))</f>
        <v/>
      </c>
      <c r="F513" s="67" t="n">
        <v>1</v>
      </c>
      <c r="G513" s="81">
        <f>IF(D513="","",IFERROR(INDEX('Stock pièces'!$I$5:$I$404,MATCH(D513,'Stock pièces'!$A$5:$A$404,0)),0))</f>
        <v/>
      </c>
      <c r="H513" s="81">
        <f>IF(D513="","",N(F513)*N(G513))</f>
        <v/>
      </c>
      <c r="I513" s="7" t="inlineStr">
        <is>
          <t>OT-2025-0644</t>
        </is>
      </c>
      <c r="J513" s="9">
        <f>IF(I513="","",IFERROR(INDEX('Ordres de travail'!$D$5:$D$3004,MATCH(I513,'Ordres de travail'!$A$5:$A$3004,0)),""))</f>
        <v/>
      </c>
      <c r="K513" s="9">
        <f>IF(D513="","",IFERROR(INDEX('Stock pièces'!$D$5:$D$404,MATCH(D513,'Stock pièces'!$A$5:$A$404,0)),""))</f>
        <v/>
      </c>
      <c r="L513" s="7" t="n"/>
      <c r="M513" s="7" t="n"/>
    </row>
    <row r="514">
      <c r="A514" s="7" t="inlineStr">
        <is>
          <t>MV-00510</t>
        </is>
      </c>
      <c r="B514" s="75" t="n">
        <v>45946.41666666666</v>
      </c>
      <c r="C514" s="7" t="inlineStr">
        <is>
          <t>Entrée</t>
        </is>
      </c>
      <c r="D514" s="7" t="inlineStr">
        <is>
          <t>PD-0026</t>
        </is>
      </c>
      <c r="E514" s="9">
        <f>IF(D514="","",IFERROR(INDEX('Stock pièces'!$B$5:$B$404,MATCH(D514,'Stock pièces'!$A$5:$A$404,0)),"Réf. inconnue"))</f>
        <v/>
      </c>
      <c r="F514" s="67" t="n">
        <v>1</v>
      </c>
      <c r="G514" s="81">
        <f>IF(D514="","",IFERROR(INDEX('Stock pièces'!$I$5:$I$404,MATCH(D514,'Stock pièces'!$A$5:$A$404,0)),0))</f>
        <v/>
      </c>
      <c r="H514" s="81">
        <f>IF(D514="","",N(F514)*N(G514))</f>
        <v/>
      </c>
      <c r="I514" s="7" t="n"/>
      <c r="J514" s="9">
        <f>IF(I514="","",IFERROR(INDEX('Ordres de travail'!$D$5:$D$3004,MATCH(I514,'Ordres de travail'!$A$5:$A$3004,0)),""))</f>
        <v/>
      </c>
      <c r="K514" s="9">
        <f>IF(D514="","",IFERROR(INDEX('Stock pièces'!$D$5:$D$404,MATCH(D514,'Stock pièces'!$A$5:$A$404,0)),""))</f>
        <v/>
      </c>
      <c r="L514" s="7" t="inlineStr">
        <is>
          <t>CMD-24149</t>
        </is>
      </c>
      <c r="M514" s="7" t="inlineStr">
        <is>
          <t>Réception commande réappro</t>
        </is>
      </c>
    </row>
    <row r="515">
      <c r="A515" s="7" t="inlineStr">
        <is>
          <t>MV-00511</t>
        </is>
      </c>
      <c r="B515" s="75" t="n">
        <v>45946.70902777778</v>
      </c>
      <c r="C515" s="7" t="inlineStr">
        <is>
          <t>Sortie</t>
        </is>
      </c>
      <c r="D515" s="7" t="inlineStr">
        <is>
          <t>PD-0014</t>
        </is>
      </c>
      <c r="E515" s="9">
        <f>IF(D515="","",IFERROR(INDEX('Stock pièces'!$B$5:$B$404,MATCH(D515,'Stock pièces'!$A$5:$A$404,0)),"Réf. inconnue"))</f>
        <v/>
      </c>
      <c r="F515" s="67" t="n">
        <v>1</v>
      </c>
      <c r="G515" s="81">
        <f>IF(D515="","",IFERROR(INDEX('Stock pièces'!$I$5:$I$404,MATCH(D515,'Stock pièces'!$A$5:$A$404,0)),0))</f>
        <v/>
      </c>
      <c r="H515" s="81">
        <f>IF(D515="","",N(F515)*N(G515))</f>
        <v/>
      </c>
      <c r="I515" s="7" t="inlineStr">
        <is>
          <t>OT-2025-0647</t>
        </is>
      </c>
      <c r="J515" s="9">
        <f>IF(I515="","",IFERROR(INDEX('Ordres de travail'!$D$5:$D$3004,MATCH(I515,'Ordres de travail'!$A$5:$A$3004,0)),""))</f>
        <v/>
      </c>
      <c r="K515" s="9">
        <f>IF(D515="","",IFERROR(INDEX('Stock pièces'!$D$5:$D$404,MATCH(D515,'Stock pièces'!$A$5:$A$404,0)),""))</f>
        <v/>
      </c>
      <c r="L515" s="7" t="n"/>
      <c r="M515" s="7" t="n"/>
    </row>
    <row r="516">
      <c r="A516" s="7" t="inlineStr">
        <is>
          <t>MV-00512</t>
        </is>
      </c>
      <c r="B516" s="75" t="n">
        <v>45946.70902777778</v>
      </c>
      <c r="C516" s="7" t="inlineStr">
        <is>
          <t>Sortie</t>
        </is>
      </c>
      <c r="D516" s="7" t="inlineStr">
        <is>
          <t>PD-0024</t>
        </is>
      </c>
      <c r="E516" s="9">
        <f>IF(D516="","",IFERROR(INDEX('Stock pièces'!$B$5:$B$404,MATCH(D516,'Stock pièces'!$A$5:$A$404,0)),"Réf. inconnue"))</f>
        <v/>
      </c>
      <c r="F516" s="67" t="n">
        <v>1</v>
      </c>
      <c r="G516" s="81">
        <f>IF(D516="","",IFERROR(INDEX('Stock pièces'!$I$5:$I$404,MATCH(D516,'Stock pièces'!$A$5:$A$404,0)),0))</f>
        <v/>
      </c>
      <c r="H516" s="81">
        <f>IF(D516="","",N(F516)*N(G516))</f>
        <v/>
      </c>
      <c r="I516" s="7" t="inlineStr">
        <is>
          <t>OT-2025-0647</t>
        </is>
      </c>
      <c r="J516" s="9">
        <f>IF(I516="","",IFERROR(INDEX('Ordres de travail'!$D$5:$D$3004,MATCH(I516,'Ordres de travail'!$A$5:$A$3004,0)),""))</f>
        <v/>
      </c>
      <c r="K516" s="9">
        <f>IF(D516="","",IFERROR(INDEX('Stock pièces'!$D$5:$D$404,MATCH(D516,'Stock pièces'!$A$5:$A$404,0)),""))</f>
        <v/>
      </c>
      <c r="L516" s="7" t="n"/>
      <c r="M516" s="7" t="n"/>
    </row>
    <row r="517">
      <c r="A517" s="7" t="inlineStr">
        <is>
          <t>MV-00513</t>
        </is>
      </c>
      <c r="B517" s="75" t="n">
        <v>45947.37152777778</v>
      </c>
      <c r="C517" s="7" t="inlineStr">
        <is>
          <t>Retour</t>
        </is>
      </c>
      <c r="D517" s="7" t="inlineStr">
        <is>
          <t>PD-0055</t>
        </is>
      </c>
      <c r="E517" s="9">
        <f>IF(D517="","",IFERROR(INDEX('Stock pièces'!$B$5:$B$404,MATCH(D517,'Stock pièces'!$A$5:$A$404,0)),"Réf. inconnue"))</f>
        <v/>
      </c>
      <c r="F517" s="67" t="n">
        <v>1</v>
      </c>
      <c r="G517" s="81">
        <f>IF(D517="","",IFERROR(INDEX('Stock pièces'!$I$5:$I$404,MATCH(D517,'Stock pièces'!$A$5:$A$404,0)),0))</f>
        <v/>
      </c>
      <c r="H517" s="81">
        <f>IF(D517="","",N(F517)*N(G517))</f>
        <v/>
      </c>
      <c r="I517" s="7" t="inlineStr">
        <is>
          <t>OT-2025-0644</t>
        </is>
      </c>
      <c r="J517" s="9">
        <f>IF(I517="","",IFERROR(INDEX('Ordres de travail'!$D$5:$D$3004,MATCH(I517,'Ordres de travail'!$A$5:$A$3004,0)),""))</f>
        <v/>
      </c>
      <c r="K517" s="9">
        <f>IF(D517="","",IFERROR(INDEX('Stock pièces'!$D$5:$D$404,MATCH(D517,'Stock pièces'!$A$5:$A$404,0)),""))</f>
        <v/>
      </c>
      <c r="L517" s="7" t="n"/>
      <c r="M517" s="7" t="inlineStr">
        <is>
          <t>Pièce non utilisée</t>
        </is>
      </c>
    </row>
    <row r="518">
      <c r="A518" s="7" t="inlineStr">
        <is>
          <t>MV-00514</t>
        </is>
      </c>
      <c r="B518" s="75" t="n">
        <v>45947.4375</v>
      </c>
      <c r="C518" s="7" t="inlineStr">
        <is>
          <t>Sortie</t>
        </is>
      </c>
      <c r="D518" s="7" t="inlineStr">
        <is>
          <t>PD-0055</t>
        </is>
      </c>
      <c r="E518" s="9">
        <f>IF(D518="","",IFERROR(INDEX('Stock pièces'!$B$5:$B$404,MATCH(D518,'Stock pièces'!$A$5:$A$404,0)),"Réf. inconnue"))</f>
        <v/>
      </c>
      <c r="F518" s="67" t="n">
        <v>1</v>
      </c>
      <c r="G518" s="81">
        <f>IF(D518="","",IFERROR(INDEX('Stock pièces'!$I$5:$I$404,MATCH(D518,'Stock pièces'!$A$5:$A$404,0)),0))</f>
        <v/>
      </c>
      <c r="H518" s="81">
        <f>IF(D518="","",N(F518)*N(G518))</f>
        <v/>
      </c>
      <c r="I518" s="7" t="inlineStr">
        <is>
          <t>OT-2025-0649</t>
        </is>
      </c>
      <c r="J518" s="9">
        <f>IF(I518="","",IFERROR(INDEX('Ordres de travail'!$D$5:$D$3004,MATCH(I518,'Ordres de travail'!$A$5:$A$3004,0)),""))</f>
        <v/>
      </c>
      <c r="K518" s="9">
        <f>IF(D518="","",IFERROR(INDEX('Stock pièces'!$D$5:$D$404,MATCH(D518,'Stock pièces'!$A$5:$A$404,0)),""))</f>
        <v/>
      </c>
      <c r="L518" s="7" t="n"/>
      <c r="M518" s="7" t="n"/>
    </row>
    <row r="519">
      <c r="A519" s="7" t="inlineStr">
        <is>
          <t>MV-00515</t>
        </is>
      </c>
      <c r="B519" s="75" t="n">
        <v>45947.53055555555</v>
      </c>
      <c r="C519" s="7" t="inlineStr">
        <is>
          <t>Sortie</t>
        </is>
      </c>
      <c r="D519" s="7" t="inlineStr">
        <is>
          <t>PD-0033</t>
        </is>
      </c>
      <c r="E519" s="9">
        <f>IF(D519="","",IFERROR(INDEX('Stock pièces'!$B$5:$B$404,MATCH(D519,'Stock pièces'!$A$5:$A$404,0)),"Réf. inconnue"))</f>
        <v/>
      </c>
      <c r="F519" s="67" t="n">
        <v>1</v>
      </c>
      <c r="G519" s="81">
        <f>IF(D519="","",IFERROR(INDEX('Stock pièces'!$I$5:$I$404,MATCH(D519,'Stock pièces'!$A$5:$A$404,0)),0))</f>
        <v/>
      </c>
      <c r="H519" s="81">
        <f>IF(D519="","",N(F519)*N(G519))</f>
        <v/>
      </c>
      <c r="I519" s="7" t="inlineStr">
        <is>
          <t>OT-2025-0648</t>
        </is>
      </c>
      <c r="J519" s="9">
        <f>IF(I519="","",IFERROR(INDEX('Ordres de travail'!$D$5:$D$3004,MATCH(I519,'Ordres de travail'!$A$5:$A$3004,0)),""))</f>
        <v/>
      </c>
      <c r="K519" s="9">
        <f>IF(D519="","",IFERROR(INDEX('Stock pièces'!$D$5:$D$404,MATCH(D519,'Stock pièces'!$A$5:$A$404,0)),""))</f>
        <v/>
      </c>
      <c r="L519" s="7" t="n"/>
      <c r="M519" s="7" t="n"/>
    </row>
    <row r="520">
      <c r="A520" s="7" t="inlineStr">
        <is>
          <t>MV-00516</t>
        </is>
      </c>
      <c r="B520" s="75" t="n">
        <v>45947.53055555555</v>
      </c>
      <c r="C520" s="7" t="inlineStr">
        <is>
          <t>Sortie</t>
        </is>
      </c>
      <c r="D520" s="7" t="inlineStr">
        <is>
          <t>PD-0034</t>
        </is>
      </c>
      <c r="E520" s="9">
        <f>IF(D520="","",IFERROR(INDEX('Stock pièces'!$B$5:$B$404,MATCH(D520,'Stock pièces'!$A$5:$A$404,0)),"Réf. inconnue"))</f>
        <v/>
      </c>
      <c r="F520" s="67" t="n">
        <v>1</v>
      </c>
      <c r="G520" s="81">
        <f>IF(D520="","",IFERROR(INDEX('Stock pièces'!$I$5:$I$404,MATCH(D520,'Stock pièces'!$A$5:$A$404,0)),0))</f>
        <v/>
      </c>
      <c r="H520" s="81">
        <f>IF(D520="","",N(F520)*N(G520))</f>
        <v/>
      </c>
      <c r="I520" s="7" t="inlineStr">
        <is>
          <t>OT-2025-0648</t>
        </is>
      </c>
      <c r="J520" s="9">
        <f>IF(I520="","",IFERROR(INDEX('Ordres de travail'!$D$5:$D$3004,MATCH(I520,'Ordres de travail'!$A$5:$A$3004,0)),""))</f>
        <v/>
      </c>
      <c r="K520" s="9">
        <f>IF(D520="","",IFERROR(INDEX('Stock pièces'!$D$5:$D$404,MATCH(D520,'Stock pièces'!$A$5:$A$404,0)),""))</f>
        <v/>
      </c>
      <c r="L520" s="7" t="n"/>
      <c r="M520" s="7" t="n"/>
    </row>
    <row r="521">
      <c r="A521" s="7" t="inlineStr">
        <is>
          <t>MV-00517</t>
        </is>
      </c>
      <c r="B521" s="75" t="n">
        <v>45947.96666666667</v>
      </c>
      <c r="C521" s="7" t="inlineStr">
        <is>
          <t>Sortie</t>
        </is>
      </c>
      <c r="D521" s="7" t="inlineStr">
        <is>
          <t>PD-0048</t>
        </is>
      </c>
      <c r="E521" s="9">
        <f>IF(D521="","",IFERROR(INDEX('Stock pièces'!$B$5:$B$404,MATCH(D521,'Stock pièces'!$A$5:$A$404,0)),"Réf. inconnue"))</f>
        <v/>
      </c>
      <c r="F521" s="67" t="n">
        <v>1</v>
      </c>
      <c r="G521" s="81">
        <f>IF(D521="","",IFERROR(INDEX('Stock pièces'!$I$5:$I$404,MATCH(D521,'Stock pièces'!$A$5:$A$404,0)),0))</f>
        <v/>
      </c>
      <c r="H521" s="81">
        <f>IF(D521="","",N(F521)*N(G521))</f>
        <v/>
      </c>
      <c r="I521" s="7" t="inlineStr">
        <is>
          <t>OT-2025-0643</t>
        </is>
      </c>
      <c r="J521" s="9">
        <f>IF(I521="","",IFERROR(INDEX('Ordres de travail'!$D$5:$D$3004,MATCH(I521,'Ordres de travail'!$A$5:$A$3004,0)),""))</f>
        <v/>
      </c>
      <c r="K521" s="9">
        <f>IF(D521="","",IFERROR(INDEX('Stock pièces'!$D$5:$D$404,MATCH(D521,'Stock pièces'!$A$5:$A$404,0)),""))</f>
        <v/>
      </c>
      <c r="L521" s="7" t="n"/>
      <c r="M521" s="7" t="n"/>
    </row>
    <row r="522">
      <c r="A522" s="7" t="inlineStr">
        <is>
          <t>MV-00518</t>
        </is>
      </c>
      <c r="B522" s="75" t="n">
        <v>45947.96666666667</v>
      </c>
      <c r="C522" s="7" t="inlineStr">
        <is>
          <t>Sortie</t>
        </is>
      </c>
      <c r="D522" s="7" t="inlineStr">
        <is>
          <t>PD-0050</t>
        </is>
      </c>
      <c r="E522" s="9">
        <f>IF(D522="","",IFERROR(INDEX('Stock pièces'!$B$5:$B$404,MATCH(D522,'Stock pièces'!$A$5:$A$404,0)),"Réf. inconnue"))</f>
        <v/>
      </c>
      <c r="F522" s="67" t="n">
        <v>1</v>
      </c>
      <c r="G522" s="81">
        <f>IF(D522="","",IFERROR(INDEX('Stock pièces'!$I$5:$I$404,MATCH(D522,'Stock pièces'!$A$5:$A$404,0)),0))</f>
        <v/>
      </c>
      <c r="H522" s="81">
        <f>IF(D522="","",N(F522)*N(G522))</f>
        <v/>
      </c>
      <c r="I522" s="7" t="inlineStr">
        <is>
          <t>OT-2025-0643</t>
        </is>
      </c>
      <c r="J522" s="9">
        <f>IF(I522="","",IFERROR(INDEX('Ordres de travail'!$D$5:$D$3004,MATCH(I522,'Ordres de travail'!$A$5:$A$3004,0)),""))</f>
        <v/>
      </c>
      <c r="K522" s="9">
        <f>IF(D522="","",IFERROR(INDEX('Stock pièces'!$D$5:$D$404,MATCH(D522,'Stock pièces'!$A$5:$A$404,0)),""))</f>
        <v/>
      </c>
      <c r="L522" s="7" t="n"/>
      <c r="M522" s="7" t="n"/>
    </row>
    <row r="523">
      <c r="A523" s="7" t="inlineStr">
        <is>
          <t>MV-00519</t>
        </is>
      </c>
      <c r="B523" s="75" t="n">
        <v>45950.41666666666</v>
      </c>
      <c r="C523" s="7" t="inlineStr">
        <is>
          <t>Entrée</t>
        </is>
      </c>
      <c r="D523" s="7" t="inlineStr">
        <is>
          <t>PD-0004</t>
        </is>
      </c>
      <c r="E523" s="9">
        <f>IF(D523="","",IFERROR(INDEX('Stock pièces'!$B$5:$B$404,MATCH(D523,'Stock pièces'!$A$5:$A$404,0)),"Réf. inconnue"))</f>
        <v/>
      </c>
      <c r="F523" s="67" t="n">
        <v>1</v>
      </c>
      <c r="G523" s="81">
        <f>IF(D523="","",IFERROR(INDEX('Stock pièces'!$I$5:$I$404,MATCH(D523,'Stock pièces'!$A$5:$A$404,0)),0))</f>
        <v/>
      </c>
      <c r="H523" s="81">
        <f>IF(D523="","",N(F523)*N(G523))</f>
        <v/>
      </c>
      <c r="I523" s="7" t="n"/>
      <c r="J523" s="9">
        <f>IF(I523="","",IFERROR(INDEX('Ordres de travail'!$D$5:$D$3004,MATCH(I523,'Ordres de travail'!$A$5:$A$3004,0)),""))</f>
        <v/>
      </c>
      <c r="K523" s="9">
        <f>IF(D523="","",IFERROR(INDEX('Stock pièces'!$D$5:$D$404,MATCH(D523,'Stock pièces'!$A$5:$A$404,0)),""))</f>
        <v/>
      </c>
      <c r="L523" s="7" t="inlineStr">
        <is>
          <t>CMD-24147</t>
        </is>
      </c>
      <c r="M523" s="7" t="inlineStr">
        <is>
          <t>Réception commande réappro</t>
        </is>
      </c>
    </row>
    <row r="524">
      <c r="A524" s="7" t="inlineStr">
        <is>
          <t>MV-00520</t>
        </is>
      </c>
      <c r="B524" s="75" t="n">
        <v>45950.41666666666</v>
      </c>
      <c r="C524" s="7" t="inlineStr">
        <is>
          <t>Entrée</t>
        </is>
      </c>
      <c r="D524" s="7" t="inlineStr">
        <is>
          <t>PD-0019</t>
        </is>
      </c>
      <c r="E524" s="9">
        <f>IF(D524="","",IFERROR(INDEX('Stock pièces'!$B$5:$B$404,MATCH(D524,'Stock pièces'!$A$5:$A$404,0)),"Réf. inconnue"))</f>
        <v/>
      </c>
      <c r="F524" s="67" t="n">
        <v>17</v>
      </c>
      <c r="G524" s="81">
        <f>IF(D524="","",IFERROR(INDEX('Stock pièces'!$I$5:$I$404,MATCH(D524,'Stock pièces'!$A$5:$A$404,0)),0))</f>
        <v/>
      </c>
      <c r="H524" s="81">
        <f>IF(D524="","",N(F524)*N(G524))</f>
        <v/>
      </c>
      <c r="I524" s="7" t="n"/>
      <c r="J524" s="9">
        <f>IF(I524="","",IFERROR(INDEX('Ordres de travail'!$D$5:$D$3004,MATCH(I524,'Ordres de travail'!$A$5:$A$3004,0)),""))</f>
        <v/>
      </c>
      <c r="K524" s="9">
        <f>IF(D524="","",IFERROR(INDEX('Stock pièces'!$D$5:$D$404,MATCH(D524,'Stock pièces'!$A$5:$A$404,0)),""))</f>
        <v/>
      </c>
      <c r="L524" s="7" t="inlineStr">
        <is>
          <t>CMD-24152</t>
        </is>
      </c>
      <c r="M524" s="7" t="inlineStr">
        <is>
          <t>Réception commande réappro</t>
        </is>
      </c>
    </row>
    <row r="525">
      <c r="A525" s="7" t="inlineStr">
        <is>
          <t>MV-00521</t>
        </is>
      </c>
      <c r="B525" s="75" t="n">
        <v>45950.41666666666</v>
      </c>
      <c r="C525" s="7" t="inlineStr">
        <is>
          <t>Entrée</t>
        </is>
      </c>
      <c r="D525" s="7" t="inlineStr">
        <is>
          <t>PD-0055</t>
        </is>
      </c>
      <c r="E525" s="9">
        <f>IF(D525="","",IFERROR(INDEX('Stock pièces'!$B$5:$B$404,MATCH(D525,'Stock pièces'!$A$5:$A$404,0)),"Réf. inconnue"))</f>
        <v/>
      </c>
      <c r="F525" s="67" t="n">
        <v>6</v>
      </c>
      <c r="G525" s="81">
        <f>IF(D525="","",IFERROR(INDEX('Stock pièces'!$I$5:$I$404,MATCH(D525,'Stock pièces'!$A$5:$A$404,0)),0))</f>
        <v/>
      </c>
      <c r="H525" s="81">
        <f>IF(D525="","",N(F525)*N(G525))</f>
        <v/>
      </c>
      <c r="I525" s="7" t="n"/>
      <c r="J525" s="9">
        <f>IF(I525="","",IFERROR(INDEX('Ordres de travail'!$D$5:$D$3004,MATCH(I525,'Ordres de travail'!$A$5:$A$3004,0)),""))</f>
        <v/>
      </c>
      <c r="K525" s="9">
        <f>IF(D525="","",IFERROR(INDEX('Stock pièces'!$D$5:$D$404,MATCH(D525,'Stock pièces'!$A$5:$A$404,0)),""))</f>
        <v/>
      </c>
      <c r="L525" s="7" t="inlineStr">
        <is>
          <t>CMD-24153</t>
        </is>
      </c>
      <c r="M525" s="7" t="inlineStr">
        <is>
          <t>Réception commande réappro</t>
        </is>
      </c>
    </row>
    <row r="526">
      <c r="A526" s="7" t="inlineStr">
        <is>
          <t>MV-00522</t>
        </is>
      </c>
      <c r="B526" s="75" t="n">
        <v>45951.05138888889</v>
      </c>
      <c r="C526" s="7" t="inlineStr">
        <is>
          <t>Sortie</t>
        </is>
      </c>
      <c r="D526" s="7" t="inlineStr">
        <is>
          <t>PD-0068</t>
        </is>
      </c>
      <c r="E526" s="9">
        <f>IF(D526="","",IFERROR(INDEX('Stock pièces'!$B$5:$B$404,MATCH(D526,'Stock pièces'!$A$5:$A$404,0)),"Réf. inconnue"))</f>
        <v/>
      </c>
      <c r="F526" s="67" t="n">
        <v>1</v>
      </c>
      <c r="G526" s="81">
        <f>IF(D526="","",IFERROR(INDEX('Stock pièces'!$I$5:$I$404,MATCH(D526,'Stock pièces'!$A$5:$A$404,0)),0))</f>
        <v/>
      </c>
      <c r="H526" s="81">
        <f>IF(D526="","",N(F526)*N(G526))</f>
        <v/>
      </c>
      <c r="I526" s="7" t="inlineStr">
        <is>
          <t>OT-2025-0656</t>
        </is>
      </c>
      <c r="J526" s="9">
        <f>IF(I526="","",IFERROR(INDEX('Ordres de travail'!$D$5:$D$3004,MATCH(I526,'Ordres de travail'!$A$5:$A$3004,0)),""))</f>
        <v/>
      </c>
      <c r="K526" s="9">
        <f>IF(D526="","",IFERROR(INDEX('Stock pièces'!$D$5:$D$404,MATCH(D526,'Stock pièces'!$A$5:$A$404,0)),""))</f>
        <v/>
      </c>
      <c r="L526" s="7" t="n"/>
      <c r="M526" s="7" t="n"/>
    </row>
    <row r="527">
      <c r="A527" s="7" t="inlineStr">
        <is>
          <t>MV-00523</t>
        </is>
      </c>
      <c r="B527" s="75" t="n">
        <v>45951.05138888889</v>
      </c>
      <c r="C527" s="7" t="inlineStr">
        <is>
          <t>Sortie</t>
        </is>
      </c>
      <c r="D527" s="7" t="inlineStr">
        <is>
          <t>PD-0069</t>
        </is>
      </c>
      <c r="E527" s="9">
        <f>IF(D527="","",IFERROR(INDEX('Stock pièces'!$B$5:$B$404,MATCH(D527,'Stock pièces'!$A$5:$A$404,0)),"Réf. inconnue"))</f>
        <v/>
      </c>
      <c r="F527" s="67" t="n">
        <v>1</v>
      </c>
      <c r="G527" s="81">
        <f>IF(D527="","",IFERROR(INDEX('Stock pièces'!$I$5:$I$404,MATCH(D527,'Stock pièces'!$A$5:$A$404,0)),0))</f>
        <v/>
      </c>
      <c r="H527" s="81">
        <f>IF(D527="","",N(F527)*N(G527))</f>
        <v/>
      </c>
      <c r="I527" s="7" t="inlineStr">
        <is>
          <t>OT-2025-0656</t>
        </is>
      </c>
      <c r="J527" s="9">
        <f>IF(I527="","",IFERROR(INDEX('Ordres de travail'!$D$5:$D$3004,MATCH(I527,'Ordres de travail'!$A$5:$A$3004,0)),""))</f>
        <v/>
      </c>
      <c r="K527" s="9">
        <f>IF(D527="","",IFERROR(INDEX('Stock pièces'!$D$5:$D$404,MATCH(D527,'Stock pièces'!$A$5:$A$404,0)),""))</f>
        <v/>
      </c>
      <c r="L527" s="7" t="n"/>
      <c r="M527" s="7" t="n"/>
    </row>
    <row r="528">
      <c r="A528" s="7" t="inlineStr">
        <is>
          <t>MV-00524</t>
        </is>
      </c>
      <c r="B528" s="75" t="n">
        <v>45951.34861111111</v>
      </c>
      <c r="C528" s="7" t="inlineStr">
        <is>
          <t>Sortie</t>
        </is>
      </c>
      <c r="D528" s="7" t="inlineStr">
        <is>
          <t>PD-0041</t>
        </is>
      </c>
      <c r="E528" s="9">
        <f>IF(D528="","",IFERROR(INDEX('Stock pièces'!$B$5:$B$404,MATCH(D528,'Stock pièces'!$A$5:$A$404,0)),"Réf. inconnue"))</f>
        <v/>
      </c>
      <c r="F528" s="67" t="n">
        <v>1</v>
      </c>
      <c r="G528" s="81">
        <f>IF(D528="","",IFERROR(INDEX('Stock pièces'!$I$5:$I$404,MATCH(D528,'Stock pièces'!$A$5:$A$404,0)),0))</f>
        <v/>
      </c>
      <c r="H528" s="81">
        <f>IF(D528="","",N(F528)*N(G528))</f>
        <v/>
      </c>
      <c r="I528" s="7" t="inlineStr">
        <is>
          <t>OT-2025-0657</t>
        </is>
      </c>
      <c r="J528" s="9">
        <f>IF(I528="","",IFERROR(INDEX('Ordres de travail'!$D$5:$D$3004,MATCH(I528,'Ordres de travail'!$A$5:$A$3004,0)),""))</f>
        <v/>
      </c>
      <c r="K528" s="9">
        <f>IF(D528="","",IFERROR(INDEX('Stock pièces'!$D$5:$D$404,MATCH(D528,'Stock pièces'!$A$5:$A$404,0)),""))</f>
        <v/>
      </c>
      <c r="L528" s="7" t="n"/>
      <c r="M528" s="7" t="n"/>
    </row>
    <row r="529">
      <c r="A529" s="7" t="inlineStr">
        <is>
          <t>MV-00525</t>
        </is>
      </c>
      <c r="B529" s="75" t="n">
        <v>45952.41666666666</v>
      </c>
      <c r="C529" s="7" t="inlineStr">
        <is>
          <t>Entrée</t>
        </is>
      </c>
      <c r="D529" s="7" t="inlineStr">
        <is>
          <t>PD-0072</t>
        </is>
      </c>
      <c r="E529" s="9">
        <f>IF(D529="","",IFERROR(INDEX('Stock pièces'!$B$5:$B$404,MATCH(D529,'Stock pièces'!$A$5:$A$404,0)),"Réf. inconnue"))</f>
        <v/>
      </c>
      <c r="F529" s="67" t="n">
        <v>4</v>
      </c>
      <c r="G529" s="81">
        <f>IF(D529="","",IFERROR(INDEX('Stock pièces'!$I$5:$I$404,MATCH(D529,'Stock pièces'!$A$5:$A$404,0)),0))</f>
        <v/>
      </c>
      <c r="H529" s="81">
        <f>IF(D529="","",N(F529)*N(G529))</f>
        <v/>
      </c>
      <c r="I529" s="7" t="n"/>
      <c r="J529" s="9">
        <f>IF(I529="","",IFERROR(INDEX('Ordres de travail'!$D$5:$D$3004,MATCH(I529,'Ordres de travail'!$A$5:$A$3004,0)),""))</f>
        <v/>
      </c>
      <c r="K529" s="9">
        <f>IF(D529="","",IFERROR(INDEX('Stock pièces'!$D$5:$D$404,MATCH(D529,'Stock pièces'!$A$5:$A$404,0)),""))</f>
        <v/>
      </c>
      <c r="L529" s="7" t="inlineStr">
        <is>
          <t>CMD-24151</t>
        </is>
      </c>
      <c r="M529" s="7" t="inlineStr">
        <is>
          <t>Réception commande réappro</t>
        </is>
      </c>
    </row>
    <row r="530">
      <c r="A530" s="7" t="inlineStr">
        <is>
          <t>MV-00526</t>
        </is>
      </c>
      <c r="B530" s="75" t="n">
        <v>45952.41666666666</v>
      </c>
      <c r="C530" s="7" t="inlineStr">
        <is>
          <t>Entrée</t>
        </is>
      </c>
      <c r="D530" s="7" t="inlineStr">
        <is>
          <t>PD-0050</t>
        </is>
      </c>
      <c r="E530" s="9">
        <f>IF(D530="","",IFERROR(INDEX('Stock pièces'!$B$5:$B$404,MATCH(D530,'Stock pièces'!$A$5:$A$404,0)),"Réf. inconnue"))</f>
        <v/>
      </c>
      <c r="F530" s="67" t="n">
        <v>10</v>
      </c>
      <c r="G530" s="81">
        <f>IF(D530="","",IFERROR(INDEX('Stock pièces'!$I$5:$I$404,MATCH(D530,'Stock pièces'!$A$5:$A$404,0)),0))</f>
        <v/>
      </c>
      <c r="H530" s="81">
        <f>IF(D530="","",N(F530)*N(G530))</f>
        <v/>
      </c>
      <c r="I530" s="7" t="n"/>
      <c r="J530" s="9">
        <f>IF(I530="","",IFERROR(INDEX('Ordres de travail'!$D$5:$D$3004,MATCH(I530,'Ordres de travail'!$A$5:$A$3004,0)),""))</f>
        <v/>
      </c>
      <c r="K530" s="9">
        <f>IF(D530="","",IFERROR(INDEX('Stock pièces'!$D$5:$D$404,MATCH(D530,'Stock pièces'!$A$5:$A$404,0)),""))</f>
        <v/>
      </c>
      <c r="L530" s="7" t="inlineStr">
        <is>
          <t>CMD-24158</t>
        </is>
      </c>
      <c r="M530" s="7" t="inlineStr">
        <is>
          <t>Réception commande réappro</t>
        </is>
      </c>
    </row>
    <row r="531">
      <c r="A531" s="7" t="inlineStr">
        <is>
          <t>MV-00527</t>
        </is>
      </c>
      <c r="B531" s="75" t="n">
        <v>45953.36944444444</v>
      </c>
      <c r="C531" s="7" t="inlineStr">
        <is>
          <t>Sortie</t>
        </is>
      </c>
      <c r="D531" s="7" t="inlineStr">
        <is>
          <t>PD-0005</t>
        </is>
      </c>
      <c r="E531" s="9">
        <f>IF(D531="","",IFERROR(INDEX('Stock pièces'!$B$5:$B$404,MATCH(D531,'Stock pièces'!$A$5:$A$404,0)),"Réf. inconnue"))</f>
        <v/>
      </c>
      <c r="F531" s="67" t="n">
        <v>2</v>
      </c>
      <c r="G531" s="81">
        <f>IF(D531="","",IFERROR(INDEX('Stock pièces'!$I$5:$I$404,MATCH(D531,'Stock pièces'!$A$5:$A$404,0)),0))</f>
        <v/>
      </c>
      <c r="H531" s="81">
        <f>IF(D531="","",N(F531)*N(G531))</f>
        <v/>
      </c>
      <c r="I531" s="7" t="inlineStr">
        <is>
          <t>OT-2025-0664</t>
        </is>
      </c>
      <c r="J531" s="9">
        <f>IF(I531="","",IFERROR(INDEX('Ordres de travail'!$D$5:$D$3004,MATCH(I531,'Ordres de travail'!$A$5:$A$3004,0)),""))</f>
        <v/>
      </c>
      <c r="K531" s="9">
        <f>IF(D531="","",IFERROR(INDEX('Stock pièces'!$D$5:$D$404,MATCH(D531,'Stock pièces'!$A$5:$A$404,0)),""))</f>
        <v/>
      </c>
      <c r="L531" s="7" t="n"/>
      <c r="M531" s="7" t="n"/>
    </row>
    <row r="532">
      <c r="A532" s="7" t="inlineStr">
        <is>
          <t>MV-00528</t>
        </is>
      </c>
      <c r="B532" s="75" t="n">
        <v>45953.90208333333</v>
      </c>
      <c r="C532" s="7" t="inlineStr">
        <is>
          <t>Sortie</t>
        </is>
      </c>
      <c r="D532" s="7" t="inlineStr">
        <is>
          <t>PD-0067</t>
        </is>
      </c>
      <c r="E532" s="9">
        <f>IF(D532="","",IFERROR(INDEX('Stock pièces'!$B$5:$B$404,MATCH(D532,'Stock pièces'!$A$5:$A$404,0)),"Réf. inconnue"))</f>
        <v/>
      </c>
      <c r="F532" s="67" t="n">
        <v>2</v>
      </c>
      <c r="G532" s="81">
        <f>IF(D532="","",IFERROR(INDEX('Stock pièces'!$I$5:$I$404,MATCH(D532,'Stock pièces'!$A$5:$A$404,0)),0))</f>
        <v/>
      </c>
      <c r="H532" s="81">
        <f>IF(D532="","",N(F532)*N(G532))</f>
        <v/>
      </c>
      <c r="I532" s="7" t="inlineStr">
        <is>
          <t>OT-2025-0665</t>
        </is>
      </c>
      <c r="J532" s="9">
        <f>IF(I532="","",IFERROR(INDEX('Ordres de travail'!$D$5:$D$3004,MATCH(I532,'Ordres de travail'!$A$5:$A$3004,0)),""))</f>
        <v/>
      </c>
      <c r="K532" s="9">
        <f>IF(D532="","",IFERROR(INDEX('Stock pièces'!$D$5:$D$404,MATCH(D532,'Stock pièces'!$A$5:$A$404,0)),""))</f>
        <v/>
      </c>
      <c r="L532" s="7" t="n"/>
      <c r="M532" s="7" t="n"/>
    </row>
    <row r="533">
      <c r="A533" s="7" t="inlineStr">
        <is>
          <t>MV-00529</t>
        </is>
      </c>
      <c r="B533" s="75" t="n">
        <v>45954.36944444444</v>
      </c>
      <c r="C533" s="7" t="inlineStr">
        <is>
          <t>Retour</t>
        </is>
      </c>
      <c r="D533" s="7" t="inlineStr">
        <is>
          <t>PD-0005</t>
        </is>
      </c>
      <c r="E533" s="9">
        <f>IF(D533="","",IFERROR(INDEX('Stock pièces'!$B$5:$B$404,MATCH(D533,'Stock pièces'!$A$5:$A$404,0)),"Réf. inconnue"))</f>
        <v/>
      </c>
      <c r="F533" s="67" t="n">
        <v>1</v>
      </c>
      <c r="G533" s="81">
        <f>IF(D533="","",IFERROR(INDEX('Stock pièces'!$I$5:$I$404,MATCH(D533,'Stock pièces'!$A$5:$A$404,0)),0))</f>
        <v/>
      </c>
      <c r="H533" s="81">
        <f>IF(D533="","",N(F533)*N(G533))</f>
        <v/>
      </c>
      <c r="I533" s="7" t="inlineStr">
        <is>
          <t>OT-2025-0664</t>
        </is>
      </c>
      <c r="J533" s="9">
        <f>IF(I533="","",IFERROR(INDEX('Ordres de travail'!$D$5:$D$3004,MATCH(I533,'Ordres de travail'!$A$5:$A$3004,0)),""))</f>
        <v/>
      </c>
      <c r="K533" s="9">
        <f>IF(D533="","",IFERROR(INDEX('Stock pièces'!$D$5:$D$404,MATCH(D533,'Stock pièces'!$A$5:$A$404,0)),""))</f>
        <v/>
      </c>
      <c r="L533" s="7" t="n"/>
      <c r="M533" s="7" t="inlineStr">
        <is>
          <t>Pièce non utilisée</t>
        </is>
      </c>
    </row>
    <row r="534">
      <c r="A534" s="7" t="inlineStr">
        <is>
          <t>MV-00530</t>
        </is>
      </c>
      <c r="B534" s="75" t="n">
        <v>45954.58263888889</v>
      </c>
      <c r="C534" s="7" t="inlineStr">
        <is>
          <t>Sortie</t>
        </is>
      </c>
      <c r="D534" s="7" t="inlineStr">
        <is>
          <t>PD-0052</t>
        </is>
      </c>
      <c r="E534" s="9">
        <f>IF(D534="","",IFERROR(INDEX('Stock pièces'!$B$5:$B$404,MATCH(D534,'Stock pièces'!$A$5:$A$404,0)),"Réf. inconnue"))</f>
        <v/>
      </c>
      <c r="F534" s="67" t="n">
        <v>1</v>
      </c>
      <c r="G534" s="81">
        <f>IF(D534="","",IFERROR(INDEX('Stock pièces'!$I$5:$I$404,MATCH(D534,'Stock pièces'!$A$5:$A$404,0)),0))</f>
        <v/>
      </c>
      <c r="H534" s="81">
        <f>IF(D534="","",N(F534)*N(G534))</f>
        <v/>
      </c>
      <c r="I534" s="7" t="inlineStr">
        <is>
          <t>OT-2025-0667</t>
        </is>
      </c>
      <c r="J534" s="9">
        <f>IF(I534="","",IFERROR(INDEX('Ordres de travail'!$D$5:$D$3004,MATCH(I534,'Ordres de travail'!$A$5:$A$3004,0)),""))</f>
        <v/>
      </c>
      <c r="K534" s="9">
        <f>IF(D534="","",IFERROR(INDEX('Stock pièces'!$D$5:$D$404,MATCH(D534,'Stock pièces'!$A$5:$A$404,0)),""))</f>
        <v/>
      </c>
      <c r="L534" s="7" t="n"/>
      <c r="M534" s="7" t="n"/>
    </row>
    <row r="535">
      <c r="A535" s="7" t="inlineStr">
        <is>
          <t>MV-00531</t>
        </is>
      </c>
      <c r="B535" s="75" t="n">
        <v>45954.90208333333</v>
      </c>
      <c r="C535" s="7" t="inlineStr">
        <is>
          <t>Retour</t>
        </is>
      </c>
      <c r="D535" s="7" t="inlineStr">
        <is>
          <t>PD-0067</t>
        </is>
      </c>
      <c r="E535" s="9">
        <f>IF(D535="","",IFERROR(INDEX('Stock pièces'!$B$5:$B$404,MATCH(D535,'Stock pièces'!$A$5:$A$404,0)),"Réf. inconnue"))</f>
        <v/>
      </c>
      <c r="F535" s="67" t="n">
        <v>1</v>
      </c>
      <c r="G535" s="81">
        <f>IF(D535="","",IFERROR(INDEX('Stock pièces'!$I$5:$I$404,MATCH(D535,'Stock pièces'!$A$5:$A$404,0)),0))</f>
        <v/>
      </c>
      <c r="H535" s="81">
        <f>IF(D535="","",N(F535)*N(G535))</f>
        <v/>
      </c>
      <c r="I535" s="7" t="inlineStr">
        <is>
          <t>OT-2025-0665</t>
        </is>
      </c>
      <c r="J535" s="9">
        <f>IF(I535="","",IFERROR(INDEX('Ordres de travail'!$D$5:$D$3004,MATCH(I535,'Ordres de travail'!$A$5:$A$3004,0)),""))</f>
        <v/>
      </c>
      <c r="K535" s="9">
        <f>IF(D535="","",IFERROR(INDEX('Stock pièces'!$D$5:$D$404,MATCH(D535,'Stock pièces'!$A$5:$A$404,0)),""))</f>
        <v/>
      </c>
      <c r="L535" s="7" t="n"/>
      <c r="M535" s="7" t="inlineStr">
        <is>
          <t>Pièce non utilisée</t>
        </is>
      </c>
    </row>
    <row r="536">
      <c r="A536" s="7" t="inlineStr">
        <is>
          <t>MV-00532</t>
        </is>
      </c>
      <c r="B536" s="75" t="n">
        <v>45955.86666666667</v>
      </c>
      <c r="C536" s="7" t="inlineStr">
        <is>
          <t>Sortie</t>
        </is>
      </c>
      <c r="D536" s="7" t="inlineStr">
        <is>
          <t>PD-0038</t>
        </is>
      </c>
      <c r="E536" s="9">
        <f>IF(D536="","",IFERROR(INDEX('Stock pièces'!$B$5:$B$404,MATCH(D536,'Stock pièces'!$A$5:$A$404,0)),"Réf. inconnue"))</f>
        <v/>
      </c>
      <c r="F536" s="67" t="n">
        <v>1</v>
      </c>
      <c r="G536" s="81">
        <f>IF(D536="","",IFERROR(INDEX('Stock pièces'!$I$5:$I$404,MATCH(D536,'Stock pièces'!$A$5:$A$404,0)),0))</f>
        <v/>
      </c>
      <c r="H536" s="81">
        <f>IF(D536="","",N(F536)*N(G536))</f>
        <v/>
      </c>
      <c r="I536" s="7" t="inlineStr">
        <is>
          <t>OT-2025-0668</t>
        </is>
      </c>
      <c r="J536" s="9">
        <f>IF(I536="","",IFERROR(INDEX('Ordres de travail'!$D$5:$D$3004,MATCH(I536,'Ordres de travail'!$A$5:$A$3004,0)),""))</f>
        <v/>
      </c>
      <c r="K536" s="9">
        <f>IF(D536="","",IFERROR(INDEX('Stock pièces'!$D$5:$D$404,MATCH(D536,'Stock pièces'!$A$5:$A$404,0)),""))</f>
        <v/>
      </c>
      <c r="L536" s="7" t="n"/>
      <c r="M536" s="7" t="n"/>
    </row>
    <row r="537">
      <c r="A537" s="7" t="inlineStr">
        <is>
          <t>MV-00533</t>
        </is>
      </c>
      <c r="B537" s="75" t="n">
        <v>45957.41666666666</v>
      </c>
      <c r="C537" s="7" t="inlineStr">
        <is>
          <t>Entrée</t>
        </is>
      </c>
      <c r="D537" s="7" t="inlineStr">
        <is>
          <t>PD-0014</t>
        </is>
      </c>
      <c r="E537" s="9">
        <f>IF(D537="","",IFERROR(INDEX('Stock pièces'!$B$5:$B$404,MATCH(D537,'Stock pièces'!$A$5:$A$404,0)),"Réf. inconnue"))</f>
        <v/>
      </c>
      <c r="F537" s="67" t="n">
        <v>1</v>
      </c>
      <c r="G537" s="81">
        <f>IF(D537="","",IFERROR(INDEX('Stock pièces'!$I$5:$I$404,MATCH(D537,'Stock pièces'!$A$5:$A$404,0)),0))</f>
        <v/>
      </c>
      <c r="H537" s="81">
        <f>IF(D537="","",N(F537)*N(G537))</f>
        <v/>
      </c>
      <c r="I537" s="7" t="n"/>
      <c r="J537" s="9">
        <f>IF(I537="","",IFERROR(INDEX('Ordres de travail'!$D$5:$D$3004,MATCH(I537,'Ordres de travail'!$A$5:$A$3004,0)),""))</f>
        <v/>
      </c>
      <c r="K537" s="9">
        <f>IF(D537="","",IFERROR(INDEX('Stock pièces'!$D$5:$D$404,MATCH(D537,'Stock pièces'!$A$5:$A$404,0)),""))</f>
        <v/>
      </c>
      <c r="L537" s="7" t="inlineStr">
        <is>
          <t>CMD-24155</t>
        </is>
      </c>
      <c r="M537" s="7" t="inlineStr">
        <is>
          <t>Réception commande réappro</t>
        </is>
      </c>
    </row>
    <row r="538">
      <c r="A538" s="7" t="inlineStr">
        <is>
          <t>MV-00534</t>
        </is>
      </c>
      <c r="B538" s="75" t="n">
        <v>45957.51736111111</v>
      </c>
      <c r="C538" s="7" t="inlineStr">
        <is>
          <t>Sortie</t>
        </is>
      </c>
      <c r="D538" s="7" t="inlineStr">
        <is>
          <t>PD-0021</t>
        </is>
      </c>
      <c r="E538" s="9">
        <f>IF(D538="","",IFERROR(INDEX('Stock pièces'!$B$5:$B$404,MATCH(D538,'Stock pièces'!$A$5:$A$404,0)),"Réf. inconnue"))</f>
        <v/>
      </c>
      <c r="F538" s="67" t="n">
        <v>1</v>
      </c>
      <c r="G538" s="81">
        <f>IF(D538="","",IFERROR(INDEX('Stock pièces'!$I$5:$I$404,MATCH(D538,'Stock pièces'!$A$5:$A$404,0)),0))</f>
        <v/>
      </c>
      <c r="H538" s="81">
        <f>IF(D538="","",N(F538)*N(G538))</f>
        <v/>
      </c>
      <c r="I538" s="7" t="inlineStr">
        <is>
          <t>OT-2025-0651</t>
        </is>
      </c>
      <c r="J538" s="9">
        <f>IF(I538="","",IFERROR(INDEX('Ordres de travail'!$D$5:$D$3004,MATCH(I538,'Ordres de travail'!$A$5:$A$3004,0)),""))</f>
        <v/>
      </c>
      <c r="K538" s="9">
        <f>IF(D538="","",IFERROR(INDEX('Stock pièces'!$D$5:$D$404,MATCH(D538,'Stock pièces'!$A$5:$A$404,0)),""))</f>
        <v/>
      </c>
      <c r="L538" s="7" t="n"/>
      <c r="M538" s="7" t="n"/>
    </row>
    <row r="539">
      <c r="A539" s="7" t="inlineStr">
        <is>
          <t>MV-00535</t>
        </is>
      </c>
      <c r="B539" s="75" t="n">
        <v>45957.64652777778</v>
      </c>
      <c r="C539" s="7" t="inlineStr">
        <is>
          <t>Sortie</t>
        </is>
      </c>
      <c r="D539" s="7" t="inlineStr">
        <is>
          <t>PD-0008</t>
        </is>
      </c>
      <c r="E539" s="9">
        <f>IF(D539="","",IFERROR(INDEX('Stock pièces'!$B$5:$B$404,MATCH(D539,'Stock pièces'!$A$5:$A$404,0)),"Réf. inconnue"))</f>
        <v/>
      </c>
      <c r="F539" s="67" t="n">
        <v>2</v>
      </c>
      <c r="G539" s="81">
        <f>IF(D539="","",IFERROR(INDEX('Stock pièces'!$I$5:$I$404,MATCH(D539,'Stock pièces'!$A$5:$A$404,0)),0))</f>
        <v/>
      </c>
      <c r="H539" s="81">
        <f>IF(D539="","",N(F539)*N(G539))</f>
        <v/>
      </c>
      <c r="I539" s="7" t="inlineStr">
        <is>
          <t>OT-2025-0673</t>
        </is>
      </c>
      <c r="J539" s="9">
        <f>IF(I539="","",IFERROR(INDEX('Ordres de travail'!$D$5:$D$3004,MATCH(I539,'Ordres de travail'!$A$5:$A$3004,0)),""))</f>
        <v/>
      </c>
      <c r="K539" s="9">
        <f>IF(D539="","",IFERROR(INDEX('Stock pièces'!$D$5:$D$404,MATCH(D539,'Stock pièces'!$A$5:$A$404,0)),""))</f>
        <v/>
      </c>
      <c r="L539" s="7" t="n"/>
      <c r="M539" s="7" t="n"/>
    </row>
    <row r="540">
      <c r="A540" s="7" t="inlineStr">
        <is>
          <t>MV-00536</t>
        </is>
      </c>
      <c r="B540" s="75" t="n">
        <v>45957.75</v>
      </c>
      <c r="C540" s="7" t="inlineStr">
        <is>
          <t>Sortie</t>
        </is>
      </c>
      <c r="D540" s="7" t="inlineStr">
        <is>
          <t>PD-0008</t>
        </is>
      </c>
      <c r="E540" s="9">
        <f>IF(D540="","",IFERROR(INDEX('Stock pièces'!$B$5:$B$404,MATCH(D540,'Stock pièces'!$A$5:$A$404,0)),"Réf. inconnue"))</f>
        <v/>
      </c>
      <c r="F540" s="67" t="n">
        <v>2</v>
      </c>
      <c r="G540" s="81">
        <f>IF(D540="","",IFERROR(INDEX('Stock pièces'!$I$5:$I$404,MATCH(D540,'Stock pièces'!$A$5:$A$404,0)),0))</f>
        <v/>
      </c>
      <c r="H540" s="81">
        <f>IF(D540="","",N(F540)*N(G540))</f>
        <v/>
      </c>
      <c r="I540" s="7" t="inlineStr">
        <is>
          <t>OT-2025-0674</t>
        </is>
      </c>
      <c r="J540" s="9">
        <f>IF(I540="","",IFERROR(INDEX('Ordres de travail'!$D$5:$D$3004,MATCH(I540,'Ordres de travail'!$A$5:$A$3004,0)),""))</f>
        <v/>
      </c>
      <c r="K540" s="9">
        <f>IF(D540="","",IFERROR(INDEX('Stock pièces'!$D$5:$D$404,MATCH(D540,'Stock pièces'!$A$5:$A$404,0)),""))</f>
        <v/>
      </c>
      <c r="L540" s="7" t="n"/>
      <c r="M540" s="7" t="n"/>
    </row>
    <row r="541">
      <c r="A541" s="7" t="inlineStr">
        <is>
          <t>MV-00537</t>
        </is>
      </c>
      <c r="B541" s="75" t="n">
        <v>45957.75</v>
      </c>
      <c r="C541" s="7" t="inlineStr">
        <is>
          <t>Sortie</t>
        </is>
      </c>
      <c r="D541" s="7" t="inlineStr">
        <is>
          <t>PD-0029</t>
        </is>
      </c>
      <c r="E541" s="9">
        <f>IF(D541="","",IFERROR(INDEX('Stock pièces'!$B$5:$B$404,MATCH(D541,'Stock pièces'!$A$5:$A$404,0)),"Réf. inconnue"))</f>
        <v/>
      </c>
      <c r="F541" s="67" t="n">
        <v>1</v>
      </c>
      <c r="G541" s="81">
        <f>IF(D541="","",IFERROR(INDEX('Stock pièces'!$I$5:$I$404,MATCH(D541,'Stock pièces'!$A$5:$A$404,0)),0))</f>
        <v/>
      </c>
      <c r="H541" s="81">
        <f>IF(D541="","",N(F541)*N(G541))</f>
        <v/>
      </c>
      <c r="I541" s="7" t="inlineStr">
        <is>
          <t>OT-2025-0674</t>
        </is>
      </c>
      <c r="J541" s="9">
        <f>IF(I541="","",IFERROR(INDEX('Ordres de travail'!$D$5:$D$3004,MATCH(I541,'Ordres de travail'!$A$5:$A$3004,0)),""))</f>
        <v/>
      </c>
      <c r="K541" s="9">
        <f>IF(D541="","",IFERROR(INDEX('Stock pièces'!$D$5:$D$404,MATCH(D541,'Stock pièces'!$A$5:$A$404,0)),""))</f>
        <v/>
      </c>
      <c r="L541" s="7" t="n"/>
      <c r="M541" s="7" t="n"/>
    </row>
    <row r="542">
      <c r="A542" s="7" t="inlineStr">
        <is>
          <t>MV-00538</t>
        </is>
      </c>
      <c r="B542" s="75" t="n">
        <v>45958.41666666666</v>
      </c>
      <c r="C542" s="7" t="inlineStr">
        <is>
          <t>Entrée</t>
        </is>
      </c>
      <c r="D542" s="7" t="inlineStr">
        <is>
          <t>PD-0033</t>
        </is>
      </c>
      <c r="E542" s="9">
        <f>IF(D542="","",IFERROR(INDEX('Stock pièces'!$B$5:$B$404,MATCH(D542,'Stock pièces'!$A$5:$A$404,0)),"Réf. inconnue"))</f>
        <v/>
      </c>
      <c r="F542" s="67" t="n">
        <v>1</v>
      </c>
      <c r="G542" s="81">
        <f>IF(D542="","",IFERROR(INDEX('Stock pièces'!$I$5:$I$404,MATCH(D542,'Stock pièces'!$A$5:$A$404,0)),0))</f>
        <v/>
      </c>
      <c r="H542" s="81">
        <f>IF(D542="","",N(F542)*N(G542))</f>
        <v/>
      </c>
      <c r="I542" s="7" t="n"/>
      <c r="J542" s="9">
        <f>IF(I542="","",IFERROR(INDEX('Ordres de travail'!$D$5:$D$3004,MATCH(I542,'Ordres de travail'!$A$5:$A$3004,0)),""))</f>
        <v/>
      </c>
      <c r="K542" s="9">
        <f>IF(D542="","",IFERROR(INDEX('Stock pièces'!$D$5:$D$404,MATCH(D542,'Stock pièces'!$A$5:$A$404,0)),""))</f>
        <v/>
      </c>
      <c r="L542" s="7" t="inlineStr">
        <is>
          <t>CMD-24156</t>
        </is>
      </c>
      <c r="M542" s="7" t="inlineStr">
        <is>
          <t>Réception commande réappro</t>
        </is>
      </c>
    </row>
    <row r="543">
      <c r="A543" s="7" t="inlineStr">
        <is>
          <t>MV-00539</t>
        </is>
      </c>
      <c r="B543" s="75" t="n">
        <v>45958.41666666666</v>
      </c>
      <c r="C543" s="7" t="inlineStr">
        <is>
          <t>Entrée</t>
        </is>
      </c>
      <c r="D543" s="7" t="inlineStr">
        <is>
          <t>PD-0034</t>
        </is>
      </c>
      <c r="E543" s="9">
        <f>IF(D543="","",IFERROR(INDEX('Stock pièces'!$B$5:$B$404,MATCH(D543,'Stock pièces'!$A$5:$A$404,0)),"Réf. inconnue"))</f>
        <v/>
      </c>
      <c r="F543" s="67" t="n">
        <v>1</v>
      </c>
      <c r="G543" s="81">
        <f>IF(D543="","",IFERROR(INDEX('Stock pièces'!$I$5:$I$404,MATCH(D543,'Stock pièces'!$A$5:$A$404,0)),0))</f>
        <v/>
      </c>
      <c r="H543" s="81">
        <f>IF(D543="","",N(F543)*N(G543))</f>
        <v/>
      </c>
      <c r="I543" s="7" t="n"/>
      <c r="J543" s="9">
        <f>IF(I543="","",IFERROR(INDEX('Ordres de travail'!$D$5:$D$3004,MATCH(I543,'Ordres de travail'!$A$5:$A$3004,0)),""))</f>
        <v/>
      </c>
      <c r="K543" s="9">
        <f>IF(D543="","",IFERROR(INDEX('Stock pièces'!$D$5:$D$404,MATCH(D543,'Stock pièces'!$A$5:$A$404,0)),""))</f>
        <v/>
      </c>
      <c r="L543" s="7" t="inlineStr">
        <is>
          <t>CMD-24157</t>
        </is>
      </c>
      <c r="M543" s="7" t="inlineStr">
        <is>
          <t>Réception commande réappro</t>
        </is>
      </c>
    </row>
    <row r="544">
      <c r="A544" s="7" t="inlineStr">
        <is>
          <t>MV-00540</t>
        </is>
      </c>
      <c r="B544" s="75" t="n">
        <v>45958.41666666666</v>
      </c>
      <c r="C544" s="7" t="inlineStr">
        <is>
          <t>Entrée</t>
        </is>
      </c>
      <c r="D544" s="7" t="inlineStr">
        <is>
          <t>PD-0069</t>
        </is>
      </c>
      <c r="E544" s="9">
        <f>IF(D544="","",IFERROR(INDEX('Stock pièces'!$B$5:$B$404,MATCH(D544,'Stock pièces'!$A$5:$A$404,0)),"Réf. inconnue"))</f>
        <v/>
      </c>
      <c r="F544" s="67" t="n">
        <v>1</v>
      </c>
      <c r="G544" s="81">
        <f>IF(D544="","",IFERROR(INDEX('Stock pièces'!$I$5:$I$404,MATCH(D544,'Stock pièces'!$A$5:$A$404,0)),0))</f>
        <v/>
      </c>
      <c r="H544" s="81">
        <f>IF(D544="","",N(F544)*N(G544))</f>
        <v/>
      </c>
      <c r="I544" s="7" t="n"/>
      <c r="J544" s="9">
        <f>IF(I544="","",IFERROR(INDEX('Ordres de travail'!$D$5:$D$3004,MATCH(I544,'Ordres de travail'!$A$5:$A$3004,0)),""))</f>
        <v/>
      </c>
      <c r="K544" s="9">
        <f>IF(D544="","",IFERROR(INDEX('Stock pièces'!$D$5:$D$404,MATCH(D544,'Stock pièces'!$A$5:$A$404,0)),""))</f>
        <v/>
      </c>
      <c r="L544" s="7" t="inlineStr">
        <is>
          <t>CMD-24160</t>
        </is>
      </c>
      <c r="M544" s="7" t="inlineStr">
        <is>
          <t>Réception commande réappro</t>
        </is>
      </c>
    </row>
    <row r="545">
      <c r="A545" s="7" t="inlineStr">
        <is>
          <t>MV-00541</t>
        </is>
      </c>
      <c r="B545" s="75" t="n">
        <v>45958.5</v>
      </c>
      <c r="C545" s="7" t="inlineStr">
        <is>
          <t>Sortie</t>
        </is>
      </c>
      <c r="D545" s="7" t="inlineStr">
        <is>
          <t>PD-0062</t>
        </is>
      </c>
      <c r="E545" s="9">
        <f>IF(D545="","",IFERROR(INDEX('Stock pièces'!$B$5:$B$404,MATCH(D545,'Stock pièces'!$A$5:$A$404,0)),"Réf. inconnue"))</f>
        <v/>
      </c>
      <c r="F545" s="67" t="n">
        <v>1</v>
      </c>
      <c r="G545" s="81">
        <f>IF(D545="","",IFERROR(INDEX('Stock pièces'!$I$5:$I$404,MATCH(D545,'Stock pièces'!$A$5:$A$404,0)),0))</f>
        <v/>
      </c>
      <c r="H545" s="81">
        <f>IF(D545="","",N(F545)*N(G545))</f>
        <v/>
      </c>
      <c r="I545" s="7" t="inlineStr">
        <is>
          <t>OT-2025-0658</t>
        </is>
      </c>
      <c r="J545" s="9">
        <f>IF(I545="","",IFERROR(INDEX('Ordres de travail'!$D$5:$D$3004,MATCH(I545,'Ordres de travail'!$A$5:$A$3004,0)),""))</f>
        <v/>
      </c>
      <c r="K545" s="9">
        <f>IF(D545="","",IFERROR(INDEX('Stock pièces'!$D$5:$D$404,MATCH(D545,'Stock pièces'!$A$5:$A$404,0)),""))</f>
        <v/>
      </c>
      <c r="L545" s="7" t="n"/>
      <c r="M545" s="7" t="n"/>
    </row>
    <row r="546">
      <c r="A546" s="7" t="inlineStr">
        <is>
          <t>MV-00542</t>
        </is>
      </c>
      <c r="B546" s="75" t="n">
        <v>45958.52083333334</v>
      </c>
      <c r="C546" s="7" t="inlineStr">
        <is>
          <t>Sortie</t>
        </is>
      </c>
      <c r="D546" s="7" t="inlineStr">
        <is>
          <t>PD-0019</t>
        </is>
      </c>
      <c r="E546" s="9">
        <f>IF(D546="","",IFERROR(INDEX('Stock pièces'!$B$5:$B$404,MATCH(D546,'Stock pièces'!$A$5:$A$404,0)),"Réf. inconnue"))</f>
        <v/>
      </c>
      <c r="F546" s="67" t="n">
        <v>2</v>
      </c>
      <c r="G546" s="81">
        <f>IF(D546="","",IFERROR(INDEX('Stock pièces'!$I$5:$I$404,MATCH(D546,'Stock pièces'!$A$5:$A$404,0)),0))</f>
        <v/>
      </c>
      <c r="H546" s="81">
        <f>IF(D546="","",N(F546)*N(G546))</f>
        <v/>
      </c>
      <c r="I546" s="7" t="inlineStr">
        <is>
          <t>OT-2025-0660</t>
        </is>
      </c>
      <c r="J546" s="9">
        <f>IF(I546="","",IFERROR(INDEX('Ordres de travail'!$D$5:$D$3004,MATCH(I546,'Ordres de travail'!$A$5:$A$3004,0)),""))</f>
        <v/>
      </c>
      <c r="K546" s="9">
        <f>IF(D546="","",IFERROR(INDEX('Stock pièces'!$D$5:$D$404,MATCH(D546,'Stock pièces'!$A$5:$A$404,0)),""))</f>
        <v/>
      </c>
      <c r="L546" s="7" t="n"/>
      <c r="M546" s="7" t="n"/>
    </row>
    <row r="547">
      <c r="A547" s="7" t="inlineStr">
        <is>
          <t>MV-00543</t>
        </is>
      </c>
      <c r="B547" s="75" t="n">
        <v>45958.75</v>
      </c>
      <c r="C547" s="7" t="inlineStr">
        <is>
          <t>Retour</t>
        </is>
      </c>
      <c r="D547" s="7" t="inlineStr">
        <is>
          <t>PD-0008</t>
        </is>
      </c>
      <c r="E547" s="9">
        <f>IF(D547="","",IFERROR(INDEX('Stock pièces'!$B$5:$B$404,MATCH(D547,'Stock pièces'!$A$5:$A$404,0)),"Réf. inconnue"))</f>
        <v/>
      </c>
      <c r="F547" s="67" t="n">
        <v>1</v>
      </c>
      <c r="G547" s="81">
        <f>IF(D547="","",IFERROR(INDEX('Stock pièces'!$I$5:$I$404,MATCH(D547,'Stock pièces'!$A$5:$A$404,0)),0))</f>
        <v/>
      </c>
      <c r="H547" s="81">
        <f>IF(D547="","",N(F547)*N(G547))</f>
        <v/>
      </c>
      <c r="I547" s="7" t="inlineStr">
        <is>
          <t>OT-2025-0674</t>
        </is>
      </c>
      <c r="J547" s="9">
        <f>IF(I547="","",IFERROR(INDEX('Ordres de travail'!$D$5:$D$3004,MATCH(I547,'Ordres de travail'!$A$5:$A$3004,0)),""))</f>
        <v/>
      </c>
      <c r="K547" s="9">
        <f>IF(D547="","",IFERROR(INDEX('Stock pièces'!$D$5:$D$404,MATCH(D547,'Stock pièces'!$A$5:$A$404,0)),""))</f>
        <v/>
      </c>
      <c r="L547" s="7" t="n"/>
      <c r="M547" s="7" t="inlineStr">
        <is>
          <t>Pièce non utilisée</t>
        </is>
      </c>
    </row>
    <row r="548">
      <c r="A548" s="7" t="inlineStr">
        <is>
          <t>MV-00544</t>
        </is>
      </c>
      <c r="B548" s="75" t="n">
        <v>45959.41666666666</v>
      </c>
      <c r="C548" s="7" t="inlineStr">
        <is>
          <t>Entrée</t>
        </is>
      </c>
      <c r="D548" s="7" t="inlineStr">
        <is>
          <t>PD-0056</t>
        </is>
      </c>
      <c r="E548" s="9">
        <f>IF(D548="","",IFERROR(INDEX('Stock pièces'!$B$5:$B$404,MATCH(D548,'Stock pièces'!$A$5:$A$404,0)),"Réf. inconnue"))</f>
        <v/>
      </c>
      <c r="F548" s="67" t="n">
        <v>1</v>
      </c>
      <c r="G548" s="81">
        <f>IF(D548="","",IFERROR(INDEX('Stock pièces'!$I$5:$I$404,MATCH(D548,'Stock pièces'!$A$5:$A$404,0)),0))</f>
        <v/>
      </c>
      <c r="H548" s="81">
        <f>IF(D548="","",N(F548)*N(G548))</f>
        <v/>
      </c>
      <c r="I548" s="7" t="n"/>
      <c r="J548" s="9">
        <f>IF(I548="","",IFERROR(INDEX('Ordres de travail'!$D$5:$D$3004,MATCH(I548,'Ordres de travail'!$A$5:$A$3004,0)),""))</f>
        <v/>
      </c>
      <c r="K548" s="9">
        <f>IF(D548="","",IFERROR(INDEX('Stock pièces'!$D$5:$D$404,MATCH(D548,'Stock pièces'!$A$5:$A$404,0)),""))</f>
        <v/>
      </c>
      <c r="L548" s="7" t="inlineStr">
        <is>
          <t>CMD-24154</t>
        </is>
      </c>
      <c r="M548" s="7" t="inlineStr">
        <is>
          <t>Réception commande réappro</t>
        </is>
      </c>
    </row>
    <row r="549">
      <c r="A549" s="7" t="inlineStr">
        <is>
          <t>MV-00545</t>
        </is>
      </c>
      <c r="B549" s="75" t="n">
        <v>45959.42361111111</v>
      </c>
      <c r="C549" s="7" t="inlineStr">
        <is>
          <t>Sortie</t>
        </is>
      </c>
      <c r="D549" s="7" t="inlineStr">
        <is>
          <t>PD-0017</t>
        </is>
      </c>
      <c r="E549" s="9">
        <f>IF(D549="","",IFERROR(INDEX('Stock pièces'!$B$5:$B$404,MATCH(D549,'Stock pièces'!$A$5:$A$404,0)),"Réf. inconnue"))</f>
        <v/>
      </c>
      <c r="F549" s="67" t="n">
        <v>1</v>
      </c>
      <c r="G549" s="81">
        <f>IF(D549="","",IFERROR(INDEX('Stock pièces'!$I$5:$I$404,MATCH(D549,'Stock pièces'!$A$5:$A$404,0)),0))</f>
        <v/>
      </c>
      <c r="H549" s="81">
        <f>IF(D549="","",N(F549)*N(G549))</f>
        <v/>
      </c>
      <c r="I549" s="7" t="inlineStr">
        <is>
          <t>OT-2025-0662</t>
        </is>
      </c>
      <c r="J549" s="9">
        <f>IF(I549="","",IFERROR(INDEX('Ordres de travail'!$D$5:$D$3004,MATCH(I549,'Ordres de travail'!$A$5:$A$3004,0)),""))</f>
        <v/>
      </c>
      <c r="K549" s="9">
        <f>IF(D549="","",IFERROR(INDEX('Stock pièces'!$D$5:$D$404,MATCH(D549,'Stock pièces'!$A$5:$A$404,0)),""))</f>
        <v/>
      </c>
      <c r="L549" s="7" t="n"/>
      <c r="M549" s="7" t="n"/>
    </row>
    <row r="550">
      <c r="A550" s="7" t="inlineStr">
        <is>
          <t>MV-00546</t>
        </is>
      </c>
      <c r="B550" s="75" t="n">
        <v>45959.52083333334</v>
      </c>
      <c r="C550" s="7" t="inlineStr">
        <is>
          <t>Retour</t>
        </is>
      </c>
      <c r="D550" s="7" t="inlineStr">
        <is>
          <t>PD-0019</t>
        </is>
      </c>
      <c r="E550" s="9">
        <f>IF(D550="","",IFERROR(INDEX('Stock pièces'!$B$5:$B$404,MATCH(D550,'Stock pièces'!$A$5:$A$404,0)),"Réf. inconnue"))</f>
        <v/>
      </c>
      <c r="F550" s="67" t="n">
        <v>1</v>
      </c>
      <c r="G550" s="81">
        <f>IF(D550="","",IFERROR(INDEX('Stock pièces'!$I$5:$I$404,MATCH(D550,'Stock pièces'!$A$5:$A$404,0)),0))</f>
        <v/>
      </c>
      <c r="H550" s="81">
        <f>IF(D550="","",N(F550)*N(G550))</f>
        <v/>
      </c>
      <c r="I550" s="7" t="inlineStr">
        <is>
          <t>OT-2025-0660</t>
        </is>
      </c>
      <c r="J550" s="9">
        <f>IF(I550="","",IFERROR(INDEX('Ordres de travail'!$D$5:$D$3004,MATCH(I550,'Ordres de travail'!$A$5:$A$3004,0)),""))</f>
        <v/>
      </c>
      <c r="K550" s="9">
        <f>IF(D550="","",IFERROR(INDEX('Stock pièces'!$D$5:$D$404,MATCH(D550,'Stock pièces'!$A$5:$A$404,0)),""))</f>
        <v/>
      </c>
      <c r="L550" s="7" t="n"/>
      <c r="M550" s="7" t="inlineStr">
        <is>
          <t>Pièce non utilisée</t>
        </is>
      </c>
    </row>
    <row r="551">
      <c r="A551" s="7" t="inlineStr">
        <is>
          <t>MV-00547</t>
        </is>
      </c>
      <c r="B551" s="75" t="n">
        <v>45961.51736111111</v>
      </c>
      <c r="C551" s="7" t="inlineStr">
        <is>
          <t>Sortie</t>
        </is>
      </c>
      <c r="D551" s="7" t="inlineStr">
        <is>
          <t>PD-0025</t>
        </is>
      </c>
      <c r="E551" s="9">
        <f>IF(D551="","",IFERROR(INDEX('Stock pièces'!$B$5:$B$404,MATCH(D551,'Stock pièces'!$A$5:$A$404,0)),"Réf. inconnue"))</f>
        <v/>
      </c>
      <c r="F551" s="67" t="n">
        <v>2</v>
      </c>
      <c r="G551" s="81">
        <f>IF(D551="","",IFERROR(INDEX('Stock pièces'!$I$5:$I$404,MATCH(D551,'Stock pièces'!$A$5:$A$404,0)),0))</f>
        <v/>
      </c>
      <c r="H551" s="81">
        <f>IF(D551="","",N(F551)*N(G551))</f>
        <v/>
      </c>
      <c r="I551" s="7" t="inlineStr">
        <is>
          <t>OT-2025-0666</t>
        </is>
      </c>
      <c r="J551" s="9">
        <f>IF(I551="","",IFERROR(INDEX('Ordres de travail'!$D$5:$D$3004,MATCH(I551,'Ordres de travail'!$A$5:$A$3004,0)),""))</f>
        <v/>
      </c>
      <c r="K551" s="9">
        <f>IF(D551="","",IFERROR(INDEX('Stock pièces'!$D$5:$D$404,MATCH(D551,'Stock pièces'!$A$5:$A$404,0)),""))</f>
        <v/>
      </c>
      <c r="L551" s="7" t="n"/>
      <c r="M551" s="7" t="n"/>
    </row>
    <row r="552">
      <c r="A552" s="7" t="inlineStr">
        <is>
          <t>MV-00548</t>
        </is>
      </c>
      <c r="B552" s="75" t="n">
        <v>45964.41666666666</v>
      </c>
      <c r="C552" s="7" t="inlineStr">
        <is>
          <t>Entrée</t>
        </is>
      </c>
      <c r="D552" s="7" t="inlineStr">
        <is>
          <t>PD-0041</t>
        </is>
      </c>
      <c r="E552" s="9">
        <f>IF(D552="","",IFERROR(INDEX('Stock pièces'!$B$5:$B$404,MATCH(D552,'Stock pièces'!$A$5:$A$404,0)),"Réf. inconnue"))</f>
        <v/>
      </c>
      <c r="F552" s="67" t="n">
        <v>2</v>
      </c>
      <c r="G552" s="81">
        <f>IF(D552="","",IFERROR(INDEX('Stock pièces'!$I$5:$I$404,MATCH(D552,'Stock pièces'!$A$5:$A$404,0)),0))</f>
        <v/>
      </c>
      <c r="H552" s="81">
        <f>IF(D552="","",N(F552)*N(G552))</f>
        <v/>
      </c>
      <c r="I552" s="7" t="n"/>
      <c r="J552" s="9">
        <f>IF(I552="","",IFERROR(INDEX('Ordres de travail'!$D$5:$D$3004,MATCH(I552,'Ordres de travail'!$A$5:$A$3004,0)),""))</f>
        <v/>
      </c>
      <c r="K552" s="9">
        <f>IF(D552="","",IFERROR(INDEX('Stock pièces'!$D$5:$D$404,MATCH(D552,'Stock pièces'!$A$5:$A$404,0)),""))</f>
        <v/>
      </c>
      <c r="L552" s="7" t="inlineStr">
        <is>
          <t>CMD-24161</t>
        </is>
      </c>
      <c r="M552" s="7" t="inlineStr">
        <is>
          <t>Réception commande réappro</t>
        </is>
      </c>
    </row>
    <row r="553">
      <c r="A553" s="7" t="inlineStr">
        <is>
          <t>MV-00549</t>
        </is>
      </c>
      <c r="B553" s="75" t="n">
        <v>45964.43402777778</v>
      </c>
      <c r="C553" s="7" t="inlineStr">
        <is>
          <t>Sortie</t>
        </is>
      </c>
      <c r="D553" s="7" t="inlineStr">
        <is>
          <t>PD-0025</t>
        </is>
      </c>
      <c r="E553" s="9">
        <f>IF(D553="","",IFERROR(INDEX('Stock pièces'!$B$5:$B$404,MATCH(D553,'Stock pièces'!$A$5:$A$404,0)),"Réf. inconnue"))</f>
        <v/>
      </c>
      <c r="F553" s="67" t="n">
        <v>3</v>
      </c>
      <c r="G553" s="81">
        <f>IF(D553="","",IFERROR(INDEX('Stock pièces'!$I$5:$I$404,MATCH(D553,'Stock pièces'!$A$5:$A$404,0)),0))</f>
        <v/>
      </c>
      <c r="H553" s="81">
        <f>IF(D553="","",N(F553)*N(G553))</f>
        <v/>
      </c>
      <c r="I553" s="7" t="inlineStr">
        <is>
          <t>OT-2025-0671</t>
        </is>
      </c>
      <c r="J553" s="9">
        <f>IF(I553="","",IFERROR(INDEX('Ordres de travail'!$D$5:$D$3004,MATCH(I553,'Ordres de travail'!$A$5:$A$3004,0)),""))</f>
        <v/>
      </c>
      <c r="K553" s="9">
        <f>IF(D553="","",IFERROR(INDEX('Stock pièces'!$D$5:$D$404,MATCH(D553,'Stock pièces'!$A$5:$A$404,0)),""))</f>
        <v/>
      </c>
      <c r="L553" s="7" t="n"/>
      <c r="M553" s="7" t="n"/>
    </row>
    <row r="554">
      <c r="A554" s="7" t="inlineStr">
        <is>
          <t>MV-00550</t>
        </is>
      </c>
      <c r="B554" s="75" t="n">
        <v>45964.68333333333</v>
      </c>
      <c r="C554" s="7" t="inlineStr">
        <is>
          <t>Sortie</t>
        </is>
      </c>
      <c r="D554" s="7" t="inlineStr">
        <is>
          <t>PD-0007</t>
        </is>
      </c>
      <c r="E554" s="9">
        <f>IF(D554="","",IFERROR(INDEX('Stock pièces'!$B$5:$B$404,MATCH(D554,'Stock pièces'!$A$5:$A$404,0)),"Réf. inconnue"))</f>
        <v/>
      </c>
      <c r="F554" s="67" t="n">
        <v>2</v>
      </c>
      <c r="G554" s="81">
        <f>IF(D554="","",IFERROR(INDEX('Stock pièces'!$I$5:$I$404,MATCH(D554,'Stock pièces'!$A$5:$A$404,0)),0))</f>
        <v/>
      </c>
      <c r="H554" s="81">
        <f>IF(D554="","",N(F554)*N(G554))</f>
        <v/>
      </c>
      <c r="I554" s="7" t="inlineStr">
        <is>
          <t>OT-2025-0689</t>
        </is>
      </c>
      <c r="J554" s="9">
        <f>IF(I554="","",IFERROR(INDEX('Ordres de travail'!$D$5:$D$3004,MATCH(I554,'Ordres de travail'!$A$5:$A$3004,0)),""))</f>
        <v/>
      </c>
      <c r="K554" s="9">
        <f>IF(D554="","",IFERROR(INDEX('Stock pièces'!$D$5:$D$404,MATCH(D554,'Stock pièces'!$A$5:$A$404,0)),""))</f>
        <v/>
      </c>
      <c r="L554" s="7" t="n"/>
      <c r="M554" s="7" t="n"/>
    </row>
    <row r="555">
      <c r="A555" s="7" t="inlineStr">
        <is>
          <t>MV-00551</t>
        </is>
      </c>
      <c r="B555" s="75" t="n">
        <v>45965.38194444445</v>
      </c>
      <c r="C555" s="7" t="inlineStr">
        <is>
          <t>Sortie</t>
        </is>
      </c>
      <c r="D555" s="7" t="inlineStr">
        <is>
          <t>PD-0025</t>
        </is>
      </c>
      <c r="E555" s="9">
        <f>IF(D555="","",IFERROR(INDEX('Stock pièces'!$B$5:$B$404,MATCH(D555,'Stock pièces'!$A$5:$A$404,0)),"Réf. inconnue"))</f>
        <v/>
      </c>
      <c r="F555" s="67" t="n">
        <v>1</v>
      </c>
      <c r="G555" s="81">
        <f>IF(D555="","",IFERROR(INDEX('Stock pièces'!$I$5:$I$404,MATCH(D555,'Stock pièces'!$A$5:$A$404,0)),0))</f>
        <v/>
      </c>
      <c r="H555" s="81">
        <f>IF(D555="","",N(F555)*N(G555))</f>
        <v/>
      </c>
      <c r="I555" s="7" t="inlineStr">
        <is>
          <t>OT-2025-0676</t>
        </is>
      </c>
      <c r="J555" s="9">
        <f>IF(I555="","",IFERROR(INDEX('Ordres de travail'!$D$5:$D$3004,MATCH(I555,'Ordres de travail'!$A$5:$A$3004,0)),""))</f>
        <v/>
      </c>
      <c r="K555" s="9">
        <f>IF(D555="","",IFERROR(INDEX('Stock pièces'!$D$5:$D$404,MATCH(D555,'Stock pièces'!$A$5:$A$404,0)),""))</f>
        <v/>
      </c>
      <c r="L555" s="7" t="n"/>
      <c r="M555" s="7" t="n"/>
    </row>
    <row r="556">
      <c r="A556" s="7" t="inlineStr">
        <is>
          <t>MV-00552</t>
        </is>
      </c>
      <c r="B556" s="75" t="n">
        <v>45965.43402777778</v>
      </c>
      <c r="C556" s="7" t="inlineStr">
        <is>
          <t>Retour</t>
        </is>
      </c>
      <c r="D556" s="7" t="inlineStr">
        <is>
          <t>PD-0025</t>
        </is>
      </c>
      <c r="E556" s="9">
        <f>IF(D556="","",IFERROR(INDEX('Stock pièces'!$B$5:$B$404,MATCH(D556,'Stock pièces'!$A$5:$A$404,0)),"Réf. inconnue"))</f>
        <v/>
      </c>
      <c r="F556" s="67" t="n">
        <v>1</v>
      </c>
      <c r="G556" s="81">
        <f>IF(D556="","",IFERROR(INDEX('Stock pièces'!$I$5:$I$404,MATCH(D556,'Stock pièces'!$A$5:$A$404,0)),0))</f>
        <v/>
      </c>
      <c r="H556" s="81">
        <f>IF(D556="","",N(F556)*N(G556))</f>
        <v/>
      </c>
      <c r="I556" s="7" t="inlineStr">
        <is>
          <t>OT-2025-0671</t>
        </is>
      </c>
      <c r="J556" s="9">
        <f>IF(I556="","",IFERROR(INDEX('Ordres de travail'!$D$5:$D$3004,MATCH(I556,'Ordres de travail'!$A$5:$A$3004,0)),""))</f>
        <v/>
      </c>
      <c r="K556" s="9">
        <f>IF(D556="","",IFERROR(INDEX('Stock pièces'!$D$5:$D$404,MATCH(D556,'Stock pièces'!$A$5:$A$404,0)),""))</f>
        <v/>
      </c>
      <c r="L556" s="7" t="n"/>
      <c r="M556" s="7" t="inlineStr">
        <is>
          <t>Pièce non utilisée</t>
        </is>
      </c>
    </row>
    <row r="557">
      <c r="A557" s="7" t="inlineStr">
        <is>
          <t>MV-00553</t>
        </is>
      </c>
      <c r="B557" s="75" t="n">
        <v>45965.62152777778</v>
      </c>
      <c r="C557" s="7" t="inlineStr">
        <is>
          <t>Sortie</t>
        </is>
      </c>
      <c r="D557" s="7" t="inlineStr">
        <is>
          <t>PD-0017</t>
        </is>
      </c>
      <c r="E557" s="9">
        <f>IF(D557="","",IFERROR(INDEX('Stock pièces'!$B$5:$B$404,MATCH(D557,'Stock pièces'!$A$5:$A$404,0)),"Réf. inconnue"))</f>
        <v/>
      </c>
      <c r="F557" s="67" t="n">
        <v>1</v>
      </c>
      <c r="G557" s="81">
        <f>IF(D557="","",IFERROR(INDEX('Stock pièces'!$I$5:$I$404,MATCH(D557,'Stock pièces'!$A$5:$A$404,0)),0))</f>
        <v/>
      </c>
      <c r="H557" s="81">
        <f>IF(D557="","",N(F557)*N(G557))</f>
        <v/>
      </c>
      <c r="I557" s="7" t="inlineStr">
        <is>
          <t>OT-2025-0680</t>
        </is>
      </c>
      <c r="J557" s="9">
        <f>IF(I557="","",IFERROR(INDEX('Ordres de travail'!$D$5:$D$3004,MATCH(I557,'Ordres de travail'!$A$5:$A$3004,0)),""))</f>
        <v/>
      </c>
      <c r="K557" s="9">
        <f>IF(D557="","",IFERROR(INDEX('Stock pièces'!$D$5:$D$404,MATCH(D557,'Stock pièces'!$A$5:$A$404,0)),""))</f>
        <v/>
      </c>
      <c r="L557" s="7" t="n"/>
      <c r="M557" s="7" t="n"/>
    </row>
    <row r="558">
      <c r="A558" s="7" t="inlineStr">
        <is>
          <t>MV-00554</t>
        </is>
      </c>
      <c r="B558" s="75" t="n">
        <v>45965.68333333333</v>
      </c>
      <c r="C558" s="7" t="inlineStr">
        <is>
          <t>Retour</t>
        </is>
      </c>
      <c r="D558" s="7" t="inlineStr">
        <is>
          <t>PD-0007</t>
        </is>
      </c>
      <c r="E558" s="9">
        <f>IF(D558="","",IFERROR(INDEX('Stock pièces'!$B$5:$B$404,MATCH(D558,'Stock pièces'!$A$5:$A$404,0)),"Réf. inconnue"))</f>
        <v/>
      </c>
      <c r="F558" s="67" t="n">
        <v>1</v>
      </c>
      <c r="G558" s="81">
        <f>IF(D558="","",IFERROR(INDEX('Stock pièces'!$I$5:$I$404,MATCH(D558,'Stock pièces'!$A$5:$A$404,0)),0))</f>
        <v/>
      </c>
      <c r="H558" s="81">
        <f>IF(D558="","",N(F558)*N(G558))</f>
        <v/>
      </c>
      <c r="I558" s="7" t="inlineStr">
        <is>
          <t>OT-2025-0689</t>
        </is>
      </c>
      <c r="J558" s="9">
        <f>IF(I558="","",IFERROR(INDEX('Ordres de travail'!$D$5:$D$3004,MATCH(I558,'Ordres de travail'!$A$5:$A$3004,0)),""))</f>
        <v/>
      </c>
      <c r="K558" s="9">
        <f>IF(D558="","",IFERROR(INDEX('Stock pièces'!$D$5:$D$404,MATCH(D558,'Stock pièces'!$A$5:$A$404,0)),""))</f>
        <v/>
      </c>
      <c r="L558" s="7" t="n"/>
      <c r="M558" s="7" t="inlineStr">
        <is>
          <t>Pièce non utilisée</t>
        </is>
      </c>
    </row>
    <row r="559">
      <c r="A559" s="7" t="inlineStr">
        <is>
          <t>MV-00555</t>
        </is>
      </c>
      <c r="B559" s="75" t="n">
        <v>45967.25694444445</v>
      </c>
      <c r="C559" s="7" t="inlineStr">
        <is>
          <t>Sortie</t>
        </is>
      </c>
      <c r="D559" s="7" t="inlineStr">
        <is>
          <t>PD-0059</t>
        </is>
      </c>
      <c r="E559" s="9">
        <f>IF(D559="","",IFERROR(INDEX('Stock pièces'!$B$5:$B$404,MATCH(D559,'Stock pièces'!$A$5:$A$404,0)),"Réf. inconnue"))</f>
        <v/>
      </c>
      <c r="F559" s="67" t="n">
        <v>1</v>
      </c>
      <c r="G559" s="81">
        <f>IF(D559="","",IFERROR(INDEX('Stock pièces'!$I$5:$I$404,MATCH(D559,'Stock pièces'!$A$5:$A$404,0)),0))</f>
        <v/>
      </c>
      <c r="H559" s="81">
        <f>IF(D559="","",N(F559)*N(G559))</f>
        <v/>
      </c>
      <c r="I559" s="7" t="inlineStr">
        <is>
          <t>OT-2025-0683</t>
        </is>
      </c>
      <c r="J559" s="9">
        <f>IF(I559="","",IFERROR(INDEX('Ordres de travail'!$D$5:$D$3004,MATCH(I559,'Ordres de travail'!$A$5:$A$3004,0)),""))</f>
        <v/>
      </c>
      <c r="K559" s="9">
        <f>IF(D559="","",IFERROR(INDEX('Stock pièces'!$D$5:$D$404,MATCH(D559,'Stock pièces'!$A$5:$A$404,0)),""))</f>
        <v/>
      </c>
      <c r="L559" s="7" t="n"/>
      <c r="M559" s="7" t="n"/>
    </row>
    <row r="560">
      <c r="A560" s="7" t="inlineStr">
        <is>
          <t>MV-00556</t>
        </is>
      </c>
      <c r="B560" s="75" t="n">
        <v>45967.77361111111</v>
      </c>
      <c r="C560" s="7" t="inlineStr">
        <is>
          <t>Sortie</t>
        </is>
      </c>
      <c r="D560" s="7" t="inlineStr">
        <is>
          <t>PD-0043</t>
        </is>
      </c>
      <c r="E560" s="9">
        <f>IF(D560="","",IFERROR(INDEX('Stock pièces'!$B$5:$B$404,MATCH(D560,'Stock pièces'!$A$5:$A$404,0)),"Réf. inconnue"))</f>
        <v/>
      </c>
      <c r="F560" s="67" t="n">
        <v>1</v>
      </c>
      <c r="G560" s="81">
        <f>IF(D560="","",IFERROR(INDEX('Stock pièces'!$I$5:$I$404,MATCH(D560,'Stock pièces'!$A$5:$A$404,0)),0))</f>
        <v/>
      </c>
      <c r="H560" s="81">
        <f>IF(D560="","",N(F560)*N(G560))</f>
        <v/>
      </c>
      <c r="I560" s="7" t="inlineStr">
        <is>
          <t>OT-2025-0700</t>
        </is>
      </c>
      <c r="J560" s="9">
        <f>IF(I560="","",IFERROR(INDEX('Ordres de travail'!$D$5:$D$3004,MATCH(I560,'Ordres de travail'!$A$5:$A$3004,0)),""))</f>
        <v/>
      </c>
      <c r="K560" s="9">
        <f>IF(D560="","",IFERROR(INDEX('Stock pièces'!$D$5:$D$404,MATCH(D560,'Stock pièces'!$A$5:$A$404,0)),""))</f>
        <v/>
      </c>
      <c r="L560" s="7" t="n"/>
      <c r="M560" s="7" t="n"/>
    </row>
    <row r="561">
      <c r="A561" s="7" t="inlineStr">
        <is>
          <t>MV-00557</t>
        </is>
      </c>
      <c r="B561" s="75" t="n">
        <v>45967.77361111111</v>
      </c>
      <c r="C561" s="7" t="inlineStr">
        <is>
          <t>Sortie</t>
        </is>
      </c>
      <c r="D561" s="7" t="inlineStr">
        <is>
          <t>PD-0045</t>
        </is>
      </c>
      <c r="E561" s="9">
        <f>IF(D561="","",IFERROR(INDEX('Stock pièces'!$B$5:$B$404,MATCH(D561,'Stock pièces'!$A$5:$A$404,0)),"Réf. inconnue"))</f>
        <v/>
      </c>
      <c r="F561" s="67" t="n">
        <v>3</v>
      </c>
      <c r="G561" s="81">
        <f>IF(D561="","",IFERROR(INDEX('Stock pièces'!$I$5:$I$404,MATCH(D561,'Stock pièces'!$A$5:$A$404,0)),0))</f>
        <v/>
      </c>
      <c r="H561" s="81">
        <f>IF(D561="","",N(F561)*N(G561))</f>
        <v/>
      </c>
      <c r="I561" s="7" t="inlineStr">
        <is>
          <t>OT-2025-0700</t>
        </is>
      </c>
      <c r="J561" s="9">
        <f>IF(I561="","",IFERROR(INDEX('Ordres de travail'!$D$5:$D$3004,MATCH(I561,'Ordres de travail'!$A$5:$A$3004,0)),""))</f>
        <v/>
      </c>
      <c r="K561" s="9">
        <f>IF(D561="","",IFERROR(INDEX('Stock pièces'!$D$5:$D$404,MATCH(D561,'Stock pièces'!$A$5:$A$404,0)),""))</f>
        <v/>
      </c>
      <c r="L561" s="7" t="n"/>
      <c r="M561" s="7" t="n"/>
    </row>
    <row r="562">
      <c r="A562" s="7" t="inlineStr">
        <is>
          <t>MV-00558</t>
        </is>
      </c>
      <c r="B562" s="75" t="n">
        <v>45967.80347222222</v>
      </c>
      <c r="C562" s="7" t="inlineStr">
        <is>
          <t>Sortie</t>
        </is>
      </c>
      <c r="D562" s="7" t="inlineStr">
        <is>
          <t>PD-0062</t>
        </is>
      </c>
      <c r="E562" s="9">
        <f>IF(D562="","",IFERROR(INDEX('Stock pièces'!$B$5:$B$404,MATCH(D562,'Stock pièces'!$A$5:$A$404,0)),"Réf. inconnue"))</f>
        <v/>
      </c>
      <c r="F562" s="67" t="n">
        <v>2</v>
      </c>
      <c r="G562" s="81">
        <f>IF(D562="","",IFERROR(INDEX('Stock pièces'!$I$5:$I$404,MATCH(D562,'Stock pièces'!$A$5:$A$404,0)),0))</f>
        <v/>
      </c>
      <c r="H562" s="81">
        <f>IF(D562="","",N(F562)*N(G562))</f>
        <v/>
      </c>
      <c r="I562" s="7" t="inlineStr">
        <is>
          <t>OT-2025-0701</t>
        </is>
      </c>
      <c r="J562" s="9">
        <f>IF(I562="","",IFERROR(INDEX('Ordres de travail'!$D$5:$D$3004,MATCH(I562,'Ordres de travail'!$A$5:$A$3004,0)),""))</f>
        <v/>
      </c>
      <c r="K562" s="9">
        <f>IF(D562="","",IFERROR(INDEX('Stock pièces'!$D$5:$D$404,MATCH(D562,'Stock pièces'!$A$5:$A$404,0)),""))</f>
        <v/>
      </c>
      <c r="L562" s="7" t="n"/>
      <c r="M562" s="7" t="n"/>
    </row>
    <row r="563">
      <c r="A563" s="7" t="inlineStr">
        <is>
          <t>MV-00559</t>
        </is>
      </c>
      <c r="B563" s="75" t="n">
        <v>45968.86527777778</v>
      </c>
      <c r="C563" s="7" t="inlineStr">
        <is>
          <t>Sortie</t>
        </is>
      </c>
      <c r="D563" s="7" t="inlineStr">
        <is>
          <t>PD-0007</t>
        </is>
      </c>
      <c r="E563" s="9">
        <f>IF(D563="","",IFERROR(INDEX('Stock pièces'!$B$5:$B$404,MATCH(D563,'Stock pièces'!$A$5:$A$404,0)),"Réf. inconnue"))</f>
        <v/>
      </c>
      <c r="F563" s="67" t="n">
        <v>1</v>
      </c>
      <c r="G563" s="81">
        <f>IF(D563="","",IFERROR(INDEX('Stock pièces'!$I$5:$I$404,MATCH(D563,'Stock pièces'!$A$5:$A$404,0)),0))</f>
        <v/>
      </c>
      <c r="H563" s="81">
        <f>IF(D563="","",N(F563)*N(G563))</f>
        <v/>
      </c>
      <c r="I563" s="7" t="inlineStr">
        <is>
          <t>OT-2025-0704</t>
        </is>
      </c>
      <c r="J563" s="9">
        <f>IF(I563="","",IFERROR(INDEX('Ordres de travail'!$D$5:$D$3004,MATCH(I563,'Ordres de travail'!$A$5:$A$3004,0)),""))</f>
        <v/>
      </c>
      <c r="K563" s="9">
        <f>IF(D563="","",IFERROR(INDEX('Stock pièces'!$D$5:$D$404,MATCH(D563,'Stock pièces'!$A$5:$A$404,0)),""))</f>
        <v/>
      </c>
      <c r="L563" s="7" t="n"/>
      <c r="M563" s="7" t="n"/>
    </row>
    <row r="564">
      <c r="A564" s="7" t="inlineStr">
        <is>
          <t>MV-00560</t>
        </is>
      </c>
      <c r="B564" s="75" t="n">
        <v>45968.86527777778</v>
      </c>
      <c r="C564" s="7" t="inlineStr">
        <is>
          <t>Sortie</t>
        </is>
      </c>
      <c r="D564" s="7" t="inlineStr">
        <is>
          <t>PD-0008</t>
        </is>
      </c>
      <c r="E564" s="9">
        <f>IF(D564="","",IFERROR(INDEX('Stock pièces'!$B$5:$B$404,MATCH(D564,'Stock pièces'!$A$5:$A$404,0)),"Réf. inconnue"))</f>
        <v/>
      </c>
      <c r="F564" s="67" t="n">
        <v>2</v>
      </c>
      <c r="G564" s="81">
        <f>IF(D564="","",IFERROR(INDEX('Stock pièces'!$I$5:$I$404,MATCH(D564,'Stock pièces'!$A$5:$A$404,0)),0))</f>
        <v/>
      </c>
      <c r="H564" s="81">
        <f>IF(D564="","",N(F564)*N(G564))</f>
        <v/>
      </c>
      <c r="I564" s="7" t="inlineStr">
        <is>
          <t>OT-2025-0704</t>
        </is>
      </c>
      <c r="J564" s="9">
        <f>IF(I564="","",IFERROR(INDEX('Ordres de travail'!$D$5:$D$3004,MATCH(I564,'Ordres de travail'!$A$5:$A$3004,0)),""))</f>
        <v/>
      </c>
      <c r="K564" s="9">
        <f>IF(D564="","",IFERROR(INDEX('Stock pièces'!$D$5:$D$404,MATCH(D564,'Stock pièces'!$A$5:$A$404,0)),""))</f>
        <v/>
      </c>
      <c r="L564" s="7" t="n"/>
      <c r="M564" s="7" t="n"/>
    </row>
    <row r="565">
      <c r="A565" s="7" t="inlineStr">
        <is>
          <t>MV-00561</t>
        </is>
      </c>
      <c r="B565" s="75" t="n">
        <v>45971.26736111111</v>
      </c>
      <c r="C565" s="7" t="inlineStr">
        <is>
          <t>Sortie</t>
        </is>
      </c>
      <c r="D565" s="7" t="inlineStr">
        <is>
          <t>PD-0062</t>
        </is>
      </c>
      <c r="E565" s="9">
        <f>IF(D565="","",IFERROR(INDEX('Stock pièces'!$B$5:$B$404,MATCH(D565,'Stock pièces'!$A$5:$A$404,0)),"Réf. inconnue"))</f>
        <v/>
      </c>
      <c r="F565" s="67" t="n">
        <v>1</v>
      </c>
      <c r="G565" s="81">
        <f>IF(D565="","",IFERROR(INDEX('Stock pièces'!$I$5:$I$404,MATCH(D565,'Stock pièces'!$A$5:$A$404,0)),0))</f>
        <v/>
      </c>
      <c r="H565" s="81">
        <f>IF(D565="","",N(F565)*N(G565))</f>
        <v/>
      </c>
      <c r="I565" s="7" t="inlineStr">
        <is>
          <t>OT-2025-0687</t>
        </is>
      </c>
      <c r="J565" s="9">
        <f>IF(I565="","",IFERROR(INDEX('Ordres de travail'!$D$5:$D$3004,MATCH(I565,'Ordres de travail'!$A$5:$A$3004,0)),""))</f>
        <v/>
      </c>
      <c r="K565" s="9">
        <f>IF(D565="","",IFERROR(INDEX('Stock pièces'!$D$5:$D$404,MATCH(D565,'Stock pièces'!$A$5:$A$404,0)),""))</f>
        <v/>
      </c>
      <c r="L565" s="7" t="n"/>
      <c r="M565" s="7" t="n"/>
    </row>
    <row r="566">
      <c r="A566" s="7" t="inlineStr">
        <is>
          <t>MV-00562</t>
        </is>
      </c>
      <c r="B566" s="75" t="n">
        <v>45971.41666666666</v>
      </c>
      <c r="C566" s="7" t="inlineStr">
        <is>
          <t>Entrée</t>
        </is>
      </c>
      <c r="D566" s="7" t="inlineStr">
        <is>
          <t>PD-0068</t>
        </is>
      </c>
      <c r="E566" s="9">
        <f>IF(D566="","",IFERROR(INDEX('Stock pièces'!$B$5:$B$404,MATCH(D566,'Stock pièces'!$A$5:$A$404,0)),"Réf. inconnue"))</f>
        <v/>
      </c>
      <c r="F566" s="67" t="n">
        <v>1</v>
      </c>
      <c r="G566" s="81">
        <f>IF(D566="","",IFERROR(INDEX('Stock pièces'!$I$5:$I$404,MATCH(D566,'Stock pièces'!$A$5:$A$404,0)),0))</f>
        <v/>
      </c>
      <c r="H566" s="81">
        <f>IF(D566="","",N(F566)*N(G566))</f>
        <v/>
      </c>
      <c r="I566" s="7" t="n"/>
      <c r="J566" s="9">
        <f>IF(I566="","",IFERROR(INDEX('Ordres de travail'!$D$5:$D$3004,MATCH(I566,'Ordres de travail'!$A$5:$A$3004,0)),""))</f>
        <v/>
      </c>
      <c r="K566" s="9">
        <f>IF(D566="","",IFERROR(INDEX('Stock pièces'!$D$5:$D$404,MATCH(D566,'Stock pièces'!$A$5:$A$404,0)),""))</f>
        <v/>
      </c>
      <c r="L566" s="7" t="inlineStr">
        <is>
          <t>CMD-24159</t>
        </is>
      </c>
      <c r="M566" s="7" t="inlineStr">
        <is>
          <t>Réception commande réappro</t>
        </is>
      </c>
    </row>
    <row r="567">
      <c r="A567" s="7" t="inlineStr">
        <is>
          <t>MV-00563</t>
        </is>
      </c>
      <c r="B567" s="75" t="n">
        <v>45971.45138888889</v>
      </c>
      <c r="C567" s="7" t="inlineStr">
        <is>
          <t>Sortie</t>
        </is>
      </c>
      <c r="D567" s="7" t="inlineStr">
        <is>
          <t>PD-0025</t>
        </is>
      </c>
      <c r="E567" s="9">
        <f>IF(D567="","",IFERROR(INDEX('Stock pièces'!$B$5:$B$404,MATCH(D567,'Stock pièces'!$A$5:$A$404,0)),"Réf. inconnue"))</f>
        <v/>
      </c>
      <c r="F567" s="67" t="n">
        <v>1</v>
      </c>
      <c r="G567" s="81">
        <f>IF(D567="","",IFERROR(INDEX('Stock pièces'!$I$5:$I$404,MATCH(D567,'Stock pièces'!$A$5:$A$404,0)),0))</f>
        <v/>
      </c>
      <c r="H567" s="81">
        <f>IF(D567="","",N(F567)*N(G567))</f>
        <v/>
      </c>
      <c r="I567" s="7" t="inlineStr">
        <is>
          <t>OT-2025-0686</t>
        </is>
      </c>
      <c r="J567" s="9">
        <f>IF(I567="","",IFERROR(INDEX('Ordres de travail'!$D$5:$D$3004,MATCH(I567,'Ordres de travail'!$A$5:$A$3004,0)),""))</f>
        <v/>
      </c>
      <c r="K567" s="9">
        <f>IF(D567="","",IFERROR(INDEX('Stock pièces'!$D$5:$D$404,MATCH(D567,'Stock pièces'!$A$5:$A$404,0)),""))</f>
        <v/>
      </c>
      <c r="L567" s="7" t="n"/>
      <c r="M567" s="7" t="n"/>
    </row>
    <row r="568">
      <c r="A568" s="7" t="inlineStr">
        <is>
          <t>MV-00564</t>
        </is>
      </c>
      <c r="B568" s="75" t="n">
        <v>45972.28819444445</v>
      </c>
      <c r="C568" s="7" t="inlineStr">
        <is>
          <t>Sortie</t>
        </is>
      </c>
      <c r="D568" s="7" t="inlineStr">
        <is>
          <t>PD-0012</t>
        </is>
      </c>
      <c r="E568" s="9">
        <f>IF(D568="","",IFERROR(INDEX('Stock pièces'!$B$5:$B$404,MATCH(D568,'Stock pièces'!$A$5:$A$404,0)),"Réf. inconnue"))</f>
        <v/>
      </c>
      <c r="F568" s="67" t="n">
        <v>1</v>
      </c>
      <c r="G568" s="81">
        <f>IF(D568="","",IFERROR(INDEX('Stock pièces'!$I$5:$I$404,MATCH(D568,'Stock pièces'!$A$5:$A$404,0)),0))</f>
        <v/>
      </c>
      <c r="H568" s="81">
        <f>IF(D568="","",N(F568)*N(G568))</f>
        <v/>
      </c>
      <c r="I568" s="7" t="inlineStr">
        <is>
          <t>OT-2025-0692</t>
        </is>
      </c>
      <c r="J568" s="9">
        <f>IF(I568="","",IFERROR(INDEX('Ordres de travail'!$D$5:$D$3004,MATCH(I568,'Ordres de travail'!$A$5:$A$3004,0)),""))</f>
        <v/>
      </c>
      <c r="K568" s="9">
        <f>IF(D568="","",IFERROR(INDEX('Stock pièces'!$D$5:$D$404,MATCH(D568,'Stock pièces'!$A$5:$A$404,0)),""))</f>
        <v/>
      </c>
      <c r="L568" s="7" t="n"/>
      <c r="M568" s="7" t="n"/>
    </row>
    <row r="569">
      <c r="A569" s="7" t="inlineStr">
        <is>
          <t>MV-00565</t>
        </is>
      </c>
      <c r="B569" s="75" t="n">
        <v>45972.28819444445</v>
      </c>
      <c r="C569" s="7" t="inlineStr">
        <is>
          <t>Sortie</t>
        </is>
      </c>
      <c r="D569" s="7" t="inlineStr">
        <is>
          <t>PD-0013</t>
        </is>
      </c>
      <c r="E569" s="9">
        <f>IF(D569="","",IFERROR(INDEX('Stock pièces'!$B$5:$B$404,MATCH(D569,'Stock pièces'!$A$5:$A$404,0)),"Réf. inconnue"))</f>
        <v/>
      </c>
      <c r="F569" s="67" t="n">
        <v>1</v>
      </c>
      <c r="G569" s="81">
        <f>IF(D569="","",IFERROR(INDEX('Stock pièces'!$I$5:$I$404,MATCH(D569,'Stock pièces'!$A$5:$A$404,0)),0))</f>
        <v/>
      </c>
      <c r="H569" s="81">
        <f>IF(D569="","",N(F569)*N(G569))</f>
        <v/>
      </c>
      <c r="I569" s="7" t="inlineStr">
        <is>
          <t>OT-2025-0692</t>
        </is>
      </c>
      <c r="J569" s="9">
        <f>IF(I569="","",IFERROR(INDEX('Ordres de travail'!$D$5:$D$3004,MATCH(I569,'Ordres de travail'!$A$5:$A$3004,0)),""))</f>
        <v/>
      </c>
      <c r="K569" s="9">
        <f>IF(D569="","",IFERROR(INDEX('Stock pièces'!$D$5:$D$404,MATCH(D569,'Stock pièces'!$A$5:$A$404,0)),""))</f>
        <v/>
      </c>
      <c r="L569" s="7" t="n"/>
      <c r="M569" s="7" t="n"/>
    </row>
    <row r="570">
      <c r="A570" s="7" t="inlineStr">
        <is>
          <t>MV-00566</t>
        </is>
      </c>
      <c r="B570" s="75" t="n">
        <v>45972.28819444445</v>
      </c>
      <c r="C570" s="7" t="inlineStr">
        <is>
          <t>Sortie</t>
        </is>
      </c>
      <c r="D570" s="7" t="inlineStr">
        <is>
          <t>PD-0014</t>
        </is>
      </c>
      <c r="E570" s="9">
        <f>IF(D570="","",IFERROR(INDEX('Stock pièces'!$B$5:$B$404,MATCH(D570,'Stock pièces'!$A$5:$A$404,0)),"Réf. inconnue"))</f>
        <v/>
      </c>
      <c r="F570" s="67" t="n">
        <v>1</v>
      </c>
      <c r="G570" s="81">
        <f>IF(D570="","",IFERROR(INDEX('Stock pièces'!$I$5:$I$404,MATCH(D570,'Stock pièces'!$A$5:$A$404,0)),0))</f>
        <v/>
      </c>
      <c r="H570" s="81">
        <f>IF(D570="","",N(F570)*N(G570))</f>
        <v/>
      </c>
      <c r="I570" s="7" t="inlineStr">
        <is>
          <t>OT-2025-0692</t>
        </is>
      </c>
      <c r="J570" s="9">
        <f>IF(I570="","",IFERROR(INDEX('Ordres de travail'!$D$5:$D$3004,MATCH(I570,'Ordres de travail'!$A$5:$A$3004,0)),""))</f>
        <v/>
      </c>
      <c r="K570" s="9">
        <f>IF(D570="","",IFERROR(INDEX('Stock pièces'!$D$5:$D$404,MATCH(D570,'Stock pièces'!$A$5:$A$404,0)),""))</f>
        <v/>
      </c>
      <c r="L570" s="7" t="n"/>
      <c r="M570" s="7" t="n"/>
    </row>
    <row r="571">
      <c r="A571" s="7" t="inlineStr">
        <is>
          <t>MV-00567</t>
        </is>
      </c>
      <c r="B571" s="75" t="n">
        <v>45972.28819444445</v>
      </c>
      <c r="C571" s="7" t="inlineStr">
        <is>
          <t>Sortie</t>
        </is>
      </c>
      <c r="D571" s="7" t="inlineStr">
        <is>
          <t>PD-0024</t>
        </is>
      </c>
      <c r="E571" s="9">
        <f>IF(D571="","",IFERROR(INDEX('Stock pièces'!$B$5:$B$404,MATCH(D571,'Stock pièces'!$A$5:$A$404,0)),"Réf. inconnue"))</f>
        <v/>
      </c>
      <c r="F571" s="67" t="n">
        <v>1</v>
      </c>
      <c r="G571" s="81">
        <f>IF(D571="","",IFERROR(INDEX('Stock pièces'!$I$5:$I$404,MATCH(D571,'Stock pièces'!$A$5:$A$404,0)),0))</f>
        <v/>
      </c>
      <c r="H571" s="81">
        <f>IF(D571="","",N(F571)*N(G571))</f>
        <v/>
      </c>
      <c r="I571" s="7" t="inlineStr">
        <is>
          <t>OT-2025-0692</t>
        </is>
      </c>
      <c r="J571" s="9">
        <f>IF(I571="","",IFERROR(INDEX('Ordres de travail'!$D$5:$D$3004,MATCH(I571,'Ordres de travail'!$A$5:$A$3004,0)),""))</f>
        <v/>
      </c>
      <c r="K571" s="9">
        <f>IF(D571="","",IFERROR(INDEX('Stock pièces'!$D$5:$D$404,MATCH(D571,'Stock pièces'!$A$5:$A$404,0)),""))</f>
        <v/>
      </c>
      <c r="L571" s="7" t="n"/>
      <c r="M571" s="7" t="n"/>
    </row>
    <row r="572">
      <c r="A572" s="7" t="inlineStr">
        <is>
          <t>MV-00568</t>
        </is>
      </c>
      <c r="B572" s="75" t="n">
        <v>45972.30902777778</v>
      </c>
      <c r="C572" s="7" t="inlineStr">
        <is>
          <t>Sortie</t>
        </is>
      </c>
      <c r="D572" s="7" t="inlineStr">
        <is>
          <t>PD-0017</t>
        </is>
      </c>
      <c r="E572" s="9">
        <f>IF(D572="","",IFERROR(INDEX('Stock pièces'!$B$5:$B$404,MATCH(D572,'Stock pièces'!$A$5:$A$404,0)),"Réf. inconnue"))</f>
        <v/>
      </c>
      <c r="F572" s="67" t="n">
        <v>1</v>
      </c>
      <c r="G572" s="81">
        <f>IF(D572="","",IFERROR(INDEX('Stock pièces'!$I$5:$I$404,MATCH(D572,'Stock pièces'!$A$5:$A$404,0)),0))</f>
        <v/>
      </c>
      <c r="H572" s="81">
        <f>IF(D572="","",N(F572)*N(G572))</f>
        <v/>
      </c>
      <c r="I572" s="7" t="inlineStr">
        <is>
          <t>OT-2025-0693</t>
        </is>
      </c>
      <c r="J572" s="9">
        <f>IF(I572="","",IFERROR(INDEX('Ordres de travail'!$D$5:$D$3004,MATCH(I572,'Ordres de travail'!$A$5:$A$3004,0)),""))</f>
        <v/>
      </c>
      <c r="K572" s="9">
        <f>IF(D572="","",IFERROR(INDEX('Stock pièces'!$D$5:$D$404,MATCH(D572,'Stock pièces'!$A$5:$A$404,0)),""))</f>
        <v/>
      </c>
      <c r="L572" s="7" t="n"/>
      <c r="M572" s="7" t="n"/>
    </row>
    <row r="573">
      <c r="A573" s="7" t="inlineStr">
        <is>
          <t>MV-00569</t>
        </is>
      </c>
      <c r="B573" s="75" t="n">
        <v>45972.41666666666</v>
      </c>
      <c r="C573" s="7" t="inlineStr">
        <is>
          <t>Entrée</t>
        </is>
      </c>
      <c r="D573" s="7" t="inlineStr">
        <is>
          <t>PD-0007</t>
        </is>
      </c>
      <c r="E573" s="9">
        <f>IF(D573="","",IFERROR(INDEX('Stock pièces'!$B$5:$B$404,MATCH(D573,'Stock pièces'!$A$5:$A$404,0)),"Réf. inconnue"))</f>
        <v/>
      </c>
      <c r="F573" s="67" t="n">
        <v>2</v>
      </c>
      <c r="G573" s="81">
        <f>IF(D573="","",IFERROR(INDEX('Stock pièces'!$I$5:$I$404,MATCH(D573,'Stock pièces'!$A$5:$A$404,0)),0))</f>
        <v/>
      </c>
      <c r="H573" s="81">
        <f>IF(D573="","",N(F573)*N(G573))</f>
        <v/>
      </c>
      <c r="I573" s="7" t="n"/>
      <c r="J573" s="9">
        <f>IF(I573="","",IFERROR(INDEX('Ordres de travail'!$D$5:$D$3004,MATCH(I573,'Ordres de travail'!$A$5:$A$3004,0)),""))</f>
        <v/>
      </c>
      <c r="K573" s="9">
        <f>IF(D573="","",IFERROR(INDEX('Stock pièces'!$D$5:$D$404,MATCH(D573,'Stock pièces'!$A$5:$A$404,0)),""))</f>
        <v/>
      </c>
      <c r="L573" s="7" t="inlineStr">
        <is>
          <t>CMD-24162</t>
        </is>
      </c>
      <c r="M573" s="7" t="inlineStr">
        <is>
          <t>Réception commande réappro</t>
        </is>
      </c>
    </row>
    <row r="574">
      <c r="A574" s="7" t="inlineStr">
        <is>
          <t>MV-00570</t>
        </is>
      </c>
      <c r="B574" s="75" t="n">
        <v>45973.27291666667</v>
      </c>
      <c r="C574" s="7" t="inlineStr">
        <is>
          <t>Sortie</t>
        </is>
      </c>
      <c r="D574" s="7" t="inlineStr">
        <is>
          <t>PD-0028</t>
        </is>
      </c>
      <c r="E574" s="9">
        <f>IF(D574="","",IFERROR(INDEX('Stock pièces'!$B$5:$B$404,MATCH(D574,'Stock pièces'!$A$5:$A$404,0)),"Réf. inconnue"))</f>
        <v/>
      </c>
      <c r="F574" s="67" t="n">
        <v>2</v>
      </c>
      <c r="G574" s="81">
        <f>IF(D574="","",IFERROR(INDEX('Stock pièces'!$I$5:$I$404,MATCH(D574,'Stock pièces'!$A$5:$A$404,0)),0))</f>
        <v/>
      </c>
      <c r="H574" s="81">
        <f>IF(D574="","",N(F574)*N(G574))</f>
        <v/>
      </c>
      <c r="I574" s="7" t="inlineStr">
        <is>
          <t>OT-2025-0713</t>
        </is>
      </c>
      <c r="J574" s="9">
        <f>IF(I574="","",IFERROR(INDEX('Ordres de travail'!$D$5:$D$3004,MATCH(I574,'Ordres de travail'!$A$5:$A$3004,0)),""))</f>
        <v/>
      </c>
      <c r="K574" s="9">
        <f>IF(D574="","",IFERROR(INDEX('Stock pièces'!$D$5:$D$404,MATCH(D574,'Stock pièces'!$A$5:$A$404,0)),""))</f>
        <v/>
      </c>
      <c r="L574" s="7" t="n"/>
      <c r="M574" s="7" t="n"/>
    </row>
    <row r="575">
      <c r="A575" s="7" t="inlineStr">
        <is>
          <t>MV-00571</t>
        </is>
      </c>
      <c r="B575" s="75" t="n">
        <v>45973.54166666666</v>
      </c>
      <c r="C575" s="7" t="inlineStr">
        <is>
          <t>Sortie</t>
        </is>
      </c>
      <c r="D575" s="7" t="inlineStr">
        <is>
          <t>PD-0025</t>
        </is>
      </c>
      <c r="E575" s="9">
        <f>IF(D575="","",IFERROR(INDEX('Stock pièces'!$B$5:$B$404,MATCH(D575,'Stock pièces'!$A$5:$A$404,0)),"Réf. inconnue"))</f>
        <v/>
      </c>
      <c r="F575" s="67" t="n">
        <v>1</v>
      </c>
      <c r="G575" s="81">
        <f>IF(D575="","",IFERROR(INDEX('Stock pièces'!$I$5:$I$404,MATCH(D575,'Stock pièces'!$A$5:$A$404,0)),0))</f>
        <v/>
      </c>
      <c r="H575" s="81">
        <f>IF(D575="","",N(F575)*N(G575))</f>
        <v/>
      </c>
      <c r="I575" s="7" t="inlineStr">
        <is>
          <t>OT-2025-0697</t>
        </is>
      </c>
      <c r="J575" s="9">
        <f>IF(I575="","",IFERROR(INDEX('Ordres de travail'!$D$5:$D$3004,MATCH(I575,'Ordres de travail'!$A$5:$A$3004,0)),""))</f>
        <v/>
      </c>
      <c r="K575" s="9">
        <f>IF(D575="","",IFERROR(INDEX('Stock pièces'!$D$5:$D$404,MATCH(D575,'Stock pièces'!$A$5:$A$404,0)),""))</f>
        <v/>
      </c>
      <c r="L575" s="7" t="n"/>
      <c r="M575" s="7" t="n"/>
    </row>
    <row r="576">
      <c r="A576" s="7" t="inlineStr">
        <is>
          <t>MV-00572</t>
        </is>
      </c>
      <c r="B576" s="75" t="n">
        <v>45974.41666666666</v>
      </c>
      <c r="C576" s="7" t="inlineStr">
        <is>
          <t>Entrée</t>
        </is>
      </c>
      <c r="D576" s="7" t="inlineStr">
        <is>
          <t>PD-0045</t>
        </is>
      </c>
      <c r="E576" s="9">
        <f>IF(D576="","",IFERROR(INDEX('Stock pièces'!$B$5:$B$404,MATCH(D576,'Stock pièces'!$A$5:$A$404,0)),"Réf. inconnue"))</f>
        <v/>
      </c>
      <c r="F576" s="67" t="n">
        <v>3</v>
      </c>
      <c r="G576" s="81">
        <f>IF(D576="","",IFERROR(INDEX('Stock pièces'!$I$5:$I$404,MATCH(D576,'Stock pièces'!$A$5:$A$404,0)),0))</f>
        <v/>
      </c>
      <c r="H576" s="81">
        <f>IF(D576="","",N(F576)*N(G576))</f>
        <v/>
      </c>
      <c r="I576" s="7" t="n"/>
      <c r="J576" s="9">
        <f>IF(I576="","",IFERROR(INDEX('Ordres de travail'!$D$5:$D$3004,MATCH(I576,'Ordres de travail'!$A$5:$A$3004,0)),""))</f>
        <v/>
      </c>
      <c r="K576" s="9">
        <f>IF(D576="","",IFERROR(INDEX('Stock pièces'!$D$5:$D$404,MATCH(D576,'Stock pièces'!$A$5:$A$404,0)),""))</f>
        <v/>
      </c>
      <c r="L576" s="7" t="inlineStr">
        <is>
          <t>CMD-24164</t>
        </is>
      </c>
      <c r="M576" s="7" t="inlineStr">
        <is>
          <t>Réception commande réappro</t>
        </is>
      </c>
    </row>
    <row r="577">
      <c r="A577" s="7" t="inlineStr">
        <is>
          <t>MV-00573</t>
        </is>
      </c>
      <c r="B577" s="75" t="n">
        <v>45974.67569444444</v>
      </c>
      <c r="C577" s="7" t="inlineStr">
        <is>
          <t>Sortie</t>
        </is>
      </c>
      <c r="D577" s="7" t="inlineStr">
        <is>
          <t>PD-0071</t>
        </is>
      </c>
      <c r="E577" s="9">
        <f>IF(D577="","",IFERROR(INDEX('Stock pièces'!$B$5:$B$404,MATCH(D577,'Stock pièces'!$A$5:$A$404,0)),"Réf. inconnue"))</f>
        <v/>
      </c>
      <c r="F577" s="67" t="n">
        <v>1</v>
      </c>
      <c r="G577" s="81">
        <f>IF(D577="","",IFERROR(INDEX('Stock pièces'!$I$5:$I$404,MATCH(D577,'Stock pièces'!$A$5:$A$404,0)),0))</f>
        <v/>
      </c>
      <c r="H577" s="81">
        <f>IF(D577="","",N(F577)*N(G577))</f>
        <v/>
      </c>
      <c r="I577" s="7" t="inlineStr">
        <is>
          <t>OT-2025-0718</t>
        </is>
      </c>
      <c r="J577" s="9">
        <f>IF(I577="","",IFERROR(INDEX('Ordres de travail'!$D$5:$D$3004,MATCH(I577,'Ordres de travail'!$A$5:$A$3004,0)),""))</f>
        <v/>
      </c>
      <c r="K577" s="9">
        <f>IF(D577="","",IFERROR(INDEX('Stock pièces'!$D$5:$D$404,MATCH(D577,'Stock pièces'!$A$5:$A$404,0)),""))</f>
        <v/>
      </c>
      <c r="L577" s="7" t="n"/>
      <c r="M577" s="7" t="n"/>
    </row>
    <row r="578">
      <c r="A578" s="7" t="inlineStr">
        <is>
          <t>MV-00574</t>
        </is>
      </c>
      <c r="B578" s="75" t="n">
        <v>45974.67569444444</v>
      </c>
      <c r="C578" s="7" t="inlineStr">
        <is>
          <t>Sortie</t>
        </is>
      </c>
      <c r="D578" s="7" t="inlineStr">
        <is>
          <t>PD-0072</t>
        </is>
      </c>
      <c r="E578" s="9">
        <f>IF(D578="","",IFERROR(INDEX('Stock pièces'!$B$5:$B$404,MATCH(D578,'Stock pièces'!$A$5:$A$404,0)),"Réf. inconnue"))</f>
        <v/>
      </c>
      <c r="F578" s="67" t="n">
        <v>1</v>
      </c>
      <c r="G578" s="81">
        <f>IF(D578="","",IFERROR(INDEX('Stock pièces'!$I$5:$I$404,MATCH(D578,'Stock pièces'!$A$5:$A$404,0)),0))</f>
        <v/>
      </c>
      <c r="H578" s="81">
        <f>IF(D578="","",N(F578)*N(G578))</f>
        <v/>
      </c>
      <c r="I578" s="7" t="inlineStr">
        <is>
          <t>OT-2025-0718</t>
        </is>
      </c>
      <c r="J578" s="9">
        <f>IF(I578="","",IFERROR(INDEX('Ordres de travail'!$D$5:$D$3004,MATCH(I578,'Ordres de travail'!$A$5:$A$3004,0)),""))</f>
        <v/>
      </c>
      <c r="K578" s="9">
        <f>IF(D578="","",IFERROR(INDEX('Stock pièces'!$D$5:$D$404,MATCH(D578,'Stock pièces'!$A$5:$A$404,0)),""))</f>
        <v/>
      </c>
      <c r="L578" s="7" t="n"/>
      <c r="M578" s="7" t="n"/>
    </row>
    <row r="579">
      <c r="A579" s="7" t="inlineStr">
        <is>
          <t>MV-00575</t>
        </is>
      </c>
      <c r="B579" s="75" t="n">
        <v>45975.40972222222</v>
      </c>
      <c r="C579" s="7" t="inlineStr">
        <is>
          <t>Sortie</t>
        </is>
      </c>
      <c r="D579" s="7" t="inlineStr">
        <is>
          <t>PD-0017</t>
        </is>
      </c>
      <c r="E579" s="9">
        <f>IF(D579="","",IFERROR(INDEX('Stock pièces'!$B$5:$B$404,MATCH(D579,'Stock pièces'!$A$5:$A$404,0)),"Réf. inconnue"))</f>
        <v/>
      </c>
      <c r="F579" s="67" t="n">
        <v>1</v>
      </c>
      <c r="G579" s="81">
        <f>IF(D579="","",IFERROR(INDEX('Stock pièces'!$I$5:$I$404,MATCH(D579,'Stock pièces'!$A$5:$A$404,0)),0))</f>
        <v/>
      </c>
      <c r="H579" s="81">
        <f>IF(D579="","",N(F579)*N(G579))</f>
        <v/>
      </c>
      <c r="I579" s="7" t="inlineStr">
        <is>
          <t>OT-2025-0703</t>
        </is>
      </c>
      <c r="J579" s="9">
        <f>IF(I579="","",IFERROR(INDEX('Ordres de travail'!$D$5:$D$3004,MATCH(I579,'Ordres de travail'!$A$5:$A$3004,0)),""))</f>
        <v/>
      </c>
      <c r="K579" s="9">
        <f>IF(D579="","",IFERROR(INDEX('Stock pièces'!$D$5:$D$404,MATCH(D579,'Stock pièces'!$A$5:$A$404,0)),""))</f>
        <v/>
      </c>
      <c r="L579" s="7" t="n"/>
      <c r="M579" s="7" t="n"/>
    </row>
    <row r="580">
      <c r="A580" s="7" t="inlineStr">
        <is>
          <t>MV-00576</t>
        </is>
      </c>
      <c r="B580" s="75" t="n">
        <v>45975.45486111111</v>
      </c>
      <c r="C580" s="7" t="inlineStr">
        <is>
          <t>Sortie</t>
        </is>
      </c>
      <c r="D580" s="7" t="inlineStr">
        <is>
          <t>PD-0021</t>
        </is>
      </c>
      <c r="E580" s="9">
        <f>IF(D580="","",IFERROR(INDEX('Stock pièces'!$B$5:$B$404,MATCH(D580,'Stock pièces'!$A$5:$A$404,0)),"Réf. inconnue"))</f>
        <v/>
      </c>
      <c r="F580" s="67" t="n">
        <v>1</v>
      </c>
      <c r="G580" s="81">
        <f>IF(D580="","",IFERROR(INDEX('Stock pièces'!$I$5:$I$404,MATCH(D580,'Stock pièces'!$A$5:$A$404,0)),0))</f>
        <v/>
      </c>
      <c r="H580" s="81">
        <f>IF(D580="","",N(F580)*N(G580))</f>
        <v/>
      </c>
      <c r="I580" s="7" t="inlineStr">
        <is>
          <t>OT-2025-0702</t>
        </is>
      </c>
      <c r="J580" s="9">
        <f>IF(I580="","",IFERROR(INDEX('Ordres de travail'!$D$5:$D$3004,MATCH(I580,'Ordres de travail'!$A$5:$A$3004,0)),""))</f>
        <v/>
      </c>
      <c r="K580" s="9">
        <f>IF(D580="","",IFERROR(INDEX('Stock pièces'!$D$5:$D$404,MATCH(D580,'Stock pièces'!$A$5:$A$404,0)),""))</f>
        <v/>
      </c>
      <c r="L580" s="7" t="n"/>
      <c r="M580" s="7" t="n"/>
    </row>
    <row r="581">
      <c r="A581" s="7" t="inlineStr">
        <is>
          <t>MV-00577</t>
        </is>
      </c>
      <c r="B581" s="75" t="n">
        <v>45975.50694444445</v>
      </c>
      <c r="C581" s="7" t="inlineStr">
        <is>
          <t>Sortie</t>
        </is>
      </c>
      <c r="D581" s="7" t="inlineStr">
        <is>
          <t>PD-0032</t>
        </is>
      </c>
      <c r="E581" s="9">
        <f>IF(D581="","",IFERROR(INDEX('Stock pièces'!$B$5:$B$404,MATCH(D581,'Stock pièces'!$A$5:$A$404,0)),"Réf. inconnue"))</f>
        <v/>
      </c>
      <c r="F581" s="67" t="n">
        <v>1</v>
      </c>
      <c r="G581" s="81">
        <f>IF(D581="","",IFERROR(INDEX('Stock pièces'!$I$5:$I$404,MATCH(D581,'Stock pièces'!$A$5:$A$404,0)),0))</f>
        <v/>
      </c>
      <c r="H581" s="81">
        <f>IF(D581="","",N(F581)*N(G581))</f>
        <v/>
      </c>
      <c r="I581" s="7" t="inlineStr">
        <is>
          <t>OT-2025-0719</t>
        </is>
      </c>
      <c r="J581" s="9">
        <f>IF(I581="","",IFERROR(INDEX('Ordres de travail'!$D$5:$D$3004,MATCH(I581,'Ordres de travail'!$A$5:$A$3004,0)),""))</f>
        <v/>
      </c>
      <c r="K581" s="9">
        <f>IF(D581="","",IFERROR(INDEX('Stock pièces'!$D$5:$D$404,MATCH(D581,'Stock pièces'!$A$5:$A$404,0)),""))</f>
        <v/>
      </c>
      <c r="L581" s="7" t="n"/>
      <c r="M581" s="7" t="n"/>
    </row>
    <row r="582">
      <c r="A582" s="7" t="inlineStr">
        <is>
          <t>MV-00578</t>
        </is>
      </c>
      <c r="B582" s="75" t="n">
        <v>45978.41666666666</v>
      </c>
      <c r="C582" s="7" t="inlineStr">
        <is>
          <t>Entrée</t>
        </is>
      </c>
      <c r="D582" s="7" t="inlineStr">
        <is>
          <t>PD-0043</t>
        </is>
      </c>
      <c r="E582" s="9">
        <f>IF(D582="","",IFERROR(INDEX('Stock pièces'!$B$5:$B$404,MATCH(D582,'Stock pièces'!$A$5:$A$404,0)),"Réf. inconnue"))</f>
        <v/>
      </c>
      <c r="F582" s="67" t="n">
        <v>1</v>
      </c>
      <c r="G582" s="81">
        <f>IF(D582="","",IFERROR(INDEX('Stock pièces'!$I$5:$I$404,MATCH(D582,'Stock pièces'!$A$5:$A$404,0)),0))</f>
        <v/>
      </c>
      <c r="H582" s="81">
        <f>IF(D582="","",N(F582)*N(G582))</f>
        <v/>
      </c>
      <c r="I582" s="7" t="n"/>
      <c r="J582" s="9">
        <f>IF(I582="","",IFERROR(INDEX('Ordres de travail'!$D$5:$D$3004,MATCH(I582,'Ordres de travail'!$A$5:$A$3004,0)),""))</f>
        <v/>
      </c>
      <c r="K582" s="9">
        <f>IF(D582="","",IFERROR(INDEX('Stock pièces'!$D$5:$D$404,MATCH(D582,'Stock pièces'!$A$5:$A$404,0)),""))</f>
        <v/>
      </c>
      <c r="L582" s="7" t="inlineStr">
        <is>
          <t>CMD-24163</t>
        </is>
      </c>
      <c r="M582" s="7" t="inlineStr">
        <is>
          <t>Réception commande réappro</t>
        </is>
      </c>
    </row>
    <row r="583">
      <c r="A583" s="7" t="inlineStr">
        <is>
          <t>MV-00579</t>
        </is>
      </c>
      <c r="B583" s="75" t="n">
        <v>45978.41666666666</v>
      </c>
      <c r="C583" s="7" t="inlineStr">
        <is>
          <t>Entrée</t>
        </is>
      </c>
      <c r="D583" s="7" t="inlineStr">
        <is>
          <t>PD-0012</t>
        </is>
      </c>
      <c r="E583" s="9">
        <f>IF(D583="","",IFERROR(INDEX('Stock pièces'!$B$5:$B$404,MATCH(D583,'Stock pièces'!$A$5:$A$404,0)),"Réf. inconnue"))</f>
        <v/>
      </c>
      <c r="F583" s="67" t="n">
        <v>4</v>
      </c>
      <c r="G583" s="81">
        <f>IF(D583="","",IFERROR(INDEX('Stock pièces'!$I$5:$I$404,MATCH(D583,'Stock pièces'!$A$5:$A$404,0)),0))</f>
        <v/>
      </c>
      <c r="H583" s="81">
        <f>IF(D583="","",N(F583)*N(G583))</f>
        <v/>
      </c>
      <c r="I583" s="7" t="n"/>
      <c r="J583" s="9">
        <f>IF(I583="","",IFERROR(INDEX('Ordres de travail'!$D$5:$D$3004,MATCH(I583,'Ordres de travail'!$A$5:$A$3004,0)),""))</f>
        <v/>
      </c>
      <c r="K583" s="9">
        <f>IF(D583="","",IFERROR(INDEX('Stock pièces'!$D$5:$D$404,MATCH(D583,'Stock pièces'!$A$5:$A$404,0)),""))</f>
        <v/>
      </c>
      <c r="L583" s="7" t="inlineStr">
        <is>
          <t>CMD-24165</t>
        </is>
      </c>
      <c r="M583" s="7" t="inlineStr">
        <is>
          <t>Réception commande réappro</t>
        </is>
      </c>
    </row>
    <row r="584">
      <c r="A584" s="7" t="inlineStr">
        <is>
          <t>MV-00580</t>
        </is>
      </c>
      <c r="B584" s="75" t="n">
        <v>45978.55694444444</v>
      </c>
      <c r="C584" s="7" t="inlineStr">
        <is>
          <t>Sortie</t>
        </is>
      </c>
      <c r="D584" s="7" t="inlineStr">
        <is>
          <t>PD-0073</t>
        </is>
      </c>
      <c r="E584" s="9">
        <f>IF(D584="","",IFERROR(INDEX('Stock pièces'!$B$5:$B$404,MATCH(D584,'Stock pièces'!$A$5:$A$404,0)),"Réf. inconnue"))</f>
        <v/>
      </c>
      <c r="F584" s="67" t="n">
        <v>1</v>
      </c>
      <c r="G584" s="81">
        <f>IF(D584="","",IFERROR(INDEX('Stock pièces'!$I$5:$I$404,MATCH(D584,'Stock pièces'!$A$5:$A$404,0)),0))</f>
        <v/>
      </c>
      <c r="H584" s="81">
        <f>IF(D584="","",N(F584)*N(G584))</f>
        <v/>
      </c>
      <c r="I584" s="7" t="inlineStr">
        <is>
          <t>OT-2025-0723</t>
        </is>
      </c>
      <c r="J584" s="9">
        <f>IF(I584="","",IFERROR(INDEX('Ordres de travail'!$D$5:$D$3004,MATCH(I584,'Ordres de travail'!$A$5:$A$3004,0)),""))</f>
        <v/>
      </c>
      <c r="K584" s="9">
        <f>IF(D584="","",IFERROR(INDEX('Stock pièces'!$D$5:$D$404,MATCH(D584,'Stock pièces'!$A$5:$A$404,0)),""))</f>
        <v/>
      </c>
      <c r="L584" s="7" t="n"/>
      <c r="M584" s="7" t="n"/>
    </row>
    <row r="585">
      <c r="A585" s="7" t="inlineStr">
        <is>
          <t>MV-00581</t>
        </is>
      </c>
      <c r="B585" s="75" t="n">
        <v>45979.41666666666</v>
      </c>
      <c r="C585" s="7" t="inlineStr">
        <is>
          <t>Entrée</t>
        </is>
      </c>
      <c r="D585" s="7" t="inlineStr">
        <is>
          <t>PD-0028</t>
        </is>
      </c>
      <c r="E585" s="9">
        <f>IF(D585="","",IFERROR(INDEX('Stock pièces'!$B$5:$B$404,MATCH(D585,'Stock pièces'!$A$5:$A$404,0)),"Réf. inconnue"))</f>
        <v/>
      </c>
      <c r="F585" s="67" t="n">
        <v>6</v>
      </c>
      <c r="G585" s="81">
        <f>IF(D585="","",IFERROR(INDEX('Stock pièces'!$I$5:$I$404,MATCH(D585,'Stock pièces'!$A$5:$A$404,0)),0))</f>
        <v/>
      </c>
      <c r="H585" s="81">
        <f>IF(D585="","",N(F585)*N(G585))</f>
        <v/>
      </c>
      <c r="I585" s="7" t="n"/>
      <c r="J585" s="9">
        <f>IF(I585="","",IFERROR(INDEX('Ordres de travail'!$D$5:$D$3004,MATCH(I585,'Ordres de travail'!$A$5:$A$3004,0)),""))</f>
        <v/>
      </c>
      <c r="K585" s="9">
        <f>IF(D585="","",IFERROR(INDEX('Stock pièces'!$D$5:$D$404,MATCH(D585,'Stock pièces'!$A$5:$A$404,0)),""))</f>
        <v/>
      </c>
      <c r="L585" s="7" t="inlineStr">
        <is>
          <t>CMD-24168</t>
        </is>
      </c>
      <c r="M585" s="7" t="inlineStr">
        <is>
          <t>Réception commande réappro</t>
        </is>
      </c>
    </row>
    <row r="586">
      <c r="A586" s="7" t="inlineStr">
        <is>
          <t>MV-00582</t>
        </is>
      </c>
      <c r="B586" s="75" t="n">
        <v>45980.38125</v>
      </c>
      <c r="C586" s="7" t="inlineStr">
        <is>
          <t>Sortie</t>
        </is>
      </c>
      <c r="D586" s="7" t="inlineStr">
        <is>
          <t>PD-0007</t>
        </is>
      </c>
      <c r="E586" s="9">
        <f>IF(D586="","",IFERROR(INDEX('Stock pièces'!$B$5:$B$404,MATCH(D586,'Stock pièces'!$A$5:$A$404,0)),"Réf. inconnue"))</f>
        <v/>
      </c>
      <c r="F586" s="67" t="n">
        <v>1</v>
      </c>
      <c r="G586" s="81">
        <f>IF(D586="","",IFERROR(INDEX('Stock pièces'!$I$5:$I$404,MATCH(D586,'Stock pièces'!$A$5:$A$404,0)),0))</f>
        <v/>
      </c>
      <c r="H586" s="81">
        <f>IF(D586="","",N(F586)*N(G586))</f>
        <v/>
      </c>
      <c r="I586" s="7" t="inlineStr">
        <is>
          <t>OT-2025-0731</t>
        </is>
      </c>
      <c r="J586" s="9">
        <f>IF(I586="","",IFERROR(INDEX('Ordres de travail'!$D$5:$D$3004,MATCH(I586,'Ordres de travail'!$A$5:$A$3004,0)),""))</f>
        <v/>
      </c>
      <c r="K586" s="9">
        <f>IF(D586="","",IFERROR(INDEX('Stock pièces'!$D$5:$D$404,MATCH(D586,'Stock pièces'!$A$5:$A$404,0)),""))</f>
        <v/>
      </c>
      <c r="L586" s="7" t="n"/>
      <c r="M586" s="7" t="n"/>
    </row>
    <row r="587">
      <c r="A587" s="7" t="inlineStr">
        <is>
          <t>MV-00583</t>
        </is>
      </c>
      <c r="B587" s="75" t="n">
        <v>45980.41666666666</v>
      </c>
      <c r="C587" s="7" t="inlineStr">
        <is>
          <t>Entrée</t>
        </is>
      </c>
      <c r="D587" s="7" t="inlineStr">
        <is>
          <t>PD-0024</t>
        </is>
      </c>
      <c r="E587" s="9">
        <f>IF(D587="","",IFERROR(INDEX('Stock pièces'!$B$5:$B$404,MATCH(D587,'Stock pièces'!$A$5:$A$404,0)),"Réf. inconnue"))</f>
        <v/>
      </c>
      <c r="F587" s="67" t="n">
        <v>2</v>
      </c>
      <c r="G587" s="81">
        <f>IF(D587="","",IFERROR(INDEX('Stock pièces'!$I$5:$I$404,MATCH(D587,'Stock pièces'!$A$5:$A$404,0)),0))</f>
        <v/>
      </c>
      <c r="H587" s="81">
        <f>IF(D587="","",N(F587)*N(G587))</f>
        <v/>
      </c>
      <c r="I587" s="7" t="n"/>
      <c r="J587" s="9">
        <f>IF(I587="","",IFERROR(INDEX('Ordres de travail'!$D$5:$D$3004,MATCH(I587,'Ordres de travail'!$A$5:$A$3004,0)),""))</f>
        <v/>
      </c>
      <c r="K587" s="9">
        <f>IF(D587="","",IFERROR(INDEX('Stock pièces'!$D$5:$D$404,MATCH(D587,'Stock pièces'!$A$5:$A$404,0)),""))</f>
        <v/>
      </c>
      <c r="L587" s="7" t="inlineStr">
        <is>
          <t>CMD-24167</t>
        </is>
      </c>
      <c r="M587" s="7" t="inlineStr">
        <is>
          <t>Réception commande réappro</t>
        </is>
      </c>
    </row>
    <row r="588">
      <c r="A588" s="7" t="inlineStr">
        <is>
          <t>MV-00584</t>
        </is>
      </c>
      <c r="B588" s="75" t="n">
        <v>45980.41666666666</v>
      </c>
      <c r="C588" s="7" t="inlineStr">
        <is>
          <t>Entrée</t>
        </is>
      </c>
      <c r="D588" s="7" t="inlineStr">
        <is>
          <t>PD-0032</t>
        </is>
      </c>
      <c r="E588" s="9">
        <f>IF(D588="","",IFERROR(INDEX('Stock pièces'!$B$5:$B$404,MATCH(D588,'Stock pièces'!$A$5:$A$404,0)),"Réf. inconnue"))</f>
        <v/>
      </c>
      <c r="F588" s="67" t="n">
        <v>2</v>
      </c>
      <c r="G588" s="81">
        <f>IF(D588="","",IFERROR(INDEX('Stock pièces'!$I$5:$I$404,MATCH(D588,'Stock pièces'!$A$5:$A$404,0)),0))</f>
        <v/>
      </c>
      <c r="H588" s="81">
        <f>IF(D588="","",N(F588)*N(G588))</f>
        <v/>
      </c>
      <c r="I588" s="7" t="n"/>
      <c r="J588" s="9">
        <f>IF(I588="","",IFERROR(INDEX('Ordres de travail'!$D$5:$D$3004,MATCH(I588,'Ordres de travail'!$A$5:$A$3004,0)),""))</f>
        <v/>
      </c>
      <c r="K588" s="9">
        <f>IF(D588="","",IFERROR(INDEX('Stock pièces'!$D$5:$D$404,MATCH(D588,'Stock pièces'!$A$5:$A$404,0)),""))</f>
        <v/>
      </c>
      <c r="L588" s="7" t="inlineStr">
        <is>
          <t>CMD-24169</t>
        </is>
      </c>
      <c r="M588" s="7" t="inlineStr">
        <is>
          <t>Réception commande réappro</t>
        </is>
      </c>
    </row>
    <row r="589">
      <c r="A589" s="7" t="inlineStr">
        <is>
          <t>MV-00585</t>
        </is>
      </c>
      <c r="B589" s="75" t="n">
        <v>45980.83611111111</v>
      </c>
      <c r="C589" s="7" t="inlineStr">
        <is>
          <t>Sortie</t>
        </is>
      </c>
      <c r="D589" s="7" t="inlineStr">
        <is>
          <t>PD-0045</t>
        </is>
      </c>
      <c r="E589" s="9">
        <f>IF(D589="","",IFERROR(INDEX('Stock pièces'!$B$5:$B$404,MATCH(D589,'Stock pièces'!$A$5:$A$404,0)),"Réf. inconnue"))</f>
        <v/>
      </c>
      <c r="F589" s="67" t="n">
        <v>1</v>
      </c>
      <c r="G589" s="81">
        <f>IF(D589="","",IFERROR(INDEX('Stock pièces'!$I$5:$I$404,MATCH(D589,'Stock pièces'!$A$5:$A$404,0)),0))</f>
        <v/>
      </c>
      <c r="H589" s="81">
        <f>IF(D589="","",N(F589)*N(G589))</f>
        <v/>
      </c>
      <c r="I589" s="7" t="inlineStr">
        <is>
          <t>OT-2025-0720</t>
        </is>
      </c>
      <c r="J589" s="9">
        <f>IF(I589="","",IFERROR(INDEX('Ordres de travail'!$D$5:$D$3004,MATCH(I589,'Ordres de travail'!$A$5:$A$3004,0)),""))</f>
        <v/>
      </c>
      <c r="K589" s="9">
        <f>IF(D589="","",IFERROR(INDEX('Stock pièces'!$D$5:$D$404,MATCH(D589,'Stock pièces'!$A$5:$A$404,0)),""))</f>
        <v/>
      </c>
      <c r="L589" s="7" t="n"/>
      <c r="M589" s="7" t="n"/>
    </row>
    <row r="590">
      <c r="A590" s="7" t="inlineStr">
        <is>
          <t>MV-00586</t>
        </is>
      </c>
      <c r="B590" s="75" t="n">
        <v>45982.05208333334</v>
      </c>
      <c r="C590" s="7" t="inlineStr">
        <is>
          <t>Sortie</t>
        </is>
      </c>
      <c r="D590" s="7" t="inlineStr">
        <is>
          <t>PD-0043</t>
        </is>
      </c>
      <c r="E590" s="9">
        <f>IF(D590="","",IFERROR(INDEX('Stock pièces'!$B$5:$B$404,MATCH(D590,'Stock pièces'!$A$5:$A$404,0)),"Réf. inconnue"))</f>
        <v/>
      </c>
      <c r="F590" s="67" t="n">
        <v>1</v>
      </c>
      <c r="G590" s="81">
        <f>IF(D590="","",IFERROR(INDEX('Stock pièces'!$I$5:$I$404,MATCH(D590,'Stock pièces'!$A$5:$A$404,0)),0))</f>
        <v/>
      </c>
      <c r="H590" s="81">
        <f>IF(D590="","",N(F590)*N(G590))</f>
        <v/>
      </c>
      <c r="I590" s="7" t="inlineStr">
        <is>
          <t>OT-2025-0736</t>
        </is>
      </c>
      <c r="J590" s="9">
        <f>IF(I590="","",IFERROR(INDEX('Ordres de travail'!$D$5:$D$3004,MATCH(I590,'Ordres de travail'!$A$5:$A$3004,0)),""))</f>
        <v/>
      </c>
      <c r="K590" s="9">
        <f>IF(D590="","",IFERROR(INDEX('Stock pièces'!$D$5:$D$404,MATCH(D590,'Stock pièces'!$A$5:$A$404,0)),""))</f>
        <v/>
      </c>
      <c r="L590" s="7" t="n"/>
      <c r="M590" s="7" t="n"/>
    </row>
    <row r="591">
      <c r="A591" s="7" t="inlineStr">
        <is>
          <t>MV-00587</t>
        </is>
      </c>
      <c r="B591" s="75" t="n">
        <v>45982.41666666666</v>
      </c>
      <c r="C591" s="7" t="inlineStr">
        <is>
          <t>Entrée</t>
        </is>
      </c>
      <c r="D591" s="7" t="inlineStr">
        <is>
          <t>PD-0014</t>
        </is>
      </c>
      <c r="E591" s="9">
        <f>IF(D591="","",IFERROR(INDEX('Stock pièces'!$B$5:$B$404,MATCH(D591,'Stock pièces'!$A$5:$A$404,0)),"Réf. inconnue"))</f>
        <v/>
      </c>
      <c r="F591" s="67" t="n">
        <v>1</v>
      </c>
      <c r="G591" s="81">
        <f>IF(D591="","",IFERROR(INDEX('Stock pièces'!$I$5:$I$404,MATCH(D591,'Stock pièces'!$A$5:$A$404,0)),0))</f>
        <v/>
      </c>
      <c r="H591" s="81">
        <f>IF(D591="","",N(F591)*N(G591))</f>
        <v/>
      </c>
      <c r="I591" s="7" t="n"/>
      <c r="J591" s="9">
        <f>IF(I591="","",IFERROR(INDEX('Ordres de travail'!$D$5:$D$3004,MATCH(I591,'Ordres de travail'!$A$5:$A$3004,0)),""))</f>
        <v/>
      </c>
      <c r="K591" s="9">
        <f>IF(D591="","",IFERROR(INDEX('Stock pièces'!$D$5:$D$404,MATCH(D591,'Stock pièces'!$A$5:$A$404,0)),""))</f>
        <v/>
      </c>
      <c r="L591" s="7" t="inlineStr">
        <is>
          <t>CMD-24166</t>
        </is>
      </c>
      <c r="M591" s="7" t="inlineStr">
        <is>
          <t>Réception commande réappro</t>
        </is>
      </c>
    </row>
    <row r="592">
      <c r="A592" s="7" t="inlineStr">
        <is>
          <t>MV-00588</t>
        </is>
      </c>
      <c r="B592" s="75" t="n">
        <v>45982.58541666667</v>
      </c>
      <c r="C592" s="7" t="inlineStr">
        <is>
          <t>Sortie</t>
        </is>
      </c>
      <c r="D592" s="7" t="inlineStr">
        <is>
          <t>PD-0062</t>
        </is>
      </c>
      <c r="E592" s="9">
        <f>IF(D592="","",IFERROR(INDEX('Stock pièces'!$B$5:$B$404,MATCH(D592,'Stock pièces'!$A$5:$A$404,0)),"Réf. inconnue"))</f>
        <v/>
      </c>
      <c r="F592" s="67" t="n">
        <v>1</v>
      </c>
      <c r="G592" s="81">
        <f>IF(D592="","",IFERROR(INDEX('Stock pièces'!$I$5:$I$404,MATCH(D592,'Stock pièces'!$A$5:$A$404,0)),0))</f>
        <v/>
      </c>
      <c r="H592" s="81">
        <f>IF(D592="","",N(F592)*N(G592))</f>
        <v/>
      </c>
      <c r="I592" s="7" t="inlineStr">
        <is>
          <t>OT-2025-0738</t>
        </is>
      </c>
      <c r="J592" s="9">
        <f>IF(I592="","",IFERROR(INDEX('Ordres de travail'!$D$5:$D$3004,MATCH(I592,'Ordres de travail'!$A$5:$A$3004,0)),""))</f>
        <v/>
      </c>
      <c r="K592" s="9">
        <f>IF(D592="","",IFERROR(INDEX('Stock pièces'!$D$5:$D$404,MATCH(D592,'Stock pièces'!$A$5:$A$404,0)),""))</f>
        <v/>
      </c>
      <c r="L592" s="7" t="n"/>
      <c r="M592" s="7" t="n"/>
    </row>
    <row r="593">
      <c r="A593" s="7" t="inlineStr">
        <is>
          <t>MV-00589</t>
        </is>
      </c>
      <c r="B593" s="75" t="n">
        <v>45982.65972222222</v>
      </c>
      <c r="C593" s="7" t="inlineStr">
        <is>
          <t>Sortie</t>
        </is>
      </c>
      <c r="D593" s="7" t="inlineStr">
        <is>
          <t>PD-0069</t>
        </is>
      </c>
      <c r="E593" s="9">
        <f>IF(D593="","",IFERROR(INDEX('Stock pièces'!$B$5:$B$404,MATCH(D593,'Stock pièces'!$A$5:$A$404,0)),"Réf. inconnue"))</f>
        <v/>
      </c>
      <c r="F593" s="67" t="n">
        <v>1</v>
      </c>
      <c r="G593" s="81">
        <f>IF(D593="","",IFERROR(INDEX('Stock pièces'!$I$5:$I$404,MATCH(D593,'Stock pièces'!$A$5:$A$404,0)),0))</f>
        <v/>
      </c>
      <c r="H593" s="81">
        <f>IF(D593="","",N(F593)*N(G593))</f>
        <v/>
      </c>
      <c r="I593" s="7" t="inlineStr">
        <is>
          <t>OT-2025-0741</t>
        </is>
      </c>
      <c r="J593" s="9">
        <f>IF(I593="","",IFERROR(INDEX('Ordres de travail'!$D$5:$D$3004,MATCH(I593,'Ordres de travail'!$A$5:$A$3004,0)),""))</f>
        <v/>
      </c>
      <c r="K593" s="9">
        <f>IF(D593="","",IFERROR(INDEX('Stock pièces'!$D$5:$D$404,MATCH(D593,'Stock pièces'!$A$5:$A$404,0)),""))</f>
        <v/>
      </c>
      <c r="L593" s="7" t="n"/>
      <c r="M593" s="7" t="n"/>
    </row>
    <row r="594">
      <c r="A594" s="7" t="inlineStr">
        <is>
          <t>MV-00590</t>
        </is>
      </c>
      <c r="B594" s="75" t="n">
        <v>45982.86180555556</v>
      </c>
      <c r="C594" s="7" t="inlineStr">
        <is>
          <t>Sortie</t>
        </is>
      </c>
      <c r="D594" s="7" t="inlineStr">
        <is>
          <t>PD-0031</t>
        </is>
      </c>
      <c r="E594" s="9">
        <f>IF(D594="","",IFERROR(INDEX('Stock pièces'!$B$5:$B$404,MATCH(D594,'Stock pièces'!$A$5:$A$404,0)),"Réf. inconnue"))</f>
        <v/>
      </c>
      <c r="F594" s="67" t="n">
        <v>1</v>
      </c>
      <c r="G594" s="81">
        <f>IF(D594="","",IFERROR(INDEX('Stock pièces'!$I$5:$I$404,MATCH(D594,'Stock pièces'!$A$5:$A$404,0)),0))</f>
        <v/>
      </c>
      <c r="H594" s="81">
        <f>IF(D594="","",N(F594)*N(G594))</f>
        <v/>
      </c>
      <c r="I594" s="7" t="inlineStr">
        <is>
          <t>OT-2025-0742</t>
        </is>
      </c>
      <c r="J594" s="9">
        <f>IF(I594="","",IFERROR(INDEX('Ordres de travail'!$D$5:$D$3004,MATCH(I594,'Ordres de travail'!$A$5:$A$3004,0)),""))</f>
        <v/>
      </c>
      <c r="K594" s="9">
        <f>IF(D594="","",IFERROR(INDEX('Stock pièces'!$D$5:$D$404,MATCH(D594,'Stock pièces'!$A$5:$A$404,0)),""))</f>
        <v/>
      </c>
      <c r="L594" s="7" t="n"/>
      <c r="M594" s="7" t="n"/>
    </row>
    <row r="595">
      <c r="A595" s="7" t="inlineStr">
        <is>
          <t>MV-00591</t>
        </is>
      </c>
      <c r="B595" s="75" t="n">
        <v>45982.86180555556</v>
      </c>
      <c r="C595" s="7" t="inlineStr">
        <is>
          <t>Sortie</t>
        </is>
      </c>
      <c r="D595" s="7" t="inlineStr">
        <is>
          <t>PD-0036</t>
        </is>
      </c>
      <c r="E595" s="9">
        <f>IF(D595="","",IFERROR(INDEX('Stock pièces'!$B$5:$B$404,MATCH(D595,'Stock pièces'!$A$5:$A$404,0)),"Réf. inconnue"))</f>
        <v/>
      </c>
      <c r="F595" s="67" t="n">
        <v>1</v>
      </c>
      <c r="G595" s="81">
        <f>IF(D595="","",IFERROR(INDEX('Stock pièces'!$I$5:$I$404,MATCH(D595,'Stock pièces'!$A$5:$A$404,0)),0))</f>
        <v/>
      </c>
      <c r="H595" s="81">
        <f>IF(D595="","",N(F595)*N(G595))</f>
        <v/>
      </c>
      <c r="I595" s="7" t="inlineStr">
        <is>
          <t>OT-2025-0742</t>
        </is>
      </c>
      <c r="J595" s="9">
        <f>IF(I595="","",IFERROR(INDEX('Ordres de travail'!$D$5:$D$3004,MATCH(I595,'Ordres de travail'!$A$5:$A$3004,0)),""))</f>
        <v/>
      </c>
      <c r="K595" s="9">
        <f>IF(D595="","",IFERROR(INDEX('Stock pièces'!$D$5:$D$404,MATCH(D595,'Stock pièces'!$A$5:$A$404,0)),""))</f>
        <v/>
      </c>
      <c r="L595" s="7" t="n"/>
      <c r="M595" s="7" t="n"/>
    </row>
    <row r="596">
      <c r="A596" s="7" t="inlineStr">
        <is>
          <t>MV-00592</t>
        </is>
      </c>
      <c r="B596" s="75" t="n">
        <v>45982.91944444444</v>
      </c>
      <c r="C596" s="7" t="inlineStr">
        <is>
          <t>Sortie</t>
        </is>
      </c>
      <c r="D596" s="7" t="inlineStr">
        <is>
          <t>PD-0071</t>
        </is>
      </c>
      <c r="E596" s="9">
        <f>IF(D596="","",IFERROR(INDEX('Stock pièces'!$B$5:$B$404,MATCH(D596,'Stock pièces'!$A$5:$A$404,0)),"Réf. inconnue"))</f>
        <v/>
      </c>
      <c r="F596" s="67" t="n">
        <v>2</v>
      </c>
      <c r="G596" s="81">
        <f>IF(D596="","",IFERROR(INDEX('Stock pièces'!$I$5:$I$404,MATCH(D596,'Stock pièces'!$A$5:$A$404,0)),0))</f>
        <v/>
      </c>
      <c r="H596" s="81">
        <f>IF(D596="","",N(F596)*N(G596))</f>
        <v/>
      </c>
      <c r="I596" s="7" t="inlineStr">
        <is>
          <t>OT-2025-0743</t>
        </is>
      </c>
      <c r="J596" s="9">
        <f>IF(I596="","",IFERROR(INDEX('Ordres de travail'!$D$5:$D$3004,MATCH(I596,'Ordres de travail'!$A$5:$A$3004,0)),""))</f>
        <v/>
      </c>
      <c r="K596" s="9">
        <f>IF(D596="","",IFERROR(INDEX('Stock pièces'!$D$5:$D$404,MATCH(D596,'Stock pièces'!$A$5:$A$404,0)),""))</f>
        <v/>
      </c>
      <c r="L596" s="7" t="n"/>
      <c r="M596" s="7" t="n"/>
    </row>
    <row r="597">
      <c r="A597" s="7" t="inlineStr">
        <is>
          <t>MV-00593</t>
        </is>
      </c>
      <c r="B597" s="75" t="n">
        <v>45985.30555555555</v>
      </c>
      <c r="C597" s="7" t="inlineStr">
        <is>
          <t>Sortie</t>
        </is>
      </c>
      <c r="D597" s="7" t="inlineStr">
        <is>
          <t>PD-0025</t>
        </is>
      </c>
      <c r="E597" s="9">
        <f>IF(D597="","",IFERROR(INDEX('Stock pièces'!$B$5:$B$404,MATCH(D597,'Stock pièces'!$A$5:$A$404,0)),"Réf. inconnue"))</f>
        <v/>
      </c>
      <c r="F597" s="67" t="n">
        <v>2</v>
      </c>
      <c r="G597" s="81">
        <f>IF(D597="","",IFERROR(INDEX('Stock pièces'!$I$5:$I$404,MATCH(D597,'Stock pièces'!$A$5:$A$404,0)),0))</f>
        <v/>
      </c>
      <c r="H597" s="81">
        <f>IF(D597="","",N(F597)*N(G597))</f>
        <v/>
      </c>
      <c r="I597" s="7" t="inlineStr">
        <is>
          <t>OT-2025-0724</t>
        </is>
      </c>
      <c r="J597" s="9">
        <f>IF(I597="","",IFERROR(INDEX('Ordres de travail'!$D$5:$D$3004,MATCH(I597,'Ordres de travail'!$A$5:$A$3004,0)),""))</f>
        <v/>
      </c>
      <c r="K597" s="9">
        <f>IF(D597="","",IFERROR(INDEX('Stock pièces'!$D$5:$D$404,MATCH(D597,'Stock pièces'!$A$5:$A$404,0)),""))</f>
        <v/>
      </c>
      <c r="L597" s="7" t="n"/>
      <c r="M597" s="7" t="n"/>
    </row>
    <row r="598">
      <c r="A598" s="7" t="inlineStr">
        <is>
          <t>MV-00594</t>
        </is>
      </c>
      <c r="B598" s="75" t="n">
        <v>45985.53819444445</v>
      </c>
      <c r="C598" s="7" t="inlineStr">
        <is>
          <t>Sortie</t>
        </is>
      </c>
      <c r="D598" s="7" t="inlineStr">
        <is>
          <t>PD-0074</t>
        </is>
      </c>
      <c r="E598" s="9">
        <f>IF(D598="","",IFERROR(INDEX('Stock pièces'!$B$5:$B$404,MATCH(D598,'Stock pièces'!$A$5:$A$404,0)),"Réf. inconnue"))</f>
        <v/>
      </c>
      <c r="F598" s="67" t="n">
        <v>1</v>
      </c>
      <c r="G598" s="81">
        <f>IF(D598="","",IFERROR(INDEX('Stock pièces'!$I$5:$I$404,MATCH(D598,'Stock pièces'!$A$5:$A$404,0)),0))</f>
        <v/>
      </c>
      <c r="H598" s="81">
        <f>IF(D598="","",N(F598)*N(G598))</f>
        <v/>
      </c>
      <c r="I598" s="7" t="inlineStr">
        <is>
          <t>OT-2025-0745</t>
        </is>
      </c>
      <c r="J598" s="9">
        <f>IF(I598="","",IFERROR(INDEX('Ordres de travail'!$D$5:$D$3004,MATCH(I598,'Ordres de travail'!$A$5:$A$3004,0)),""))</f>
        <v/>
      </c>
      <c r="K598" s="9">
        <f>IF(D598="","",IFERROR(INDEX('Stock pièces'!$D$5:$D$404,MATCH(D598,'Stock pièces'!$A$5:$A$404,0)),""))</f>
        <v/>
      </c>
      <c r="L598" s="7" t="n"/>
      <c r="M598" s="7" t="n"/>
    </row>
    <row r="599">
      <c r="A599" s="7" t="inlineStr">
        <is>
          <t>MV-00595</t>
        </is>
      </c>
      <c r="B599" s="75" t="n">
        <v>45985.60416666666</v>
      </c>
      <c r="C599" s="7" t="inlineStr">
        <is>
          <t>Sortie</t>
        </is>
      </c>
      <c r="D599" s="7" t="inlineStr">
        <is>
          <t>PD-0025</t>
        </is>
      </c>
      <c r="E599" s="9">
        <f>IF(D599="","",IFERROR(INDEX('Stock pièces'!$B$5:$B$404,MATCH(D599,'Stock pièces'!$A$5:$A$404,0)),"Réf. inconnue"))</f>
        <v/>
      </c>
      <c r="F599" s="67" t="n">
        <v>1</v>
      </c>
      <c r="G599" s="81">
        <f>IF(D599="","",IFERROR(INDEX('Stock pièces'!$I$5:$I$404,MATCH(D599,'Stock pièces'!$A$5:$A$404,0)),0))</f>
        <v/>
      </c>
      <c r="H599" s="81">
        <f>IF(D599="","",N(F599)*N(G599))</f>
        <v/>
      </c>
      <c r="I599" s="7" t="inlineStr">
        <is>
          <t>OT-2025-0722</t>
        </is>
      </c>
      <c r="J599" s="9">
        <f>IF(I599="","",IFERROR(INDEX('Ordres de travail'!$D$5:$D$3004,MATCH(I599,'Ordres de travail'!$A$5:$A$3004,0)),""))</f>
        <v/>
      </c>
      <c r="K599" s="9">
        <f>IF(D599="","",IFERROR(INDEX('Stock pièces'!$D$5:$D$404,MATCH(D599,'Stock pièces'!$A$5:$A$404,0)),""))</f>
        <v/>
      </c>
      <c r="L599" s="7" t="n"/>
      <c r="M599" s="7" t="n"/>
    </row>
    <row r="600">
      <c r="A600" s="7" t="inlineStr">
        <is>
          <t>MV-00596</t>
        </is>
      </c>
      <c r="B600" s="75" t="n">
        <v>45985.75486111111</v>
      </c>
      <c r="C600" s="7" t="inlineStr">
        <is>
          <t>Sortie</t>
        </is>
      </c>
      <c r="D600" s="7" t="inlineStr">
        <is>
          <t>PD-0041</t>
        </is>
      </c>
      <c r="E600" s="9">
        <f>IF(D600="","",IFERROR(INDEX('Stock pièces'!$B$5:$B$404,MATCH(D600,'Stock pièces'!$A$5:$A$404,0)),"Réf. inconnue"))</f>
        <v/>
      </c>
      <c r="F600" s="67" t="n">
        <v>1</v>
      </c>
      <c r="G600" s="81">
        <f>IF(D600="","",IFERROR(INDEX('Stock pièces'!$I$5:$I$404,MATCH(D600,'Stock pièces'!$A$5:$A$404,0)),0))</f>
        <v/>
      </c>
      <c r="H600" s="81">
        <f>IF(D600="","",N(F600)*N(G600))</f>
        <v/>
      </c>
      <c r="I600" s="7" t="inlineStr">
        <is>
          <t>OT-2025-0756</t>
        </is>
      </c>
      <c r="J600" s="9">
        <f>IF(I600="","",IFERROR(INDEX('Ordres de travail'!$D$5:$D$3004,MATCH(I600,'Ordres de travail'!$A$5:$A$3004,0)),""))</f>
        <v/>
      </c>
      <c r="K600" s="9">
        <f>IF(D600="","",IFERROR(INDEX('Stock pièces'!$D$5:$D$404,MATCH(D600,'Stock pièces'!$A$5:$A$404,0)),""))</f>
        <v/>
      </c>
      <c r="L600" s="7" t="n"/>
      <c r="M600" s="7" t="n"/>
    </row>
    <row r="601">
      <c r="A601" s="7" t="inlineStr">
        <is>
          <t>MV-00597</t>
        </is>
      </c>
      <c r="B601" s="75" t="n">
        <v>45985.91875</v>
      </c>
      <c r="C601" s="7" t="inlineStr">
        <is>
          <t>Sortie</t>
        </is>
      </c>
      <c r="D601" s="7" t="inlineStr">
        <is>
          <t>PD-0038</t>
        </is>
      </c>
      <c r="E601" s="9">
        <f>IF(D601="","",IFERROR(INDEX('Stock pièces'!$B$5:$B$404,MATCH(D601,'Stock pièces'!$A$5:$A$404,0)),"Réf. inconnue"))</f>
        <v/>
      </c>
      <c r="F601" s="67" t="n">
        <v>2</v>
      </c>
      <c r="G601" s="81">
        <f>IF(D601="","",IFERROR(INDEX('Stock pièces'!$I$5:$I$404,MATCH(D601,'Stock pièces'!$A$5:$A$404,0)),0))</f>
        <v/>
      </c>
      <c r="H601" s="81">
        <f>IF(D601="","",N(F601)*N(G601))</f>
        <v/>
      </c>
      <c r="I601" s="7" t="inlineStr">
        <is>
          <t>OT-2025-0757</t>
        </is>
      </c>
      <c r="J601" s="9">
        <f>IF(I601="","",IFERROR(INDEX('Ordres de travail'!$D$5:$D$3004,MATCH(I601,'Ordres de travail'!$A$5:$A$3004,0)),""))</f>
        <v/>
      </c>
      <c r="K601" s="9">
        <f>IF(D601="","",IFERROR(INDEX('Stock pièces'!$D$5:$D$404,MATCH(D601,'Stock pièces'!$A$5:$A$404,0)),""))</f>
        <v/>
      </c>
      <c r="L601" s="7" t="n"/>
      <c r="M601" s="7" t="n"/>
    </row>
    <row r="602">
      <c r="A602" s="7" t="inlineStr">
        <is>
          <t>MV-00598</t>
        </is>
      </c>
      <c r="B602" s="75" t="n">
        <v>45986.33333333334</v>
      </c>
      <c r="C602" s="7" t="inlineStr">
        <is>
          <t>Sortie</t>
        </is>
      </c>
      <c r="D602" s="7" t="inlineStr">
        <is>
          <t>PD-0019</t>
        </is>
      </c>
      <c r="E602" s="9">
        <f>IF(D602="","",IFERROR(INDEX('Stock pièces'!$B$5:$B$404,MATCH(D602,'Stock pièces'!$A$5:$A$404,0)),"Réf. inconnue"))</f>
        <v/>
      </c>
      <c r="F602" s="67" t="n">
        <v>2</v>
      </c>
      <c r="G602" s="81">
        <f>IF(D602="","",IFERROR(INDEX('Stock pièces'!$I$5:$I$404,MATCH(D602,'Stock pièces'!$A$5:$A$404,0)),0))</f>
        <v/>
      </c>
      <c r="H602" s="81">
        <f>IF(D602="","",N(F602)*N(G602))</f>
        <v/>
      </c>
      <c r="I602" s="7" t="inlineStr">
        <is>
          <t>OT-2025-0727</t>
        </is>
      </c>
      <c r="J602" s="9">
        <f>IF(I602="","",IFERROR(INDEX('Ordres de travail'!$D$5:$D$3004,MATCH(I602,'Ordres de travail'!$A$5:$A$3004,0)),""))</f>
        <v/>
      </c>
      <c r="K602" s="9">
        <f>IF(D602="","",IFERROR(INDEX('Stock pièces'!$D$5:$D$404,MATCH(D602,'Stock pièces'!$A$5:$A$404,0)),""))</f>
        <v/>
      </c>
      <c r="L602" s="7" t="n"/>
      <c r="M602" s="7" t="n"/>
    </row>
    <row r="603">
      <c r="A603" s="7" t="inlineStr">
        <is>
          <t>MV-00599</t>
        </is>
      </c>
      <c r="B603" s="75" t="n">
        <v>45986.41666666666</v>
      </c>
      <c r="C603" s="7" t="inlineStr">
        <is>
          <t>Entrée</t>
        </is>
      </c>
      <c r="D603" s="7" t="inlineStr">
        <is>
          <t>PD-0007</t>
        </is>
      </c>
      <c r="E603" s="9">
        <f>IF(D603="","",IFERROR(INDEX('Stock pièces'!$B$5:$B$404,MATCH(D603,'Stock pièces'!$A$5:$A$404,0)),"Réf. inconnue"))</f>
        <v/>
      </c>
      <c r="F603" s="67" t="n">
        <v>2</v>
      </c>
      <c r="G603" s="81">
        <f>IF(D603="","",IFERROR(INDEX('Stock pièces'!$I$5:$I$404,MATCH(D603,'Stock pièces'!$A$5:$A$404,0)),0))</f>
        <v/>
      </c>
      <c r="H603" s="81">
        <f>IF(D603="","",N(F603)*N(G603))</f>
        <v/>
      </c>
      <c r="I603" s="7" t="n"/>
      <c r="J603" s="9">
        <f>IF(I603="","",IFERROR(INDEX('Ordres de travail'!$D$5:$D$3004,MATCH(I603,'Ordres de travail'!$A$5:$A$3004,0)),""))</f>
        <v/>
      </c>
      <c r="K603" s="9">
        <f>IF(D603="","",IFERROR(INDEX('Stock pièces'!$D$5:$D$404,MATCH(D603,'Stock pièces'!$A$5:$A$404,0)),""))</f>
        <v/>
      </c>
      <c r="L603" s="7" t="inlineStr">
        <is>
          <t>CMD-24171</t>
        </is>
      </c>
      <c r="M603" s="7" t="inlineStr">
        <is>
          <t>Réception commande réappro</t>
        </is>
      </c>
    </row>
    <row r="604">
      <c r="A604" s="7" t="inlineStr">
        <is>
          <t>MV-00600</t>
        </is>
      </c>
      <c r="B604" s="75" t="n">
        <v>45986.57986111111</v>
      </c>
      <c r="C604" s="7" t="inlineStr">
        <is>
          <t>Sortie</t>
        </is>
      </c>
      <c r="D604" s="7" t="inlineStr">
        <is>
          <t>PD-0021</t>
        </is>
      </c>
      <c r="E604" s="9">
        <f>IF(D604="","",IFERROR(INDEX('Stock pièces'!$B$5:$B$404,MATCH(D604,'Stock pièces'!$A$5:$A$404,0)),"Réf. inconnue"))</f>
        <v/>
      </c>
      <c r="F604" s="67" t="n">
        <v>1</v>
      </c>
      <c r="G604" s="81">
        <f>IF(D604="","",IFERROR(INDEX('Stock pièces'!$I$5:$I$404,MATCH(D604,'Stock pièces'!$A$5:$A$404,0)),0))</f>
        <v/>
      </c>
      <c r="H604" s="81">
        <f>IF(D604="","",N(F604)*N(G604))</f>
        <v/>
      </c>
      <c r="I604" s="7" t="inlineStr">
        <is>
          <t>OT-2025-0726</t>
        </is>
      </c>
      <c r="J604" s="9">
        <f>IF(I604="","",IFERROR(INDEX('Ordres de travail'!$D$5:$D$3004,MATCH(I604,'Ordres de travail'!$A$5:$A$3004,0)),""))</f>
        <v/>
      </c>
      <c r="K604" s="9">
        <f>IF(D604="","",IFERROR(INDEX('Stock pièces'!$D$5:$D$404,MATCH(D604,'Stock pièces'!$A$5:$A$404,0)),""))</f>
        <v/>
      </c>
      <c r="L604" s="7" t="n"/>
      <c r="M604" s="7" t="n"/>
    </row>
    <row r="605">
      <c r="A605" s="7" t="inlineStr">
        <is>
          <t>MV-00601</t>
        </is>
      </c>
      <c r="B605" s="75" t="n">
        <v>45987.40972222222</v>
      </c>
      <c r="C605" s="7" t="inlineStr">
        <is>
          <t>Sortie</t>
        </is>
      </c>
      <c r="D605" s="7" t="inlineStr">
        <is>
          <t>PD-0062</t>
        </is>
      </c>
      <c r="E605" s="9">
        <f>IF(D605="","",IFERROR(INDEX('Stock pièces'!$B$5:$B$404,MATCH(D605,'Stock pièces'!$A$5:$A$404,0)),"Réf. inconnue"))</f>
        <v/>
      </c>
      <c r="F605" s="67" t="n">
        <v>1</v>
      </c>
      <c r="G605" s="81">
        <f>IF(D605="","",IFERROR(INDEX('Stock pièces'!$I$5:$I$404,MATCH(D605,'Stock pièces'!$A$5:$A$404,0)),0))</f>
        <v/>
      </c>
      <c r="H605" s="81">
        <f>IF(D605="","",N(F605)*N(G605))</f>
        <v/>
      </c>
      <c r="I605" s="7" t="inlineStr">
        <is>
          <t>OT-2025-0733</t>
        </is>
      </c>
      <c r="J605" s="9">
        <f>IF(I605="","",IFERROR(INDEX('Ordres de travail'!$D$5:$D$3004,MATCH(I605,'Ordres de travail'!$A$5:$A$3004,0)),""))</f>
        <v/>
      </c>
      <c r="K605" s="9">
        <f>IF(D605="","",IFERROR(INDEX('Stock pièces'!$D$5:$D$404,MATCH(D605,'Stock pièces'!$A$5:$A$404,0)),""))</f>
        <v/>
      </c>
      <c r="L605" s="7" t="n"/>
      <c r="M605" s="7" t="n"/>
    </row>
    <row r="606">
      <c r="A606" s="7" t="inlineStr">
        <is>
          <t>MV-00602</t>
        </is>
      </c>
      <c r="B606" s="75" t="n">
        <v>45988.61111111111</v>
      </c>
      <c r="C606" s="7" t="inlineStr">
        <is>
          <t>Sortie</t>
        </is>
      </c>
      <c r="D606" s="7" t="inlineStr">
        <is>
          <t>PD-0025</t>
        </is>
      </c>
      <c r="E606" s="9">
        <f>IF(D606="","",IFERROR(INDEX('Stock pièces'!$B$5:$B$404,MATCH(D606,'Stock pièces'!$A$5:$A$404,0)),"Réf. inconnue"))</f>
        <v/>
      </c>
      <c r="F606" s="67" t="n">
        <v>1</v>
      </c>
      <c r="G606" s="81">
        <f>IF(D606="","",IFERROR(INDEX('Stock pièces'!$I$5:$I$404,MATCH(D606,'Stock pièces'!$A$5:$A$404,0)),0))</f>
        <v/>
      </c>
      <c r="H606" s="81">
        <f>IF(D606="","",N(F606)*N(G606))</f>
        <v/>
      </c>
      <c r="I606" s="7" t="inlineStr">
        <is>
          <t>OT-2025-0739</t>
        </is>
      </c>
      <c r="J606" s="9">
        <f>IF(I606="","",IFERROR(INDEX('Ordres de travail'!$D$5:$D$3004,MATCH(I606,'Ordres de travail'!$A$5:$A$3004,0)),""))</f>
        <v/>
      </c>
      <c r="K606" s="9">
        <f>IF(D606="","",IFERROR(INDEX('Stock pièces'!$D$5:$D$404,MATCH(D606,'Stock pièces'!$A$5:$A$404,0)),""))</f>
        <v/>
      </c>
      <c r="L606" s="7" t="n"/>
      <c r="M606" s="7" t="n"/>
    </row>
    <row r="607">
      <c r="A607" s="7" t="inlineStr">
        <is>
          <t>MV-00603</t>
        </is>
      </c>
      <c r="B607" s="75" t="n">
        <v>45990.83611111111</v>
      </c>
      <c r="C607" s="7" t="inlineStr">
        <is>
          <t>Sortie</t>
        </is>
      </c>
      <c r="D607" s="7" t="inlineStr">
        <is>
          <t>PD-0011</t>
        </is>
      </c>
      <c r="E607" s="9">
        <f>IF(D607="","",IFERROR(INDEX('Stock pièces'!$B$5:$B$404,MATCH(D607,'Stock pièces'!$A$5:$A$404,0)),"Réf. inconnue"))</f>
        <v/>
      </c>
      <c r="F607" s="67" t="n">
        <v>1</v>
      </c>
      <c r="G607" s="81">
        <f>IF(D607="","",IFERROR(INDEX('Stock pièces'!$I$5:$I$404,MATCH(D607,'Stock pièces'!$A$5:$A$404,0)),0))</f>
        <v/>
      </c>
      <c r="H607" s="81">
        <f>IF(D607="","",N(F607)*N(G607))</f>
        <v/>
      </c>
      <c r="I607" s="7" t="inlineStr">
        <is>
          <t>OT-2025-0767</t>
        </is>
      </c>
      <c r="J607" s="9">
        <f>IF(I607="","",IFERROR(INDEX('Ordres de travail'!$D$5:$D$3004,MATCH(I607,'Ordres de travail'!$A$5:$A$3004,0)),""))</f>
        <v/>
      </c>
      <c r="K607" s="9">
        <f>IF(D607="","",IFERROR(INDEX('Stock pièces'!$D$5:$D$404,MATCH(D607,'Stock pièces'!$A$5:$A$404,0)),""))</f>
        <v/>
      </c>
      <c r="L607" s="7" t="n"/>
      <c r="M607" s="7" t="n"/>
    </row>
    <row r="608">
      <c r="A608" s="7" t="inlineStr">
        <is>
          <t>MV-00604</t>
        </is>
      </c>
      <c r="B608" s="75" t="n">
        <v>45990.96944444445</v>
      </c>
      <c r="C608" s="7" t="inlineStr">
        <is>
          <t>Sortie</t>
        </is>
      </c>
      <c r="D608" s="7" t="inlineStr">
        <is>
          <t>PD-0054</t>
        </is>
      </c>
      <c r="E608" s="9">
        <f>IF(D608="","",IFERROR(INDEX('Stock pièces'!$B$5:$B$404,MATCH(D608,'Stock pièces'!$A$5:$A$404,0)),"Réf. inconnue"))</f>
        <v/>
      </c>
      <c r="F608" s="67" t="n">
        <v>2</v>
      </c>
      <c r="G608" s="81">
        <f>IF(D608="","",IFERROR(INDEX('Stock pièces'!$I$5:$I$404,MATCH(D608,'Stock pièces'!$A$5:$A$404,0)),0))</f>
        <v/>
      </c>
      <c r="H608" s="81">
        <f>IF(D608="","",N(F608)*N(G608))</f>
        <v/>
      </c>
      <c r="I608" s="7" t="inlineStr">
        <is>
          <t>OT-2025-0764</t>
        </is>
      </c>
      <c r="J608" s="9">
        <f>IF(I608="","",IFERROR(INDEX('Ordres de travail'!$D$5:$D$3004,MATCH(I608,'Ordres de travail'!$A$5:$A$3004,0)),""))</f>
        <v/>
      </c>
      <c r="K608" s="9">
        <f>IF(D608="","",IFERROR(INDEX('Stock pièces'!$D$5:$D$404,MATCH(D608,'Stock pièces'!$A$5:$A$404,0)),""))</f>
        <v/>
      </c>
      <c r="L608" s="7" t="n"/>
      <c r="M608" s="7" t="n"/>
    </row>
    <row r="609">
      <c r="A609" s="7" t="inlineStr">
        <is>
          <t>MV-00605</t>
        </is>
      </c>
      <c r="B609" s="75" t="n">
        <v>45992.28819444445</v>
      </c>
      <c r="C609" s="7" t="inlineStr">
        <is>
          <t>Sortie</t>
        </is>
      </c>
      <c r="D609" s="7" t="inlineStr">
        <is>
          <t>PD-0017</t>
        </is>
      </c>
      <c r="E609" s="9">
        <f>IF(D609="","",IFERROR(INDEX('Stock pièces'!$B$5:$B$404,MATCH(D609,'Stock pièces'!$A$5:$A$404,0)),"Réf. inconnue"))</f>
        <v/>
      </c>
      <c r="F609" s="67" t="n">
        <v>1</v>
      </c>
      <c r="G609" s="81">
        <f>IF(D609="","",IFERROR(INDEX('Stock pièces'!$I$5:$I$404,MATCH(D609,'Stock pièces'!$A$5:$A$404,0)),0))</f>
        <v/>
      </c>
      <c r="H609" s="81">
        <f>IF(D609="","",N(F609)*N(G609))</f>
        <v/>
      </c>
      <c r="I609" s="7" t="inlineStr">
        <is>
          <t>OT-2025-0752</t>
        </is>
      </c>
      <c r="J609" s="9">
        <f>IF(I609="","",IFERROR(INDEX('Ordres de travail'!$D$5:$D$3004,MATCH(I609,'Ordres de travail'!$A$5:$A$3004,0)),""))</f>
        <v/>
      </c>
      <c r="K609" s="9">
        <f>IF(D609="","",IFERROR(INDEX('Stock pièces'!$D$5:$D$404,MATCH(D609,'Stock pièces'!$A$5:$A$404,0)),""))</f>
        <v/>
      </c>
      <c r="L609" s="7" t="n"/>
      <c r="M609" s="7" t="n"/>
    </row>
    <row r="610">
      <c r="A610" s="7" t="inlineStr">
        <is>
          <t>MV-00606</t>
        </is>
      </c>
      <c r="B610" s="75" t="n">
        <v>45992.29166666666</v>
      </c>
      <c r="C610" s="7" t="inlineStr">
        <is>
          <t>Sortie</t>
        </is>
      </c>
      <c r="D610" s="7" t="inlineStr">
        <is>
          <t>PD-0021</t>
        </is>
      </c>
      <c r="E610" s="9">
        <f>IF(D610="","",IFERROR(INDEX('Stock pièces'!$B$5:$B$404,MATCH(D610,'Stock pièces'!$A$5:$A$404,0)),"Réf. inconnue"))</f>
        <v/>
      </c>
      <c r="F610" s="67" t="n">
        <v>1</v>
      </c>
      <c r="G610" s="81">
        <f>IF(D610="","",IFERROR(INDEX('Stock pièces'!$I$5:$I$404,MATCH(D610,'Stock pièces'!$A$5:$A$404,0)),0))</f>
        <v/>
      </c>
      <c r="H610" s="81">
        <f>IF(D610="","",N(F610)*N(G610))</f>
        <v/>
      </c>
      <c r="I610" s="7" t="inlineStr">
        <is>
          <t>OT-2025-0750</t>
        </is>
      </c>
      <c r="J610" s="9">
        <f>IF(I610="","",IFERROR(INDEX('Ordres de travail'!$D$5:$D$3004,MATCH(I610,'Ordres de travail'!$A$5:$A$3004,0)),""))</f>
        <v/>
      </c>
      <c r="K610" s="9">
        <f>IF(D610="","",IFERROR(INDEX('Stock pièces'!$D$5:$D$404,MATCH(D610,'Stock pièces'!$A$5:$A$404,0)),""))</f>
        <v/>
      </c>
      <c r="L610" s="7" t="n"/>
      <c r="M610" s="7" t="n"/>
    </row>
    <row r="611">
      <c r="A611" s="7" t="inlineStr">
        <is>
          <t>MV-00607</t>
        </is>
      </c>
      <c r="B611" s="75" t="n">
        <v>45992.41666666666</v>
      </c>
      <c r="C611" s="7" t="inlineStr">
        <is>
          <t>Entrée</t>
        </is>
      </c>
      <c r="D611" s="7" t="inlineStr">
        <is>
          <t>PD-0069</t>
        </is>
      </c>
      <c r="E611" s="9">
        <f>IF(D611="","",IFERROR(INDEX('Stock pièces'!$B$5:$B$404,MATCH(D611,'Stock pièces'!$A$5:$A$404,0)),"Réf. inconnue"))</f>
        <v/>
      </c>
      <c r="F611" s="67" t="n">
        <v>1</v>
      </c>
      <c r="G611" s="81">
        <f>IF(D611="","",IFERROR(INDEX('Stock pièces'!$I$5:$I$404,MATCH(D611,'Stock pièces'!$A$5:$A$404,0)),0))</f>
        <v/>
      </c>
      <c r="H611" s="81">
        <f>IF(D611="","",N(F611)*N(G611))</f>
        <v/>
      </c>
      <c r="I611" s="7" t="n"/>
      <c r="J611" s="9">
        <f>IF(I611="","",IFERROR(INDEX('Ordres de travail'!$D$5:$D$3004,MATCH(I611,'Ordres de travail'!$A$5:$A$3004,0)),""))</f>
        <v/>
      </c>
      <c r="K611" s="9">
        <f>IF(D611="","",IFERROR(INDEX('Stock pièces'!$D$5:$D$404,MATCH(D611,'Stock pièces'!$A$5:$A$404,0)),""))</f>
        <v/>
      </c>
      <c r="L611" s="7" t="inlineStr">
        <is>
          <t>CMD-24173</t>
        </is>
      </c>
      <c r="M611" s="7" t="inlineStr">
        <is>
          <t>Réception commande réappro</t>
        </is>
      </c>
    </row>
    <row r="612">
      <c r="A612" s="7" t="inlineStr">
        <is>
          <t>MV-00608</t>
        </is>
      </c>
      <c r="B612" s="75" t="n">
        <v>45992.57638888889</v>
      </c>
      <c r="C612" s="7" t="inlineStr">
        <is>
          <t>Sortie</t>
        </is>
      </c>
      <c r="D612" s="7" t="inlineStr">
        <is>
          <t>PD-0074</t>
        </is>
      </c>
      <c r="E612" s="9">
        <f>IF(D612="","",IFERROR(INDEX('Stock pièces'!$B$5:$B$404,MATCH(D612,'Stock pièces'!$A$5:$A$404,0)),"Réf. inconnue"))</f>
        <v/>
      </c>
      <c r="F612" s="67" t="n">
        <v>1</v>
      </c>
      <c r="G612" s="81">
        <f>IF(D612="","",IFERROR(INDEX('Stock pièces'!$I$5:$I$404,MATCH(D612,'Stock pièces'!$A$5:$A$404,0)),0))</f>
        <v/>
      </c>
      <c r="H612" s="81">
        <f>IF(D612="","",N(F612)*N(G612))</f>
        <v/>
      </c>
      <c r="I612" s="7" t="inlineStr">
        <is>
          <t>OT-2025-0746</t>
        </is>
      </c>
      <c r="J612" s="9">
        <f>IF(I612="","",IFERROR(INDEX('Ordres de travail'!$D$5:$D$3004,MATCH(I612,'Ordres de travail'!$A$5:$A$3004,0)),""))</f>
        <v/>
      </c>
      <c r="K612" s="9">
        <f>IF(D612="","",IFERROR(INDEX('Stock pièces'!$D$5:$D$404,MATCH(D612,'Stock pièces'!$A$5:$A$404,0)),""))</f>
        <v/>
      </c>
      <c r="L612" s="7" t="n"/>
      <c r="M612" s="7" t="n"/>
    </row>
    <row r="613">
      <c r="A613" s="7" t="inlineStr">
        <is>
          <t>MV-00609</t>
        </is>
      </c>
      <c r="B613" s="75" t="n">
        <v>45993.41666666666</v>
      </c>
      <c r="C613" s="7" t="inlineStr">
        <is>
          <t>Entrée</t>
        </is>
      </c>
      <c r="D613" s="7" t="inlineStr">
        <is>
          <t>PD-0073</t>
        </is>
      </c>
      <c r="E613" s="9">
        <f>IF(D613="","",IFERROR(INDEX('Stock pièces'!$B$5:$B$404,MATCH(D613,'Stock pièces'!$A$5:$A$404,0)),"Réf. inconnue"))</f>
        <v/>
      </c>
      <c r="F613" s="67" t="n">
        <v>1</v>
      </c>
      <c r="G613" s="81">
        <f>IF(D613="","",IFERROR(INDEX('Stock pièces'!$I$5:$I$404,MATCH(D613,'Stock pièces'!$A$5:$A$404,0)),0))</f>
        <v/>
      </c>
      <c r="H613" s="81">
        <f>IF(D613="","",N(F613)*N(G613))</f>
        <v/>
      </c>
      <c r="I613" s="7" t="n"/>
      <c r="J613" s="9">
        <f>IF(I613="","",IFERROR(INDEX('Ordres de travail'!$D$5:$D$3004,MATCH(I613,'Ordres de travail'!$A$5:$A$3004,0)),""))</f>
        <v/>
      </c>
      <c r="K613" s="9">
        <f>IF(D613="","",IFERROR(INDEX('Stock pièces'!$D$5:$D$404,MATCH(D613,'Stock pièces'!$A$5:$A$404,0)),""))</f>
        <v/>
      </c>
      <c r="L613" s="7" t="inlineStr">
        <is>
          <t>CMD-24170</t>
        </is>
      </c>
      <c r="M613" s="7" t="inlineStr">
        <is>
          <t>Réception commande réappro</t>
        </is>
      </c>
    </row>
    <row r="614">
      <c r="A614" s="7" t="inlineStr">
        <is>
          <t>MV-00610</t>
        </is>
      </c>
      <c r="B614" s="75" t="n">
        <v>45993.41666666666</v>
      </c>
      <c r="C614" s="7" t="inlineStr">
        <is>
          <t>Entrée</t>
        </is>
      </c>
      <c r="D614" s="7" t="inlineStr">
        <is>
          <t>PD-0043</t>
        </is>
      </c>
      <c r="E614" s="9">
        <f>IF(D614="","",IFERROR(INDEX('Stock pièces'!$B$5:$B$404,MATCH(D614,'Stock pièces'!$A$5:$A$404,0)),"Réf. inconnue"))</f>
        <v/>
      </c>
      <c r="F614" s="67" t="n">
        <v>1</v>
      </c>
      <c r="G614" s="81">
        <f>IF(D614="","",IFERROR(INDEX('Stock pièces'!$I$5:$I$404,MATCH(D614,'Stock pièces'!$A$5:$A$404,0)),0))</f>
        <v/>
      </c>
      <c r="H614" s="81">
        <f>IF(D614="","",N(F614)*N(G614))</f>
        <v/>
      </c>
      <c r="I614" s="7" t="n"/>
      <c r="J614" s="9">
        <f>IF(I614="","",IFERROR(INDEX('Ordres de travail'!$D$5:$D$3004,MATCH(I614,'Ordres de travail'!$A$5:$A$3004,0)),""))</f>
        <v/>
      </c>
      <c r="K614" s="9">
        <f>IF(D614="","",IFERROR(INDEX('Stock pièces'!$D$5:$D$404,MATCH(D614,'Stock pièces'!$A$5:$A$404,0)),""))</f>
        <v/>
      </c>
      <c r="L614" s="7" t="inlineStr">
        <is>
          <t>CMD-24172</t>
        </is>
      </c>
      <c r="M614" s="7" t="inlineStr">
        <is>
          <t>Réception commande réappro</t>
        </is>
      </c>
    </row>
    <row r="615">
      <c r="A615" s="7" t="inlineStr">
        <is>
          <t>MV-00611</t>
        </is>
      </c>
      <c r="B615" s="75" t="n">
        <v>45994.30555555555</v>
      </c>
      <c r="C615" s="7" t="inlineStr">
        <is>
          <t>Sortie</t>
        </is>
      </c>
      <c r="D615" s="7" t="inlineStr">
        <is>
          <t>PD-0025</t>
        </is>
      </c>
      <c r="E615" s="9">
        <f>IF(D615="","",IFERROR(INDEX('Stock pièces'!$B$5:$B$404,MATCH(D615,'Stock pièces'!$A$5:$A$404,0)),"Réf. inconnue"))</f>
        <v/>
      </c>
      <c r="F615" s="67" t="n">
        <v>3</v>
      </c>
      <c r="G615" s="81">
        <f>IF(D615="","",IFERROR(INDEX('Stock pièces'!$I$5:$I$404,MATCH(D615,'Stock pièces'!$A$5:$A$404,0)),0))</f>
        <v/>
      </c>
      <c r="H615" s="81">
        <f>IF(D615="","",N(F615)*N(G615))</f>
        <v/>
      </c>
      <c r="I615" s="7" t="inlineStr">
        <is>
          <t>OT-2025-0762</t>
        </is>
      </c>
      <c r="J615" s="9">
        <f>IF(I615="","",IFERROR(INDEX('Ordres de travail'!$D$5:$D$3004,MATCH(I615,'Ordres de travail'!$A$5:$A$3004,0)),""))</f>
        <v/>
      </c>
      <c r="K615" s="9">
        <f>IF(D615="","",IFERROR(INDEX('Stock pièces'!$D$5:$D$404,MATCH(D615,'Stock pièces'!$A$5:$A$404,0)),""))</f>
        <v/>
      </c>
      <c r="L615" s="7" t="n"/>
      <c r="M615" s="7" t="n"/>
    </row>
    <row r="616">
      <c r="A616" s="7" t="inlineStr">
        <is>
          <t>MV-00612</t>
        </is>
      </c>
      <c r="B616" s="75" t="n">
        <v>45996.36805555555</v>
      </c>
      <c r="C616" s="7" t="inlineStr">
        <is>
          <t>Sortie</t>
        </is>
      </c>
      <c r="D616" s="7" t="inlineStr">
        <is>
          <t>PD-0010</t>
        </is>
      </c>
      <c r="E616" s="9">
        <f>IF(D616="","",IFERROR(INDEX('Stock pièces'!$B$5:$B$404,MATCH(D616,'Stock pièces'!$A$5:$A$404,0)),"Réf. inconnue"))</f>
        <v/>
      </c>
      <c r="F616" s="67" t="n">
        <v>1</v>
      </c>
      <c r="G616" s="81">
        <f>IF(D616="","",IFERROR(INDEX('Stock pièces'!$I$5:$I$404,MATCH(D616,'Stock pièces'!$A$5:$A$404,0)),0))</f>
        <v/>
      </c>
      <c r="H616" s="81">
        <f>IF(D616="","",N(F616)*N(G616))</f>
        <v/>
      </c>
      <c r="I616" s="7" t="inlineStr">
        <is>
          <t>OT-2025-0773</t>
        </is>
      </c>
      <c r="J616" s="9">
        <f>IF(I616="","",IFERROR(INDEX('Ordres de travail'!$D$5:$D$3004,MATCH(I616,'Ordres de travail'!$A$5:$A$3004,0)),""))</f>
        <v/>
      </c>
      <c r="K616" s="9">
        <f>IF(D616="","",IFERROR(INDEX('Stock pièces'!$D$5:$D$404,MATCH(D616,'Stock pièces'!$A$5:$A$404,0)),""))</f>
        <v/>
      </c>
      <c r="L616" s="7" t="n"/>
      <c r="M616" s="7" t="n"/>
    </row>
    <row r="617">
      <c r="A617" s="7" t="inlineStr">
        <is>
          <t>MV-00613</t>
        </is>
      </c>
      <c r="B617" s="75" t="n">
        <v>45996.41666666666</v>
      </c>
      <c r="C617" s="7" t="inlineStr">
        <is>
          <t>Entrée</t>
        </is>
      </c>
      <c r="D617" s="7" t="inlineStr">
        <is>
          <t>PD-0041</t>
        </is>
      </c>
      <c r="E617" s="9">
        <f>IF(D617="","",IFERROR(INDEX('Stock pièces'!$B$5:$B$404,MATCH(D617,'Stock pièces'!$A$5:$A$404,0)),"Réf. inconnue"))</f>
        <v/>
      </c>
      <c r="F617" s="67" t="n">
        <v>1</v>
      </c>
      <c r="G617" s="81">
        <f>IF(D617="","",IFERROR(INDEX('Stock pièces'!$I$5:$I$404,MATCH(D617,'Stock pièces'!$A$5:$A$404,0)),0))</f>
        <v/>
      </c>
      <c r="H617" s="81">
        <f>IF(D617="","",N(F617)*N(G617))</f>
        <v/>
      </c>
      <c r="I617" s="7" t="n"/>
      <c r="J617" s="9">
        <f>IF(I617="","",IFERROR(INDEX('Ordres de travail'!$D$5:$D$3004,MATCH(I617,'Ordres de travail'!$A$5:$A$3004,0)),""))</f>
        <v/>
      </c>
      <c r="K617" s="9">
        <f>IF(D617="","",IFERROR(INDEX('Stock pièces'!$D$5:$D$404,MATCH(D617,'Stock pièces'!$A$5:$A$404,0)),""))</f>
        <v/>
      </c>
      <c r="L617" s="7" t="inlineStr">
        <is>
          <t>CMD-24174</t>
        </is>
      </c>
      <c r="M617" s="7" t="inlineStr">
        <is>
          <t>Réception commande réappro</t>
        </is>
      </c>
    </row>
    <row r="618">
      <c r="A618" s="7" t="inlineStr">
        <is>
          <t>MV-00614</t>
        </is>
      </c>
      <c r="B618" s="75" t="n">
        <v>45999.33333333334</v>
      </c>
      <c r="C618" s="7" t="inlineStr">
        <is>
          <t>Sortie</t>
        </is>
      </c>
      <c r="D618" s="7" t="inlineStr">
        <is>
          <t>PD-0059</t>
        </is>
      </c>
      <c r="E618" s="9">
        <f>IF(D618="","",IFERROR(INDEX('Stock pièces'!$B$5:$B$404,MATCH(D618,'Stock pièces'!$A$5:$A$404,0)),"Réf. inconnue"))</f>
        <v/>
      </c>
      <c r="F618" s="67" t="n">
        <v>1</v>
      </c>
      <c r="G618" s="81">
        <f>IF(D618="","",IFERROR(INDEX('Stock pièces'!$I$5:$I$404,MATCH(D618,'Stock pièces'!$A$5:$A$404,0)),0))</f>
        <v/>
      </c>
      <c r="H618" s="81">
        <f>IF(D618="","",N(F618)*N(G618))</f>
        <v/>
      </c>
      <c r="I618" s="7" t="inlineStr">
        <is>
          <t>OT-2025-0772</t>
        </is>
      </c>
      <c r="J618" s="9">
        <f>IF(I618="","",IFERROR(INDEX('Ordres de travail'!$D$5:$D$3004,MATCH(I618,'Ordres de travail'!$A$5:$A$3004,0)),""))</f>
        <v/>
      </c>
      <c r="K618" s="9">
        <f>IF(D618="","",IFERROR(INDEX('Stock pièces'!$D$5:$D$404,MATCH(D618,'Stock pièces'!$A$5:$A$404,0)),""))</f>
        <v/>
      </c>
      <c r="L618" s="7" t="n"/>
      <c r="M618" s="7" t="n"/>
    </row>
    <row r="619">
      <c r="A619" s="7" t="inlineStr">
        <is>
          <t>MV-00615</t>
        </is>
      </c>
      <c r="B619" s="75" t="n">
        <v>45999.40555555555</v>
      </c>
      <c r="C619" s="7" t="inlineStr">
        <is>
          <t>Sortie</t>
        </is>
      </c>
      <c r="D619" s="7" t="inlineStr">
        <is>
          <t>PD-0056</t>
        </is>
      </c>
      <c r="E619" s="9">
        <f>IF(D619="","",IFERROR(INDEX('Stock pièces'!$B$5:$B$404,MATCH(D619,'Stock pièces'!$A$5:$A$404,0)),"Réf. inconnue"))</f>
        <v/>
      </c>
      <c r="F619" s="67" t="n">
        <v>1</v>
      </c>
      <c r="G619" s="81">
        <f>IF(D619="","",IFERROR(INDEX('Stock pièces'!$I$5:$I$404,MATCH(D619,'Stock pièces'!$A$5:$A$404,0)),0))</f>
        <v/>
      </c>
      <c r="H619" s="81">
        <f>IF(D619="","",N(F619)*N(G619))</f>
        <v/>
      </c>
      <c r="I619" s="7" t="inlineStr">
        <is>
          <t>OT-2025-0783</t>
        </is>
      </c>
      <c r="J619" s="9">
        <f>IF(I619="","",IFERROR(INDEX('Ordres de travail'!$D$5:$D$3004,MATCH(I619,'Ordres de travail'!$A$5:$A$3004,0)),""))</f>
        <v/>
      </c>
      <c r="K619" s="9">
        <f>IF(D619="","",IFERROR(INDEX('Stock pièces'!$D$5:$D$404,MATCH(D619,'Stock pièces'!$A$5:$A$404,0)),""))</f>
        <v/>
      </c>
      <c r="L619" s="7" t="n"/>
      <c r="M619" s="7" t="n"/>
    </row>
    <row r="620">
      <c r="A620" s="7" t="inlineStr">
        <is>
          <t>MV-00616</t>
        </is>
      </c>
      <c r="B620" s="75" t="n">
        <v>45999.41666666666</v>
      </c>
      <c r="C620" s="7" t="inlineStr">
        <is>
          <t>Entrée</t>
        </is>
      </c>
      <c r="D620" s="7" t="inlineStr">
        <is>
          <t>PD-0011</t>
        </is>
      </c>
      <c r="E620" s="9">
        <f>IF(D620="","",IFERROR(INDEX('Stock pièces'!$B$5:$B$404,MATCH(D620,'Stock pièces'!$A$5:$A$404,0)),"Réf. inconnue"))</f>
        <v/>
      </c>
      <c r="F620" s="67" t="n">
        <v>2</v>
      </c>
      <c r="G620" s="81">
        <f>IF(D620="","",IFERROR(INDEX('Stock pièces'!$I$5:$I$404,MATCH(D620,'Stock pièces'!$A$5:$A$404,0)),0))</f>
        <v/>
      </c>
      <c r="H620" s="81">
        <f>IF(D620="","",N(F620)*N(G620))</f>
        <v/>
      </c>
      <c r="I620" s="7" t="n"/>
      <c r="J620" s="9">
        <f>IF(I620="","",IFERROR(INDEX('Ordres de travail'!$D$5:$D$3004,MATCH(I620,'Ordres de travail'!$A$5:$A$3004,0)),""))</f>
        <v/>
      </c>
      <c r="K620" s="9">
        <f>IF(D620="","",IFERROR(INDEX('Stock pièces'!$D$5:$D$404,MATCH(D620,'Stock pièces'!$A$5:$A$404,0)),""))</f>
        <v/>
      </c>
      <c r="L620" s="7" t="inlineStr">
        <is>
          <t>CMD-24175</t>
        </is>
      </c>
      <c r="M620" s="7" t="inlineStr">
        <is>
          <t>Réception commande réappro</t>
        </is>
      </c>
    </row>
    <row r="621">
      <c r="A621" s="7" t="inlineStr">
        <is>
          <t>MV-00617</t>
        </is>
      </c>
      <c r="B621" s="75" t="n">
        <v>45999.41666666666</v>
      </c>
      <c r="C621" s="7" t="inlineStr">
        <is>
          <t>Entrée</t>
        </is>
      </c>
      <c r="D621" s="7" t="inlineStr">
        <is>
          <t>PD-0054</t>
        </is>
      </c>
      <c r="E621" s="9">
        <f>IF(D621="","",IFERROR(INDEX('Stock pièces'!$B$5:$B$404,MATCH(D621,'Stock pièces'!$A$5:$A$404,0)),"Réf. inconnue"))</f>
        <v/>
      </c>
      <c r="F621" s="67" t="n">
        <v>2</v>
      </c>
      <c r="G621" s="81">
        <f>IF(D621="","",IFERROR(INDEX('Stock pièces'!$I$5:$I$404,MATCH(D621,'Stock pièces'!$A$5:$A$404,0)),0))</f>
        <v/>
      </c>
      <c r="H621" s="81">
        <f>IF(D621="","",N(F621)*N(G621))</f>
        <v/>
      </c>
      <c r="I621" s="7" t="n"/>
      <c r="J621" s="9">
        <f>IF(I621="","",IFERROR(INDEX('Ordres de travail'!$D$5:$D$3004,MATCH(I621,'Ordres de travail'!$A$5:$A$3004,0)),""))</f>
        <v/>
      </c>
      <c r="K621" s="9">
        <f>IF(D621="","",IFERROR(INDEX('Stock pièces'!$D$5:$D$404,MATCH(D621,'Stock pièces'!$A$5:$A$404,0)),""))</f>
        <v/>
      </c>
      <c r="L621" s="7" t="inlineStr">
        <is>
          <t>CMD-24176</t>
        </is>
      </c>
      <c r="M621" s="7" t="inlineStr">
        <is>
          <t>Réception commande réappro</t>
        </is>
      </c>
    </row>
    <row r="622">
      <c r="A622" s="7" t="inlineStr">
        <is>
          <t>MV-00618</t>
        </is>
      </c>
      <c r="B622" s="75" t="n">
        <v>46000.41666666666</v>
      </c>
      <c r="C622" s="7" t="inlineStr">
        <is>
          <t>Entrée</t>
        </is>
      </c>
      <c r="D622" s="7" t="inlineStr">
        <is>
          <t>PD-0021</t>
        </is>
      </c>
      <c r="E622" s="9">
        <f>IF(D622="","",IFERROR(INDEX('Stock pièces'!$B$5:$B$404,MATCH(D622,'Stock pièces'!$A$5:$A$404,0)),"Réf. inconnue"))</f>
        <v/>
      </c>
      <c r="F622" s="67" t="n">
        <v>4</v>
      </c>
      <c r="G622" s="81">
        <f>IF(D622="","",IFERROR(INDEX('Stock pièces'!$I$5:$I$404,MATCH(D622,'Stock pièces'!$A$5:$A$404,0)),0))</f>
        <v/>
      </c>
      <c r="H622" s="81">
        <f>IF(D622="","",N(F622)*N(G622))</f>
        <v/>
      </c>
      <c r="I622" s="7" t="n"/>
      <c r="J622" s="9">
        <f>IF(I622="","",IFERROR(INDEX('Ordres de travail'!$D$5:$D$3004,MATCH(I622,'Ordres de travail'!$A$5:$A$3004,0)),""))</f>
        <v/>
      </c>
      <c r="K622" s="9">
        <f>IF(D622="","",IFERROR(INDEX('Stock pièces'!$D$5:$D$404,MATCH(D622,'Stock pièces'!$A$5:$A$404,0)),""))</f>
        <v/>
      </c>
      <c r="L622" s="7" t="inlineStr">
        <is>
          <t>CMD-24178</t>
        </is>
      </c>
      <c r="M622" s="7" t="inlineStr">
        <is>
          <t>Réception commande réappro</t>
        </is>
      </c>
    </row>
    <row r="623">
      <c r="A623" s="7" t="inlineStr">
        <is>
          <t>MV-00619</t>
        </is>
      </c>
      <c r="B623" s="75" t="n">
        <v>46000.59722222222</v>
      </c>
      <c r="C623" s="7" t="inlineStr">
        <is>
          <t>Sortie</t>
        </is>
      </c>
      <c r="D623" s="7" t="inlineStr">
        <is>
          <t>PD-0017</t>
        </is>
      </c>
      <c r="E623" s="9">
        <f>IF(D623="","",IFERROR(INDEX('Stock pièces'!$B$5:$B$404,MATCH(D623,'Stock pièces'!$A$5:$A$404,0)),"Réf. inconnue"))</f>
        <v/>
      </c>
      <c r="F623" s="67" t="n">
        <v>1</v>
      </c>
      <c r="G623" s="81">
        <f>IF(D623="","",IFERROR(INDEX('Stock pièces'!$I$5:$I$404,MATCH(D623,'Stock pièces'!$A$5:$A$404,0)),0))</f>
        <v/>
      </c>
      <c r="H623" s="81">
        <f>IF(D623="","",N(F623)*N(G623))</f>
        <v/>
      </c>
      <c r="I623" s="7" t="inlineStr">
        <is>
          <t>OT-2025-0774</t>
        </is>
      </c>
      <c r="J623" s="9">
        <f>IF(I623="","",IFERROR(INDEX('Ordres de travail'!$D$5:$D$3004,MATCH(I623,'Ordres de travail'!$A$5:$A$3004,0)),""))</f>
        <v/>
      </c>
      <c r="K623" s="9">
        <f>IF(D623="","",IFERROR(INDEX('Stock pièces'!$D$5:$D$404,MATCH(D623,'Stock pièces'!$A$5:$A$404,0)),""))</f>
        <v/>
      </c>
      <c r="L623" s="7" t="n"/>
      <c r="M623" s="7" t="n"/>
    </row>
    <row r="624">
      <c r="A624" s="7" t="inlineStr">
        <is>
          <t>MV-00620</t>
        </is>
      </c>
      <c r="B624" s="75" t="n">
        <v>46000.75902777778</v>
      </c>
      <c r="C624" s="7" t="inlineStr">
        <is>
          <t>Sortie</t>
        </is>
      </c>
      <c r="D624" s="7" t="inlineStr">
        <is>
          <t>PD-0069</t>
        </is>
      </c>
      <c r="E624" s="9">
        <f>IF(D624="","",IFERROR(INDEX('Stock pièces'!$B$5:$B$404,MATCH(D624,'Stock pièces'!$A$5:$A$404,0)),"Réf. inconnue"))</f>
        <v/>
      </c>
      <c r="F624" s="67" t="n">
        <v>1</v>
      </c>
      <c r="G624" s="81">
        <f>IF(D624="","",IFERROR(INDEX('Stock pièces'!$I$5:$I$404,MATCH(D624,'Stock pièces'!$A$5:$A$404,0)),0))</f>
        <v/>
      </c>
      <c r="H624" s="81">
        <f>IF(D624="","",N(F624)*N(G624))</f>
        <v/>
      </c>
      <c r="I624" s="7" t="inlineStr">
        <is>
          <t>OT-2025-0793</t>
        </is>
      </c>
      <c r="J624" s="9">
        <f>IF(I624="","",IFERROR(INDEX('Ordres de travail'!$D$5:$D$3004,MATCH(I624,'Ordres de travail'!$A$5:$A$3004,0)),""))</f>
        <v/>
      </c>
      <c r="K624" s="9">
        <f>IF(D624="","",IFERROR(INDEX('Stock pièces'!$D$5:$D$404,MATCH(D624,'Stock pièces'!$A$5:$A$404,0)),""))</f>
        <v/>
      </c>
      <c r="L624" s="7" t="n"/>
      <c r="M624" s="7" t="n"/>
    </row>
    <row r="625">
      <c r="A625" s="7" t="inlineStr">
        <is>
          <t>MV-00621</t>
        </is>
      </c>
      <c r="B625" s="75" t="n">
        <v>46000.92152777778</v>
      </c>
      <c r="C625" s="7" t="inlineStr">
        <is>
          <t>Sortie</t>
        </is>
      </c>
      <c r="D625" s="7" t="inlineStr">
        <is>
          <t>PD-0007</t>
        </is>
      </c>
      <c r="E625" s="9">
        <f>IF(D625="","",IFERROR(INDEX('Stock pièces'!$B$5:$B$404,MATCH(D625,'Stock pièces'!$A$5:$A$404,0)),"Réf. inconnue"))</f>
        <v/>
      </c>
      <c r="F625" s="67" t="n">
        <v>1</v>
      </c>
      <c r="G625" s="81">
        <f>IF(D625="","",IFERROR(INDEX('Stock pièces'!$I$5:$I$404,MATCH(D625,'Stock pièces'!$A$5:$A$404,0)),0))</f>
        <v/>
      </c>
      <c r="H625" s="81">
        <f>IF(D625="","",N(F625)*N(G625))</f>
        <v/>
      </c>
      <c r="I625" s="7" t="inlineStr">
        <is>
          <t>OT-2025-0790</t>
        </is>
      </c>
      <c r="J625" s="9">
        <f>IF(I625="","",IFERROR(INDEX('Ordres de travail'!$D$5:$D$3004,MATCH(I625,'Ordres de travail'!$A$5:$A$3004,0)),""))</f>
        <v/>
      </c>
      <c r="K625" s="9">
        <f>IF(D625="","",IFERROR(INDEX('Stock pièces'!$D$5:$D$404,MATCH(D625,'Stock pièces'!$A$5:$A$404,0)),""))</f>
        <v/>
      </c>
      <c r="L625" s="7" t="n"/>
      <c r="M625" s="7" t="n"/>
    </row>
    <row r="626">
      <c r="A626" s="7" t="inlineStr">
        <is>
          <t>MV-00622</t>
        </is>
      </c>
      <c r="B626" s="75" t="n">
        <v>46000.92152777778</v>
      </c>
      <c r="C626" s="7" t="inlineStr">
        <is>
          <t>Sortie</t>
        </is>
      </c>
      <c r="D626" s="7" t="inlineStr">
        <is>
          <t>PD-0008</t>
        </is>
      </c>
      <c r="E626" s="9">
        <f>IF(D626="","",IFERROR(INDEX('Stock pièces'!$B$5:$B$404,MATCH(D626,'Stock pièces'!$A$5:$A$404,0)),"Réf. inconnue"))</f>
        <v/>
      </c>
      <c r="F626" s="67" t="n">
        <v>1</v>
      </c>
      <c r="G626" s="81">
        <f>IF(D626="","",IFERROR(INDEX('Stock pièces'!$I$5:$I$404,MATCH(D626,'Stock pièces'!$A$5:$A$404,0)),0))</f>
        <v/>
      </c>
      <c r="H626" s="81">
        <f>IF(D626="","",N(F626)*N(G626))</f>
        <v/>
      </c>
      <c r="I626" s="7" t="inlineStr">
        <is>
          <t>OT-2025-0790</t>
        </is>
      </c>
      <c r="J626" s="9">
        <f>IF(I626="","",IFERROR(INDEX('Ordres de travail'!$D$5:$D$3004,MATCH(I626,'Ordres de travail'!$A$5:$A$3004,0)),""))</f>
        <v/>
      </c>
      <c r="K626" s="9">
        <f>IF(D626="","",IFERROR(INDEX('Stock pièces'!$D$5:$D$404,MATCH(D626,'Stock pièces'!$A$5:$A$404,0)),""))</f>
        <v/>
      </c>
      <c r="L626" s="7" t="n"/>
      <c r="M626" s="7" t="n"/>
    </row>
    <row r="627">
      <c r="A627" s="7" t="inlineStr">
        <is>
          <t>MV-00623</t>
        </is>
      </c>
      <c r="B627" s="75" t="n">
        <v>46001.40972222222</v>
      </c>
      <c r="C627" s="7" t="inlineStr">
        <is>
          <t>Sortie</t>
        </is>
      </c>
      <c r="D627" s="7" t="inlineStr">
        <is>
          <t>PD-0017</t>
        </is>
      </c>
      <c r="E627" s="9">
        <f>IF(D627="","",IFERROR(INDEX('Stock pièces'!$B$5:$B$404,MATCH(D627,'Stock pièces'!$A$5:$A$404,0)),"Réf. inconnue"))</f>
        <v/>
      </c>
      <c r="F627" s="67" t="n">
        <v>1</v>
      </c>
      <c r="G627" s="81">
        <f>IF(D627="","",IFERROR(INDEX('Stock pièces'!$I$5:$I$404,MATCH(D627,'Stock pièces'!$A$5:$A$404,0)),0))</f>
        <v/>
      </c>
      <c r="H627" s="81">
        <f>IF(D627="","",N(F627)*N(G627))</f>
        <v/>
      </c>
      <c r="I627" s="7" t="inlineStr">
        <is>
          <t>OT-2025-0780</t>
        </is>
      </c>
      <c r="J627" s="9">
        <f>IF(I627="","",IFERROR(INDEX('Ordres de travail'!$D$5:$D$3004,MATCH(I627,'Ordres de travail'!$A$5:$A$3004,0)),""))</f>
        <v/>
      </c>
      <c r="K627" s="9">
        <f>IF(D627="","",IFERROR(INDEX('Stock pièces'!$D$5:$D$404,MATCH(D627,'Stock pièces'!$A$5:$A$404,0)),""))</f>
        <v/>
      </c>
      <c r="L627" s="7" t="n"/>
      <c r="M627" s="7" t="n"/>
    </row>
    <row r="628">
      <c r="A628" s="7" t="inlineStr">
        <is>
          <t>MV-00624</t>
        </is>
      </c>
      <c r="B628" s="75" t="n">
        <v>46001.41666666666</v>
      </c>
      <c r="C628" s="7" t="inlineStr">
        <is>
          <t>Sortie</t>
        </is>
      </c>
      <c r="D628" s="7" t="inlineStr">
        <is>
          <t>PD-0015</t>
        </is>
      </c>
      <c r="E628" s="9">
        <f>IF(D628="","",IFERROR(INDEX('Stock pièces'!$B$5:$B$404,MATCH(D628,'Stock pièces'!$A$5:$A$404,0)),"Réf. inconnue"))</f>
        <v/>
      </c>
      <c r="F628" s="67" t="n">
        <v>1</v>
      </c>
      <c r="G628" s="81">
        <f>IF(D628="","",IFERROR(INDEX('Stock pièces'!$I$5:$I$404,MATCH(D628,'Stock pièces'!$A$5:$A$404,0)),0))</f>
        <v/>
      </c>
      <c r="H628" s="81">
        <f>IF(D628="","",N(F628)*N(G628))</f>
        <v/>
      </c>
      <c r="I628" s="7" t="inlineStr">
        <is>
          <t>OT-2025-0779</t>
        </is>
      </c>
      <c r="J628" s="9">
        <f>IF(I628="","",IFERROR(INDEX('Ordres de travail'!$D$5:$D$3004,MATCH(I628,'Ordres de travail'!$A$5:$A$3004,0)),""))</f>
        <v/>
      </c>
      <c r="K628" s="9">
        <f>IF(D628="","",IFERROR(INDEX('Stock pièces'!$D$5:$D$404,MATCH(D628,'Stock pièces'!$A$5:$A$404,0)),""))</f>
        <v/>
      </c>
      <c r="L628" s="7" t="n"/>
      <c r="M628" s="7" t="n"/>
    </row>
    <row r="629">
      <c r="A629" s="7" t="inlineStr">
        <is>
          <t>MV-00625</t>
        </is>
      </c>
      <c r="B629" s="75" t="n">
        <v>46001.41666666666</v>
      </c>
      <c r="C629" s="7" t="inlineStr">
        <is>
          <t>Sortie</t>
        </is>
      </c>
      <c r="D629" s="7" t="inlineStr">
        <is>
          <t>PD-0016</t>
        </is>
      </c>
      <c r="E629" s="9">
        <f>IF(D629="","",IFERROR(INDEX('Stock pièces'!$B$5:$B$404,MATCH(D629,'Stock pièces'!$A$5:$A$404,0)),"Réf. inconnue"))</f>
        <v/>
      </c>
      <c r="F629" s="67" t="n">
        <v>1</v>
      </c>
      <c r="G629" s="81">
        <f>IF(D629="","",IFERROR(INDEX('Stock pièces'!$I$5:$I$404,MATCH(D629,'Stock pièces'!$A$5:$A$404,0)),0))</f>
        <v/>
      </c>
      <c r="H629" s="81">
        <f>IF(D629="","",N(F629)*N(G629))</f>
        <v/>
      </c>
      <c r="I629" s="7" t="inlineStr">
        <is>
          <t>OT-2025-0779</t>
        </is>
      </c>
      <c r="J629" s="9">
        <f>IF(I629="","",IFERROR(INDEX('Ordres de travail'!$D$5:$D$3004,MATCH(I629,'Ordres de travail'!$A$5:$A$3004,0)),""))</f>
        <v/>
      </c>
      <c r="K629" s="9">
        <f>IF(D629="","",IFERROR(INDEX('Stock pièces'!$D$5:$D$404,MATCH(D629,'Stock pièces'!$A$5:$A$404,0)),""))</f>
        <v/>
      </c>
      <c r="L629" s="7" t="n"/>
      <c r="M629" s="7" t="n"/>
    </row>
    <row r="630">
      <c r="A630" s="7" t="inlineStr">
        <is>
          <t>MV-00626</t>
        </is>
      </c>
      <c r="B630" s="75" t="n">
        <v>46001.41666666666</v>
      </c>
      <c r="C630" s="7" t="inlineStr">
        <is>
          <t>Sortie</t>
        </is>
      </c>
      <c r="D630" s="7" t="inlineStr">
        <is>
          <t>PD-0022</t>
        </is>
      </c>
      <c r="E630" s="9">
        <f>IF(D630="","",IFERROR(INDEX('Stock pièces'!$B$5:$B$404,MATCH(D630,'Stock pièces'!$A$5:$A$404,0)),"Réf. inconnue"))</f>
        <v/>
      </c>
      <c r="F630" s="67" t="n">
        <v>1</v>
      </c>
      <c r="G630" s="81">
        <f>IF(D630="","",IFERROR(INDEX('Stock pièces'!$I$5:$I$404,MATCH(D630,'Stock pièces'!$A$5:$A$404,0)),0))</f>
        <v/>
      </c>
      <c r="H630" s="81">
        <f>IF(D630="","",N(F630)*N(G630))</f>
        <v/>
      </c>
      <c r="I630" s="7" t="inlineStr">
        <is>
          <t>OT-2025-0779</t>
        </is>
      </c>
      <c r="J630" s="9">
        <f>IF(I630="","",IFERROR(INDEX('Ordres de travail'!$D$5:$D$3004,MATCH(I630,'Ordres de travail'!$A$5:$A$3004,0)),""))</f>
        <v/>
      </c>
      <c r="K630" s="9">
        <f>IF(D630="","",IFERROR(INDEX('Stock pièces'!$D$5:$D$404,MATCH(D630,'Stock pièces'!$A$5:$A$404,0)),""))</f>
        <v/>
      </c>
      <c r="L630" s="7" t="n"/>
      <c r="M630" s="7" t="n"/>
    </row>
    <row r="631">
      <c r="A631" s="7" t="inlineStr">
        <is>
          <t>MV-00627</t>
        </is>
      </c>
      <c r="B631" s="75" t="n">
        <v>46001.42361111111</v>
      </c>
      <c r="C631" s="7" t="inlineStr">
        <is>
          <t>Sortie</t>
        </is>
      </c>
      <c r="D631" s="7" t="inlineStr">
        <is>
          <t>PD-0062</t>
        </is>
      </c>
      <c r="E631" s="9">
        <f>IF(D631="","",IFERROR(INDEX('Stock pièces'!$B$5:$B$404,MATCH(D631,'Stock pièces'!$A$5:$A$404,0)),"Réf. inconnue"))</f>
        <v/>
      </c>
      <c r="F631" s="67" t="n">
        <v>1</v>
      </c>
      <c r="G631" s="81">
        <f>IF(D631="","",IFERROR(INDEX('Stock pièces'!$I$5:$I$404,MATCH(D631,'Stock pièces'!$A$5:$A$404,0)),0))</f>
        <v/>
      </c>
      <c r="H631" s="81">
        <f>IF(D631="","",N(F631)*N(G631))</f>
        <v/>
      </c>
      <c r="I631" s="7" t="inlineStr">
        <is>
          <t>OT-2025-0777</t>
        </is>
      </c>
      <c r="J631" s="9">
        <f>IF(I631="","",IFERROR(INDEX('Ordres de travail'!$D$5:$D$3004,MATCH(I631,'Ordres de travail'!$A$5:$A$3004,0)),""))</f>
        <v/>
      </c>
      <c r="K631" s="9">
        <f>IF(D631="","",IFERROR(INDEX('Stock pièces'!$D$5:$D$404,MATCH(D631,'Stock pièces'!$A$5:$A$404,0)),""))</f>
        <v/>
      </c>
      <c r="L631" s="7" t="n"/>
      <c r="M631" s="7" t="n"/>
    </row>
    <row r="632">
      <c r="A632" s="7" t="inlineStr">
        <is>
          <t>MV-00628</t>
        </is>
      </c>
      <c r="B632" s="75" t="n">
        <v>46001.42361111111</v>
      </c>
      <c r="C632" s="7" t="inlineStr">
        <is>
          <t>Sortie</t>
        </is>
      </c>
      <c r="D632" s="7" t="inlineStr">
        <is>
          <t>PD-0063</t>
        </is>
      </c>
      <c r="E632" s="9">
        <f>IF(D632="","",IFERROR(INDEX('Stock pièces'!$B$5:$B$404,MATCH(D632,'Stock pièces'!$A$5:$A$404,0)),"Réf. inconnue"))</f>
        <v/>
      </c>
      <c r="F632" s="67" t="n">
        <v>1</v>
      </c>
      <c r="G632" s="81">
        <f>IF(D632="","",IFERROR(INDEX('Stock pièces'!$I$5:$I$404,MATCH(D632,'Stock pièces'!$A$5:$A$404,0)),0))</f>
        <v/>
      </c>
      <c r="H632" s="81">
        <f>IF(D632="","",N(F632)*N(G632))</f>
        <v/>
      </c>
      <c r="I632" s="7" t="inlineStr">
        <is>
          <t>OT-2025-0777</t>
        </is>
      </c>
      <c r="J632" s="9">
        <f>IF(I632="","",IFERROR(INDEX('Ordres de travail'!$D$5:$D$3004,MATCH(I632,'Ordres de travail'!$A$5:$A$3004,0)),""))</f>
        <v/>
      </c>
      <c r="K632" s="9">
        <f>IF(D632="","",IFERROR(INDEX('Stock pièces'!$D$5:$D$404,MATCH(D632,'Stock pièces'!$A$5:$A$404,0)),""))</f>
        <v/>
      </c>
      <c r="L632" s="7" t="n"/>
      <c r="M632" s="7" t="n"/>
    </row>
    <row r="633">
      <c r="A633" s="7" t="inlineStr">
        <is>
          <t>MV-00629</t>
        </is>
      </c>
      <c r="B633" s="75" t="n">
        <v>46001.56944444445</v>
      </c>
      <c r="C633" s="7" t="inlineStr">
        <is>
          <t>Sortie</t>
        </is>
      </c>
      <c r="D633" s="7" t="inlineStr">
        <is>
          <t>PD-0017</t>
        </is>
      </c>
      <c r="E633" s="9">
        <f>IF(D633="","",IFERROR(INDEX('Stock pièces'!$B$5:$B$404,MATCH(D633,'Stock pièces'!$A$5:$A$404,0)),"Réf. inconnue"))</f>
        <v/>
      </c>
      <c r="F633" s="67" t="n">
        <v>1</v>
      </c>
      <c r="G633" s="81">
        <f>IF(D633="","",IFERROR(INDEX('Stock pièces'!$I$5:$I$404,MATCH(D633,'Stock pièces'!$A$5:$A$404,0)),0))</f>
        <v/>
      </c>
      <c r="H633" s="81">
        <f>IF(D633="","",N(F633)*N(G633))</f>
        <v/>
      </c>
      <c r="I633" s="7" t="inlineStr">
        <is>
          <t>OT-2025-0778</t>
        </is>
      </c>
      <c r="J633" s="9">
        <f>IF(I633="","",IFERROR(INDEX('Ordres de travail'!$D$5:$D$3004,MATCH(I633,'Ordres de travail'!$A$5:$A$3004,0)),""))</f>
        <v/>
      </c>
      <c r="K633" s="9">
        <f>IF(D633="","",IFERROR(INDEX('Stock pièces'!$D$5:$D$404,MATCH(D633,'Stock pièces'!$A$5:$A$404,0)),""))</f>
        <v/>
      </c>
      <c r="L633" s="7" t="n"/>
      <c r="M633" s="7" t="n"/>
    </row>
    <row r="634">
      <c r="A634" s="7" t="inlineStr">
        <is>
          <t>MV-00630</t>
        </is>
      </c>
      <c r="B634" s="75" t="n">
        <v>46002.55555555555</v>
      </c>
      <c r="C634" s="7" t="inlineStr">
        <is>
          <t>Sortie</t>
        </is>
      </c>
      <c r="D634" s="7" t="inlineStr">
        <is>
          <t>PD-0021</t>
        </is>
      </c>
      <c r="E634" s="9">
        <f>IF(D634="","",IFERROR(INDEX('Stock pièces'!$B$5:$B$404,MATCH(D634,'Stock pièces'!$A$5:$A$404,0)),"Réf. inconnue"))</f>
        <v/>
      </c>
      <c r="F634" s="67" t="n">
        <v>1</v>
      </c>
      <c r="G634" s="81">
        <f>IF(D634="","",IFERROR(INDEX('Stock pièces'!$I$5:$I$404,MATCH(D634,'Stock pièces'!$A$5:$A$404,0)),0))</f>
        <v/>
      </c>
      <c r="H634" s="81">
        <f>IF(D634="","",N(F634)*N(G634))</f>
        <v/>
      </c>
      <c r="I634" s="7" t="inlineStr">
        <is>
          <t>OT-2025-0781</t>
        </is>
      </c>
      <c r="J634" s="9">
        <f>IF(I634="","",IFERROR(INDEX('Ordres de travail'!$D$5:$D$3004,MATCH(I634,'Ordres de travail'!$A$5:$A$3004,0)),""))</f>
        <v/>
      </c>
      <c r="K634" s="9">
        <f>IF(D634="","",IFERROR(INDEX('Stock pièces'!$D$5:$D$404,MATCH(D634,'Stock pièces'!$A$5:$A$404,0)),""))</f>
        <v/>
      </c>
      <c r="L634" s="7" t="n"/>
      <c r="M634" s="7" t="n"/>
    </row>
    <row r="635">
      <c r="A635" s="7" t="inlineStr">
        <is>
          <t>MV-00631</t>
        </is>
      </c>
      <c r="B635" s="75" t="n">
        <v>46006.29166666666</v>
      </c>
      <c r="C635" s="7" t="inlineStr">
        <is>
          <t>Sortie</t>
        </is>
      </c>
      <c r="D635" s="7" t="inlineStr">
        <is>
          <t>PD-0025</t>
        </is>
      </c>
      <c r="E635" s="9">
        <f>IF(D635="","",IFERROR(INDEX('Stock pièces'!$B$5:$B$404,MATCH(D635,'Stock pièces'!$A$5:$A$404,0)),"Réf. inconnue"))</f>
        <v/>
      </c>
      <c r="F635" s="67" t="n">
        <v>1</v>
      </c>
      <c r="G635" s="81">
        <f>IF(D635="","",IFERROR(INDEX('Stock pièces'!$I$5:$I$404,MATCH(D635,'Stock pièces'!$A$5:$A$404,0)),0))</f>
        <v/>
      </c>
      <c r="H635" s="81">
        <f>IF(D635="","",N(F635)*N(G635))</f>
        <v/>
      </c>
      <c r="I635" s="7" t="inlineStr">
        <is>
          <t>OT-2025-0785</t>
        </is>
      </c>
      <c r="J635" s="9">
        <f>IF(I635="","",IFERROR(INDEX('Ordres de travail'!$D$5:$D$3004,MATCH(I635,'Ordres de travail'!$A$5:$A$3004,0)),""))</f>
        <v/>
      </c>
      <c r="K635" s="9">
        <f>IF(D635="","",IFERROR(INDEX('Stock pièces'!$D$5:$D$404,MATCH(D635,'Stock pièces'!$A$5:$A$404,0)),""))</f>
        <v/>
      </c>
      <c r="L635" s="7" t="n"/>
      <c r="M635" s="7" t="n"/>
    </row>
    <row r="636">
      <c r="A636" s="7" t="inlineStr">
        <is>
          <t>MV-00632</t>
        </is>
      </c>
      <c r="B636" s="75" t="n">
        <v>46006.375</v>
      </c>
      <c r="C636" s="7" t="inlineStr">
        <is>
          <t>Sortie</t>
        </is>
      </c>
      <c r="D636" s="7" t="inlineStr">
        <is>
          <t>PD-0027</t>
        </is>
      </c>
      <c r="E636" s="9">
        <f>IF(D636="","",IFERROR(INDEX('Stock pièces'!$B$5:$B$404,MATCH(D636,'Stock pièces'!$A$5:$A$404,0)),"Réf. inconnue"))</f>
        <v/>
      </c>
      <c r="F636" s="67" t="n">
        <v>1</v>
      </c>
      <c r="G636" s="81">
        <f>IF(D636="","",IFERROR(INDEX('Stock pièces'!$I$5:$I$404,MATCH(D636,'Stock pièces'!$A$5:$A$404,0)),0))</f>
        <v/>
      </c>
      <c r="H636" s="81">
        <f>IF(D636="","",N(F636)*N(G636))</f>
        <v/>
      </c>
      <c r="I636" s="7" t="inlineStr">
        <is>
          <t>OT-2025-0788</t>
        </is>
      </c>
      <c r="J636" s="9">
        <f>IF(I636="","",IFERROR(INDEX('Ordres de travail'!$D$5:$D$3004,MATCH(I636,'Ordres de travail'!$A$5:$A$3004,0)),""))</f>
        <v/>
      </c>
      <c r="K636" s="9">
        <f>IF(D636="","",IFERROR(INDEX('Stock pièces'!$D$5:$D$404,MATCH(D636,'Stock pièces'!$A$5:$A$404,0)),""))</f>
        <v/>
      </c>
      <c r="L636" s="7" t="n"/>
      <c r="M636" s="7" t="n"/>
    </row>
    <row r="637">
      <c r="A637" s="7" t="inlineStr">
        <is>
          <t>MV-00633</t>
        </is>
      </c>
      <c r="B637" s="75" t="n">
        <v>46006.41666666666</v>
      </c>
      <c r="C637" s="7" t="inlineStr">
        <is>
          <t>Entrée</t>
        </is>
      </c>
      <c r="D637" s="7" t="inlineStr">
        <is>
          <t>PD-0017</t>
        </is>
      </c>
      <c r="E637" s="9">
        <f>IF(D637="","",IFERROR(INDEX('Stock pièces'!$B$5:$B$404,MATCH(D637,'Stock pièces'!$A$5:$A$404,0)),"Réf. inconnue"))</f>
        <v/>
      </c>
      <c r="F637" s="67" t="n">
        <v>8</v>
      </c>
      <c r="G637" s="81">
        <f>IF(D637="","",IFERROR(INDEX('Stock pièces'!$I$5:$I$404,MATCH(D637,'Stock pièces'!$A$5:$A$404,0)),0))</f>
        <v/>
      </c>
      <c r="H637" s="81">
        <f>IF(D637="","",N(F637)*N(G637))</f>
        <v/>
      </c>
      <c r="I637" s="7" t="n"/>
      <c r="J637" s="9">
        <f>IF(I637="","",IFERROR(INDEX('Ordres de travail'!$D$5:$D$3004,MATCH(I637,'Ordres de travail'!$A$5:$A$3004,0)),""))</f>
        <v/>
      </c>
      <c r="K637" s="9">
        <f>IF(D637="","",IFERROR(INDEX('Stock pièces'!$D$5:$D$404,MATCH(D637,'Stock pièces'!$A$5:$A$404,0)),""))</f>
        <v/>
      </c>
      <c r="L637" s="7" t="inlineStr">
        <is>
          <t>CMD-24177</t>
        </is>
      </c>
      <c r="M637" s="7" t="inlineStr">
        <is>
          <t>Réception commande réappro</t>
        </is>
      </c>
    </row>
    <row r="638">
      <c r="A638" s="7" t="inlineStr">
        <is>
          <t>MV-00634</t>
        </is>
      </c>
      <c r="B638" s="75" t="n">
        <v>46006.41666666666</v>
      </c>
      <c r="C638" s="7" t="inlineStr">
        <is>
          <t>Entrée</t>
        </is>
      </c>
      <c r="D638" s="7" t="inlineStr">
        <is>
          <t>PD-0022</t>
        </is>
      </c>
      <c r="E638" s="9">
        <f>IF(D638="","",IFERROR(INDEX('Stock pièces'!$B$5:$B$404,MATCH(D638,'Stock pièces'!$A$5:$A$404,0)),"Réf. inconnue"))</f>
        <v/>
      </c>
      <c r="F638" s="67" t="n">
        <v>2</v>
      </c>
      <c r="G638" s="81">
        <f>IF(D638="","",IFERROR(INDEX('Stock pièces'!$I$5:$I$404,MATCH(D638,'Stock pièces'!$A$5:$A$404,0)),0))</f>
        <v/>
      </c>
      <c r="H638" s="81">
        <f>IF(D638="","",N(F638)*N(G638))</f>
        <v/>
      </c>
      <c r="I638" s="7" t="n"/>
      <c r="J638" s="9">
        <f>IF(I638="","",IFERROR(INDEX('Ordres de travail'!$D$5:$D$3004,MATCH(I638,'Ordres de travail'!$A$5:$A$3004,0)),""))</f>
        <v/>
      </c>
      <c r="K638" s="9">
        <f>IF(D638="","",IFERROR(INDEX('Stock pièces'!$D$5:$D$404,MATCH(D638,'Stock pièces'!$A$5:$A$404,0)),""))</f>
        <v/>
      </c>
      <c r="L638" s="7" t="inlineStr">
        <is>
          <t>CMD-24182</t>
        </is>
      </c>
      <c r="M638" s="7" t="inlineStr">
        <is>
          <t>Réception commande réappro</t>
        </is>
      </c>
    </row>
    <row r="639">
      <c r="A639" s="7" t="inlineStr">
        <is>
          <t>MV-00635</t>
        </is>
      </c>
      <c r="B639" s="75" t="n">
        <v>46006.41666666666</v>
      </c>
      <c r="C639" s="7" t="inlineStr">
        <is>
          <t>Entrée</t>
        </is>
      </c>
      <c r="D639" s="7" t="inlineStr">
        <is>
          <t>PD-0062</t>
        </is>
      </c>
      <c r="E639" s="9">
        <f>IF(D639="","",IFERROR(INDEX('Stock pièces'!$B$5:$B$404,MATCH(D639,'Stock pièces'!$A$5:$A$404,0)),"Réf. inconnue"))</f>
        <v/>
      </c>
      <c r="F639" s="67" t="n">
        <v>15</v>
      </c>
      <c r="G639" s="81">
        <f>IF(D639="","",IFERROR(INDEX('Stock pièces'!$I$5:$I$404,MATCH(D639,'Stock pièces'!$A$5:$A$404,0)),0))</f>
        <v/>
      </c>
      <c r="H639" s="81">
        <f>IF(D639="","",N(F639)*N(G639))</f>
        <v/>
      </c>
      <c r="I639" s="7" t="n"/>
      <c r="J639" s="9">
        <f>IF(I639="","",IFERROR(INDEX('Ordres de travail'!$D$5:$D$3004,MATCH(I639,'Ordres de travail'!$A$5:$A$3004,0)),""))</f>
        <v/>
      </c>
      <c r="K639" s="9">
        <f>IF(D639="","",IFERROR(INDEX('Stock pièces'!$D$5:$D$404,MATCH(D639,'Stock pièces'!$A$5:$A$404,0)),""))</f>
        <v/>
      </c>
      <c r="L639" s="7" t="inlineStr">
        <is>
          <t>CMD-24183</t>
        </is>
      </c>
      <c r="M639" s="7" t="inlineStr">
        <is>
          <t>Réception commande réappro</t>
        </is>
      </c>
    </row>
    <row r="640">
      <c r="A640" s="7" t="inlineStr">
        <is>
          <t>MV-00636</t>
        </is>
      </c>
      <c r="B640" s="75" t="n">
        <v>46006.54305555556</v>
      </c>
      <c r="C640" s="7" t="inlineStr">
        <is>
          <t>Sortie</t>
        </is>
      </c>
      <c r="D640" s="7" t="inlineStr">
        <is>
          <t>PD-0073</t>
        </is>
      </c>
      <c r="E640" s="9">
        <f>IF(D640="","",IFERROR(INDEX('Stock pièces'!$B$5:$B$404,MATCH(D640,'Stock pièces'!$A$5:$A$404,0)),"Réf. inconnue"))</f>
        <v/>
      </c>
      <c r="F640" s="67" t="n">
        <v>1</v>
      </c>
      <c r="G640" s="81">
        <f>IF(D640="","",IFERROR(INDEX('Stock pièces'!$I$5:$I$404,MATCH(D640,'Stock pièces'!$A$5:$A$404,0)),0))</f>
        <v/>
      </c>
      <c r="H640" s="81">
        <f>IF(D640="","",N(F640)*N(G640))</f>
        <v/>
      </c>
      <c r="I640" s="7" t="inlineStr">
        <is>
          <t>OT-2025-0801</t>
        </is>
      </c>
      <c r="J640" s="9">
        <f>IF(I640="","",IFERROR(INDEX('Ordres de travail'!$D$5:$D$3004,MATCH(I640,'Ordres de travail'!$A$5:$A$3004,0)),""))</f>
        <v/>
      </c>
      <c r="K640" s="9">
        <f>IF(D640="","",IFERROR(INDEX('Stock pièces'!$D$5:$D$404,MATCH(D640,'Stock pièces'!$A$5:$A$404,0)),""))</f>
        <v/>
      </c>
      <c r="L640" s="7" t="n"/>
      <c r="M640" s="7" t="n"/>
    </row>
    <row r="641">
      <c r="A641" s="7" t="inlineStr">
        <is>
          <t>MV-00637</t>
        </is>
      </c>
      <c r="B641" s="75" t="n">
        <v>46007.29861111111</v>
      </c>
      <c r="C641" s="7" t="inlineStr">
        <is>
          <t>Sortie</t>
        </is>
      </c>
      <c r="D641" s="7" t="inlineStr">
        <is>
          <t>PD-0054</t>
        </is>
      </c>
      <c r="E641" s="9">
        <f>IF(D641="","",IFERROR(INDEX('Stock pièces'!$B$5:$B$404,MATCH(D641,'Stock pièces'!$A$5:$A$404,0)),"Réf. inconnue"))</f>
        <v/>
      </c>
      <c r="F641" s="67" t="n">
        <v>1</v>
      </c>
      <c r="G641" s="81">
        <f>IF(D641="","",IFERROR(INDEX('Stock pièces'!$I$5:$I$404,MATCH(D641,'Stock pièces'!$A$5:$A$404,0)),0))</f>
        <v/>
      </c>
      <c r="H641" s="81">
        <f>IF(D641="","",N(F641)*N(G641))</f>
        <v/>
      </c>
      <c r="I641" s="7" t="inlineStr">
        <is>
          <t>OT-2025-0808</t>
        </is>
      </c>
      <c r="J641" s="9">
        <f>IF(I641="","",IFERROR(INDEX('Ordres de travail'!$D$5:$D$3004,MATCH(I641,'Ordres de travail'!$A$5:$A$3004,0)),""))</f>
        <v/>
      </c>
      <c r="K641" s="9">
        <f>IF(D641="","",IFERROR(INDEX('Stock pièces'!$D$5:$D$404,MATCH(D641,'Stock pièces'!$A$5:$A$404,0)),""))</f>
        <v/>
      </c>
      <c r="L641" s="7" t="n"/>
      <c r="M641" s="7" t="n"/>
    </row>
    <row r="642">
      <c r="A642" s="7" t="inlineStr">
        <is>
          <t>MV-00638</t>
        </is>
      </c>
      <c r="B642" s="75" t="n">
        <v>46007.41666666666</v>
      </c>
      <c r="C642" s="7" t="inlineStr">
        <is>
          <t>Entrée</t>
        </is>
      </c>
      <c r="D642" s="7" t="inlineStr">
        <is>
          <t>PD-0069</t>
        </is>
      </c>
      <c r="E642" s="9">
        <f>IF(D642="","",IFERROR(INDEX('Stock pièces'!$B$5:$B$404,MATCH(D642,'Stock pièces'!$A$5:$A$404,0)),"Réf. inconnue"))</f>
        <v/>
      </c>
      <c r="F642" s="67" t="n">
        <v>1</v>
      </c>
      <c r="G642" s="81">
        <f>IF(D642="","",IFERROR(INDEX('Stock pièces'!$I$5:$I$404,MATCH(D642,'Stock pièces'!$A$5:$A$404,0)),0))</f>
        <v/>
      </c>
      <c r="H642" s="81">
        <f>IF(D642="","",N(F642)*N(G642))</f>
        <v/>
      </c>
      <c r="I642" s="7" t="n"/>
      <c r="J642" s="9">
        <f>IF(I642="","",IFERROR(INDEX('Ordres de travail'!$D$5:$D$3004,MATCH(I642,'Ordres de travail'!$A$5:$A$3004,0)),""))</f>
        <v/>
      </c>
      <c r="K642" s="9">
        <f>IF(D642="","",IFERROR(INDEX('Stock pièces'!$D$5:$D$404,MATCH(D642,'Stock pièces'!$A$5:$A$404,0)),""))</f>
        <v/>
      </c>
      <c r="L642" s="7" t="inlineStr">
        <is>
          <t>CMD-24181</t>
        </is>
      </c>
      <c r="M642" s="7" t="inlineStr">
        <is>
          <t>Réception commande réappro</t>
        </is>
      </c>
    </row>
    <row r="643">
      <c r="A643" s="7" t="inlineStr">
        <is>
          <t>MV-00639</t>
        </is>
      </c>
      <c r="B643" s="75" t="n">
        <v>46008.6625</v>
      </c>
      <c r="C643" s="7" t="inlineStr">
        <is>
          <t>Sortie</t>
        </is>
      </c>
      <c r="D643" s="7" t="inlineStr">
        <is>
          <t>PD-0067</t>
        </is>
      </c>
      <c r="E643" s="9">
        <f>IF(D643="","",IFERROR(INDEX('Stock pièces'!$B$5:$B$404,MATCH(D643,'Stock pièces'!$A$5:$A$404,0)),"Réf. inconnue"))</f>
        <v/>
      </c>
      <c r="F643" s="67" t="n">
        <v>2</v>
      </c>
      <c r="G643" s="81">
        <f>IF(D643="","",IFERROR(INDEX('Stock pièces'!$I$5:$I$404,MATCH(D643,'Stock pièces'!$A$5:$A$404,0)),0))</f>
        <v/>
      </c>
      <c r="H643" s="81">
        <f>IF(D643="","",N(F643)*N(G643))</f>
        <v/>
      </c>
      <c r="I643" s="7" t="inlineStr">
        <is>
          <t>OT-2025-0816</t>
        </is>
      </c>
      <c r="J643" s="9">
        <f>IF(I643="","",IFERROR(INDEX('Ordres de travail'!$D$5:$D$3004,MATCH(I643,'Ordres de travail'!$A$5:$A$3004,0)),""))</f>
        <v/>
      </c>
      <c r="K643" s="9">
        <f>IF(D643="","",IFERROR(INDEX('Stock pièces'!$D$5:$D$404,MATCH(D643,'Stock pièces'!$A$5:$A$404,0)),""))</f>
        <v/>
      </c>
      <c r="L643" s="7" t="n"/>
      <c r="M643" s="7" t="n"/>
    </row>
    <row r="644">
      <c r="A644" s="7" t="inlineStr">
        <is>
          <t>MV-00640</t>
        </is>
      </c>
      <c r="B644" s="75" t="n">
        <v>46008.90416666667</v>
      </c>
      <c r="C644" s="7" t="inlineStr">
        <is>
          <t>Sortie</t>
        </is>
      </c>
      <c r="D644" s="7" t="inlineStr">
        <is>
          <t>PD-0048</t>
        </is>
      </c>
      <c r="E644" s="9">
        <f>IF(D644="","",IFERROR(INDEX('Stock pièces'!$B$5:$B$404,MATCH(D644,'Stock pièces'!$A$5:$A$404,0)),"Réf. inconnue"))</f>
        <v/>
      </c>
      <c r="F644" s="67" t="n">
        <v>2</v>
      </c>
      <c r="G644" s="81">
        <f>IF(D644="","",IFERROR(INDEX('Stock pièces'!$I$5:$I$404,MATCH(D644,'Stock pièces'!$A$5:$A$404,0)),0))</f>
        <v/>
      </c>
      <c r="H644" s="81">
        <f>IF(D644="","",N(F644)*N(G644))</f>
        <v/>
      </c>
      <c r="I644" s="7" t="inlineStr">
        <is>
          <t>OT-2025-0817</t>
        </is>
      </c>
      <c r="J644" s="9">
        <f>IF(I644="","",IFERROR(INDEX('Ordres de travail'!$D$5:$D$3004,MATCH(I644,'Ordres de travail'!$A$5:$A$3004,0)),""))</f>
        <v/>
      </c>
      <c r="K644" s="9">
        <f>IF(D644="","",IFERROR(INDEX('Stock pièces'!$D$5:$D$404,MATCH(D644,'Stock pièces'!$A$5:$A$404,0)),""))</f>
        <v/>
      </c>
      <c r="L644" s="7" t="n"/>
      <c r="M644" s="7" t="n"/>
    </row>
    <row r="645">
      <c r="A645" s="7" t="inlineStr">
        <is>
          <t>MV-00641</t>
        </is>
      </c>
      <c r="B645" s="75" t="n">
        <v>46008.9875</v>
      </c>
      <c r="C645" s="7" t="inlineStr">
        <is>
          <t>Entrée</t>
        </is>
      </c>
      <c r="D645" s="7" t="inlineStr">
        <is>
          <t>PD-0067</t>
        </is>
      </c>
      <c r="E645" s="9">
        <f>IF(D645="","",IFERROR(INDEX('Stock pièces'!$B$5:$B$404,MATCH(D645,'Stock pièces'!$A$5:$A$404,0)),"Réf. inconnue"))</f>
        <v/>
      </c>
      <c r="F645" s="67" t="n">
        <v>3</v>
      </c>
      <c r="G645" s="81">
        <f>IF(D645="","",IFERROR(INDEX('Stock pièces'!$I$5:$I$404,MATCH(D645,'Stock pièces'!$A$5:$A$404,0)),0))</f>
        <v/>
      </c>
      <c r="H645" s="81">
        <f>IF(D645="","",N(F645)*N(G645))</f>
        <v/>
      </c>
      <c r="I645" s="7" t="n"/>
      <c r="J645" s="9">
        <f>IF(I645="","",IFERROR(INDEX('Ordres de travail'!$D$5:$D$3004,MATCH(I645,'Ordres de travail'!$A$5:$A$3004,0)),""))</f>
        <v/>
      </c>
      <c r="K645" s="9">
        <f>IF(D645="","",IFERROR(INDEX('Stock pièces'!$D$5:$D$404,MATCH(D645,'Stock pièces'!$A$5:$A$404,0)),""))</f>
        <v/>
      </c>
      <c r="L645" s="7" t="inlineStr">
        <is>
          <t>URG-24188</t>
        </is>
      </c>
      <c r="M645" s="7" t="inlineStr">
        <is>
          <t>Achat urgent (rupture)</t>
        </is>
      </c>
    </row>
    <row r="646">
      <c r="A646" s="7" t="inlineStr">
        <is>
          <t>MV-00642</t>
        </is>
      </c>
      <c r="B646" s="75" t="n">
        <v>46008.99097222222</v>
      </c>
      <c r="C646" s="7" t="inlineStr">
        <is>
          <t>Sortie</t>
        </is>
      </c>
      <c r="D646" s="7" t="inlineStr">
        <is>
          <t>PD-0067</t>
        </is>
      </c>
      <c r="E646" s="9">
        <f>IF(D646="","",IFERROR(INDEX('Stock pièces'!$B$5:$B$404,MATCH(D646,'Stock pièces'!$A$5:$A$404,0)),"Réf. inconnue"))</f>
        <v/>
      </c>
      <c r="F646" s="67" t="n">
        <v>1</v>
      </c>
      <c r="G646" s="81">
        <f>IF(D646="","",IFERROR(INDEX('Stock pièces'!$I$5:$I$404,MATCH(D646,'Stock pièces'!$A$5:$A$404,0)),0))</f>
        <v/>
      </c>
      <c r="H646" s="81">
        <f>IF(D646="","",N(F646)*N(G646))</f>
        <v/>
      </c>
      <c r="I646" s="7" t="inlineStr">
        <is>
          <t>OT-2025-0811</t>
        </is>
      </c>
      <c r="J646" s="9">
        <f>IF(I646="","",IFERROR(INDEX('Ordres de travail'!$D$5:$D$3004,MATCH(I646,'Ordres de travail'!$A$5:$A$3004,0)),""))</f>
        <v/>
      </c>
      <c r="K646" s="9">
        <f>IF(D646="","",IFERROR(INDEX('Stock pièces'!$D$5:$D$404,MATCH(D646,'Stock pièces'!$A$5:$A$404,0)),""))</f>
        <v/>
      </c>
      <c r="L646" s="7" t="n"/>
      <c r="M646" s="7" t="n"/>
    </row>
    <row r="647">
      <c r="A647" s="7" t="inlineStr">
        <is>
          <t>MV-00643</t>
        </is>
      </c>
      <c r="B647" s="75" t="n">
        <v>46009.28819444445</v>
      </c>
      <c r="C647" s="7" t="inlineStr">
        <is>
          <t>Sortie</t>
        </is>
      </c>
      <c r="D647" s="7" t="inlineStr">
        <is>
          <t>PD-0012</t>
        </is>
      </c>
      <c r="E647" s="9">
        <f>IF(D647="","",IFERROR(INDEX('Stock pièces'!$B$5:$B$404,MATCH(D647,'Stock pièces'!$A$5:$A$404,0)),"Réf. inconnue"))</f>
        <v/>
      </c>
      <c r="F647" s="67" t="n">
        <v>1</v>
      </c>
      <c r="G647" s="81">
        <f>IF(D647="","",IFERROR(INDEX('Stock pièces'!$I$5:$I$404,MATCH(D647,'Stock pièces'!$A$5:$A$404,0)),0))</f>
        <v/>
      </c>
      <c r="H647" s="81">
        <f>IF(D647="","",N(F647)*N(G647))</f>
        <v/>
      </c>
      <c r="I647" s="7" t="inlineStr">
        <is>
          <t>OT-2025-0794</t>
        </is>
      </c>
      <c r="J647" s="9">
        <f>IF(I647="","",IFERROR(INDEX('Ordres de travail'!$D$5:$D$3004,MATCH(I647,'Ordres de travail'!$A$5:$A$3004,0)),""))</f>
        <v/>
      </c>
      <c r="K647" s="9">
        <f>IF(D647="","",IFERROR(INDEX('Stock pièces'!$D$5:$D$404,MATCH(D647,'Stock pièces'!$A$5:$A$404,0)),""))</f>
        <v/>
      </c>
      <c r="L647" s="7" t="n"/>
      <c r="M647" s="7" t="n"/>
    </row>
    <row r="648">
      <c r="A648" s="7" t="inlineStr">
        <is>
          <t>MV-00644</t>
        </is>
      </c>
      <c r="B648" s="75" t="n">
        <v>46009.28819444445</v>
      </c>
      <c r="C648" s="7" t="inlineStr">
        <is>
          <t>Sortie</t>
        </is>
      </c>
      <c r="D648" s="7" t="inlineStr">
        <is>
          <t>PD-0013</t>
        </is>
      </c>
      <c r="E648" s="9">
        <f>IF(D648="","",IFERROR(INDEX('Stock pièces'!$B$5:$B$404,MATCH(D648,'Stock pièces'!$A$5:$A$404,0)),"Réf. inconnue"))</f>
        <v/>
      </c>
      <c r="F648" s="67" t="n">
        <v>1</v>
      </c>
      <c r="G648" s="81">
        <f>IF(D648="","",IFERROR(INDEX('Stock pièces'!$I$5:$I$404,MATCH(D648,'Stock pièces'!$A$5:$A$404,0)),0))</f>
        <v/>
      </c>
      <c r="H648" s="81">
        <f>IF(D648="","",N(F648)*N(G648))</f>
        <v/>
      </c>
      <c r="I648" s="7" t="inlineStr">
        <is>
          <t>OT-2025-0794</t>
        </is>
      </c>
      <c r="J648" s="9">
        <f>IF(I648="","",IFERROR(INDEX('Ordres de travail'!$D$5:$D$3004,MATCH(I648,'Ordres de travail'!$A$5:$A$3004,0)),""))</f>
        <v/>
      </c>
      <c r="K648" s="9">
        <f>IF(D648="","",IFERROR(INDEX('Stock pièces'!$D$5:$D$404,MATCH(D648,'Stock pièces'!$A$5:$A$404,0)),""))</f>
        <v/>
      </c>
      <c r="L648" s="7" t="n"/>
      <c r="M648" s="7" t="n"/>
    </row>
    <row r="649">
      <c r="A649" s="7" t="inlineStr">
        <is>
          <t>MV-00645</t>
        </is>
      </c>
      <c r="B649" s="75" t="n">
        <v>46009.28819444445</v>
      </c>
      <c r="C649" s="7" t="inlineStr">
        <is>
          <t>Sortie</t>
        </is>
      </c>
      <c r="D649" s="7" t="inlineStr">
        <is>
          <t>PD-0024</t>
        </is>
      </c>
      <c r="E649" s="9">
        <f>IF(D649="","",IFERROR(INDEX('Stock pièces'!$B$5:$B$404,MATCH(D649,'Stock pièces'!$A$5:$A$404,0)),"Réf. inconnue"))</f>
        <v/>
      </c>
      <c r="F649" s="67" t="n">
        <v>1</v>
      </c>
      <c r="G649" s="81">
        <f>IF(D649="","",IFERROR(INDEX('Stock pièces'!$I$5:$I$404,MATCH(D649,'Stock pièces'!$A$5:$A$404,0)),0))</f>
        <v/>
      </c>
      <c r="H649" s="81">
        <f>IF(D649="","",N(F649)*N(G649))</f>
        <v/>
      </c>
      <c r="I649" s="7" t="inlineStr">
        <is>
          <t>OT-2025-0794</t>
        </is>
      </c>
      <c r="J649" s="9">
        <f>IF(I649="","",IFERROR(INDEX('Ordres de travail'!$D$5:$D$3004,MATCH(I649,'Ordres de travail'!$A$5:$A$3004,0)),""))</f>
        <v/>
      </c>
      <c r="K649" s="9">
        <f>IF(D649="","",IFERROR(INDEX('Stock pièces'!$D$5:$D$404,MATCH(D649,'Stock pièces'!$A$5:$A$404,0)),""))</f>
        <v/>
      </c>
      <c r="L649" s="7" t="n"/>
      <c r="M649" s="7" t="n"/>
    </row>
    <row r="650">
      <c r="A650" s="7" t="inlineStr">
        <is>
          <t>MV-00646</t>
        </is>
      </c>
      <c r="B650" s="75" t="n">
        <v>46013.41666666666</v>
      </c>
      <c r="C650" s="7" t="inlineStr">
        <is>
          <t>Entrée</t>
        </is>
      </c>
      <c r="D650" s="7" t="inlineStr">
        <is>
          <t>PD-0056</t>
        </is>
      </c>
      <c r="E650" s="9">
        <f>IF(D650="","",IFERROR(INDEX('Stock pièces'!$B$5:$B$404,MATCH(D650,'Stock pièces'!$A$5:$A$404,0)),"Réf. inconnue"))</f>
        <v/>
      </c>
      <c r="F650" s="67" t="n">
        <v>1</v>
      </c>
      <c r="G650" s="81">
        <f>IF(D650="","",IFERROR(INDEX('Stock pièces'!$I$5:$I$404,MATCH(D650,'Stock pièces'!$A$5:$A$404,0)),0))</f>
        <v/>
      </c>
      <c r="H650" s="81">
        <f>IF(D650="","",N(F650)*N(G650))</f>
        <v/>
      </c>
      <c r="I650" s="7" t="n"/>
      <c r="J650" s="9">
        <f>IF(I650="","",IFERROR(INDEX('Ordres de travail'!$D$5:$D$3004,MATCH(I650,'Ordres de travail'!$A$5:$A$3004,0)),""))</f>
        <v/>
      </c>
      <c r="K650" s="9">
        <f>IF(D650="","",IFERROR(INDEX('Stock pièces'!$D$5:$D$404,MATCH(D650,'Stock pièces'!$A$5:$A$404,0)),""))</f>
        <v/>
      </c>
      <c r="L650" s="7" t="inlineStr">
        <is>
          <t>CMD-24180</t>
        </is>
      </c>
      <c r="M650" s="7" t="inlineStr">
        <is>
          <t>Réception commande réappro</t>
        </is>
      </c>
    </row>
    <row r="651">
      <c r="A651" s="7" t="inlineStr">
        <is>
          <t>MV-00647</t>
        </is>
      </c>
      <c r="B651" s="75" t="n">
        <v>46014.34861111111</v>
      </c>
      <c r="C651" s="7" t="inlineStr">
        <is>
          <t>Sortie</t>
        </is>
      </c>
      <c r="D651" s="7" t="inlineStr">
        <is>
          <t>PD-0011</t>
        </is>
      </c>
      <c r="E651" s="9">
        <f>IF(D651="","",IFERROR(INDEX('Stock pièces'!$B$5:$B$404,MATCH(D651,'Stock pièces'!$A$5:$A$404,0)),"Réf. inconnue"))</f>
        <v/>
      </c>
      <c r="F651" s="67" t="n">
        <v>2</v>
      </c>
      <c r="G651" s="81">
        <f>IF(D651="","",IFERROR(INDEX('Stock pièces'!$I$5:$I$404,MATCH(D651,'Stock pièces'!$A$5:$A$404,0)),0))</f>
        <v/>
      </c>
      <c r="H651" s="81">
        <f>IF(D651="","",N(F651)*N(G651))</f>
        <v/>
      </c>
      <c r="I651" s="7" t="inlineStr">
        <is>
          <t>OT-2025-0824</t>
        </is>
      </c>
      <c r="J651" s="9">
        <f>IF(I651="","",IFERROR(INDEX('Ordres de travail'!$D$5:$D$3004,MATCH(I651,'Ordres de travail'!$A$5:$A$3004,0)),""))</f>
        <v/>
      </c>
      <c r="K651" s="9">
        <f>IF(D651="","",IFERROR(INDEX('Stock pièces'!$D$5:$D$404,MATCH(D651,'Stock pièces'!$A$5:$A$404,0)),""))</f>
        <v/>
      </c>
      <c r="L651" s="7" t="n"/>
      <c r="M651" s="7" t="n"/>
    </row>
    <row r="652">
      <c r="A652" s="7" t="inlineStr">
        <is>
          <t>MV-00648</t>
        </is>
      </c>
      <c r="B652" s="75" t="n">
        <v>46014.41666666666</v>
      </c>
      <c r="C652" s="7" t="inlineStr">
        <is>
          <t>Entrée</t>
        </is>
      </c>
      <c r="D652" s="7" t="inlineStr">
        <is>
          <t>PD-0048</t>
        </is>
      </c>
      <c r="E652" s="9">
        <f>IF(D652="","",IFERROR(INDEX('Stock pièces'!$B$5:$B$404,MATCH(D652,'Stock pièces'!$A$5:$A$404,0)),"Réf. inconnue"))</f>
        <v/>
      </c>
      <c r="F652" s="67" t="n">
        <v>4</v>
      </c>
      <c r="G652" s="81">
        <f>IF(D652="","",IFERROR(INDEX('Stock pièces'!$I$5:$I$404,MATCH(D652,'Stock pièces'!$A$5:$A$404,0)),0))</f>
        <v/>
      </c>
      <c r="H652" s="81">
        <f>IF(D652="","",N(F652)*N(G652))</f>
        <v/>
      </c>
      <c r="I652" s="7" t="n"/>
      <c r="J652" s="9">
        <f>IF(I652="","",IFERROR(INDEX('Ordres de travail'!$D$5:$D$3004,MATCH(I652,'Ordres de travail'!$A$5:$A$3004,0)),""))</f>
        <v/>
      </c>
      <c r="K652" s="9">
        <f>IF(D652="","",IFERROR(INDEX('Stock pièces'!$D$5:$D$404,MATCH(D652,'Stock pièces'!$A$5:$A$404,0)),""))</f>
        <v/>
      </c>
      <c r="L652" s="7" t="inlineStr">
        <is>
          <t>CMD-24187</t>
        </is>
      </c>
      <c r="M652" s="7" t="inlineStr">
        <is>
          <t>Réception commande réappro</t>
        </is>
      </c>
    </row>
    <row r="653">
      <c r="A653" s="7" t="inlineStr">
        <is>
          <t>MV-00649</t>
        </is>
      </c>
      <c r="B653" s="75" t="n">
        <v>46014.83611111111</v>
      </c>
      <c r="C653" s="7" t="inlineStr">
        <is>
          <t>Sortie</t>
        </is>
      </c>
      <c r="D653" s="7" t="inlineStr">
        <is>
          <t>PD-0067</t>
        </is>
      </c>
      <c r="E653" s="9">
        <f>IF(D653="","",IFERROR(INDEX('Stock pièces'!$B$5:$B$404,MATCH(D653,'Stock pièces'!$A$5:$A$404,0)),"Réf. inconnue"))</f>
        <v/>
      </c>
      <c r="F653" s="67" t="n">
        <v>1</v>
      </c>
      <c r="G653" s="81">
        <f>IF(D653="","",IFERROR(INDEX('Stock pièces'!$I$5:$I$404,MATCH(D653,'Stock pièces'!$A$5:$A$404,0)),0))</f>
        <v/>
      </c>
      <c r="H653" s="81">
        <f>IF(D653="","",N(F653)*N(G653))</f>
        <v/>
      </c>
      <c r="I653" s="7" t="inlineStr">
        <is>
          <t>OT-2025-0827</t>
        </is>
      </c>
      <c r="J653" s="9">
        <f>IF(I653="","",IFERROR(INDEX('Ordres de travail'!$D$5:$D$3004,MATCH(I653,'Ordres de travail'!$A$5:$A$3004,0)),""))</f>
        <v/>
      </c>
      <c r="K653" s="9">
        <f>IF(D653="","",IFERROR(INDEX('Stock pièces'!$D$5:$D$404,MATCH(D653,'Stock pièces'!$A$5:$A$404,0)),""))</f>
        <v/>
      </c>
      <c r="L653" s="7" t="n"/>
      <c r="M653" s="7" t="n"/>
    </row>
    <row r="654">
      <c r="A654" s="7" t="inlineStr">
        <is>
          <t>MV-00650</t>
        </is>
      </c>
      <c r="B654" s="75" t="n">
        <v>46014.83611111111</v>
      </c>
      <c r="C654" s="7" t="inlineStr">
        <is>
          <t>Sortie</t>
        </is>
      </c>
      <c r="D654" s="7" t="inlineStr">
        <is>
          <t>PD-0069</t>
        </is>
      </c>
      <c r="E654" s="9">
        <f>IF(D654="","",IFERROR(INDEX('Stock pièces'!$B$5:$B$404,MATCH(D654,'Stock pièces'!$A$5:$A$404,0)),"Réf. inconnue"))</f>
        <v/>
      </c>
      <c r="F654" s="67" t="n">
        <v>1</v>
      </c>
      <c r="G654" s="81">
        <f>IF(D654="","",IFERROR(INDEX('Stock pièces'!$I$5:$I$404,MATCH(D654,'Stock pièces'!$A$5:$A$404,0)),0))</f>
        <v/>
      </c>
      <c r="H654" s="81">
        <f>IF(D654="","",N(F654)*N(G654))</f>
        <v/>
      </c>
      <c r="I654" s="7" t="inlineStr">
        <is>
          <t>OT-2025-0827</t>
        </is>
      </c>
      <c r="J654" s="9">
        <f>IF(I654="","",IFERROR(INDEX('Ordres de travail'!$D$5:$D$3004,MATCH(I654,'Ordres de travail'!$A$5:$A$3004,0)),""))</f>
        <v/>
      </c>
      <c r="K654" s="9">
        <f>IF(D654="","",IFERROR(INDEX('Stock pièces'!$D$5:$D$404,MATCH(D654,'Stock pièces'!$A$5:$A$404,0)),""))</f>
        <v/>
      </c>
      <c r="L654" s="7" t="n"/>
      <c r="M654" s="7" t="n"/>
    </row>
    <row r="655">
      <c r="A655" s="7" t="inlineStr">
        <is>
          <t>MV-00651</t>
        </is>
      </c>
      <c r="B655" s="75" t="n">
        <v>46015.34861111111</v>
      </c>
      <c r="C655" s="7" t="inlineStr">
        <is>
          <t>Retour</t>
        </is>
      </c>
      <c r="D655" s="7" t="inlineStr">
        <is>
          <t>PD-0011</t>
        </is>
      </c>
      <c r="E655" s="9">
        <f>IF(D655="","",IFERROR(INDEX('Stock pièces'!$B$5:$B$404,MATCH(D655,'Stock pièces'!$A$5:$A$404,0)),"Réf. inconnue"))</f>
        <v/>
      </c>
      <c r="F655" s="67" t="n">
        <v>1</v>
      </c>
      <c r="G655" s="81">
        <f>IF(D655="","",IFERROR(INDEX('Stock pièces'!$I$5:$I$404,MATCH(D655,'Stock pièces'!$A$5:$A$404,0)),0))</f>
        <v/>
      </c>
      <c r="H655" s="81">
        <f>IF(D655="","",N(F655)*N(G655))</f>
        <v/>
      </c>
      <c r="I655" s="7" t="inlineStr">
        <is>
          <t>OT-2025-0824</t>
        </is>
      </c>
      <c r="J655" s="9">
        <f>IF(I655="","",IFERROR(INDEX('Ordres de travail'!$D$5:$D$3004,MATCH(I655,'Ordres de travail'!$A$5:$A$3004,0)),""))</f>
        <v/>
      </c>
      <c r="K655" s="9">
        <f>IF(D655="","",IFERROR(INDEX('Stock pièces'!$D$5:$D$404,MATCH(D655,'Stock pièces'!$A$5:$A$404,0)),""))</f>
        <v/>
      </c>
      <c r="L655" s="7" t="n"/>
      <c r="M655" s="7" t="inlineStr">
        <is>
          <t>Pièce non utilisée</t>
        </is>
      </c>
    </row>
    <row r="656">
      <c r="A656" s="7" t="inlineStr">
        <is>
          <t>MV-00652</t>
        </is>
      </c>
      <c r="B656" s="75" t="n">
        <v>46015.39236111111</v>
      </c>
      <c r="C656" s="7" t="inlineStr">
        <is>
          <t>Sortie</t>
        </is>
      </c>
      <c r="D656" s="7" t="inlineStr">
        <is>
          <t>PD-0025</t>
        </is>
      </c>
      <c r="E656" s="9">
        <f>IF(D656="","",IFERROR(INDEX('Stock pièces'!$B$5:$B$404,MATCH(D656,'Stock pièces'!$A$5:$A$404,0)),"Réf. inconnue"))</f>
        <v/>
      </c>
      <c r="F656" s="67" t="n">
        <v>1</v>
      </c>
      <c r="G656" s="81">
        <f>IF(D656="","",IFERROR(INDEX('Stock pièces'!$I$5:$I$404,MATCH(D656,'Stock pièces'!$A$5:$A$404,0)),0))</f>
        <v/>
      </c>
      <c r="H656" s="81">
        <f>IF(D656="","",N(F656)*N(G656))</f>
        <v/>
      </c>
      <c r="I656" s="7" t="inlineStr">
        <is>
          <t>OT-2025-0812</t>
        </is>
      </c>
      <c r="J656" s="9">
        <f>IF(I656="","",IFERROR(INDEX('Ordres de travail'!$D$5:$D$3004,MATCH(I656,'Ordres de travail'!$A$5:$A$3004,0)),""))</f>
        <v/>
      </c>
      <c r="K656" s="9">
        <f>IF(D656="","",IFERROR(INDEX('Stock pièces'!$D$5:$D$404,MATCH(D656,'Stock pièces'!$A$5:$A$404,0)),""))</f>
        <v/>
      </c>
      <c r="L656" s="7" t="n"/>
      <c r="M656" s="7" t="n"/>
    </row>
    <row r="657">
      <c r="A657" s="7" t="inlineStr">
        <is>
          <t>MV-00653</t>
        </is>
      </c>
      <c r="B657" s="75" t="n">
        <v>46015.45138888889</v>
      </c>
      <c r="C657" s="7" t="inlineStr">
        <is>
          <t>Sortie</t>
        </is>
      </c>
      <c r="D657" s="7" t="inlineStr">
        <is>
          <t>PD-0015</t>
        </is>
      </c>
      <c r="E657" s="9">
        <f>IF(D657="","",IFERROR(INDEX('Stock pièces'!$B$5:$B$404,MATCH(D657,'Stock pièces'!$A$5:$A$404,0)),"Réf. inconnue"))</f>
        <v/>
      </c>
      <c r="F657" s="67" t="n">
        <v>1</v>
      </c>
      <c r="G657" s="81">
        <f>IF(D657="","",IFERROR(INDEX('Stock pièces'!$I$5:$I$404,MATCH(D657,'Stock pièces'!$A$5:$A$404,0)),0))</f>
        <v/>
      </c>
      <c r="H657" s="81">
        <f>IF(D657="","",N(F657)*N(G657))</f>
        <v/>
      </c>
      <c r="I657" s="7" t="inlineStr">
        <is>
          <t>OT-2025-0814</t>
        </is>
      </c>
      <c r="J657" s="9">
        <f>IF(I657="","",IFERROR(INDEX('Ordres de travail'!$D$5:$D$3004,MATCH(I657,'Ordres de travail'!$A$5:$A$3004,0)),""))</f>
        <v/>
      </c>
      <c r="K657" s="9">
        <f>IF(D657="","",IFERROR(INDEX('Stock pièces'!$D$5:$D$404,MATCH(D657,'Stock pièces'!$A$5:$A$404,0)),""))</f>
        <v/>
      </c>
      <c r="L657" s="7" t="n"/>
      <c r="M657" s="7" t="n"/>
    </row>
    <row r="658">
      <c r="A658" s="7" t="inlineStr">
        <is>
          <t>MV-00654</t>
        </is>
      </c>
      <c r="B658" s="75" t="n">
        <v>46015.45138888889</v>
      </c>
      <c r="C658" s="7" t="inlineStr">
        <is>
          <t>Sortie</t>
        </is>
      </c>
      <c r="D658" s="7" t="inlineStr">
        <is>
          <t>PD-0022</t>
        </is>
      </c>
      <c r="E658" s="9">
        <f>IF(D658="","",IFERROR(INDEX('Stock pièces'!$B$5:$B$404,MATCH(D658,'Stock pièces'!$A$5:$A$404,0)),"Réf. inconnue"))</f>
        <v/>
      </c>
      <c r="F658" s="67" t="n">
        <v>1</v>
      </c>
      <c r="G658" s="81">
        <f>IF(D658="","",IFERROR(INDEX('Stock pièces'!$I$5:$I$404,MATCH(D658,'Stock pièces'!$A$5:$A$404,0)),0))</f>
        <v/>
      </c>
      <c r="H658" s="81">
        <f>IF(D658="","",N(F658)*N(G658))</f>
        <v/>
      </c>
      <c r="I658" s="7" t="inlineStr">
        <is>
          <t>OT-2025-0814</t>
        </is>
      </c>
      <c r="J658" s="9">
        <f>IF(I658="","",IFERROR(INDEX('Ordres de travail'!$D$5:$D$3004,MATCH(I658,'Ordres de travail'!$A$5:$A$3004,0)),""))</f>
        <v/>
      </c>
      <c r="K658" s="9">
        <f>IF(D658="","",IFERROR(INDEX('Stock pièces'!$D$5:$D$404,MATCH(D658,'Stock pièces'!$A$5:$A$404,0)),""))</f>
        <v/>
      </c>
      <c r="L658" s="7" t="n"/>
      <c r="M658" s="7" t="n"/>
    </row>
    <row r="659">
      <c r="A659" s="7" t="inlineStr">
        <is>
          <t>MV-00655</t>
        </is>
      </c>
      <c r="B659" s="75" t="n">
        <v>46015.56944444445</v>
      </c>
      <c r="C659" s="7" t="inlineStr">
        <is>
          <t>Sortie</t>
        </is>
      </c>
      <c r="D659" s="7" t="inlineStr">
        <is>
          <t>PD-0062</t>
        </is>
      </c>
      <c r="E659" s="9">
        <f>IF(D659="","",IFERROR(INDEX('Stock pièces'!$B$5:$B$404,MATCH(D659,'Stock pièces'!$A$5:$A$404,0)),"Réf. inconnue"))</f>
        <v/>
      </c>
      <c r="F659" s="67" t="n">
        <v>1</v>
      </c>
      <c r="G659" s="81">
        <f>IF(D659="","",IFERROR(INDEX('Stock pièces'!$I$5:$I$404,MATCH(D659,'Stock pièces'!$A$5:$A$404,0)),0))</f>
        <v/>
      </c>
      <c r="H659" s="81">
        <f>IF(D659="","",N(F659)*N(G659))</f>
        <v/>
      </c>
      <c r="I659" s="7" t="inlineStr">
        <is>
          <t>OT-2025-0813</t>
        </is>
      </c>
      <c r="J659" s="9">
        <f>IF(I659="","",IFERROR(INDEX('Ordres de travail'!$D$5:$D$3004,MATCH(I659,'Ordres de travail'!$A$5:$A$3004,0)),""))</f>
        <v/>
      </c>
      <c r="K659" s="9">
        <f>IF(D659="","",IFERROR(INDEX('Stock pièces'!$D$5:$D$404,MATCH(D659,'Stock pièces'!$A$5:$A$404,0)),""))</f>
        <v/>
      </c>
      <c r="L659" s="7" t="n"/>
      <c r="M659" s="7" t="n"/>
    </row>
    <row r="660">
      <c r="A660" s="7" t="inlineStr">
        <is>
          <t>MV-00656</t>
        </is>
      </c>
      <c r="B660" s="75" t="n">
        <v>46017.28472222222</v>
      </c>
      <c r="C660" s="7" t="inlineStr">
        <is>
          <t>Sortie</t>
        </is>
      </c>
      <c r="D660" s="7" t="inlineStr">
        <is>
          <t>PD-0019</t>
        </is>
      </c>
      <c r="E660" s="9">
        <f>IF(D660="","",IFERROR(INDEX('Stock pièces'!$B$5:$B$404,MATCH(D660,'Stock pièces'!$A$5:$A$404,0)),"Réf. inconnue"))</f>
        <v/>
      </c>
      <c r="F660" s="67" t="n">
        <v>3</v>
      </c>
      <c r="G660" s="81">
        <f>IF(D660="","",IFERROR(INDEX('Stock pièces'!$I$5:$I$404,MATCH(D660,'Stock pièces'!$A$5:$A$404,0)),0))</f>
        <v/>
      </c>
      <c r="H660" s="81">
        <f>IF(D660="","",N(F660)*N(G660))</f>
        <v/>
      </c>
      <c r="I660" s="7" t="inlineStr">
        <is>
          <t>OT-2025-0818</t>
        </is>
      </c>
      <c r="J660" s="9">
        <f>IF(I660="","",IFERROR(INDEX('Ordres de travail'!$D$5:$D$3004,MATCH(I660,'Ordres de travail'!$A$5:$A$3004,0)),""))</f>
        <v/>
      </c>
      <c r="K660" s="9">
        <f>IF(D660="","",IFERROR(INDEX('Stock pièces'!$D$5:$D$404,MATCH(D660,'Stock pièces'!$A$5:$A$404,0)),""))</f>
        <v/>
      </c>
      <c r="L660" s="7" t="n"/>
      <c r="M660" s="7" t="n"/>
    </row>
    <row r="661">
      <c r="A661" s="7" t="inlineStr">
        <is>
          <t>MV-00657</t>
        </is>
      </c>
      <c r="B661" s="75" t="n">
        <v>46017.28472222222</v>
      </c>
      <c r="C661" s="7" t="inlineStr">
        <is>
          <t>Sortie</t>
        </is>
      </c>
      <c r="D661" s="7" t="inlineStr">
        <is>
          <t>PD-0020</t>
        </is>
      </c>
      <c r="E661" s="9">
        <f>IF(D661="","",IFERROR(INDEX('Stock pièces'!$B$5:$B$404,MATCH(D661,'Stock pièces'!$A$5:$A$404,0)),"Réf. inconnue"))</f>
        <v/>
      </c>
      <c r="F661" s="67" t="n">
        <v>2</v>
      </c>
      <c r="G661" s="81">
        <f>IF(D661="","",IFERROR(INDEX('Stock pièces'!$I$5:$I$404,MATCH(D661,'Stock pièces'!$A$5:$A$404,0)),0))</f>
        <v/>
      </c>
      <c r="H661" s="81">
        <f>IF(D661="","",N(F661)*N(G661))</f>
        <v/>
      </c>
      <c r="I661" s="7" t="inlineStr">
        <is>
          <t>OT-2025-0818</t>
        </is>
      </c>
      <c r="J661" s="9">
        <f>IF(I661="","",IFERROR(INDEX('Ordres de travail'!$D$5:$D$3004,MATCH(I661,'Ordres de travail'!$A$5:$A$3004,0)),""))</f>
        <v/>
      </c>
      <c r="K661" s="9">
        <f>IF(D661="","",IFERROR(INDEX('Stock pièces'!$D$5:$D$404,MATCH(D661,'Stock pièces'!$A$5:$A$404,0)),""))</f>
        <v/>
      </c>
      <c r="L661" s="7" t="n"/>
      <c r="M661" s="7" t="n"/>
    </row>
    <row r="662">
      <c r="A662" s="7" t="inlineStr">
        <is>
          <t>MV-00658</t>
        </is>
      </c>
      <c r="B662" s="75" t="n">
        <v>46017.41666666666</v>
      </c>
      <c r="C662" s="7" t="inlineStr">
        <is>
          <t>Entrée</t>
        </is>
      </c>
      <c r="D662" s="7" t="inlineStr">
        <is>
          <t>PD-0010</t>
        </is>
      </c>
      <c r="E662" s="9">
        <f>IF(D662="","",IFERROR(INDEX('Stock pièces'!$B$5:$B$404,MATCH(D662,'Stock pièces'!$A$5:$A$404,0)),"Réf. inconnue"))</f>
        <v/>
      </c>
      <c r="F662" s="67" t="n">
        <v>1</v>
      </c>
      <c r="G662" s="81">
        <f>IF(D662="","",IFERROR(INDEX('Stock pièces'!$I$5:$I$404,MATCH(D662,'Stock pièces'!$A$5:$A$404,0)),0))</f>
        <v/>
      </c>
      <c r="H662" s="81">
        <f>IF(D662="","",N(F662)*N(G662))</f>
        <v/>
      </c>
      <c r="I662" s="7" t="n"/>
      <c r="J662" s="9">
        <f>IF(I662="","",IFERROR(INDEX('Ordres de travail'!$D$5:$D$3004,MATCH(I662,'Ordres de travail'!$A$5:$A$3004,0)),""))</f>
        <v/>
      </c>
      <c r="K662" s="9">
        <f>IF(D662="","",IFERROR(INDEX('Stock pièces'!$D$5:$D$404,MATCH(D662,'Stock pièces'!$A$5:$A$404,0)),""))</f>
        <v/>
      </c>
      <c r="L662" s="7" t="inlineStr">
        <is>
          <t>CMD-24179</t>
        </is>
      </c>
      <c r="M662" s="7" t="inlineStr">
        <is>
          <t>Réception commande réappro</t>
        </is>
      </c>
    </row>
    <row r="663">
      <c r="A663" s="7" t="inlineStr">
        <is>
          <t>MV-00659</t>
        </is>
      </c>
      <c r="B663" s="75" t="n">
        <v>46018.74861111111</v>
      </c>
      <c r="C663" s="7" t="inlineStr">
        <is>
          <t>Entrée</t>
        </is>
      </c>
      <c r="D663" s="7" t="inlineStr">
        <is>
          <t>PD-0073</t>
        </is>
      </c>
      <c r="E663" s="9">
        <f>IF(D663="","",IFERROR(INDEX('Stock pièces'!$B$5:$B$404,MATCH(D663,'Stock pièces'!$A$5:$A$404,0)),"Réf. inconnue"))</f>
        <v/>
      </c>
      <c r="F663" s="67" t="n">
        <v>1</v>
      </c>
      <c r="G663" s="81">
        <f>IF(D663="","",IFERROR(INDEX('Stock pièces'!$I$5:$I$404,MATCH(D663,'Stock pièces'!$A$5:$A$404,0)),0))</f>
        <v/>
      </c>
      <c r="H663" s="81">
        <f>IF(D663="","",N(F663)*N(G663))</f>
        <v/>
      </c>
      <c r="I663" s="7" t="n"/>
      <c r="J663" s="9">
        <f>IF(I663="","",IFERROR(INDEX('Ordres de travail'!$D$5:$D$3004,MATCH(I663,'Ordres de travail'!$A$5:$A$3004,0)),""))</f>
        <v/>
      </c>
      <c r="K663" s="9">
        <f>IF(D663="","",IFERROR(INDEX('Stock pièces'!$D$5:$D$404,MATCH(D663,'Stock pièces'!$A$5:$A$404,0)),""))</f>
        <v/>
      </c>
      <c r="L663" s="7" t="inlineStr">
        <is>
          <t>URG-24191</t>
        </is>
      </c>
      <c r="M663" s="7" t="inlineStr">
        <is>
          <t>Achat urgent (rupture)</t>
        </is>
      </c>
    </row>
    <row r="664">
      <c r="A664" s="7" t="inlineStr">
        <is>
          <t>MV-00660</t>
        </is>
      </c>
      <c r="B664" s="75" t="n">
        <v>46018.75208333333</v>
      </c>
      <c r="C664" s="7" t="inlineStr">
        <is>
          <t>Sortie</t>
        </is>
      </c>
      <c r="D664" s="7" t="inlineStr">
        <is>
          <t>PD-0072</t>
        </is>
      </c>
      <c r="E664" s="9">
        <f>IF(D664="","",IFERROR(INDEX('Stock pièces'!$B$5:$B$404,MATCH(D664,'Stock pièces'!$A$5:$A$404,0)),"Réf. inconnue"))</f>
        <v/>
      </c>
      <c r="F664" s="67" t="n">
        <v>1</v>
      </c>
      <c r="G664" s="81">
        <f>IF(D664="","",IFERROR(INDEX('Stock pièces'!$I$5:$I$404,MATCH(D664,'Stock pièces'!$A$5:$A$404,0)),0))</f>
        <v/>
      </c>
      <c r="H664" s="81">
        <f>IF(D664="","",N(F664)*N(G664))</f>
        <v/>
      </c>
      <c r="I664" s="7" t="inlineStr">
        <is>
          <t>OT-2025-0835</t>
        </is>
      </c>
      <c r="J664" s="9">
        <f>IF(I664="","",IFERROR(INDEX('Ordres de travail'!$D$5:$D$3004,MATCH(I664,'Ordres de travail'!$A$5:$A$3004,0)),""))</f>
        <v/>
      </c>
      <c r="K664" s="9">
        <f>IF(D664="","",IFERROR(INDEX('Stock pièces'!$D$5:$D$404,MATCH(D664,'Stock pièces'!$A$5:$A$404,0)),""))</f>
        <v/>
      </c>
      <c r="L664" s="7" t="n"/>
      <c r="M664" s="7" t="n"/>
    </row>
    <row r="665">
      <c r="A665" s="7" t="inlineStr">
        <is>
          <t>MV-00661</t>
        </is>
      </c>
      <c r="B665" s="75" t="n">
        <v>46018.75208333333</v>
      </c>
      <c r="C665" s="7" t="inlineStr">
        <is>
          <t>Sortie</t>
        </is>
      </c>
      <c r="D665" s="7" t="inlineStr">
        <is>
          <t>PD-0073</t>
        </is>
      </c>
      <c r="E665" s="9">
        <f>IF(D665="","",IFERROR(INDEX('Stock pièces'!$B$5:$B$404,MATCH(D665,'Stock pièces'!$A$5:$A$404,0)),"Réf. inconnue"))</f>
        <v/>
      </c>
      <c r="F665" s="67" t="n">
        <v>1</v>
      </c>
      <c r="G665" s="81">
        <f>IF(D665="","",IFERROR(INDEX('Stock pièces'!$I$5:$I$404,MATCH(D665,'Stock pièces'!$A$5:$A$404,0)),0))</f>
        <v/>
      </c>
      <c r="H665" s="81">
        <f>IF(D665="","",N(F665)*N(G665))</f>
        <v/>
      </c>
      <c r="I665" s="7" t="inlineStr">
        <is>
          <t>OT-2025-0835</t>
        </is>
      </c>
      <c r="J665" s="9">
        <f>IF(I665="","",IFERROR(INDEX('Ordres de travail'!$D$5:$D$3004,MATCH(I665,'Ordres de travail'!$A$5:$A$3004,0)),""))</f>
        <v/>
      </c>
      <c r="K665" s="9">
        <f>IF(D665="","",IFERROR(INDEX('Stock pièces'!$D$5:$D$404,MATCH(D665,'Stock pièces'!$A$5:$A$404,0)),""))</f>
        <v/>
      </c>
      <c r="L665" s="7" t="n"/>
      <c r="M665" s="7" t="n"/>
    </row>
    <row r="666">
      <c r="A666" s="7" t="inlineStr">
        <is>
          <t>MV-00662</t>
        </is>
      </c>
      <c r="B666" s="75" t="n">
        <v>46020.35486111111</v>
      </c>
      <c r="C666" s="7" t="inlineStr">
        <is>
          <t>Sortie</t>
        </is>
      </c>
      <c r="D666" s="7" t="inlineStr">
        <is>
          <t>PD-0051</t>
        </is>
      </c>
      <c r="E666" s="9">
        <f>IF(D666="","",IFERROR(INDEX('Stock pièces'!$B$5:$B$404,MATCH(D666,'Stock pièces'!$A$5:$A$404,0)),"Réf. inconnue"))</f>
        <v/>
      </c>
      <c r="F666" s="67" t="n">
        <v>1</v>
      </c>
      <c r="G666" s="81">
        <f>IF(D666="","",IFERROR(INDEX('Stock pièces'!$I$5:$I$404,MATCH(D666,'Stock pièces'!$A$5:$A$404,0)),0))</f>
        <v/>
      </c>
      <c r="H666" s="81">
        <f>IF(D666="","",N(F666)*N(G666))</f>
        <v/>
      </c>
      <c r="I666" s="7" t="inlineStr">
        <is>
          <t>OT-2025-0836</t>
        </is>
      </c>
      <c r="J666" s="9">
        <f>IF(I666="","",IFERROR(INDEX('Ordres de travail'!$D$5:$D$3004,MATCH(I666,'Ordres de travail'!$A$5:$A$3004,0)),""))</f>
        <v/>
      </c>
      <c r="K666" s="9">
        <f>IF(D666="","",IFERROR(INDEX('Stock pièces'!$D$5:$D$404,MATCH(D666,'Stock pièces'!$A$5:$A$404,0)),""))</f>
        <v/>
      </c>
      <c r="L666" s="7" t="n"/>
      <c r="M666" s="7" t="n"/>
    </row>
    <row r="667">
      <c r="A667" s="7" t="inlineStr">
        <is>
          <t>MV-00663</t>
        </is>
      </c>
      <c r="B667" s="75" t="n">
        <v>46020.41666666666</v>
      </c>
      <c r="C667" s="7" t="inlineStr">
        <is>
          <t>Entrée</t>
        </is>
      </c>
      <c r="D667" s="7" t="inlineStr">
        <is>
          <t>PD-0027</t>
        </is>
      </c>
      <c r="E667" s="9">
        <f>IF(D667="","",IFERROR(INDEX('Stock pièces'!$B$5:$B$404,MATCH(D667,'Stock pièces'!$A$5:$A$404,0)),"Réf. inconnue"))</f>
        <v/>
      </c>
      <c r="F667" s="67" t="n">
        <v>2</v>
      </c>
      <c r="G667" s="81">
        <f>IF(D667="","",IFERROR(INDEX('Stock pièces'!$I$5:$I$404,MATCH(D667,'Stock pièces'!$A$5:$A$404,0)),0))</f>
        <v/>
      </c>
      <c r="H667" s="81">
        <f>IF(D667="","",N(F667)*N(G667))</f>
        <v/>
      </c>
      <c r="I667" s="7" t="n"/>
      <c r="J667" s="9">
        <f>IF(I667="","",IFERROR(INDEX('Ordres de travail'!$D$5:$D$3004,MATCH(I667,'Ordres de travail'!$A$5:$A$3004,0)),""))</f>
        <v/>
      </c>
      <c r="K667" s="9">
        <f>IF(D667="","",IFERROR(INDEX('Stock pièces'!$D$5:$D$404,MATCH(D667,'Stock pièces'!$A$5:$A$404,0)),""))</f>
        <v/>
      </c>
      <c r="L667" s="7" t="inlineStr">
        <is>
          <t>CMD-24184</t>
        </is>
      </c>
      <c r="M667" s="7" t="inlineStr">
        <is>
          <t>Réception commande réappro</t>
        </is>
      </c>
    </row>
    <row r="668">
      <c r="A668" s="7" t="inlineStr">
        <is>
          <t>MV-00664</t>
        </is>
      </c>
      <c r="B668" s="75" t="n">
        <v>46020.47222222222</v>
      </c>
      <c r="C668" s="7" t="inlineStr">
        <is>
          <t>Sortie</t>
        </is>
      </c>
      <c r="D668" s="7" t="inlineStr">
        <is>
          <t>PD-0012</t>
        </is>
      </c>
      <c r="E668" s="9">
        <f>IF(D668="","",IFERROR(INDEX('Stock pièces'!$B$5:$B$404,MATCH(D668,'Stock pièces'!$A$5:$A$404,0)),"Réf. inconnue"))</f>
        <v/>
      </c>
      <c r="F668" s="67" t="n">
        <v>1</v>
      </c>
      <c r="G668" s="81">
        <f>IF(D668="","",IFERROR(INDEX('Stock pièces'!$I$5:$I$404,MATCH(D668,'Stock pièces'!$A$5:$A$404,0)),0))</f>
        <v/>
      </c>
      <c r="H668" s="81">
        <f>IF(D668="","",N(F668)*N(G668))</f>
        <v/>
      </c>
      <c r="I668" s="7" t="inlineStr">
        <is>
          <t>OT-2025-0821</t>
        </is>
      </c>
      <c r="J668" s="9">
        <f>IF(I668="","",IFERROR(INDEX('Ordres de travail'!$D$5:$D$3004,MATCH(I668,'Ordres de travail'!$A$5:$A$3004,0)),""))</f>
        <v/>
      </c>
      <c r="K668" s="9">
        <f>IF(D668="","",IFERROR(INDEX('Stock pièces'!$D$5:$D$404,MATCH(D668,'Stock pièces'!$A$5:$A$404,0)),""))</f>
        <v/>
      </c>
      <c r="L668" s="7" t="n"/>
      <c r="M668" s="7" t="n"/>
    </row>
    <row r="669">
      <c r="A669" s="7" t="inlineStr">
        <is>
          <t>MV-00665</t>
        </is>
      </c>
      <c r="B669" s="75" t="n">
        <v>46020.47222222222</v>
      </c>
      <c r="C669" s="7" t="inlineStr">
        <is>
          <t>Sortie</t>
        </is>
      </c>
      <c r="D669" s="7" t="inlineStr">
        <is>
          <t>PD-0013</t>
        </is>
      </c>
      <c r="E669" s="9">
        <f>IF(D669="","",IFERROR(INDEX('Stock pièces'!$B$5:$B$404,MATCH(D669,'Stock pièces'!$A$5:$A$404,0)),"Réf. inconnue"))</f>
        <v/>
      </c>
      <c r="F669" s="67" t="n">
        <v>1</v>
      </c>
      <c r="G669" s="81">
        <f>IF(D669="","",IFERROR(INDEX('Stock pièces'!$I$5:$I$404,MATCH(D669,'Stock pièces'!$A$5:$A$404,0)),0))</f>
        <v/>
      </c>
      <c r="H669" s="81">
        <f>IF(D669="","",N(F669)*N(G669))</f>
        <v/>
      </c>
      <c r="I669" s="7" t="inlineStr">
        <is>
          <t>OT-2025-0821</t>
        </is>
      </c>
      <c r="J669" s="9">
        <f>IF(I669="","",IFERROR(INDEX('Ordres de travail'!$D$5:$D$3004,MATCH(I669,'Ordres de travail'!$A$5:$A$3004,0)),""))</f>
        <v/>
      </c>
      <c r="K669" s="9">
        <f>IF(D669="","",IFERROR(INDEX('Stock pièces'!$D$5:$D$404,MATCH(D669,'Stock pièces'!$A$5:$A$404,0)),""))</f>
        <v/>
      </c>
      <c r="L669" s="7" t="n"/>
      <c r="M669" s="7" t="n"/>
    </row>
    <row r="670">
      <c r="A670" s="7" t="inlineStr">
        <is>
          <t>MV-00666</t>
        </is>
      </c>
      <c r="B670" s="75" t="n">
        <v>46020.47222222222</v>
      </c>
      <c r="C670" s="7" t="inlineStr">
        <is>
          <t>Sortie</t>
        </is>
      </c>
      <c r="D670" s="7" t="inlineStr">
        <is>
          <t>PD-0014</t>
        </is>
      </c>
      <c r="E670" s="9">
        <f>IF(D670="","",IFERROR(INDEX('Stock pièces'!$B$5:$B$404,MATCH(D670,'Stock pièces'!$A$5:$A$404,0)),"Réf. inconnue"))</f>
        <v/>
      </c>
      <c r="F670" s="67" t="n">
        <v>1</v>
      </c>
      <c r="G670" s="81">
        <f>IF(D670="","",IFERROR(INDEX('Stock pièces'!$I$5:$I$404,MATCH(D670,'Stock pièces'!$A$5:$A$404,0)),0))</f>
        <v/>
      </c>
      <c r="H670" s="81">
        <f>IF(D670="","",N(F670)*N(G670))</f>
        <v/>
      </c>
      <c r="I670" s="7" t="inlineStr">
        <is>
          <t>OT-2025-0821</t>
        </is>
      </c>
      <c r="J670" s="9">
        <f>IF(I670="","",IFERROR(INDEX('Ordres de travail'!$D$5:$D$3004,MATCH(I670,'Ordres de travail'!$A$5:$A$3004,0)),""))</f>
        <v/>
      </c>
      <c r="K670" s="9">
        <f>IF(D670="","",IFERROR(INDEX('Stock pièces'!$D$5:$D$404,MATCH(D670,'Stock pièces'!$A$5:$A$404,0)),""))</f>
        <v/>
      </c>
      <c r="L670" s="7" t="n"/>
      <c r="M670" s="7" t="n"/>
    </row>
    <row r="671">
      <c r="A671" s="7" t="inlineStr">
        <is>
          <t>MV-00667</t>
        </is>
      </c>
      <c r="B671" s="75" t="n">
        <v>46020.47222222222</v>
      </c>
      <c r="C671" s="7" t="inlineStr">
        <is>
          <t>Sortie</t>
        </is>
      </c>
      <c r="D671" s="7" t="inlineStr">
        <is>
          <t>PD-0024</t>
        </is>
      </c>
      <c r="E671" s="9">
        <f>IF(D671="","",IFERROR(INDEX('Stock pièces'!$B$5:$B$404,MATCH(D671,'Stock pièces'!$A$5:$A$404,0)),"Réf. inconnue"))</f>
        <v/>
      </c>
      <c r="F671" s="67" t="n">
        <v>1</v>
      </c>
      <c r="G671" s="81">
        <f>IF(D671="","",IFERROR(INDEX('Stock pièces'!$I$5:$I$404,MATCH(D671,'Stock pièces'!$A$5:$A$404,0)),0))</f>
        <v/>
      </c>
      <c r="H671" s="81">
        <f>IF(D671="","",N(F671)*N(G671))</f>
        <v/>
      </c>
      <c r="I671" s="7" t="inlineStr">
        <is>
          <t>OT-2025-0821</t>
        </is>
      </c>
      <c r="J671" s="9">
        <f>IF(I671="","",IFERROR(INDEX('Ordres de travail'!$D$5:$D$3004,MATCH(I671,'Ordres de travail'!$A$5:$A$3004,0)),""))</f>
        <v/>
      </c>
      <c r="K671" s="9">
        <f>IF(D671="","",IFERROR(INDEX('Stock pièces'!$D$5:$D$404,MATCH(D671,'Stock pièces'!$A$5:$A$404,0)),""))</f>
        <v/>
      </c>
      <c r="L671" s="7" t="n"/>
      <c r="M671" s="7" t="n"/>
    </row>
    <row r="672">
      <c r="A672" s="7" t="inlineStr">
        <is>
          <t>MV-00668</t>
        </is>
      </c>
      <c r="B672" s="75" t="n">
        <v>46021.52777777778</v>
      </c>
      <c r="C672" s="7" t="inlineStr">
        <is>
          <t>Sortie</t>
        </is>
      </c>
      <c r="D672" s="7" t="inlineStr">
        <is>
          <t>PD-0027</t>
        </is>
      </c>
      <c r="E672" s="9">
        <f>IF(D672="","",IFERROR(INDEX('Stock pièces'!$B$5:$B$404,MATCH(D672,'Stock pièces'!$A$5:$A$404,0)),"Réf. inconnue"))</f>
        <v/>
      </c>
      <c r="F672" s="67" t="n">
        <v>1</v>
      </c>
      <c r="G672" s="81">
        <f>IF(D672="","",IFERROR(INDEX('Stock pièces'!$I$5:$I$404,MATCH(D672,'Stock pièces'!$A$5:$A$404,0)),0))</f>
        <v/>
      </c>
      <c r="H672" s="81">
        <f>IF(D672="","",N(F672)*N(G672))</f>
        <v/>
      </c>
      <c r="I672" s="7" t="inlineStr">
        <is>
          <t>OT-2025-0826</t>
        </is>
      </c>
      <c r="J672" s="9">
        <f>IF(I672="","",IFERROR(INDEX('Ordres de travail'!$D$5:$D$3004,MATCH(I672,'Ordres de travail'!$A$5:$A$3004,0)),""))</f>
        <v/>
      </c>
      <c r="K672" s="9">
        <f>IF(D672="","",IFERROR(INDEX('Stock pièces'!$D$5:$D$404,MATCH(D672,'Stock pièces'!$A$5:$A$404,0)),""))</f>
        <v/>
      </c>
      <c r="L672" s="7" t="n"/>
      <c r="M672" s="7" t="n"/>
    </row>
    <row r="673">
      <c r="A673" s="7" t="inlineStr">
        <is>
          <t>MV-00669</t>
        </is>
      </c>
      <c r="B673" s="75" t="n">
        <v>46022.51736111111</v>
      </c>
      <c r="C673" s="7" t="inlineStr">
        <is>
          <t>Sortie</t>
        </is>
      </c>
      <c r="D673" s="7" t="inlineStr">
        <is>
          <t>PD-0025</t>
        </is>
      </c>
      <c r="E673" s="9">
        <f>IF(D673="","",IFERROR(INDEX('Stock pièces'!$B$5:$B$404,MATCH(D673,'Stock pièces'!$A$5:$A$404,0)),"Réf. inconnue"))</f>
        <v/>
      </c>
      <c r="F673" s="67" t="n">
        <v>2</v>
      </c>
      <c r="G673" s="81">
        <f>IF(D673="","",IFERROR(INDEX('Stock pièces'!$I$5:$I$404,MATCH(D673,'Stock pièces'!$A$5:$A$404,0)),0))</f>
        <v/>
      </c>
      <c r="H673" s="81">
        <f>IF(D673="","",N(F673)*N(G673))</f>
        <v/>
      </c>
      <c r="I673" s="7" t="inlineStr">
        <is>
          <t>OT-2025-0828</t>
        </is>
      </c>
      <c r="J673" s="9">
        <f>IF(I673="","",IFERROR(INDEX('Ordres de travail'!$D$5:$D$3004,MATCH(I673,'Ordres de travail'!$A$5:$A$3004,0)),""))</f>
        <v/>
      </c>
      <c r="K673" s="9">
        <f>IF(D673="","",IFERROR(INDEX('Stock pièces'!$D$5:$D$404,MATCH(D673,'Stock pièces'!$A$5:$A$404,0)),""))</f>
        <v/>
      </c>
      <c r="L673" s="7" t="n"/>
      <c r="M673" s="7" t="n"/>
    </row>
    <row r="674">
      <c r="A674" s="7" t="inlineStr">
        <is>
          <t>MV-00670</t>
        </is>
      </c>
      <c r="B674" s="75" t="n">
        <v>46023.27083333334</v>
      </c>
      <c r="C674" s="7" t="inlineStr">
        <is>
          <t>Sortie</t>
        </is>
      </c>
      <c r="D674" s="7" t="inlineStr">
        <is>
          <t>PD-0015</t>
        </is>
      </c>
      <c r="E674" s="9">
        <f>IF(D674="","",IFERROR(INDEX('Stock pièces'!$B$5:$B$404,MATCH(D674,'Stock pièces'!$A$5:$A$404,0)),"Réf. inconnue"))</f>
        <v/>
      </c>
      <c r="F674" s="67" t="n">
        <v>1</v>
      </c>
      <c r="G674" s="81">
        <f>IF(D674="","",IFERROR(INDEX('Stock pièces'!$I$5:$I$404,MATCH(D674,'Stock pièces'!$A$5:$A$404,0)),0))</f>
        <v/>
      </c>
      <c r="H674" s="81">
        <f>IF(D674="","",N(F674)*N(G674))</f>
        <v/>
      </c>
      <c r="I674" s="7" t="inlineStr">
        <is>
          <t>OT-2025-0830</t>
        </is>
      </c>
      <c r="J674" s="9">
        <f>IF(I674="","",IFERROR(INDEX('Ordres de travail'!$D$5:$D$3004,MATCH(I674,'Ordres de travail'!$A$5:$A$3004,0)),""))</f>
        <v/>
      </c>
      <c r="K674" s="9">
        <f>IF(D674="","",IFERROR(INDEX('Stock pièces'!$D$5:$D$404,MATCH(D674,'Stock pièces'!$A$5:$A$404,0)),""))</f>
        <v/>
      </c>
      <c r="L674" s="7" t="n"/>
      <c r="M674" s="7" t="n"/>
    </row>
    <row r="675">
      <c r="A675" s="7" t="inlineStr">
        <is>
          <t>MV-00671</t>
        </is>
      </c>
      <c r="B675" s="75" t="n">
        <v>46023.27083333334</v>
      </c>
      <c r="C675" s="7" t="inlineStr">
        <is>
          <t>Sortie</t>
        </is>
      </c>
      <c r="D675" s="7" t="inlineStr">
        <is>
          <t>PD-0022</t>
        </is>
      </c>
      <c r="E675" s="9">
        <f>IF(D675="","",IFERROR(INDEX('Stock pièces'!$B$5:$B$404,MATCH(D675,'Stock pièces'!$A$5:$A$404,0)),"Réf. inconnue"))</f>
        <v/>
      </c>
      <c r="F675" s="67" t="n">
        <v>1</v>
      </c>
      <c r="G675" s="81">
        <f>IF(D675="","",IFERROR(INDEX('Stock pièces'!$I$5:$I$404,MATCH(D675,'Stock pièces'!$A$5:$A$404,0)),0))</f>
        <v/>
      </c>
      <c r="H675" s="81">
        <f>IF(D675="","",N(F675)*N(G675))</f>
        <v/>
      </c>
      <c r="I675" s="7" t="inlineStr">
        <is>
          <t>OT-2025-0830</t>
        </is>
      </c>
      <c r="J675" s="9">
        <f>IF(I675="","",IFERROR(INDEX('Ordres de travail'!$D$5:$D$3004,MATCH(I675,'Ordres de travail'!$A$5:$A$3004,0)),""))</f>
        <v/>
      </c>
      <c r="K675" s="9">
        <f>IF(D675="","",IFERROR(INDEX('Stock pièces'!$D$5:$D$404,MATCH(D675,'Stock pièces'!$A$5:$A$404,0)),""))</f>
        <v/>
      </c>
      <c r="L675" s="7" t="n"/>
      <c r="M675" s="7" t="n"/>
    </row>
    <row r="676">
      <c r="A676" s="7" t="inlineStr">
        <is>
          <t>MV-00672</t>
        </is>
      </c>
      <c r="B676" s="75" t="n">
        <v>46023.41666666666</v>
      </c>
      <c r="C676" s="7" t="inlineStr">
        <is>
          <t>Entrée</t>
        </is>
      </c>
      <c r="D676" s="7" t="inlineStr">
        <is>
          <t>PD-0051</t>
        </is>
      </c>
      <c r="E676" s="9">
        <f>IF(D676="","",IFERROR(INDEX('Stock pièces'!$B$5:$B$404,MATCH(D676,'Stock pièces'!$A$5:$A$404,0)),"Réf. inconnue"))</f>
        <v/>
      </c>
      <c r="F676" s="67" t="n">
        <v>4</v>
      </c>
      <c r="G676" s="81">
        <f>IF(D676="","",IFERROR(INDEX('Stock pièces'!$I$5:$I$404,MATCH(D676,'Stock pièces'!$A$5:$A$404,0)),0))</f>
        <v/>
      </c>
      <c r="H676" s="81">
        <f>IF(D676="","",N(F676)*N(G676))</f>
        <v/>
      </c>
      <c r="I676" s="7" t="n"/>
      <c r="J676" s="9">
        <f>IF(I676="","",IFERROR(INDEX('Ordres de travail'!$D$5:$D$3004,MATCH(I676,'Ordres de travail'!$A$5:$A$3004,0)),""))</f>
        <v/>
      </c>
      <c r="K676" s="9">
        <f>IF(D676="","",IFERROR(INDEX('Stock pièces'!$D$5:$D$404,MATCH(D676,'Stock pièces'!$A$5:$A$404,0)),""))</f>
        <v/>
      </c>
      <c r="L676" s="7" t="inlineStr">
        <is>
          <t>CMD-24193</t>
        </is>
      </c>
      <c r="M676" s="7" t="inlineStr">
        <is>
          <t>Réception commande réappro</t>
        </is>
      </c>
    </row>
    <row r="677">
      <c r="A677" s="7" t="inlineStr">
        <is>
          <t>MV-00673</t>
        </is>
      </c>
      <c r="B677" s="75" t="n">
        <v>46024.41666666666</v>
      </c>
      <c r="C677" s="7" t="inlineStr">
        <is>
          <t>Entrée</t>
        </is>
      </c>
      <c r="D677" s="7" t="inlineStr">
        <is>
          <t>PD-0067</t>
        </is>
      </c>
      <c r="E677" s="9">
        <f>IF(D677="","",IFERROR(INDEX('Stock pièces'!$B$5:$B$404,MATCH(D677,'Stock pièces'!$A$5:$A$404,0)),"Réf. inconnue"))</f>
        <v/>
      </c>
      <c r="F677" s="67" t="n">
        <v>2</v>
      </c>
      <c r="G677" s="81">
        <f>IF(D677="","",IFERROR(INDEX('Stock pièces'!$I$5:$I$404,MATCH(D677,'Stock pièces'!$A$5:$A$404,0)),0))</f>
        <v/>
      </c>
      <c r="H677" s="81">
        <f>IF(D677="","",N(F677)*N(G677))</f>
        <v/>
      </c>
      <c r="I677" s="7" t="n"/>
      <c r="J677" s="9">
        <f>IF(I677="","",IFERROR(INDEX('Ordres de travail'!$D$5:$D$3004,MATCH(I677,'Ordres de travail'!$A$5:$A$3004,0)),""))</f>
        <v/>
      </c>
      <c r="K677" s="9">
        <f>IF(D677="","",IFERROR(INDEX('Stock pièces'!$D$5:$D$404,MATCH(D677,'Stock pièces'!$A$5:$A$404,0)),""))</f>
        <v/>
      </c>
      <c r="L677" s="7" t="inlineStr">
        <is>
          <t>CMD-24189</t>
        </is>
      </c>
      <c r="M677" s="7" t="inlineStr">
        <is>
          <t>Réception commande réappro</t>
        </is>
      </c>
    </row>
    <row r="678">
      <c r="A678" s="7" t="inlineStr">
        <is>
          <t>MV-00674</t>
        </is>
      </c>
      <c r="B678" s="75" t="n">
        <v>46024.41666666666</v>
      </c>
      <c r="C678" s="7" t="inlineStr">
        <is>
          <t>Entrée</t>
        </is>
      </c>
      <c r="D678" s="7" t="inlineStr">
        <is>
          <t>PD-0069</t>
        </is>
      </c>
      <c r="E678" s="9">
        <f>IF(D678="","",IFERROR(INDEX('Stock pièces'!$B$5:$B$404,MATCH(D678,'Stock pièces'!$A$5:$A$404,0)),"Réf. inconnue"))</f>
        <v/>
      </c>
      <c r="F678" s="67" t="n">
        <v>1</v>
      </c>
      <c r="G678" s="81">
        <f>IF(D678="","",IFERROR(INDEX('Stock pièces'!$I$5:$I$404,MATCH(D678,'Stock pièces'!$A$5:$A$404,0)),0))</f>
        <v/>
      </c>
      <c r="H678" s="81">
        <f>IF(D678="","",N(F678)*N(G678))</f>
        <v/>
      </c>
      <c r="I678" s="7" t="n"/>
      <c r="J678" s="9">
        <f>IF(I678="","",IFERROR(INDEX('Ordres de travail'!$D$5:$D$3004,MATCH(I678,'Ordres de travail'!$A$5:$A$3004,0)),""))</f>
        <v/>
      </c>
      <c r="K678" s="9">
        <f>IF(D678="","",IFERROR(INDEX('Stock pièces'!$D$5:$D$404,MATCH(D678,'Stock pièces'!$A$5:$A$404,0)),""))</f>
        <v/>
      </c>
      <c r="L678" s="7" t="inlineStr">
        <is>
          <t>CMD-24190</t>
        </is>
      </c>
      <c r="M678" s="7" t="inlineStr">
        <is>
          <t>Réception commande réappro</t>
        </is>
      </c>
    </row>
    <row r="679">
      <c r="A679" s="7" t="inlineStr">
        <is>
          <t>MV-00675</t>
        </is>
      </c>
      <c r="B679" s="75" t="n">
        <v>46024.42708333334</v>
      </c>
      <c r="C679" s="7" t="inlineStr">
        <is>
          <t>Sortie</t>
        </is>
      </c>
      <c r="D679" s="7" t="inlineStr">
        <is>
          <t>PD-0065</t>
        </is>
      </c>
      <c r="E679" s="9">
        <f>IF(D679="","",IFERROR(INDEX('Stock pièces'!$B$5:$B$404,MATCH(D679,'Stock pièces'!$A$5:$A$404,0)),"Réf. inconnue"))</f>
        <v/>
      </c>
      <c r="F679" s="67" t="n">
        <v>1</v>
      </c>
      <c r="G679" s="81">
        <f>IF(D679="","",IFERROR(INDEX('Stock pièces'!$I$5:$I$404,MATCH(D679,'Stock pièces'!$A$5:$A$404,0)),0))</f>
        <v/>
      </c>
      <c r="H679" s="81">
        <f>IF(D679="","",N(F679)*N(G679))</f>
        <v/>
      </c>
      <c r="I679" s="7" t="inlineStr">
        <is>
          <t>OT-2026-0004</t>
        </is>
      </c>
      <c r="J679" s="9">
        <f>IF(I679="","",IFERROR(INDEX('Ordres de travail'!$D$5:$D$3004,MATCH(I679,'Ordres de travail'!$A$5:$A$3004,0)),""))</f>
        <v/>
      </c>
      <c r="K679" s="9">
        <f>IF(D679="","",IFERROR(INDEX('Stock pièces'!$D$5:$D$404,MATCH(D679,'Stock pièces'!$A$5:$A$404,0)),""))</f>
        <v/>
      </c>
      <c r="L679" s="7" t="n"/>
      <c r="M679" s="7" t="n"/>
    </row>
    <row r="680">
      <c r="A680" s="7" t="inlineStr">
        <is>
          <t>MV-00676</t>
        </is>
      </c>
      <c r="B680" s="75" t="n">
        <v>46024.69097222222</v>
      </c>
      <c r="C680" s="7" t="inlineStr">
        <is>
          <t>Sortie</t>
        </is>
      </c>
      <c r="D680" s="7" t="inlineStr">
        <is>
          <t>PD-0028</t>
        </is>
      </c>
      <c r="E680" s="9">
        <f>IF(D680="","",IFERROR(INDEX('Stock pièces'!$B$5:$B$404,MATCH(D680,'Stock pièces'!$A$5:$A$404,0)),"Réf. inconnue"))</f>
        <v/>
      </c>
      <c r="F680" s="67" t="n">
        <v>2</v>
      </c>
      <c r="G680" s="81">
        <f>IF(D680="","",IFERROR(INDEX('Stock pièces'!$I$5:$I$404,MATCH(D680,'Stock pièces'!$A$5:$A$404,0)),0))</f>
        <v/>
      </c>
      <c r="H680" s="81">
        <f>IF(D680="","",N(F680)*N(G680))</f>
        <v/>
      </c>
      <c r="I680" s="7" t="inlineStr">
        <is>
          <t>OT-2026-0002</t>
        </is>
      </c>
      <c r="J680" s="9">
        <f>IF(I680="","",IFERROR(INDEX('Ordres de travail'!$D$5:$D$3004,MATCH(I680,'Ordres de travail'!$A$5:$A$3004,0)),""))</f>
        <v/>
      </c>
      <c r="K680" s="9">
        <f>IF(D680="","",IFERROR(INDEX('Stock pièces'!$D$5:$D$404,MATCH(D680,'Stock pièces'!$A$5:$A$404,0)),""))</f>
        <v/>
      </c>
      <c r="L680" s="7" t="n"/>
      <c r="M680" s="7" t="n"/>
    </row>
    <row r="681">
      <c r="A681" s="7" t="inlineStr">
        <is>
          <t>MV-00677</t>
        </is>
      </c>
      <c r="B681" s="75" t="n">
        <v>46024.69097222222</v>
      </c>
      <c r="C681" s="7" t="inlineStr">
        <is>
          <t>Sortie</t>
        </is>
      </c>
      <c r="D681" s="7" t="inlineStr">
        <is>
          <t>PD-0029</t>
        </is>
      </c>
      <c r="E681" s="9">
        <f>IF(D681="","",IFERROR(INDEX('Stock pièces'!$B$5:$B$404,MATCH(D681,'Stock pièces'!$A$5:$A$404,0)),"Réf. inconnue"))</f>
        <v/>
      </c>
      <c r="F681" s="67" t="n">
        <v>3</v>
      </c>
      <c r="G681" s="81">
        <f>IF(D681="","",IFERROR(INDEX('Stock pièces'!$I$5:$I$404,MATCH(D681,'Stock pièces'!$A$5:$A$404,0)),0))</f>
        <v/>
      </c>
      <c r="H681" s="81">
        <f>IF(D681="","",N(F681)*N(G681))</f>
        <v/>
      </c>
      <c r="I681" s="7" t="inlineStr">
        <is>
          <t>OT-2026-0002</t>
        </is>
      </c>
      <c r="J681" s="9">
        <f>IF(I681="","",IFERROR(INDEX('Ordres de travail'!$D$5:$D$3004,MATCH(I681,'Ordres de travail'!$A$5:$A$3004,0)),""))</f>
        <v/>
      </c>
      <c r="K681" s="9">
        <f>IF(D681="","",IFERROR(INDEX('Stock pièces'!$D$5:$D$404,MATCH(D681,'Stock pièces'!$A$5:$A$404,0)),""))</f>
        <v/>
      </c>
      <c r="L681" s="7" t="n"/>
      <c r="M681" s="7" t="n"/>
    </row>
    <row r="682">
      <c r="A682" s="7" t="inlineStr">
        <is>
          <t>MV-00678</t>
        </is>
      </c>
      <c r="B682" s="75" t="n">
        <v>46026.22777777778</v>
      </c>
      <c r="C682" s="7" t="inlineStr">
        <is>
          <t>Sortie</t>
        </is>
      </c>
      <c r="D682" s="7" t="inlineStr">
        <is>
          <t>PD-0028</t>
        </is>
      </c>
      <c r="E682" s="9">
        <f>IF(D682="","",IFERROR(INDEX('Stock pièces'!$B$5:$B$404,MATCH(D682,'Stock pièces'!$A$5:$A$404,0)),"Réf. inconnue"))</f>
        <v/>
      </c>
      <c r="F682" s="67" t="n">
        <v>2</v>
      </c>
      <c r="G682" s="81">
        <f>IF(D682="","",IFERROR(INDEX('Stock pièces'!$I$5:$I$404,MATCH(D682,'Stock pièces'!$A$5:$A$404,0)),0))</f>
        <v/>
      </c>
      <c r="H682" s="81">
        <f>IF(D682="","",N(F682)*N(G682))</f>
        <v/>
      </c>
      <c r="I682" s="7" t="inlineStr">
        <is>
          <t>OT-2026-0007</t>
        </is>
      </c>
      <c r="J682" s="9">
        <f>IF(I682="","",IFERROR(INDEX('Ordres de travail'!$D$5:$D$3004,MATCH(I682,'Ordres de travail'!$A$5:$A$3004,0)),""))</f>
        <v/>
      </c>
      <c r="K682" s="9">
        <f>IF(D682="","",IFERROR(INDEX('Stock pièces'!$D$5:$D$404,MATCH(D682,'Stock pièces'!$A$5:$A$404,0)),""))</f>
        <v/>
      </c>
      <c r="L682" s="7" t="n"/>
      <c r="M682" s="7" t="n"/>
    </row>
    <row r="683">
      <c r="A683" s="7" t="inlineStr">
        <is>
          <t>MV-00679</t>
        </is>
      </c>
      <c r="B683" s="75" t="n">
        <v>46026.22777777778</v>
      </c>
      <c r="C683" s="7" t="inlineStr">
        <is>
          <t>Sortie</t>
        </is>
      </c>
      <c r="D683" s="7" t="inlineStr">
        <is>
          <t>PD-0032</t>
        </is>
      </c>
      <c r="E683" s="9">
        <f>IF(D683="","",IFERROR(INDEX('Stock pièces'!$B$5:$B$404,MATCH(D683,'Stock pièces'!$A$5:$A$404,0)),"Réf. inconnue"))</f>
        <v/>
      </c>
      <c r="F683" s="67" t="n">
        <v>1</v>
      </c>
      <c r="G683" s="81">
        <f>IF(D683="","",IFERROR(INDEX('Stock pièces'!$I$5:$I$404,MATCH(D683,'Stock pièces'!$A$5:$A$404,0)),0))</f>
        <v/>
      </c>
      <c r="H683" s="81">
        <f>IF(D683="","",N(F683)*N(G683))</f>
        <v/>
      </c>
      <c r="I683" s="7" t="inlineStr">
        <is>
          <t>OT-2026-0007</t>
        </is>
      </c>
      <c r="J683" s="9">
        <f>IF(I683="","",IFERROR(INDEX('Ordres de travail'!$D$5:$D$3004,MATCH(I683,'Ordres de travail'!$A$5:$A$3004,0)),""))</f>
        <v/>
      </c>
      <c r="K683" s="9">
        <f>IF(D683="","",IFERROR(INDEX('Stock pièces'!$D$5:$D$404,MATCH(D683,'Stock pièces'!$A$5:$A$404,0)),""))</f>
        <v/>
      </c>
      <c r="L683" s="7" t="n"/>
      <c r="M683" s="7" t="n"/>
    </row>
    <row r="684">
      <c r="A684" s="7" t="inlineStr">
        <is>
          <t>MV-00680</t>
        </is>
      </c>
      <c r="B684" s="75" t="n">
        <v>46027.37152777778</v>
      </c>
      <c r="C684" s="7" t="inlineStr">
        <is>
          <t>Sortie</t>
        </is>
      </c>
      <c r="D684" s="7" t="inlineStr">
        <is>
          <t>PD-0017</t>
        </is>
      </c>
      <c r="E684" s="9">
        <f>IF(D684="","",IFERROR(INDEX('Stock pièces'!$B$5:$B$404,MATCH(D684,'Stock pièces'!$A$5:$A$404,0)),"Réf. inconnue"))</f>
        <v/>
      </c>
      <c r="F684" s="67" t="n">
        <v>1</v>
      </c>
      <c r="G684" s="81">
        <f>IF(D684="","",IFERROR(INDEX('Stock pièces'!$I$5:$I$404,MATCH(D684,'Stock pièces'!$A$5:$A$404,0)),0))</f>
        <v/>
      </c>
      <c r="H684" s="81">
        <f>IF(D684="","",N(F684)*N(G684))</f>
        <v/>
      </c>
      <c r="I684" s="7" t="inlineStr">
        <is>
          <t>OT-2025-0839</t>
        </is>
      </c>
      <c r="J684" s="9">
        <f>IF(I684="","",IFERROR(INDEX('Ordres de travail'!$D$5:$D$3004,MATCH(I684,'Ordres de travail'!$A$5:$A$3004,0)),""))</f>
        <v/>
      </c>
      <c r="K684" s="9">
        <f>IF(D684="","",IFERROR(INDEX('Stock pièces'!$D$5:$D$404,MATCH(D684,'Stock pièces'!$A$5:$A$404,0)),""))</f>
        <v/>
      </c>
      <c r="L684" s="7" t="n"/>
      <c r="M684" s="7" t="n"/>
    </row>
    <row r="685">
      <c r="A685" s="7" t="inlineStr">
        <is>
          <t>MV-00681</t>
        </is>
      </c>
      <c r="B685" s="75" t="n">
        <v>46027.41666666666</v>
      </c>
      <c r="C685" s="7" t="inlineStr">
        <is>
          <t>Entrée</t>
        </is>
      </c>
      <c r="D685" s="7" t="inlineStr">
        <is>
          <t>PD-0013</t>
        </is>
      </c>
      <c r="E685" s="9">
        <f>IF(D685="","",IFERROR(INDEX('Stock pièces'!$B$5:$B$404,MATCH(D685,'Stock pièces'!$A$5:$A$404,0)),"Réf. inconnue"))</f>
        <v/>
      </c>
      <c r="F685" s="67" t="n">
        <v>4</v>
      </c>
      <c r="G685" s="81">
        <f>IF(D685="","",IFERROR(INDEX('Stock pièces'!$I$5:$I$404,MATCH(D685,'Stock pièces'!$A$5:$A$404,0)),0))</f>
        <v/>
      </c>
      <c r="H685" s="81">
        <f>IF(D685="","",N(F685)*N(G685))</f>
        <v/>
      </c>
      <c r="I685" s="7" t="n"/>
      <c r="J685" s="9">
        <f>IF(I685="","",IFERROR(INDEX('Ordres de travail'!$D$5:$D$3004,MATCH(I685,'Ordres de travail'!$A$5:$A$3004,0)),""))</f>
        <v/>
      </c>
      <c r="K685" s="9">
        <f>IF(D685="","",IFERROR(INDEX('Stock pièces'!$D$5:$D$404,MATCH(D685,'Stock pièces'!$A$5:$A$404,0)),""))</f>
        <v/>
      </c>
      <c r="L685" s="7" t="inlineStr">
        <is>
          <t>CMD-24194</t>
        </is>
      </c>
      <c r="M685" s="7" t="inlineStr">
        <is>
          <t>Réception commande réappro</t>
        </is>
      </c>
    </row>
    <row r="686">
      <c r="A686" s="7" t="inlineStr">
        <is>
          <t>MV-00682</t>
        </is>
      </c>
      <c r="B686" s="75" t="n">
        <v>46027.41666666666</v>
      </c>
      <c r="C686" s="7" t="inlineStr">
        <is>
          <t>Entrée</t>
        </is>
      </c>
      <c r="D686" s="7" t="inlineStr">
        <is>
          <t>PD-0029</t>
        </is>
      </c>
      <c r="E686" s="9">
        <f>IF(D686="","",IFERROR(INDEX('Stock pièces'!$B$5:$B$404,MATCH(D686,'Stock pièces'!$A$5:$A$404,0)),"Réf. inconnue"))</f>
        <v/>
      </c>
      <c r="F686" s="67" t="n">
        <v>4</v>
      </c>
      <c r="G686" s="81">
        <f>IF(D686="","",IFERROR(INDEX('Stock pièces'!$I$5:$I$404,MATCH(D686,'Stock pièces'!$A$5:$A$404,0)),0))</f>
        <v/>
      </c>
      <c r="H686" s="81">
        <f>IF(D686="","",N(F686)*N(G686))</f>
        <v/>
      </c>
      <c r="I686" s="7" t="n"/>
      <c r="J686" s="9">
        <f>IF(I686="","",IFERROR(INDEX('Ordres de travail'!$D$5:$D$3004,MATCH(I686,'Ordres de travail'!$A$5:$A$3004,0)),""))</f>
        <v/>
      </c>
      <c r="K686" s="9">
        <f>IF(D686="","",IFERROR(INDEX('Stock pièces'!$D$5:$D$404,MATCH(D686,'Stock pièces'!$A$5:$A$404,0)),""))</f>
        <v/>
      </c>
      <c r="L686" s="7" t="inlineStr">
        <is>
          <t>CMD-24199</t>
        </is>
      </c>
      <c r="M686" s="7" t="inlineStr">
        <is>
          <t>Réception commande réappro</t>
        </is>
      </c>
    </row>
    <row r="687">
      <c r="A687" s="7" t="inlineStr">
        <is>
          <t>MV-00683</t>
        </is>
      </c>
      <c r="B687" s="75" t="n">
        <v>46027.52777777778</v>
      </c>
      <c r="C687" s="7" t="inlineStr">
        <is>
          <t>Sortie</t>
        </is>
      </c>
      <c r="D687" s="7" t="inlineStr">
        <is>
          <t>PD-0015</t>
        </is>
      </c>
      <c r="E687" s="9">
        <f>IF(D687="","",IFERROR(INDEX('Stock pièces'!$B$5:$B$404,MATCH(D687,'Stock pièces'!$A$5:$A$404,0)),"Réf. inconnue"))</f>
        <v/>
      </c>
      <c r="F687" s="67" t="n">
        <v>1</v>
      </c>
      <c r="G687" s="81">
        <f>IF(D687="","",IFERROR(INDEX('Stock pièces'!$I$5:$I$404,MATCH(D687,'Stock pièces'!$A$5:$A$404,0)),0))</f>
        <v/>
      </c>
      <c r="H687" s="81">
        <f>IF(D687="","",N(F687)*N(G687))</f>
        <v/>
      </c>
      <c r="I687" s="7" t="inlineStr">
        <is>
          <t>OT-2025-0842</t>
        </is>
      </c>
      <c r="J687" s="9">
        <f>IF(I687="","",IFERROR(INDEX('Ordres de travail'!$D$5:$D$3004,MATCH(I687,'Ordres de travail'!$A$5:$A$3004,0)),""))</f>
        <v/>
      </c>
      <c r="K687" s="9">
        <f>IF(D687="","",IFERROR(INDEX('Stock pièces'!$D$5:$D$404,MATCH(D687,'Stock pièces'!$A$5:$A$404,0)),""))</f>
        <v/>
      </c>
      <c r="L687" s="7" t="n"/>
      <c r="M687" s="7" t="n"/>
    </row>
    <row r="688">
      <c r="A688" s="7" t="inlineStr">
        <is>
          <t>MV-00684</t>
        </is>
      </c>
      <c r="B688" s="75" t="n">
        <v>46027.52777777778</v>
      </c>
      <c r="C688" s="7" t="inlineStr">
        <is>
          <t>Sortie</t>
        </is>
      </c>
      <c r="D688" s="7" t="inlineStr">
        <is>
          <t>PD-0022</t>
        </is>
      </c>
      <c r="E688" s="9">
        <f>IF(D688="","",IFERROR(INDEX('Stock pièces'!$B$5:$B$404,MATCH(D688,'Stock pièces'!$A$5:$A$404,0)),"Réf. inconnue"))</f>
        <v/>
      </c>
      <c r="F688" s="67" t="n">
        <v>1</v>
      </c>
      <c r="G688" s="81">
        <f>IF(D688="","",IFERROR(INDEX('Stock pièces'!$I$5:$I$404,MATCH(D688,'Stock pièces'!$A$5:$A$404,0)),0))</f>
        <v/>
      </c>
      <c r="H688" s="81">
        <f>IF(D688="","",N(F688)*N(G688))</f>
        <v/>
      </c>
      <c r="I688" s="7" t="inlineStr">
        <is>
          <t>OT-2025-0842</t>
        </is>
      </c>
      <c r="J688" s="9">
        <f>IF(I688="","",IFERROR(INDEX('Ordres de travail'!$D$5:$D$3004,MATCH(I688,'Ordres de travail'!$A$5:$A$3004,0)),""))</f>
        <v/>
      </c>
      <c r="K688" s="9">
        <f>IF(D688="","",IFERROR(INDEX('Stock pièces'!$D$5:$D$404,MATCH(D688,'Stock pièces'!$A$5:$A$404,0)),""))</f>
        <v/>
      </c>
      <c r="L688" s="7" t="n"/>
      <c r="M688" s="7" t="n"/>
    </row>
    <row r="689">
      <c r="A689" s="7" t="inlineStr">
        <is>
          <t>MV-00685</t>
        </is>
      </c>
      <c r="B689" s="75" t="n">
        <v>46027.53472222222</v>
      </c>
      <c r="C689" s="7" t="inlineStr">
        <is>
          <t>Sortie</t>
        </is>
      </c>
      <c r="D689" s="7" t="inlineStr">
        <is>
          <t>PD-0062</t>
        </is>
      </c>
      <c r="E689" s="9">
        <f>IF(D689="","",IFERROR(INDEX('Stock pièces'!$B$5:$B$404,MATCH(D689,'Stock pièces'!$A$5:$A$404,0)),"Réf. inconnue"))</f>
        <v/>
      </c>
      <c r="F689" s="67" t="n">
        <v>1</v>
      </c>
      <c r="G689" s="81">
        <f>IF(D689="","",IFERROR(INDEX('Stock pièces'!$I$5:$I$404,MATCH(D689,'Stock pièces'!$A$5:$A$404,0)),0))</f>
        <v/>
      </c>
      <c r="H689" s="81">
        <f>IF(D689="","",N(F689)*N(G689))</f>
        <v/>
      </c>
      <c r="I689" s="7" t="inlineStr">
        <is>
          <t>OT-2025-0845</t>
        </is>
      </c>
      <c r="J689" s="9">
        <f>IF(I689="","",IFERROR(INDEX('Ordres de travail'!$D$5:$D$3004,MATCH(I689,'Ordres de travail'!$A$5:$A$3004,0)),""))</f>
        <v/>
      </c>
      <c r="K689" s="9">
        <f>IF(D689="","",IFERROR(INDEX('Stock pièces'!$D$5:$D$404,MATCH(D689,'Stock pièces'!$A$5:$A$404,0)),""))</f>
        <v/>
      </c>
      <c r="L689" s="7" t="n"/>
      <c r="M689" s="7" t="n"/>
    </row>
    <row r="690">
      <c r="A690" s="7" t="inlineStr">
        <is>
          <t>MV-00686</t>
        </is>
      </c>
      <c r="B690" s="75" t="n">
        <v>46027.53472222222</v>
      </c>
      <c r="C690" s="7" t="inlineStr">
        <is>
          <t>Sortie</t>
        </is>
      </c>
      <c r="D690" s="7" t="inlineStr">
        <is>
          <t>PD-0063</t>
        </is>
      </c>
      <c r="E690" s="9">
        <f>IF(D690="","",IFERROR(INDEX('Stock pièces'!$B$5:$B$404,MATCH(D690,'Stock pièces'!$A$5:$A$404,0)),"Réf. inconnue"))</f>
        <v/>
      </c>
      <c r="F690" s="67" t="n">
        <v>1</v>
      </c>
      <c r="G690" s="81">
        <f>IF(D690="","",IFERROR(INDEX('Stock pièces'!$I$5:$I$404,MATCH(D690,'Stock pièces'!$A$5:$A$404,0)),0))</f>
        <v/>
      </c>
      <c r="H690" s="81">
        <f>IF(D690="","",N(F690)*N(G690))</f>
        <v/>
      </c>
      <c r="I690" s="7" t="inlineStr">
        <is>
          <t>OT-2025-0845</t>
        </is>
      </c>
      <c r="J690" s="9">
        <f>IF(I690="","",IFERROR(INDEX('Ordres de travail'!$D$5:$D$3004,MATCH(I690,'Ordres de travail'!$A$5:$A$3004,0)),""))</f>
        <v/>
      </c>
      <c r="K690" s="9">
        <f>IF(D690="","",IFERROR(INDEX('Stock pièces'!$D$5:$D$404,MATCH(D690,'Stock pièces'!$A$5:$A$404,0)),""))</f>
        <v/>
      </c>
      <c r="L690" s="7" t="n"/>
      <c r="M690" s="7" t="n"/>
    </row>
    <row r="691">
      <c r="A691" s="7" t="inlineStr">
        <is>
          <t>MV-00687</t>
        </is>
      </c>
      <c r="B691" s="75" t="n">
        <v>46027.59027777778</v>
      </c>
      <c r="C691" s="7" t="inlineStr">
        <is>
          <t>Sortie</t>
        </is>
      </c>
      <c r="D691" s="7" t="inlineStr">
        <is>
          <t>PD-0017</t>
        </is>
      </c>
      <c r="E691" s="9">
        <f>IF(D691="","",IFERROR(INDEX('Stock pièces'!$B$5:$B$404,MATCH(D691,'Stock pièces'!$A$5:$A$404,0)),"Réf. inconnue"))</f>
        <v/>
      </c>
      <c r="F691" s="67" t="n">
        <v>1</v>
      </c>
      <c r="G691" s="81">
        <f>IF(D691="","",IFERROR(INDEX('Stock pièces'!$I$5:$I$404,MATCH(D691,'Stock pièces'!$A$5:$A$404,0)),0))</f>
        <v/>
      </c>
      <c r="H691" s="81">
        <f>IF(D691="","",N(F691)*N(G691))</f>
        <v/>
      </c>
      <c r="I691" s="7" t="inlineStr">
        <is>
          <t>OT-2025-0843</t>
        </is>
      </c>
      <c r="J691" s="9">
        <f>IF(I691="","",IFERROR(INDEX('Ordres de travail'!$D$5:$D$3004,MATCH(I691,'Ordres de travail'!$A$5:$A$3004,0)),""))</f>
        <v/>
      </c>
      <c r="K691" s="9">
        <f>IF(D691="","",IFERROR(INDEX('Stock pièces'!$D$5:$D$404,MATCH(D691,'Stock pièces'!$A$5:$A$404,0)),""))</f>
        <v/>
      </c>
      <c r="L691" s="7" t="n"/>
      <c r="M691" s="7" t="n"/>
    </row>
    <row r="692">
      <c r="A692" s="7" t="inlineStr">
        <is>
          <t>MV-00688</t>
        </is>
      </c>
      <c r="B692" s="75" t="n">
        <v>46027.59722222222</v>
      </c>
      <c r="C692" s="7" t="inlineStr">
        <is>
          <t>Sortie</t>
        </is>
      </c>
      <c r="D692" s="7" t="inlineStr">
        <is>
          <t>PD-0017</t>
        </is>
      </c>
      <c r="E692" s="9">
        <f>IF(D692="","",IFERROR(INDEX('Stock pièces'!$B$5:$B$404,MATCH(D692,'Stock pièces'!$A$5:$A$404,0)),"Réf. inconnue"))</f>
        <v/>
      </c>
      <c r="F692" s="67" t="n">
        <v>1</v>
      </c>
      <c r="G692" s="81">
        <f>IF(D692="","",IFERROR(INDEX('Stock pièces'!$I$5:$I$404,MATCH(D692,'Stock pièces'!$A$5:$A$404,0)),0))</f>
        <v/>
      </c>
      <c r="H692" s="81">
        <f>IF(D692="","",N(F692)*N(G692))</f>
        <v/>
      </c>
      <c r="I692" s="7" t="inlineStr">
        <is>
          <t>OT-2025-0840</t>
        </is>
      </c>
      <c r="J692" s="9">
        <f>IF(I692="","",IFERROR(INDEX('Ordres de travail'!$D$5:$D$3004,MATCH(I692,'Ordres de travail'!$A$5:$A$3004,0)),""))</f>
        <v/>
      </c>
      <c r="K692" s="9">
        <f>IF(D692="","",IFERROR(INDEX('Stock pièces'!$D$5:$D$404,MATCH(D692,'Stock pièces'!$A$5:$A$404,0)),""))</f>
        <v/>
      </c>
      <c r="L692" s="7" t="n"/>
      <c r="M692" s="7" t="n"/>
    </row>
    <row r="693">
      <c r="A693" s="7" t="inlineStr">
        <is>
          <t>MV-00689</t>
        </is>
      </c>
      <c r="B693" s="75" t="n">
        <v>46028.52083333334</v>
      </c>
      <c r="C693" s="7" t="inlineStr">
        <is>
          <t>Sortie</t>
        </is>
      </c>
      <c r="D693" s="7" t="inlineStr">
        <is>
          <t>PD-0017</t>
        </is>
      </c>
      <c r="E693" s="9">
        <f>IF(D693="","",IFERROR(INDEX('Stock pièces'!$B$5:$B$404,MATCH(D693,'Stock pièces'!$A$5:$A$404,0)),"Réf. inconnue"))</f>
        <v/>
      </c>
      <c r="F693" s="67" t="n">
        <v>1</v>
      </c>
      <c r="G693" s="81">
        <f>IF(D693="","",IFERROR(INDEX('Stock pièces'!$I$5:$I$404,MATCH(D693,'Stock pièces'!$A$5:$A$404,0)),0))</f>
        <v/>
      </c>
      <c r="H693" s="81">
        <f>IF(D693="","",N(F693)*N(G693))</f>
        <v/>
      </c>
      <c r="I693" s="7" t="inlineStr">
        <is>
          <t>OT-2025-0847</t>
        </is>
      </c>
      <c r="J693" s="9">
        <f>IF(I693="","",IFERROR(INDEX('Ordres de travail'!$D$5:$D$3004,MATCH(I693,'Ordres de travail'!$A$5:$A$3004,0)),""))</f>
        <v/>
      </c>
      <c r="K693" s="9">
        <f>IF(D693="","",IFERROR(INDEX('Stock pièces'!$D$5:$D$404,MATCH(D693,'Stock pièces'!$A$5:$A$404,0)),""))</f>
        <v/>
      </c>
      <c r="L693" s="7" t="n"/>
      <c r="M693" s="7" t="n"/>
    </row>
    <row r="694">
      <c r="A694" s="7" t="inlineStr">
        <is>
          <t>MV-00690</t>
        </is>
      </c>
      <c r="B694" s="75" t="n">
        <v>46028.56944444445</v>
      </c>
      <c r="C694" s="7" t="inlineStr">
        <is>
          <t>Sortie</t>
        </is>
      </c>
      <c r="D694" s="7" t="inlineStr">
        <is>
          <t>PD-0025</t>
        </is>
      </c>
      <c r="E694" s="9">
        <f>IF(D694="","",IFERROR(INDEX('Stock pièces'!$B$5:$B$404,MATCH(D694,'Stock pièces'!$A$5:$A$404,0)),"Réf. inconnue"))</f>
        <v/>
      </c>
      <c r="F694" s="67" t="n">
        <v>3</v>
      </c>
      <c r="G694" s="81">
        <f>IF(D694="","",IFERROR(INDEX('Stock pièces'!$I$5:$I$404,MATCH(D694,'Stock pièces'!$A$5:$A$404,0)),0))</f>
        <v/>
      </c>
      <c r="H694" s="81">
        <f>IF(D694="","",N(F694)*N(G694))</f>
        <v/>
      </c>
      <c r="I694" s="7" t="inlineStr">
        <is>
          <t>OT-2025-0849</t>
        </is>
      </c>
      <c r="J694" s="9">
        <f>IF(I694="","",IFERROR(INDEX('Ordres de travail'!$D$5:$D$3004,MATCH(I694,'Ordres de travail'!$A$5:$A$3004,0)),""))</f>
        <v/>
      </c>
      <c r="K694" s="9">
        <f>IF(D694="","",IFERROR(INDEX('Stock pièces'!$D$5:$D$404,MATCH(D694,'Stock pièces'!$A$5:$A$404,0)),""))</f>
        <v/>
      </c>
      <c r="L694" s="7" t="n"/>
      <c r="M694" s="7" t="n"/>
    </row>
    <row r="695">
      <c r="A695" s="7" t="inlineStr">
        <is>
          <t>MV-00691</t>
        </is>
      </c>
      <c r="B695" s="75" t="n">
        <v>46029.41666666666</v>
      </c>
      <c r="C695" s="7" t="inlineStr">
        <is>
          <t>Entrée</t>
        </is>
      </c>
      <c r="D695" s="7" t="inlineStr">
        <is>
          <t>PD-0014</t>
        </is>
      </c>
      <c r="E695" s="9">
        <f>IF(D695="","",IFERROR(INDEX('Stock pièces'!$B$5:$B$404,MATCH(D695,'Stock pièces'!$A$5:$A$404,0)),"Réf. inconnue"))</f>
        <v/>
      </c>
      <c r="F695" s="67" t="n">
        <v>1</v>
      </c>
      <c r="G695" s="81">
        <f>IF(D695="","",IFERROR(INDEX('Stock pièces'!$I$5:$I$404,MATCH(D695,'Stock pièces'!$A$5:$A$404,0)),0))</f>
        <v/>
      </c>
      <c r="H695" s="81">
        <f>IF(D695="","",N(F695)*N(G695))</f>
        <v/>
      </c>
      <c r="I695" s="7" t="n"/>
      <c r="J695" s="9">
        <f>IF(I695="","",IFERROR(INDEX('Ordres de travail'!$D$5:$D$3004,MATCH(I695,'Ordres de travail'!$A$5:$A$3004,0)),""))</f>
        <v/>
      </c>
      <c r="K695" s="9">
        <f>IF(D695="","",IFERROR(INDEX('Stock pièces'!$D$5:$D$404,MATCH(D695,'Stock pièces'!$A$5:$A$404,0)),""))</f>
        <v/>
      </c>
      <c r="L695" s="7" t="inlineStr">
        <is>
          <t>CMD-24195</t>
        </is>
      </c>
      <c r="M695" s="7" t="inlineStr">
        <is>
          <t>Réception commande réappro</t>
        </is>
      </c>
    </row>
    <row r="696">
      <c r="A696" s="7" t="inlineStr">
        <is>
          <t>MV-00692</t>
        </is>
      </c>
      <c r="B696" s="75" t="n">
        <v>46029.53194444445</v>
      </c>
      <c r="C696" s="7" t="inlineStr">
        <is>
          <t>Sortie</t>
        </is>
      </c>
      <c r="D696" s="7" t="inlineStr">
        <is>
          <t>PD-0037</t>
        </is>
      </c>
      <c r="E696" s="9">
        <f>IF(D696="","",IFERROR(INDEX('Stock pièces'!$B$5:$B$404,MATCH(D696,'Stock pièces'!$A$5:$A$404,0)),"Réf. inconnue"))</f>
        <v/>
      </c>
      <c r="F696" s="67" t="n">
        <v>1</v>
      </c>
      <c r="G696" s="81">
        <f>IF(D696="","",IFERROR(INDEX('Stock pièces'!$I$5:$I$404,MATCH(D696,'Stock pièces'!$A$5:$A$404,0)),0))</f>
        <v/>
      </c>
      <c r="H696" s="81">
        <f>IF(D696="","",N(F696)*N(G696))</f>
        <v/>
      </c>
      <c r="I696" s="7" t="inlineStr">
        <is>
          <t>OT-2026-0008</t>
        </is>
      </c>
      <c r="J696" s="9">
        <f>IF(I696="","",IFERROR(INDEX('Ordres de travail'!$D$5:$D$3004,MATCH(I696,'Ordres de travail'!$A$5:$A$3004,0)),""))</f>
        <v/>
      </c>
      <c r="K696" s="9">
        <f>IF(D696="","",IFERROR(INDEX('Stock pièces'!$D$5:$D$404,MATCH(D696,'Stock pièces'!$A$5:$A$404,0)),""))</f>
        <v/>
      </c>
      <c r="L696" s="7" t="n"/>
      <c r="M696" s="7" t="n"/>
    </row>
    <row r="697">
      <c r="A697" s="7" t="inlineStr">
        <is>
          <t>MV-00693</t>
        </is>
      </c>
      <c r="B697" s="75" t="n">
        <v>46030.41666666666</v>
      </c>
      <c r="C697" s="7" t="inlineStr">
        <is>
          <t>Entrée</t>
        </is>
      </c>
      <c r="D697" s="7" t="inlineStr">
        <is>
          <t>PD-0024</t>
        </is>
      </c>
      <c r="E697" s="9">
        <f>IF(D697="","",IFERROR(INDEX('Stock pièces'!$B$5:$B$404,MATCH(D697,'Stock pièces'!$A$5:$A$404,0)),"Réf. inconnue"))</f>
        <v/>
      </c>
      <c r="F697" s="67" t="n">
        <v>2</v>
      </c>
      <c r="G697" s="81">
        <f>IF(D697="","",IFERROR(INDEX('Stock pièces'!$I$5:$I$404,MATCH(D697,'Stock pièces'!$A$5:$A$404,0)),0))</f>
        <v/>
      </c>
      <c r="H697" s="81">
        <f>IF(D697="","",N(F697)*N(G697))</f>
        <v/>
      </c>
      <c r="I697" s="7" t="n"/>
      <c r="J697" s="9">
        <f>IF(I697="","",IFERROR(INDEX('Ordres de travail'!$D$5:$D$3004,MATCH(I697,'Ordres de travail'!$A$5:$A$3004,0)),""))</f>
        <v/>
      </c>
      <c r="K697" s="9">
        <f>IF(D697="","",IFERROR(INDEX('Stock pièces'!$D$5:$D$404,MATCH(D697,'Stock pièces'!$A$5:$A$404,0)),""))</f>
        <v/>
      </c>
      <c r="L697" s="7" t="inlineStr">
        <is>
          <t>CMD-24196</t>
        </is>
      </c>
      <c r="M697" s="7" t="inlineStr">
        <is>
          <t>Réception commande réappro</t>
        </is>
      </c>
    </row>
    <row r="698">
      <c r="A698" s="7" t="inlineStr">
        <is>
          <t>MV-00694</t>
        </is>
      </c>
      <c r="B698" s="75" t="n">
        <v>46030.41666666666</v>
      </c>
      <c r="C698" s="7" t="inlineStr">
        <is>
          <t>Entrée</t>
        </is>
      </c>
      <c r="D698" s="7" t="inlineStr">
        <is>
          <t>PD-0022</t>
        </is>
      </c>
      <c r="E698" s="9">
        <f>IF(D698="","",IFERROR(INDEX('Stock pièces'!$B$5:$B$404,MATCH(D698,'Stock pièces'!$A$5:$A$404,0)),"Réf. inconnue"))</f>
        <v/>
      </c>
      <c r="F698" s="67" t="n">
        <v>2</v>
      </c>
      <c r="G698" s="81">
        <f>IF(D698="","",IFERROR(INDEX('Stock pièces'!$I$5:$I$404,MATCH(D698,'Stock pièces'!$A$5:$A$404,0)),0))</f>
        <v/>
      </c>
      <c r="H698" s="81">
        <f>IF(D698="","",N(F698)*N(G698))</f>
        <v/>
      </c>
      <c r="I698" s="7" t="n"/>
      <c r="J698" s="9">
        <f>IF(I698="","",IFERROR(INDEX('Ordres de travail'!$D$5:$D$3004,MATCH(I698,'Ordres de travail'!$A$5:$A$3004,0)),""))</f>
        <v/>
      </c>
      <c r="K698" s="9">
        <f>IF(D698="","",IFERROR(INDEX('Stock pièces'!$D$5:$D$404,MATCH(D698,'Stock pièces'!$A$5:$A$404,0)),""))</f>
        <v/>
      </c>
      <c r="L698" s="7" t="inlineStr">
        <is>
          <t>CMD-24197</t>
        </is>
      </c>
      <c r="M698" s="7" t="inlineStr">
        <is>
          <t>Réception commande réappro</t>
        </is>
      </c>
    </row>
    <row r="699">
      <c r="A699" s="7" t="inlineStr">
        <is>
          <t>MV-00695</t>
        </is>
      </c>
      <c r="B699" s="75" t="n">
        <v>46030.51388888889</v>
      </c>
      <c r="C699" s="7" t="inlineStr">
        <is>
          <t>Sortie</t>
        </is>
      </c>
      <c r="D699" s="7" t="inlineStr">
        <is>
          <t>PD-0019</t>
        </is>
      </c>
      <c r="E699" s="9">
        <f>IF(D699="","",IFERROR(INDEX('Stock pièces'!$B$5:$B$404,MATCH(D699,'Stock pièces'!$A$5:$A$404,0)),"Réf. inconnue"))</f>
        <v/>
      </c>
      <c r="F699" s="67" t="n">
        <v>4</v>
      </c>
      <c r="G699" s="81">
        <f>IF(D699="","",IFERROR(INDEX('Stock pièces'!$I$5:$I$404,MATCH(D699,'Stock pièces'!$A$5:$A$404,0)),0))</f>
        <v/>
      </c>
      <c r="H699" s="81">
        <f>IF(D699="","",N(F699)*N(G699))</f>
        <v/>
      </c>
      <c r="I699" s="7" t="inlineStr">
        <is>
          <t>OT-2026-0001</t>
        </is>
      </c>
      <c r="J699" s="9">
        <f>IF(I699="","",IFERROR(INDEX('Ordres de travail'!$D$5:$D$3004,MATCH(I699,'Ordres de travail'!$A$5:$A$3004,0)),""))</f>
        <v/>
      </c>
      <c r="K699" s="9">
        <f>IF(D699="","",IFERROR(INDEX('Stock pièces'!$D$5:$D$404,MATCH(D699,'Stock pièces'!$A$5:$A$404,0)),""))</f>
        <v/>
      </c>
      <c r="L699" s="7" t="n"/>
      <c r="M699" s="7" t="n"/>
    </row>
    <row r="700">
      <c r="A700" s="7" t="inlineStr">
        <is>
          <t>MV-00696</t>
        </is>
      </c>
      <c r="B700" s="75" t="n">
        <v>46031.35416666666</v>
      </c>
      <c r="C700" s="7" t="inlineStr">
        <is>
          <t>Sortie</t>
        </is>
      </c>
      <c r="D700" s="7" t="inlineStr">
        <is>
          <t>PD-0021</t>
        </is>
      </c>
      <c r="E700" s="9">
        <f>IF(D700="","",IFERROR(INDEX('Stock pièces'!$B$5:$B$404,MATCH(D700,'Stock pièces'!$A$5:$A$404,0)),"Réf. inconnue"))</f>
        <v/>
      </c>
      <c r="F700" s="67" t="n">
        <v>1</v>
      </c>
      <c r="G700" s="81">
        <f>IF(D700="","",IFERROR(INDEX('Stock pièces'!$I$5:$I$404,MATCH(D700,'Stock pièces'!$A$5:$A$404,0)),0))</f>
        <v/>
      </c>
      <c r="H700" s="81">
        <f>IF(D700="","",N(F700)*N(G700))</f>
        <v/>
      </c>
      <c r="I700" s="7" t="inlineStr">
        <is>
          <t>OT-2026-0003</t>
        </is>
      </c>
      <c r="J700" s="9">
        <f>IF(I700="","",IFERROR(INDEX('Ordres de travail'!$D$5:$D$3004,MATCH(I700,'Ordres de travail'!$A$5:$A$3004,0)),""))</f>
        <v/>
      </c>
      <c r="K700" s="9">
        <f>IF(D700="","",IFERROR(INDEX('Stock pièces'!$D$5:$D$404,MATCH(D700,'Stock pièces'!$A$5:$A$404,0)),""))</f>
        <v/>
      </c>
      <c r="L700" s="7" t="n"/>
      <c r="M700" s="7" t="n"/>
    </row>
    <row r="701">
      <c r="A701" s="7" t="inlineStr">
        <is>
          <t>MV-00697</t>
        </is>
      </c>
      <c r="B701" s="75" t="n">
        <v>46031.84166666667</v>
      </c>
      <c r="C701" s="7" t="inlineStr">
        <is>
          <t>Sortie</t>
        </is>
      </c>
      <c r="D701" s="7" t="inlineStr">
        <is>
          <t>PD-0054</t>
        </is>
      </c>
      <c r="E701" s="9">
        <f>IF(D701="","",IFERROR(INDEX('Stock pièces'!$B$5:$B$404,MATCH(D701,'Stock pièces'!$A$5:$A$404,0)),"Réf. inconnue"))</f>
        <v/>
      </c>
      <c r="F701" s="67" t="n">
        <v>2</v>
      </c>
      <c r="G701" s="81">
        <f>IF(D701="","",IFERROR(INDEX('Stock pièces'!$I$5:$I$404,MATCH(D701,'Stock pièces'!$A$5:$A$404,0)),0))</f>
        <v/>
      </c>
      <c r="H701" s="81">
        <f>IF(D701="","",N(F701)*N(G701))</f>
        <v/>
      </c>
      <c r="I701" s="7" t="inlineStr">
        <is>
          <t>OT-2026-0018</t>
        </is>
      </c>
      <c r="J701" s="9">
        <f>IF(I701="","",IFERROR(INDEX('Ordres de travail'!$D$5:$D$3004,MATCH(I701,'Ordres de travail'!$A$5:$A$3004,0)),""))</f>
        <v/>
      </c>
      <c r="K701" s="9">
        <f>IF(D701="","",IFERROR(INDEX('Stock pièces'!$D$5:$D$404,MATCH(D701,'Stock pièces'!$A$5:$A$404,0)),""))</f>
        <v/>
      </c>
      <c r="L701" s="7" t="n"/>
      <c r="M701" s="7" t="n"/>
    </row>
    <row r="702">
      <c r="A702" s="7" t="inlineStr">
        <is>
          <t>MV-00698</t>
        </is>
      </c>
      <c r="B702" s="75" t="n">
        <v>46031.84166666667</v>
      </c>
      <c r="C702" s="7" t="inlineStr">
        <is>
          <t>Sortie</t>
        </is>
      </c>
      <c r="D702" s="7" t="inlineStr">
        <is>
          <t>PD-0055</t>
        </is>
      </c>
      <c r="E702" s="9">
        <f>IF(D702="","",IFERROR(INDEX('Stock pièces'!$B$5:$B$404,MATCH(D702,'Stock pièces'!$A$5:$A$404,0)),"Réf. inconnue"))</f>
        <v/>
      </c>
      <c r="F702" s="67" t="n">
        <v>1</v>
      </c>
      <c r="G702" s="81">
        <f>IF(D702="","",IFERROR(INDEX('Stock pièces'!$I$5:$I$404,MATCH(D702,'Stock pièces'!$A$5:$A$404,0)),0))</f>
        <v/>
      </c>
      <c r="H702" s="81">
        <f>IF(D702="","",N(F702)*N(G702))</f>
        <v/>
      </c>
      <c r="I702" s="7" t="inlineStr">
        <is>
          <t>OT-2026-0018</t>
        </is>
      </c>
      <c r="J702" s="9">
        <f>IF(I702="","",IFERROR(INDEX('Ordres de travail'!$D$5:$D$3004,MATCH(I702,'Ordres de travail'!$A$5:$A$3004,0)),""))</f>
        <v/>
      </c>
      <c r="K702" s="9">
        <f>IF(D702="","",IFERROR(INDEX('Stock pièces'!$D$5:$D$404,MATCH(D702,'Stock pièces'!$A$5:$A$404,0)),""))</f>
        <v/>
      </c>
      <c r="L702" s="7" t="n"/>
      <c r="M702" s="7" t="n"/>
    </row>
    <row r="703">
      <c r="A703" s="7" t="inlineStr">
        <is>
          <t>MV-00699</t>
        </is>
      </c>
      <c r="B703" s="75" t="n">
        <v>46031.88472222222</v>
      </c>
      <c r="C703" s="7" t="inlineStr">
        <is>
          <t>Sortie</t>
        </is>
      </c>
      <c r="D703" s="7" t="inlineStr">
        <is>
          <t>PD-0039</t>
        </is>
      </c>
      <c r="E703" s="9">
        <f>IF(D703="","",IFERROR(INDEX('Stock pièces'!$B$5:$B$404,MATCH(D703,'Stock pièces'!$A$5:$A$404,0)),"Réf. inconnue"))</f>
        <v/>
      </c>
      <c r="F703" s="67" t="n">
        <v>2</v>
      </c>
      <c r="G703" s="81">
        <f>IF(D703="","",IFERROR(INDEX('Stock pièces'!$I$5:$I$404,MATCH(D703,'Stock pièces'!$A$5:$A$404,0)),0))</f>
        <v/>
      </c>
      <c r="H703" s="81">
        <f>IF(D703="","",N(F703)*N(G703))</f>
        <v/>
      </c>
      <c r="I703" s="7" t="inlineStr">
        <is>
          <t>OT-2026-0020</t>
        </is>
      </c>
      <c r="J703" s="9">
        <f>IF(I703="","",IFERROR(INDEX('Ordres de travail'!$D$5:$D$3004,MATCH(I703,'Ordres de travail'!$A$5:$A$3004,0)),""))</f>
        <v/>
      </c>
      <c r="K703" s="9">
        <f>IF(D703="","",IFERROR(INDEX('Stock pièces'!$D$5:$D$404,MATCH(D703,'Stock pièces'!$A$5:$A$404,0)),""))</f>
        <v/>
      </c>
      <c r="L703" s="7" t="n"/>
      <c r="M703" s="7" t="n"/>
    </row>
    <row r="704">
      <c r="A704" s="7" t="inlineStr">
        <is>
          <t>MV-00700</t>
        </is>
      </c>
      <c r="B704" s="75" t="n">
        <v>46031.88472222222</v>
      </c>
      <c r="C704" s="7" t="inlineStr">
        <is>
          <t>Sortie</t>
        </is>
      </c>
      <c r="D704" s="7" t="inlineStr">
        <is>
          <t>PD-0041</t>
        </is>
      </c>
      <c r="E704" s="9">
        <f>IF(D704="","",IFERROR(INDEX('Stock pièces'!$B$5:$B$404,MATCH(D704,'Stock pièces'!$A$5:$A$404,0)),"Réf. inconnue"))</f>
        <v/>
      </c>
      <c r="F704" s="67" t="n">
        <v>1</v>
      </c>
      <c r="G704" s="81">
        <f>IF(D704="","",IFERROR(INDEX('Stock pièces'!$I$5:$I$404,MATCH(D704,'Stock pièces'!$A$5:$A$404,0)),0))</f>
        <v/>
      </c>
      <c r="H704" s="81">
        <f>IF(D704="","",N(F704)*N(G704))</f>
        <v/>
      </c>
      <c r="I704" s="7" t="inlineStr">
        <is>
          <t>OT-2026-0020</t>
        </is>
      </c>
      <c r="J704" s="9">
        <f>IF(I704="","",IFERROR(INDEX('Ordres de travail'!$D$5:$D$3004,MATCH(I704,'Ordres de travail'!$A$5:$A$3004,0)),""))</f>
        <v/>
      </c>
      <c r="K704" s="9">
        <f>IF(D704="","",IFERROR(INDEX('Stock pièces'!$D$5:$D$404,MATCH(D704,'Stock pièces'!$A$5:$A$404,0)),""))</f>
        <v/>
      </c>
      <c r="L704" s="7" t="n"/>
      <c r="M704" s="7" t="n"/>
    </row>
    <row r="705">
      <c r="A705" s="7" t="inlineStr">
        <is>
          <t>MV-00701</t>
        </is>
      </c>
      <c r="B705" s="75" t="n">
        <v>46032.86944444444</v>
      </c>
      <c r="C705" s="7" t="inlineStr">
        <is>
          <t>Sortie</t>
        </is>
      </c>
      <c r="D705" s="7" t="inlineStr">
        <is>
          <t>PD-0033</t>
        </is>
      </c>
      <c r="E705" s="9">
        <f>IF(D705="","",IFERROR(INDEX('Stock pièces'!$B$5:$B$404,MATCH(D705,'Stock pièces'!$A$5:$A$404,0)),"Réf. inconnue"))</f>
        <v/>
      </c>
      <c r="F705" s="67" t="n">
        <v>1</v>
      </c>
      <c r="G705" s="81">
        <f>IF(D705="","",IFERROR(INDEX('Stock pièces'!$I$5:$I$404,MATCH(D705,'Stock pièces'!$A$5:$A$404,0)),0))</f>
        <v/>
      </c>
      <c r="H705" s="81">
        <f>IF(D705="","",N(F705)*N(G705))</f>
        <v/>
      </c>
      <c r="I705" s="7" t="inlineStr">
        <is>
          <t>OT-2026-0021</t>
        </is>
      </c>
      <c r="J705" s="9">
        <f>IF(I705="","",IFERROR(INDEX('Ordres de travail'!$D$5:$D$3004,MATCH(I705,'Ordres de travail'!$A$5:$A$3004,0)),""))</f>
        <v/>
      </c>
      <c r="K705" s="9">
        <f>IF(D705="","",IFERROR(INDEX('Stock pièces'!$D$5:$D$404,MATCH(D705,'Stock pièces'!$A$5:$A$404,0)),""))</f>
        <v/>
      </c>
      <c r="L705" s="7" t="n"/>
      <c r="M705" s="7" t="n"/>
    </row>
    <row r="706">
      <c r="A706" s="7" t="inlineStr">
        <is>
          <t>MV-00702</t>
        </is>
      </c>
      <c r="B706" s="75" t="n">
        <v>46034.32638888889</v>
      </c>
      <c r="C706" s="7" t="inlineStr">
        <is>
          <t>Sortie</t>
        </is>
      </c>
      <c r="D706" s="7" t="inlineStr">
        <is>
          <t>PD-0058</t>
        </is>
      </c>
      <c r="E706" s="9">
        <f>IF(D706="","",IFERROR(INDEX('Stock pièces'!$B$5:$B$404,MATCH(D706,'Stock pièces'!$A$5:$A$404,0)),"Réf. inconnue"))</f>
        <v/>
      </c>
      <c r="F706" s="67" t="n">
        <v>1</v>
      </c>
      <c r="G706" s="81">
        <f>IF(D706="","",IFERROR(INDEX('Stock pièces'!$I$5:$I$404,MATCH(D706,'Stock pièces'!$A$5:$A$404,0)),0))</f>
        <v/>
      </c>
      <c r="H706" s="81">
        <f>IF(D706="","",N(F706)*N(G706))</f>
        <v/>
      </c>
      <c r="I706" s="7" t="inlineStr">
        <is>
          <t>OT-2026-0012</t>
        </is>
      </c>
      <c r="J706" s="9">
        <f>IF(I706="","",IFERROR(INDEX('Ordres de travail'!$D$5:$D$3004,MATCH(I706,'Ordres de travail'!$A$5:$A$3004,0)),""))</f>
        <v/>
      </c>
      <c r="K706" s="9">
        <f>IF(D706="","",IFERROR(INDEX('Stock pièces'!$D$5:$D$404,MATCH(D706,'Stock pièces'!$A$5:$A$404,0)),""))</f>
        <v/>
      </c>
      <c r="L706" s="7" t="n"/>
      <c r="M706" s="7" t="n"/>
    </row>
    <row r="707">
      <c r="A707" s="7" t="inlineStr">
        <is>
          <t>MV-00703</t>
        </is>
      </c>
      <c r="B707" s="75" t="n">
        <v>46034.32638888889</v>
      </c>
      <c r="C707" s="7" t="inlineStr">
        <is>
          <t>Sortie</t>
        </is>
      </c>
      <c r="D707" s="7" t="inlineStr">
        <is>
          <t>PD-0059</t>
        </is>
      </c>
      <c r="E707" s="9">
        <f>IF(D707="","",IFERROR(INDEX('Stock pièces'!$B$5:$B$404,MATCH(D707,'Stock pièces'!$A$5:$A$404,0)),"Réf. inconnue"))</f>
        <v/>
      </c>
      <c r="F707" s="67" t="n">
        <v>1</v>
      </c>
      <c r="G707" s="81">
        <f>IF(D707="","",IFERROR(INDEX('Stock pièces'!$I$5:$I$404,MATCH(D707,'Stock pièces'!$A$5:$A$404,0)),0))</f>
        <v/>
      </c>
      <c r="H707" s="81">
        <f>IF(D707="","",N(F707)*N(G707))</f>
        <v/>
      </c>
      <c r="I707" s="7" t="inlineStr">
        <is>
          <t>OT-2026-0012</t>
        </is>
      </c>
      <c r="J707" s="9">
        <f>IF(I707="","",IFERROR(INDEX('Ordres de travail'!$D$5:$D$3004,MATCH(I707,'Ordres de travail'!$A$5:$A$3004,0)),""))</f>
        <v/>
      </c>
      <c r="K707" s="9">
        <f>IF(D707="","",IFERROR(INDEX('Stock pièces'!$D$5:$D$404,MATCH(D707,'Stock pièces'!$A$5:$A$404,0)),""))</f>
        <v/>
      </c>
      <c r="L707" s="7" t="n"/>
      <c r="M707" s="7" t="n"/>
    </row>
    <row r="708">
      <c r="A708" s="7" t="inlineStr">
        <is>
          <t>MV-00704</t>
        </is>
      </c>
      <c r="B708" s="75" t="n">
        <v>46034.40972222222</v>
      </c>
      <c r="C708" s="7" t="inlineStr">
        <is>
          <t>Sortie</t>
        </is>
      </c>
      <c r="D708" s="7" t="inlineStr">
        <is>
          <t>PD-0025</t>
        </is>
      </c>
      <c r="E708" s="9">
        <f>IF(D708="","",IFERROR(INDEX('Stock pièces'!$B$5:$B$404,MATCH(D708,'Stock pièces'!$A$5:$A$404,0)),"Réf. inconnue"))</f>
        <v/>
      </c>
      <c r="F708" s="67" t="n">
        <v>3</v>
      </c>
      <c r="G708" s="81">
        <f>IF(D708="","",IFERROR(INDEX('Stock pièces'!$I$5:$I$404,MATCH(D708,'Stock pièces'!$A$5:$A$404,0)),0))</f>
        <v/>
      </c>
      <c r="H708" s="81">
        <f>IF(D708="","",N(F708)*N(G708))</f>
        <v/>
      </c>
      <c r="I708" s="7" t="inlineStr">
        <is>
          <t>OT-2026-0010</t>
        </is>
      </c>
      <c r="J708" s="9">
        <f>IF(I708="","",IFERROR(INDEX('Ordres de travail'!$D$5:$D$3004,MATCH(I708,'Ordres de travail'!$A$5:$A$3004,0)),""))</f>
        <v/>
      </c>
      <c r="K708" s="9">
        <f>IF(D708="","",IFERROR(INDEX('Stock pièces'!$D$5:$D$404,MATCH(D708,'Stock pièces'!$A$5:$A$404,0)),""))</f>
        <v/>
      </c>
      <c r="L708" s="7" t="n"/>
      <c r="M708" s="7" t="n"/>
    </row>
    <row r="709">
      <c r="A709" s="7" t="inlineStr">
        <is>
          <t>MV-00705</t>
        </is>
      </c>
      <c r="B709" s="75" t="n">
        <v>46034.41666666666</v>
      </c>
      <c r="C709" s="7" t="inlineStr">
        <is>
          <t>Entrée</t>
        </is>
      </c>
      <c r="D709" s="7" t="inlineStr">
        <is>
          <t>PD-0073</t>
        </is>
      </c>
      <c r="E709" s="9">
        <f>IF(D709="","",IFERROR(INDEX('Stock pièces'!$B$5:$B$404,MATCH(D709,'Stock pièces'!$A$5:$A$404,0)),"Réf. inconnue"))</f>
        <v/>
      </c>
      <c r="F709" s="67" t="n">
        <v>1</v>
      </c>
      <c r="G709" s="81">
        <f>IF(D709="","",IFERROR(INDEX('Stock pièces'!$I$5:$I$404,MATCH(D709,'Stock pièces'!$A$5:$A$404,0)),0))</f>
        <v/>
      </c>
      <c r="H709" s="81">
        <f>IF(D709="","",N(F709)*N(G709))</f>
        <v/>
      </c>
      <c r="I709" s="7" t="n"/>
      <c r="J709" s="9">
        <f>IF(I709="","",IFERROR(INDEX('Ordres de travail'!$D$5:$D$3004,MATCH(I709,'Ordres de travail'!$A$5:$A$3004,0)),""))</f>
        <v/>
      </c>
      <c r="K709" s="9">
        <f>IF(D709="","",IFERROR(INDEX('Stock pièces'!$D$5:$D$404,MATCH(D709,'Stock pièces'!$A$5:$A$404,0)),""))</f>
        <v/>
      </c>
      <c r="L709" s="7" t="inlineStr">
        <is>
          <t>CMD-24192</t>
        </is>
      </c>
      <c r="M709" s="7" t="inlineStr">
        <is>
          <t>Réception commande réappro</t>
        </is>
      </c>
    </row>
    <row r="710">
      <c r="A710" s="7" t="inlineStr">
        <is>
          <t>MV-00706</t>
        </is>
      </c>
      <c r="B710" s="75" t="n">
        <v>46034.41666666666</v>
      </c>
      <c r="C710" s="7" t="inlineStr">
        <is>
          <t>Entrée</t>
        </is>
      </c>
      <c r="D710" s="7" t="inlineStr">
        <is>
          <t>PD-0037</t>
        </is>
      </c>
      <c r="E710" s="9">
        <f>IF(D710="","",IFERROR(INDEX('Stock pièces'!$B$5:$B$404,MATCH(D710,'Stock pièces'!$A$5:$A$404,0)),"Réf. inconnue"))</f>
        <v/>
      </c>
      <c r="F710" s="67" t="n">
        <v>1</v>
      </c>
      <c r="G710" s="81">
        <f>IF(D710="","",IFERROR(INDEX('Stock pièces'!$I$5:$I$404,MATCH(D710,'Stock pièces'!$A$5:$A$404,0)),0))</f>
        <v/>
      </c>
      <c r="H710" s="81">
        <f>IF(D710="","",N(F710)*N(G710))</f>
        <v/>
      </c>
      <c r="I710" s="7" t="n"/>
      <c r="J710" s="9">
        <f>IF(I710="","",IFERROR(INDEX('Ordres de travail'!$D$5:$D$3004,MATCH(I710,'Ordres de travail'!$A$5:$A$3004,0)),""))</f>
        <v/>
      </c>
      <c r="K710" s="9">
        <f>IF(D710="","",IFERROR(INDEX('Stock pièces'!$D$5:$D$404,MATCH(D710,'Stock pièces'!$A$5:$A$404,0)),""))</f>
        <v/>
      </c>
      <c r="L710" s="7" t="inlineStr">
        <is>
          <t>CMD-24200</t>
        </is>
      </c>
      <c r="M710" s="7" t="inlineStr">
        <is>
          <t>Réception commande réappro</t>
        </is>
      </c>
    </row>
    <row r="711">
      <c r="A711" s="7" t="inlineStr">
        <is>
          <t>MV-00707</t>
        </is>
      </c>
      <c r="B711" s="75" t="n">
        <v>46035.41666666666</v>
      </c>
      <c r="C711" s="7" t="inlineStr">
        <is>
          <t>Entrée</t>
        </is>
      </c>
      <c r="D711" s="7" t="inlineStr">
        <is>
          <t>PD-0039</t>
        </is>
      </c>
      <c r="E711" s="9">
        <f>IF(D711="","",IFERROR(INDEX('Stock pièces'!$B$5:$B$404,MATCH(D711,'Stock pièces'!$A$5:$A$404,0)),"Réf. inconnue"))</f>
        <v/>
      </c>
      <c r="F711" s="67" t="n">
        <v>6</v>
      </c>
      <c r="G711" s="81">
        <f>IF(D711="","",IFERROR(INDEX('Stock pièces'!$I$5:$I$404,MATCH(D711,'Stock pièces'!$A$5:$A$404,0)),0))</f>
        <v/>
      </c>
      <c r="H711" s="81">
        <f>IF(D711="","",N(F711)*N(G711))</f>
        <v/>
      </c>
      <c r="I711" s="7" t="n"/>
      <c r="J711" s="9">
        <f>IF(I711="","",IFERROR(INDEX('Ordres de travail'!$D$5:$D$3004,MATCH(I711,'Ordres de travail'!$A$5:$A$3004,0)),""))</f>
        <v/>
      </c>
      <c r="K711" s="9">
        <f>IF(D711="","",IFERROR(INDEX('Stock pièces'!$D$5:$D$404,MATCH(D711,'Stock pièces'!$A$5:$A$404,0)),""))</f>
        <v/>
      </c>
      <c r="L711" s="7" t="inlineStr">
        <is>
          <t>CMD-24202</t>
        </is>
      </c>
      <c r="M711" s="7" t="inlineStr">
        <is>
          <t>Réception commande réappro</t>
        </is>
      </c>
    </row>
    <row r="712">
      <c r="A712" s="7" t="inlineStr">
        <is>
          <t>MV-00708</t>
        </is>
      </c>
      <c r="B712" s="75" t="n">
        <v>46035.68819444445</v>
      </c>
      <c r="C712" s="7" t="inlineStr">
        <is>
          <t>Sortie</t>
        </is>
      </c>
      <c r="D712" s="7" t="inlineStr">
        <is>
          <t>PD-0009</t>
        </is>
      </c>
      <c r="E712" s="9">
        <f>IF(D712="","",IFERROR(INDEX('Stock pièces'!$B$5:$B$404,MATCH(D712,'Stock pièces'!$A$5:$A$404,0)),"Réf. inconnue"))</f>
        <v/>
      </c>
      <c r="F712" s="67" t="n">
        <v>2</v>
      </c>
      <c r="G712" s="81">
        <f>IF(D712="","",IFERROR(INDEX('Stock pièces'!$I$5:$I$404,MATCH(D712,'Stock pièces'!$A$5:$A$404,0)),0))</f>
        <v/>
      </c>
      <c r="H712" s="81">
        <f>IF(D712="","",N(F712)*N(G712))</f>
        <v/>
      </c>
      <c r="I712" s="7" t="inlineStr">
        <is>
          <t>OT-2026-0029</t>
        </is>
      </c>
      <c r="J712" s="9">
        <f>IF(I712="","",IFERROR(INDEX('Ordres de travail'!$D$5:$D$3004,MATCH(I712,'Ordres de travail'!$A$5:$A$3004,0)),""))</f>
        <v/>
      </c>
      <c r="K712" s="9">
        <f>IF(D712="","",IFERROR(INDEX('Stock pièces'!$D$5:$D$404,MATCH(D712,'Stock pièces'!$A$5:$A$404,0)),""))</f>
        <v/>
      </c>
      <c r="L712" s="7" t="n"/>
      <c r="M712" s="7" t="n"/>
    </row>
    <row r="713">
      <c r="A713" s="7" t="inlineStr">
        <is>
          <t>MV-00709</t>
        </is>
      </c>
      <c r="B713" s="75" t="n">
        <v>46035.68819444445</v>
      </c>
      <c r="C713" s="7" t="inlineStr">
        <is>
          <t>Sortie</t>
        </is>
      </c>
      <c r="D713" s="7" t="inlineStr">
        <is>
          <t>PD-0010</t>
        </is>
      </c>
      <c r="E713" s="9">
        <f>IF(D713="","",IFERROR(INDEX('Stock pièces'!$B$5:$B$404,MATCH(D713,'Stock pièces'!$A$5:$A$404,0)),"Réf. inconnue"))</f>
        <v/>
      </c>
      <c r="F713" s="67" t="n">
        <v>1</v>
      </c>
      <c r="G713" s="81">
        <f>IF(D713="","",IFERROR(INDEX('Stock pièces'!$I$5:$I$404,MATCH(D713,'Stock pièces'!$A$5:$A$404,0)),0))</f>
        <v/>
      </c>
      <c r="H713" s="81">
        <f>IF(D713="","",N(F713)*N(G713))</f>
        <v/>
      </c>
      <c r="I713" s="7" t="inlineStr">
        <is>
          <t>OT-2026-0029</t>
        </is>
      </c>
      <c r="J713" s="9">
        <f>IF(I713="","",IFERROR(INDEX('Ordres de travail'!$D$5:$D$3004,MATCH(I713,'Ordres de travail'!$A$5:$A$3004,0)),""))</f>
        <v/>
      </c>
      <c r="K713" s="9">
        <f>IF(D713="","",IFERROR(INDEX('Stock pièces'!$D$5:$D$404,MATCH(D713,'Stock pièces'!$A$5:$A$404,0)),""))</f>
        <v/>
      </c>
      <c r="L713" s="7" t="n"/>
      <c r="M713" s="7" t="n"/>
    </row>
    <row r="714">
      <c r="A714" s="7" t="inlineStr">
        <is>
          <t>MV-00710</t>
        </is>
      </c>
      <c r="B714" s="75" t="n">
        <v>46038.41666666666</v>
      </c>
      <c r="C714" s="7" t="inlineStr">
        <is>
          <t>Entrée</t>
        </is>
      </c>
      <c r="D714" s="7" t="inlineStr">
        <is>
          <t>PD-0054</t>
        </is>
      </c>
      <c r="E714" s="9">
        <f>IF(D714="","",IFERROR(INDEX('Stock pièces'!$B$5:$B$404,MATCH(D714,'Stock pièces'!$A$5:$A$404,0)),"Réf. inconnue"))</f>
        <v/>
      </c>
      <c r="F714" s="67" t="n">
        <v>3</v>
      </c>
      <c r="G714" s="81">
        <f>IF(D714="","",IFERROR(INDEX('Stock pièces'!$I$5:$I$404,MATCH(D714,'Stock pièces'!$A$5:$A$404,0)),0))</f>
        <v/>
      </c>
      <c r="H714" s="81">
        <f>IF(D714="","",N(F714)*N(G714))</f>
        <v/>
      </c>
      <c r="I714" s="7" t="n"/>
      <c r="J714" s="9">
        <f>IF(I714="","",IFERROR(INDEX('Ordres de travail'!$D$5:$D$3004,MATCH(I714,'Ordres de travail'!$A$5:$A$3004,0)),""))</f>
        <v/>
      </c>
      <c r="K714" s="9">
        <f>IF(D714="","",IFERROR(INDEX('Stock pièces'!$D$5:$D$404,MATCH(D714,'Stock pièces'!$A$5:$A$404,0)),""))</f>
        <v/>
      </c>
      <c r="L714" s="7" t="inlineStr">
        <is>
          <t>CMD-24201</t>
        </is>
      </c>
      <c r="M714" s="7" t="inlineStr">
        <is>
          <t>Réception commande réappro</t>
        </is>
      </c>
    </row>
    <row r="715">
      <c r="A715" s="7" t="inlineStr">
        <is>
          <t>MV-00711</t>
        </is>
      </c>
      <c r="B715" s="75" t="n">
        <v>46041.38194444445</v>
      </c>
      <c r="C715" s="7" t="inlineStr">
        <is>
          <t>Sortie</t>
        </is>
      </c>
      <c r="D715" s="7" t="inlineStr">
        <is>
          <t>PD-0025</t>
        </is>
      </c>
      <c r="E715" s="9">
        <f>IF(D715="","",IFERROR(INDEX('Stock pièces'!$B$5:$B$404,MATCH(D715,'Stock pièces'!$A$5:$A$404,0)),"Réf. inconnue"))</f>
        <v/>
      </c>
      <c r="F715" s="67" t="n">
        <v>3</v>
      </c>
      <c r="G715" s="81">
        <f>IF(D715="","",IFERROR(INDEX('Stock pièces'!$I$5:$I$404,MATCH(D715,'Stock pièces'!$A$5:$A$404,0)),0))</f>
        <v/>
      </c>
      <c r="H715" s="81">
        <f>IF(D715="","",N(F715)*N(G715))</f>
        <v/>
      </c>
      <c r="I715" s="7" t="inlineStr">
        <is>
          <t>OT-2026-0026</t>
        </is>
      </c>
      <c r="J715" s="9">
        <f>IF(I715="","",IFERROR(INDEX('Ordres de travail'!$D$5:$D$3004,MATCH(I715,'Ordres de travail'!$A$5:$A$3004,0)),""))</f>
        <v/>
      </c>
      <c r="K715" s="9">
        <f>IF(D715="","",IFERROR(INDEX('Stock pièces'!$D$5:$D$404,MATCH(D715,'Stock pièces'!$A$5:$A$404,0)),""))</f>
        <v/>
      </c>
      <c r="L715" s="7" t="n"/>
      <c r="M715" s="7" t="n"/>
    </row>
    <row r="716">
      <c r="A716" s="7" t="inlineStr">
        <is>
          <t>MV-00712</t>
        </is>
      </c>
      <c r="B716" s="75" t="n">
        <v>46041.41666666666</v>
      </c>
      <c r="C716" s="7" t="inlineStr">
        <is>
          <t>Entrée</t>
        </is>
      </c>
      <c r="D716" s="7" t="inlineStr">
        <is>
          <t>PD-0065</t>
        </is>
      </c>
      <c r="E716" s="9">
        <f>IF(D716="","",IFERROR(INDEX('Stock pièces'!$B$5:$B$404,MATCH(D716,'Stock pièces'!$A$5:$A$404,0)),"Réf. inconnue"))</f>
        <v/>
      </c>
      <c r="F716" s="67" t="n">
        <v>1</v>
      </c>
      <c r="G716" s="81">
        <f>IF(D716="","",IFERROR(INDEX('Stock pièces'!$I$5:$I$404,MATCH(D716,'Stock pièces'!$A$5:$A$404,0)),0))</f>
        <v/>
      </c>
      <c r="H716" s="81">
        <f>IF(D716="","",N(F716)*N(G716))</f>
        <v/>
      </c>
      <c r="I716" s="7" t="n"/>
      <c r="J716" s="9">
        <f>IF(I716="","",IFERROR(INDEX('Ordres de travail'!$D$5:$D$3004,MATCH(I716,'Ordres de travail'!$A$5:$A$3004,0)),""))</f>
        <v/>
      </c>
      <c r="K716" s="9">
        <f>IF(D716="","",IFERROR(INDEX('Stock pièces'!$D$5:$D$404,MATCH(D716,'Stock pièces'!$A$5:$A$404,0)),""))</f>
        <v/>
      </c>
      <c r="L716" s="7" t="inlineStr">
        <is>
          <t>CMD-24198</t>
        </is>
      </c>
      <c r="M716" s="7" t="inlineStr">
        <is>
          <t>Réception commande réappro</t>
        </is>
      </c>
    </row>
    <row r="717">
      <c r="A717" s="7" t="inlineStr">
        <is>
          <t>MV-00713</t>
        </is>
      </c>
      <c r="B717" s="75" t="n">
        <v>46041.54861111111</v>
      </c>
      <c r="C717" s="7" t="inlineStr">
        <is>
          <t>Sortie</t>
        </is>
      </c>
      <c r="D717" s="7" t="inlineStr">
        <is>
          <t>PD-0015</t>
        </is>
      </c>
      <c r="E717" s="9">
        <f>IF(D717="","",IFERROR(INDEX('Stock pièces'!$B$5:$B$404,MATCH(D717,'Stock pièces'!$A$5:$A$404,0)),"Réf. inconnue"))</f>
        <v/>
      </c>
      <c r="F717" s="67" t="n">
        <v>1</v>
      </c>
      <c r="G717" s="81">
        <f>IF(D717="","",IFERROR(INDEX('Stock pièces'!$I$5:$I$404,MATCH(D717,'Stock pièces'!$A$5:$A$404,0)),0))</f>
        <v/>
      </c>
      <c r="H717" s="81">
        <f>IF(D717="","",N(F717)*N(G717))</f>
        <v/>
      </c>
      <c r="I717" s="7" t="inlineStr">
        <is>
          <t>OT-2026-0024</t>
        </is>
      </c>
      <c r="J717" s="9">
        <f>IF(I717="","",IFERROR(INDEX('Ordres de travail'!$D$5:$D$3004,MATCH(I717,'Ordres de travail'!$A$5:$A$3004,0)),""))</f>
        <v/>
      </c>
      <c r="K717" s="9">
        <f>IF(D717="","",IFERROR(INDEX('Stock pièces'!$D$5:$D$404,MATCH(D717,'Stock pièces'!$A$5:$A$404,0)),""))</f>
        <v/>
      </c>
      <c r="L717" s="7" t="n"/>
      <c r="M717" s="7" t="n"/>
    </row>
    <row r="718">
      <c r="A718" s="7" t="inlineStr">
        <is>
          <t>MV-00714</t>
        </is>
      </c>
      <c r="B718" s="75" t="n">
        <v>46041.54861111111</v>
      </c>
      <c r="C718" s="7" t="inlineStr">
        <is>
          <t>Sortie</t>
        </is>
      </c>
      <c r="D718" s="7" t="inlineStr">
        <is>
          <t>PD-0022</t>
        </is>
      </c>
      <c r="E718" s="9">
        <f>IF(D718="","",IFERROR(INDEX('Stock pièces'!$B$5:$B$404,MATCH(D718,'Stock pièces'!$A$5:$A$404,0)),"Réf. inconnue"))</f>
        <v/>
      </c>
      <c r="F718" s="67" t="n">
        <v>1</v>
      </c>
      <c r="G718" s="81">
        <f>IF(D718="","",IFERROR(INDEX('Stock pièces'!$I$5:$I$404,MATCH(D718,'Stock pièces'!$A$5:$A$404,0)),0))</f>
        <v/>
      </c>
      <c r="H718" s="81">
        <f>IF(D718="","",N(F718)*N(G718))</f>
        <v/>
      </c>
      <c r="I718" s="7" t="inlineStr">
        <is>
          <t>OT-2026-0024</t>
        </is>
      </c>
      <c r="J718" s="9">
        <f>IF(I718="","",IFERROR(INDEX('Ordres de travail'!$D$5:$D$3004,MATCH(I718,'Ordres de travail'!$A$5:$A$3004,0)),""))</f>
        <v/>
      </c>
      <c r="K718" s="9">
        <f>IF(D718="","",IFERROR(INDEX('Stock pièces'!$D$5:$D$404,MATCH(D718,'Stock pièces'!$A$5:$A$404,0)),""))</f>
        <v/>
      </c>
      <c r="L718" s="7" t="n"/>
      <c r="M718" s="7" t="n"/>
    </row>
    <row r="719">
      <c r="A719" s="7" t="inlineStr">
        <is>
          <t>MV-00715</t>
        </is>
      </c>
      <c r="B719" s="75" t="n">
        <v>46041.70138888889</v>
      </c>
      <c r="C719" s="7" t="inlineStr">
        <is>
          <t>Sortie</t>
        </is>
      </c>
      <c r="D719" s="7" t="inlineStr">
        <is>
          <t>PD-0058</t>
        </is>
      </c>
      <c r="E719" s="9">
        <f>IF(D719="","",IFERROR(INDEX('Stock pièces'!$B$5:$B$404,MATCH(D719,'Stock pièces'!$A$5:$A$404,0)),"Réf. inconnue"))</f>
        <v/>
      </c>
      <c r="F719" s="67" t="n">
        <v>2</v>
      </c>
      <c r="G719" s="81">
        <f>IF(D719="","",IFERROR(INDEX('Stock pièces'!$I$5:$I$404,MATCH(D719,'Stock pièces'!$A$5:$A$404,0)),0))</f>
        <v/>
      </c>
      <c r="H719" s="81">
        <f>IF(D719="","",N(F719)*N(G719))</f>
        <v/>
      </c>
      <c r="I719" s="7" t="inlineStr">
        <is>
          <t>OT-2026-0038</t>
        </is>
      </c>
      <c r="J719" s="9">
        <f>IF(I719="","",IFERROR(INDEX('Ordres de travail'!$D$5:$D$3004,MATCH(I719,'Ordres de travail'!$A$5:$A$3004,0)),""))</f>
        <v/>
      </c>
      <c r="K719" s="9">
        <f>IF(D719="","",IFERROR(INDEX('Stock pièces'!$D$5:$D$404,MATCH(D719,'Stock pièces'!$A$5:$A$404,0)),""))</f>
        <v/>
      </c>
      <c r="L719" s="7" t="n"/>
      <c r="M719" s="7" t="n"/>
    </row>
    <row r="720">
      <c r="A720" s="7" t="inlineStr">
        <is>
          <t>MV-00716</t>
        </is>
      </c>
      <c r="B720" s="75" t="n">
        <v>46041.70138888889</v>
      </c>
      <c r="C720" s="7" t="inlineStr">
        <is>
          <t>Sortie</t>
        </is>
      </c>
      <c r="D720" s="7" t="inlineStr">
        <is>
          <t>PD-0061</t>
        </is>
      </c>
      <c r="E720" s="9">
        <f>IF(D720="","",IFERROR(INDEX('Stock pièces'!$B$5:$B$404,MATCH(D720,'Stock pièces'!$A$5:$A$404,0)),"Réf. inconnue"))</f>
        <v/>
      </c>
      <c r="F720" s="67" t="n">
        <v>2</v>
      </c>
      <c r="G720" s="81">
        <f>IF(D720="","",IFERROR(INDEX('Stock pièces'!$I$5:$I$404,MATCH(D720,'Stock pièces'!$A$5:$A$404,0)),0))</f>
        <v/>
      </c>
      <c r="H720" s="81">
        <f>IF(D720="","",N(F720)*N(G720))</f>
        <v/>
      </c>
      <c r="I720" s="7" t="inlineStr">
        <is>
          <t>OT-2026-0038</t>
        </is>
      </c>
      <c r="J720" s="9">
        <f>IF(I720="","",IFERROR(INDEX('Ordres de travail'!$D$5:$D$3004,MATCH(I720,'Ordres de travail'!$A$5:$A$3004,0)),""))</f>
        <v/>
      </c>
      <c r="K720" s="9">
        <f>IF(D720="","",IFERROR(INDEX('Stock pièces'!$D$5:$D$404,MATCH(D720,'Stock pièces'!$A$5:$A$404,0)),""))</f>
        <v/>
      </c>
      <c r="L720" s="7" t="n"/>
      <c r="M720" s="7" t="n"/>
    </row>
    <row r="721">
      <c r="A721" s="7" t="inlineStr">
        <is>
          <t>MV-00717</t>
        </is>
      </c>
      <c r="B721" s="75" t="n">
        <v>46042.41666666666</v>
      </c>
      <c r="C721" s="7" t="inlineStr">
        <is>
          <t>Entrée</t>
        </is>
      </c>
      <c r="D721" s="7" t="inlineStr">
        <is>
          <t>PD-0059</t>
        </is>
      </c>
      <c r="E721" s="9">
        <f>IF(D721="","",IFERROR(INDEX('Stock pièces'!$B$5:$B$404,MATCH(D721,'Stock pièces'!$A$5:$A$404,0)),"Réf. inconnue"))</f>
        <v/>
      </c>
      <c r="F721" s="67" t="n">
        <v>4</v>
      </c>
      <c r="G721" s="81">
        <f>IF(D721="","",IFERROR(INDEX('Stock pièces'!$I$5:$I$404,MATCH(D721,'Stock pièces'!$A$5:$A$404,0)),0))</f>
        <v/>
      </c>
      <c r="H721" s="81">
        <f>IF(D721="","",N(F721)*N(G721))</f>
        <v/>
      </c>
      <c r="I721" s="7" t="n"/>
      <c r="J721" s="9">
        <f>IF(I721="","",IFERROR(INDEX('Ordres de travail'!$D$5:$D$3004,MATCH(I721,'Ordres de travail'!$A$5:$A$3004,0)),""))</f>
        <v/>
      </c>
      <c r="K721" s="9">
        <f>IF(D721="","",IFERROR(INDEX('Stock pièces'!$D$5:$D$404,MATCH(D721,'Stock pièces'!$A$5:$A$404,0)),""))</f>
        <v/>
      </c>
      <c r="L721" s="7" t="inlineStr">
        <is>
          <t>CMD-24205</t>
        </is>
      </c>
      <c r="M721" s="7" t="inlineStr">
        <is>
          <t>Réception commande réappro</t>
        </is>
      </c>
    </row>
    <row r="722">
      <c r="A722" s="7" t="inlineStr">
        <is>
          <t>MV-00718</t>
        </is>
      </c>
      <c r="B722" s="75" t="n">
        <v>46043.41666666666</v>
      </c>
      <c r="C722" s="7" t="inlineStr">
        <is>
          <t>Entrée</t>
        </is>
      </c>
      <c r="D722" s="7" t="inlineStr">
        <is>
          <t>PD-0033</t>
        </is>
      </c>
      <c r="E722" s="9">
        <f>IF(D722="","",IFERROR(INDEX('Stock pièces'!$B$5:$B$404,MATCH(D722,'Stock pièces'!$A$5:$A$404,0)),"Réf. inconnue"))</f>
        <v/>
      </c>
      <c r="F722" s="67" t="n">
        <v>1</v>
      </c>
      <c r="G722" s="81">
        <f>IF(D722="","",IFERROR(INDEX('Stock pièces'!$I$5:$I$404,MATCH(D722,'Stock pièces'!$A$5:$A$404,0)),0))</f>
        <v/>
      </c>
      <c r="H722" s="81">
        <f>IF(D722="","",N(F722)*N(G722))</f>
        <v/>
      </c>
      <c r="I722" s="7" t="n"/>
      <c r="J722" s="9">
        <f>IF(I722="","",IFERROR(INDEX('Ordres de travail'!$D$5:$D$3004,MATCH(I722,'Ordres de travail'!$A$5:$A$3004,0)),""))</f>
        <v/>
      </c>
      <c r="K722" s="9">
        <f>IF(D722="","",IFERROR(INDEX('Stock pièces'!$D$5:$D$404,MATCH(D722,'Stock pièces'!$A$5:$A$404,0)),""))</f>
        <v/>
      </c>
      <c r="L722" s="7" t="inlineStr">
        <is>
          <t>CMD-24204</t>
        </is>
      </c>
      <c r="M722" s="7" t="inlineStr">
        <is>
          <t>Réception commande réappro</t>
        </is>
      </c>
    </row>
    <row r="723">
      <c r="A723" s="7" t="inlineStr">
        <is>
          <t>MV-00719</t>
        </is>
      </c>
      <c r="B723" s="75" t="n">
        <v>46043.47638888889</v>
      </c>
      <c r="C723" s="7" t="inlineStr">
        <is>
          <t>Sortie</t>
        </is>
      </c>
      <c r="D723" s="7" t="inlineStr">
        <is>
          <t>PD-0008</t>
        </is>
      </c>
      <c r="E723" s="9">
        <f>IF(D723="","",IFERROR(INDEX('Stock pièces'!$B$5:$B$404,MATCH(D723,'Stock pièces'!$A$5:$A$404,0)),"Réf. inconnue"))</f>
        <v/>
      </c>
      <c r="F723" s="67" t="n">
        <v>2</v>
      </c>
      <c r="G723" s="81">
        <f>IF(D723="","",IFERROR(INDEX('Stock pièces'!$I$5:$I$404,MATCH(D723,'Stock pièces'!$A$5:$A$404,0)),0))</f>
        <v/>
      </c>
      <c r="H723" s="81">
        <f>IF(D723="","",N(F723)*N(G723))</f>
        <v/>
      </c>
      <c r="I723" s="7" t="inlineStr">
        <is>
          <t>OT-2026-0042</t>
        </is>
      </c>
      <c r="J723" s="9">
        <f>IF(I723="","",IFERROR(INDEX('Ordres de travail'!$D$5:$D$3004,MATCH(I723,'Ordres de travail'!$A$5:$A$3004,0)),""))</f>
        <v/>
      </c>
      <c r="K723" s="9">
        <f>IF(D723="","",IFERROR(INDEX('Stock pièces'!$D$5:$D$404,MATCH(D723,'Stock pièces'!$A$5:$A$404,0)),""))</f>
        <v/>
      </c>
      <c r="L723" s="7" t="n"/>
      <c r="M723" s="7" t="n"/>
    </row>
    <row r="724">
      <c r="A724" s="7" t="inlineStr">
        <is>
          <t>MV-00720</t>
        </is>
      </c>
      <c r="B724" s="75" t="n">
        <v>46043.49305555555</v>
      </c>
      <c r="C724" s="7" t="inlineStr">
        <is>
          <t>Sortie</t>
        </is>
      </c>
      <c r="D724" s="7" t="inlineStr">
        <is>
          <t>PD-0015</t>
        </is>
      </c>
      <c r="E724" s="9">
        <f>IF(D724="","",IFERROR(INDEX('Stock pièces'!$B$5:$B$404,MATCH(D724,'Stock pièces'!$A$5:$A$404,0)),"Réf. inconnue"))</f>
        <v/>
      </c>
      <c r="F724" s="67" t="n">
        <v>1</v>
      </c>
      <c r="G724" s="81">
        <f>IF(D724="","",IFERROR(INDEX('Stock pièces'!$I$5:$I$404,MATCH(D724,'Stock pièces'!$A$5:$A$404,0)),0))</f>
        <v/>
      </c>
      <c r="H724" s="81">
        <f>IF(D724="","",N(F724)*N(G724))</f>
        <v/>
      </c>
      <c r="I724" s="7" t="inlineStr">
        <is>
          <t>OT-2026-0031</t>
        </is>
      </c>
      <c r="J724" s="9">
        <f>IF(I724="","",IFERROR(INDEX('Ordres de travail'!$D$5:$D$3004,MATCH(I724,'Ordres de travail'!$A$5:$A$3004,0)),""))</f>
        <v/>
      </c>
      <c r="K724" s="9">
        <f>IF(D724="","",IFERROR(INDEX('Stock pièces'!$D$5:$D$404,MATCH(D724,'Stock pièces'!$A$5:$A$404,0)),""))</f>
        <v/>
      </c>
      <c r="L724" s="7" t="n"/>
      <c r="M724" s="7" t="n"/>
    </row>
    <row r="725">
      <c r="A725" s="7" t="inlineStr">
        <is>
          <t>MV-00721</t>
        </is>
      </c>
      <c r="B725" s="75" t="n">
        <v>46043.49305555555</v>
      </c>
      <c r="C725" s="7" t="inlineStr">
        <is>
          <t>Sortie</t>
        </is>
      </c>
      <c r="D725" s="7" t="inlineStr">
        <is>
          <t>PD-0016</t>
        </is>
      </c>
      <c r="E725" s="9">
        <f>IF(D725="","",IFERROR(INDEX('Stock pièces'!$B$5:$B$404,MATCH(D725,'Stock pièces'!$A$5:$A$404,0)),"Réf. inconnue"))</f>
        <v/>
      </c>
      <c r="F725" s="67" t="n">
        <v>1</v>
      </c>
      <c r="G725" s="81">
        <f>IF(D725="","",IFERROR(INDEX('Stock pièces'!$I$5:$I$404,MATCH(D725,'Stock pièces'!$A$5:$A$404,0)),0))</f>
        <v/>
      </c>
      <c r="H725" s="81">
        <f>IF(D725="","",N(F725)*N(G725))</f>
        <v/>
      </c>
      <c r="I725" s="7" t="inlineStr">
        <is>
          <t>OT-2026-0031</t>
        </is>
      </c>
      <c r="J725" s="9">
        <f>IF(I725="","",IFERROR(INDEX('Ordres de travail'!$D$5:$D$3004,MATCH(I725,'Ordres de travail'!$A$5:$A$3004,0)),""))</f>
        <v/>
      </c>
      <c r="K725" s="9">
        <f>IF(D725="","",IFERROR(INDEX('Stock pièces'!$D$5:$D$404,MATCH(D725,'Stock pièces'!$A$5:$A$404,0)),""))</f>
        <v/>
      </c>
      <c r="L725" s="7" t="n"/>
      <c r="M725" s="7" t="n"/>
    </row>
    <row r="726">
      <c r="A726" s="7" t="inlineStr">
        <is>
          <t>MV-00722</t>
        </is>
      </c>
      <c r="B726" s="75" t="n">
        <v>46043.49305555555</v>
      </c>
      <c r="C726" s="7" t="inlineStr">
        <is>
          <t>Sortie</t>
        </is>
      </c>
      <c r="D726" s="7" t="inlineStr">
        <is>
          <t>PD-0022</t>
        </is>
      </c>
      <c r="E726" s="9">
        <f>IF(D726="","",IFERROR(INDEX('Stock pièces'!$B$5:$B$404,MATCH(D726,'Stock pièces'!$A$5:$A$404,0)),"Réf. inconnue"))</f>
        <v/>
      </c>
      <c r="F726" s="67" t="n">
        <v>1</v>
      </c>
      <c r="G726" s="81">
        <f>IF(D726="","",IFERROR(INDEX('Stock pièces'!$I$5:$I$404,MATCH(D726,'Stock pièces'!$A$5:$A$404,0)),0))</f>
        <v/>
      </c>
      <c r="H726" s="81">
        <f>IF(D726="","",N(F726)*N(G726))</f>
        <v/>
      </c>
      <c r="I726" s="7" t="inlineStr">
        <is>
          <t>OT-2026-0031</t>
        </is>
      </c>
      <c r="J726" s="9">
        <f>IF(I726="","",IFERROR(INDEX('Ordres de travail'!$D$5:$D$3004,MATCH(I726,'Ordres de travail'!$A$5:$A$3004,0)),""))</f>
        <v/>
      </c>
      <c r="K726" s="9">
        <f>IF(D726="","",IFERROR(INDEX('Stock pièces'!$D$5:$D$404,MATCH(D726,'Stock pièces'!$A$5:$A$404,0)),""))</f>
        <v/>
      </c>
      <c r="L726" s="7" t="n"/>
      <c r="M726" s="7" t="n"/>
    </row>
    <row r="727">
      <c r="A727" s="7" t="inlineStr">
        <is>
          <t>MV-00723</t>
        </is>
      </c>
      <c r="B727" s="75" t="n">
        <v>46044.41666666666</v>
      </c>
      <c r="C727" s="7" t="inlineStr">
        <is>
          <t>Entrée</t>
        </is>
      </c>
      <c r="D727" s="7" t="inlineStr">
        <is>
          <t>PD-0041</t>
        </is>
      </c>
      <c r="E727" s="9">
        <f>IF(D727="","",IFERROR(INDEX('Stock pièces'!$B$5:$B$404,MATCH(D727,'Stock pièces'!$A$5:$A$404,0)),"Réf. inconnue"))</f>
        <v/>
      </c>
      <c r="F727" s="67" t="n">
        <v>1</v>
      </c>
      <c r="G727" s="81">
        <f>IF(D727="","",IFERROR(INDEX('Stock pièces'!$I$5:$I$404,MATCH(D727,'Stock pièces'!$A$5:$A$404,0)),0))</f>
        <v/>
      </c>
      <c r="H727" s="81">
        <f>IF(D727="","",N(F727)*N(G727))</f>
        <v/>
      </c>
      <c r="I727" s="7" t="n"/>
      <c r="J727" s="9">
        <f>IF(I727="","",IFERROR(INDEX('Ordres de travail'!$D$5:$D$3004,MATCH(I727,'Ordres de travail'!$A$5:$A$3004,0)),""))</f>
        <v/>
      </c>
      <c r="K727" s="9">
        <f>IF(D727="","",IFERROR(INDEX('Stock pièces'!$D$5:$D$404,MATCH(D727,'Stock pièces'!$A$5:$A$404,0)),""))</f>
        <v/>
      </c>
      <c r="L727" s="7" t="inlineStr">
        <is>
          <t>CMD-24203</t>
        </is>
      </c>
      <c r="M727" s="7" t="inlineStr">
        <is>
          <t>Réception commande réappro</t>
        </is>
      </c>
    </row>
    <row r="728">
      <c r="A728" s="7" t="inlineStr">
        <is>
          <t>MV-00724</t>
        </is>
      </c>
      <c r="B728" s="75" t="n">
        <v>46048.30902777778</v>
      </c>
      <c r="C728" s="7" t="inlineStr">
        <is>
          <t>Sortie</t>
        </is>
      </c>
      <c r="D728" s="7" t="inlineStr">
        <is>
          <t>PD-0062</t>
        </is>
      </c>
      <c r="E728" s="9">
        <f>IF(D728="","",IFERROR(INDEX('Stock pièces'!$B$5:$B$404,MATCH(D728,'Stock pièces'!$A$5:$A$404,0)),"Réf. inconnue"))</f>
        <v/>
      </c>
      <c r="F728" s="67" t="n">
        <v>1</v>
      </c>
      <c r="G728" s="81">
        <f>IF(D728="","",IFERROR(INDEX('Stock pièces'!$I$5:$I$404,MATCH(D728,'Stock pièces'!$A$5:$A$404,0)),0))</f>
        <v/>
      </c>
      <c r="H728" s="81">
        <f>IF(D728="","",N(F728)*N(G728))</f>
        <v/>
      </c>
      <c r="I728" s="7" t="inlineStr">
        <is>
          <t>OT-2026-0036</t>
        </is>
      </c>
      <c r="J728" s="9">
        <f>IF(I728="","",IFERROR(INDEX('Ordres de travail'!$D$5:$D$3004,MATCH(I728,'Ordres de travail'!$A$5:$A$3004,0)),""))</f>
        <v/>
      </c>
      <c r="K728" s="9">
        <f>IF(D728="","",IFERROR(INDEX('Stock pièces'!$D$5:$D$404,MATCH(D728,'Stock pièces'!$A$5:$A$404,0)),""))</f>
        <v/>
      </c>
      <c r="L728" s="7" t="n"/>
      <c r="M728" s="7" t="n"/>
    </row>
    <row r="729">
      <c r="A729" s="7" t="inlineStr">
        <is>
          <t>MV-00725</t>
        </is>
      </c>
      <c r="B729" s="75" t="n">
        <v>46048.41666666666</v>
      </c>
      <c r="C729" s="7" t="inlineStr">
        <is>
          <t>Entrée</t>
        </is>
      </c>
      <c r="D729" s="7" t="inlineStr">
        <is>
          <t>PD-0015</t>
        </is>
      </c>
      <c r="E729" s="9">
        <f>IF(D729="","",IFERROR(INDEX('Stock pièces'!$B$5:$B$404,MATCH(D729,'Stock pièces'!$A$5:$A$404,0)),"Réf. inconnue"))</f>
        <v/>
      </c>
      <c r="F729" s="67" t="n">
        <v>6</v>
      </c>
      <c r="G729" s="81">
        <f>IF(D729="","",IFERROR(INDEX('Stock pièces'!$I$5:$I$404,MATCH(D729,'Stock pièces'!$A$5:$A$404,0)),0))</f>
        <v/>
      </c>
      <c r="H729" s="81">
        <f>IF(D729="","",N(F729)*N(G729))</f>
        <v/>
      </c>
      <c r="I729" s="7" t="n"/>
      <c r="J729" s="9">
        <f>IF(I729="","",IFERROR(INDEX('Ordres de travail'!$D$5:$D$3004,MATCH(I729,'Ordres de travail'!$A$5:$A$3004,0)),""))</f>
        <v/>
      </c>
      <c r="K729" s="9">
        <f>IF(D729="","",IFERROR(INDEX('Stock pièces'!$D$5:$D$404,MATCH(D729,'Stock pièces'!$A$5:$A$404,0)),""))</f>
        <v/>
      </c>
      <c r="L729" s="7" t="inlineStr">
        <is>
          <t>CMD-24209</t>
        </is>
      </c>
      <c r="M729" s="7" t="inlineStr">
        <is>
          <t>Réception commande réappro</t>
        </is>
      </c>
    </row>
    <row r="730">
      <c r="A730" s="7" t="inlineStr">
        <is>
          <t>MV-00726</t>
        </is>
      </c>
      <c r="B730" s="75" t="n">
        <v>46048.4375</v>
      </c>
      <c r="C730" s="7" t="inlineStr">
        <is>
          <t>Sortie</t>
        </is>
      </c>
      <c r="D730" s="7" t="inlineStr">
        <is>
          <t>PD-0019</t>
        </is>
      </c>
      <c r="E730" s="9">
        <f>IF(D730="","",IFERROR(INDEX('Stock pièces'!$B$5:$B$404,MATCH(D730,'Stock pièces'!$A$5:$A$404,0)),"Réf. inconnue"))</f>
        <v/>
      </c>
      <c r="F730" s="67" t="n">
        <v>4</v>
      </c>
      <c r="G730" s="81">
        <f>IF(D730="","",IFERROR(INDEX('Stock pièces'!$I$5:$I$404,MATCH(D730,'Stock pièces'!$A$5:$A$404,0)),0))</f>
        <v/>
      </c>
      <c r="H730" s="81">
        <f>IF(D730="","",N(F730)*N(G730))</f>
        <v/>
      </c>
      <c r="I730" s="7" t="inlineStr">
        <is>
          <t>OT-2026-0037</t>
        </is>
      </c>
      <c r="J730" s="9">
        <f>IF(I730="","",IFERROR(INDEX('Ordres de travail'!$D$5:$D$3004,MATCH(I730,'Ordres de travail'!$A$5:$A$3004,0)),""))</f>
        <v/>
      </c>
      <c r="K730" s="9">
        <f>IF(D730="","",IFERROR(INDEX('Stock pièces'!$D$5:$D$404,MATCH(D730,'Stock pièces'!$A$5:$A$404,0)),""))</f>
        <v/>
      </c>
      <c r="L730" s="7" t="n"/>
      <c r="M730" s="7" t="n"/>
    </row>
    <row r="731">
      <c r="A731" s="7" t="inlineStr">
        <is>
          <t>MV-00727</t>
        </is>
      </c>
      <c r="B731" s="75" t="n">
        <v>46048.44444444445</v>
      </c>
      <c r="C731" s="7" t="inlineStr">
        <is>
          <t>Sortie</t>
        </is>
      </c>
      <c r="D731" s="7" t="inlineStr">
        <is>
          <t>PD-0054</t>
        </is>
      </c>
      <c r="E731" s="9">
        <f>IF(D731="","",IFERROR(INDEX('Stock pièces'!$B$5:$B$404,MATCH(D731,'Stock pièces'!$A$5:$A$404,0)),"Réf. inconnue"))</f>
        <v/>
      </c>
      <c r="F731" s="67" t="n">
        <v>3</v>
      </c>
      <c r="G731" s="81">
        <f>IF(D731="","",IFERROR(INDEX('Stock pièces'!$I$5:$I$404,MATCH(D731,'Stock pièces'!$A$5:$A$404,0)),0))</f>
        <v/>
      </c>
      <c r="H731" s="81">
        <f>IF(D731="","",N(F731)*N(G731))</f>
        <v/>
      </c>
      <c r="I731" s="7" t="inlineStr">
        <is>
          <t>OT-2026-0047</t>
        </is>
      </c>
      <c r="J731" s="9">
        <f>IF(I731="","",IFERROR(INDEX('Ordres de travail'!$D$5:$D$3004,MATCH(I731,'Ordres de travail'!$A$5:$A$3004,0)),""))</f>
        <v/>
      </c>
      <c r="K731" s="9">
        <f>IF(D731="","",IFERROR(INDEX('Stock pièces'!$D$5:$D$404,MATCH(D731,'Stock pièces'!$A$5:$A$404,0)),""))</f>
        <v/>
      </c>
      <c r="L731" s="7" t="n"/>
      <c r="M731" s="7" t="n"/>
    </row>
    <row r="732">
      <c r="A732" s="7" t="inlineStr">
        <is>
          <t>MV-00728</t>
        </is>
      </c>
      <c r="B732" s="75" t="n">
        <v>46048.44444444445</v>
      </c>
      <c r="C732" s="7" t="inlineStr">
        <is>
          <t>Sortie</t>
        </is>
      </c>
      <c r="D732" s="7" t="inlineStr">
        <is>
          <t>PD-0055</t>
        </is>
      </c>
      <c r="E732" s="9">
        <f>IF(D732="","",IFERROR(INDEX('Stock pièces'!$B$5:$B$404,MATCH(D732,'Stock pièces'!$A$5:$A$404,0)),"Réf. inconnue"))</f>
        <v/>
      </c>
      <c r="F732" s="67" t="n">
        <v>2</v>
      </c>
      <c r="G732" s="81">
        <f>IF(D732="","",IFERROR(INDEX('Stock pièces'!$I$5:$I$404,MATCH(D732,'Stock pièces'!$A$5:$A$404,0)),0))</f>
        <v/>
      </c>
      <c r="H732" s="81">
        <f>IF(D732="","",N(F732)*N(G732))</f>
        <v/>
      </c>
      <c r="I732" s="7" t="inlineStr">
        <is>
          <t>OT-2026-0047</t>
        </is>
      </c>
      <c r="J732" s="9">
        <f>IF(I732="","",IFERROR(INDEX('Ordres de travail'!$D$5:$D$3004,MATCH(I732,'Ordres de travail'!$A$5:$A$3004,0)),""))</f>
        <v/>
      </c>
      <c r="K732" s="9">
        <f>IF(D732="","",IFERROR(INDEX('Stock pièces'!$D$5:$D$404,MATCH(D732,'Stock pièces'!$A$5:$A$404,0)),""))</f>
        <v/>
      </c>
      <c r="L732" s="7" t="n"/>
      <c r="M732" s="7" t="n"/>
    </row>
    <row r="733">
      <c r="A733" s="7" t="inlineStr">
        <is>
          <t>MV-00729</t>
        </is>
      </c>
      <c r="B733" s="75" t="n">
        <v>46048.71388888889</v>
      </c>
      <c r="C733" s="7" t="inlineStr">
        <is>
          <t>Sortie</t>
        </is>
      </c>
      <c r="D733" s="7" t="inlineStr">
        <is>
          <t>PD-0042</t>
        </is>
      </c>
      <c r="E733" s="9">
        <f>IF(D733="","",IFERROR(INDEX('Stock pièces'!$B$5:$B$404,MATCH(D733,'Stock pièces'!$A$5:$A$404,0)),"Réf. inconnue"))</f>
        <v/>
      </c>
      <c r="F733" s="67" t="n">
        <v>1</v>
      </c>
      <c r="G733" s="81">
        <f>IF(D733="","",IFERROR(INDEX('Stock pièces'!$I$5:$I$404,MATCH(D733,'Stock pièces'!$A$5:$A$404,0)),0))</f>
        <v/>
      </c>
      <c r="H733" s="81">
        <f>IF(D733="","",N(F733)*N(G733))</f>
        <v/>
      </c>
      <c r="I733" s="7" t="inlineStr">
        <is>
          <t>OT-2026-0052</t>
        </is>
      </c>
      <c r="J733" s="9">
        <f>IF(I733="","",IFERROR(INDEX('Ordres de travail'!$D$5:$D$3004,MATCH(I733,'Ordres de travail'!$A$5:$A$3004,0)),""))</f>
        <v/>
      </c>
      <c r="K733" s="9">
        <f>IF(D733="","",IFERROR(INDEX('Stock pièces'!$D$5:$D$404,MATCH(D733,'Stock pièces'!$A$5:$A$404,0)),""))</f>
        <v/>
      </c>
      <c r="L733" s="7" t="n"/>
      <c r="M733" s="7" t="n"/>
    </row>
    <row r="734">
      <c r="A734" s="7" t="inlineStr">
        <is>
          <t>MV-00730</t>
        </is>
      </c>
      <c r="B734" s="75" t="n">
        <v>46049.41666666666</v>
      </c>
      <c r="C734" s="7" t="inlineStr">
        <is>
          <t>Entrée</t>
        </is>
      </c>
      <c r="D734" s="7" t="inlineStr">
        <is>
          <t>PD-0022</t>
        </is>
      </c>
      <c r="E734" s="9">
        <f>IF(D734="","",IFERROR(INDEX('Stock pièces'!$B$5:$B$404,MATCH(D734,'Stock pièces'!$A$5:$A$404,0)),"Réf. inconnue"))</f>
        <v/>
      </c>
      <c r="F734" s="67" t="n">
        <v>2</v>
      </c>
      <c r="G734" s="81">
        <f>IF(D734="","",IFERROR(INDEX('Stock pièces'!$I$5:$I$404,MATCH(D734,'Stock pièces'!$A$5:$A$404,0)),0))</f>
        <v/>
      </c>
      <c r="H734" s="81">
        <f>IF(D734="","",N(F734)*N(G734))</f>
        <v/>
      </c>
      <c r="I734" s="7" t="n"/>
      <c r="J734" s="9">
        <f>IF(I734="","",IFERROR(INDEX('Ordres de travail'!$D$5:$D$3004,MATCH(I734,'Ordres de travail'!$A$5:$A$3004,0)),""))</f>
        <v/>
      </c>
      <c r="K734" s="9">
        <f>IF(D734="","",IFERROR(INDEX('Stock pièces'!$D$5:$D$404,MATCH(D734,'Stock pièces'!$A$5:$A$404,0)),""))</f>
        <v/>
      </c>
      <c r="L734" s="7" t="inlineStr">
        <is>
          <t>CMD-24207</t>
        </is>
      </c>
      <c r="M734" s="7" t="inlineStr">
        <is>
          <t>Réception commande réappro</t>
        </is>
      </c>
    </row>
    <row r="735">
      <c r="A735" s="7" t="inlineStr">
        <is>
          <t>MV-00731</t>
        </is>
      </c>
      <c r="B735" s="75" t="n">
        <v>46049.67430555556</v>
      </c>
      <c r="C735" s="7" t="inlineStr">
        <is>
          <t>Sortie</t>
        </is>
      </c>
      <c r="D735" s="7" t="inlineStr">
        <is>
          <t>PD-0072</t>
        </is>
      </c>
      <c r="E735" s="9">
        <f>IF(D735="","",IFERROR(INDEX('Stock pièces'!$B$5:$B$404,MATCH(D735,'Stock pièces'!$A$5:$A$404,0)),"Réf. inconnue"))</f>
        <v/>
      </c>
      <c r="F735" s="67" t="n">
        <v>2</v>
      </c>
      <c r="G735" s="81">
        <f>IF(D735="","",IFERROR(INDEX('Stock pièces'!$I$5:$I$404,MATCH(D735,'Stock pièces'!$A$5:$A$404,0)),0))</f>
        <v/>
      </c>
      <c r="H735" s="81">
        <f>IF(D735="","",N(F735)*N(G735))</f>
        <v/>
      </c>
      <c r="I735" s="7" t="inlineStr">
        <is>
          <t>OT-2026-0057</t>
        </is>
      </c>
      <c r="J735" s="9">
        <f>IF(I735="","",IFERROR(INDEX('Ordres de travail'!$D$5:$D$3004,MATCH(I735,'Ordres de travail'!$A$5:$A$3004,0)),""))</f>
        <v/>
      </c>
      <c r="K735" s="9">
        <f>IF(D735="","",IFERROR(INDEX('Stock pièces'!$D$5:$D$404,MATCH(D735,'Stock pièces'!$A$5:$A$404,0)),""))</f>
        <v/>
      </c>
      <c r="L735" s="7" t="n"/>
      <c r="M735" s="7" t="n"/>
    </row>
    <row r="736">
      <c r="A736" s="7" t="inlineStr">
        <is>
          <t>MV-00732</t>
        </is>
      </c>
      <c r="B736" s="75" t="n">
        <v>46050.39722222222</v>
      </c>
      <c r="C736" s="7" t="inlineStr">
        <is>
          <t>Sortie</t>
        </is>
      </c>
      <c r="D736" s="7" t="inlineStr">
        <is>
          <t>PD-0073</t>
        </is>
      </c>
      <c r="E736" s="9">
        <f>IF(D736="","",IFERROR(INDEX('Stock pièces'!$B$5:$B$404,MATCH(D736,'Stock pièces'!$A$5:$A$404,0)),"Réf. inconnue"))</f>
        <v/>
      </c>
      <c r="F736" s="67" t="n">
        <v>1</v>
      </c>
      <c r="G736" s="81">
        <f>IF(D736="","",IFERROR(INDEX('Stock pièces'!$I$5:$I$404,MATCH(D736,'Stock pièces'!$A$5:$A$404,0)),0))</f>
        <v/>
      </c>
      <c r="H736" s="81">
        <f>IF(D736="","",N(F736)*N(G736))</f>
        <v/>
      </c>
      <c r="I736" s="7" t="inlineStr">
        <is>
          <t>OT-2026-0058</t>
        </is>
      </c>
      <c r="J736" s="9">
        <f>IF(I736="","",IFERROR(INDEX('Ordres de travail'!$D$5:$D$3004,MATCH(I736,'Ordres de travail'!$A$5:$A$3004,0)),""))</f>
        <v/>
      </c>
      <c r="K736" s="9">
        <f>IF(D736="","",IFERROR(INDEX('Stock pièces'!$D$5:$D$404,MATCH(D736,'Stock pièces'!$A$5:$A$404,0)),""))</f>
        <v/>
      </c>
      <c r="L736" s="7" t="n"/>
      <c r="M736" s="7" t="n"/>
    </row>
    <row r="737">
      <c r="A737" s="7" t="inlineStr">
        <is>
          <t>MV-00733</t>
        </is>
      </c>
      <c r="B737" s="75" t="n">
        <v>46050.80763888889</v>
      </c>
      <c r="C737" s="7" t="inlineStr">
        <is>
          <t>Sortie</t>
        </is>
      </c>
      <c r="D737" s="7" t="inlineStr">
        <is>
          <t>PD-0044</t>
        </is>
      </c>
      <c r="E737" s="9">
        <f>IF(D737="","",IFERROR(INDEX('Stock pièces'!$B$5:$B$404,MATCH(D737,'Stock pièces'!$A$5:$A$404,0)),"Réf. inconnue"))</f>
        <v/>
      </c>
      <c r="F737" s="67" t="n">
        <v>3</v>
      </c>
      <c r="G737" s="81">
        <f>IF(D737="","",IFERROR(INDEX('Stock pièces'!$I$5:$I$404,MATCH(D737,'Stock pièces'!$A$5:$A$404,0)),0))</f>
        <v/>
      </c>
      <c r="H737" s="81">
        <f>IF(D737="","",N(F737)*N(G737))</f>
        <v/>
      </c>
      <c r="I737" s="7" t="inlineStr">
        <is>
          <t>OT-2026-0059</t>
        </is>
      </c>
      <c r="J737" s="9">
        <f>IF(I737="","",IFERROR(INDEX('Ordres de travail'!$D$5:$D$3004,MATCH(I737,'Ordres de travail'!$A$5:$A$3004,0)),""))</f>
        <v/>
      </c>
      <c r="K737" s="9">
        <f>IF(D737="","",IFERROR(INDEX('Stock pièces'!$D$5:$D$404,MATCH(D737,'Stock pièces'!$A$5:$A$404,0)),""))</f>
        <v/>
      </c>
      <c r="L737" s="7" t="n"/>
      <c r="M737" s="7" t="n"/>
    </row>
    <row r="738">
      <c r="A738" s="7" t="inlineStr">
        <is>
          <t>MV-00734</t>
        </is>
      </c>
      <c r="B738" s="75" t="n">
        <v>46051.41666666666</v>
      </c>
      <c r="C738" s="7" t="inlineStr">
        <is>
          <t>Entrée</t>
        </is>
      </c>
      <c r="D738" s="7" t="inlineStr">
        <is>
          <t>PD-0061</t>
        </is>
      </c>
      <c r="E738" s="9">
        <f>IF(D738="","",IFERROR(INDEX('Stock pièces'!$B$5:$B$404,MATCH(D738,'Stock pièces'!$A$5:$A$404,0)),"Réf. inconnue"))</f>
        <v/>
      </c>
      <c r="F738" s="67" t="n">
        <v>3</v>
      </c>
      <c r="G738" s="81">
        <f>IF(D738="","",IFERROR(INDEX('Stock pièces'!$I$5:$I$404,MATCH(D738,'Stock pièces'!$A$5:$A$404,0)),0))</f>
        <v/>
      </c>
      <c r="H738" s="81">
        <f>IF(D738="","",N(F738)*N(G738))</f>
        <v/>
      </c>
      <c r="I738" s="7" t="n"/>
      <c r="J738" s="9">
        <f>IF(I738="","",IFERROR(INDEX('Ordres de travail'!$D$5:$D$3004,MATCH(I738,'Ordres de travail'!$A$5:$A$3004,0)),""))</f>
        <v/>
      </c>
      <c r="K738" s="9">
        <f>IF(D738="","",IFERROR(INDEX('Stock pièces'!$D$5:$D$404,MATCH(D738,'Stock pièces'!$A$5:$A$404,0)),""))</f>
        <v/>
      </c>
      <c r="L738" s="7" t="inlineStr">
        <is>
          <t>CMD-24208</t>
        </is>
      </c>
      <c r="M738" s="7" t="inlineStr">
        <is>
          <t>Réception commande réappro</t>
        </is>
      </c>
    </row>
    <row r="739">
      <c r="A739" s="7" t="inlineStr">
        <is>
          <t>MV-00735</t>
        </is>
      </c>
      <c r="B739" s="75" t="n">
        <v>46051.45138888889</v>
      </c>
      <c r="C739" s="7" t="inlineStr">
        <is>
          <t>Sortie</t>
        </is>
      </c>
      <c r="D739" s="7" t="inlineStr">
        <is>
          <t>PD-0074</t>
        </is>
      </c>
      <c r="E739" s="9">
        <f>IF(D739="","",IFERROR(INDEX('Stock pièces'!$B$5:$B$404,MATCH(D739,'Stock pièces'!$A$5:$A$404,0)),"Réf. inconnue"))</f>
        <v/>
      </c>
      <c r="F739" s="67" t="n">
        <v>1</v>
      </c>
      <c r="G739" s="81">
        <f>IF(D739="","",IFERROR(INDEX('Stock pièces'!$I$5:$I$404,MATCH(D739,'Stock pièces'!$A$5:$A$404,0)),0))</f>
        <v/>
      </c>
      <c r="H739" s="81">
        <f>IF(D739="","",N(F739)*N(G739))</f>
        <v/>
      </c>
      <c r="I739" s="7" t="inlineStr">
        <is>
          <t>OT-2026-0043</t>
        </is>
      </c>
      <c r="J739" s="9">
        <f>IF(I739="","",IFERROR(INDEX('Ordres de travail'!$D$5:$D$3004,MATCH(I739,'Ordres de travail'!$A$5:$A$3004,0)),""))</f>
        <v/>
      </c>
      <c r="K739" s="9">
        <f>IF(D739="","",IFERROR(INDEX('Stock pièces'!$D$5:$D$404,MATCH(D739,'Stock pièces'!$A$5:$A$404,0)),""))</f>
        <v/>
      </c>
      <c r="L739" s="7" t="n"/>
      <c r="M739" s="7" t="n"/>
    </row>
    <row r="740">
      <c r="A740" s="7" t="inlineStr">
        <is>
          <t>MV-00736</t>
        </is>
      </c>
      <c r="B740" s="75" t="n">
        <v>46052.27083333334</v>
      </c>
      <c r="C740" s="7" t="inlineStr">
        <is>
          <t>Sortie</t>
        </is>
      </c>
      <c r="D740" s="7" t="inlineStr">
        <is>
          <t>PD-0025</t>
        </is>
      </c>
      <c r="E740" s="9">
        <f>IF(D740="","",IFERROR(INDEX('Stock pièces'!$B$5:$B$404,MATCH(D740,'Stock pièces'!$A$5:$A$404,0)),"Réf. inconnue"))</f>
        <v/>
      </c>
      <c r="F740" s="67" t="n">
        <v>3</v>
      </c>
      <c r="G740" s="81">
        <f>IF(D740="","",IFERROR(INDEX('Stock pièces'!$I$5:$I$404,MATCH(D740,'Stock pièces'!$A$5:$A$404,0)),0))</f>
        <v/>
      </c>
      <c r="H740" s="81">
        <f>IF(D740="","",N(F740)*N(G740))</f>
        <v/>
      </c>
      <c r="I740" s="7" t="inlineStr">
        <is>
          <t>OT-2026-0044</t>
        </is>
      </c>
      <c r="J740" s="9">
        <f>IF(I740="","",IFERROR(INDEX('Ordres de travail'!$D$5:$D$3004,MATCH(I740,'Ordres de travail'!$A$5:$A$3004,0)),""))</f>
        <v/>
      </c>
      <c r="K740" s="9">
        <f>IF(D740="","",IFERROR(INDEX('Stock pièces'!$D$5:$D$404,MATCH(D740,'Stock pièces'!$A$5:$A$404,0)),""))</f>
        <v/>
      </c>
      <c r="L740" s="7" t="n"/>
      <c r="M740" s="7" t="n"/>
    </row>
    <row r="741">
      <c r="A741" s="7" t="inlineStr">
        <is>
          <t>MV-00737</t>
        </is>
      </c>
      <c r="B741" s="75" t="n">
        <v>46052.41666666666</v>
      </c>
      <c r="C741" s="7" t="inlineStr">
        <is>
          <t>Entrée</t>
        </is>
      </c>
      <c r="D741" s="7" t="inlineStr">
        <is>
          <t>PD-0016</t>
        </is>
      </c>
      <c r="E741" s="9">
        <f>IF(D741="","",IFERROR(INDEX('Stock pièces'!$B$5:$B$404,MATCH(D741,'Stock pièces'!$A$5:$A$404,0)),"Réf. inconnue"))</f>
        <v/>
      </c>
      <c r="F741" s="67" t="n">
        <v>2</v>
      </c>
      <c r="G741" s="81">
        <f>IF(D741="","",IFERROR(INDEX('Stock pièces'!$I$5:$I$404,MATCH(D741,'Stock pièces'!$A$5:$A$404,0)),0))</f>
        <v/>
      </c>
      <c r="H741" s="81">
        <f>IF(D741="","",N(F741)*N(G741))</f>
        <v/>
      </c>
      <c r="I741" s="7" t="n"/>
      <c r="J741" s="9">
        <f>IF(I741="","",IFERROR(INDEX('Ordres de travail'!$D$5:$D$3004,MATCH(I741,'Ordres de travail'!$A$5:$A$3004,0)),""))</f>
        <v/>
      </c>
      <c r="K741" s="9">
        <f>IF(D741="","",IFERROR(INDEX('Stock pièces'!$D$5:$D$404,MATCH(D741,'Stock pièces'!$A$5:$A$404,0)),""))</f>
        <v/>
      </c>
      <c r="L741" s="7" t="inlineStr">
        <is>
          <t>CMD-24210</t>
        </is>
      </c>
      <c r="M741" s="7" t="inlineStr">
        <is>
          <t>Réception commande réappro</t>
        </is>
      </c>
    </row>
    <row r="742">
      <c r="A742" s="7" t="inlineStr">
        <is>
          <t>MV-00738</t>
        </is>
      </c>
      <c r="B742" s="75" t="n">
        <v>46055.50277777778</v>
      </c>
      <c r="C742" s="7" t="inlineStr">
        <is>
          <t>Sortie</t>
        </is>
      </c>
      <c r="D742" s="7" t="inlineStr">
        <is>
          <t>PD-0041</t>
        </is>
      </c>
      <c r="E742" s="9">
        <f>IF(D742="","",IFERROR(INDEX('Stock pièces'!$B$5:$B$404,MATCH(D742,'Stock pièces'!$A$5:$A$404,0)),"Réf. inconnue"))</f>
        <v/>
      </c>
      <c r="F742" s="67" t="n">
        <v>1</v>
      </c>
      <c r="G742" s="81">
        <f>IF(D742="","",IFERROR(INDEX('Stock pièces'!$I$5:$I$404,MATCH(D742,'Stock pièces'!$A$5:$A$404,0)),0))</f>
        <v/>
      </c>
      <c r="H742" s="81">
        <f>IF(D742="","",N(F742)*N(G742))</f>
        <v/>
      </c>
      <c r="I742" s="7" t="inlineStr">
        <is>
          <t>OT-2026-0066</t>
        </is>
      </c>
      <c r="J742" s="9">
        <f>IF(I742="","",IFERROR(INDEX('Ordres de travail'!$D$5:$D$3004,MATCH(I742,'Ordres de travail'!$A$5:$A$3004,0)),""))</f>
        <v/>
      </c>
      <c r="K742" s="9">
        <f>IF(D742="","",IFERROR(INDEX('Stock pièces'!$D$5:$D$404,MATCH(D742,'Stock pièces'!$A$5:$A$404,0)),""))</f>
        <v/>
      </c>
      <c r="L742" s="7" t="n"/>
      <c r="M742" s="7" t="n"/>
    </row>
    <row r="743">
      <c r="A743" s="7" t="inlineStr">
        <is>
          <t>MV-00739</t>
        </is>
      </c>
      <c r="B743" s="75" t="n">
        <v>46055.59027777778</v>
      </c>
      <c r="C743" s="7" t="inlineStr">
        <is>
          <t>Sortie</t>
        </is>
      </c>
      <c r="D743" s="7" t="inlineStr">
        <is>
          <t>PD-0017</t>
        </is>
      </c>
      <c r="E743" s="9">
        <f>IF(D743="","",IFERROR(INDEX('Stock pièces'!$B$5:$B$404,MATCH(D743,'Stock pièces'!$A$5:$A$404,0)),"Réf. inconnue"))</f>
        <v/>
      </c>
      <c r="F743" s="67" t="n">
        <v>1</v>
      </c>
      <c r="G743" s="81">
        <f>IF(D743="","",IFERROR(INDEX('Stock pièces'!$I$5:$I$404,MATCH(D743,'Stock pièces'!$A$5:$A$404,0)),0))</f>
        <v/>
      </c>
      <c r="H743" s="81">
        <f>IF(D743="","",N(F743)*N(G743))</f>
        <v/>
      </c>
      <c r="I743" s="7" t="inlineStr">
        <is>
          <t>OT-2026-0051</t>
        </is>
      </c>
      <c r="J743" s="9">
        <f>IF(I743="","",IFERROR(INDEX('Ordres de travail'!$D$5:$D$3004,MATCH(I743,'Ordres de travail'!$A$5:$A$3004,0)),""))</f>
        <v/>
      </c>
      <c r="K743" s="9">
        <f>IF(D743="","",IFERROR(INDEX('Stock pièces'!$D$5:$D$404,MATCH(D743,'Stock pièces'!$A$5:$A$404,0)),""))</f>
        <v/>
      </c>
      <c r="L743" s="7" t="n"/>
      <c r="M743" s="7" t="n"/>
    </row>
    <row r="744">
      <c r="A744" s="7" t="inlineStr">
        <is>
          <t>MV-00740</t>
        </is>
      </c>
      <c r="B744" s="75" t="n">
        <v>46056.29861111111</v>
      </c>
      <c r="C744" s="7" t="inlineStr">
        <is>
          <t>Sortie</t>
        </is>
      </c>
      <c r="D744" s="7" t="inlineStr">
        <is>
          <t>PD-0017</t>
        </is>
      </c>
      <c r="E744" s="9">
        <f>IF(D744="","",IFERROR(INDEX('Stock pièces'!$B$5:$B$404,MATCH(D744,'Stock pièces'!$A$5:$A$404,0)),"Réf. inconnue"))</f>
        <v/>
      </c>
      <c r="F744" s="67" t="n">
        <v>1</v>
      </c>
      <c r="G744" s="81">
        <f>IF(D744="","",IFERROR(INDEX('Stock pièces'!$I$5:$I$404,MATCH(D744,'Stock pièces'!$A$5:$A$404,0)),0))</f>
        <v/>
      </c>
      <c r="H744" s="81">
        <f>IF(D744="","",N(F744)*N(G744))</f>
        <v/>
      </c>
      <c r="I744" s="7" t="inlineStr">
        <is>
          <t>OT-2026-0054</t>
        </is>
      </c>
      <c r="J744" s="9">
        <f>IF(I744="","",IFERROR(INDEX('Ordres de travail'!$D$5:$D$3004,MATCH(I744,'Ordres de travail'!$A$5:$A$3004,0)),""))</f>
        <v/>
      </c>
      <c r="K744" s="9">
        <f>IF(D744="","",IFERROR(INDEX('Stock pièces'!$D$5:$D$404,MATCH(D744,'Stock pièces'!$A$5:$A$404,0)),""))</f>
        <v/>
      </c>
      <c r="L744" s="7" t="n"/>
      <c r="M744" s="7" t="n"/>
    </row>
    <row r="745">
      <c r="A745" s="7" t="inlineStr">
        <is>
          <t>MV-00741</t>
        </is>
      </c>
      <c r="B745" s="75" t="n">
        <v>46056.35069444445</v>
      </c>
      <c r="C745" s="7" t="inlineStr">
        <is>
          <t>Sortie</t>
        </is>
      </c>
      <c r="D745" s="7" t="inlineStr">
        <is>
          <t>PD-0025</t>
        </is>
      </c>
      <c r="E745" s="9">
        <f>IF(D745="","",IFERROR(INDEX('Stock pièces'!$B$5:$B$404,MATCH(D745,'Stock pièces'!$A$5:$A$404,0)),"Réf. inconnue"))</f>
        <v/>
      </c>
      <c r="F745" s="67" t="n">
        <v>1</v>
      </c>
      <c r="G745" s="81">
        <f>IF(D745="","",IFERROR(INDEX('Stock pièces'!$I$5:$I$404,MATCH(D745,'Stock pièces'!$A$5:$A$404,0)),0))</f>
        <v/>
      </c>
      <c r="H745" s="81">
        <f>IF(D745="","",N(F745)*N(G745))</f>
        <v/>
      </c>
      <c r="I745" s="7" t="inlineStr">
        <is>
          <t>OT-2026-0056</t>
        </is>
      </c>
      <c r="J745" s="9">
        <f>IF(I745="","",IFERROR(INDEX('Ordres de travail'!$D$5:$D$3004,MATCH(I745,'Ordres de travail'!$A$5:$A$3004,0)),""))</f>
        <v/>
      </c>
      <c r="K745" s="9">
        <f>IF(D745="","",IFERROR(INDEX('Stock pièces'!$D$5:$D$404,MATCH(D745,'Stock pièces'!$A$5:$A$404,0)),""))</f>
        <v/>
      </c>
      <c r="L745" s="7" t="n"/>
      <c r="M745" s="7" t="n"/>
    </row>
    <row r="746">
      <c r="A746" s="7" t="inlineStr">
        <is>
          <t>MV-00742</t>
        </is>
      </c>
      <c r="B746" s="75" t="n">
        <v>46056.41666666666</v>
      </c>
      <c r="C746" s="7" t="inlineStr">
        <is>
          <t>Entrée</t>
        </is>
      </c>
      <c r="D746" s="7" t="inlineStr">
        <is>
          <t>PD-0010</t>
        </is>
      </c>
      <c r="E746" s="9">
        <f>IF(D746="","",IFERROR(INDEX('Stock pièces'!$B$5:$B$404,MATCH(D746,'Stock pièces'!$A$5:$A$404,0)),"Réf. inconnue"))</f>
        <v/>
      </c>
      <c r="F746" s="67" t="n">
        <v>1</v>
      </c>
      <c r="G746" s="81">
        <f>IF(D746="","",IFERROR(INDEX('Stock pièces'!$I$5:$I$404,MATCH(D746,'Stock pièces'!$A$5:$A$404,0)),0))</f>
        <v/>
      </c>
      <c r="H746" s="81">
        <f>IF(D746="","",N(F746)*N(G746))</f>
        <v/>
      </c>
      <c r="I746" s="7" t="n"/>
      <c r="J746" s="9">
        <f>IF(I746="","",IFERROR(INDEX('Ordres de travail'!$D$5:$D$3004,MATCH(I746,'Ordres de travail'!$A$5:$A$3004,0)),""))</f>
        <v/>
      </c>
      <c r="K746" s="9">
        <f>IF(D746="","",IFERROR(INDEX('Stock pièces'!$D$5:$D$404,MATCH(D746,'Stock pièces'!$A$5:$A$404,0)),""))</f>
        <v/>
      </c>
      <c r="L746" s="7" t="inlineStr">
        <is>
          <t>CMD-24206</t>
        </is>
      </c>
      <c r="M746" s="7" t="inlineStr">
        <is>
          <t>Réception commande réappro</t>
        </is>
      </c>
    </row>
    <row r="747">
      <c r="A747" s="7" t="inlineStr">
        <is>
          <t>MV-00743</t>
        </is>
      </c>
      <c r="B747" s="75" t="n">
        <v>46056.41666666666</v>
      </c>
      <c r="C747" s="7" t="inlineStr">
        <is>
          <t>Entrée</t>
        </is>
      </c>
      <c r="D747" s="7" t="inlineStr">
        <is>
          <t>PD-0054</t>
        </is>
      </c>
      <c r="E747" s="9">
        <f>IF(D747="","",IFERROR(INDEX('Stock pièces'!$B$5:$B$404,MATCH(D747,'Stock pièces'!$A$5:$A$404,0)),"Réf. inconnue"))</f>
        <v/>
      </c>
      <c r="F747" s="67" t="n">
        <v>3</v>
      </c>
      <c r="G747" s="81">
        <f>IF(D747="","",IFERROR(INDEX('Stock pièces'!$I$5:$I$404,MATCH(D747,'Stock pièces'!$A$5:$A$404,0)),0))</f>
        <v/>
      </c>
      <c r="H747" s="81">
        <f>IF(D747="","",N(F747)*N(G747))</f>
        <v/>
      </c>
      <c r="I747" s="7" t="n"/>
      <c r="J747" s="9">
        <f>IF(I747="","",IFERROR(INDEX('Ordres de travail'!$D$5:$D$3004,MATCH(I747,'Ordres de travail'!$A$5:$A$3004,0)),""))</f>
        <v/>
      </c>
      <c r="K747" s="9">
        <f>IF(D747="","",IFERROR(INDEX('Stock pièces'!$D$5:$D$404,MATCH(D747,'Stock pièces'!$A$5:$A$404,0)),""))</f>
        <v/>
      </c>
      <c r="L747" s="7" t="inlineStr">
        <is>
          <t>CMD-24211</t>
        </is>
      </c>
      <c r="M747" s="7" t="inlineStr">
        <is>
          <t>Réception commande réappro</t>
        </is>
      </c>
    </row>
    <row r="748">
      <c r="A748" s="7" t="inlineStr">
        <is>
          <t>MV-00744</t>
        </is>
      </c>
      <c r="B748" s="75" t="n">
        <v>46057.42430555556</v>
      </c>
      <c r="C748" s="7" t="inlineStr">
        <is>
          <t>Sortie</t>
        </is>
      </c>
      <c r="D748" s="7" t="inlineStr">
        <is>
          <t>PD-0058</t>
        </is>
      </c>
      <c r="E748" s="9">
        <f>IF(D748="","",IFERROR(INDEX('Stock pièces'!$B$5:$B$404,MATCH(D748,'Stock pièces'!$A$5:$A$404,0)),"Réf. inconnue"))</f>
        <v/>
      </c>
      <c r="F748" s="67" t="n">
        <v>1</v>
      </c>
      <c r="G748" s="81">
        <f>IF(D748="","",IFERROR(INDEX('Stock pièces'!$I$5:$I$404,MATCH(D748,'Stock pièces'!$A$5:$A$404,0)),0))</f>
        <v/>
      </c>
      <c r="H748" s="81">
        <f>IF(D748="","",N(F748)*N(G748))</f>
        <v/>
      </c>
      <c r="I748" s="7" t="inlineStr">
        <is>
          <t>OT-2026-0073</t>
        </is>
      </c>
      <c r="J748" s="9">
        <f>IF(I748="","",IFERROR(INDEX('Ordres de travail'!$D$5:$D$3004,MATCH(I748,'Ordres de travail'!$A$5:$A$3004,0)),""))</f>
        <v/>
      </c>
      <c r="K748" s="9">
        <f>IF(D748="","",IFERROR(INDEX('Stock pièces'!$D$5:$D$404,MATCH(D748,'Stock pièces'!$A$5:$A$404,0)),""))</f>
        <v/>
      </c>
      <c r="L748" s="7" t="n"/>
      <c r="M748" s="7" t="n"/>
    </row>
    <row r="749">
      <c r="A749" s="7" t="inlineStr">
        <is>
          <t>MV-00745</t>
        </is>
      </c>
      <c r="B749" s="75" t="n">
        <v>46057.42430555556</v>
      </c>
      <c r="C749" s="7" t="inlineStr">
        <is>
          <t>Sortie</t>
        </is>
      </c>
      <c r="D749" s="7" t="inlineStr">
        <is>
          <t>PD-0060</t>
        </is>
      </c>
      <c r="E749" s="9">
        <f>IF(D749="","",IFERROR(INDEX('Stock pièces'!$B$5:$B$404,MATCH(D749,'Stock pièces'!$A$5:$A$404,0)),"Réf. inconnue"))</f>
        <v/>
      </c>
      <c r="F749" s="67" t="n">
        <v>1</v>
      </c>
      <c r="G749" s="81">
        <f>IF(D749="","",IFERROR(INDEX('Stock pièces'!$I$5:$I$404,MATCH(D749,'Stock pièces'!$A$5:$A$404,0)),0))</f>
        <v/>
      </c>
      <c r="H749" s="81">
        <f>IF(D749="","",N(F749)*N(G749))</f>
        <v/>
      </c>
      <c r="I749" s="7" t="inlineStr">
        <is>
          <t>OT-2026-0073</t>
        </is>
      </c>
      <c r="J749" s="9">
        <f>IF(I749="","",IFERROR(INDEX('Ordres de travail'!$D$5:$D$3004,MATCH(I749,'Ordres de travail'!$A$5:$A$3004,0)),""))</f>
        <v/>
      </c>
      <c r="K749" s="9">
        <f>IF(D749="","",IFERROR(INDEX('Stock pièces'!$D$5:$D$404,MATCH(D749,'Stock pièces'!$A$5:$A$404,0)),""))</f>
        <v/>
      </c>
      <c r="L749" s="7" t="n"/>
      <c r="M749" s="7" t="n"/>
    </row>
    <row r="750">
      <c r="A750" s="7" t="inlineStr">
        <is>
          <t>MV-00746</t>
        </is>
      </c>
      <c r="B750" s="75" t="n">
        <v>46058.39236111111</v>
      </c>
      <c r="C750" s="7" t="inlineStr">
        <is>
          <t>Sortie</t>
        </is>
      </c>
      <c r="D750" s="7" t="inlineStr">
        <is>
          <t>PD-0025</t>
        </is>
      </c>
      <c r="E750" s="9">
        <f>IF(D750="","",IFERROR(INDEX('Stock pièces'!$B$5:$B$404,MATCH(D750,'Stock pièces'!$A$5:$A$404,0)),"Réf. inconnue"))</f>
        <v/>
      </c>
      <c r="F750" s="67" t="n">
        <v>2</v>
      </c>
      <c r="G750" s="81">
        <f>IF(D750="","",IFERROR(INDEX('Stock pièces'!$I$5:$I$404,MATCH(D750,'Stock pièces'!$A$5:$A$404,0)),0))</f>
        <v/>
      </c>
      <c r="H750" s="81">
        <f>IF(D750="","",N(F750)*N(G750))</f>
        <v/>
      </c>
      <c r="I750" s="7" t="inlineStr">
        <is>
          <t>OT-2026-0061</t>
        </is>
      </c>
      <c r="J750" s="9">
        <f>IF(I750="","",IFERROR(INDEX('Ordres de travail'!$D$5:$D$3004,MATCH(I750,'Ordres de travail'!$A$5:$A$3004,0)),""))</f>
        <v/>
      </c>
      <c r="K750" s="9">
        <f>IF(D750="","",IFERROR(INDEX('Stock pièces'!$D$5:$D$404,MATCH(D750,'Stock pièces'!$A$5:$A$404,0)),""))</f>
        <v/>
      </c>
      <c r="L750" s="7" t="n"/>
      <c r="M750" s="7" t="n"/>
    </row>
    <row r="751">
      <c r="A751" s="7" t="inlineStr">
        <is>
          <t>MV-00747</t>
        </is>
      </c>
      <c r="B751" s="75" t="n">
        <v>46058.41666666666</v>
      </c>
      <c r="C751" s="7" t="inlineStr">
        <is>
          <t>Entrée</t>
        </is>
      </c>
      <c r="D751" s="7" t="inlineStr">
        <is>
          <t>PD-0074</t>
        </is>
      </c>
      <c r="E751" s="9">
        <f>IF(D751="","",IFERROR(INDEX('Stock pièces'!$B$5:$B$404,MATCH(D751,'Stock pièces'!$A$5:$A$404,0)),"Réf. inconnue"))</f>
        <v/>
      </c>
      <c r="F751" s="67" t="n">
        <v>5</v>
      </c>
      <c r="G751" s="81">
        <f>IF(D751="","",IFERROR(INDEX('Stock pièces'!$I$5:$I$404,MATCH(D751,'Stock pièces'!$A$5:$A$404,0)),0))</f>
        <v/>
      </c>
      <c r="H751" s="81">
        <f>IF(D751="","",N(F751)*N(G751))</f>
        <v/>
      </c>
      <c r="I751" s="7" t="n"/>
      <c r="J751" s="9">
        <f>IF(I751="","",IFERROR(INDEX('Ordres de travail'!$D$5:$D$3004,MATCH(I751,'Ordres de travail'!$A$5:$A$3004,0)),""))</f>
        <v/>
      </c>
      <c r="K751" s="9">
        <f>IF(D751="","",IFERROR(INDEX('Stock pièces'!$D$5:$D$404,MATCH(D751,'Stock pièces'!$A$5:$A$404,0)),""))</f>
        <v/>
      </c>
      <c r="L751" s="7" t="inlineStr">
        <is>
          <t>CMD-24216</t>
        </is>
      </c>
      <c r="M751" s="7" t="inlineStr">
        <is>
          <t>Réception commande réappro</t>
        </is>
      </c>
    </row>
    <row r="752">
      <c r="A752" s="7" t="inlineStr">
        <is>
          <t>MV-00748</t>
        </is>
      </c>
      <c r="B752" s="75" t="n">
        <v>46058.55833333333</v>
      </c>
      <c r="C752" s="7" t="inlineStr">
        <is>
          <t>Sortie</t>
        </is>
      </c>
      <c r="D752" s="7" t="inlineStr">
        <is>
          <t>PD-0023</t>
        </is>
      </c>
      <c r="E752" s="9">
        <f>IF(D752="","",IFERROR(INDEX('Stock pièces'!$B$5:$B$404,MATCH(D752,'Stock pièces'!$A$5:$A$404,0)),"Réf. inconnue"))</f>
        <v/>
      </c>
      <c r="F752" s="67" t="n">
        <v>2</v>
      </c>
      <c r="G752" s="81">
        <f>IF(D752="","",IFERROR(INDEX('Stock pièces'!$I$5:$I$404,MATCH(D752,'Stock pièces'!$A$5:$A$404,0)),0))</f>
        <v/>
      </c>
      <c r="H752" s="81">
        <f>IF(D752="","",N(F752)*N(G752))</f>
        <v/>
      </c>
      <c r="I752" s="7" t="inlineStr">
        <is>
          <t>OT-2026-0074</t>
        </is>
      </c>
      <c r="J752" s="9">
        <f>IF(I752="","",IFERROR(INDEX('Ordres de travail'!$D$5:$D$3004,MATCH(I752,'Ordres de travail'!$A$5:$A$3004,0)),""))</f>
        <v/>
      </c>
      <c r="K752" s="9">
        <f>IF(D752="","",IFERROR(INDEX('Stock pièces'!$D$5:$D$404,MATCH(D752,'Stock pièces'!$A$5:$A$404,0)),""))</f>
        <v/>
      </c>
      <c r="L752" s="7" t="n"/>
      <c r="M752" s="7" t="n"/>
    </row>
    <row r="753">
      <c r="A753" s="7" t="inlineStr">
        <is>
          <t>MV-00749</t>
        </is>
      </c>
      <c r="B753" s="75" t="n">
        <v>46062.3125</v>
      </c>
      <c r="C753" s="7" t="inlineStr">
        <is>
          <t>Sortie</t>
        </is>
      </c>
      <c r="D753" s="7" t="inlineStr">
        <is>
          <t>PD-0017</t>
        </is>
      </c>
      <c r="E753" s="9">
        <f>IF(D753="","",IFERROR(INDEX('Stock pièces'!$B$5:$B$404,MATCH(D753,'Stock pièces'!$A$5:$A$404,0)),"Réf. inconnue"))</f>
        <v/>
      </c>
      <c r="F753" s="67" t="n">
        <v>1</v>
      </c>
      <c r="G753" s="81">
        <f>IF(D753="","",IFERROR(INDEX('Stock pièces'!$I$5:$I$404,MATCH(D753,'Stock pièces'!$A$5:$A$404,0)),0))</f>
        <v/>
      </c>
      <c r="H753" s="81">
        <f>IF(D753="","",N(F753)*N(G753))</f>
        <v/>
      </c>
      <c r="I753" s="7" t="inlineStr">
        <is>
          <t>OT-2026-0067</t>
        </is>
      </c>
      <c r="J753" s="9">
        <f>IF(I753="","",IFERROR(INDEX('Ordres de travail'!$D$5:$D$3004,MATCH(I753,'Ordres de travail'!$A$5:$A$3004,0)),""))</f>
        <v/>
      </c>
      <c r="K753" s="9">
        <f>IF(D753="","",IFERROR(INDEX('Stock pièces'!$D$5:$D$404,MATCH(D753,'Stock pièces'!$A$5:$A$404,0)),""))</f>
        <v/>
      </c>
      <c r="L753" s="7" t="n"/>
      <c r="M753" s="7" t="n"/>
    </row>
    <row r="754">
      <c r="A754" s="7" t="inlineStr">
        <is>
          <t>MV-00750</t>
        </is>
      </c>
      <c r="B754" s="75" t="n">
        <v>46062.41666666666</v>
      </c>
      <c r="C754" s="7" t="inlineStr">
        <is>
          <t>Entrée</t>
        </is>
      </c>
      <c r="D754" s="7" t="inlineStr">
        <is>
          <t>PD-0072</t>
        </is>
      </c>
      <c r="E754" s="9">
        <f>IF(D754="","",IFERROR(INDEX('Stock pièces'!$B$5:$B$404,MATCH(D754,'Stock pièces'!$A$5:$A$404,0)),"Réf. inconnue"))</f>
        <v/>
      </c>
      <c r="F754" s="67" t="n">
        <v>4</v>
      </c>
      <c r="G754" s="81">
        <f>IF(D754="","",IFERROR(INDEX('Stock pièces'!$I$5:$I$404,MATCH(D754,'Stock pièces'!$A$5:$A$404,0)),0))</f>
        <v/>
      </c>
      <c r="H754" s="81">
        <f>IF(D754="","",N(F754)*N(G754))</f>
        <v/>
      </c>
      <c r="I754" s="7" t="n"/>
      <c r="J754" s="9">
        <f>IF(I754="","",IFERROR(INDEX('Ordres de travail'!$D$5:$D$3004,MATCH(I754,'Ordres de travail'!$A$5:$A$3004,0)),""))</f>
        <v/>
      </c>
      <c r="K754" s="9">
        <f>IF(D754="","",IFERROR(INDEX('Stock pièces'!$D$5:$D$404,MATCH(D754,'Stock pièces'!$A$5:$A$404,0)),""))</f>
        <v/>
      </c>
      <c r="L754" s="7" t="inlineStr">
        <is>
          <t>CMD-24213</t>
        </is>
      </c>
      <c r="M754" s="7" t="inlineStr">
        <is>
          <t>Réception commande réappro</t>
        </is>
      </c>
    </row>
    <row r="755">
      <c r="A755" s="7" t="inlineStr">
        <is>
          <t>MV-00751</t>
        </is>
      </c>
      <c r="B755" s="75" t="n">
        <v>46062.41666666666</v>
      </c>
      <c r="C755" s="7" t="inlineStr">
        <is>
          <t>Entrée</t>
        </is>
      </c>
      <c r="D755" s="7" t="inlineStr">
        <is>
          <t>PD-0044</t>
        </is>
      </c>
      <c r="E755" s="9">
        <f>IF(D755="","",IFERROR(INDEX('Stock pièces'!$B$5:$B$404,MATCH(D755,'Stock pièces'!$A$5:$A$404,0)),"Réf. inconnue"))</f>
        <v/>
      </c>
      <c r="F755" s="67" t="n">
        <v>3</v>
      </c>
      <c r="G755" s="81">
        <f>IF(D755="","",IFERROR(INDEX('Stock pièces'!$I$5:$I$404,MATCH(D755,'Stock pièces'!$A$5:$A$404,0)),0))</f>
        <v/>
      </c>
      <c r="H755" s="81">
        <f>IF(D755="","",N(F755)*N(G755))</f>
        <v/>
      </c>
      <c r="I755" s="7" t="n"/>
      <c r="J755" s="9">
        <f>IF(I755="","",IFERROR(INDEX('Ordres de travail'!$D$5:$D$3004,MATCH(I755,'Ordres de travail'!$A$5:$A$3004,0)),""))</f>
        <v/>
      </c>
      <c r="K755" s="9">
        <f>IF(D755="","",IFERROR(INDEX('Stock pièces'!$D$5:$D$404,MATCH(D755,'Stock pièces'!$A$5:$A$404,0)),""))</f>
        <v/>
      </c>
      <c r="L755" s="7" t="inlineStr">
        <is>
          <t>CMD-24215</t>
        </is>
      </c>
      <c r="M755" s="7" t="inlineStr">
        <is>
          <t>Réception commande réappro</t>
        </is>
      </c>
    </row>
    <row r="756">
      <c r="A756" s="7" t="inlineStr">
        <is>
          <t>MV-00752</t>
        </is>
      </c>
      <c r="B756" s="75" t="n">
        <v>46062.41666666666</v>
      </c>
      <c r="C756" s="7" t="inlineStr">
        <is>
          <t>Entrée</t>
        </is>
      </c>
      <c r="D756" s="7" t="inlineStr">
        <is>
          <t>PD-0025</t>
        </is>
      </c>
      <c r="E756" s="9">
        <f>IF(D756="","",IFERROR(INDEX('Stock pièces'!$B$5:$B$404,MATCH(D756,'Stock pièces'!$A$5:$A$404,0)),"Réf. inconnue"))</f>
        <v/>
      </c>
      <c r="F756" s="67" t="n">
        <v>36</v>
      </c>
      <c r="G756" s="81">
        <f>IF(D756="","",IFERROR(INDEX('Stock pièces'!$I$5:$I$404,MATCH(D756,'Stock pièces'!$A$5:$A$404,0)),0))</f>
        <v/>
      </c>
      <c r="H756" s="81">
        <f>IF(D756="","",N(F756)*N(G756))</f>
        <v/>
      </c>
      <c r="I756" s="7" t="n"/>
      <c r="J756" s="9">
        <f>IF(I756="","",IFERROR(INDEX('Ordres de travail'!$D$5:$D$3004,MATCH(I756,'Ordres de travail'!$A$5:$A$3004,0)),""))</f>
        <v/>
      </c>
      <c r="K756" s="9">
        <f>IF(D756="","",IFERROR(INDEX('Stock pièces'!$D$5:$D$404,MATCH(D756,'Stock pièces'!$A$5:$A$404,0)),""))</f>
        <v/>
      </c>
      <c r="L756" s="7" t="inlineStr">
        <is>
          <t>CMD-24219</t>
        </is>
      </c>
      <c r="M756" s="7" t="inlineStr">
        <is>
          <t>Réception commande réappro</t>
        </is>
      </c>
    </row>
    <row r="757">
      <c r="A757" s="7" t="inlineStr">
        <is>
          <t>MV-00753</t>
        </is>
      </c>
      <c r="B757" s="75" t="n">
        <v>46062.43402777778</v>
      </c>
      <c r="C757" s="7" t="inlineStr">
        <is>
          <t>Sortie</t>
        </is>
      </c>
      <c r="D757" s="7" t="inlineStr">
        <is>
          <t>PD-0025</t>
        </is>
      </c>
      <c r="E757" s="9">
        <f>IF(D757="","",IFERROR(INDEX('Stock pièces'!$B$5:$B$404,MATCH(D757,'Stock pièces'!$A$5:$A$404,0)),"Réf. inconnue"))</f>
        <v/>
      </c>
      <c r="F757" s="67" t="n">
        <v>2</v>
      </c>
      <c r="G757" s="81">
        <f>IF(D757="","",IFERROR(INDEX('Stock pièces'!$I$5:$I$404,MATCH(D757,'Stock pièces'!$A$5:$A$404,0)),0))</f>
        <v/>
      </c>
      <c r="H757" s="81">
        <f>IF(D757="","",N(F757)*N(G757))</f>
        <v/>
      </c>
      <c r="I757" s="7" t="inlineStr">
        <is>
          <t>OT-2026-0069</t>
        </is>
      </c>
      <c r="J757" s="9">
        <f>IF(I757="","",IFERROR(INDEX('Ordres de travail'!$D$5:$D$3004,MATCH(I757,'Ordres de travail'!$A$5:$A$3004,0)),""))</f>
        <v/>
      </c>
      <c r="K757" s="9">
        <f>IF(D757="","",IFERROR(INDEX('Stock pièces'!$D$5:$D$404,MATCH(D757,'Stock pièces'!$A$5:$A$404,0)),""))</f>
        <v/>
      </c>
      <c r="L757" s="7" t="n"/>
      <c r="M757" s="7" t="n"/>
    </row>
    <row r="758">
      <c r="A758" s="7" t="inlineStr">
        <is>
          <t>MV-00754</t>
        </is>
      </c>
      <c r="B758" s="75" t="n">
        <v>46062.72569444445</v>
      </c>
      <c r="C758" s="7" t="inlineStr">
        <is>
          <t>Sortie</t>
        </is>
      </c>
      <c r="D758" s="7" t="inlineStr">
        <is>
          <t>PD-0030</t>
        </is>
      </c>
      <c r="E758" s="9">
        <f>IF(D758="","",IFERROR(INDEX('Stock pièces'!$B$5:$B$404,MATCH(D758,'Stock pièces'!$A$5:$A$404,0)),"Réf. inconnue"))</f>
        <v/>
      </c>
      <c r="F758" s="67" t="n">
        <v>1</v>
      </c>
      <c r="G758" s="81">
        <f>IF(D758="","",IFERROR(INDEX('Stock pièces'!$I$5:$I$404,MATCH(D758,'Stock pièces'!$A$5:$A$404,0)),0))</f>
        <v/>
      </c>
      <c r="H758" s="81">
        <f>IF(D758="","",N(F758)*N(G758))</f>
        <v/>
      </c>
      <c r="I758" s="7" t="inlineStr">
        <is>
          <t>OT-2026-0082</t>
        </is>
      </c>
      <c r="J758" s="9">
        <f>IF(I758="","",IFERROR(INDEX('Ordres de travail'!$D$5:$D$3004,MATCH(I758,'Ordres de travail'!$A$5:$A$3004,0)),""))</f>
        <v/>
      </c>
      <c r="K758" s="9">
        <f>IF(D758="","",IFERROR(INDEX('Stock pièces'!$D$5:$D$404,MATCH(D758,'Stock pièces'!$A$5:$A$404,0)),""))</f>
        <v/>
      </c>
      <c r="L758" s="7" t="n"/>
      <c r="M758" s="7" t="n"/>
    </row>
    <row r="759">
      <c r="A759" s="7" t="inlineStr">
        <is>
          <t>MV-00755</t>
        </is>
      </c>
      <c r="B759" s="75" t="n">
        <v>46063.43402777778</v>
      </c>
      <c r="C759" s="7" t="inlineStr">
        <is>
          <t>Retour</t>
        </is>
      </c>
      <c r="D759" s="7" t="inlineStr">
        <is>
          <t>PD-0025</t>
        </is>
      </c>
      <c r="E759" s="9">
        <f>IF(D759="","",IFERROR(INDEX('Stock pièces'!$B$5:$B$404,MATCH(D759,'Stock pièces'!$A$5:$A$404,0)),"Réf. inconnue"))</f>
        <v/>
      </c>
      <c r="F759" s="67" t="n">
        <v>1</v>
      </c>
      <c r="G759" s="81">
        <f>IF(D759="","",IFERROR(INDEX('Stock pièces'!$I$5:$I$404,MATCH(D759,'Stock pièces'!$A$5:$A$404,0)),0))</f>
        <v/>
      </c>
      <c r="H759" s="81">
        <f>IF(D759="","",N(F759)*N(G759))</f>
        <v/>
      </c>
      <c r="I759" s="7" t="inlineStr">
        <is>
          <t>OT-2026-0069</t>
        </is>
      </c>
      <c r="J759" s="9">
        <f>IF(I759="","",IFERROR(INDEX('Ordres de travail'!$D$5:$D$3004,MATCH(I759,'Ordres de travail'!$A$5:$A$3004,0)),""))</f>
        <v/>
      </c>
      <c r="K759" s="9">
        <f>IF(D759="","",IFERROR(INDEX('Stock pièces'!$D$5:$D$404,MATCH(D759,'Stock pièces'!$A$5:$A$404,0)),""))</f>
        <v/>
      </c>
      <c r="L759" s="7" t="n"/>
      <c r="M759" s="7" t="inlineStr">
        <is>
          <t>Pièce non utilisée</t>
        </is>
      </c>
    </row>
    <row r="760">
      <c r="A760" s="7" t="inlineStr">
        <is>
          <t>MV-00756</t>
        </is>
      </c>
      <c r="B760" s="75" t="n">
        <v>46063.52777777778</v>
      </c>
      <c r="C760" s="7" t="inlineStr">
        <is>
          <t>Sortie</t>
        </is>
      </c>
      <c r="D760" s="7" t="inlineStr">
        <is>
          <t>PD-0062</t>
        </is>
      </c>
      <c r="E760" s="9">
        <f>IF(D760="","",IFERROR(INDEX('Stock pièces'!$B$5:$B$404,MATCH(D760,'Stock pièces'!$A$5:$A$404,0)),"Réf. inconnue"))</f>
        <v/>
      </c>
      <c r="F760" s="67" t="n">
        <v>1</v>
      </c>
      <c r="G760" s="81">
        <f>IF(D760="","",IFERROR(INDEX('Stock pièces'!$I$5:$I$404,MATCH(D760,'Stock pièces'!$A$5:$A$404,0)),0))</f>
        <v/>
      </c>
      <c r="H760" s="81">
        <f>IF(D760="","",N(F760)*N(G760))</f>
        <v/>
      </c>
      <c r="I760" s="7" t="inlineStr">
        <is>
          <t>OT-2026-0071</t>
        </is>
      </c>
      <c r="J760" s="9">
        <f>IF(I760="","",IFERROR(INDEX('Ordres de travail'!$D$5:$D$3004,MATCH(I760,'Ordres de travail'!$A$5:$A$3004,0)),""))</f>
        <v/>
      </c>
      <c r="K760" s="9">
        <f>IF(D760="","",IFERROR(INDEX('Stock pièces'!$D$5:$D$404,MATCH(D760,'Stock pièces'!$A$5:$A$404,0)),""))</f>
        <v/>
      </c>
      <c r="L760" s="7" t="n"/>
      <c r="M760" s="7" t="n"/>
    </row>
    <row r="761">
      <c r="A761" s="7" t="inlineStr">
        <is>
          <t>MV-00757</t>
        </is>
      </c>
      <c r="B761" s="75" t="n">
        <v>46063.58333333334</v>
      </c>
      <c r="C761" s="7" t="inlineStr">
        <is>
          <t>Sortie</t>
        </is>
      </c>
      <c r="D761" s="7" t="inlineStr">
        <is>
          <t>PD-0017</t>
        </is>
      </c>
      <c r="E761" s="9">
        <f>IF(D761="","",IFERROR(INDEX('Stock pièces'!$B$5:$B$404,MATCH(D761,'Stock pièces'!$A$5:$A$404,0)),"Réf. inconnue"))</f>
        <v/>
      </c>
      <c r="F761" s="67" t="n">
        <v>1</v>
      </c>
      <c r="G761" s="81">
        <f>IF(D761="","",IFERROR(INDEX('Stock pièces'!$I$5:$I$404,MATCH(D761,'Stock pièces'!$A$5:$A$404,0)),0))</f>
        <v/>
      </c>
      <c r="H761" s="81">
        <f>IF(D761="","",N(F761)*N(G761))</f>
        <v/>
      </c>
      <c r="I761" s="7" t="inlineStr">
        <is>
          <t>OT-2026-0072</t>
        </is>
      </c>
      <c r="J761" s="9">
        <f>IF(I761="","",IFERROR(INDEX('Ordres de travail'!$D$5:$D$3004,MATCH(I761,'Ordres de travail'!$A$5:$A$3004,0)),""))</f>
        <v/>
      </c>
      <c r="K761" s="9">
        <f>IF(D761="","",IFERROR(INDEX('Stock pièces'!$D$5:$D$404,MATCH(D761,'Stock pièces'!$A$5:$A$404,0)),""))</f>
        <v/>
      </c>
      <c r="L761" s="7" t="n"/>
      <c r="M761" s="7" t="n"/>
    </row>
    <row r="762">
      <c r="A762" s="7" t="inlineStr">
        <is>
          <t>MV-00758</t>
        </is>
      </c>
      <c r="B762" s="75" t="n">
        <v>46064.97222222222</v>
      </c>
      <c r="C762" s="7" t="inlineStr">
        <is>
          <t>Sortie</t>
        </is>
      </c>
      <c r="D762" s="7" t="inlineStr">
        <is>
          <t>PD-0023</t>
        </is>
      </c>
      <c r="E762" s="9">
        <f>IF(D762="","",IFERROR(INDEX('Stock pièces'!$B$5:$B$404,MATCH(D762,'Stock pièces'!$A$5:$A$404,0)),"Réf. inconnue"))</f>
        <v/>
      </c>
      <c r="F762" s="67" t="n">
        <v>1</v>
      </c>
      <c r="G762" s="81">
        <f>IF(D762="","",IFERROR(INDEX('Stock pièces'!$I$5:$I$404,MATCH(D762,'Stock pièces'!$A$5:$A$404,0)),0))</f>
        <v/>
      </c>
      <c r="H762" s="81">
        <f>IF(D762="","",N(F762)*N(G762))</f>
        <v/>
      </c>
      <c r="I762" s="7" t="inlineStr">
        <is>
          <t>OT-2026-0086</t>
        </is>
      </c>
      <c r="J762" s="9">
        <f>IF(I762="","",IFERROR(INDEX('Ordres de travail'!$D$5:$D$3004,MATCH(I762,'Ordres de travail'!$A$5:$A$3004,0)),""))</f>
        <v/>
      </c>
      <c r="K762" s="9">
        <f>IF(D762="","",IFERROR(INDEX('Stock pièces'!$D$5:$D$404,MATCH(D762,'Stock pièces'!$A$5:$A$404,0)),""))</f>
        <v/>
      </c>
      <c r="L762" s="7" t="n"/>
      <c r="M762" s="7" t="n"/>
    </row>
    <row r="763">
      <c r="A763" s="7" t="inlineStr">
        <is>
          <t>MV-00759</t>
        </is>
      </c>
      <c r="B763" s="75" t="n">
        <v>46064.99027777778</v>
      </c>
      <c r="C763" s="7" t="inlineStr">
        <is>
          <t>Sortie</t>
        </is>
      </c>
      <c r="D763" s="7" t="inlineStr">
        <is>
          <t>PD-0019</t>
        </is>
      </c>
      <c r="E763" s="9">
        <f>IF(D763="","",IFERROR(INDEX('Stock pièces'!$B$5:$B$404,MATCH(D763,'Stock pièces'!$A$5:$A$404,0)),"Réf. inconnue"))</f>
        <v/>
      </c>
      <c r="F763" s="67" t="n">
        <v>2</v>
      </c>
      <c r="G763" s="81">
        <f>IF(D763="","",IFERROR(INDEX('Stock pièces'!$I$5:$I$404,MATCH(D763,'Stock pièces'!$A$5:$A$404,0)),0))</f>
        <v/>
      </c>
      <c r="H763" s="81">
        <f>IF(D763="","",N(F763)*N(G763))</f>
        <v/>
      </c>
      <c r="I763" s="7" t="inlineStr">
        <is>
          <t>OT-2026-0083</t>
        </is>
      </c>
      <c r="J763" s="9">
        <f>IF(I763="","",IFERROR(INDEX('Ordres de travail'!$D$5:$D$3004,MATCH(I763,'Ordres de travail'!$A$5:$A$3004,0)),""))</f>
        <v/>
      </c>
      <c r="K763" s="9">
        <f>IF(D763="","",IFERROR(INDEX('Stock pièces'!$D$5:$D$404,MATCH(D763,'Stock pièces'!$A$5:$A$404,0)),""))</f>
        <v/>
      </c>
      <c r="L763" s="7" t="n"/>
      <c r="M763" s="7" t="n"/>
    </row>
    <row r="764">
      <c r="A764" s="7" t="inlineStr">
        <is>
          <t>MV-00760</t>
        </is>
      </c>
      <c r="B764" s="75" t="n">
        <v>46064.99027777778</v>
      </c>
      <c r="C764" s="7" t="inlineStr">
        <is>
          <t>Sortie</t>
        </is>
      </c>
      <c r="D764" s="7" t="inlineStr">
        <is>
          <t>PD-0020</t>
        </is>
      </c>
      <c r="E764" s="9">
        <f>IF(D764="","",IFERROR(INDEX('Stock pièces'!$B$5:$B$404,MATCH(D764,'Stock pièces'!$A$5:$A$404,0)),"Réf. inconnue"))</f>
        <v/>
      </c>
      <c r="F764" s="67" t="n">
        <v>2</v>
      </c>
      <c r="G764" s="81">
        <f>IF(D764="","",IFERROR(INDEX('Stock pièces'!$I$5:$I$404,MATCH(D764,'Stock pièces'!$A$5:$A$404,0)),0))</f>
        <v/>
      </c>
      <c r="H764" s="81">
        <f>IF(D764="","",N(F764)*N(G764))</f>
        <v/>
      </c>
      <c r="I764" s="7" t="inlineStr">
        <is>
          <t>OT-2026-0083</t>
        </is>
      </c>
      <c r="J764" s="9">
        <f>IF(I764="","",IFERROR(INDEX('Ordres de travail'!$D$5:$D$3004,MATCH(I764,'Ordres de travail'!$A$5:$A$3004,0)),""))</f>
        <v/>
      </c>
      <c r="K764" s="9">
        <f>IF(D764="","",IFERROR(INDEX('Stock pièces'!$D$5:$D$404,MATCH(D764,'Stock pièces'!$A$5:$A$404,0)),""))</f>
        <v/>
      </c>
      <c r="L764" s="7" t="n"/>
      <c r="M764" s="7" t="n"/>
    </row>
    <row r="765">
      <c r="A765" s="7" t="inlineStr">
        <is>
          <t>MV-00761</t>
        </is>
      </c>
      <c r="B765" s="75" t="n">
        <v>46065.41666666666</v>
      </c>
      <c r="C765" s="7" t="inlineStr">
        <is>
          <t>Entrée</t>
        </is>
      </c>
      <c r="D765" s="7" t="inlineStr">
        <is>
          <t>PD-0041</t>
        </is>
      </c>
      <c r="E765" s="9">
        <f>IF(D765="","",IFERROR(INDEX('Stock pièces'!$B$5:$B$404,MATCH(D765,'Stock pièces'!$A$5:$A$404,0)),"Réf. inconnue"))</f>
        <v/>
      </c>
      <c r="F765" s="67" t="n">
        <v>1</v>
      </c>
      <c r="G765" s="81">
        <f>IF(D765="","",IFERROR(INDEX('Stock pièces'!$I$5:$I$404,MATCH(D765,'Stock pièces'!$A$5:$A$404,0)),0))</f>
        <v/>
      </c>
      <c r="H765" s="81">
        <f>IF(D765="","",N(F765)*N(G765))</f>
        <v/>
      </c>
      <c r="I765" s="7" t="n"/>
      <c r="J765" s="9">
        <f>IF(I765="","",IFERROR(INDEX('Ordres de travail'!$D$5:$D$3004,MATCH(I765,'Ordres de travail'!$A$5:$A$3004,0)),""))</f>
        <v/>
      </c>
      <c r="K765" s="9">
        <f>IF(D765="","",IFERROR(INDEX('Stock pièces'!$D$5:$D$404,MATCH(D765,'Stock pièces'!$A$5:$A$404,0)),""))</f>
        <v/>
      </c>
      <c r="L765" s="7" t="inlineStr">
        <is>
          <t>CMD-24217</t>
        </is>
      </c>
      <c r="M765" s="7" t="inlineStr">
        <is>
          <t>Réception commande réappro</t>
        </is>
      </c>
    </row>
    <row r="766">
      <c r="A766" s="7" t="inlineStr">
        <is>
          <t>MV-00762</t>
        </is>
      </c>
      <c r="B766" s="75" t="n">
        <v>46065.41666666666</v>
      </c>
      <c r="C766" s="7" t="inlineStr">
        <is>
          <t>Entrée</t>
        </is>
      </c>
      <c r="D766" s="7" t="inlineStr">
        <is>
          <t>PD-0017</t>
        </is>
      </c>
      <c r="E766" s="9">
        <f>IF(D766="","",IFERROR(INDEX('Stock pièces'!$B$5:$B$404,MATCH(D766,'Stock pièces'!$A$5:$A$404,0)),"Réf. inconnue"))</f>
        <v/>
      </c>
      <c r="F766" s="67" t="n">
        <v>8</v>
      </c>
      <c r="G766" s="81">
        <f>IF(D766="","",IFERROR(INDEX('Stock pièces'!$I$5:$I$404,MATCH(D766,'Stock pièces'!$A$5:$A$404,0)),0))</f>
        <v/>
      </c>
      <c r="H766" s="81">
        <f>IF(D766="","",N(F766)*N(G766))</f>
        <v/>
      </c>
      <c r="I766" s="7" t="n"/>
      <c r="J766" s="9">
        <f>IF(I766="","",IFERROR(INDEX('Ordres de travail'!$D$5:$D$3004,MATCH(I766,'Ordres de travail'!$A$5:$A$3004,0)),""))</f>
        <v/>
      </c>
      <c r="K766" s="9">
        <f>IF(D766="","",IFERROR(INDEX('Stock pièces'!$D$5:$D$404,MATCH(D766,'Stock pièces'!$A$5:$A$404,0)),""))</f>
        <v/>
      </c>
      <c r="L766" s="7" t="inlineStr">
        <is>
          <t>CMD-24218</t>
        </is>
      </c>
      <c r="M766" s="7" t="inlineStr">
        <is>
          <t>Réception commande réappro</t>
        </is>
      </c>
    </row>
    <row r="767">
      <c r="A767" s="7" t="inlineStr">
        <is>
          <t>MV-00763</t>
        </is>
      </c>
      <c r="B767" s="75" t="n">
        <v>46065.99027777778</v>
      </c>
      <c r="C767" s="7" t="inlineStr">
        <is>
          <t>Retour</t>
        </is>
      </c>
      <c r="D767" s="7" t="inlineStr">
        <is>
          <t>PD-0019</t>
        </is>
      </c>
      <c r="E767" s="9">
        <f>IF(D767="","",IFERROR(INDEX('Stock pièces'!$B$5:$B$404,MATCH(D767,'Stock pièces'!$A$5:$A$404,0)),"Réf. inconnue"))</f>
        <v/>
      </c>
      <c r="F767" s="67" t="n">
        <v>1</v>
      </c>
      <c r="G767" s="81">
        <f>IF(D767="","",IFERROR(INDEX('Stock pièces'!$I$5:$I$404,MATCH(D767,'Stock pièces'!$A$5:$A$404,0)),0))</f>
        <v/>
      </c>
      <c r="H767" s="81">
        <f>IF(D767="","",N(F767)*N(G767))</f>
        <v/>
      </c>
      <c r="I767" s="7" t="inlineStr">
        <is>
          <t>OT-2026-0083</t>
        </is>
      </c>
      <c r="J767" s="9">
        <f>IF(I767="","",IFERROR(INDEX('Ordres de travail'!$D$5:$D$3004,MATCH(I767,'Ordres de travail'!$A$5:$A$3004,0)),""))</f>
        <v/>
      </c>
      <c r="K767" s="9">
        <f>IF(D767="","",IFERROR(INDEX('Stock pièces'!$D$5:$D$404,MATCH(D767,'Stock pièces'!$A$5:$A$404,0)),""))</f>
        <v/>
      </c>
      <c r="L767" s="7" t="n"/>
      <c r="M767" s="7" t="inlineStr">
        <is>
          <t>Pièce non utilisée</t>
        </is>
      </c>
    </row>
    <row r="768">
      <c r="A768" s="7" t="inlineStr">
        <is>
          <t>MV-00764</t>
        </is>
      </c>
      <c r="B768" s="75" t="n">
        <v>46066.41666666666</v>
      </c>
      <c r="C768" s="7" t="inlineStr">
        <is>
          <t>Entrée</t>
        </is>
      </c>
      <c r="D768" s="7" t="inlineStr">
        <is>
          <t>PD-0042</t>
        </is>
      </c>
      <c r="E768" s="9">
        <f>IF(D768="","",IFERROR(INDEX('Stock pièces'!$B$5:$B$404,MATCH(D768,'Stock pièces'!$A$5:$A$404,0)),"Réf. inconnue"))</f>
        <v/>
      </c>
      <c r="F768" s="67" t="n">
        <v>1</v>
      </c>
      <c r="G768" s="81">
        <f>IF(D768="","",IFERROR(INDEX('Stock pièces'!$I$5:$I$404,MATCH(D768,'Stock pièces'!$A$5:$A$404,0)),0))</f>
        <v/>
      </c>
      <c r="H768" s="81">
        <f>IF(D768="","",N(F768)*N(G768))</f>
        <v/>
      </c>
      <c r="I768" s="7" t="n"/>
      <c r="J768" s="9">
        <f>IF(I768="","",IFERROR(INDEX('Ordres de travail'!$D$5:$D$3004,MATCH(I768,'Ordres de travail'!$A$5:$A$3004,0)),""))</f>
        <v/>
      </c>
      <c r="K768" s="9">
        <f>IF(D768="","",IFERROR(INDEX('Stock pièces'!$D$5:$D$404,MATCH(D768,'Stock pièces'!$A$5:$A$404,0)),""))</f>
        <v/>
      </c>
      <c r="L768" s="7" t="inlineStr">
        <is>
          <t>CMD-24212</t>
        </is>
      </c>
      <c r="M768" s="7" t="inlineStr">
        <is>
          <t>Réception commande réappro</t>
        </is>
      </c>
    </row>
    <row r="769">
      <c r="A769" s="7" t="inlineStr">
        <is>
          <t>MV-00765</t>
        </is>
      </c>
      <c r="B769" s="75" t="n">
        <v>46066.95277777778</v>
      </c>
      <c r="C769" s="7" t="inlineStr">
        <is>
          <t>Sortie</t>
        </is>
      </c>
      <c r="D769" s="7" t="inlineStr">
        <is>
          <t>PD-0068</t>
        </is>
      </c>
      <c r="E769" s="9">
        <f>IF(D769="","",IFERROR(INDEX('Stock pièces'!$B$5:$B$404,MATCH(D769,'Stock pièces'!$A$5:$A$404,0)),"Réf. inconnue"))</f>
        <v/>
      </c>
      <c r="F769" s="67" t="n">
        <v>1</v>
      </c>
      <c r="G769" s="81">
        <f>IF(D769="","",IFERROR(INDEX('Stock pièces'!$I$5:$I$404,MATCH(D769,'Stock pièces'!$A$5:$A$404,0)),0))</f>
        <v/>
      </c>
      <c r="H769" s="81">
        <f>IF(D769="","",N(F769)*N(G769))</f>
        <v/>
      </c>
      <c r="I769" s="7" t="inlineStr">
        <is>
          <t>OT-2026-0090</t>
        </is>
      </c>
      <c r="J769" s="9">
        <f>IF(I769="","",IFERROR(INDEX('Ordres de travail'!$D$5:$D$3004,MATCH(I769,'Ordres de travail'!$A$5:$A$3004,0)),""))</f>
        <v/>
      </c>
      <c r="K769" s="9">
        <f>IF(D769="","",IFERROR(INDEX('Stock pièces'!$D$5:$D$404,MATCH(D769,'Stock pièces'!$A$5:$A$404,0)),""))</f>
        <v/>
      </c>
      <c r="L769" s="7" t="n"/>
      <c r="M769" s="7" t="n"/>
    </row>
    <row r="770">
      <c r="A770" s="7" t="inlineStr">
        <is>
          <t>MV-00766</t>
        </is>
      </c>
      <c r="B770" s="75" t="n">
        <v>46068.425</v>
      </c>
      <c r="C770" s="7" t="inlineStr">
        <is>
          <t>Sortie</t>
        </is>
      </c>
      <c r="D770" s="7" t="inlineStr">
        <is>
          <t>PD-0050</t>
        </is>
      </c>
      <c r="E770" s="9">
        <f>IF(D770="","",IFERROR(INDEX('Stock pièces'!$B$5:$B$404,MATCH(D770,'Stock pièces'!$A$5:$A$404,0)),"Réf. inconnue"))</f>
        <v/>
      </c>
      <c r="F770" s="67" t="n">
        <v>2</v>
      </c>
      <c r="G770" s="81">
        <f>IF(D770="","",IFERROR(INDEX('Stock pièces'!$I$5:$I$404,MATCH(D770,'Stock pièces'!$A$5:$A$404,0)),0))</f>
        <v/>
      </c>
      <c r="H770" s="81">
        <f>IF(D770="","",N(F770)*N(G770))</f>
        <v/>
      </c>
      <c r="I770" s="7" t="inlineStr">
        <is>
          <t>OT-2026-0089</t>
        </is>
      </c>
      <c r="J770" s="9">
        <f>IF(I770="","",IFERROR(INDEX('Ordres de travail'!$D$5:$D$3004,MATCH(I770,'Ordres de travail'!$A$5:$A$3004,0)),""))</f>
        <v/>
      </c>
      <c r="K770" s="9">
        <f>IF(D770="","",IFERROR(INDEX('Stock pièces'!$D$5:$D$404,MATCH(D770,'Stock pièces'!$A$5:$A$404,0)),""))</f>
        <v/>
      </c>
      <c r="L770" s="7" t="n"/>
      <c r="M770" s="7" t="n"/>
    </row>
    <row r="771">
      <c r="A771" s="7" t="inlineStr">
        <is>
          <t>MV-00767</t>
        </is>
      </c>
      <c r="B771" s="75" t="n">
        <v>46069.41666666666</v>
      </c>
      <c r="C771" s="7" t="inlineStr">
        <is>
          <t>Entrée</t>
        </is>
      </c>
      <c r="D771" s="7" t="inlineStr">
        <is>
          <t>PD-0073</t>
        </is>
      </c>
      <c r="E771" s="9">
        <f>IF(D771="","",IFERROR(INDEX('Stock pièces'!$B$5:$B$404,MATCH(D771,'Stock pièces'!$A$5:$A$404,0)),"Réf. inconnue"))</f>
        <v/>
      </c>
      <c r="F771" s="67" t="n">
        <v>1</v>
      </c>
      <c r="G771" s="81">
        <f>IF(D771="","",IFERROR(INDEX('Stock pièces'!$I$5:$I$404,MATCH(D771,'Stock pièces'!$A$5:$A$404,0)),0))</f>
        <v/>
      </c>
      <c r="H771" s="81">
        <f>IF(D771="","",N(F771)*N(G771))</f>
        <v/>
      </c>
      <c r="I771" s="7" t="n"/>
      <c r="J771" s="9">
        <f>IF(I771="","",IFERROR(INDEX('Ordres de travail'!$D$5:$D$3004,MATCH(I771,'Ordres de travail'!$A$5:$A$3004,0)),""))</f>
        <v/>
      </c>
      <c r="K771" s="9">
        <f>IF(D771="","",IFERROR(INDEX('Stock pièces'!$D$5:$D$404,MATCH(D771,'Stock pièces'!$A$5:$A$404,0)),""))</f>
        <v/>
      </c>
      <c r="L771" s="7" t="inlineStr">
        <is>
          <t>CMD-24214</t>
        </is>
      </c>
      <c r="M771" s="7" t="inlineStr">
        <is>
          <t>Réception commande réappro</t>
        </is>
      </c>
    </row>
    <row r="772">
      <c r="A772" s="7" t="inlineStr">
        <is>
          <t>MV-00768</t>
        </is>
      </c>
      <c r="B772" s="75" t="n">
        <v>46069.49652777778</v>
      </c>
      <c r="C772" s="7" t="inlineStr">
        <is>
          <t>Sortie</t>
        </is>
      </c>
      <c r="D772" s="7" t="inlineStr">
        <is>
          <t>PD-0058</t>
        </is>
      </c>
      <c r="E772" s="9">
        <f>IF(D772="","",IFERROR(INDEX('Stock pièces'!$B$5:$B$404,MATCH(D772,'Stock pièces'!$A$5:$A$404,0)),"Réf. inconnue"))</f>
        <v/>
      </c>
      <c r="F772" s="67" t="n">
        <v>1</v>
      </c>
      <c r="G772" s="81">
        <f>IF(D772="","",IFERROR(INDEX('Stock pièces'!$I$5:$I$404,MATCH(D772,'Stock pièces'!$A$5:$A$404,0)),0))</f>
        <v/>
      </c>
      <c r="H772" s="81">
        <f>IF(D772="","",N(F772)*N(G772))</f>
        <v/>
      </c>
      <c r="I772" s="7" t="inlineStr">
        <is>
          <t>OT-2026-0080</t>
        </is>
      </c>
      <c r="J772" s="9">
        <f>IF(I772="","",IFERROR(INDEX('Ordres de travail'!$D$5:$D$3004,MATCH(I772,'Ordres de travail'!$A$5:$A$3004,0)),""))</f>
        <v/>
      </c>
      <c r="K772" s="9">
        <f>IF(D772="","",IFERROR(INDEX('Stock pièces'!$D$5:$D$404,MATCH(D772,'Stock pièces'!$A$5:$A$404,0)),""))</f>
        <v/>
      </c>
      <c r="L772" s="7" t="n"/>
      <c r="M772" s="7" t="n"/>
    </row>
    <row r="773">
      <c r="A773" s="7" t="inlineStr">
        <is>
          <t>MV-00769</t>
        </is>
      </c>
      <c r="B773" s="75" t="n">
        <v>46069.49652777778</v>
      </c>
      <c r="C773" s="7" t="inlineStr">
        <is>
          <t>Sortie</t>
        </is>
      </c>
      <c r="D773" s="7" t="inlineStr">
        <is>
          <t>PD-0059</t>
        </is>
      </c>
      <c r="E773" s="9">
        <f>IF(D773="","",IFERROR(INDEX('Stock pièces'!$B$5:$B$404,MATCH(D773,'Stock pièces'!$A$5:$A$404,0)),"Réf. inconnue"))</f>
        <v/>
      </c>
      <c r="F773" s="67" t="n">
        <v>1</v>
      </c>
      <c r="G773" s="81">
        <f>IF(D773="","",IFERROR(INDEX('Stock pièces'!$I$5:$I$404,MATCH(D773,'Stock pièces'!$A$5:$A$404,0)),0))</f>
        <v/>
      </c>
      <c r="H773" s="81">
        <f>IF(D773="","",N(F773)*N(G773))</f>
        <v/>
      </c>
      <c r="I773" s="7" t="inlineStr">
        <is>
          <t>OT-2026-0080</t>
        </is>
      </c>
      <c r="J773" s="9">
        <f>IF(I773="","",IFERROR(INDEX('Ordres de travail'!$D$5:$D$3004,MATCH(I773,'Ordres de travail'!$A$5:$A$3004,0)),""))</f>
        <v/>
      </c>
      <c r="K773" s="9">
        <f>IF(D773="","",IFERROR(INDEX('Stock pièces'!$D$5:$D$404,MATCH(D773,'Stock pièces'!$A$5:$A$404,0)),""))</f>
        <v/>
      </c>
      <c r="L773" s="7" t="n"/>
      <c r="M773" s="7" t="n"/>
    </row>
    <row r="774">
      <c r="A774" s="7" t="inlineStr">
        <is>
          <t>MV-00770</t>
        </is>
      </c>
      <c r="B774" s="75" t="n">
        <v>46070.30069444444</v>
      </c>
      <c r="C774" s="7" t="inlineStr">
        <is>
          <t>Sortie</t>
        </is>
      </c>
      <c r="D774" s="7" t="inlineStr">
        <is>
          <t>PD-0021</t>
        </is>
      </c>
      <c r="E774" s="9">
        <f>IF(D774="","",IFERROR(INDEX('Stock pièces'!$B$5:$B$404,MATCH(D774,'Stock pièces'!$A$5:$A$404,0)),"Réf. inconnue"))</f>
        <v/>
      </c>
      <c r="F774" s="67" t="n">
        <v>1</v>
      </c>
      <c r="G774" s="81">
        <f>IF(D774="","",IFERROR(INDEX('Stock pièces'!$I$5:$I$404,MATCH(D774,'Stock pièces'!$A$5:$A$404,0)),0))</f>
        <v/>
      </c>
      <c r="H774" s="81">
        <f>IF(D774="","",N(F774)*N(G774))</f>
        <v/>
      </c>
      <c r="I774" s="7" t="inlineStr">
        <is>
          <t>OT-2026-0102</t>
        </is>
      </c>
      <c r="J774" s="9">
        <f>IF(I774="","",IFERROR(INDEX('Ordres de travail'!$D$5:$D$3004,MATCH(I774,'Ordres de travail'!$A$5:$A$3004,0)),""))</f>
        <v/>
      </c>
      <c r="K774" s="9">
        <f>IF(D774="","",IFERROR(INDEX('Stock pièces'!$D$5:$D$404,MATCH(D774,'Stock pièces'!$A$5:$A$404,0)),""))</f>
        <v/>
      </c>
      <c r="L774" s="7" t="n"/>
      <c r="M774" s="7" t="n"/>
    </row>
    <row r="775">
      <c r="A775" s="7" t="inlineStr">
        <is>
          <t>MV-00771</t>
        </is>
      </c>
      <c r="B775" s="75" t="n">
        <v>46070.30555555555</v>
      </c>
      <c r="C775" s="7" t="inlineStr">
        <is>
          <t>Sortie</t>
        </is>
      </c>
      <c r="D775" s="7" t="inlineStr">
        <is>
          <t>PD-0025</t>
        </is>
      </c>
      <c r="E775" s="9">
        <f>IF(D775="","",IFERROR(INDEX('Stock pièces'!$B$5:$B$404,MATCH(D775,'Stock pièces'!$A$5:$A$404,0)),"Réf. inconnue"))</f>
        <v/>
      </c>
      <c r="F775" s="67" t="n">
        <v>3</v>
      </c>
      <c r="G775" s="81">
        <f>IF(D775="","",IFERROR(INDEX('Stock pièces'!$I$5:$I$404,MATCH(D775,'Stock pièces'!$A$5:$A$404,0)),0))</f>
        <v/>
      </c>
      <c r="H775" s="81">
        <f>IF(D775="","",N(F775)*N(G775))</f>
        <v/>
      </c>
      <c r="I775" s="7" t="inlineStr">
        <is>
          <t>OT-2026-0084</t>
        </is>
      </c>
      <c r="J775" s="9">
        <f>IF(I775="","",IFERROR(INDEX('Ordres de travail'!$D$5:$D$3004,MATCH(I775,'Ordres de travail'!$A$5:$A$3004,0)),""))</f>
        <v/>
      </c>
      <c r="K775" s="9">
        <f>IF(D775="","",IFERROR(INDEX('Stock pièces'!$D$5:$D$404,MATCH(D775,'Stock pièces'!$A$5:$A$404,0)),""))</f>
        <v/>
      </c>
      <c r="L775" s="7" t="n"/>
      <c r="M775" s="7" t="n"/>
    </row>
    <row r="776">
      <c r="A776" s="7" t="inlineStr">
        <is>
          <t>MV-00772</t>
        </is>
      </c>
      <c r="B776" s="75" t="n">
        <v>46070.75069444445</v>
      </c>
      <c r="C776" s="7" t="inlineStr">
        <is>
          <t>Sortie</t>
        </is>
      </c>
      <c r="D776" s="7" t="inlineStr">
        <is>
          <t>PD-0038</t>
        </is>
      </c>
      <c r="E776" s="9">
        <f>IF(D776="","",IFERROR(INDEX('Stock pièces'!$B$5:$B$404,MATCH(D776,'Stock pièces'!$A$5:$A$404,0)),"Réf. inconnue"))</f>
        <v/>
      </c>
      <c r="F776" s="67" t="n">
        <v>1</v>
      </c>
      <c r="G776" s="81">
        <f>IF(D776="","",IFERROR(INDEX('Stock pièces'!$I$5:$I$404,MATCH(D776,'Stock pièces'!$A$5:$A$404,0)),0))</f>
        <v/>
      </c>
      <c r="H776" s="81">
        <f>IF(D776="","",N(F776)*N(G776))</f>
        <v/>
      </c>
      <c r="I776" s="7" t="inlineStr">
        <is>
          <t>OT-2026-0098</t>
        </is>
      </c>
      <c r="J776" s="9">
        <f>IF(I776="","",IFERROR(INDEX('Ordres de travail'!$D$5:$D$3004,MATCH(I776,'Ordres de travail'!$A$5:$A$3004,0)),""))</f>
        <v/>
      </c>
      <c r="K776" s="9">
        <f>IF(D776="","",IFERROR(INDEX('Stock pièces'!$D$5:$D$404,MATCH(D776,'Stock pièces'!$A$5:$A$404,0)),""))</f>
        <v/>
      </c>
      <c r="L776" s="7" t="n"/>
      <c r="M776" s="7" t="n"/>
    </row>
    <row r="777">
      <c r="A777" s="7" t="inlineStr">
        <is>
          <t>MV-00773</t>
        </is>
      </c>
      <c r="B777" s="75" t="n">
        <v>46071.30555555555</v>
      </c>
      <c r="C777" s="7" t="inlineStr">
        <is>
          <t>Retour</t>
        </is>
      </c>
      <c r="D777" s="7" t="inlineStr">
        <is>
          <t>PD-0025</t>
        </is>
      </c>
      <c r="E777" s="9">
        <f>IF(D777="","",IFERROR(INDEX('Stock pièces'!$B$5:$B$404,MATCH(D777,'Stock pièces'!$A$5:$A$404,0)),"Réf. inconnue"))</f>
        <v/>
      </c>
      <c r="F777" s="67" t="n">
        <v>1</v>
      </c>
      <c r="G777" s="81">
        <f>IF(D777="","",IFERROR(INDEX('Stock pièces'!$I$5:$I$404,MATCH(D777,'Stock pièces'!$A$5:$A$404,0)),0))</f>
        <v/>
      </c>
      <c r="H777" s="81">
        <f>IF(D777="","",N(F777)*N(G777))</f>
        <v/>
      </c>
      <c r="I777" s="7" t="inlineStr">
        <is>
          <t>OT-2026-0084</t>
        </is>
      </c>
      <c r="J777" s="9">
        <f>IF(I777="","",IFERROR(INDEX('Ordres de travail'!$D$5:$D$3004,MATCH(I777,'Ordres de travail'!$A$5:$A$3004,0)),""))</f>
        <v/>
      </c>
      <c r="K777" s="9">
        <f>IF(D777="","",IFERROR(INDEX('Stock pièces'!$D$5:$D$404,MATCH(D777,'Stock pièces'!$A$5:$A$404,0)),""))</f>
        <v/>
      </c>
      <c r="L777" s="7" t="n"/>
      <c r="M777" s="7" t="inlineStr">
        <is>
          <t>Pièce non utilisée</t>
        </is>
      </c>
    </row>
    <row r="778">
      <c r="A778" s="7" t="inlineStr">
        <is>
          <t>MV-00774</t>
        </is>
      </c>
      <c r="B778" s="75" t="n">
        <v>46071.41666666666</v>
      </c>
      <c r="C778" s="7" t="inlineStr">
        <is>
          <t>Entrée</t>
        </is>
      </c>
      <c r="D778" s="7" t="inlineStr">
        <is>
          <t>PD-0030</t>
        </is>
      </c>
      <c r="E778" s="9">
        <f>IF(D778="","",IFERROR(INDEX('Stock pièces'!$B$5:$B$404,MATCH(D778,'Stock pièces'!$A$5:$A$404,0)),"Réf. inconnue"))</f>
        <v/>
      </c>
      <c r="F778" s="67" t="n">
        <v>1</v>
      </c>
      <c r="G778" s="81">
        <f>IF(D778="","",IFERROR(INDEX('Stock pièces'!$I$5:$I$404,MATCH(D778,'Stock pièces'!$A$5:$A$404,0)),0))</f>
        <v/>
      </c>
      <c r="H778" s="81">
        <f>IF(D778="","",N(F778)*N(G778))</f>
        <v/>
      </c>
      <c r="I778" s="7" t="n"/>
      <c r="J778" s="9">
        <f>IF(I778="","",IFERROR(INDEX('Ordres de travail'!$D$5:$D$3004,MATCH(I778,'Ordres de travail'!$A$5:$A$3004,0)),""))</f>
        <v/>
      </c>
      <c r="K778" s="9">
        <f>IF(D778="","",IFERROR(INDEX('Stock pièces'!$D$5:$D$404,MATCH(D778,'Stock pièces'!$A$5:$A$404,0)),""))</f>
        <v/>
      </c>
      <c r="L778" s="7" t="inlineStr">
        <is>
          <t>CMD-24221</t>
        </is>
      </c>
      <c r="M778" s="7" t="inlineStr">
        <is>
          <t>Réception commande réappro</t>
        </is>
      </c>
    </row>
    <row r="779">
      <c r="A779" s="7" t="inlineStr">
        <is>
          <t>MV-00775</t>
        </is>
      </c>
      <c r="B779" s="75" t="n">
        <v>46072.57986111111</v>
      </c>
      <c r="C779" s="7" t="inlineStr">
        <is>
          <t>Sortie</t>
        </is>
      </c>
      <c r="D779" s="7" t="inlineStr">
        <is>
          <t>PD-0040</t>
        </is>
      </c>
      <c r="E779" s="9">
        <f>IF(D779="","",IFERROR(INDEX('Stock pièces'!$B$5:$B$404,MATCH(D779,'Stock pièces'!$A$5:$A$404,0)),"Réf. inconnue"))</f>
        <v/>
      </c>
      <c r="F779" s="67" t="n">
        <v>1</v>
      </c>
      <c r="G779" s="81">
        <f>IF(D779="","",IFERROR(INDEX('Stock pièces'!$I$5:$I$404,MATCH(D779,'Stock pièces'!$A$5:$A$404,0)),0))</f>
        <v/>
      </c>
      <c r="H779" s="81">
        <f>IF(D779="","",N(F779)*N(G779))</f>
        <v/>
      </c>
      <c r="I779" s="7" t="inlineStr">
        <is>
          <t>OT-2026-0111</t>
        </is>
      </c>
      <c r="J779" s="9">
        <f>IF(I779="","",IFERROR(INDEX('Ordres de travail'!$D$5:$D$3004,MATCH(I779,'Ordres de travail'!$A$5:$A$3004,0)),""))</f>
        <v/>
      </c>
      <c r="K779" s="9">
        <f>IF(D779="","",IFERROR(INDEX('Stock pièces'!$D$5:$D$404,MATCH(D779,'Stock pièces'!$A$5:$A$404,0)),""))</f>
        <v/>
      </c>
      <c r="L779" s="7" t="n"/>
      <c r="M779" s="7" t="n"/>
    </row>
    <row r="780">
      <c r="A780" s="7" t="inlineStr">
        <is>
          <t>MV-00776</t>
        </is>
      </c>
      <c r="B780" s="75" t="n">
        <v>46073.41666666666</v>
      </c>
      <c r="C780" s="7" t="inlineStr">
        <is>
          <t>Entrée</t>
        </is>
      </c>
      <c r="D780" s="7" t="inlineStr">
        <is>
          <t>PD-0060</t>
        </is>
      </c>
      <c r="E780" s="9">
        <f>IF(D780="","",IFERROR(INDEX('Stock pièces'!$B$5:$B$404,MATCH(D780,'Stock pièces'!$A$5:$A$404,0)),"Réf. inconnue"))</f>
        <v/>
      </c>
      <c r="F780" s="67" t="n">
        <v>1</v>
      </c>
      <c r="G780" s="81">
        <f>IF(D780="","",IFERROR(INDEX('Stock pièces'!$I$5:$I$404,MATCH(D780,'Stock pièces'!$A$5:$A$404,0)),0))</f>
        <v/>
      </c>
      <c r="H780" s="81">
        <f>IF(D780="","",N(F780)*N(G780))</f>
        <v/>
      </c>
      <c r="I780" s="7" t="n"/>
      <c r="J780" s="9">
        <f>IF(I780="","",IFERROR(INDEX('Ordres de travail'!$D$5:$D$3004,MATCH(I780,'Ordres de travail'!$A$5:$A$3004,0)),""))</f>
        <v/>
      </c>
      <c r="K780" s="9">
        <f>IF(D780="","",IFERROR(INDEX('Stock pièces'!$D$5:$D$404,MATCH(D780,'Stock pièces'!$A$5:$A$404,0)),""))</f>
        <v/>
      </c>
      <c r="L780" s="7" t="inlineStr">
        <is>
          <t>CMD-24220</t>
        </is>
      </c>
      <c r="M780" s="7" t="inlineStr">
        <is>
          <t>Réception commande réappro</t>
        </is>
      </c>
    </row>
    <row r="781">
      <c r="A781" s="7" t="inlineStr">
        <is>
          <t>MV-00777</t>
        </is>
      </c>
      <c r="B781" s="75" t="n">
        <v>46076.41666666666</v>
      </c>
      <c r="C781" s="7" t="inlineStr">
        <is>
          <t>Entrée</t>
        </is>
      </c>
      <c r="D781" s="7" t="inlineStr">
        <is>
          <t>PD-0040</t>
        </is>
      </c>
      <c r="E781" s="9">
        <f>IF(D781="","",IFERROR(INDEX('Stock pièces'!$B$5:$B$404,MATCH(D781,'Stock pièces'!$A$5:$A$404,0)),"Réf. inconnue"))</f>
        <v/>
      </c>
      <c r="F781" s="67" t="n">
        <v>5</v>
      </c>
      <c r="G781" s="81">
        <f>IF(D781="","",IFERROR(INDEX('Stock pièces'!$I$5:$I$404,MATCH(D781,'Stock pièces'!$A$5:$A$404,0)),0))</f>
        <v/>
      </c>
      <c r="H781" s="81">
        <f>IF(D781="","",N(F781)*N(G781))</f>
        <v/>
      </c>
      <c r="I781" s="7" t="n"/>
      <c r="J781" s="9">
        <f>IF(I781="","",IFERROR(INDEX('Ordres de travail'!$D$5:$D$3004,MATCH(I781,'Ordres de travail'!$A$5:$A$3004,0)),""))</f>
        <v/>
      </c>
      <c r="K781" s="9">
        <f>IF(D781="","",IFERROR(INDEX('Stock pièces'!$D$5:$D$404,MATCH(D781,'Stock pièces'!$A$5:$A$404,0)),""))</f>
        <v/>
      </c>
      <c r="L781" s="7" t="inlineStr">
        <is>
          <t>CMD-24223</t>
        </is>
      </c>
      <c r="M781" s="7" t="inlineStr">
        <is>
          <t>Réception commande réappro</t>
        </is>
      </c>
    </row>
    <row r="782">
      <c r="A782" s="7" t="inlineStr">
        <is>
          <t>MV-00778</t>
        </is>
      </c>
      <c r="B782" s="75" t="n">
        <v>46076.50694444445</v>
      </c>
      <c r="C782" s="7" t="inlineStr">
        <is>
          <t>Sortie</t>
        </is>
      </c>
      <c r="D782" s="7" t="inlineStr">
        <is>
          <t>PD-0025</t>
        </is>
      </c>
      <c r="E782" s="9">
        <f>IF(D782="","",IFERROR(INDEX('Stock pièces'!$B$5:$B$404,MATCH(D782,'Stock pièces'!$A$5:$A$404,0)),"Réf. inconnue"))</f>
        <v/>
      </c>
      <c r="F782" s="67" t="n">
        <v>2</v>
      </c>
      <c r="G782" s="81">
        <f>IF(D782="","",IFERROR(INDEX('Stock pièces'!$I$5:$I$404,MATCH(D782,'Stock pièces'!$A$5:$A$404,0)),0))</f>
        <v/>
      </c>
      <c r="H782" s="81">
        <f>IF(D782="","",N(F782)*N(G782))</f>
        <v/>
      </c>
      <c r="I782" s="7" t="inlineStr">
        <is>
          <t>OT-2026-0093</t>
        </is>
      </c>
      <c r="J782" s="9">
        <f>IF(I782="","",IFERROR(INDEX('Ordres de travail'!$D$5:$D$3004,MATCH(I782,'Ordres de travail'!$A$5:$A$3004,0)),""))</f>
        <v/>
      </c>
      <c r="K782" s="9">
        <f>IF(D782="","",IFERROR(INDEX('Stock pièces'!$D$5:$D$404,MATCH(D782,'Stock pièces'!$A$5:$A$404,0)),""))</f>
        <v/>
      </c>
      <c r="L782" s="7" t="n"/>
      <c r="M782" s="7" t="n"/>
    </row>
    <row r="783">
      <c r="A783" s="7" t="inlineStr">
        <is>
          <t>MV-00779</t>
        </is>
      </c>
      <c r="B783" s="75" t="n">
        <v>46076.56944444445</v>
      </c>
      <c r="C783" s="7" t="inlineStr">
        <is>
          <t>Sortie</t>
        </is>
      </c>
      <c r="D783" s="7" t="inlineStr">
        <is>
          <t>PD-0025</t>
        </is>
      </c>
      <c r="E783" s="9">
        <f>IF(D783="","",IFERROR(INDEX('Stock pièces'!$B$5:$B$404,MATCH(D783,'Stock pièces'!$A$5:$A$404,0)),"Réf. inconnue"))</f>
        <v/>
      </c>
      <c r="F783" s="67" t="n">
        <v>1</v>
      </c>
      <c r="G783" s="81">
        <f>IF(D783="","",IFERROR(INDEX('Stock pièces'!$I$5:$I$404,MATCH(D783,'Stock pièces'!$A$5:$A$404,0)),0))</f>
        <v/>
      </c>
      <c r="H783" s="81">
        <f>IF(D783="","",N(F783)*N(G783))</f>
        <v/>
      </c>
      <c r="I783" s="7" t="inlineStr">
        <is>
          <t>OT-2026-0092</t>
        </is>
      </c>
      <c r="J783" s="9">
        <f>IF(I783="","",IFERROR(INDEX('Ordres de travail'!$D$5:$D$3004,MATCH(I783,'Ordres de travail'!$A$5:$A$3004,0)),""))</f>
        <v/>
      </c>
      <c r="K783" s="9">
        <f>IF(D783="","",IFERROR(INDEX('Stock pièces'!$D$5:$D$404,MATCH(D783,'Stock pièces'!$A$5:$A$404,0)),""))</f>
        <v/>
      </c>
      <c r="L783" s="7" t="n"/>
      <c r="M783" s="7" t="n"/>
    </row>
    <row r="784">
      <c r="A784" s="7" t="inlineStr">
        <is>
          <t>MV-00780</t>
        </is>
      </c>
      <c r="B784" s="75" t="n">
        <v>46077.29861111111</v>
      </c>
      <c r="C784" s="7" t="inlineStr">
        <is>
          <t>Sortie</t>
        </is>
      </c>
      <c r="D784" s="7" t="inlineStr">
        <is>
          <t>PD-0019</t>
        </is>
      </c>
      <c r="E784" s="9">
        <f>IF(D784="","",IFERROR(INDEX('Stock pièces'!$B$5:$B$404,MATCH(D784,'Stock pièces'!$A$5:$A$404,0)),"Réf. inconnue"))</f>
        <v/>
      </c>
      <c r="F784" s="67" t="n">
        <v>3</v>
      </c>
      <c r="G784" s="81">
        <f>IF(D784="","",IFERROR(INDEX('Stock pièces'!$I$5:$I$404,MATCH(D784,'Stock pièces'!$A$5:$A$404,0)),0))</f>
        <v/>
      </c>
      <c r="H784" s="81">
        <f>IF(D784="","",N(F784)*N(G784))</f>
        <v/>
      </c>
      <c r="I784" s="7" t="inlineStr">
        <is>
          <t>OT-2026-0103</t>
        </is>
      </c>
      <c r="J784" s="9">
        <f>IF(I784="","",IFERROR(INDEX('Ordres de travail'!$D$5:$D$3004,MATCH(I784,'Ordres de travail'!$A$5:$A$3004,0)),""))</f>
        <v/>
      </c>
      <c r="K784" s="9">
        <f>IF(D784="","",IFERROR(INDEX('Stock pièces'!$D$5:$D$404,MATCH(D784,'Stock pièces'!$A$5:$A$404,0)),""))</f>
        <v/>
      </c>
      <c r="L784" s="7" t="n"/>
      <c r="M784" s="7" t="n"/>
    </row>
    <row r="785">
      <c r="A785" s="7" t="inlineStr">
        <is>
          <t>MV-00781</t>
        </is>
      </c>
      <c r="B785" s="75" t="n">
        <v>46079.40277777778</v>
      </c>
      <c r="C785" s="7" t="inlineStr">
        <is>
          <t>Sortie</t>
        </is>
      </c>
      <c r="D785" s="7" t="inlineStr">
        <is>
          <t>PD-0025</t>
        </is>
      </c>
      <c r="E785" s="9">
        <f>IF(D785="","",IFERROR(INDEX('Stock pièces'!$B$5:$B$404,MATCH(D785,'Stock pièces'!$A$5:$A$404,0)),"Réf. inconnue"))</f>
        <v/>
      </c>
      <c r="F785" s="67" t="n">
        <v>1</v>
      </c>
      <c r="G785" s="81">
        <f>IF(D785="","",IFERROR(INDEX('Stock pièces'!$I$5:$I$404,MATCH(D785,'Stock pièces'!$A$5:$A$404,0)),0))</f>
        <v/>
      </c>
      <c r="H785" s="81">
        <f>IF(D785="","",N(F785)*N(G785))</f>
        <v/>
      </c>
      <c r="I785" s="7" t="inlineStr">
        <is>
          <t>OT-2026-0109</t>
        </is>
      </c>
      <c r="J785" s="9">
        <f>IF(I785="","",IFERROR(INDEX('Ordres de travail'!$D$5:$D$3004,MATCH(I785,'Ordres de travail'!$A$5:$A$3004,0)),""))</f>
        <v/>
      </c>
      <c r="K785" s="9">
        <f>IF(D785="","",IFERROR(INDEX('Stock pièces'!$D$5:$D$404,MATCH(D785,'Stock pièces'!$A$5:$A$404,0)),""))</f>
        <v/>
      </c>
      <c r="L785" s="7" t="n"/>
      <c r="M785" s="7" t="n"/>
    </row>
    <row r="786">
      <c r="A786" s="7" t="inlineStr">
        <is>
          <t>MV-00782</t>
        </is>
      </c>
      <c r="B786" s="75" t="n">
        <v>46079.42361111111</v>
      </c>
      <c r="C786" s="7" t="inlineStr">
        <is>
          <t>Sortie</t>
        </is>
      </c>
      <c r="D786" s="7" t="inlineStr">
        <is>
          <t>PD-0062</t>
        </is>
      </c>
      <c r="E786" s="9">
        <f>IF(D786="","",IFERROR(INDEX('Stock pièces'!$B$5:$B$404,MATCH(D786,'Stock pièces'!$A$5:$A$404,0)),"Réf. inconnue"))</f>
        <v/>
      </c>
      <c r="F786" s="67" t="n">
        <v>1</v>
      </c>
      <c r="G786" s="81">
        <f>IF(D786="","",IFERROR(INDEX('Stock pièces'!$I$5:$I$404,MATCH(D786,'Stock pièces'!$A$5:$A$404,0)),0))</f>
        <v/>
      </c>
      <c r="H786" s="81">
        <f>IF(D786="","",N(F786)*N(G786))</f>
        <v/>
      </c>
      <c r="I786" s="7" t="inlineStr">
        <is>
          <t>OT-2026-0108</t>
        </is>
      </c>
      <c r="J786" s="9">
        <f>IF(I786="","",IFERROR(INDEX('Ordres de travail'!$D$5:$D$3004,MATCH(I786,'Ordres de travail'!$A$5:$A$3004,0)),""))</f>
        <v/>
      </c>
      <c r="K786" s="9">
        <f>IF(D786="","",IFERROR(INDEX('Stock pièces'!$D$5:$D$404,MATCH(D786,'Stock pièces'!$A$5:$A$404,0)),""))</f>
        <v/>
      </c>
      <c r="L786" s="7" t="n"/>
      <c r="M786" s="7" t="n"/>
    </row>
    <row r="787">
      <c r="A787" s="7" t="inlineStr">
        <is>
          <t>MV-00783</t>
        </is>
      </c>
      <c r="B787" s="75" t="n">
        <v>46079.62708333333</v>
      </c>
      <c r="C787" s="7" t="inlineStr">
        <is>
          <t>Sortie</t>
        </is>
      </c>
      <c r="D787" s="7" t="inlineStr">
        <is>
          <t>PD-0040</t>
        </is>
      </c>
      <c r="E787" s="9">
        <f>IF(D787="","",IFERROR(INDEX('Stock pièces'!$B$5:$B$404,MATCH(D787,'Stock pièces'!$A$5:$A$404,0)),"Réf. inconnue"))</f>
        <v/>
      </c>
      <c r="F787" s="67" t="n">
        <v>1</v>
      </c>
      <c r="G787" s="81">
        <f>IF(D787="","",IFERROR(INDEX('Stock pièces'!$I$5:$I$404,MATCH(D787,'Stock pièces'!$A$5:$A$404,0)),0))</f>
        <v/>
      </c>
      <c r="H787" s="81">
        <f>IF(D787="","",N(F787)*N(G787))</f>
        <v/>
      </c>
      <c r="I787" s="7" t="inlineStr">
        <is>
          <t>OT-2026-0128</t>
        </is>
      </c>
      <c r="J787" s="9">
        <f>IF(I787="","",IFERROR(INDEX('Ordres de travail'!$D$5:$D$3004,MATCH(I787,'Ordres de travail'!$A$5:$A$3004,0)),""))</f>
        <v/>
      </c>
      <c r="K787" s="9">
        <f>IF(D787="","",IFERROR(INDEX('Stock pièces'!$D$5:$D$404,MATCH(D787,'Stock pièces'!$A$5:$A$404,0)),""))</f>
        <v/>
      </c>
      <c r="L787" s="7" t="n"/>
      <c r="M787" s="7" t="n"/>
    </row>
    <row r="788">
      <c r="A788" s="7" t="inlineStr">
        <is>
          <t>MV-00784</t>
        </is>
      </c>
      <c r="B788" s="75" t="n">
        <v>46083.28472222222</v>
      </c>
      <c r="C788" s="7" t="inlineStr">
        <is>
          <t>Sortie</t>
        </is>
      </c>
      <c r="D788" s="7" t="inlineStr">
        <is>
          <t>PD-0025</t>
        </is>
      </c>
      <c r="E788" s="9">
        <f>IF(D788="","",IFERROR(INDEX('Stock pièces'!$B$5:$B$404,MATCH(D788,'Stock pièces'!$A$5:$A$404,0)),"Réf. inconnue"))</f>
        <v/>
      </c>
      <c r="F788" s="67" t="n">
        <v>2</v>
      </c>
      <c r="G788" s="81">
        <f>IF(D788="","",IFERROR(INDEX('Stock pièces'!$I$5:$I$404,MATCH(D788,'Stock pièces'!$A$5:$A$404,0)),0))</f>
        <v/>
      </c>
      <c r="H788" s="81">
        <f>IF(D788="","",N(F788)*N(G788))</f>
        <v/>
      </c>
      <c r="I788" s="7" t="inlineStr">
        <is>
          <t>OT-2026-0121</t>
        </is>
      </c>
      <c r="J788" s="9">
        <f>IF(I788="","",IFERROR(INDEX('Ordres de travail'!$D$5:$D$3004,MATCH(I788,'Ordres de travail'!$A$5:$A$3004,0)),""))</f>
        <v/>
      </c>
      <c r="K788" s="9">
        <f>IF(D788="","",IFERROR(INDEX('Stock pièces'!$D$5:$D$404,MATCH(D788,'Stock pièces'!$A$5:$A$404,0)),""))</f>
        <v/>
      </c>
      <c r="L788" s="7" t="n"/>
      <c r="M788" s="7" t="n"/>
    </row>
    <row r="789">
      <c r="A789" s="7" t="inlineStr">
        <is>
          <t>MV-00785</t>
        </is>
      </c>
      <c r="B789" s="75" t="n">
        <v>46083.41666666666</v>
      </c>
      <c r="C789" s="7" t="inlineStr">
        <is>
          <t>Entrée</t>
        </is>
      </c>
      <c r="D789" s="7" t="inlineStr">
        <is>
          <t>PD-0019</t>
        </is>
      </c>
      <c r="E789" s="9">
        <f>IF(D789="","",IFERROR(INDEX('Stock pièces'!$B$5:$B$404,MATCH(D789,'Stock pièces'!$A$5:$A$404,0)),"Réf. inconnue"))</f>
        <v/>
      </c>
      <c r="F789" s="67" t="n">
        <v>18</v>
      </c>
      <c r="G789" s="81">
        <f>IF(D789="","",IFERROR(INDEX('Stock pièces'!$I$5:$I$404,MATCH(D789,'Stock pièces'!$A$5:$A$404,0)),0))</f>
        <v/>
      </c>
      <c r="H789" s="81">
        <f>IF(D789="","",N(F789)*N(G789))</f>
        <v/>
      </c>
      <c r="I789" s="7" t="n"/>
      <c r="J789" s="9">
        <f>IF(I789="","",IFERROR(INDEX('Ordres de travail'!$D$5:$D$3004,MATCH(I789,'Ordres de travail'!$A$5:$A$3004,0)),""))</f>
        <v/>
      </c>
      <c r="K789" s="9">
        <f>IF(D789="","",IFERROR(INDEX('Stock pièces'!$D$5:$D$404,MATCH(D789,'Stock pièces'!$A$5:$A$404,0)),""))</f>
        <v/>
      </c>
      <c r="L789" s="7" t="inlineStr">
        <is>
          <t>CMD-24224</t>
        </is>
      </c>
      <c r="M789" s="7" t="inlineStr">
        <is>
          <t>Réception commande réappro</t>
        </is>
      </c>
    </row>
    <row r="790">
      <c r="A790" s="7" t="inlineStr">
        <is>
          <t>MV-00786</t>
        </is>
      </c>
      <c r="B790" s="75" t="n">
        <v>46084.41666666666</v>
      </c>
      <c r="C790" s="7" t="inlineStr">
        <is>
          <t>Entrée</t>
        </is>
      </c>
      <c r="D790" s="7" t="inlineStr">
        <is>
          <t>PD-0068</t>
        </is>
      </c>
      <c r="E790" s="9">
        <f>IF(D790="","",IFERROR(INDEX('Stock pièces'!$B$5:$B$404,MATCH(D790,'Stock pièces'!$A$5:$A$404,0)),"Réf. inconnue"))</f>
        <v/>
      </c>
      <c r="F790" s="67" t="n">
        <v>1</v>
      </c>
      <c r="G790" s="81">
        <f>IF(D790="","",IFERROR(INDEX('Stock pièces'!$I$5:$I$404,MATCH(D790,'Stock pièces'!$A$5:$A$404,0)),0))</f>
        <v/>
      </c>
      <c r="H790" s="81">
        <f>IF(D790="","",N(F790)*N(G790))</f>
        <v/>
      </c>
      <c r="I790" s="7" t="n"/>
      <c r="J790" s="9">
        <f>IF(I790="","",IFERROR(INDEX('Ordres de travail'!$D$5:$D$3004,MATCH(I790,'Ordres de travail'!$A$5:$A$3004,0)),""))</f>
        <v/>
      </c>
      <c r="K790" s="9">
        <f>IF(D790="","",IFERROR(INDEX('Stock pièces'!$D$5:$D$404,MATCH(D790,'Stock pièces'!$A$5:$A$404,0)),""))</f>
        <v/>
      </c>
      <c r="L790" s="7" t="inlineStr">
        <is>
          <t>CMD-24222</t>
        </is>
      </c>
      <c r="M790" s="7" t="inlineStr">
        <is>
          <t>Réception commande réappro</t>
        </is>
      </c>
    </row>
    <row r="791">
      <c r="A791" s="7" t="inlineStr">
        <is>
          <t>MV-00787</t>
        </is>
      </c>
      <c r="B791" s="75" t="n">
        <v>46084.45833333334</v>
      </c>
      <c r="C791" s="7" t="inlineStr">
        <is>
          <t>Sortie</t>
        </is>
      </c>
      <c r="D791" s="7" t="inlineStr">
        <is>
          <t>PD-0017</t>
        </is>
      </c>
      <c r="E791" s="9">
        <f>IF(D791="","",IFERROR(INDEX('Stock pièces'!$B$5:$B$404,MATCH(D791,'Stock pièces'!$A$5:$A$404,0)),"Réf. inconnue"))</f>
        <v/>
      </c>
      <c r="F791" s="67" t="n">
        <v>1</v>
      </c>
      <c r="G791" s="81">
        <f>IF(D791="","",IFERROR(INDEX('Stock pièces'!$I$5:$I$404,MATCH(D791,'Stock pièces'!$A$5:$A$404,0)),0))</f>
        <v/>
      </c>
      <c r="H791" s="81">
        <f>IF(D791="","",N(F791)*N(G791))</f>
        <v/>
      </c>
      <c r="I791" s="7" t="inlineStr">
        <is>
          <t>OT-2026-0124</t>
        </is>
      </c>
      <c r="J791" s="9">
        <f>IF(I791="","",IFERROR(INDEX('Ordres de travail'!$D$5:$D$3004,MATCH(I791,'Ordres de travail'!$A$5:$A$3004,0)),""))</f>
        <v/>
      </c>
      <c r="K791" s="9">
        <f>IF(D791="","",IFERROR(INDEX('Stock pièces'!$D$5:$D$404,MATCH(D791,'Stock pièces'!$A$5:$A$404,0)),""))</f>
        <v/>
      </c>
      <c r="L791" s="7" t="n"/>
      <c r="M791" s="7" t="n"/>
    </row>
    <row r="792">
      <c r="A792" s="7" t="inlineStr">
        <is>
          <t>MV-00788</t>
        </is>
      </c>
      <c r="B792" s="75" t="n">
        <v>46090.28819444445</v>
      </c>
      <c r="C792" s="7" t="inlineStr">
        <is>
          <t>Sortie</t>
        </is>
      </c>
      <c r="D792" s="7" t="inlineStr">
        <is>
          <t>PD-0017</t>
        </is>
      </c>
      <c r="E792" s="9">
        <f>IF(D792="","",IFERROR(INDEX('Stock pièces'!$B$5:$B$404,MATCH(D792,'Stock pièces'!$A$5:$A$404,0)),"Réf. inconnue"))</f>
        <v/>
      </c>
      <c r="F792" s="67" t="n">
        <v>1</v>
      </c>
      <c r="G792" s="81">
        <f>IF(D792="","",IFERROR(INDEX('Stock pièces'!$I$5:$I$404,MATCH(D792,'Stock pièces'!$A$5:$A$404,0)),0))</f>
        <v/>
      </c>
      <c r="H792" s="81">
        <f>IF(D792="","",N(F792)*N(G792))</f>
        <v/>
      </c>
      <c r="I792" s="7" t="inlineStr">
        <is>
          <t>OT-2026-0137</t>
        </is>
      </c>
      <c r="J792" s="9">
        <f>IF(I792="","",IFERROR(INDEX('Ordres de travail'!$D$5:$D$3004,MATCH(I792,'Ordres de travail'!$A$5:$A$3004,0)),""))</f>
        <v/>
      </c>
      <c r="K792" s="9">
        <f>IF(D792="","",IFERROR(INDEX('Stock pièces'!$D$5:$D$404,MATCH(D792,'Stock pièces'!$A$5:$A$404,0)),""))</f>
        <v/>
      </c>
      <c r="L792" s="7" t="n"/>
      <c r="M792" s="7" t="n"/>
    </row>
    <row r="793">
      <c r="A793" s="7" t="inlineStr">
        <is>
          <t>MV-00789</t>
        </is>
      </c>
      <c r="B793" s="75" t="n">
        <v>46090.29305555556</v>
      </c>
      <c r="C793" s="7" t="inlineStr">
        <is>
          <t>Sortie</t>
        </is>
      </c>
      <c r="D793" s="7" t="inlineStr">
        <is>
          <t>PD-0043</t>
        </is>
      </c>
      <c r="E793" s="9">
        <f>IF(D793="","",IFERROR(INDEX('Stock pièces'!$B$5:$B$404,MATCH(D793,'Stock pièces'!$A$5:$A$404,0)),"Réf. inconnue"))</f>
        <v/>
      </c>
      <c r="F793" s="67" t="n">
        <v>1</v>
      </c>
      <c r="G793" s="81">
        <f>IF(D793="","",IFERROR(INDEX('Stock pièces'!$I$5:$I$404,MATCH(D793,'Stock pièces'!$A$5:$A$404,0)),0))</f>
        <v/>
      </c>
      <c r="H793" s="81">
        <f>IF(D793="","",N(F793)*N(G793))</f>
        <v/>
      </c>
      <c r="I793" s="7" t="inlineStr">
        <is>
          <t>OT-2026-0146</t>
        </is>
      </c>
      <c r="J793" s="9">
        <f>IF(I793="","",IFERROR(INDEX('Ordres de travail'!$D$5:$D$3004,MATCH(I793,'Ordres de travail'!$A$5:$A$3004,0)),""))</f>
        <v/>
      </c>
      <c r="K793" s="9">
        <f>IF(D793="","",IFERROR(INDEX('Stock pièces'!$D$5:$D$404,MATCH(D793,'Stock pièces'!$A$5:$A$404,0)),""))</f>
        <v/>
      </c>
      <c r="L793" s="7" t="n"/>
      <c r="M793" s="7" t="n"/>
    </row>
    <row r="794">
      <c r="A794" s="7" t="inlineStr">
        <is>
          <t>MV-00790</t>
        </is>
      </c>
      <c r="B794" s="75" t="n">
        <v>46090.29305555556</v>
      </c>
      <c r="C794" s="7" t="inlineStr">
        <is>
          <t>Sortie</t>
        </is>
      </c>
      <c r="D794" s="7" t="inlineStr">
        <is>
          <t>PD-0045</t>
        </is>
      </c>
      <c r="E794" s="9">
        <f>IF(D794="","",IFERROR(INDEX('Stock pièces'!$B$5:$B$404,MATCH(D794,'Stock pièces'!$A$5:$A$404,0)),"Réf. inconnue"))</f>
        <v/>
      </c>
      <c r="F794" s="67" t="n">
        <v>3</v>
      </c>
      <c r="G794" s="81">
        <f>IF(D794="","",IFERROR(INDEX('Stock pièces'!$I$5:$I$404,MATCH(D794,'Stock pièces'!$A$5:$A$404,0)),0))</f>
        <v/>
      </c>
      <c r="H794" s="81">
        <f>IF(D794="","",N(F794)*N(G794))</f>
        <v/>
      </c>
      <c r="I794" s="7" t="inlineStr">
        <is>
          <t>OT-2026-0146</t>
        </is>
      </c>
      <c r="J794" s="9">
        <f>IF(I794="","",IFERROR(INDEX('Ordres de travail'!$D$5:$D$3004,MATCH(I794,'Ordres de travail'!$A$5:$A$3004,0)),""))</f>
        <v/>
      </c>
      <c r="K794" s="9">
        <f>IF(D794="","",IFERROR(INDEX('Stock pièces'!$D$5:$D$404,MATCH(D794,'Stock pièces'!$A$5:$A$404,0)),""))</f>
        <v/>
      </c>
      <c r="L794" s="7" t="n"/>
      <c r="M794" s="7" t="n"/>
    </row>
    <row r="795">
      <c r="A795" s="7" t="inlineStr">
        <is>
          <t>MV-00791</t>
        </is>
      </c>
      <c r="B795" s="75" t="n">
        <v>46090.76527777778</v>
      </c>
      <c r="C795" s="7" t="inlineStr">
        <is>
          <t>Sortie</t>
        </is>
      </c>
      <c r="D795" s="7" t="inlineStr">
        <is>
          <t>PD-0057</t>
        </is>
      </c>
      <c r="E795" s="9">
        <f>IF(D795="","",IFERROR(INDEX('Stock pièces'!$B$5:$B$404,MATCH(D795,'Stock pièces'!$A$5:$A$404,0)),"Réf. inconnue"))</f>
        <v/>
      </c>
      <c r="F795" s="67" t="n">
        <v>1</v>
      </c>
      <c r="G795" s="81">
        <f>IF(D795="","",IFERROR(INDEX('Stock pièces'!$I$5:$I$404,MATCH(D795,'Stock pièces'!$A$5:$A$404,0)),0))</f>
        <v/>
      </c>
      <c r="H795" s="81">
        <f>IF(D795="","",N(F795)*N(G795))</f>
        <v/>
      </c>
      <c r="I795" s="7" t="inlineStr">
        <is>
          <t>OT-2026-0150</t>
        </is>
      </c>
      <c r="J795" s="9">
        <f>IF(I795="","",IFERROR(INDEX('Ordres de travail'!$D$5:$D$3004,MATCH(I795,'Ordres de travail'!$A$5:$A$3004,0)),""))</f>
        <v/>
      </c>
      <c r="K795" s="9">
        <f>IF(D795="","",IFERROR(INDEX('Stock pièces'!$D$5:$D$404,MATCH(D795,'Stock pièces'!$A$5:$A$404,0)),""))</f>
        <v/>
      </c>
      <c r="L795" s="7" t="n"/>
      <c r="M795" s="7" t="n"/>
    </row>
    <row r="796">
      <c r="A796" s="7" t="inlineStr">
        <is>
          <t>MV-00792</t>
        </is>
      </c>
      <c r="B796" s="75" t="n">
        <v>46090.88125</v>
      </c>
      <c r="C796" s="7" t="inlineStr">
        <is>
          <t>Sortie</t>
        </is>
      </c>
      <c r="D796" s="7" t="inlineStr">
        <is>
          <t>PD-0030</t>
        </is>
      </c>
      <c r="E796" s="9">
        <f>IF(D796="","",IFERROR(INDEX('Stock pièces'!$B$5:$B$404,MATCH(D796,'Stock pièces'!$A$5:$A$404,0)),"Réf. inconnue"))</f>
        <v/>
      </c>
      <c r="F796" s="67" t="n">
        <v>1</v>
      </c>
      <c r="G796" s="81">
        <f>IF(D796="","",IFERROR(INDEX('Stock pièces'!$I$5:$I$404,MATCH(D796,'Stock pièces'!$A$5:$A$404,0)),0))</f>
        <v/>
      </c>
      <c r="H796" s="81">
        <f>IF(D796="","",N(F796)*N(G796))</f>
        <v/>
      </c>
      <c r="I796" s="7" t="inlineStr">
        <is>
          <t>OT-2026-0151</t>
        </is>
      </c>
      <c r="J796" s="9">
        <f>IF(I796="","",IFERROR(INDEX('Ordres de travail'!$D$5:$D$3004,MATCH(I796,'Ordres de travail'!$A$5:$A$3004,0)),""))</f>
        <v/>
      </c>
      <c r="K796" s="9">
        <f>IF(D796="","",IFERROR(INDEX('Stock pièces'!$D$5:$D$404,MATCH(D796,'Stock pièces'!$A$5:$A$404,0)),""))</f>
        <v/>
      </c>
      <c r="L796" s="7" t="n"/>
      <c r="M796" s="7" t="n"/>
    </row>
    <row r="797">
      <c r="A797" s="7" t="inlineStr">
        <is>
          <t>MV-00793</t>
        </is>
      </c>
      <c r="B797" s="75" t="n">
        <v>46090.88125</v>
      </c>
      <c r="C797" s="7" t="inlineStr">
        <is>
          <t>Sortie</t>
        </is>
      </c>
      <c r="D797" s="7" t="inlineStr">
        <is>
          <t>PD-0036</t>
        </is>
      </c>
      <c r="E797" s="9">
        <f>IF(D797="","",IFERROR(INDEX('Stock pièces'!$B$5:$B$404,MATCH(D797,'Stock pièces'!$A$5:$A$404,0)),"Réf. inconnue"))</f>
        <v/>
      </c>
      <c r="F797" s="67" t="n">
        <v>2</v>
      </c>
      <c r="G797" s="81">
        <f>IF(D797="","",IFERROR(INDEX('Stock pièces'!$I$5:$I$404,MATCH(D797,'Stock pièces'!$A$5:$A$404,0)),0))</f>
        <v/>
      </c>
      <c r="H797" s="81">
        <f>IF(D797="","",N(F797)*N(G797))</f>
        <v/>
      </c>
      <c r="I797" s="7" t="inlineStr">
        <is>
          <t>OT-2026-0151</t>
        </is>
      </c>
      <c r="J797" s="9">
        <f>IF(I797="","",IFERROR(INDEX('Ordres de travail'!$D$5:$D$3004,MATCH(I797,'Ordres de travail'!$A$5:$A$3004,0)),""))</f>
        <v/>
      </c>
      <c r="K797" s="9">
        <f>IF(D797="","",IFERROR(INDEX('Stock pièces'!$D$5:$D$404,MATCH(D797,'Stock pièces'!$A$5:$A$404,0)),""))</f>
        <v/>
      </c>
      <c r="L797" s="7" t="n"/>
      <c r="M797" s="7" t="n"/>
    </row>
    <row r="798">
      <c r="A798" s="7" t="inlineStr">
        <is>
          <t>MV-00794</t>
        </is>
      </c>
      <c r="B798" s="75" t="n">
        <v>46091.29305555556</v>
      </c>
      <c r="C798" s="7" t="inlineStr">
        <is>
          <t>Retour</t>
        </is>
      </c>
      <c r="D798" s="7" t="inlineStr">
        <is>
          <t>PD-0045</t>
        </is>
      </c>
      <c r="E798" s="9">
        <f>IF(D798="","",IFERROR(INDEX('Stock pièces'!$B$5:$B$404,MATCH(D798,'Stock pièces'!$A$5:$A$404,0)),"Réf. inconnue"))</f>
        <v/>
      </c>
      <c r="F798" s="67" t="n">
        <v>1</v>
      </c>
      <c r="G798" s="81">
        <f>IF(D798="","",IFERROR(INDEX('Stock pièces'!$I$5:$I$404,MATCH(D798,'Stock pièces'!$A$5:$A$404,0)),0))</f>
        <v/>
      </c>
      <c r="H798" s="81">
        <f>IF(D798="","",N(F798)*N(G798))</f>
        <v/>
      </c>
      <c r="I798" s="7" t="inlineStr">
        <is>
          <t>OT-2026-0146</t>
        </is>
      </c>
      <c r="J798" s="9">
        <f>IF(I798="","",IFERROR(INDEX('Ordres de travail'!$D$5:$D$3004,MATCH(I798,'Ordres de travail'!$A$5:$A$3004,0)),""))</f>
        <v/>
      </c>
      <c r="K798" s="9">
        <f>IF(D798="","",IFERROR(INDEX('Stock pièces'!$D$5:$D$404,MATCH(D798,'Stock pièces'!$A$5:$A$404,0)),""))</f>
        <v/>
      </c>
      <c r="L798" s="7" t="n"/>
      <c r="M798" s="7" t="inlineStr">
        <is>
          <t>Pièce non utilisée</t>
        </is>
      </c>
    </row>
    <row r="799">
      <c r="A799" s="7" t="inlineStr">
        <is>
          <t>MV-00795</t>
        </is>
      </c>
      <c r="B799" s="75" t="n">
        <v>46091.35069444445</v>
      </c>
      <c r="C799" s="7" t="inlineStr">
        <is>
          <t>Sortie</t>
        </is>
      </c>
      <c r="D799" s="7" t="inlineStr">
        <is>
          <t>PD-0025</t>
        </is>
      </c>
      <c r="E799" s="9">
        <f>IF(D799="","",IFERROR(INDEX('Stock pièces'!$B$5:$B$404,MATCH(D799,'Stock pièces'!$A$5:$A$404,0)),"Réf. inconnue"))</f>
        <v/>
      </c>
      <c r="F799" s="67" t="n">
        <v>2</v>
      </c>
      <c r="G799" s="81">
        <f>IF(D799="","",IFERROR(INDEX('Stock pièces'!$I$5:$I$404,MATCH(D799,'Stock pièces'!$A$5:$A$404,0)),0))</f>
        <v/>
      </c>
      <c r="H799" s="81">
        <f>IF(D799="","",N(F799)*N(G799))</f>
        <v/>
      </c>
      <c r="I799" s="7" t="inlineStr">
        <is>
          <t>OT-2026-0138</t>
        </is>
      </c>
      <c r="J799" s="9">
        <f>IF(I799="","",IFERROR(INDEX('Ordres de travail'!$D$5:$D$3004,MATCH(I799,'Ordres de travail'!$A$5:$A$3004,0)),""))</f>
        <v/>
      </c>
      <c r="K799" s="9">
        <f>IF(D799="","",IFERROR(INDEX('Stock pièces'!$D$5:$D$404,MATCH(D799,'Stock pièces'!$A$5:$A$404,0)),""))</f>
        <v/>
      </c>
      <c r="L799" s="7" t="n"/>
      <c r="M799" s="7" t="n"/>
    </row>
    <row r="800">
      <c r="A800" s="7" t="inlineStr">
        <is>
          <t>MV-00796</t>
        </is>
      </c>
      <c r="B800" s="75" t="n">
        <v>46091.43402777778</v>
      </c>
      <c r="C800" s="7" t="inlineStr">
        <is>
          <t>Sortie</t>
        </is>
      </c>
      <c r="D800" s="7" t="inlineStr">
        <is>
          <t>PD-0017</t>
        </is>
      </c>
      <c r="E800" s="9">
        <f>IF(D800="","",IFERROR(INDEX('Stock pièces'!$B$5:$B$404,MATCH(D800,'Stock pièces'!$A$5:$A$404,0)),"Réf. inconnue"))</f>
        <v/>
      </c>
      <c r="F800" s="67" t="n">
        <v>1</v>
      </c>
      <c r="G800" s="81">
        <f>IF(D800="","",IFERROR(INDEX('Stock pièces'!$I$5:$I$404,MATCH(D800,'Stock pièces'!$A$5:$A$404,0)),0))</f>
        <v/>
      </c>
      <c r="H800" s="81">
        <f>IF(D800="","",N(F800)*N(G800))</f>
        <v/>
      </c>
      <c r="I800" s="7" t="inlineStr">
        <is>
          <t>OT-2026-0139</t>
        </is>
      </c>
      <c r="J800" s="9">
        <f>IF(I800="","",IFERROR(INDEX('Ordres de travail'!$D$5:$D$3004,MATCH(I800,'Ordres de travail'!$A$5:$A$3004,0)),""))</f>
        <v/>
      </c>
      <c r="K800" s="9">
        <f>IF(D800="","",IFERROR(INDEX('Stock pièces'!$D$5:$D$404,MATCH(D800,'Stock pièces'!$A$5:$A$404,0)),""))</f>
        <v/>
      </c>
      <c r="L800" s="7" t="n"/>
      <c r="M800" s="7" t="n"/>
    </row>
    <row r="801">
      <c r="A801" s="7" t="inlineStr">
        <is>
          <t>MV-00797</t>
        </is>
      </c>
      <c r="B801" s="75" t="n">
        <v>46092.34027777778</v>
      </c>
      <c r="C801" s="7" t="inlineStr">
        <is>
          <t>Sortie</t>
        </is>
      </c>
      <c r="D801" s="7" t="inlineStr">
        <is>
          <t>PD-0021</t>
        </is>
      </c>
      <c r="E801" s="9">
        <f>IF(D801="","",IFERROR(INDEX('Stock pièces'!$B$5:$B$404,MATCH(D801,'Stock pièces'!$A$5:$A$404,0)),"Réf. inconnue"))</f>
        <v/>
      </c>
      <c r="F801" s="67" t="n">
        <v>1</v>
      </c>
      <c r="G801" s="81">
        <f>IF(D801="","",IFERROR(INDEX('Stock pièces'!$I$5:$I$404,MATCH(D801,'Stock pièces'!$A$5:$A$404,0)),0))</f>
        <v/>
      </c>
      <c r="H801" s="81">
        <f>IF(D801="","",N(F801)*N(G801))</f>
        <v/>
      </c>
      <c r="I801" s="7" t="inlineStr">
        <is>
          <t>OT-2026-0140</t>
        </is>
      </c>
      <c r="J801" s="9">
        <f>IF(I801="","",IFERROR(INDEX('Ordres de travail'!$D$5:$D$3004,MATCH(I801,'Ordres de travail'!$A$5:$A$3004,0)),""))</f>
        <v/>
      </c>
      <c r="K801" s="9">
        <f>IF(D801="","",IFERROR(INDEX('Stock pièces'!$D$5:$D$404,MATCH(D801,'Stock pièces'!$A$5:$A$404,0)),""))</f>
        <v/>
      </c>
      <c r="L801" s="7" t="n"/>
      <c r="M801" s="7" t="n"/>
    </row>
    <row r="802">
      <c r="A802" s="7" t="inlineStr">
        <is>
          <t>MV-00798</t>
        </is>
      </c>
      <c r="B802" s="75" t="n">
        <v>46092.95763888889</v>
      </c>
      <c r="C802" s="7" t="inlineStr">
        <is>
          <t>Sortie</t>
        </is>
      </c>
      <c r="D802" s="7" t="inlineStr">
        <is>
          <t>PD-0046</t>
        </is>
      </c>
      <c r="E802" s="9">
        <f>IF(D802="","",IFERROR(INDEX('Stock pièces'!$B$5:$B$404,MATCH(D802,'Stock pièces'!$A$5:$A$404,0)),"Réf. inconnue"))</f>
        <v/>
      </c>
      <c r="F802" s="67" t="n">
        <v>1</v>
      </c>
      <c r="G802" s="81">
        <f>IF(D802="","",IFERROR(INDEX('Stock pièces'!$I$5:$I$404,MATCH(D802,'Stock pièces'!$A$5:$A$404,0)),0))</f>
        <v/>
      </c>
      <c r="H802" s="81">
        <f>IF(D802="","",N(F802)*N(G802))</f>
        <v/>
      </c>
      <c r="I802" s="7" t="inlineStr">
        <is>
          <t>OT-2026-0153</t>
        </is>
      </c>
      <c r="J802" s="9">
        <f>IF(I802="","",IFERROR(INDEX('Ordres de travail'!$D$5:$D$3004,MATCH(I802,'Ordres de travail'!$A$5:$A$3004,0)),""))</f>
        <v/>
      </c>
      <c r="K802" s="9">
        <f>IF(D802="","",IFERROR(INDEX('Stock pièces'!$D$5:$D$404,MATCH(D802,'Stock pièces'!$A$5:$A$404,0)),""))</f>
        <v/>
      </c>
      <c r="L802" s="7" t="n"/>
      <c r="M802" s="7" t="n"/>
    </row>
    <row r="803">
      <c r="A803" s="7" t="inlineStr">
        <is>
          <t>MV-00799</t>
        </is>
      </c>
      <c r="B803" s="75" t="n">
        <v>46093.34722222222</v>
      </c>
      <c r="C803" s="7" t="inlineStr">
        <is>
          <t>Sortie</t>
        </is>
      </c>
      <c r="D803" s="7" t="inlineStr">
        <is>
          <t>PD-0012</t>
        </is>
      </c>
      <c r="E803" s="9">
        <f>IF(D803="","",IFERROR(INDEX('Stock pièces'!$B$5:$B$404,MATCH(D803,'Stock pièces'!$A$5:$A$404,0)),"Réf. inconnue"))</f>
        <v/>
      </c>
      <c r="F803" s="67" t="n">
        <v>1</v>
      </c>
      <c r="G803" s="81">
        <f>IF(D803="","",IFERROR(INDEX('Stock pièces'!$I$5:$I$404,MATCH(D803,'Stock pièces'!$A$5:$A$404,0)),0))</f>
        <v/>
      </c>
      <c r="H803" s="81">
        <f>IF(D803="","",N(F803)*N(G803))</f>
        <v/>
      </c>
      <c r="I803" s="7" t="inlineStr">
        <is>
          <t>OT-2026-0142</t>
        </is>
      </c>
      <c r="J803" s="9">
        <f>IF(I803="","",IFERROR(INDEX('Ordres de travail'!$D$5:$D$3004,MATCH(I803,'Ordres de travail'!$A$5:$A$3004,0)),""))</f>
        <v/>
      </c>
      <c r="K803" s="9">
        <f>IF(D803="","",IFERROR(INDEX('Stock pièces'!$D$5:$D$404,MATCH(D803,'Stock pièces'!$A$5:$A$404,0)),""))</f>
        <v/>
      </c>
      <c r="L803" s="7" t="n"/>
      <c r="M803" s="7" t="n"/>
    </row>
    <row r="804">
      <c r="A804" s="7" t="inlineStr">
        <is>
          <t>MV-00800</t>
        </is>
      </c>
      <c r="B804" s="75" t="n">
        <v>46093.34722222222</v>
      </c>
      <c r="C804" s="7" t="inlineStr">
        <is>
          <t>Sortie</t>
        </is>
      </c>
      <c r="D804" s="7" t="inlineStr">
        <is>
          <t>PD-0013</t>
        </is>
      </c>
      <c r="E804" s="9">
        <f>IF(D804="","",IFERROR(INDEX('Stock pièces'!$B$5:$B$404,MATCH(D804,'Stock pièces'!$A$5:$A$404,0)),"Réf. inconnue"))</f>
        <v/>
      </c>
      <c r="F804" s="67" t="n">
        <v>1</v>
      </c>
      <c r="G804" s="81">
        <f>IF(D804="","",IFERROR(INDEX('Stock pièces'!$I$5:$I$404,MATCH(D804,'Stock pièces'!$A$5:$A$404,0)),0))</f>
        <v/>
      </c>
      <c r="H804" s="81">
        <f>IF(D804="","",N(F804)*N(G804))</f>
        <v/>
      </c>
      <c r="I804" s="7" t="inlineStr">
        <is>
          <t>OT-2026-0142</t>
        </is>
      </c>
      <c r="J804" s="9">
        <f>IF(I804="","",IFERROR(INDEX('Ordres de travail'!$D$5:$D$3004,MATCH(I804,'Ordres de travail'!$A$5:$A$3004,0)),""))</f>
        <v/>
      </c>
      <c r="K804" s="9">
        <f>IF(D804="","",IFERROR(INDEX('Stock pièces'!$D$5:$D$404,MATCH(D804,'Stock pièces'!$A$5:$A$404,0)),""))</f>
        <v/>
      </c>
      <c r="L804" s="7" t="n"/>
      <c r="M804" s="7" t="n"/>
    </row>
    <row r="805">
      <c r="A805" s="7" t="inlineStr">
        <is>
          <t>MV-00801</t>
        </is>
      </c>
      <c r="B805" s="75" t="n">
        <v>46093.34722222222</v>
      </c>
      <c r="C805" s="7" t="inlineStr">
        <is>
          <t>Sortie</t>
        </is>
      </c>
      <c r="D805" s="7" t="inlineStr">
        <is>
          <t>PD-0014</t>
        </is>
      </c>
      <c r="E805" s="9">
        <f>IF(D805="","",IFERROR(INDEX('Stock pièces'!$B$5:$B$404,MATCH(D805,'Stock pièces'!$A$5:$A$404,0)),"Réf. inconnue"))</f>
        <v/>
      </c>
      <c r="F805" s="67" t="n">
        <v>1</v>
      </c>
      <c r="G805" s="81">
        <f>IF(D805="","",IFERROR(INDEX('Stock pièces'!$I$5:$I$404,MATCH(D805,'Stock pièces'!$A$5:$A$404,0)),0))</f>
        <v/>
      </c>
      <c r="H805" s="81">
        <f>IF(D805="","",N(F805)*N(G805))</f>
        <v/>
      </c>
      <c r="I805" s="7" t="inlineStr">
        <is>
          <t>OT-2026-0142</t>
        </is>
      </c>
      <c r="J805" s="9">
        <f>IF(I805="","",IFERROR(INDEX('Ordres de travail'!$D$5:$D$3004,MATCH(I805,'Ordres de travail'!$A$5:$A$3004,0)),""))</f>
        <v/>
      </c>
      <c r="K805" s="9">
        <f>IF(D805="","",IFERROR(INDEX('Stock pièces'!$D$5:$D$404,MATCH(D805,'Stock pièces'!$A$5:$A$404,0)),""))</f>
        <v/>
      </c>
      <c r="L805" s="7" t="n"/>
      <c r="M805" s="7" t="n"/>
    </row>
    <row r="806">
      <c r="A806" s="7" t="inlineStr">
        <is>
          <t>MV-00802</t>
        </is>
      </c>
      <c r="B806" s="75" t="n">
        <v>46093.34722222222</v>
      </c>
      <c r="C806" s="7" t="inlineStr">
        <is>
          <t>Sortie</t>
        </is>
      </c>
      <c r="D806" s="7" t="inlineStr">
        <is>
          <t>PD-0024</t>
        </is>
      </c>
      <c r="E806" s="9">
        <f>IF(D806="","",IFERROR(INDEX('Stock pièces'!$B$5:$B$404,MATCH(D806,'Stock pièces'!$A$5:$A$404,0)),"Réf. inconnue"))</f>
        <v/>
      </c>
      <c r="F806" s="67" t="n">
        <v>1</v>
      </c>
      <c r="G806" s="81">
        <f>IF(D806="","",IFERROR(INDEX('Stock pièces'!$I$5:$I$404,MATCH(D806,'Stock pièces'!$A$5:$A$404,0)),0))</f>
        <v/>
      </c>
      <c r="H806" s="81">
        <f>IF(D806="","",N(F806)*N(G806))</f>
        <v/>
      </c>
      <c r="I806" s="7" t="inlineStr">
        <is>
          <t>OT-2026-0142</t>
        </is>
      </c>
      <c r="J806" s="9">
        <f>IF(I806="","",IFERROR(INDEX('Ordres de travail'!$D$5:$D$3004,MATCH(I806,'Ordres de travail'!$A$5:$A$3004,0)),""))</f>
        <v/>
      </c>
      <c r="K806" s="9">
        <f>IF(D806="","",IFERROR(INDEX('Stock pièces'!$D$5:$D$404,MATCH(D806,'Stock pièces'!$A$5:$A$404,0)),""))</f>
        <v/>
      </c>
      <c r="L806" s="7" t="n"/>
      <c r="M806" s="7" t="n"/>
    </row>
    <row r="807">
      <c r="A807" s="7" t="inlineStr">
        <is>
          <t>MV-00803</t>
        </is>
      </c>
      <c r="B807" s="75" t="n">
        <v>46093.49722222222</v>
      </c>
      <c r="C807" s="7" t="inlineStr">
        <is>
          <t>Sortie</t>
        </is>
      </c>
      <c r="D807" s="7" t="inlineStr">
        <is>
          <t>PD-0067</t>
        </is>
      </c>
      <c r="E807" s="9">
        <f>IF(D807="","",IFERROR(INDEX('Stock pièces'!$B$5:$B$404,MATCH(D807,'Stock pièces'!$A$5:$A$404,0)),"Réf. inconnue"))</f>
        <v/>
      </c>
      <c r="F807" s="67" t="n">
        <v>2</v>
      </c>
      <c r="G807" s="81">
        <f>IF(D807="","",IFERROR(INDEX('Stock pièces'!$I$5:$I$404,MATCH(D807,'Stock pièces'!$A$5:$A$404,0)),0))</f>
        <v/>
      </c>
      <c r="H807" s="81">
        <f>IF(D807="","",N(F807)*N(G807))</f>
        <v/>
      </c>
      <c r="I807" s="7" t="inlineStr">
        <is>
          <t>OT-2026-0156</t>
        </is>
      </c>
      <c r="J807" s="9">
        <f>IF(I807="","",IFERROR(INDEX('Ordres de travail'!$D$5:$D$3004,MATCH(I807,'Ordres de travail'!$A$5:$A$3004,0)),""))</f>
        <v/>
      </c>
      <c r="K807" s="9">
        <f>IF(D807="","",IFERROR(INDEX('Stock pièces'!$D$5:$D$404,MATCH(D807,'Stock pièces'!$A$5:$A$404,0)),""))</f>
        <v/>
      </c>
      <c r="L807" s="7" t="n"/>
      <c r="M807" s="7" t="n"/>
    </row>
    <row r="808">
      <c r="A808" s="7" t="inlineStr">
        <is>
          <t>MV-00804</t>
        </is>
      </c>
      <c r="B808" s="75" t="n">
        <v>46097.27777777778</v>
      </c>
      <c r="C808" s="7" t="inlineStr">
        <is>
          <t>Sortie</t>
        </is>
      </c>
      <c r="D808" s="7" t="inlineStr">
        <is>
          <t>PD-0017</t>
        </is>
      </c>
      <c r="E808" s="9">
        <f>IF(D808="","",IFERROR(INDEX('Stock pièces'!$B$5:$B$404,MATCH(D808,'Stock pièces'!$A$5:$A$404,0)),"Réf. inconnue"))</f>
        <v/>
      </c>
      <c r="F808" s="67" t="n">
        <v>1</v>
      </c>
      <c r="G808" s="81">
        <f>IF(D808="","",IFERROR(INDEX('Stock pièces'!$I$5:$I$404,MATCH(D808,'Stock pièces'!$A$5:$A$404,0)),0))</f>
        <v/>
      </c>
      <c r="H808" s="81">
        <f>IF(D808="","",N(F808)*N(G808))</f>
        <v/>
      </c>
      <c r="I808" s="7" t="inlineStr">
        <is>
          <t>OT-2026-0148</t>
        </is>
      </c>
      <c r="J808" s="9">
        <f>IF(I808="","",IFERROR(INDEX('Ordres de travail'!$D$5:$D$3004,MATCH(I808,'Ordres de travail'!$A$5:$A$3004,0)),""))</f>
        <v/>
      </c>
      <c r="K808" s="9">
        <f>IF(D808="","",IFERROR(INDEX('Stock pièces'!$D$5:$D$404,MATCH(D808,'Stock pièces'!$A$5:$A$404,0)),""))</f>
        <v/>
      </c>
      <c r="L808" s="7" t="n"/>
      <c r="M808" s="7" t="n"/>
    </row>
    <row r="809">
      <c r="A809" s="7" t="inlineStr">
        <is>
          <t>MV-00805</t>
        </is>
      </c>
      <c r="B809" s="75" t="n">
        <v>46097.41666666666</v>
      </c>
      <c r="C809" s="7" t="inlineStr">
        <is>
          <t>Entrée</t>
        </is>
      </c>
      <c r="D809" s="7" t="inlineStr">
        <is>
          <t>PD-0030</t>
        </is>
      </c>
      <c r="E809" s="9">
        <f>IF(D809="","",IFERROR(INDEX('Stock pièces'!$B$5:$B$404,MATCH(D809,'Stock pièces'!$A$5:$A$404,0)),"Réf. inconnue"))</f>
        <v/>
      </c>
      <c r="F809" s="67" t="n">
        <v>1</v>
      </c>
      <c r="G809" s="81">
        <f>IF(D809="","",IFERROR(INDEX('Stock pièces'!$I$5:$I$404,MATCH(D809,'Stock pièces'!$A$5:$A$404,0)),0))</f>
        <v/>
      </c>
      <c r="H809" s="81">
        <f>IF(D809="","",N(F809)*N(G809))</f>
        <v/>
      </c>
      <c r="I809" s="7" t="n"/>
      <c r="J809" s="9">
        <f>IF(I809="","",IFERROR(INDEX('Ordres de travail'!$D$5:$D$3004,MATCH(I809,'Ordres de travail'!$A$5:$A$3004,0)),""))</f>
        <v/>
      </c>
      <c r="K809" s="9">
        <f>IF(D809="","",IFERROR(INDEX('Stock pièces'!$D$5:$D$404,MATCH(D809,'Stock pièces'!$A$5:$A$404,0)),""))</f>
        <v/>
      </c>
      <c r="L809" s="7" t="inlineStr">
        <is>
          <t>CMD-24228</t>
        </is>
      </c>
      <c r="M809" s="7" t="inlineStr">
        <is>
          <t>Réception commande réappro</t>
        </is>
      </c>
    </row>
    <row r="810">
      <c r="A810" s="7" t="inlineStr">
        <is>
          <t>MV-00806</t>
        </is>
      </c>
      <c r="B810" s="75" t="n">
        <v>46097.47222222222</v>
      </c>
      <c r="C810" s="7" t="inlineStr">
        <is>
          <t>Sortie</t>
        </is>
      </c>
      <c r="D810" s="7" t="inlineStr">
        <is>
          <t>PD-0062</t>
        </is>
      </c>
      <c r="E810" s="9">
        <f>IF(D810="","",IFERROR(INDEX('Stock pièces'!$B$5:$B$404,MATCH(D810,'Stock pièces'!$A$5:$A$404,0)),"Réf. inconnue"))</f>
        <v/>
      </c>
      <c r="F810" s="67" t="n">
        <v>1</v>
      </c>
      <c r="G810" s="81">
        <f>IF(D810="","",IFERROR(INDEX('Stock pièces'!$I$5:$I$404,MATCH(D810,'Stock pièces'!$A$5:$A$404,0)),0))</f>
        <v/>
      </c>
      <c r="H810" s="81">
        <f>IF(D810="","",N(F810)*N(G810))</f>
        <v/>
      </c>
      <c r="I810" s="7" t="inlineStr">
        <is>
          <t>OT-2026-0149</t>
        </is>
      </c>
      <c r="J810" s="9">
        <f>IF(I810="","",IFERROR(INDEX('Ordres de travail'!$D$5:$D$3004,MATCH(I810,'Ordres de travail'!$A$5:$A$3004,0)),""))</f>
        <v/>
      </c>
      <c r="K810" s="9">
        <f>IF(D810="","",IFERROR(INDEX('Stock pièces'!$D$5:$D$404,MATCH(D810,'Stock pièces'!$A$5:$A$404,0)),""))</f>
        <v/>
      </c>
      <c r="L810" s="7" t="n"/>
      <c r="M810" s="7" t="n"/>
    </row>
    <row r="811">
      <c r="A811" s="7" t="inlineStr">
        <is>
          <t>MV-00807</t>
        </is>
      </c>
      <c r="B811" s="75" t="n">
        <v>46097.47222222222</v>
      </c>
      <c r="C811" s="7" t="inlineStr">
        <is>
          <t>Sortie</t>
        </is>
      </c>
      <c r="D811" s="7" t="inlineStr">
        <is>
          <t>PD-0063</t>
        </is>
      </c>
      <c r="E811" s="9">
        <f>IF(D811="","",IFERROR(INDEX('Stock pièces'!$B$5:$B$404,MATCH(D811,'Stock pièces'!$A$5:$A$404,0)),"Réf. inconnue"))</f>
        <v/>
      </c>
      <c r="F811" s="67" t="n">
        <v>1</v>
      </c>
      <c r="G811" s="81">
        <f>IF(D811="","",IFERROR(INDEX('Stock pièces'!$I$5:$I$404,MATCH(D811,'Stock pièces'!$A$5:$A$404,0)),0))</f>
        <v/>
      </c>
      <c r="H811" s="81">
        <f>IF(D811="","",N(F811)*N(G811))</f>
        <v/>
      </c>
      <c r="I811" s="7" t="inlineStr">
        <is>
          <t>OT-2026-0149</t>
        </is>
      </c>
      <c r="J811" s="9">
        <f>IF(I811="","",IFERROR(INDEX('Ordres de travail'!$D$5:$D$3004,MATCH(I811,'Ordres de travail'!$A$5:$A$3004,0)),""))</f>
        <v/>
      </c>
      <c r="K811" s="9">
        <f>IF(D811="","",IFERROR(INDEX('Stock pièces'!$D$5:$D$404,MATCH(D811,'Stock pièces'!$A$5:$A$404,0)),""))</f>
        <v/>
      </c>
      <c r="L811" s="7" t="n"/>
      <c r="M811" s="7" t="n"/>
    </row>
    <row r="812">
      <c r="A812" s="7" t="inlineStr">
        <is>
          <t>MV-00808</t>
        </is>
      </c>
      <c r="B812" s="75" t="n">
        <v>46098.41666666666</v>
      </c>
      <c r="C812" s="7" t="inlineStr">
        <is>
          <t>Entrée</t>
        </is>
      </c>
      <c r="D812" s="7" t="inlineStr">
        <is>
          <t>PD-0045</t>
        </is>
      </c>
      <c r="E812" s="9">
        <f>IF(D812="","",IFERROR(INDEX('Stock pièces'!$B$5:$B$404,MATCH(D812,'Stock pièces'!$A$5:$A$404,0)),"Réf. inconnue"))</f>
        <v/>
      </c>
      <c r="F812" s="67" t="n">
        <v>3</v>
      </c>
      <c r="G812" s="81">
        <f>IF(D812="","",IFERROR(INDEX('Stock pièces'!$I$5:$I$404,MATCH(D812,'Stock pièces'!$A$5:$A$404,0)),0))</f>
        <v/>
      </c>
      <c r="H812" s="81">
        <f>IF(D812="","",N(F812)*N(G812))</f>
        <v/>
      </c>
      <c r="I812" s="7" t="n"/>
      <c r="J812" s="9">
        <f>IF(I812="","",IFERROR(INDEX('Ordres de travail'!$D$5:$D$3004,MATCH(I812,'Ordres de travail'!$A$5:$A$3004,0)),""))</f>
        <v/>
      </c>
      <c r="K812" s="9">
        <f>IF(D812="","",IFERROR(INDEX('Stock pièces'!$D$5:$D$404,MATCH(D812,'Stock pièces'!$A$5:$A$404,0)),""))</f>
        <v/>
      </c>
      <c r="L812" s="7" t="inlineStr">
        <is>
          <t>CMD-24226</t>
        </is>
      </c>
      <c r="M812" s="7" t="inlineStr">
        <is>
          <t>Réception commande réappro</t>
        </is>
      </c>
    </row>
    <row r="813">
      <c r="A813" s="7" t="inlineStr">
        <is>
          <t>MV-00809</t>
        </is>
      </c>
      <c r="B813" s="75" t="n">
        <v>46098.41666666666</v>
      </c>
      <c r="C813" s="7" t="inlineStr">
        <is>
          <t>Entrée</t>
        </is>
      </c>
      <c r="D813" s="7" t="inlineStr">
        <is>
          <t>PD-0021</t>
        </is>
      </c>
      <c r="E813" s="9">
        <f>IF(D813="","",IFERROR(INDEX('Stock pièces'!$B$5:$B$404,MATCH(D813,'Stock pièces'!$A$5:$A$404,0)),"Réf. inconnue"))</f>
        <v/>
      </c>
      <c r="F813" s="67" t="n">
        <v>4</v>
      </c>
      <c r="G813" s="81">
        <f>IF(D813="","",IFERROR(INDEX('Stock pièces'!$I$5:$I$404,MATCH(D813,'Stock pièces'!$A$5:$A$404,0)),0))</f>
        <v/>
      </c>
      <c r="H813" s="81">
        <f>IF(D813="","",N(F813)*N(G813))</f>
        <v/>
      </c>
      <c r="I813" s="7" t="n"/>
      <c r="J813" s="9">
        <f>IF(I813="","",IFERROR(INDEX('Ordres de travail'!$D$5:$D$3004,MATCH(I813,'Ordres de travail'!$A$5:$A$3004,0)),""))</f>
        <v/>
      </c>
      <c r="K813" s="9">
        <f>IF(D813="","",IFERROR(INDEX('Stock pièces'!$D$5:$D$404,MATCH(D813,'Stock pièces'!$A$5:$A$404,0)),""))</f>
        <v/>
      </c>
      <c r="L813" s="7" t="inlineStr">
        <is>
          <t>CMD-24229</t>
        </is>
      </c>
      <c r="M813" s="7" t="inlineStr">
        <is>
          <t>Réception commande réappro</t>
        </is>
      </c>
    </row>
    <row r="814">
      <c r="A814" s="7" t="inlineStr">
        <is>
          <t>MV-00810</t>
        </is>
      </c>
      <c r="B814" s="75" t="n">
        <v>46098.41666666666</v>
      </c>
      <c r="C814" s="7" t="inlineStr">
        <is>
          <t>Entrée</t>
        </is>
      </c>
      <c r="D814" s="7" t="inlineStr">
        <is>
          <t>PD-0046</t>
        </is>
      </c>
      <c r="E814" s="9">
        <f>IF(D814="","",IFERROR(INDEX('Stock pièces'!$B$5:$B$404,MATCH(D814,'Stock pièces'!$A$5:$A$404,0)),"Réf. inconnue"))</f>
        <v/>
      </c>
      <c r="F814" s="67" t="n">
        <v>1</v>
      </c>
      <c r="G814" s="81">
        <f>IF(D814="","",IFERROR(INDEX('Stock pièces'!$I$5:$I$404,MATCH(D814,'Stock pièces'!$A$5:$A$404,0)),0))</f>
        <v/>
      </c>
      <c r="H814" s="81">
        <f>IF(D814="","",N(F814)*N(G814))</f>
        <v/>
      </c>
      <c r="I814" s="7" t="n"/>
      <c r="J814" s="9">
        <f>IF(I814="","",IFERROR(INDEX('Ordres de travail'!$D$5:$D$3004,MATCH(I814,'Ordres de travail'!$A$5:$A$3004,0)),""))</f>
        <v/>
      </c>
      <c r="K814" s="9">
        <f>IF(D814="","",IFERROR(INDEX('Stock pièces'!$D$5:$D$404,MATCH(D814,'Stock pièces'!$A$5:$A$404,0)),""))</f>
        <v/>
      </c>
      <c r="L814" s="7" t="inlineStr">
        <is>
          <t>CMD-24230</t>
        </is>
      </c>
      <c r="M814" s="7" t="inlineStr">
        <is>
          <t>Réception commande réappro</t>
        </is>
      </c>
    </row>
    <row r="815">
      <c r="A815" s="7" t="inlineStr">
        <is>
          <t>MV-00811</t>
        </is>
      </c>
      <c r="B815" s="75" t="n">
        <v>46100.41666666666</v>
      </c>
      <c r="C815" s="7" t="inlineStr">
        <is>
          <t>Entrée</t>
        </is>
      </c>
      <c r="D815" s="7" t="inlineStr">
        <is>
          <t>PD-0067</t>
        </is>
      </c>
      <c r="E815" s="9">
        <f>IF(D815="","",IFERROR(INDEX('Stock pièces'!$B$5:$B$404,MATCH(D815,'Stock pièces'!$A$5:$A$404,0)),"Réf. inconnue"))</f>
        <v/>
      </c>
      <c r="F815" s="67" t="n">
        <v>2</v>
      </c>
      <c r="G815" s="81">
        <f>IF(D815="","",IFERROR(INDEX('Stock pièces'!$I$5:$I$404,MATCH(D815,'Stock pièces'!$A$5:$A$404,0)),0))</f>
        <v/>
      </c>
      <c r="H815" s="81">
        <f>IF(D815="","",N(F815)*N(G815))</f>
        <v/>
      </c>
      <c r="I815" s="7" t="n"/>
      <c r="J815" s="9">
        <f>IF(I815="","",IFERROR(INDEX('Ordres de travail'!$D$5:$D$3004,MATCH(I815,'Ordres de travail'!$A$5:$A$3004,0)),""))</f>
        <v/>
      </c>
      <c r="K815" s="9">
        <f>IF(D815="","",IFERROR(INDEX('Stock pièces'!$D$5:$D$404,MATCH(D815,'Stock pièces'!$A$5:$A$404,0)),""))</f>
        <v/>
      </c>
      <c r="L815" s="7" t="inlineStr">
        <is>
          <t>CMD-24232</t>
        </is>
      </c>
      <c r="M815" s="7" t="inlineStr">
        <is>
          <t>Réception commande réappro</t>
        </is>
      </c>
    </row>
    <row r="816">
      <c r="A816" s="7" t="inlineStr">
        <is>
          <t>MV-00812</t>
        </is>
      </c>
      <c r="B816" s="75" t="n">
        <v>46101.41666666666</v>
      </c>
      <c r="C816" s="7" t="inlineStr">
        <is>
          <t>Entrée</t>
        </is>
      </c>
      <c r="D816" s="7" t="inlineStr">
        <is>
          <t>PD-0043</t>
        </is>
      </c>
      <c r="E816" s="9">
        <f>IF(D816="","",IFERROR(INDEX('Stock pièces'!$B$5:$B$404,MATCH(D816,'Stock pièces'!$A$5:$A$404,0)),"Réf. inconnue"))</f>
        <v/>
      </c>
      <c r="F816" s="67" t="n">
        <v>1</v>
      </c>
      <c r="G816" s="81">
        <f>IF(D816="","",IFERROR(INDEX('Stock pièces'!$I$5:$I$404,MATCH(D816,'Stock pièces'!$A$5:$A$404,0)),0))</f>
        <v/>
      </c>
      <c r="H816" s="81">
        <f>IF(D816="","",N(F816)*N(G816))</f>
        <v/>
      </c>
      <c r="I816" s="7" t="n"/>
      <c r="J816" s="9">
        <f>IF(I816="","",IFERROR(INDEX('Ordres de travail'!$D$5:$D$3004,MATCH(I816,'Ordres de travail'!$A$5:$A$3004,0)),""))</f>
        <v/>
      </c>
      <c r="K816" s="9">
        <f>IF(D816="","",IFERROR(INDEX('Stock pièces'!$D$5:$D$404,MATCH(D816,'Stock pièces'!$A$5:$A$404,0)),""))</f>
        <v/>
      </c>
      <c r="L816" s="7" t="inlineStr">
        <is>
          <t>CMD-24225</t>
        </is>
      </c>
      <c r="M816" s="7" t="inlineStr">
        <is>
          <t>Réception commande réappro</t>
        </is>
      </c>
    </row>
    <row r="817">
      <c r="A817" s="7" t="inlineStr">
        <is>
          <t>MV-00813</t>
        </is>
      </c>
      <c r="B817" s="75" t="n">
        <v>46101.41666666666</v>
      </c>
      <c r="C817" s="7" t="inlineStr">
        <is>
          <t>Entrée</t>
        </is>
      </c>
      <c r="D817" s="7" t="inlineStr">
        <is>
          <t>PD-0014</t>
        </is>
      </c>
      <c r="E817" s="9">
        <f>IF(D817="","",IFERROR(INDEX('Stock pièces'!$B$5:$B$404,MATCH(D817,'Stock pièces'!$A$5:$A$404,0)),"Réf. inconnue"))</f>
        <v/>
      </c>
      <c r="F817" s="67" t="n">
        <v>1</v>
      </c>
      <c r="G817" s="81">
        <f>IF(D817="","",IFERROR(INDEX('Stock pièces'!$I$5:$I$404,MATCH(D817,'Stock pièces'!$A$5:$A$404,0)),0))</f>
        <v/>
      </c>
      <c r="H817" s="81">
        <f>IF(D817="","",N(F817)*N(G817))</f>
        <v/>
      </c>
      <c r="I817" s="7" t="n"/>
      <c r="J817" s="9">
        <f>IF(I817="","",IFERROR(INDEX('Ordres de travail'!$D$5:$D$3004,MATCH(I817,'Ordres de travail'!$A$5:$A$3004,0)),""))</f>
        <v/>
      </c>
      <c r="K817" s="9">
        <f>IF(D817="","",IFERROR(INDEX('Stock pièces'!$D$5:$D$404,MATCH(D817,'Stock pièces'!$A$5:$A$404,0)),""))</f>
        <v/>
      </c>
      <c r="L817" s="7" t="inlineStr">
        <is>
          <t>CMD-24231</t>
        </is>
      </c>
      <c r="M817" s="7" t="inlineStr">
        <is>
          <t>Réception commande réappro</t>
        </is>
      </c>
    </row>
    <row r="818">
      <c r="A818" s="7" t="inlineStr">
        <is>
          <t>MV-00814</t>
        </is>
      </c>
      <c r="B818" s="75" t="n">
        <v>46101.61458333334</v>
      </c>
      <c r="C818" s="7" t="inlineStr">
        <is>
          <t>Sortie</t>
        </is>
      </c>
      <c r="D818" s="7" t="inlineStr">
        <is>
          <t>PD-0054</t>
        </is>
      </c>
      <c r="E818" s="9">
        <f>IF(D818="","",IFERROR(INDEX('Stock pièces'!$B$5:$B$404,MATCH(D818,'Stock pièces'!$A$5:$A$404,0)),"Réf. inconnue"))</f>
        <v/>
      </c>
      <c r="F818" s="67" t="n">
        <v>1</v>
      </c>
      <c r="G818" s="81">
        <f>IF(D818="","",IFERROR(INDEX('Stock pièces'!$I$5:$I$404,MATCH(D818,'Stock pièces'!$A$5:$A$404,0)),0))</f>
        <v/>
      </c>
      <c r="H818" s="81">
        <f>IF(D818="","",N(F818)*N(G818))</f>
        <v/>
      </c>
      <c r="I818" s="7" t="inlineStr">
        <is>
          <t>OT-2026-0170</t>
        </is>
      </c>
      <c r="J818" s="9">
        <f>IF(I818="","",IFERROR(INDEX('Ordres de travail'!$D$5:$D$3004,MATCH(I818,'Ordres de travail'!$A$5:$A$3004,0)),""))</f>
        <v/>
      </c>
      <c r="K818" s="9">
        <f>IF(D818="","",IFERROR(INDEX('Stock pièces'!$D$5:$D$404,MATCH(D818,'Stock pièces'!$A$5:$A$404,0)),""))</f>
        <v/>
      </c>
      <c r="L818" s="7" t="n"/>
      <c r="M818" s="7" t="n"/>
    </row>
    <row r="819">
      <c r="A819" s="7" t="inlineStr">
        <is>
          <t>MV-00815</t>
        </is>
      </c>
      <c r="B819" s="75" t="n">
        <v>46104.38888888889</v>
      </c>
      <c r="C819" s="7" t="inlineStr">
        <is>
          <t>Sortie</t>
        </is>
      </c>
      <c r="D819" s="7" t="inlineStr">
        <is>
          <t>PD-0058</t>
        </is>
      </c>
      <c r="E819" s="9">
        <f>IF(D819="","",IFERROR(INDEX('Stock pièces'!$B$5:$B$404,MATCH(D819,'Stock pièces'!$A$5:$A$404,0)),"Réf. inconnue"))</f>
        <v/>
      </c>
      <c r="F819" s="67" t="n">
        <v>1</v>
      </c>
      <c r="G819" s="81">
        <f>IF(D819="","",IFERROR(INDEX('Stock pièces'!$I$5:$I$404,MATCH(D819,'Stock pièces'!$A$5:$A$404,0)),0))</f>
        <v/>
      </c>
      <c r="H819" s="81">
        <f>IF(D819="","",N(F819)*N(G819))</f>
        <v/>
      </c>
      <c r="I819" s="7" t="inlineStr">
        <is>
          <t>OT-2026-0161</t>
        </is>
      </c>
      <c r="J819" s="9">
        <f>IF(I819="","",IFERROR(INDEX('Ordres de travail'!$D$5:$D$3004,MATCH(I819,'Ordres de travail'!$A$5:$A$3004,0)),""))</f>
        <v/>
      </c>
      <c r="K819" s="9">
        <f>IF(D819="","",IFERROR(INDEX('Stock pièces'!$D$5:$D$404,MATCH(D819,'Stock pièces'!$A$5:$A$404,0)),""))</f>
        <v/>
      </c>
      <c r="L819" s="7" t="n"/>
      <c r="M819" s="7" t="n"/>
    </row>
    <row r="820">
      <c r="A820" s="7" t="inlineStr">
        <is>
          <t>MV-00816</t>
        </is>
      </c>
      <c r="B820" s="75" t="n">
        <v>46104.38888888889</v>
      </c>
      <c r="C820" s="7" t="inlineStr">
        <is>
          <t>Sortie</t>
        </is>
      </c>
      <c r="D820" s="7" t="inlineStr">
        <is>
          <t>PD-0059</t>
        </is>
      </c>
      <c r="E820" s="9">
        <f>IF(D820="","",IFERROR(INDEX('Stock pièces'!$B$5:$B$404,MATCH(D820,'Stock pièces'!$A$5:$A$404,0)),"Réf. inconnue"))</f>
        <v/>
      </c>
      <c r="F820" s="67" t="n">
        <v>1</v>
      </c>
      <c r="G820" s="81">
        <f>IF(D820="","",IFERROR(INDEX('Stock pièces'!$I$5:$I$404,MATCH(D820,'Stock pièces'!$A$5:$A$404,0)),0))</f>
        <v/>
      </c>
      <c r="H820" s="81">
        <f>IF(D820="","",N(F820)*N(G820))</f>
        <v/>
      </c>
      <c r="I820" s="7" t="inlineStr">
        <is>
          <t>OT-2026-0161</t>
        </is>
      </c>
      <c r="J820" s="9">
        <f>IF(I820="","",IFERROR(INDEX('Ordres de travail'!$D$5:$D$3004,MATCH(I820,'Ordres de travail'!$A$5:$A$3004,0)),""))</f>
        <v/>
      </c>
      <c r="K820" s="9">
        <f>IF(D820="","",IFERROR(INDEX('Stock pièces'!$D$5:$D$404,MATCH(D820,'Stock pièces'!$A$5:$A$404,0)),""))</f>
        <v/>
      </c>
      <c r="L820" s="7" t="n"/>
      <c r="M820" s="7" t="n"/>
    </row>
    <row r="821">
      <c r="A821" s="7" t="inlineStr">
        <is>
          <t>MV-00817</t>
        </is>
      </c>
      <c r="B821" s="75" t="n">
        <v>46104.675</v>
      </c>
      <c r="C821" s="7" t="inlineStr">
        <is>
          <t>Sortie</t>
        </is>
      </c>
      <c r="D821" s="7" t="inlineStr">
        <is>
          <t>PD-0071</t>
        </is>
      </c>
      <c r="E821" s="9">
        <f>IF(D821="","",IFERROR(INDEX('Stock pièces'!$B$5:$B$404,MATCH(D821,'Stock pièces'!$A$5:$A$404,0)),"Réf. inconnue"))</f>
        <v/>
      </c>
      <c r="F821" s="67" t="n">
        <v>2</v>
      </c>
      <c r="G821" s="81">
        <f>IF(D821="","",IFERROR(INDEX('Stock pièces'!$I$5:$I$404,MATCH(D821,'Stock pièces'!$A$5:$A$404,0)),0))</f>
        <v/>
      </c>
      <c r="H821" s="81">
        <f>IF(D821="","",N(F821)*N(G821))</f>
        <v/>
      </c>
      <c r="I821" s="7" t="inlineStr">
        <is>
          <t>OT-2026-0177</t>
        </is>
      </c>
      <c r="J821" s="9">
        <f>IF(I821="","",IFERROR(INDEX('Ordres de travail'!$D$5:$D$3004,MATCH(I821,'Ordres de travail'!$A$5:$A$3004,0)),""))</f>
        <v/>
      </c>
      <c r="K821" s="9">
        <f>IF(D821="","",IFERROR(INDEX('Stock pièces'!$D$5:$D$404,MATCH(D821,'Stock pièces'!$A$5:$A$404,0)),""))</f>
        <v/>
      </c>
      <c r="L821" s="7" t="n"/>
      <c r="M821" s="7" t="n"/>
    </row>
    <row r="822">
      <c r="A822" s="7" t="inlineStr">
        <is>
          <t>MV-00818</t>
        </is>
      </c>
      <c r="B822" s="75" t="n">
        <v>46104.675</v>
      </c>
      <c r="C822" s="7" t="inlineStr">
        <is>
          <t>Sortie</t>
        </is>
      </c>
      <c r="D822" s="7" t="inlineStr">
        <is>
          <t>PD-0072</t>
        </is>
      </c>
      <c r="E822" s="9">
        <f>IF(D822="","",IFERROR(INDEX('Stock pièces'!$B$5:$B$404,MATCH(D822,'Stock pièces'!$A$5:$A$404,0)),"Réf. inconnue"))</f>
        <v/>
      </c>
      <c r="F822" s="67" t="n">
        <v>1</v>
      </c>
      <c r="G822" s="81">
        <f>IF(D822="","",IFERROR(INDEX('Stock pièces'!$I$5:$I$404,MATCH(D822,'Stock pièces'!$A$5:$A$404,0)),0))</f>
        <v/>
      </c>
      <c r="H822" s="81">
        <f>IF(D822="","",N(F822)*N(G822))</f>
        <v/>
      </c>
      <c r="I822" s="7" t="inlineStr">
        <is>
          <t>OT-2026-0177</t>
        </is>
      </c>
      <c r="J822" s="9">
        <f>IF(I822="","",IFERROR(INDEX('Ordres de travail'!$D$5:$D$3004,MATCH(I822,'Ordres de travail'!$A$5:$A$3004,0)),""))</f>
        <v/>
      </c>
      <c r="K822" s="9">
        <f>IF(D822="","",IFERROR(INDEX('Stock pièces'!$D$5:$D$404,MATCH(D822,'Stock pièces'!$A$5:$A$404,0)),""))</f>
        <v/>
      </c>
      <c r="L822" s="7" t="n"/>
      <c r="M822" s="7" t="n"/>
    </row>
    <row r="823">
      <c r="A823" s="7" t="inlineStr">
        <is>
          <t>MV-00819</t>
        </is>
      </c>
      <c r="B823" s="75" t="n">
        <v>46105.16111111111</v>
      </c>
      <c r="C823" s="7" t="inlineStr">
        <is>
          <t>Sortie</t>
        </is>
      </c>
      <c r="D823" s="7" t="inlineStr">
        <is>
          <t>PD-0070</t>
        </is>
      </c>
      <c r="E823" s="9">
        <f>IF(D823="","",IFERROR(INDEX('Stock pièces'!$B$5:$B$404,MATCH(D823,'Stock pièces'!$A$5:$A$404,0)),"Réf. inconnue"))</f>
        <v/>
      </c>
      <c r="F823" s="67" t="n">
        <v>1</v>
      </c>
      <c r="G823" s="81">
        <f>IF(D823="","",IFERROR(INDEX('Stock pièces'!$I$5:$I$404,MATCH(D823,'Stock pièces'!$A$5:$A$404,0)),0))</f>
        <v/>
      </c>
      <c r="H823" s="81">
        <f>IF(D823="","",N(F823)*N(G823))</f>
        <v/>
      </c>
      <c r="I823" s="7" t="inlineStr">
        <is>
          <t>OT-2026-0175</t>
        </is>
      </c>
      <c r="J823" s="9">
        <f>IF(I823="","",IFERROR(INDEX('Ordres de travail'!$D$5:$D$3004,MATCH(I823,'Ordres de travail'!$A$5:$A$3004,0)),""))</f>
        <v/>
      </c>
      <c r="K823" s="9">
        <f>IF(D823="","",IFERROR(INDEX('Stock pièces'!$D$5:$D$404,MATCH(D823,'Stock pièces'!$A$5:$A$404,0)),""))</f>
        <v/>
      </c>
      <c r="L823" s="7" t="n"/>
      <c r="M823" s="7" t="n"/>
    </row>
    <row r="824">
      <c r="A824" s="7" t="inlineStr">
        <is>
          <t>MV-00820</t>
        </is>
      </c>
      <c r="B824" s="75" t="n">
        <v>46105.31805555556</v>
      </c>
      <c r="C824" s="7" t="inlineStr">
        <is>
          <t>Sortie</t>
        </is>
      </c>
      <c r="D824" s="7" t="inlineStr">
        <is>
          <t>PD-0038</t>
        </is>
      </c>
      <c r="E824" s="9">
        <f>IF(D824="","",IFERROR(INDEX('Stock pièces'!$B$5:$B$404,MATCH(D824,'Stock pièces'!$A$5:$A$404,0)),"Réf. inconnue"))</f>
        <v/>
      </c>
      <c r="F824" s="67" t="n">
        <v>1</v>
      </c>
      <c r="G824" s="81">
        <f>IF(D824="","",IFERROR(INDEX('Stock pièces'!$I$5:$I$404,MATCH(D824,'Stock pièces'!$A$5:$A$404,0)),0))</f>
        <v/>
      </c>
      <c r="H824" s="81">
        <f>IF(D824="","",N(F824)*N(G824))</f>
        <v/>
      </c>
      <c r="I824" s="7" t="inlineStr">
        <is>
          <t>OT-2026-0173</t>
        </is>
      </c>
      <c r="J824" s="9">
        <f>IF(I824="","",IFERROR(INDEX('Ordres de travail'!$D$5:$D$3004,MATCH(I824,'Ordres de travail'!$A$5:$A$3004,0)),""))</f>
        <v/>
      </c>
      <c r="K824" s="9">
        <f>IF(D824="","",IFERROR(INDEX('Stock pièces'!$D$5:$D$404,MATCH(D824,'Stock pièces'!$A$5:$A$404,0)),""))</f>
        <v/>
      </c>
      <c r="L824" s="7" t="n"/>
      <c r="M824" s="7" t="n"/>
    </row>
    <row r="825">
      <c r="A825" s="7" t="inlineStr">
        <is>
          <t>MV-00821</t>
        </is>
      </c>
      <c r="B825" s="75" t="n">
        <v>46105.40972222222</v>
      </c>
      <c r="C825" s="7" t="inlineStr">
        <is>
          <t>Sortie</t>
        </is>
      </c>
      <c r="D825" s="7" t="inlineStr">
        <is>
          <t>PD-0062</t>
        </is>
      </c>
      <c r="E825" s="9">
        <f>IF(D825="","",IFERROR(INDEX('Stock pièces'!$B$5:$B$404,MATCH(D825,'Stock pièces'!$A$5:$A$404,0)),"Réf. inconnue"))</f>
        <v/>
      </c>
      <c r="F825" s="67" t="n">
        <v>1</v>
      </c>
      <c r="G825" s="81">
        <f>IF(D825="","",IFERROR(INDEX('Stock pièces'!$I$5:$I$404,MATCH(D825,'Stock pièces'!$A$5:$A$404,0)),0))</f>
        <v/>
      </c>
      <c r="H825" s="81">
        <f>IF(D825="","",N(F825)*N(G825))</f>
        <v/>
      </c>
      <c r="I825" s="7" t="inlineStr">
        <is>
          <t>OT-2026-0164</t>
        </is>
      </c>
      <c r="J825" s="9">
        <f>IF(I825="","",IFERROR(INDEX('Ordres de travail'!$D$5:$D$3004,MATCH(I825,'Ordres de travail'!$A$5:$A$3004,0)),""))</f>
        <v/>
      </c>
      <c r="K825" s="9">
        <f>IF(D825="","",IFERROR(INDEX('Stock pièces'!$D$5:$D$404,MATCH(D825,'Stock pièces'!$A$5:$A$404,0)),""))</f>
        <v/>
      </c>
      <c r="L825" s="7" t="n"/>
      <c r="M825" s="7" t="n"/>
    </row>
    <row r="826">
      <c r="A826" s="7" t="inlineStr">
        <is>
          <t>MV-00822</t>
        </is>
      </c>
      <c r="B826" s="75" t="n">
        <v>46108.30902777778</v>
      </c>
      <c r="C826" s="7" t="inlineStr">
        <is>
          <t>Sortie</t>
        </is>
      </c>
      <c r="D826" s="7" t="inlineStr">
        <is>
          <t>PD-0019</t>
        </is>
      </c>
      <c r="E826" s="9">
        <f>IF(D826="","",IFERROR(INDEX('Stock pièces'!$B$5:$B$404,MATCH(D826,'Stock pièces'!$A$5:$A$404,0)),"Réf. inconnue"))</f>
        <v/>
      </c>
      <c r="F826" s="67" t="n">
        <v>2</v>
      </c>
      <c r="G826" s="81">
        <f>IF(D826="","",IFERROR(INDEX('Stock pièces'!$I$5:$I$404,MATCH(D826,'Stock pièces'!$A$5:$A$404,0)),0))</f>
        <v/>
      </c>
      <c r="H826" s="81">
        <f>IF(D826="","",N(F826)*N(G826))</f>
        <v/>
      </c>
      <c r="I826" s="7" t="inlineStr">
        <is>
          <t>OT-2026-0168</t>
        </is>
      </c>
      <c r="J826" s="9">
        <f>IF(I826="","",IFERROR(INDEX('Ordres de travail'!$D$5:$D$3004,MATCH(I826,'Ordres de travail'!$A$5:$A$3004,0)),""))</f>
        <v/>
      </c>
      <c r="K826" s="9">
        <f>IF(D826="","",IFERROR(INDEX('Stock pièces'!$D$5:$D$404,MATCH(D826,'Stock pièces'!$A$5:$A$404,0)),""))</f>
        <v/>
      </c>
      <c r="L826" s="7" t="n"/>
      <c r="M826" s="7" t="n"/>
    </row>
    <row r="827">
      <c r="A827" s="7" t="inlineStr">
        <is>
          <t>MV-00823</t>
        </is>
      </c>
      <c r="B827" s="75" t="n">
        <v>46108.30902777778</v>
      </c>
      <c r="C827" s="7" t="inlineStr">
        <is>
          <t>Sortie</t>
        </is>
      </c>
      <c r="D827" s="7" t="inlineStr">
        <is>
          <t>PD-0020</t>
        </is>
      </c>
      <c r="E827" s="9">
        <f>IF(D827="","",IFERROR(INDEX('Stock pièces'!$B$5:$B$404,MATCH(D827,'Stock pièces'!$A$5:$A$404,0)),"Réf. inconnue"))</f>
        <v/>
      </c>
      <c r="F827" s="67" t="n">
        <v>2</v>
      </c>
      <c r="G827" s="81">
        <f>IF(D827="","",IFERROR(INDEX('Stock pièces'!$I$5:$I$404,MATCH(D827,'Stock pièces'!$A$5:$A$404,0)),0))</f>
        <v/>
      </c>
      <c r="H827" s="81">
        <f>IF(D827="","",N(F827)*N(G827))</f>
        <v/>
      </c>
      <c r="I827" s="7" t="inlineStr">
        <is>
          <t>OT-2026-0168</t>
        </is>
      </c>
      <c r="J827" s="9">
        <f>IF(I827="","",IFERROR(INDEX('Ordres de travail'!$D$5:$D$3004,MATCH(I827,'Ordres de travail'!$A$5:$A$3004,0)),""))</f>
        <v/>
      </c>
      <c r="K827" s="9">
        <f>IF(D827="","",IFERROR(INDEX('Stock pièces'!$D$5:$D$404,MATCH(D827,'Stock pièces'!$A$5:$A$404,0)),""))</f>
        <v/>
      </c>
      <c r="L827" s="7" t="n"/>
      <c r="M827" s="7" t="n"/>
    </row>
    <row r="828">
      <c r="A828" s="7" t="inlineStr">
        <is>
          <t>MV-00824</t>
        </is>
      </c>
      <c r="B828" s="75" t="n">
        <v>46109.51805555556</v>
      </c>
      <c r="C828" s="7" t="inlineStr">
        <is>
          <t>Sortie</t>
        </is>
      </c>
      <c r="D828" s="7" t="inlineStr">
        <is>
          <t>PD-0067</t>
        </is>
      </c>
      <c r="E828" s="9">
        <f>IF(D828="","",IFERROR(INDEX('Stock pièces'!$B$5:$B$404,MATCH(D828,'Stock pièces'!$A$5:$A$404,0)),"Réf. inconnue"))</f>
        <v/>
      </c>
      <c r="F828" s="67" t="n">
        <v>1</v>
      </c>
      <c r="G828" s="81">
        <f>IF(D828="","",IFERROR(INDEX('Stock pièces'!$I$5:$I$404,MATCH(D828,'Stock pièces'!$A$5:$A$404,0)),0))</f>
        <v/>
      </c>
      <c r="H828" s="81">
        <f>IF(D828="","",N(F828)*N(G828))</f>
        <v/>
      </c>
      <c r="I828" s="7" t="inlineStr">
        <is>
          <t>OT-2026-0185</t>
        </is>
      </c>
      <c r="J828" s="9">
        <f>IF(I828="","",IFERROR(INDEX('Ordres de travail'!$D$5:$D$3004,MATCH(I828,'Ordres de travail'!$A$5:$A$3004,0)),""))</f>
        <v/>
      </c>
      <c r="K828" s="9">
        <f>IF(D828="","",IFERROR(INDEX('Stock pièces'!$D$5:$D$404,MATCH(D828,'Stock pièces'!$A$5:$A$404,0)),""))</f>
        <v/>
      </c>
      <c r="L828" s="7" t="n"/>
      <c r="M828" s="7" t="n"/>
    </row>
    <row r="829">
      <c r="A829" s="7" t="inlineStr">
        <is>
          <t>MV-00825</t>
        </is>
      </c>
      <c r="B829" s="75" t="n">
        <v>46109.51805555556</v>
      </c>
      <c r="C829" s="7" t="inlineStr">
        <is>
          <t>Sortie</t>
        </is>
      </c>
      <c r="D829" s="7" t="inlineStr">
        <is>
          <t>PD-0069</t>
        </is>
      </c>
      <c r="E829" s="9">
        <f>IF(D829="","",IFERROR(INDEX('Stock pièces'!$B$5:$B$404,MATCH(D829,'Stock pièces'!$A$5:$A$404,0)),"Réf. inconnue"))</f>
        <v/>
      </c>
      <c r="F829" s="67" t="n">
        <v>1</v>
      </c>
      <c r="G829" s="81">
        <f>IF(D829="","",IFERROR(INDEX('Stock pièces'!$I$5:$I$404,MATCH(D829,'Stock pièces'!$A$5:$A$404,0)),0))</f>
        <v/>
      </c>
      <c r="H829" s="81">
        <f>IF(D829="","",N(F829)*N(G829))</f>
        <v/>
      </c>
      <c r="I829" s="7" t="inlineStr">
        <is>
          <t>OT-2026-0185</t>
        </is>
      </c>
      <c r="J829" s="9">
        <f>IF(I829="","",IFERROR(INDEX('Ordres de travail'!$D$5:$D$3004,MATCH(I829,'Ordres de travail'!$A$5:$A$3004,0)),""))</f>
        <v/>
      </c>
      <c r="K829" s="9">
        <f>IF(D829="","",IFERROR(INDEX('Stock pièces'!$D$5:$D$404,MATCH(D829,'Stock pièces'!$A$5:$A$404,0)),""))</f>
        <v/>
      </c>
      <c r="L829" s="7" t="n"/>
      <c r="M829" s="7" t="n"/>
    </row>
    <row r="830">
      <c r="A830" s="7" t="inlineStr">
        <is>
          <t>MV-00826</t>
        </is>
      </c>
      <c r="B830" s="75" t="n">
        <v>46110.15138888889</v>
      </c>
      <c r="C830" s="7" t="inlineStr">
        <is>
          <t>Sortie</t>
        </is>
      </c>
      <c r="D830" s="7" t="inlineStr">
        <is>
          <t>PD-0032</t>
        </is>
      </c>
      <c r="E830" s="9">
        <f>IF(D830="","",IFERROR(INDEX('Stock pièces'!$B$5:$B$404,MATCH(D830,'Stock pièces'!$A$5:$A$404,0)),"Réf. inconnue"))</f>
        <v/>
      </c>
      <c r="F830" s="67" t="n">
        <v>1</v>
      </c>
      <c r="G830" s="81">
        <f>IF(D830="","",IFERROR(INDEX('Stock pièces'!$I$5:$I$404,MATCH(D830,'Stock pièces'!$A$5:$A$404,0)),0))</f>
        <v/>
      </c>
      <c r="H830" s="81">
        <f>IF(D830="","",N(F830)*N(G830))</f>
        <v/>
      </c>
      <c r="I830" s="7" t="inlineStr">
        <is>
          <t>OT-2026-0184</t>
        </is>
      </c>
      <c r="J830" s="9">
        <f>IF(I830="","",IFERROR(INDEX('Ordres de travail'!$D$5:$D$3004,MATCH(I830,'Ordres de travail'!$A$5:$A$3004,0)),""))</f>
        <v/>
      </c>
      <c r="K830" s="9">
        <f>IF(D830="","",IFERROR(INDEX('Stock pièces'!$D$5:$D$404,MATCH(D830,'Stock pièces'!$A$5:$A$404,0)),""))</f>
        <v/>
      </c>
      <c r="L830" s="7" t="n"/>
      <c r="M830" s="7" t="n"/>
    </row>
    <row r="831">
      <c r="A831" s="7" t="inlineStr">
        <is>
          <t>MV-00827</t>
        </is>
      </c>
      <c r="B831" s="75" t="n">
        <v>46111.41666666666</v>
      </c>
      <c r="C831" s="7" t="inlineStr">
        <is>
          <t>Entrée</t>
        </is>
      </c>
      <c r="D831" s="7" t="inlineStr">
        <is>
          <t>PD-0057</t>
        </is>
      </c>
      <c r="E831" s="9">
        <f>IF(D831="","",IFERROR(INDEX('Stock pièces'!$B$5:$B$404,MATCH(D831,'Stock pièces'!$A$5:$A$404,0)),"Réf. inconnue"))</f>
        <v/>
      </c>
      <c r="F831" s="67" t="n">
        <v>1</v>
      </c>
      <c r="G831" s="81">
        <f>IF(D831="","",IFERROR(INDEX('Stock pièces'!$I$5:$I$404,MATCH(D831,'Stock pièces'!$A$5:$A$404,0)),0))</f>
        <v/>
      </c>
      <c r="H831" s="81">
        <f>IF(D831="","",N(F831)*N(G831))</f>
        <v/>
      </c>
      <c r="I831" s="7" t="n"/>
      <c r="J831" s="9">
        <f>IF(I831="","",IFERROR(INDEX('Ordres de travail'!$D$5:$D$3004,MATCH(I831,'Ordres de travail'!$A$5:$A$3004,0)),""))</f>
        <v/>
      </c>
      <c r="K831" s="9">
        <f>IF(D831="","",IFERROR(INDEX('Stock pièces'!$D$5:$D$404,MATCH(D831,'Stock pièces'!$A$5:$A$404,0)),""))</f>
        <v/>
      </c>
      <c r="L831" s="7" t="inlineStr">
        <is>
          <t>CMD-24227</t>
        </is>
      </c>
      <c r="M831" s="7" t="inlineStr">
        <is>
          <t>Réception commande réappro</t>
        </is>
      </c>
    </row>
    <row r="832">
      <c r="A832" s="7" t="inlineStr">
        <is>
          <t>MV-00828</t>
        </is>
      </c>
      <c r="B832" s="75" t="n">
        <v>46111.46527777778</v>
      </c>
      <c r="C832" s="7" t="inlineStr">
        <is>
          <t>Sortie</t>
        </is>
      </c>
      <c r="D832" s="7" t="inlineStr">
        <is>
          <t>PD-0015</t>
        </is>
      </c>
      <c r="E832" s="9">
        <f>IF(D832="","",IFERROR(INDEX('Stock pièces'!$B$5:$B$404,MATCH(D832,'Stock pièces'!$A$5:$A$404,0)),"Réf. inconnue"))</f>
        <v/>
      </c>
      <c r="F832" s="67" t="n">
        <v>1</v>
      </c>
      <c r="G832" s="81">
        <f>IF(D832="","",IFERROR(INDEX('Stock pièces'!$I$5:$I$404,MATCH(D832,'Stock pièces'!$A$5:$A$404,0)),0))</f>
        <v/>
      </c>
      <c r="H832" s="81">
        <f>IF(D832="","",N(F832)*N(G832))</f>
        <v/>
      </c>
      <c r="I832" s="7" t="inlineStr">
        <is>
          <t>OT-2026-0176</t>
        </is>
      </c>
      <c r="J832" s="9">
        <f>IF(I832="","",IFERROR(INDEX('Ordres de travail'!$D$5:$D$3004,MATCH(I832,'Ordres de travail'!$A$5:$A$3004,0)),""))</f>
        <v/>
      </c>
      <c r="K832" s="9">
        <f>IF(D832="","",IFERROR(INDEX('Stock pièces'!$D$5:$D$404,MATCH(D832,'Stock pièces'!$A$5:$A$404,0)),""))</f>
        <v/>
      </c>
      <c r="L832" s="7" t="n"/>
      <c r="M832" s="7" t="n"/>
    </row>
    <row r="833">
      <c r="A833" s="7" t="inlineStr">
        <is>
          <t>MV-00829</t>
        </is>
      </c>
      <c r="B833" s="75" t="n">
        <v>46111.46527777778</v>
      </c>
      <c r="C833" s="7" t="inlineStr">
        <is>
          <t>Sortie</t>
        </is>
      </c>
      <c r="D833" s="7" t="inlineStr">
        <is>
          <t>PD-0022</t>
        </is>
      </c>
      <c r="E833" s="9">
        <f>IF(D833="","",IFERROR(INDEX('Stock pièces'!$B$5:$B$404,MATCH(D833,'Stock pièces'!$A$5:$A$404,0)),"Réf. inconnue"))</f>
        <v/>
      </c>
      <c r="F833" s="67" t="n">
        <v>1</v>
      </c>
      <c r="G833" s="81">
        <f>IF(D833="","",IFERROR(INDEX('Stock pièces'!$I$5:$I$404,MATCH(D833,'Stock pièces'!$A$5:$A$404,0)),0))</f>
        <v/>
      </c>
      <c r="H833" s="81">
        <f>IF(D833="","",N(F833)*N(G833))</f>
        <v/>
      </c>
      <c r="I833" s="7" t="inlineStr">
        <is>
          <t>OT-2026-0176</t>
        </is>
      </c>
      <c r="J833" s="9">
        <f>IF(I833="","",IFERROR(INDEX('Ordres de travail'!$D$5:$D$3004,MATCH(I833,'Ordres de travail'!$A$5:$A$3004,0)),""))</f>
        <v/>
      </c>
      <c r="K833" s="9">
        <f>IF(D833="","",IFERROR(INDEX('Stock pièces'!$D$5:$D$404,MATCH(D833,'Stock pièces'!$A$5:$A$404,0)),""))</f>
        <v/>
      </c>
      <c r="L833" s="7" t="n"/>
      <c r="M833" s="7" t="n"/>
    </row>
    <row r="834">
      <c r="A834" s="7" t="inlineStr">
        <is>
          <t>MV-00830</t>
        </is>
      </c>
      <c r="B834" s="75" t="n">
        <v>46113.8375</v>
      </c>
      <c r="C834" s="7" t="inlineStr">
        <is>
          <t>Entrée</t>
        </is>
      </c>
      <c r="D834" s="7" t="inlineStr">
        <is>
          <t>PD-0070</t>
        </is>
      </c>
      <c r="E834" s="9">
        <f>IF(D834="","",IFERROR(INDEX('Stock pièces'!$B$5:$B$404,MATCH(D834,'Stock pièces'!$A$5:$A$404,0)),"Réf. inconnue"))</f>
        <v/>
      </c>
      <c r="F834" s="67" t="n">
        <v>1</v>
      </c>
      <c r="G834" s="81">
        <f>IF(D834="","",IFERROR(INDEX('Stock pièces'!$I$5:$I$404,MATCH(D834,'Stock pièces'!$A$5:$A$404,0)),0))</f>
        <v/>
      </c>
      <c r="H834" s="81">
        <f>IF(D834="","",N(F834)*N(G834))</f>
        <v/>
      </c>
      <c r="I834" s="7" t="n"/>
      <c r="J834" s="9">
        <f>IF(I834="","",IFERROR(INDEX('Ordres de travail'!$D$5:$D$3004,MATCH(I834,'Ordres de travail'!$A$5:$A$3004,0)),""))</f>
        <v/>
      </c>
      <c r="K834" s="9">
        <f>IF(D834="","",IFERROR(INDEX('Stock pièces'!$D$5:$D$404,MATCH(D834,'Stock pièces'!$A$5:$A$404,0)),""))</f>
        <v/>
      </c>
      <c r="L834" s="7" t="inlineStr">
        <is>
          <t>URG-24239</t>
        </is>
      </c>
      <c r="M834" s="7" t="inlineStr">
        <is>
          <t>Achat urgent (rupture)</t>
        </is>
      </c>
    </row>
    <row r="835">
      <c r="A835" s="7" t="inlineStr">
        <is>
          <t>MV-00831</t>
        </is>
      </c>
      <c r="B835" s="75" t="n">
        <v>46113.84097222222</v>
      </c>
      <c r="C835" s="7" t="inlineStr">
        <is>
          <t>Sortie</t>
        </is>
      </c>
      <c r="D835" s="7" t="inlineStr">
        <is>
          <t>PD-0067</t>
        </is>
      </c>
      <c r="E835" s="9">
        <f>IF(D835="","",IFERROR(INDEX('Stock pièces'!$B$5:$B$404,MATCH(D835,'Stock pièces'!$A$5:$A$404,0)),"Réf. inconnue"))</f>
        <v/>
      </c>
      <c r="F835" s="67" t="n">
        <v>2</v>
      </c>
      <c r="G835" s="81">
        <f>IF(D835="","",IFERROR(INDEX('Stock pièces'!$I$5:$I$404,MATCH(D835,'Stock pièces'!$A$5:$A$404,0)),0))</f>
        <v/>
      </c>
      <c r="H835" s="81">
        <f>IF(D835="","",N(F835)*N(G835))</f>
        <v/>
      </c>
      <c r="I835" s="7" t="inlineStr">
        <is>
          <t>OT-2026-0191</t>
        </is>
      </c>
      <c r="J835" s="9">
        <f>IF(I835="","",IFERROR(INDEX('Ordres de travail'!$D$5:$D$3004,MATCH(I835,'Ordres de travail'!$A$5:$A$3004,0)),""))</f>
        <v/>
      </c>
      <c r="K835" s="9">
        <f>IF(D835="","",IFERROR(INDEX('Stock pièces'!$D$5:$D$404,MATCH(D835,'Stock pièces'!$A$5:$A$404,0)),""))</f>
        <v/>
      </c>
      <c r="L835" s="7" t="n"/>
      <c r="M835" s="7" t="n"/>
    </row>
    <row r="836">
      <c r="A836" s="7" t="inlineStr">
        <is>
          <t>MV-00832</t>
        </is>
      </c>
      <c r="B836" s="75" t="n">
        <v>46113.84097222222</v>
      </c>
      <c r="C836" s="7" t="inlineStr">
        <is>
          <t>Sortie</t>
        </is>
      </c>
      <c r="D836" s="7" t="inlineStr">
        <is>
          <t>PD-0070</t>
        </is>
      </c>
      <c r="E836" s="9">
        <f>IF(D836="","",IFERROR(INDEX('Stock pièces'!$B$5:$B$404,MATCH(D836,'Stock pièces'!$A$5:$A$404,0)),"Réf. inconnue"))</f>
        <v/>
      </c>
      <c r="F836" s="67" t="n">
        <v>1</v>
      </c>
      <c r="G836" s="81">
        <f>IF(D836="","",IFERROR(INDEX('Stock pièces'!$I$5:$I$404,MATCH(D836,'Stock pièces'!$A$5:$A$404,0)),0))</f>
        <v/>
      </c>
      <c r="H836" s="81">
        <f>IF(D836="","",N(F836)*N(G836))</f>
        <v/>
      </c>
      <c r="I836" s="7" t="inlineStr">
        <is>
          <t>OT-2026-0191</t>
        </is>
      </c>
      <c r="J836" s="9">
        <f>IF(I836="","",IFERROR(INDEX('Ordres de travail'!$D$5:$D$3004,MATCH(I836,'Ordres de travail'!$A$5:$A$3004,0)),""))</f>
        <v/>
      </c>
      <c r="K836" s="9">
        <f>IF(D836="","",IFERROR(INDEX('Stock pièces'!$D$5:$D$404,MATCH(D836,'Stock pièces'!$A$5:$A$404,0)),""))</f>
        <v/>
      </c>
      <c r="L836" s="7" t="n"/>
      <c r="M836" s="7" t="n"/>
    </row>
    <row r="837">
      <c r="A837" s="7" t="inlineStr">
        <is>
          <t>MV-00833</t>
        </is>
      </c>
      <c r="B837" s="75" t="n">
        <v>46116.87708333333</v>
      </c>
      <c r="C837" s="7" t="inlineStr">
        <is>
          <t>Sortie</t>
        </is>
      </c>
      <c r="D837" s="7" t="inlineStr">
        <is>
          <t>PD-0006</t>
        </is>
      </c>
      <c r="E837" s="9">
        <f>IF(D837="","",IFERROR(INDEX('Stock pièces'!$B$5:$B$404,MATCH(D837,'Stock pièces'!$A$5:$A$404,0)),"Réf. inconnue"))</f>
        <v/>
      </c>
      <c r="F837" s="67" t="n">
        <v>2</v>
      </c>
      <c r="G837" s="81">
        <f>IF(D837="","",IFERROR(INDEX('Stock pièces'!$I$5:$I$404,MATCH(D837,'Stock pièces'!$A$5:$A$404,0)),0))</f>
        <v/>
      </c>
      <c r="H837" s="81">
        <f>IF(D837="","",N(F837)*N(G837))</f>
        <v/>
      </c>
      <c r="I837" s="7" t="inlineStr">
        <is>
          <t>OT-2026-0197</t>
        </is>
      </c>
      <c r="J837" s="9">
        <f>IF(I837="","",IFERROR(INDEX('Ordres de travail'!$D$5:$D$3004,MATCH(I837,'Ordres de travail'!$A$5:$A$3004,0)),""))</f>
        <v/>
      </c>
      <c r="K837" s="9">
        <f>IF(D837="","",IFERROR(INDEX('Stock pièces'!$D$5:$D$404,MATCH(D837,'Stock pièces'!$A$5:$A$404,0)),""))</f>
        <v/>
      </c>
      <c r="L837" s="7" t="n"/>
      <c r="M837" s="7" t="n"/>
    </row>
    <row r="838">
      <c r="A838" s="7" t="inlineStr">
        <is>
          <t>MV-00834</t>
        </is>
      </c>
      <c r="B838" s="75" t="n">
        <v>46118.41666666666</v>
      </c>
      <c r="C838" s="7" t="inlineStr">
        <is>
          <t>Entrée</t>
        </is>
      </c>
      <c r="D838" s="7" t="inlineStr">
        <is>
          <t>PD-0071</t>
        </is>
      </c>
      <c r="E838" s="9">
        <f>IF(D838="","",IFERROR(INDEX('Stock pièces'!$B$5:$B$404,MATCH(D838,'Stock pièces'!$A$5:$A$404,0)),"Réf. inconnue"))</f>
        <v/>
      </c>
      <c r="F838" s="67" t="n">
        <v>5</v>
      </c>
      <c r="G838" s="81">
        <f>IF(D838="","",IFERROR(INDEX('Stock pièces'!$I$5:$I$404,MATCH(D838,'Stock pièces'!$A$5:$A$404,0)),0))</f>
        <v/>
      </c>
      <c r="H838" s="81">
        <f>IF(D838="","",N(F838)*N(G838))</f>
        <v/>
      </c>
      <c r="I838" s="7" t="n"/>
      <c r="J838" s="9">
        <f>IF(I838="","",IFERROR(INDEX('Ordres de travail'!$D$5:$D$3004,MATCH(I838,'Ordres de travail'!$A$5:$A$3004,0)),""))</f>
        <v/>
      </c>
      <c r="K838" s="9">
        <f>IF(D838="","",IFERROR(INDEX('Stock pièces'!$D$5:$D$404,MATCH(D838,'Stock pièces'!$A$5:$A$404,0)),""))</f>
        <v/>
      </c>
      <c r="L838" s="7" t="inlineStr">
        <is>
          <t>CMD-24233</t>
        </is>
      </c>
      <c r="M838" s="7" t="inlineStr">
        <is>
          <t>Réception commande réappro</t>
        </is>
      </c>
    </row>
    <row r="839">
      <c r="A839" s="7" t="inlineStr">
        <is>
          <t>MV-00835</t>
        </is>
      </c>
      <c r="B839" s="75" t="n">
        <v>46118.41666666666</v>
      </c>
      <c r="C839" s="7" t="inlineStr">
        <is>
          <t>Entrée</t>
        </is>
      </c>
      <c r="D839" s="7" t="inlineStr">
        <is>
          <t>PD-0069</t>
        </is>
      </c>
      <c r="E839" s="9">
        <f>IF(D839="","",IFERROR(INDEX('Stock pièces'!$B$5:$B$404,MATCH(D839,'Stock pièces'!$A$5:$A$404,0)),"Réf. inconnue"))</f>
        <v/>
      </c>
      <c r="F839" s="67" t="n">
        <v>1</v>
      </c>
      <c r="G839" s="81">
        <f>IF(D839="","",IFERROR(INDEX('Stock pièces'!$I$5:$I$404,MATCH(D839,'Stock pièces'!$A$5:$A$404,0)),0))</f>
        <v/>
      </c>
      <c r="H839" s="81">
        <f>IF(D839="","",N(F839)*N(G839))</f>
        <v/>
      </c>
      <c r="I839" s="7" t="n"/>
      <c r="J839" s="9">
        <f>IF(I839="","",IFERROR(INDEX('Ordres de travail'!$D$5:$D$3004,MATCH(I839,'Ordres de travail'!$A$5:$A$3004,0)),""))</f>
        <v/>
      </c>
      <c r="K839" s="9">
        <f>IF(D839="","",IFERROR(INDEX('Stock pièces'!$D$5:$D$404,MATCH(D839,'Stock pièces'!$A$5:$A$404,0)),""))</f>
        <v/>
      </c>
      <c r="L839" s="7" t="inlineStr">
        <is>
          <t>CMD-24235</t>
        </is>
      </c>
      <c r="M839" s="7" t="inlineStr">
        <is>
          <t>Réception commande réappro</t>
        </is>
      </c>
    </row>
    <row r="840">
      <c r="A840" s="7" t="inlineStr">
        <is>
          <t>MV-00836</t>
        </is>
      </c>
      <c r="B840" s="75" t="n">
        <v>46118.41666666666</v>
      </c>
      <c r="C840" s="7" t="inlineStr">
        <is>
          <t>Entrée</t>
        </is>
      </c>
      <c r="D840" s="7" t="inlineStr">
        <is>
          <t>PD-0032</t>
        </is>
      </c>
      <c r="E840" s="9">
        <f>IF(D840="","",IFERROR(INDEX('Stock pièces'!$B$5:$B$404,MATCH(D840,'Stock pièces'!$A$5:$A$404,0)),"Réf. inconnue"))</f>
        <v/>
      </c>
      <c r="F840" s="67" t="n">
        <v>2</v>
      </c>
      <c r="G840" s="81">
        <f>IF(D840="","",IFERROR(INDEX('Stock pièces'!$I$5:$I$404,MATCH(D840,'Stock pièces'!$A$5:$A$404,0)),0))</f>
        <v/>
      </c>
      <c r="H840" s="81">
        <f>IF(D840="","",N(F840)*N(G840))</f>
        <v/>
      </c>
      <c r="I840" s="7" t="n"/>
      <c r="J840" s="9">
        <f>IF(I840="","",IFERROR(INDEX('Ordres de travail'!$D$5:$D$3004,MATCH(I840,'Ordres de travail'!$A$5:$A$3004,0)),""))</f>
        <v/>
      </c>
      <c r="K840" s="9">
        <f>IF(D840="","",IFERROR(INDEX('Stock pièces'!$D$5:$D$404,MATCH(D840,'Stock pièces'!$A$5:$A$404,0)),""))</f>
        <v/>
      </c>
      <c r="L840" s="7" t="inlineStr">
        <is>
          <t>CMD-24236</t>
        </is>
      </c>
      <c r="M840" s="7" t="inlineStr">
        <is>
          <t>Réception commande réappro</t>
        </is>
      </c>
    </row>
    <row r="841">
      <c r="A841" s="7" t="inlineStr">
        <is>
          <t>MV-00837</t>
        </is>
      </c>
      <c r="B841" s="75" t="n">
        <v>46118.47222222222</v>
      </c>
      <c r="C841" s="7" t="inlineStr">
        <is>
          <t>Sortie</t>
        </is>
      </c>
      <c r="D841" s="7" t="inlineStr">
        <is>
          <t>PD-0019</t>
        </is>
      </c>
      <c r="E841" s="9">
        <f>IF(D841="","",IFERROR(INDEX('Stock pièces'!$B$5:$B$404,MATCH(D841,'Stock pièces'!$A$5:$A$404,0)),"Réf. inconnue"))</f>
        <v/>
      </c>
      <c r="F841" s="67" t="n">
        <v>2</v>
      </c>
      <c r="G841" s="81">
        <f>IF(D841="","",IFERROR(INDEX('Stock pièces'!$I$5:$I$404,MATCH(D841,'Stock pièces'!$A$5:$A$404,0)),0))</f>
        <v/>
      </c>
      <c r="H841" s="81">
        <f>IF(D841="","",N(F841)*N(G841))</f>
        <v/>
      </c>
      <c r="I841" s="7" t="inlineStr">
        <is>
          <t>OT-2026-0189</t>
        </is>
      </c>
      <c r="J841" s="9">
        <f>IF(I841="","",IFERROR(INDEX('Ordres de travail'!$D$5:$D$3004,MATCH(I841,'Ordres de travail'!$A$5:$A$3004,0)),""))</f>
        <v/>
      </c>
      <c r="K841" s="9">
        <f>IF(D841="","",IFERROR(INDEX('Stock pièces'!$D$5:$D$404,MATCH(D841,'Stock pièces'!$A$5:$A$404,0)),""))</f>
        <v/>
      </c>
      <c r="L841" s="7" t="n"/>
      <c r="M841" s="7" t="n"/>
    </row>
    <row r="842">
      <c r="A842" s="7" t="inlineStr">
        <is>
          <t>MV-00838</t>
        </is>
      </c>
      <c r="B842" s="75" t="n">
        <v>46118.47222222222</v>
      </c>
      <c r="C842" s="7" t="inlineStr">
        <is>
          <t>Sortie</t>
        </is>
      </c>
      <c r="D842" s="7" t="inlineStr">
        <is>
          <t>PD-0020</t>
        </is>
      </c>
      <c r="E842" s="9">
        <f>IF(D842="","",IFERROR(INDEX('Stock pièces'!$B$5:$B$404,MATCH(D842,'Stock pièces'!$A$5:$A$404,0)),"Réf. inconnue"))</f>
        <v/>
      </c>
      <c r="F842" s="67" t="n">
        <v>2</v>
      </c>
      <c r="G842" s="81">
        <f>IF(D842="","",IFERROR(INDEX('Stock pièces'!$I$5:$I$404,MATCH(D842,'Stock pièces'!$A$5:$A$404,0)),0))</f>
        <v/>
      </c>
      <c r="H842" s="81">
        <f>IF(D842="","",N(F842)*N(G842))</f>
        <v/>
      </c>
      <c r="I842" s="7" t="inlineStr">
        <is>
          <t>OT-2026-0189</t>
        </is>
      </c>
      <c r="J842" s="9">
        <f>IF(I842="","",IFERROR(INDEX('Ordres de travail'!$D$5:$D$3004,MATCH(I842,'Ordres de travail'!$A$5:$A$3004,0)),""))</f>
        <v/>
      </c>
      <c r="K842" s="9">
        <f>IF(D842="","",IFERROR(INDEX('Stock pièces'!$D$5:$D$404,MATCH(D842,'Stock pièces'!$A$5:$A$404,0)),""))</f>
        <v/>
      </c>
      <c r="L842" s="7" t="n"/>
      <c r="M842" s="7" t="n"/>
    </row>
    <row r="843">
      <c r="A843" s="7" t="inlineStr">
        <is>
          <t>MV-00839</t>
        </is>
      </c>
      <c r="B843" s="75" t="n">
        <v>46118.50694444445</v>
      </c>
      <c r="C843" s="7" t="inlineStr">
        <is>
          <t>Sortie</t>
        </is>
      </c>
      <c r="D843" s="7" t="inlineStr">
        <is>
          <t>PD-0017</t>
        </is>
      </c>
      <c r="E843" s="9">
        <f>IF(D843="","",IFERROR(INDEX('Stock pièces'!$B$5:$B$404,MATCH(D843,'Stock pièces'!$A$5:$A$404,0)),"Réf. inconnue"))</f>
        <v/>
      </c>
      <c r="F843" s="67" t="n">
        <v>1</v>
      </c>
      <c r="G843" s="81">
        <f>IF(D843="","",IFERROR(INDEX('Stock pièces'!$I$5:$I$404,MATCH(D843,'Stock pièces'!$A$5:$A$404,0)),0))</f>
        <v/>
      </c>
      <c r="H843" s="81">
        <f>IF(D843="","",N(F843)*N(G843))</f>
        <v/>
      </c>
      <c r="I843" s="7" t="inlineStr">
        <is>
          <t>OT-2026-0187</t>
        </is>
      </c>
      <c r="J843" s="9">
        <f>IF(I843="","",IFERROR(INDEX('Ordres de travail'!$D$5:$D$3004,MATCH(I843,'Ordres de travail'!$A$5:$A$3004,0)),""))</f>
        <v/>
      </c>
      <c r="K843" s="9">
        <f>IF(D843="","",IFERROR(INDEX('Stock pièces'!$D$5:$D$404,MATCH(D843,'Stock pièces'!$A$5:$A$404,0)),""))</f>
        <v/>
      </c>
      <c r="L843" s="7" t="n"/>
      <c r="M843" s="7" t="n"/>
    </row>
    <row r="844">
      <c r="A844" s="7" t="inlineStr">
        <is>
          <t>MV-00840</t>
        </is>
      </c>
      <c r="B844" s="75" t="n">
        <v>46118.68125</v>
      </c>
      <c r="C844" s="7" t="inlineStr">
        <is>
          <t>Sortie</t>
        </is>
      </c>
      <c r="D844" s="7" t="inlineStr">
        <is>
          <t>PD-0071</t>
        </is>
      </c>
      <c r="E844" s="9">
        <f>IF(D844="","",IFERROR(INDEX('Stock pièces'!$B$5:$B$404,MATCH(D844,'Stock pièces'!$A$5:$A$404,0)),"Réf. inconnue"))</f>
        <v/>
      </c>
      <c r="F844" s="67" t="n">
        <v>1</v>
      </c>
      <c r="G844" s="81">
        <f>IF(D844="","",IFERROR(INDEX('Stock pièces'!$I$5:$I$404,MATCH(D844,'Stock pièces'!$A$5:$A$404,0)),0))</f>
        <v/>
      </c>
      <c r="H844" s="81">
        <f>IF(D844="","",N(F844)*N(G844))</f>
        <v/>
      </c>
      <c r="I844" s="7" t="inlineStr">
        <is>
          <t>OT-2026-0206</t>
        </is>
      </c>
      <c r="J844" s="9">
        <f>IF(I844="","",IFERROR(INDEX('Ordres de travail'!$D$5:$D$3004,MATCH(I844,'Ordres de travail'!$A$5:$A$3004,0)),""))</f>
        <v/>
      </c>
      <c r="K844" s="9">
        <f>IF(D844="","",IFERROR(INDEX('Stock pièces'!$D$5:$D$404,MATCH(D844,'Stock pièces'!$A$5:$A$404,0)),""))</f>
        <v/>
      </c>
      <c r="L844" s="7" t="n"/>
      <c r="M844" s="7" t="n"/>
    </row>
    <row r="845">
      <c r="A845" s="7" t="inlineStr">
        <is>
          <t>MV-00841</t>
        </is>
      </c>
      <c r="B845" s="75" t="n">
        <v>46119.41666666666</v>
      </c>
      <c r="C845" s="7" t="inlineStr">
        <is>
          <t>Entrée</t>
        </is>
      </c>
      <c r="D845" s="7" t="inlineStr">
        <is>
          <t>PD-0022</t>
        </is>
      </c>
      <c r="E845" s="9">
        <f>IF(D845="","",IFERROR(INDEX('Stock pièces'!$B$5:$B$404,MATCH(D845,'Stock pièces'!$A$5:$A$404,0)),"Réf. inconnue"))</f>
        <v/>
      </c>
      <c r="F845" s="67" t="n">
        <v>2</v>
      </c>
      <c r="G845" s="81">
        <f>IF(D845="","",IFERROR(INDEX('Stock pièces'!$I$5:$I$404,MATCH(D845,'Stock pièces'!$A$5:$A$404,0)),0))</f>
        <v/>
      </c>
      <c r="H845" s="81">
        <f>IF(D845="","",N(F845)*N(G845))</f>
        <v/>
      </c>
      <c r="I845" s="7" t="n"/>
      <c r="J845" s="9">
        <f>IF(I845="","",IFERROR(INDEX('Ordres de travail'!$D$5:$D$3004,MATCH(I845,'Ordres de travail'!$A$5:$A$3004,0)),""))</f>
        <v/>
      </c>
      <c r="K845" s="9">
        <f>IF(D845="","",IFERROR(INDEX('Stock pièces'!$D$5:$D$404,MATCH(D845,'Stock pièces'!$A$5:$A$404,0)),""))</f>
        <v/>
      </c>
      <c r="L845" s="7" t="inlineStr">
        <is>
          <t>CMD-24237</t>
        </is>
      </c>
      <c r="M845" s="7" t="inlineStr">
        <is>
          <t>Réception commande réappro</t>
        </is>
      </c>
    </row>
    <row r="846">
      <c r="A846" s="7" t="inlineStr">
        <is>
          <t>MV-00842</t>
        </is>
      </c>
      <c r="B846" s="75" t="n">
        <v>46119.47222222222</v>
      </c>
      <c r="C846" s="7" t="inlineStr">
        <is>
          <t>Retour</t>
        </is>
      </c>
      <c r="D846" s="7" t="inlineStr">
        <is>
          <t>PD-0020</t>
        </is>
      </c>
      <c r="E846" s="9">
        <f>IF(D846="","",IFERROR(INDEX('Stock pièces'!$B$5:$B$404,MATCH(D846,'Stock pièces'!$A$5:$A$404,0)),"Réf. inconnue"))</f>
        <v/>
      </c>
      <c r="F846" s="67" t="n">
        <v>1</v>
      </c>
      <c r="G846" s="81">
        <f>IF(D846="","",IFERROR(INDEX('Stock pièces'!$I$5:$I$404,MATCH(D846,'Stock pièces'!$A$5:$A$404,0)),0))</f>
        <v/>
      </c>
      <c r="H846" s="81">
        <f>IF(D846="","",N(F846)*N(G846))</f>
        <v/>
      </c>
      <c r="I846" s="7" t="inlineStr">
        <is>
          <t>OT-2026-0189</t>
        </is>
      </c>
      <c r="J846" s="9">
        <f>IF(I846="","",IFERROR(INDEX('Ordres de travail'!$D$5:$D$3004,MATCH(I846,'Ordres de travail'!$A$5:$A$3004,0)),""))</f>
        <v/>
      </c>
      <c r="K846" s="9">
        <f>IF(D846="","",IFERROR(INDEX('Stock pièces'!$D$5:$D$404,MATCH(D846,'Stock pièces'!$A$5:$A$404,0)),""))</f>
        <v/>
      </c>
      <c r="L846" s="7" t="n"/>
      <c r="M846" s="7" t="inlineStr">
        <is>
          <t>Pièce non utilisée</t>
        </is>
      </c>
    </row>
    <row r="847">
      <c r="A847" s="7" t="inlineStr">
        <is>
          <t>MV-00843</t>
        </is>
      </c>
      <c r="B847" s="75" t="n">
        <v>46121.25694444445</v>
      </c>
      <c r="C847" s="7" t="inlineStr">
        <is>
          <t>Sortie</t>
        </is>
      </c>
      <c r="D847" s="7" t="inlineStr">
        <is>
          <t>PD-0025</t>
        </is>
      </c>
      <c r="E847" s="9">
        <f>IF(D847="","",IFERROR(INDEX('Stock pièces'!$B$5:$B$404,MATCH(D847,'Stock pièces'!$A$5:$A$404,0)),"Réf. inconnue"))</f>
        <v/>
      </c>
      <c r="F847" s="67" t="n">
        <v>1</v>
      </c>
      <c r="G847" s="81">
        <f>IF(D847="","",IFERROR(INDEX('Stock pièces'!$I$5:$I$404,MATCH(D847,'Stock pièces'!$A$5:$A$404,0)),0))</f>
        <v/>
      </c>
      <c r="H847" s="81">
        <f>IF(D847="","",N(F847)*N(G847))</f>
        <v/>
      </c>
      <c r="I847" s="7" t="inlineStr">
        <is>
          <t>OT-2026-0194</t>
        </is>
      </c>
      <c r="J847" s="9">
        <f>IF(I847="","",IFERROR(INDEX('Ordres de travail'!$D$5:$D$3004,MATCH(I847,'Ordres de travail'!$A$5:$A$3004,0)),""))</f>
        <v/>
      </c>
      <c r="K847" s="9">
        <f>IF(D847="","",IFERROR(INDEX('Stock pièces'!$D$5:$D$404,MATCH(D847,'Stock pièces'!$A$5:$A$404,0)),""))</f>
        <v/>
      </c>
      <c r="L847" s="7" t="n"/>
      <c r="M847" s="7" t="n"/>
    </row>
    <row r="848">
      <c r="A848" s="7" t="inlineStr">
        <is>
          <t>MV-00844</t>
        </is>
      </c>
      <c r="B848" s="75" t="n">
        <v>46121.41666666666</v>
      </c>
      <c r="C848" s="7" t="inlineStr">
        <is>
          <t>Entrée</t>
        </is>
      </c>
      <c r="D848" s="7" t="inlineStr">
        <is>
          <t>PD-0067</t>
        </is>
      </c>
      <c r="E848" s="9">
        <f>IF(D848="","",IFERROR(INDEX('Stock pièces'!$B$5:$B$404,MATCH(D848,'Stock pièces'!$A$5:$A$404,0)),"Réf. inconnue"))</f>
        <v/>
      </c>
      <c r="F848" s="67" t="n">
        <v>3</v>
      </c>
      <c r="G848" s="81">
        <f>IF(D848="","",IFERROR(INDEX('Stock pièces'!$I$5:$I$404,MATCH(D848,'Stock pièces'!$A$5:$A$404,0)),0))</f>
        <v/>
      </c>
      <c r="H848" s="81">
        <f>IF(D848="","",N(F848)*N(G848))</f>
        <v/>
      </c>
      <c r="I848" s="7" t="n"/>
      <c r="J848" s="9">
        <f>IF(I848="","",IFERROR(INDEX('Ordres de travail'!$D$5:$D$3004,MATCH(I848,'Ordres de travail'!$A$5:$A$3004,0)),""))</f>
        <v/>
      </c>
      <c r="K848" s="9">
        <f>IF(D848="","",IFERROR(INDEX('Stock pièces'!$D$5:$D$404,MATCH(D848,'Stock pièces'!$A$5:$A$404,0)),""))</f>
        <v/>
      </c>
      <c r="L848" s="7" t="inlineStr">
        <is>
          <t>CMD-24238</t>
        </is>
      </c>
      <c r="M848" s="7" t="inlineStr">
        <is>
          <t>Réception commande réappro</t>
        </is>
      </c>
    </row>
    <row r="849">
      <c r="A849" s="7" t="inlineStr">
        <is>
          <t>MV-00845</t>
        </is>
      </c>
      <c r="B849" s="75" t="n">
        <v>46121.55555555555</v>
      </c>
      <c r="C849" s="7" t="inlineStr">
        <is>
          <t>Sortie</t>
        </is>
      </c>
      <c r="D849" s="7" t="inlineStr">
        <is>
          <t>PD-0017</t>
        </is>
      </c>
      <c r="E849" s="9">
        <f>IF(D849="","",IFERROR(INDEX('Stock pièces'!$B$5:$B$404,MATCH(D849,'Stock pièces'!$A$5:$A$404,0)),"Réf. inconnue"))</f>
        <v/>
      </c>
      <c r="F849" s="67" t="n">
        <v>1</v>
      </c>
      <c r="G849" s="81">
        <f>IF(D849="","",IFERROR(INDEX('Stock pièces'!$I$5:$I$404,MATCH(D849,'Stock pièces'!$A$5:$A$404,0)),0))</f>
        <v/>
      </c>
      <c r="H849" s="81">
        <f>IF(D849="","",N(F849)*N(G849))</f>
        <v/>
      </c>
      <c r="I849" s="7" t="inlineStr">
        <is>
          <t>OT-2026-0193</t>
        </is>
      </c>
      <c r="J849" s="9">
        <f>IF(I849="","",IFERROR(INDEX('Ordres de travail'!$D$5:$D$3004,MATCH(I849,'Ordres de travail'!$A$5:$A$3004,0)),""))</f>
        <v/>
      </c>
      <c r="K849" s="9">
        <f>IF(D849="","",IFERROR(INDEX('Stock pièces'!$D$5:$D$404,MATCH(D849,'Stock pièces'!$A$5:$A$404,0)),""))</f>
        <v/>
      </c>
      <c r="L849" s="7" t="n"/>
      <c r="M849" s="7" t="n"/>
    </row>
    <row r="850">
      <c r="A850" s="7" t="inlineStr">
        <is>
          <t>MV-00846</t>
        </is>
      </c>
      <c r="B850" s="75" t="n">
        <v>46121.68263888889</v>
      </c>
      <c r="C850" s="7" t="inlineStr">
        <is>
          <t>Sortie</t>
        </is>
      </c>
      <c r="D850" s="7" t="inlineStr">
        <is>
          <t>PD-0016</t>
        </is>
      </c>
      <c r="E850" s="9">
        <f>IF(D850="","",IFERROR(INDEX('Stock pièces'!$B$5:$B$404,MATCH(D850,'Stock pièces'!$A$5:$A$404,0)),"Réf. inconnue"))</f>
        <v/>
      </c>
      <c r="F850" s="67" t="n">
        <v>2</v>
      </c>
      <c r="G850" s="81">
        <f>IF(D850="","",IFERROR(INDEX('Stock pièces'!$I$5:$I$404,MATCH(D850,'Stock pièces'!$A$5:$A$404,0)),0))</f>
        <v/>
      </c>
      <c r="H850" s="81">
        <f>IF(D850="","",N(F850)*N(G850))</f>
        <v/>
      </c>
      <c r="I850" s="7" t="inlineStr">
        <is>
          <t>OT-2026-0212</t>
        </is>
      </c>
      <c r="J850" s="9">
        <f>IF(I850="","",IFERROR(INDEX('Ordres de travail'!$D$5:$D$3004,MATCH(I850,'Ordres de travail'!$A$5:$A$3004,0)),""))</f>
        <v/>
      </c>
      <c r="K850" s="9">
        <f>IF(D850="","",IFERROR(INDEX('Stock pièces'!$D$5:$D$404,MATCH(D850,'Stock pièces'!$A$5:$A$404,0)),""))</f>
        <v/>
      </c>
      <c r="L850" s="7" t="n"/>
      <c r="M850" s="7" t="n"/>
    </row>
    <row r="851">
      <c r="A851" s="7" t="inlineStr">
        <is>
          <t>MV-00847</t>
        </is>
      </c>
      <c r="B851" s="75" t="n">
        <v>46125.25694444445</v>
      </c>
      <c r="C851" s="7" t="inlineStr">
        <is>
          <t>Sortie</t>
        </is>
      </c>
      <c r="D851" s="7" t="inlineStr">
        <is>
          <t>PD-0017</t>
        </is>
      </c>
      <c r="E851" s="9">
        <f>IF(D851="","",IFERROR(INDEX('Stock pièces'!$B$5:$B$404,MATCH(D851,'Stock pièces'!$A$5:$A$404,0)),"Réf. inconnue"))</f>
        <v/>
      </c>
      <c r="F851" s="67" t="n">
        <v>1</v>
      </c>
      <c r="G851" s="81">
        <f>IF(D851="","",IFERROR(INDEX('Stock pièces'!$I$5:$I$404,MATCH(D851,'Stock pièces'!$A$5:$A$404,0)),0))</f>
        <v/>
      </c>
      <c r="H851" s="81">
        <f>IF(D851="","",N(F851)*N(G851))</f>
        <v/>
      </c>
      <c r="I851" s="7" t="inlineStr">
        <is>
          <t>OT-2026-0204</t>
        </is>
      </c>
      <c r="J851" s="9">
        <f>IF(I851="","",IFERROR(INDEX('Ordres de travail'!$D$5:$D$3004,MATCH(I851,'Ordres de travail'!$A$5:$A$3004,0)),""))</f>
        <v/>
      </c>
      <c r="K851" s="9">
        <f>IF(D851="","",IFERROR(INDEX('Stock pièces'!$D$5:$D$404,MATCH(D851,'Stock pièces'!$A$5:$A$404,0)),""))</f>
        <v/>
      </c>
      <c r="L851" s="7" t="n"/>
      <c r="M851" s="7" t="n"/>
    </row>
    <row r="852">
      <c r="A852" s="7" t="inlineStr">
        <is>
          <t>MV-00848</t>
        </is>
      </c>
      <c r="B852" s="75" t="n">
        <v>46125.4375</v>
      </c>
      <c r="C852" s="7" t="inlineStr">
        <is>
          <t>Sortie</t>
        </is>
      </c>
      <c r="D852" s="7" t="inlineStr">
        <is>
          <t>PD-0025</t>
        </is>
      </c>
      <c r="E852" s="9">
        <f>IF(D852="","",IFERROR(INDEX('Stock pièces'!$B$5:$B$404,MATCH(D852,'Stock pièces'!$A$5:$A$404,0)),"Réf. inconnue"))</f>
        <v/>
      </c>
      <c r="F852" s="67" t="n">
        <v>2</v>
      </c>
      <c r="G852" s="81">
        <f>IF(D852="","",IFERROR(INDEX('Stock pièces'!$I$5:$I$404,MATCH(D852,'Stock pièces'!$A$5:$A$404,0)),0))</f>
        <v/>
      </c>
      <c r="H852" s="81">
        <f>IF(D852="","",N(F852)*N(G852))</f>
        <v/>
      </c>
      <c r="I852" s="7" t="inlineStr">
        <is>
          <t>OT-2026-0201</t>
        </is>
      </c>
      <c r="J852" s="9">
        <f>IF(I852="","",IFERROR(INDEX('Ordres de travail'!$D$5:$D$3004,MATCH(I852,'Ordres de travail'!$A$5:$A$3004,0)),""))</f>
        <v/>
      </c>
      <c r="K852" s="9">
        <f>IF(D852="","",IFERROR(INDEX('Stock pièces'!$D$5:$D$404,MATCH(D852,'Stock pièces'!$A$5:$A$404,0)),""))</f>
        <v/>
      </c>
      <c r="L852" s="7" t="n"/>
      <c r="M852" s="7" t="n"/>
    </row>
    <row r="853">
      <c r="A853" s="7" t="inlineStr">
        <is>
          <t>MV-00849</t>
        </is>
      </c>
      <c r="B853" s="75" t="n">
        <v>46125.48611111111</v>
      </c>
      <c r="C853" s="7" t="inlineStr">
        <is>
          <t>Sortie</t>
        </is>
      </c>
      <c r="D853" s="7" t="inlineStr">
        <is>
          <t>PD-0062</t>
        </is>
      </c>
      <c r="E853" s="9">
        <f>IF(D853="","",IFERROR(INDEX('Stock pièces'!$B$5:$B$404,MATCH(D853,'Stock pièces'!$A$5:$A$404,0)),"Réf. inconnue"))</f>
        <v/>
      </c>
      <c r="F853" s="67" t="n">
        <v>1</v>
      </c>
      <c r="G853" s="81">
        <f>IF(D853="","",IFERROR(INDEX('Stock pièces'!$I$5:$I$404,MATCH(D853,'Stock pièces'!$A$5:$A$404,0)),0))</f>
        <v/>
      </c>
      <c r="H853" s="81">
        <f>IF(D853="","",N(F853)*N(G853))</f>
        <v/>
      </c>
      <c r="I853" s="7" t="inlineStr">
        <is>
          <t>OT-2026-0200</t>
        </is>
      </c>
      <c r="J853" s="9">
        <f>IF(I853="","",IFERROR(INDEX('Ordres de travail'!$D$5:$D$3004,MATCH(I853,'Ordres de travail'!$A$5:$A$3004,0)),""))</f>
        <v/>
      </c>
      <c r="K853" s="9">
        <f>IF(D853="","",IFERROR(INDEX('Stock pièces'!$D$5:$D$404,MATCH(D853,'Stock pièces'!$A$5:$A$404,0)),""))</f>
        <v/>
      </c>
      <c r="L853" s="7" t="n"/>
      <c r="M853" s="7" t="n"/>
    </row>
    <row r="854">
      <c r="A854" s="7" t="inlineStr">
        <is>
          <t>MV-00850</t>
        </is>
      </c>
      <c r="B854" s="75" t="n">
        <v>46127.56944444445</v>
      </c>
      <c r="C854" s="7" t="inlineStr">
        <is>
          <t>Sortie</t>
        </is>
      </c>
      <c r="D854" s="7" t="inlineStr">
        <is>
          <t>PD-0044</t>
        </is>
      </c>
      <c r="E854" s="9">
        <f>IF(D854="","",IFERROR(INDEX('Stock pièces'!$B$5:$B$404,MATCH(D854,'Stock pièces'!$A$5:$A$404,0)),"Réf. inconnue"))</f>
        <v/>
      </c>
      <c r="F854" s="67" t="n">
        <v>1</v>
      </c>
      <c r="G854" s="81">
        <f>IF(D854="","",IFERROR(INDEX('Stock pièces'!$I$5:$I$404,MATCH(D854,'Stock pièces'!$A$5:$A$404,0)),0))</f>
        <v/>
      </c>
      <c r="H854" s="81">
        <f>IF(D854="","",N(F854)*N(G854))</f>
        <v/>
      </c>
      <c r="I854" s="7" t="inlineStr">
        <is>
          <t>OT-2026-0209</t>
        </is>
      </c>
      <c r="J854" s="9">
        <f>IF(I854="","",IFERROR(INDEX('Ordres de travail'!$D$5:$D$3004,MATCH(I854,'Ordres de travail'!$A$5:$A$3004,0)),""))</f>
        <v/>
      </c>
      <c r="K854" s="9">
        <f>IF(D854="","",IFERROR(INDEX('Stock pièces'!$D$5:$D$404,MATCH(D854,'Stock pièces'!$A$5:$A$404,0)),""))</f>
        <v/>
      </c>
      <c r="L854" s="7" t="n"/>
      <c r="M854" s="7" t="n"/>
    </row>
    <row r="855">
      <c r="A855" s="7" t="inlineStr">
        <is>
          <t>MV-00851</t>
        </is>
      </c>
      <c r="B855" s="75" t="n">
        <v>46127.59722222222</v>
      </c>
      <c r="C855" s="7" t="inlineStr">
        <is>
          <t>Sortie</t>
        </is>
      </c>
      <c r="D855" s="7" t="inlineStr">
        <is>
          <t>PD-0054</t>
        </is>
      </c>
      <c r="E855" s="9">
        <f>IF(D855="","",IFERROR(INDEX('Stock pièces'!$B$5:$B$404,MATCH(D855,'Stock pièces'!$A$5:$A$404,0)),"Réf. inconnue"))</f>
        <v/>
      </c>
      <c r="F855" s="67" t="n">
        <v>2</v>
      </c>
      <c r="G855" s="81">
        <f>IF(D855="","",IFERROR(INDEX('Stock pièces'!$I$5:$I$404,MATCH(D855,'Stock pièces'!$A$5:$A$404,0)),0))</f>
        <v/>
      </c>
      <c r="H855" s="81">
        <f>IF(D855="","",N(F855)*N(G855))</f>
        <v/>
      </c>
      <c r="I855" s="7" t="inlineStr">
        <is>
          <t>OT-2026-0222</t>
        </is>
      </c>
      <c r="J855" s="9">
        <f>IF(I855="","",IFERROR(INDEX('Ordres de travail'!$D$5:$D$3004,MATCH(I855,'Ordres de travail'!$A$5:$A$3004,0)),""))</f>
        <v/>
      </c>
      <c r="K855" s="9">
        <f>IF(D855="","",IFERROR(INDEX('Stock pièces'!$D$5:$D$404,MATCH(D855,'Stock pièces'!$A$5:$A$404,0)),""))</f>
        <v/>
      </c>
      <c r="L855" s="7" t="n"/>
      <c r="M855" s="7" t="n"/>
    </row>
    <row r="856">
      <c r="A856" s="7" t="inlineStr">
        <is>
          <t>MV-00852</t>
        </is>
      </c>
      <c r="B856" s="75" t="n">
        <v>46127.59722222222</v>
      </c>
      <c r="C856" s="7" t="inlineStr">
        <is>
          <t>Sortie</t>
        </is>
      </c>
      <c r="D856" s="7" t="inlineStr">
        <is>
          <t>PD-0056</t>
        </is>
      </c>
      <c r="E856" s="9">
        <f>IF(D856="","",IFERROR(INDEX('Stock pièces'!$B$5:$B$404,MATCH(D856,'Stock pièces'!$A$5:$A$404,0)),"Réf. inconnue"))</f>
        <v/>
      </c>
      <c r="F856" s="67" t="n">
        <v>1</v>
      </c>
      <c r="G856" s="81">
        <f>IF(D856="","",IFERROR(INDEX('Stock pièces'!$I$5:$I$404,MATCH(D856,'Stock pièces'!$A$5:$A$404,0)),0))</f>
        <v/>
      </c>
      <c r="H856" s="81">
        <f>IF(D856="","",N(F856)*N(G856))</f>
        <v/>
      </c>
      <c r="I856" s="7" t="inlineStr">
        <is>
          <t>OT-2026-0222</t>
        </is>
      </c>
      <c r="J856" s="9">
        <f>IF(I856="","",IFERROR(INDEX('Ordres de travail'!$D$5:$D$3004,MATCH(I856,'Ordres de travail'!$A$5:$A$3004,0)),""))</f>
        <v/>
      </c>
      <c r="K856" s="9">
        <f>IF(D856="","",IFERROR(INDEX('Stock pièces'!$D$5:$D$404,MATCH(D856,'Stock pièces'!$A$5:$A$404,0)),""))</f>
        <v/>
      </c>
      <c r="L856" s="7" t="n"/>
      <c r="M856" s="7" t="n"/>
    </row>
    <row r="857">
      <c r="A857" s="7" t="inlineStr">
        <is>
          <t>MV-00853</t>
        </is>
      </c>
      <c r="B857" s="75" t="n">
        <v>46128.41666666666</v>
      </c>
      <c r="C857" s="7" t="inlineStr">
        <is>
          <t>Entrée</t>
        </is>
      </c>
      <c r="D857" s="7" t="inlineStr">
        <is>
          <t>PD-0016</t>
        </is>
      </c>
      <c r="E857" s="9">
        <f>IF(D857="","",IFERROR(INDEX('Stock pièces'!$B$5:$B$404,MATCH(D857,'Stock pièces'!$A$5:$A$404,0)),"Réf. inconnue"))</f>
        <v/>
      </c>
      <c r="F857" s="67" t="n">
        <v>2</v>
      </c>
      <c r="G857" s="81">
        <f>IF(D857="","",IFERROR(INDEX('Stock pièces'!$I$5:$I$404,MATCH(D857,'Stock pièces'!$A$5:$A$404,0)),0))</f>
        <v/>
      </c>
      <c r="H857" s="81">
        <f>IF(D857="","",N(F857)*N(G857))</f>
        <v/>
      </c>
      <c r="I857" s="7" t="n"/>
      <c r="J857" s="9">
        <f>IF(I857="","",IFERROR(INDEX('Ordres de travail'!$D$5:$D$3004,MATCH(I857,'Ordres de travail'!$A$5:$A$3004,0)),""))</f>
        <v/>
      </c>
      <c r="K857" s="9">
        <f>IF(D857="","",IFERROR(INDEX('Stock pièces'!$D$5:$D$404,MATCH(D857,'Stock pièces'!$A$5:$A$404,0)),""))</f>
        <v/>
      </c>
      <c r="L857" s="7" t="inlineStr">
        <is>
          <t>CMD-24242</t>
        </is>
      </c>
      <c r="M857" s="7" t="inlineStr">
        <is>
          <t>Réception commande réappro</t>
        </is>
      </c>
    </row>
    <row r="858">
      <c r="A858" s="7" t="inlineStr">
        <is>
          <t>MV-00854</t>
        </is>
      </c>
      <c r="B858" s="75" t="n">
        <v>46128.45555555556</v>
      </c>
      <c r="C858" s="7" t="inlineStr">
        <is>
          <t>Sortie</t>
        </is>
      </c>
      <c r="D858" s="7" t="inlineStr">
        <is>
          <t>PD-0029</t>
        </is>
      </c>
      <c r="E858" s="9">
        <f>IF(D858="","",IFERROR(INDEX('Stock pièces'!$B$5:$B$404,MATCH(D858,'Stock pièces'!$A$5:$A$404,0)),"Réf. inconnue"))</f>
        <v/>
      </c>
      <c r="F858" s="67" t="n">
        <v>2</v>
      </c>
      <c r="G858" s="81">
        <f>IF(D858="","",IFERROR(INDEX('Stock pièces'!$I$5:$I$404,MATCH(D858,'Stock pièces'!$A$5:$A$404,0)),0))</f>
        <v/>
      </c>
      <c r="H858" s="81">
        <f>IF(D858="","",N(F858)*N(G858))</f>
        <v/>
      </c>
      <c r="I858" s="7" t="inlineStr">
        <is>
          <t>OT-2026-0223</t>
        </is>
      </c>
      <c r="J858" s="9">
        <f>IF(I858="","",IFERROR(INDEX('Ordres de travail'!$D$5:$D$3004,MATCH(I858,'Ordres de travail'!$A$5:$A$3004,0)),""))</f>
        <v/>
      </c>
      <c r="K858" s="9">
        <f>IF(D858="","",IFERROR(INDEX('Stock pièces'!$D$5:$D$404,MATCH(D858,'Stock pièces'!$A$5:$A$404,0)),""))</f>
        <v/>
      </c>
      <c r="L858" s="7" t="n"/>
      <c r="M858" s="7" t="n"/>
    </row>
    <row r="859">
      <c r="A859" s="7" t="inlineStr">
        <is>
          <t>MV-00855</t>
        </is>
      </c>
      <c r="B859" s="75" t="n">
        <v>46128.57986111111</v>
      </c>
      <c r="C859" s="7" t="inlineStr">
        <is>
          <t>Sortie</t>
        </is>
      </c>
      <c r="D859" s="7" t="inlineStr">
        <is>
          <t>PD-0017</t>
        </is>
      </c>
      <c r="E859" s="9">
        <f>IF(D859="","",IFERROR(INDEX('Stock pièces'!$B$5:$B$404,MATCH(D859,'Stock pièces'!$A$5:$A$404,0)),"Réf. inconnue"))</f>
        <v/>
      </c>
      <c r="F859" s="67" t="n">
        <v>1</v>
      </c>
      <c r="G859" s="81">
        <f>IF(D859="","",IFERROR(INDEX('Stock pièces'!$I$5:$I$404,MATCH(D859,'Stock pièces'!$A$5:$A$404,0)),0))</f>
        <v/>
      </c>
      <c r="H859" s="81">
        <f>IF(D859="","",N(F859)*N(G859))</f>
        <v/>
      </c>
      <c r="I859" s="7" t="inlineStr">
        <is>
          <t>OT-2026-0211</t>
        </is>
      </c>
      <c r="J859" s="9">
        <f>IF(I859="","",IFERROR(INDEX('Ordres de travail'!$D$5:$D$3004,MATCH(I859,'Ordres de travail'!$A$5:$A$3004,0)),""))</f>
        <v/>
      </c>
      <c r="K859" s="9">
        <f>IF(D859="","",IFERROR(INDEX('Stock pièces'!$D$5:$D$404,MATCH(D859,'Stock pièces'!$A$5:$A$404,0)),""))</f>
        <v/>
      </c>
      <c r="L859" s="7" t="n"/>
      <c r="M859" s="7" t="n"/>
    </row>
    <row r="860">
      <c r="A860" s="7" t="inlineStr">
        <is>
          <t>MV-00856</t>
        </is>
      </c>
      <c r="B860" s="75" t="n">
        <v>46129.30902777778</v>
      </c>
      <c r="C860" s="7" t="inlineStr">
        <is>
          <t>Sortie</t>
        </is>
      </c>
      <c r="D860" s="7" t="inlineStr">
        <is>
          <t>PD-0012</t>
        </is>
      </c>
      <c r="E860" s="9">
        <f>IF(D860="","",IFERROR(INDEX('Stock pièces'!$B$5:$B$404,MATCH(D860,'Stock pièces'!$A$5:$A$404,0)),"Réf. inconnue"))</f>
        <v/>
      </c>
      <c r="F860" s="67" t="n">
        <v>1</v>
      </c>
      <c r="G860" s="81">
        <f>IF(D860="","",IFERROR(INDEX('Stock pièces'!$I$5:$I$404,MATCH(D860,'Stock pièces'!$A$5:$A$404,0)),0))</f>
        <v/>
      </c>
      <c r="H860" s="81">
        <f>IF(D860="","",N(F860)*N(G860))</f>
        <v/>
      </c>
      <c r="I860" s="7" t="inlineStr">
        <is>
          <t>OT-2026-0213</t>
        </is>
      </c>
      <c r="J860" s="9">
        <f>IF(I860="","",IFERROR(INDEX('Ordres de travail'!$D$5:$D$3004,MATCH(I860,'Ordres de travail'!$A$5:$A$3004,0)),""))</f>
        <v/>
      </c>
      <c r="K860" s="9">
        <f>IF(D860="","",IFERROR(INDEX('Stock pièces'!$D$5:$D$404,MATCH(D860,'Stock pièces'!$A$5:$A$404,0)),""))</f>
        <v/>
      </c>
      <c r="L860" s="7" t="n"/>
      <c r="M860" s="7" t="n"/>
    </row>
    <row r="861">
      <c r="A861" s="7" t="inlineStr">
        <is>
          <t>MV-00857</t>
        </is>
      </c>
      <c r="B861" s="75" t="n">
        <v>46129.30902777778</v>
      </c>
      <c r="C861" s="7" t="inlineStr">
        <is>
          <t>Sortie</t>
        </is>
      </c>
      <c r="D861" s="7" t="inlineStr">
        <is>
          <t>PD-0013</t>
        </is>
      </c>
      <c r="E861" s="9">
        <f>IF(D861="","",IFERROR(INDEX('Stock pièces'!$B$5:$B$404,MATCH(D861,'Stock pièces'!$A$5:$A$404,0)),"Réf. inconnue"))</f>
        <v/>
      </c>
      <c r="F861" s="67" t="n">
        <v>1</v>
      </c>
      <c r="G861" s="81">
        <f>IF(D861="","",IFERROR(INDEX('Stock pièces'!$I$5:$I$404,MATCH(D861,'Stock pièces'!$A$5:$A$404,0)),0))</f>
        <v/>
      </c>
      <c r="H861" s="81">
        <f>IF(D861="","",N(F861)*N(G861))</f>
        <v/>
      </c>
      <c r="I861" s="7" t="inlineStr">
        <is>
          <t>OT-2026-0213</t>
        </is>
      </c>
      <c r="J861" s="9">
        <f>IF(I861="","",IFERROR(INDEX('Ordres de travail'!$D$5:$D$3004,MATCH(I861,'Ordres de travail'!$A$5:$A$3004,0)),""))</f>
        <v/>
      </c>
      <c r="K861" s="9">
        <f>IF(D861="","",IFERROR(INDEX('Stock pièces'!$D$5:$D$404,MATCH(D861,'Stock pièces'!$A$5:$A$404,0)),""))</f>
        <v/>
      </c>
      <c r="L861" s="7" t="n"/>
      <c r="M861" s="7" t="n"/>
    </row>
    <row r="862">
      <c r="A862" s="7" t="inlineStr">
        <is>
          <t>MV-00858</t>
        </is>
      </c>
      <c r="B862" s="75" t="n">
        <v>46129.30902777778</v>
      </c>
      <c r="C862" s="7" t="inlineStr">
        <is>
          <t>Sortie</t>
        </is>
      </c>
      <c r="D862" s="7" t="inlineStr">
        <is>
          <t>PD-0024</t>
        </is>
      </c>
      <c r="E862" s="9">
        <f>IF(D862="","",IFERROR(INDEX('Stock pièces'!$B$5:$B$404,MATCH(D862,'Stock pièces'!$A$5:$A$404,0)),"Réf. inconnue"))</f>
        <v/>
      </c>
      <c r="F862" s="67" t="n">
        <v>1</v>
      </c>
      <c r="G862" s="81">
        <f>IF(D862="","",IFERROR(INDEX('Stock pièces'!$I$5:$I$404,MATCH(D862,'Stock pièces'!$A$5:$A$404,0)),0))</f>
        <v/>
      </c>
      <c r="H862" s="81">
        <f>IF(D862="","",N(F862)*N(G862))</f>
        <v/>
      </c>
      <c r="I862" s="7" t="inlineStr">
        <is>
          <t>OT-2026-0213</t>
        </is>
      </c>
      <c r="J862" s="9">
        <f>IF(I862="","",IFERROR(INDEX('Ordres de travail'!$D$5:$D$3004,MATCH(I862,'Ordres de travail'!$A$5:$A$3004,0)),""))</f>
        <v/>
      </c>
      <c r="K862" s="9">
        <f>IF(D862="","",IFERROR(INDEX('Stock pièces'!$D$5:$D$404,MATCH(D862,'Stock pièces'!$A$5:$A$404,0)),""))</f>
        <v/>
      </c>
      <c r="L862" s="7" t="n"/>
      <c r="M862" s="7" t="n"/>
    </row>
    <row r="863">
      <c r="A863" s="7" t="inlineStr">
        <is>
          <t>MV-00859</t>
        </is>
      </c>
      <c r="B863" s="75" t="n">
        <v>46129.41666666666</v>
      </c>
      <c r="C863" s="7" t="inlineStr">
        <is>
          <t>Entrée</t>
        </is>
      </c>
      <c r="D863" s="7" t="inlineStr">
        <is>
          <t>PD-0017</t>
        </is>
      </c>
      <c r="E863" s="9">
        <f>IF(D863="","",IFERROR(INDEX('Stock pièces'!$B$5:$B$404,MATCH(D863,'Stock pièces'!$A$5:$A$404,0)),"Réf. inconnue"))</f>
        <v/>
      </c>
      <c r="F863" s="67" t="n">
        <v>8</v>
      </c>
      <c r="G863" s="81">
        <f>IF(D863="","",IFERROR(INDEX('Stock pièces'!$I$5:$I$404,MATCH(D863,'Stock pièces'!$A$5:$A$404,0)),0))</f>
        <v/>
      </c>
      <c r="H863" s="81">
        <f>IF(D863="","",N(F863)*N(G863))</f>
        <v/>
      </c>
      <c r="I863" s="7" t="n"/>
      <c r="J863" s="9">
        <f>IF(I863="","",IFERROR(INDEX('Ordres de travail'!$D$5:$D$3004,MATCH(I863,'Ordres de travail'!$A$5:$A$3004,0)),""))</f>
        <v/>
      </c>
      <c r="K863" s="9">
        <f>IF(D863="","",IFERROR(INDEX('Stock pièces'!$D$5:$D$404,MATCH(D863,'Stock pièces'!$A$5:$A$404,0)),""))</f>
        <v/>
      </c>
      <c r="L863" s="7" t="inlineStr">
        <is>
          <t>CMD-24241</t>
        </is>
      </c>
      <c r="M863" s="7" t="inlineStr">
        <is>
          <t>Réception commande réappro</t>
        </is>
      </c>
    </row>
    <row r="864">
      <c r="A864" s="7" t="inlineStr">
        <is>
          <t>MV-00860</t>
        </is>
      </c>
      <c r="B864" s="75" t="n">
        <v>46132.41666666666</v>
      </c>
      <c r="C864" s="7" t="inlineStr">
        <is>
          <t>Entrée</t>
        </is>
      </c>
      <c r="D864" s="7" t="inlineStr">
        <is>
          <t>PD-0070</t>
        </is>
      </c>
      <c r="E864" s="9">
        <f>IF(D864="","",IFERROR(INDEX('Stock pièces'!$B$5:$B$404,MATCH(D864,'Stock pièces'!$A$5:$A$404,0)),"Réf. inconnue"))</f>
        <v/>
      </c>
      <c r="F864" s="67" t="n">
        <v>1</v>
      </c>
      <c r="G864" s="81">
        <f>IF(D864="","",IFERROR(INDEX('Stock pièces'!$I$5:$I$404,MATCH(D864,'Stock pièces'!$A$5:$A$404,0)),0))</f>
        <v/>
      </c>
      <c r="H864" s="81">
        <f>IF(D864="","",N(F864)*N(G864))</f>
        <v/>
      </c>
      <c r="I864" s="7" t="n"/>
      <c r="J864" s="9">
        <f>IF(I864="","",IFERROR(INDEX('Ordres de travail'!$D$5:$D$3004,MATCH(I864,'Ordres de travail'!$A$5:$A$3004,0)),""))</f>
        <v/>
      </c>
      <c r="K864" s="9">
        <f>IF(D864="","",IFERROR(INDEX('Stock pièces'!$D$5:$D$404,MATCH(D864,'Stock pièces'!$A$5:$A$404,0)),""))</f>
        <v/>
      </c>
      <c r="L864" s="7" t="inlineStr">
        <is>
          <t>CMD-24240</t>
        </is>
      </c>
      <c r="M864" s="7" t="inlineStr">
        <is>
          <t>Réception commande réappro</t>
        </is>
      </c>
    </row>
    <row r="865">
      <c r="A865" s="7" t="inlineStr">
        <is>
          <t>MV-00861</t>
        </is>
      </c>
      <c r="B865" s="75" t="n">
        <v>46132.4875</v>
      </c>
      <c r="C865" s="7" t="inlineStr">
        <is>
          <t>Sortie</t>
        </is>
      </c>
      <c r="D865" s="7" t="inlineStr">
        <is>
          <t>PD-0071</t>
        </is>
      </c>
      <c r="E865" s="9">
        <f>IF(D865="","",IFERROR(INDEX('Stock pièces'!$B$5:$B$404,MATCH(D865,'Stock pièces'!$A$5:$A$404,0)),"Réf. inconnue"))</f>
        <v/>
      </c>
      <c r="F865" s="67" t="n">
        <v>2</v>
      </c>
      <c r="G865" s="81">
        <f>IF(D865="","",IFERROR(INDEX('Stock pièces'!$I$5:$I$404,MATCH(D865,'Stock pièces'!$A$5:$A$404,0)),0))</f>
        <v/>
      </c>
      <c r="H865" s="81">
        <f>IF(D865="","",N(F865)*N(G865))</f>
        <v/>
      </c>
      <c r="I865" s="7" t="inlineStr">
        <is>
          <t>OT-2026-0230</t>
        </is>
      </c>
      <c r="J865" s="9">
        <f>IF(I865="","",IFERROR(INDEX('Ordres de travail'!$D$5:$D$3004,MATCH(I865,'Ordres de travail'!$A$5:$A$3004,0)),""))</f>
        <v/>
      </c>
      <c r="K865" s="9">
        <f>IF(D865="","",IFERROR(INDEX('Stock pièces'!$D$5:$D$404,MATCH(D865,'Stock pièces'!$A$5:$A$404,0)),""))</f>
        <v/>
      </c>
      <c r="L865" s="7" t="n"/>
      <c r="M865" s="7" t="n"/>
    </row>
    <row r="866">
      <c r="A866" s="7" t="inlineStr">
        <is>
          <t>MV-00862</t>
        </is>
      </c>
      <c r="B866" s="75" t="n">
        <v>46132.4875</v>
      </c>
      <c r="C866" s="7" t="inlineStr">
        <is>
          <t>Sortie</t>
        </is>
      </c>
      <c r="D866" s="7" t="inlineStr">
        <is>
          <t>PD-0072</t>
        </is>
      </c>
      <c r="E866" s="9">
        <f>IF(D866="","",IFERROR(INDEX('Stock pièces'!$B$5:$B$404,MATCH(D866,'Stock pièces'!$A$5:$A$404,0)),"Réf. inconnue"))</f>
        <v/>
      </c>
      <c r="F866" s="67" t="n">
        <v>2</v>
      </c>
      <c r="G866" s="81">
        <f>IF(D866="","",IFERROR(INDEX('Stock pièces'!$I$5:$I$404,MATCH(D866,'Stock pièces'!$A$5:$A$404,0)),0))</f>
        <v/>
      </c>
      <c r="H866" s="81">
        <f>IF(D866="","",N(F866)*N(G866))</f>
        <v/>
      </c>
      <c r="I866" s="7" t="inlineStr">
        <is>
          <t>OT-2026-0230</t>
        </is>
      </c>
      <c r="J866" s="9">
        <f>IF(I866="","",IFERROR(INDEX('Ordres de travail'!$D$5:$D$3004,MATCH(I866,'Ordres de travail'!$A$5:$A$3004,0)),""))</f>
        <v/>
      </c>
      <c r="K866" s="9">
        <f>IF(D866="","",IFERROR(INDEX('Stock pièces'!$D$5:$D$404,MATCH(D866,'Stock pièces'!$A$5:$A$404,0)),""))</f>
        <v/>
      </c>
      <c r="L866" s="7" t="n"/>
      <c r="M866" s="7" t="n"/>
    </row>
    <row r="867">
      <c r="A867" s="7" t="inlineStr">
        <is>
          <t>MV-00863</t>
        </is>
      </c>
      <c r="B867" s="75" t="n">
        <v>46134.41666666666</v>
      </c>
      <c r="C867" s="7" t="inlineStr">
        <is>
          <t>Entrée</t>
        </is>
      </c>
      <c r="D867" s="7" t="inlineStr">
        <is>
          <t>PD-0054</t>
        </is>
      </c>
      <c r="E867" s="9">
        <f>IF(D867="","",IFERROR(INDEX('Stock pièces'!$B$5:$B$404,MATCH(D867,'Stock pièces'!$A$5:$A$404,0)),"Réf. inconnue"))</f>
        <v/>
      </c>
      <c r="F867" s="67" t="n">
        <v>3</v>
      </c>
      <c r="G867" s="81">
        <f>IF(D867="","",IFERROR(INDEX('Stock pièces'!$I$5:$I$404,MATCH(D867,'Stock pièces'!$A$5:$A$404,0)),0))</f>
        <v/>
      </c>
      <c r="H867" s="81">
        <f>IF(D867="","",N(F867)*N(G867))</f>
        <v/>
      </c>
      <c r="I867" s="7" t="n"/>
      <c r="J867" s="9">
        <f>IF(I867="","",IFERROR(INDEX('Ordres de travail'!$D$5:$D$3004,MATCH(I867,'Ordres de travail'!$A$5:$A$3004,0)),""))</f>
        <v/>
      </c>
      <c r="K867" s="9">
        <f>IF(D867="","",IFERROR(INDEX('Stock pièces'!$D$5:$D$404,MATCH(D867,'Stock pièces'!$A$5:$A$404,0)),""))</f>
        <v/>
      </c>
      <c r="L867" s="7" t="inlineStr">
        <is>
          <t>CMD-24243</t>
        </is>
      </c>
      <c r="M867" s="7" t="inlineStr">
        <is>
          <t>Réception commande réappro</t>
        </is>
      </c>
    </row>
    <row r="868">
      <c r="A868" s="7" t="inlineStr">
        <is>
          <t>MV-00864</t>
        </is>
      </c>
      <c r="B868" s="75" t="n">
        <v>46135.3125</v>
      </c>
      <c r="C868" s="7" t="inlineStr">
        <is>
          <t>Sortie</t>
        </is>
      </c>
      <c r="D868" s="7" t="inlineStr">
        <is>
          <t>PD-0062</t>
        </is>
      </c>
      <c r="E868" s="9">
        <f>IF(D868="","",IFERROR(INDEX('Stock pièces'!$B$5:$B$404,MATCH(D868,'Stock pièces'!$A$5:$A$404,0)),"Réf. inconnue"))</f>
        <v/>
      </c>
      <c r="F868" s="67" t="n">
        <v>1</v>
      </c>
      <c r="G868" s="81">
        <f>IF(D868="","",IFERROR(INDEX('Stock pièces'!$I$5:$I$404,MATCH(D868,'Stock pièces'!$A$5:$A$404,0)),0))</f>
        <v/>
      </c>
      <c r="H868" s="81">
        <f>IF(D868="","",N(F868)*N(G868))</f>
        <v/>
      </c>
      <c r="I868" s="7" t="inlineStr">
        <is>
          <t>OT-2026-0224</t>
        </is>
      </c>
      <c r="J868" s="9">
        <f>IF(I868="","",IFERROR(INDEX('Ordres de travail'!$D$5:$D$3004,MATCH(I868,'Ordres de travail'!$A$5:$A$3004,0)),""))</f>
        <v/>
      </c>
      <c r="K868" s="9">
        <f>IF(D868="","",IFERROR(INDEX('Stock pièces'!$D$5:$D$404,MATCH(D868,'Stock pièces'!$A$5:$A$404,0)),""))</f>
        <v/>
      </c>
      <c r="L868" s="7" t="n"/>
      <c r="M868" s="7" t="n"/>
    </row>
    <row r="869">
      <c r="A869" s="7" t="inlineStr">
        <is>
          <t>MV-00865</t>
        </is>
      </c>
      <c r="B869" s="75" t="n">
        <v>46135.3125</v>
      </c>
      <c r="C869" s="7" t="inlineStr">
        <is>
          <t>Sortie</t>
        </is>
      </c>
      <c r="D869" s="7" t="inlineStr">
        <is>
          <t>PD-0063</t>
        </is>
      </c>
      <c r="E869" s="9">
        <f>IF(D869="","",IFERROR(INDEX('Stock pièces'!$B$5:$B$404,MATCH(D869,'Stock pièces'!$A$5:$A$404,0)),"Réf. inconnue"))</f>
        <v/>
      </c>
      <c r="F869" s="67" t="n">
        <v>1</v>
      </c>
      <c r="G869" s="81">
        <f>IF(D869="","",IFERROR(INDEX('Stock pièces'!$I$5:$I$404,MATCH(D869,'Stock pièces'!$A$5:$A$404,0)),0))</f>
        <v/>
      </c>
      <c r="H869" s="81">
        <f>IF(D869="","",N(F869)*N(G869))</f>
        <v/>
      </c>
      <c r="I869" s="7" t="inlineStr">
        <is>
          <t>OT-2026-0224</t>
        </is>
      </c>
      <c r="J869" s="9">
        <f>IF(I869="","",IFERROR(INDEX('Ordres de travail'!$D$5:$D$3004,MATCH(I869,'Ordres de travail'!$A$5:$A$3004,0)),""))</f>
        <v/>
      </c>
      <c r="K869" s="9">
        <f>IF(D869="","",IFERROR(INDEX('Stock pièces'!$D$5:$D$404,MATCH(D869,'Stock pièces'!$A$5:$A$404,0)),""))</f>
        <v/>
      </c>
      <c r="L869" s="7" t="n"/>
      <c r="M869" s="7" t="n"/>
    </row>
    <row r="870">
      <c r="A870" s="7" t="inlineStr">
        <is>
          <t>MV-00866</t>
        </is>
      </c>
      <c r="B870" s="75" t="n">
        <v>46135.50694444445</v>
      </c>
      <c r="C870" s="7" t="inlineStr">
        <is>
          <t>Sortie</t>
        </is>
      </c>
      <c r="D870" s="7" t="inlineStr">
        <is>
          <t>PD-0015</t>
        </is>
      </c>
      <c r="E870" s="9">
        <f>IF(D870="","",IFERROR(INDEX('Stock pièces'!$B$5:$B$404,MATCH(D870,'Stock pièces'!$A$5:$A$404,0)),"Réf. inconnue"))</f>
        <v/>
      </c>
      <c r="F870" s="67" t="n">
        <v>1</v>
      </c>
      <c r="G870" s="81">
        <f>IF(D870="","",IFERROR(INDEX('Stock pièces'!$I$5:$I$404,MATCH(D870,'Stock pièces'!$A$5:$A$404,0)),0))</f>
        <v/>
      </c>
      <c r="H870" s="81">
        <f>IF(D870="","",N(F870)*N(G870))</f>
        <v/>
      </c>
      <c r="I870" s="7" t="inlineStr">
        <is>
          <t>OT-2026-0226</t>
        </is>
      </c>
      <c r="J870" s="9">
        <f>IF(I870="","",IFERROR(INDEX('Ordres de travail'!$D$5:$D$3004,MATCH(I870,'Ordres de travail'!$A$5:$A$3004,0)),""))</f>
        <v/>
      </c>
      <c r="K870" s="9">
        <f>IF(D870="","",IFERROR(INDEX('Stock pièces'!$D$5:$D$404,MATCH(D870,'Stock pièces'!$A$5:$A$404,0)),""))</f>
        <v/>
      </c>
      <c r="L870" s="7" t="n"/>
      <c r="M870" s="7" t="n"/>
    </row>
    <row r="871">
      <c r="A871" s="7" t="inlineStr">
        <is>
          <t>MV-00867</t>
        </is>
      </c>
      <c r="B871" s="75" t="n">
        <v>46135.50694444445</v>
      </c>
      <c r="C871" s="7" t="inlineStr">
        <is>
          <t>Sortie</t>
        </is>
      </c>
      <c r="D871" s="7" t="inlineStr">
        <is>
          <t>PD-0016</t>
        </is>
      </c>
      <c r="E871" s="9">
        <f>IF(D871="","",IFERROR(INDEX('Stock pièces'!$B$5:$B$404,MATCH(D871,'Stock pièces'!$A$5:$A$404,0)),"Réf. inconnue"))</f>
        <v/>
      </c>
      <c r="F871" s="67" t="n">
        <v>1</v>
      </c>
      <c r="G871" s="81">
        <f>IF(D871="","",IFERROR(INDEX('Stock pièces'!$I$5:$I$404,MATCH(D871,'Stock pièces'!$A$5:$A$404,0)),0))</f>
        <v/>
      </c>
      <c r="H871" s="81">
        <f>IF(D871="","",N(F871)*N(G871))</f>
        <v/>
      </c>
      <c r="I871" s="7" t="inlineStr">
        <is>
          <t>OT-2026-0226</t>
        </is>
      </c>
      <c r="J871" s="9">
        <f>IF(I871="","",IFERROR(INDEX('Ordres de travail'!$D$5:$D$3004,MATCH(I871,'Ordres de travail'!$A$5:$A$3004,0)),""))</f>
        <v/>
      </c>
      <c r="K871" s="9">
        <f>IF(D871="","",IFERROR(INDEX('Stock pièces'!$D$5:$D$404,MATCH(D871,'Stock pièces'!$A$5:$A$404,0)),""))</f>
        <v/>
      </c>
      <c r="L871" s="7" t="n"/>
      <c r="M871" s="7" t="n"/>
    </row>
    <row r="872">
      <c r="A872" s="7" t="inlineStr">
        <is>
          <t>MV-00868</t>
        </is>
      </c>
      <c r="B872" s="75" t="n">
        <v>46135.50694444445</v>
      </c>
      <c r="C872" s="7" t="inlineStr">
        <is>
          <t>Sortie</t>
        </is>
      </c>
      <c r="D872" s="7" t="inlineStr">
        <is>
          <t>PD-0022</t>
        </is>
      </c>
      <c r="E872" s="9">
        <f>IF(D872="","",IFERROR(INDEX('Stock pièces'!$B$5:$B$404,MATCH(D872,'Stock pièces'!$A$5:$A$404,0)),"Réf. inconnue"))</f>
        <v/>
      </c>
      <c r="F872" s="67" t="n">
        <v>1</v>
      </c>
      <c r="G872" s="81">
        <f>IF(D872="","",IFERROR(INDEX('Stock pièces'!$I$5:$I$404,MATCH(D872,'Stock pièces'!$A$5:$A$404,0)),0))</f>
        <v/>
      </c>
      <c r="H872" s="81">
        <f>IF(D872="","",N(F872)*N(G872))</f>
        <v/>
      </c>
      <c r="I872" s="7" t="inlineStr">
        <is>
          <t>OT-2026-0226</t>
        </is>
      </c>
      <c r="J872" s="9">
        <f>IF(I872="","",IFERROR(INDEX('Ordres de travail'!$D$5:$D$3004,MATCH(I872,'Ordres de travail'!$A$5:$A$3004,0)),""))</f>
        <v/>
      </c>
      <c r="K872" s="9">
        <f>IF(D872="","",IFERROR(INDEX('Stock pièces'!$D$5:$D$404,MATCH(D872,'Stock pièces'!$A$5:$A$404,0)),""))</f>
        <v/>
      </c>
      <c r="L872" s="7" t="n"/>
      <c r="M872" s="7" t="n"/>
    </row>
    <row r="873">
      <c r="A873" s="7" t="inlineStr">
        <is>
          <t>MV-00869</t>
        </is>
      </c>
      <c r="B873" s="75" t="n">
        <v>46136.41666666666</v>
      </c>
      <c r="C873" s="7" t="inlineStr">
        <is>
          <t>Entrée</t>
        </is>
      </c>
      <c r="D873" s="7" t="inlineStr">
        <is>
          <t>PD-0012</t>
        </is>
      </c>
      <c r="E873" s="9">
        <f>IF(D873="","",IFERROR(INDEX('Stock pièces'!$B$5:$B$404,MATCH(D873,'Stock pièces'!$A$5:$A$404,0)),"Réf. inconnue"))</f>
        <v/>
      </c>
      <c r="F873" s="67" t="n">
        <v>4</v>
      </c>
      <c r="G873" s="81">
        <f>IF(D873="","",IFERROR(INDEX('Stock pièces'!$I$5:$I$404,MATCH(D873,'Stock pièces'!$A$5:$A$404,0)),0))</f>
        <v/>
      </c>
      <c r="H873" s="81">
        <f>IF(D873="","",N(F873)*N(G873))</f>
        <v/>
      </c>
      <c r="I873" s="7" t="n"/>
      <c r="J873" s="9">
        <f>IF(I873="","",IFERROR(INDEX('Ordres de travail'!$D$5:$D$3004,MATCH(I873,'Ordres de travail'!$A$5:$A$3004,0)),""))</f>
        <v/>
      </c>
      <c r="K873" s="9">
        <f>IF(D873="","",IFERROR(INDEX('Stock pièces'!$D$5:$D$404,MATCH(D873,'Stock pièces'!$A$5:$A$404,0)),""))</f>
        <v/>
      </c>
      <c r="L873" s="7" t="inlineStr">
        <is>
          <t>CMD-24245</t>
        </is>
      </c>
      <c r="M873" s="7" t="inlineStr">
        <is>
          <t>Réception commande réappro</t>
        </is>
      </c>
    </row>
    <row r="874">
      <c r="A874" s="7" t="inlineStr">
        <is>
          <t>MV-00870</t>
        </is>
      </c>
      <c r="B874" s="75" t="n">
        <v>46136.49444444444</v>
      </c>
      <c r="C874" s="7" t="inlineStr">
        <is>
          <t>Sortie</t>
        </is>
      </c>
      <c r="D874" s="7" t="inlineStr">
        <is>
          <t>PD-0036</t>
        </is>
      </c>
      <c r="E874" s="9">
        <f>IF(D874="","",IFERROR(INDEX('Stock pièces'!$B$5:$B$404,MATCH(D874,'Stock pièces'!$A$5:$A$404,0)),"Réf. inconnue"))</f>
        <v/>
      </c>
      <c r="F874" s="67" t="n">
        <v>1</v>
      </c>
      <c r="G874" s="81">
        <f>IF(D874="","",IFERROR(INDEX('Stock pièces'!$I$5:$I$404,MATCH(D874,'Stock pièces'!$A$5:$A$404,0)),0))</f>
        <v/>
      </c>
      <c r="H874" s="81">
        <f>IF(D874="","",N(F874)*N(G874))</f>
        <v/>
      </c>
      <c r="I874" s="7" t="inlineStr">
        <is>
          <t>OT-2026-0239</t>
        </is>
      </c>
      <c r="J874" s="9">
        <f>IF(I874="","",IFERROR(INDEX('Ordres de travail'!$D$5:$D$3004,MATCH(I874,'Ordres de travail'!$A$5:$A$3004,0)),""))</f>
        <v/>
      </c>
      <c r="K874" s="9">
        <f>IF(D874="","",IFERROR(INDEX('Stock pièces'!$D$5:$D$404,MATCH(D874,'Stock pièces'!$A$5:$A$404,0)),""))</f>
        <v/>
      </c>
      <c r="L874" s="7" t="n"/>
      <c r="M874" s="7" t="n"/>
    </row>
    <row r="875">
      <c r="A875" s="7" t="inlineStr">
        <is>
          <t>MV-00871</t>
        </is>
      </c>
      <c r="B875" s="75" t="n">
        <v>46136.61805555555</v>
      </c>
      <c r="C875" s="7" t="inlineStr">
        <is>
          <t>Sortie</t>
        </is>
      </c>
      <c r="D875" s="7" t="inlineStr">
        <is>
          <t>PD-0059</t>
        </is>
      </c>
      <c r="E875" s="9">
        <f>IF(D875="","",IFERROR(INDEX('Stock pièces'!$B$5:$B$404,MATCH(D875,'Stock pièces'!$A$5:$A$404,0)),"Réf. inconnue"))</f>
        <v/>
      </c>
      <c r="F875" s="67" t="n">
        <v>1</v>
      </c>
      <c r="G875" s="81">
        <f>IF(D875="","",IFERROR(INDEX('Stock pièces'!$I$5:$I$404,MATCH(D875,'Stock pièces'!$A$5:$A$404,0)),0))</f>
        <v/>
      </c>
      <c r="H875" s="81">
        <f>IF(D875="","",N(F875)*N(G875))</f>
        <v/>
      </c>
      <c r="I875" s="7" t="inlineStr">
        <is>
          <t>OT-2026-0227</t>
        </is>
      </c>
      <c r="J875" s="9">
        <f>IF(I875="","",IFERROR(INDEX('Ordres de travail'!$D$5:$D$3004,MATCH(I875,'Ordres de travail'!$A$5:$A$3004,0)),""))</f>
        <v/>
      </c>
      <c r="K875" s="9">
        <f>IF(D875="","",IFERROR(INDEX('Stock pièces'!$D$5:$D$404,MATCH(D875,'Stock pièces'!$A$5:$A$404,0)),""))</f>
        <v/>
      </c>
      <c r="L875" s="7" t="n"/>
      <c r="M875" s="7" t="n"/>
    </row>
    <row r="876">
      <c r="A876" s="7" t="inlineStr">
        <is>
          <t>MV-00872</t>
        </is>
      </c>
      <c r="B876" s="75" t="n">
        <v>46137.80833333333</v>
      </c>
      <c r="C876" s="7" t="inlineStr">
        <is>
          <t>Sortie</t>
        </is>
      </c>
      <c r="D876" s="7" t="inlineStr">
        <is>
          <t>PD-0010</t>
        </is>
      </c>
      <c r="E876" s="9">
        <f>IF(D876="","",IFERROR(INDEX('Stock pièces'!$B$5:$B$404,MATCH(D876,'Stock pièces'!$A$5:$A$404,0)),"Réf. inconnue"))</f>
        <v/>
      </c>
      <c r="F876" s="67" t="n">
        <v>1</v>
      </c>
      <c r="G876" s="81">
        <f>IF(D876="","",IFERROR(INDEX('Stock pièces'!$I$5:$I$404,MATCH(D876,'Stock pièces'!$A$5:$A$404,0)),0))</f>
        <v/>
      </c>
      <c r="H876" s="81">
        <f>IF(D876="","",N(F876)*N(G876))</f>
        <v/>
      </c>
      <c r="I876" s="7" t="inlineStr">
        <is>
          <t>OT-2026-0242</t>
        </is>
      </c>
      <c r="J876" s="9">
        <f>IF(I876="","",IFERROR(INDEX('Ordres de travail'!$D$5:$D$3004,MATCH(I876,'Ordres de travail'!$A$5:$A$3004,0)),""))</f>
        <v/>
      </c>
      <c r="K876" s="9">
        <f>IF(D876="","",IFERROR(INDEX('Stock pièces'!$D$5:$D$404,MATCH(D876,'Stock pièces'!$A$5:$A$404,0)),""))</f>
        <v/>
      </c>
      <c r="L876" s="7" t="n"/>
      <c r="M876" s="7" t="n"/>
    </row>
    <row r="877">
      <c r="A877" s="7" t="inlineStr">
        <is>
          <t>MV-00873</t>
        </is>
      </c>
      <c r="B877" s="75" t="n">
        <v>46139.41666666666</v>
      </c>
      <c r="C877" s="7" t="inlineStr">
        <is>
          <t>Entrée</t>
        </is>
      </c>
      <c r="D877" s="7" t="inlineStr">
        <is>
          <t>PD-0056</t>
        </is>
      </c>
      <c r="E877" s="9">
        <f>IF(D877="","",IFERROR(INDEX('Stock pièces'!$B$5:$B$404,MATCH(D877,'Stock pièces'!$A$5:$A$404,0)),"Réf. inconnue"))</f>
        <v/>
      </c>
      <c r="F877" s="67" t="n">
        <v>1</v>
      </c>
      <c r="G877" s="81">
        <f>IF(D877="","",IFERROR(INDEX('Stock pièces'!$I$5:$I$404,MATCH(D877,'Stock pièces'!$A$5:$A$404,0)),0))</f>
        <v/>
      </c>
      <c r="H877" s="81">
        <f>IF(D877="","",N(F877)*N(G877))</f>
        <v/>
      </c>
      <c r="I877" s="7" t="n"/>
      <c r="J877" s="9">
        <f>IF(I877="","",IFERROR(INDEX('Ordres de travail'!$D$5:$D$3004,MATCH(I877,'Ordres de travail'!$A$5:$A$3004,0)),""))</f>
        <v/>
      </c>
      <c r="K877" s="9">
        <f>IF(D877="","",IFERROR(INDEX('Stock pièces'!$D$5:$D$404,MATCH(D877,'Stock pièces'!$A$5:$A$404,0)),""))</f>
        <v/>
      </c>
      <c r="L877" s="7" t="inlineStr">
        <is>
          <t>CMD-24244</t>
        </is>
      </c>
      <c r="M877" s="7" t="inlineStr">
        <is>
          <t>Réception commande réappro</t>
        </is>
      </c>
    </row>
    <row r="878">
      <c r="A878" s="7" t="inlineStr">
        <is>
          <t>MV-00874</t>
        </is>
      </c>
      <c r="B878" s="75" t="n">
        <v>46139.41666666666</v>
      </c>
      <c r="C878" s="7" t="inlineStr">
        <is>
          <t>Entrée</t>
        </is>
      </c>
      <c r="D878" s="7" t="inlineStr">
        <is>
          <t>PD-0024</t>
        </is>
      </c>
      <c r="E878" s="9">
        <f>IF(D878="","",IFERROR(INDEX('Stock pièces'!$B$5:$B$404,MATCH(D878,'Stock pièces'!$A$5:$A$404,0)),"Réf. inconnue"))</f>
        <v/>
      </c>
      <c r="F878" s="67" t="n">
        <v>2</v>
      </c>
      <c r="G878" s="81">
        <f>IF(D878="","",IFERROR(INDEX('Stock pièces'!$I$5:$I$404,MATCH(D878,'Stock pièces'!$A$5:$A$404,0)),0))</f>
        <v/>
      </c>
      <c r="H878" s="81">
        <f>IF(D878="","",N(F878)*N(G878))</f>
        <v/>
      </c>
      <c r="I878" s="7" t="n"/>
      <c r="J878" s="9">
        <f>IF(I878="","",IFERROR(INDEX('Ordres de travail'!$D$5:$D$3004,MATCH(I878,'Ordres de travail'!$A$5:$A$3004,0)),""))</f>
        <v/>
      </c>
      <c r="K878" s="9">
        <f>IF(D878="","",IFERROR(INDEX('Stock pièces'!$D$5:$D$404,MATCH(D878,'Stock pièces'!$A$5:$A$404,0)),""))</f>
        <v/>
      </c>
      <c r="L878" s="7" t="inlineStr">
        <is>
          <t>CMD-24246</t>
        </is>
      </c>
      <c r="M878" s="7" t="inlineStr">
        <is>
          <t>Réception commande réappro</t>
        </is>
      </c>
    </row>
    <row r="879">
      <c r="A879" s="7" t="inlineStr">
        <is>
          <t>MV-00875</t>
        </is>
      </c>
      <c r="B879" s="75" t="n">
        <v>46139.48611111111</v>
      </c>
      <c r="C879" s="7" t="inlineStr">
        <is>
          <t>Sortie</t>
        </is>
      </c>
      <c r="D879" s="7" t="inlineStr">
        <is>
          <t>PD-0012</t>
        </is>
      </c>
      <c r="E879" s="9">
        <f>IF(D879="","",IFERROR(INDEX('Stock pièces'!$B$5:$B$404,MATCH(D879,'Stock pièces'!$A$5:$A$404,0)),"Réf. inconnue"))</f>
        <v/>
      </c>
      <c r="F879" s="67" t="n">
        <v>1</v>
      </c>
      <c r="G879" s="81">
        <f>IF(D879="","",IFERROR(INDEX('Stock pièces'!$I$5:$I$404,MATCH(D879,'Stock pièces'!$A$5:$A$404,0)),0))</f>
        <v/>
      </c>
      <c r="H879" s="81">
        <f>IF(D879="","",N(F879)*N(G879))</f>
        <v/>
      </c>
      <c r="I879" s="7" t="inlineStr">
        <is>
          <t>OT-2026-0232</t>
        </is>
      </c>
      <c r="J879" s="9">
        <f>IF(I879="","",IFERROR(INDEX('Ordres de travail'!$D$5:$D$3004,MATCH(I879,'Ordres de travail'!$A$5:$A$3004,0)),""))</f>
        <v/>
      </c>
      <c r="K879" s="9">
        <f>IF(D879="","",IFERROR(INDEX('Stock pièces'!$D$5:$D$404,MATCH(D879,'Stock pièces'!$A$5:$A$404,0)),""))</f>
        <v/>
      </c>
      <c r="L879" s="7" t="n"/>
      <c r="M879" s="7" t="n"/>
    </row>
    <row r="880">
      <c r="A880" s="7" t="inlineStr">
        <is>
          <t>MV-00876</t>
        </is>
      </c>
      <c r="B880" s="75" t="n">
        <v>46139.48611111111</v>
      </c>
      <c r="C880" s="7" t="inlineStr">
        <is>
          <t>Sortie</t>
        </is>
      </c>
      <c r="D880" s="7" t="inlineStr">
        <is>
          <t>PD-0013</t>
        </is>
      </c>
      <c r="E880" s="9">
        <f>IF(D880="","",IFERROR(INDEX('Stock pièces'!$B$5:$B$404,MATCH(D880,'Stock pièces'!$A$5:$A$404,0)),"Réf. inconnue"))</f>
        <v/>
      </c>
      <c r="F880" s="67" t="n">
        <v>1</v>
      </c>
      <c r="G880" s="81">
        <f>IF(D880="","",IFERROR(INDEX('Stock pièces'!$I$5:$I$404,MATCH(D880,'Stock pièces'!$A$5:$A$404,0)),0))</f>
        <v/>
      </c>
      <c r="H880" s="81">
        <f>IF(D880="","",N(F880)*N(G880))</f>
        <v/>
      </c>
      <c r="I880" s="7" t="inlineStr">
        <is>
          <t>OT-2026-0232</t>
        </is>
      </c>
      <c r="J880" s="9">
        <f>IF(I880="","",IFERROR(INDEX('Ordres de travail'!$D$5:$D$3004,MATCH(I880,'Ordres de travail'!$A$5:$A$3004,0)),""))</f>
        <v/>
      </c>
      <c r="K880" s="9">
        <f>IF(D880="","",IFERROR(INDEX('Stock pièces'!$D$5:$D$404,MATCH(D880,'Stock pièces'!$A$5:$A$404,0)),""))</f>
        <v/>
      </c>
      <c r="L880" s="7" t="n"/>
      <c r="M880" s="7" t="n"/>
    </row>
    <row r="881">
      <c r="A881" s="7" t="inlineStr">
        <is>
          <t>MV-00877</t>
        </is>
      </c>
      <c r="B881" s="75" t="n">
        <v>46139.48611111111</v>
      </c>
      <c r="C881" s="7" t="inlineStr">
        <is>
          <t>Sortie</t>
        </is>
      </c>
      <c r="D881" s="7" t="inlineStr">
        <is>
          <t>PD-0024</t>
        </is>
      </c>
      <c r="E881" s="9">
        <f>IF(D881="","",IFERROR(INDEX('Stock pièces'!$B$5:$B$404,MATCH(D881,'Stock pièces'!$A$5:$A$404,0)),"Réf. inconnue"))</f>
        <v/>
      </c>
      <c r="F881" s="67" t="n">
        <v>1</v>
      </c>
      <c r="G881" s="81">
        <f>IF(D881="","",IFERROR(INDEX('Stock pièces'!$I$5:$I$404,MATCH(D881,'Stock pièces'!$A$5:$A$404,0)),0))</f>
        <v/>
      </c>
      <c r="H881" s="81">
        <f>IF(D881="","",N(F881)*N(G881))</f>
        <v/>
      </c>
      <c r="I881" s="7" t="inlineStr">
        <is>
          <t>OT-2026-0232</t>
        </is>
      </c>
      <c r="J881" s="9">
        <f>IF(I881="","",IFERROR(INDEX('Ordres de travail'!$D$5:$D$3004,MATCH(I881,'Ordres de travail'!$A$5:$A$3004,0)),""))</f>
        <v/>
      </c>
      <c r="K881" s="9">
        <f>IF(D881="","",IFERROR(INDEX('Stock pièces'!$D$5:$D$404,MATCH(D881,'Stock pièces'!$A$5:$A$404,0)),""))</f>
        <v/>
      </c>
      <c r="L881" s="7" t="n"/>
      <c r="M881" s="7" t="n"/>
    </row>
    <row r="882">
      <c r="A882" s="7" t="inlineStr">
        <is>
          <t>MV-00878</t>
        </is>
      </c>
      <c r="B882" s="75" t="n">
        <v>46140.56944444445</v>
      </c>
      <c r="C882" s="7" t="inlineStr">
        <is>
          <t>Sortie</t>
        </is>
      </c>
      <c r="D882" s="7" t="inlineStr">
        <is>
          <t>PD-0025</t>
        </is>
      </c>
      <c r="E882" s="9">
        <f>IF(D882="","",IFERROR(INDEX('Stock pièces'!$B$5:$B$404,MATCH(D882,'Stock pièces'!$A$5:$A$404,0)),"Réf. inconnue"))</f>
        <v/>
      </c>
      <c r="F882" s="67" t="n">
        <v>1</v>
      </c>
      <c r="G882" s="81">
        <f>IF(D882="","",IFERROR(INDEX('Stock pièces'!$I$5:$I$404,MATCH(D882,'Stock pièces'!$A$5:$A$404,0)),0))</f>
        <v/>
      </c>
      <c r="H882" s="81">
        <f>IF(D882="","",N(F882)*N(G882))</f>
        <v/>
      </c>
      <c r="I882" s="7" t="inlineStr">
        <is>
          <t>OT-2026-0234</t>
        </is>
      </c>
      <c r="J882" s="9">
        <f>IF(I882="","",IFERROR(INDEX('Ordres de travail'!$D$5:$D$3004,MATCH(I882,'Ordres de travail'!$A$5:$A$3004,0)),""))</f>
        <v/>
      </c>
      <c r="K882" s="9">
        <f>IF(D882="","",IFERROR(INDEX('Stock pièces'!$D$5:$D$404,MATCH(D882,'Stock pièces'!$A$5:$A$404,0)),""))</f>
        <v/>
      </c>
      <c r="L882" s="7" t="n"/>
      <c r="M882" s="7" t="n"/>
    </row>
    <row r="883">
      <c r="A883" s="7" t="inlineStr">
        <is>
          <t>MV-00879</t>
        </is>
      </c>
      <c r="B883" s="75" t="n">
        <v>46140.81041666667</v>
      </c>
      <c r="C883" s="7" t="inlineStr">
        <is>
          <t>Sortie</t>
        </is>
      </c>
      <c r="D883" s="7" t="inlineStr">
        <is>
          <t>PD-0054</t>
        </is>
      </c>
      <c r="E883" s="9">
        <f>IF(D883="","",IFERROR(INDEX('Stock pièces'!$B$5:$B$404,MATCH(D883,'Stock pièces'!$A$5:$A$404,0)),"Réf. inconnue"))</f>
        <v/>
      </c>
      <c r="F883" s="67" t="n">
        <v>3</v>
      </c>
      <c r="G883" s="81">
        <f>IF(D883="","",IFERROR(INDEX('Stock pièces'!$I$5:$I$404,MATCH(D883,'Stock pièces'!$A$5:$A$404,0)),0))</f>
        <v/>
      </c>
      <c r="H883" s="81">
        <f>IF(D883="","",N(F883)*N(G883))</f>
        <v/>
      </c>
      <c r="I883" s="7" t="inlineStr">
        <is>
          <t>OT-2026-0249</t>
        </is>
      </c>
      <c r="J883" s="9">
        <f>IF(I883="","",IFERROR(INDEX('Ordres de travail'!$D$5:$D$3004,MATCH(I883,'Ordres de travail'!$A$5:$A$3004,0)),""))</f>
        <v/>
      </c>
      <c r="K883" s="9">
        <f>IF(D883="","",IFERROR(INDEX('Stock pièces'!$D$5:$D$404,MATCH(D883,'Stock pièces'!$A$5:$A$404,0)),""))</f>
        <v/>
      </c>
      <c r="L883" s="7" t="n"/>
      <c r="M883" s="7" t="n"/>
    </row>
    <row r="884">
      <c r="A884" s="7" t="inlineStr">
        <is>
          <t>MV-00880</t>
        </is>
      </c>
      <c r="B884" s="75" t="n">
        <v>46141.81041666667</v>
      </c>
      <c r="C884" s="7" t="inlineStr">
        <is>
          <t>Retour</t>
        </is>
      </c>
      <c r="D884" s="7" t="inlineStr">
        <is>
          <t>PD-0054</t>
        </is>
      </c>
      <c r="E884" s="9">
        <f>IF(D884="","",IFERROR(INDEX('Stock pièces'!$B$5:$B$404,MATCH(D884,'Stock pièces'!$A$5:$A$404,0)),"Réf. inconnue"))</f>
        <v/>
      </c>
      <c r="F884" s="67" t="n">
        <v>1</v>
      </c>
      <c r="G884" s="81">
        <f>IF(D884="","",IFERROR(INDEX('Stock pièces'!$I$5:$I$404,MATCH(D884,'Stock pièces'!$A$5:$A$404,0)),0))</f>
        <v/>
      </c>
      <c r="H884" s="81">
        <f>IF(D884="","",N(F884)*N(G884))</f>
        <v/>
      </c>
      <c r="I884" s="7" t="inlineStr">
        <is>
          <t>OT-2026-0249</t>
        </is>
      </c>
      <c r="J884" s="9">
        <f>IF(I884="","",IFERROR(INDEX('Ordres de travail'!$D$5:$D$3004,MATCH(I884,'Ordres de travail'!$A$5:$A$3004,0)),""))</f>
        <v/>
      </c>
      <c r="K884" s="9">
        <f>IF(D884="","",IFERROR(INDEX('Stock pièces'!$D$5:$D$404,MATCH(D884,'Stock pièces'!$A$5:$A$404,0)),""))</f>
        <v/>
      </c>
      <c r="L884" s="7" t="n"/>
      <c r="M884" s="7" t="inlineStr">
        <is>
          <t>Pièce non utilisée</t>
        </is>
      </c>
    </row>
    <row r="885">
      <c r="A885" s="7" t="inlineStr">
        <is>
          <t>MV-00881</t>
        </is>
      </c>
      <c r="B885" s="75" t="n">
        <v>46144.91875</v>
      </c>
      <c r="C885" s="7" t="inlineStr">
        <is>
          <t>Sortie</t>
        </is>
      </c>
      <c r="D885" s="7" t="inlineStr">
        <is>
          <t>PD-0006</t>
        </is>
      </c>
      <c r="E885" s="9">
        <f>IF(D885="","",IFERROR(INDEX('Stock pièces'!$B$5:$B$404,MATCH(D885,'Stock pièces'!$A$5:$A$404,0)),"Réf. inconnue"))</f>
        <v/>
      </c>
      <c r="F885" s="67" t="n">
        <v>2</v>
      </c>
      <c r="G885" s="81">
        <f>IF(D885="","",IFERROR(INDEX('Stock pièces'!$I$5:$I$404,MATCH(D885,'Stock pièces'!$A$5:$A$404,0)),0))</f>
        <v/>
      </c>
      <c r="H885" s="81">
        <f>IF(D885="","",N(F885)*N(G885))</f>
        <v/>
      </c>
      <c r="I885" s="7" t="inlineStr">
        <is>
          <t>OT-2026-0259</t>
        </is>
      </c>
      <c r="J885" s="9">
        <f>IF(I885="","",IFERROR(INDEX('Ordres de travail'!$D$5:$D$3004,MATCH(I885,'Ordres de travail'!$A$5:$A$3004,0)),""))</f>
        <v/>
      </c>
      <c r="K885" s="9">
        <f>IF(D885="","",IFERROR(INDEX('Stock pièces'!$D$5:$D$404,MATCH(D885,'Stock pièces'!$A$5:$A$404,0)),""))</f>
        <v/>
      </c>
      <c r="L885" s="7" t="n"/>
      <c r="M885" s="7" t="n"/>
    </row>
    <row r="886">
      <c r="A886" s="7" t="inlineStr">
        <is>
          <t>MV-00882</t>
        </is>
      </c>
      <c r="B886" s="75" t="n">
        <v>46146.38888888889</v>
      </c>
      <c r="C886" s="7" t="inlineStr">
        <is>
          <t>Sortie</t>
        </is>
      </c>
      <c r="D886" s="7" t="inlineStr">
        <is>
          <t>PD-0025</t>
        </is>
      </c>
      <c r="E886" s="9">
        <f>IF(D886="","",IFERROR(INDEX('Stock pièces'!$B$5:$B$404,MATCH(D886,'Stock pièces'!$A$5:$A$404,0)),"Réf. inconnue"))</f>
        <v/>
      </c>
      <c r="F886" s="67" t="n">
        <v>1</v>
      </c>
      <c r="G886" s="81">
        <f>IF(D886="","",IFERROR(INDEX('Stock pièces'!$I$5:$I$404,MATCH(D886,'Stock pièces'!$A$5:$A$404,0)),0))</f>
        <v/>
      </c>
      <c r="H886" s="81">
        <f>IF(D886="","",N(F886)*N(G886))</f>
        <v/>
      </c>
      <c r="I886" s="7" t="inlineStr">
        <is>
          <t>OT-2026-0244</t>
        </is>
      </c>
      <c r="J886" s="9">
        <f>IF(I886="","",IFERROR(INDEX('Ordres de travail'!$D$5:$D$3004,MATCH(I886,'Ordres de travail'!$A$5:$A$3004,0)),""))</f>
        <v/>
      </c>
      <c r="K886" s="9">
        <f>IF(D886="","",IFERROR(INDEX('Stock pièces'!$D$5:$D$404,MATCH(D886,'Stock pièces'!$A$5:$A$404,0)),""))</f>
        <v/>
      </c>
      <c r="L886" s="7" t="n"/>
      <c r="M886" s="7" t="n"/>
    </row>
    <row r="887">
      <c r="A887" s="7" t="inlineStr">
        <is>
          <t>MV-00883</t>
        </is>
      </c>
      <c r="B887" s="75" t="n">
        <v>46146.41666666666</v>
      </c>
      <c r="C887" s="7" t="inlineStr">
        <is>
          <t>Sortie</t>
        </is>
      </c>
      <c r="D887" s="7" t="inlineStr">
        <is>
          <t>PD-0055</t>
        </is>
      </c>
      <c r="E887" s="9">
        <f>IF(D887="","",IFERROR(INDEX('Stock pièces'!$B$5:$B$404,MATCH(D887,'Stock pièces'!$A$5:$A$404,0)),"Réf. inconnue"))</f>
        <v/>
      </c>
      <c r="F887" s="67" t="n">
        <v>3</v>
      </c>
      <c r="G887" s="81">
        <f>IF(D887="","",IFERROR(INDEX('Stock pièces'!$I$5:$I$404,MATCH(D887,'Stock pièces'!$A$5:$A$404,0)),0))</f>
        <v/>
      </c>
      <c r="H887" s="81">
        <f>IF(D887="","",N(F887)*N(G887))</f>
        <v/>
      </c>
      <c r="I887" s="7" t="inlineStr">
        <is>
          <t>OT-2026-0256</t>
        </is>
      </c>
      <c r="J887" s="9">
        <f>IF(I887="","",IFERROR(INDEX('Ordres de travail'!$D$5:$D$3004,MATCH(I887,'Ordres de travail'!$A$5:$A$3004,0)),""))</f>
        <v/>
      </c>
      <c r="K887" s="9">
        <f>IF(D887="","",IFERROR(INDEX('Stock pièces'!$D$5:$D$404,MATCH(D887,'Stock pièces'!$A$5:$A$404,0)),""))</f>
        <v/>
      </c>
      <c r="L887" s="7" t="n"/>
      <c r="M887" s="7" t="n"/>
    </row>
    <row r="888">
      <c r="A888" s="7" t="inlineStr">
        <is>
          <t>MV-00884</t>
        </is>
      </c>
      <c r="B888" s="75" t="n">
        <v>46146.48611111111</v>
      </c>
      <c r="C888" s="7" t="inlineStr">
        <is>
          <t>Sortie</t>
        </is>
      </c>
      <c r="D888" s="7" t="inlineStr">
        <is>
          <t>PD-0021</t>
        </is>
      </c>
      <c r="E888" s="9">
        <f>IF(D888="","",IFERROR(INDEX('Stock pièces'!$B$5:$B$404,MATCH(D888,'Stock pièces'!$A$5:$A$404,0)),"Réf. inconnue"))</f>
        <v/>
      </c>
      <c r="F888" s="67" t="n">
        <v>1</v>
      </c>
      <c r="G888" s="81">
        <f>IF(D888="","",IFERROR(INDEX('Stock pièces'!$I$5:$I$404,MATCH(D888,'Stock pièces'!$A$5:$A$404,0)),0))</f>
        <v/>
      </c>
      <c r="H888" s="81">
        <f>IF(D888="","",N(F888)*N(G888))</f>
        <v/>
      </c>
      <c r="I888" s="7" t="inlineStr">
        <is>
          <t>OT-2026-0246</t>
        </is>
      </c>
      <c r="J888" s="9">
        <f>IF(I888="","",IFERROR(INDEX('Ordres de travail'!$D$5:$D$3004,MATCH(I888,'Ordres de travail'!$A$5:$A$3004,0)),""))</f>
        <v/>
      </c>
      <c r="K888" s="9">
        <f>IF(D888="","",IFERROR(INDEX('Stock pièces'!$D$5:$D$404,MATCH(D888,'Stock pièces'!$A$5:$A$404,0)),""))</f>
        <v/>
      </c>
      <c r="L888" s="7" t="n"/>
      <c r="M888" s="7" t="n"/>
    </row>
    <row r="889">
      <c r="A889" s="7" t="inlineStr">
        <is>
          <t>MV-00885</t>
        </is>
      </c>
      <c r="B889" s="75" t="n">
        <v>46146.49652777778</v>
      </c>
      <c r="C889" s="7" t="inlineStr">
        <is>
          <t>Sortie</t>
        </is>
      </c>
      <c r="D889" s="7" t="inlineStr">
        <is>
          <t>PD-0074</t>
        </is>
      </c>
      <c r="E889" s="9">
        <f>IF(D889="","",IFERROR(INDEX('Stock pièces'!$B$5:$B$404,MATCH(D889,'Stock pièces'!$A$5:$A$404,0)),"Réf. inconnue"))</f>
        <v/>
      </c>
      <c r="F889" s="67" t="n">
        <v>1</v>
      </c>
      <c r="G889" s="81">
        <f>IF(D889="","",IFERROR(INDEX('Stock pièces'!$I$5:$I$404,MATCH(D889,'Stock pièces'!$A$5:$A$404,0)),0))</f>
        <v/>
      </c>
      <c r="H889" s="81">
        <f>IF(D889="","",N(F889)*N(G889))</f>
        <v/>
      </c>
      <c r="I889" s="7" t="inlineStr">
        <is>
          <t>OT-2026-0245</t>
        </is>
      </c>
      <c r="J889" s="9">
        <f>IF(I889="","",IFERROR(INDEX('Ordres de travail'!$D$5:$D$3004,MATCH(I889,'Ordres de travail'!$A$5:$A$3004,0)),""))</f>
        <v/>
      </c>
      <c r="K889" s="9">
        <f>IF(D889="","",IFERROR(INDEX('Stock pièces'!$D$5:$D$404,MATCH(D889,'Stock pièces'!$A$5:$A$404,0)),""))</f>
        <v/>
      </c>
      <c r="L889" s="7" t="n"/>
      <c r="M889" s="7" t="n"/>
    </row>
    <row r="890">
      <c r="A890" s="7" t="inlineStr">
        <is>
          <t>MV-00886</t>
        </is>
      </c>
      <c r="B890" s="75" t="n">
        <v>46146.58333333334</v>
      </c>
      <c r="C890" s="7" t="inlineStr">
        <is>
          <t>Sortie</t>
        </is>
      </c>
      <c r="D890" s="7" t="inlineStr">
        <is>
          <t>PD-0019</t>
        </is>
      </c>
      <c r="E890" s="9">
        <f>IF(D890="","",IFERROR(INDEX('Stock pièces'!$B$5:$B$404,MATCH(D890,'Stock pièces'!$A$5:$A$404,0)),"Réf. inconnue"))</f>
        <v/>
      </c>
      <c r="F890" s="67" t="n">
        <v>2</v>
      </c>
      <c r="G890" s="81">
        <f>IF(D890="","",IFERROR(INDEX('Stock pièces'!$I$5:$I$404,MATCH(D890,'Stock pièces'!$A$5:$A$404,0)),0))</f>
        <v/>
      </c>
      <c r="H890" s="81">
        <f>IF(D890="","",N(F890)*N(G890))</f>
        <v/>
      </c>
      <c r="I890" s="7" t="inlineStr">
        <is>
          <t>OT-2026-0247</t>
        </is>
      </c>
      <c r="J890" s="9">
        <f>IF(I890="","",IFERROR(INDEX('Ordres de travail'!$D$5:$D$3004,MATCH(I890,'Ordres de travail'!$A$5:$A$3004,0)),""))</f>
        <v/>
      </c>
      <c r="K890" s="9">
        <f>IF(D890="","",IFERROR(INDEX('Stock pièces'!$D$5:$D$404,MATCH(D890,'Stock pièces'!$A$5:$A$404,0)),""))</f>
        <v/>
      </c>
      <c r="L890" s="7" t="n"/>
      <c r="M890" s="7" t="n"/>
    </row>
    <row r="891">
      <c r="A891" s="7" t="inlineStr">
        <is>
          <t>MV-00887</t>
        </is>
      </c>
      <c r="B891" s="75" t="n">
        <v>46146.68472222222</v>
      </c>
      <c r="C891" s="7" t="inlineStr">
        <is>
          <t>Sortie</t>
        </is>
      </c>
      <c r="D891" s="7" t="inlineStr">
        <is>
          <t>PD-0056</t>
        </is>
      </c>
      <c r="E891" s="9">
        <f>IF(D891="","",IFERROR(INDEX('Stock pièces'!$B$5:$B$404,MATCH(D891,'Stock pièces'!$A$5:$A$404,0)),"Réf. inconnue"))</f>
        <v/>
      </c>
      <c r="F891" s="67" t="n">
        <v>1</v>
      </c>
      <c r="G891" s="81">
        <f>IF(D891="","",IFERROR(INDEX('Stock pièces'!$I$5:$I$404,MATCH(D891,'Stock pièces'!$A$5:$A$404,0)),0))</f>
        <v/>
      </c>
      <c r="H891" s="81">
        <f>IF(D891="","",N(F891)*N(G891))</f>
        <v/>
      </c>
      <c r="I891" s="7" t="inlineStr">
        <is>
          <t>OT-2026-0267</t>
        </is>
      </c>
      <c r="J891" s="9">
        <f>IF(I891="","",IFERROR(INDEX('Ordres de travail'!$D$5:$D$3004,MATCH(I891,'Ordres de travail'!$A$5:$A$3004,0)),""))</f>
        <v/>
      </c>
      <c r="K891" s="9">
        <f>IF(D891="","",IFERROR(INDEX('Stock pièces'!$D$5:$D$404,MATCH(D891,'Stock pièces'!$A$5:$A$404,0)),""))</f>
        <v/>
      </c>
      <c r="L891" s="7" t="n"/>
      <c r="M891" s="7" t="n"/>
    </row>
    <row r="892">
      <c r="A892" s="7" t="inlineStr">
        <is>
          <t>MV-00888</t>
        </is>
      </c>
      <c r="B892" s="75" t="n">
        <v>46146.94097222222</v>
      </c>
      <c r="C892" s="7" t="inlineStr">
        <is>
          <t>Sortie</t>
        </is>
      </c>
      <c r="D892" s="7" t="inlineStr">
        <is>
          <t>PD-0073</t>
        </is>
      </c>
      <c r="E892" s="9">
        <f>IF(D892="","",IFERROR(INDEX('Stock pièces'!$B$5:$B$404,MATCH(D892,'Stock pièces'!$A$5:$A$404,0)),"Réf. inconnue"))</f>
        <v/>
      </c>
      <c r="F892" s="67" t="n">
        <v>1</v>
      </c>
      <c r="G892" s="81">
        <f>IF(D892="","",IFERROR(INDEX('Stock pièces'!$I$5:$I$404,MATCH(D892,'Stock pièces'!$A$5:$A$404,0)),0))</f>
        <v/>
      </c>
      <c r="H892" s="81">
        <f>IF(D892="","",N(F892)*N(G892))</f>
        <v/>
      </c>
      <c r="I892" s="7" t="inlineStr">
        <is>
          <t>OT-2026-0268</t>
        </is>
      </c>
      <c r="J892" s="9">
        <f>IF(I892="","",IFERROR(INDEX('Ordres de travail'!$D$5:$D$3004,MATCH(I892,'Ordres de travail'!$A$5:$A$3004,0)),""))</f>
        <v/>
      </c>
      <c r="K892" s="9">
        <f>IF(D892="","",IFERROR(INDEX('Stock pièces'!$D$5:$D$404,MATCH(D892,'Stock pièces'!$A$5:$A$404,0)),""))</f>
        <v/>
      </c>
      <c r="L892" s="7" t="n"/>
      <c r="M892" s="7" t="n"/>
    </row>
    <row r="893">
      <c r="A893" s="7" t="inlineStr">
        <is>
          <t>MV-00889</t>
        </is>
      </c>
      <c r="B893" s="75" t="n">
        <v>46147.41666666666</v>
      </c>
      <c r="C893" s="7" t="inlineStr">
        <is>
          <t>Entrée</t>
        </is>
      </c>
      <c r="D893" s="7" t="inlineStr">
        <is>
          <t>PD-0006</t>
        </is>
      </c>
      <c r="E893" s="9">
        <f>IF(D893="","",IFERROR(INDEX('Stock pièces'!$B$5:$B$404,MATCH(D893,'Stock pièces'!$A$5:$A$404,0)),"Réf. inconnue"))</f>
        <v/>
      </c>
      <c r="F893" s="67" t="n">
        <v>6</v>
      </c>
      <c r="G893" s="81">
        <f>IF(D893="","",IFERROR(INDEX('Stock pièces'!$I$5:$I$404,MATCH(D893,'Stock pièces'!$A$5:$A$404,0)),0))</f>
        <v/>
      </c>
      <c r="H893" s="81">
        <f>IF(D893="","",N(F893)*N(G893))</f>
        <v/>
      </c>
      <c r="I893" s="7" t="n"/>
      <c r="J893" s="9">
        <f>IF(I893="","",IFERROR(INDEX('Ordres de travail'!$D$5:$D$3004,MATCH(I893,'Ordres de travail'!$A$5:$A$3004,0)),""))</f>
        <v/>
      </c>
      <c r="K893" s="9">
        <f>IF(D893="","",IFERROR(INDEX('Stock pièces'!$D$5:$D$404,MATCH(D893,'Stock pièces'!$A$5:$A$404,0)),""))</f>
        <v/>
      </c>
      <c r="L893" s="7" t="inlineStr">
        <is>
          <t>CMD-24249</t>
        </is>
      </c>
      <c r="M893" s="7" t="inlineStr">
        <is>
          <t>Réception commande réappro</t>
        </is>
      </c>
    </row>
    <row r="894">
      <c r="A894" s="7" t="inlineStr">
        <is>
          <t>MV-00890</t>
        </is>
      </c>
      <c r="B894" s="75" t="n">
        <v>46147.70902777778</v>
      </c>
      <c r="C894" s="7" t="inlineStr">
        <is>
          <t>Sortie</t>
        </is>
      </c>
      <c r="D894" s="7" t="inlineStr">
        <is>
          <t>PD-0007</t>
        </is>
      </c>
      <c r="E894" s="9">
        <f>IF(D894="","",IFERROR(INDEX('Stock pièces'!$B$5:$B$404,MATCH(D894,'Stock pièces'!$A$5:$A$404,0)),"Réf. inconnue"))</f>
        <v/>
      </c>
      <c r="F894" s="67" t="n">
        <v>1</v>
      </c>
      <c r="G894" s="81">
        <f>IF(D894="","",IFERROR(INDEX('Stock pièces'!$I$5:$I$404,MATCH(D894,'Stock pièces'!$A$5:$A$404,0)),0))</f>
        <v/>
      </c>
      <c r="H894" s="81">
        <f>IF(D894="","",N(F894)*N(G894))</f>
        <v/>
      </c>
      <c r="I894" s="7" t="inlineStr">
        <is>
          <t>OT-2026-0269</t>
        </is>
      </c>
      <c r="J894" s="9">
        <f>IF(I894="","",IFERROR(INDEX('Ordres de travail'!$D$5:$D$3004,MATCH(I894,'Ordres de travail'!$A$5:$A$3004,0)),""))</f>
        <v/>
      </c>
      <c r="K894" s="9">
        <f>IF(D894="","",IFERROR(INDEX('Stock pièces'!$D$5:$D$404,MATCH(D894,'Stock pièces'!$A$5:$A$404,0)),""))</f>
        <v/>
      </c>
      <c r="L894" s="7" t="n"/>
      <c r="M894" s="7" t="n"/>
    </row>
    <row r="895">
      <c r="A895" s="7" t="inlineStr">
        <is>
          <t>MV-00891</t>
        </is>
      </c>
      <c r="B895" s="75" t="n">
        <v>46147.70902777778</v>
      </c>
      <c r="C895" s="7" t="inlineStr">
        <is>
          <t>Sortie</t>
        </is>
      </c>
      <c r="D895" s="7" t="inlineStr">
        <is>
          <t>PD-0008</t>
        </is>
      </c>
      <c r="E895" s="9">
        <f>IF(D895="","",IFERROR(INDEX('Stock pièces'!$B$5:$B$404,MATCH(D895,'Stock pièces'!$A$5:$A$404,0)),"Réf. inconnue"))</f>
        <v/>
      </c>
      <c r="F895" s="67" t="n">
        <v>2</v>
      </c>
      <c r="G895" s="81">
        <f>IF(D895="","",IFERROR(INDEX('Stock pièces'!$I$5:$I$404,MATCH(D895,'Stock pièces'!$A$5:$A$404,0)),0))</f>
        <v/>
      </c>
      <c r="H895" s="81">
        <f>IF(D895="","",N(F895)*N(G895))</f>
        <v/>
      </c>
      <c r="I895" s="7" t="inlineStr">
        <is>
          <t>OT-2026-0269</t>
        </is>
      </c>
      <c r="J895" s="9">
        <f>IF(I895="","",IFERROR(INDEX('Ordres de travail'!$D$5:$D$3004,MATCH(I895,'Ordres de travail'!$A$5:$A$3004,0)),""))</f>
        <v/>
      </c>
      <c r="K895" s="9">
        <f>IF(D895="","",IFERROR(INDEX('Stock pièces'!$D$5:$D$404,MATCH(D895,'Stock pièces'!$A$5:$A$404,0)),""))</f>
        <v/>
      </c>
      <c r="L895" s="7" t="n"/>
      <c r="M895" s="7" t="n"/>
    </row>
    <row r="896">
      <c r="A896" s="7" t="inlineStr">
        <is>
          <t>MV-00892</t>
        </is>
      </c>
      <c r="B896" s="75" t="n">
        <v>46148.62152777778</v>
      </c>
      <c r="C896" s="7" t="inlineStr">
        <is>
          <t>Sortie</t>
        </is>
      </c>
      <c r="D896" s="7" t="inlineStr">
        <is>
          <t>PD-0017</t>
        </is>
      </c>
      <c r="E896" s="9">
        <f>IF(D896="","",IFERROR(INDEX('Stock pièces'!$B$5:$B$404,MATCH(D896,'Stock pièces'!$A$5:$A$404,0)),"Réf. inconnue"))</f>
        <v/>
      </c>
      <c r="F896" s="67" t="n">
        <v>1</v>
      </c>
      <c r="G896" s="81">
        <f>IF(D896="","",IFERROR(INDEX('Stock pièces'!$I$5:$I$404,MATCH(D896,'Stock pièces'!$A$5:$A$404,0)),0))</f>
        <v/>
      </c>
      <c r="H896" s="81">
        <f>IF(D896="","",N(F896)*N(G896))</f>
        <v/>
      </c>
      <c r="I896" s="7" t="inlineStr">
        <is>
          <t>OT-2026-0253</t>
        </is>
      </c>
      <c r="J896" s="9">
        <f>IF(I896="","",IFERROR(INDEX('Ordres de travail'!$D$5:$D$3004,MATCH(I896,'Ordres de travail'!$A$5:$A$3004,0)),""))</f>
        <v/>
      </c>
      <c r="K896" s="9">
        <f>IF(D896="","",IFERROR(INDEX('Stock pièces'!$D$5:$D$404,MATCH(D896,'Stock pièces'!$A$5:$A$404,0)),""))</f>
        <v/>
      </c>
      <c r="L896" s="7" t="n"/>
      <c r="M896" s="7" t="n"/>
    </row>
    <row r="897">
      <c r="A897" s="7" t="inlineStr">
        <is>
          <t>MV-00893</t>
        </is>
      </c>
      <c r="B897" s="75" t="n">
        <v>46149.41666666666</v>
      </c>
      <c r="C897" s="7" t="inlineStr">
        <is>
          <t>Entrée</t>
        </is>
      </c>
      <c r="D897" s="7" t="inlineStr">
        <is>
          <t>PD-0055</t>
        </is>
      </c>
      <c r="E897" s="9">
        <f>IF(D897="","",IFERROR(INDEX('Stock pièces'!$B$5:$B$404,MATCH(D897,'Stock pièces'!$A$5:$A$404,0)),"Réf. inconnue"))</f>
        <v/>
      </c>
      <c r="F897" s="67" t="n">
        <v>7</v>
      </c>
      <c r="G897" s="81">
        <f>IF(D897="","",IFERROR(INDEX('Stock pièces'!$I$5:$I$404,MATCH(D897,'Stock pièces'!$A$5:$A$404,0)),0))</f>
        <v/>
      </c>
      <c r="H897" s="81">
        <f>IF(D897="","",N(F897)*N(G897))</f>
        <v/>
      </c>
      <c r="I897" s="7" t="n"/>
      <c r="J897" s="9">
        <f>IF(I897="","",IFERROR(INDEX('Ordres de travail'!$D$5:$D$3004,MATCH(I897,'Ordres de travail'!$A$5:$A$3004,0)),""))</f>
        <v/>
      </c>
      <c r="K897" s="9">
        <f>IF(D897="","",IFERROR(INDEX('Stock pièces'!$D$5:$D$404,MATCH(D897,'Stock pièces'!$A$5:$A$404,0)),""))</f>
        <v/>
      </c>
      <c r="L897" s="7" t="inlineStr">
        <is>
          <t>CMD-24250</t>
        </is>
      </c>
      <c r="M897" s="7" t="inlineStr">
        <is>
          <t>Réception commande réappro</t>
        </is>
      </c>
    </row>
    <row r="898">
      <c r="A898" s="7" t="inlineStr">
        <is>
          <t>MV-00894</t>
        </is>
      </c>
      <c r="B898" s="75" t="n">
        <v>46150.41666666666</v>
      </c>
      <c r="C898" s="7" t="inlineStr">
        <is>
          <t>Entrée</t>
        </is>
      </c>
      <c r="D898" s="7" t="inlineStr">
        <is>
          <t>PD-0054</t>
        </is>
      </c>
      <c r="E898" s="9">
        <f>IF(D898="","",IFERROR(INDEX('Stock pièces'!$B$5:$B$404,MATCH(D898,'Stock pièces'!$A$5:$A$404,0)),"Réf. inconnue"))</f>
        <v/>
      </c>
      <c r="F898" s="67" t="n">
        <v>2</v>
      </c>
      <c r="G898" s="81">
        <f>IF(D898="","",IFERROR(INDEX('Stock pièces'!$I$5:$I$404,MATCH(D898,'Stock pièces'!$A$5:$A$404,0)),0))</f>
        <v/>
      </c>
      <c r="H898" s="81">
        <f>IF(D898="","",N(F898)*N(G898))</f>
        <v/>
      </c>
      <c r="I898" s="7" t="n"/>
      <c r="J898" s="9">
        <f>IF(I898="","",IFERROR(INDEX('Ordres de travail'!$D$5:$D$3004,MATCH(I898,'Ordres de travail'!$A$5:$A$3004,0)),""))</f>
        <v/>
      </c>
      <c r="K898" s="9">
        <f>IF(D898="","",IFERROR(INDEX('Stock pièces'!$D$5:$D$404,MATCH(D898,'Stock pièces'!$A$5:$A$404,0)),""))</f>
        <v/>
      </c>
      <c r="L898" s="7" t="inlineStr">
        <is>
          <t>CMD-24248</t>
        </is>
      </c>
      <c r="M898" s="7" t="inlineStr">
        <is>
          <t>Réception commande réappro</t>
        </is>
      </c>
    </row>
    <row r="899">
      <c r="A899" s="7" t="inlineStr">
        <is>
          <t>MV-00895</t>
        </is>
      </c>
      <c r="B899" s="75" t="n">
        <v>46151.58125</v>
      </c>
      <c r="C899" s="7" t="inlineStr">
        <is>
          <t>Sortie</t>
        </is>
      </c>
      <c r="D899" s="7" t="inlineStr">
        <is>
          <t>PD-0067</t>
        </is>
      </c>
      <c r="E899" s="9">
        <f>IF(D899="","",IFERROR(INDEX('Stock pièces'!$B$5:$B$404,MATCH(D899,'Stock pièces'!$A$5:$A$404,0)),"Réf. inconnue"))</f>
        <v/>
      </c>
      <c r="F899" s="67" t="n">
        <v>1</v>
      </c>
      <c r="G899" s="81">
        <f>IF(D899="","",IFERROR(INDEX('Stock pièces'!$I$5:$I$404,MATCH(D899,'Stock pièces'!$A$5:$A$404,0)),0))</f>
        <v/>
      </c>
      <c r="H899" s="81">
        <f>IF(D899="","",N(F899)*N(G899))</f>
        <v/>
      </c>
      <c r="I899" s="7" t="inlineStr">
        <is>
          <t>OT-2026-0274</t>
        </is>
      </c>
      <c r="J899" s="9">
        <f>IF(I899="","",IFERROR(INDEX('Ordres de travail'!$D$5:$D$3004,MATCH(I899,'Ordres de travail'!$A$5:$A$3004,0)),""))</f>
        <v/>
      </c>
      <c r="K899" s="9">
        <f>IF(D899="","",IFERROR(INDEX('Stock pièces'!$D$5:$D$404,MATCH(D899,'Stock pièces'!$A$5:$A$404,0)),""))</f>
        <v/>
      </c>
      <c r="L899" s="7" t="n"/>
      <c r="M899" s="7" t="n"/>
    </row>
    <row r="900">
      <c r="A900" s="7" t="inlineStr">
        <is>
          <t>MV-00896</t>
        </is>
      </c>
      <c r="B900" s="75" t="n">
        <v>46153.41666666666</v>
      </c>
      <c r="C900" s="7" t="inlineStr">
        <is>
          <t>Entrée</t>
        </is>
      </c>
      <c r="D900" s="7" t="inlineStr">
        <is>
          <t>PD-0007</t>
        </is>
      </c>
      <c r="E900" s="9">
        <f>IF(D900="","",IFERROR(INDEX('Stock pièces'!$B$5:$B$404,MATCH(D900,'Stock pièces'!$A$5:$A$404,0)),"Réf. inconnue"))</f>
        <v/>
      </c>
      <c r="F900" s="67" t="n">
        <v>2</v>
      </c>
      <c r="G900" s="81">
        <f>IF(D900="","",IFERROR(INDEX('Stock pièces'!$I$5:$I$404,MATCH(D900,'Stock pièces'!$A$5:$A$404,0)),0))</f>
        <v/>
      </c>
      <c r="H900" s="81">
        <f>IF(D900="","",N(F900)*N(G900))</f>
        <v/>
      </c>
      <c r="I900" s="7" t="n"/>
      <c r="J900" s="9">
        <f>IF(I900="","",IFERROR(INDEX('Ordres de travail'!$D$5:$D$3004,MATCH(I900,'Ordres de travail'!$A$5:$A$3004,0)),""))</f>
        <v/>
      </c>
      <c r="K900" s="9">
        <f>IF(D900="","",IFERROR(INDEX('Stock pièces'!$D$5:$D$404,MATCH(D900,'Stock pièces'!$A$5:$A$404,0)),""))</f>
        <v/>
      </c>
      <c r="L900" s="7" t="inlineStr">
        <is>
          <t>CMD-24253</t>
        </is>
      </c>
      <c r="M900" s="7" t="inlineStr">
        <is>
          <t>Réception commande réappro</t>
        </is>
      </c>
    </row>
    <row r="901">
      <c r="A901" s="7" t="inlineStr">
        <is>
          <t>MV-00897</t>
        </is>
      </c>
      <c r="B901" s="75" t="n">
        <v>46153.43402777778</v>
      </c>
      <c r="C901" s="7" t="inlineStr">
        <is>
          <t>Sortie</t>
        </is>
      </c>
      <c r="D901" s="7" t="inlineStr">
        <is>
          <t>PD-0021</t>
        </is>
      </c>
      <c r="E901" s="9">
        <f>IF(D901="","",IFERROR(INDEX('Stock pièces'!$B$5:$B$404,MATCH(D901,'Stock pièces'!$A$5:$A$404,0)),"Réf. inconnue"))</f>
        <v/>
      </c>
      <c r="F901" s="67" t="n">
        <v>1</v>
      </c>
      <c r="G901" s="81">
        <f>IF(D901="","",IFERROR(INDEX('Stock pièces'!$I$5:$I$404,MATCH(D901,'Stock pièces'!$A$5:$A$404,0)),0))</f>
        <v/>
      </c>
      <c r="H901" s="81">
        <f>IF(D901="","",N(F901)*N(G901))</f>
        <v/>
      </c>
      <c r="I901" s="7" t="inlineStr">
        <is>
          <t>OT-2026-0264</t>
        </is>
      </c>
      <c r="J901" s="9">
        <f>IF(I901="","",IFERROR(INDEX('Ordres de travail'!$D$5:$D$3004,MATCH(I901,'Ordres de travail'!$A$5:$A$3004,0)),""))</f>
        <v/>
      </c>
      <c r="K901" s="9">
        <f>IF(D901="","",IFERROR(INDEX('Stock pièces'!$D$5:$D$404,MATCH(D901,'Stock pièces'!$A$5:$A$404,0)),""))</f>
        <v/>
      </c>
      <c r="L901" s="7" t="n"/>
      <c r="M901" s="7" t="n"/>
    </row>
    <row r="902">
      <c r="A902" s="7" t="inlineStr">
        <is>
          <t>MV-00898</t>
        </is>
      </c>
      <c r="B902" s="75" t="n">
        <v>46153.54166666666</v>
      </c>
      <c r="C902" s="7" t="inlineStr">
        <is>
          <t>Sortie</t>
        </is>
      </c>
      <c r="D902" s="7" t="inlineStr">
        <is>
          <t>PD-0025</t>
        </is>
      </c>
      <c r="E902" s="9">
        <f>IF(D902="","",IFERROR(INDEX('Stock pièces'!$B$5:$B$404,MATCH(D902,'Stock pièces'!$A$5:$A$404,0)),"Réf. inconnue"))</f>
        <v/>
      </c>
      <c r="F902" s="67" t="n">
        <v>3</v>
      </c>
      <c r="G902" s="81">
        <f>IF(D902="","",IFERROR(INDEX('Stock pièces'!$I$5:$I$404,MATCH(D902,'Stock pièces'!$A$5:$A$404,0)),0))</f>
        <v/>
      </c>
      <c r="H902" s="81">
        <f>IF(D902="","",N(F902)*N(G902))</f>
        <v/>
      </c>
      <c r="I902" s="7" t="inlineStr">
        <is>
          <t>OT-2026-0266</t>
        </is>
      </c>
      <c r="J902" s="9">
        <f>IF(I902="","",IFERROR(INDEX('Ordres de travail'!$D$5:$D$3004,MATCH(I902,'Ordres de travail'!$A$5:$A$3004,0)),""))</f>
        <v/>
      </c>
      <c r="K902" s="9">
        <f>IF(D902="","",IFERROR(INDEX('Stock pièces'!$D$5:$D$404,MATCH(D902,'Stock pièces'!$A$5:$A$404,0)),""))</f>
        <v/>
      </c>
      <c r="L902" s="7" t="n"/>
      <c r="M902" s="7" t="n"/>
    </row>
    <row r="903">
      <c r="A903" s="7" t="inlineStr">
        <is>
          <t>MV-00899</t>
        </is>
      </c>
      <c r="B903" s="75" t="n">
        <v>46155.06944444445</v>
      </c>
      <c r="C903" s="7" t="inlineStr">
        <is>
          <t>Sortie</t>
        </is>
      </c>
      <c r="D903" s="7" t="inlineStr">
        <is>
          <t>PD-0006</t>
        </is>
      </c>
      <c r="E903" s="9">
        <f>IF(D903="","",IFERROR(INDEX('Stock pièces'!$B$5:$B$404,MATCH(D903,'Stock pièces'!$A$5:$A$404,0)),"Réf. inconnue"))</f>
        <v/>
      </c>
      <c r="F903" s="67" t="n">
        <v>3</v>
      </c>
      <c r="G903" s="81">
        <f>IF(D903="","",IFERROR(INDEX('Stock pièces'!$I$5:$I$404,MATCH(D903,'Stock pièces'!$A$5:$A$404,0)),0))</f>
        <v/>
      </c>
      <c r="H903" s="81">
        <f>IF(D903="","",N(F903)*N(G903))</f>
        <v/>
      </c>
      <c r="I903" s="7" t="inlineStr">
        <is>
          <t>OT-2026-0285</t>
        </is>
      </c>
      <c r="J903" s="9">
        <f>IF(I903="","",IFERROR(INDEX('Ordres de travail'!$D$5:$D$3004,MATCH(I903,'Ordres de travail'!$A$5:$A$3004,0)),""))</f>
        <v/>
      </c>
      <c r="K903" s="9">
        <f>IF(D903="","",IFERROR(INDEX('Stock pièces'!$D$5:$D$404,MATCH(D903,'Stock pièces'!$A$5:$A$404,0)),""))</f>
        <v/>
      </c>
      <c r="L903" s="7" t="n"/>
      <c r="M903" s="7" t="n"/>
    </row>
    <row r="904">
      <c r="A904" s="7" t="inlineStr">
        <is>
          <t>MV-00900</t>
        </is>
      </c>
      <c r="B904" s="75" t="n">
        <v>46155.06944444445</v>
      </c>
      <c r="C904" s="7" t="inlineStr">
        <is>
          <t>Sortie</t>
        </is>
      </c>
      <c r="D904" s="7" t="inlineStr">
        <is>
          <t>PD-0007</t>
        </is>
      </c>
      <c r="E904" s="9">
        <f>IF(D904="","",IFERROR(INDEX('Stock pièces'!$B$5:$B$404,MATCH(D904,'Stock pièces'!$A$5:$A$404,0)),"Réf. inconnue"))</f>
        <v/>
      </c>
      <c r="F904" s="67" t="n">
        <v>1</v>
      </c>
      <c r="G904" s="81">
        <f>IF(D904="","",IFERROR(INDEX('Stock pièces'!$I$5:$I$404,MATCH(D904,'Stock pièces'!$A$5:$A$404,0)),0))</f>
        <v/>
      </c>
      <c r="H904" s="81">
        <f>IF(D904="","",N(F904)*N(G904))</f>
        <v/>
      </c>
      <c r="I904" s="7" t="inlineStr">
        <is>
          <t>OT-2026-0285</t>
        </is>
      </c>
      <c r="J904" s="9">
        <f>IF(I904="","",IFERROR(INDEX('Ordres de travail'!$D$5:$D$3004,MATCH(I904,'Ordres de travail'!$A$5:$A$3004,0)),""))</f>
        <v/>
      </c>
      <c r="K904" s="9">
        <f>IF(D904="","",IFERROR(INDEX('Stock pièces'!$D$5:$D$404,MATCH(D904,'Stock pièces'!$A$5:$A$404,0)),""))</f>
        <v/>
      </c>
      <c r="L904" s="7" t="n"/>
      <c r="M904" s="7" t="n"/>
    </row>
    <row r="905">
      <c r="A905" s="7" t="inlineStr">
        <is>
          <t>MV-00901</t>
        </is>
      </c>
      <c r="B905" s="75" t="n">
        <v>46155.77638888889</v>
      </c>
      <c r="C905" s="7" t="inlineStr">
        <is>
          <t>Sortie</t>
        </is>
      </c>
      <c r="D905" s="7" t="inlineStr">
        <is>
          <t>PD-0075</t>
        </is>
      </c>
      <c r="E905" s="9">
        <f>IF(D905="","",IFERROR(INDEX('Stock pièces'!$B$5:$B$404,MATCH(D905,'Stock pièces'!$A$5:$A$404,0)),"Réf. inconnue"))</f>
        <v/>
      </c>
      <c r="F905" s="67" t="n">
        <v>1</v>
      </c>
      <c r="G905" s="81">
        <f>IF(D905="","",IFERROR(INDEX('Stock pièces'!$I$5:$I$404,MATCH(D905,'Stock pièces'!$A$5:$A$404,0)),0))</f>
        <v/>
      </c>
      <c r="H905" s="81">
        <f>IF(D905="","",N(F905)*N(G905))</f>
        <v/>
      </c>
      <c r="I905" s="7" t="inlineStr">
        <is>
          <t>OT-2026-0284</t>
        </is>
      </c>
      <c r="J905" s="9">
        <f>IF(I905="","",IFERROR(INDEX('Ordres de travail'!$D$5:$D$3004,MATCH(I905,'Ordres de travail'!$A$5:$A$3004,0)),""))</f>
        <v/>
      </c>
      <c r="K905" s="9">
        <f>IF(D905="","",IFERROR(INDEX('Stock pièces'!$D$5:$D$404,MATCH(D905,'Stock pièces'!$A$5:$A$404,0)),""))</f>
        <v/>
      </c>
      <c r="L905" s="7" t="n"/>
      <c r="M905" s="7" t="n"/>
    </row>
    <row r="906">
      <c r="A906" s="7" t="inlineStr">
        <is>
          <t>MV-00902</t>
        </is>
      </c>
      <c r="B906" s="75" t="n">
        <v>46156.41666666666</v>
      </c>
      <c r="C906" s="7" t="inlineStr">
        <is>
          <t>Entrée</t>
        </is>
      </c>
      <c r="D906" s="7" t="inlineStr">
        <is>
          <t>PD-0056</t>
        </is>
      </c>
      <c r="E906" s="9">
        <f>IF(D906="","",IFERROR(INDEX('Stock pièces'!$B$5:$B$404,MATCH(D906,'Stock pièces'!$A$5:$A$404,0)),"Réf. inconnue"))</f>
        <v/>
      </c>
      <c r="F906" s="67" t="n">
        <v>1</v>
      </c>
      <c r="G906" s="81">
        <f>IF(D906="","",IFERROR(INDEX('Stock pièces'!$I$5:$I$404,MATCH(D906,'Stock pièces'!$A$5:$A$404,0)),0))</f>
        <v/>
      </c>
      <c r="H906" s="81">
        <f>IF(D906="","",N(F906)*N(G906))</f>
        <v/>
      </c>
      <c r="I906" s="7" t="n"/>
      <c r="J906" s="9">
        <f>IF(I906="","",IFERROR(INDEX('Ordres de travail'!$D$5:$D$3004,MATCH(I906,'Ordres de travail'!$A$5:$A$3004,0)),""))</f>
        <v/>
      </c>
      <c r="K906" s="9">
        <f>IF(D906="","",IFERROR(INDEX('Stock pièces'!$D$5:$D$404,MATCH(D906,'Stock pièces'!$A$5:$A$404,0)),""))</f>
        <v/>
      </c>
      <c r="L906" s="7" t="inlineStr">
        <is>
          <t>CMD-24251</t>
        </is>
      </c>
      <c r="M906" s="7" t="inlineStr">
        <is>
          <t>Réception commande réappro</t>
        </is>
      </c>
    </row>
    <row r="907">
      <c r="A907" s="7" t="inlineStr">
        <is>
          <t>MV-00903</t>
        </is>
      </c>
      <c r="B907" s="75" t="n">
        <v>46156.66666666666</v>
      </c>
      <c r="C907" s="7" t="inlineStr">
        <is>
          <t>Sortie</t>
        </is>
      </c>
      <c r="D907" s="7" t="inlineStr">
        <is>
          <t>PD-0035</t>
        </is>
      </c>
      <c r="E907" s="9">
        <f>IF(D907="","",IFERROR(INDEX('Stock pièces'!$B$5:$B$404,MATCH(D907,'Stock pièces'!$A$5:$A$404,0)),"Réf. inconnue"))</f>
        <v/>
      </c>
      <c r="F907" s="67" t="n">
        <v>2</v>
      </c>
      <c r="G907" s="81">
        <f>IF(D907="","",IFERROR(INDEX('Stock pièces'!$I$5:$I$404,MATCH(D907,'Stock pièces'!$A$5:$A$404,0)),0))</f>
        <v/>
      </c>
      <c r="H907" s="81">
        <f>IF(D907="","",N(F907)*N(G907))</f>
        <v/>
      </c>
      <c r="I907" s="7" t="inlineStr">
        <is>
          <t>OT-2026-0292</t>
        </is>
      </c>
      <c r="J907" s="9">
        <f>IF(I907="","",IFERROR(INDEX('Ordres de travail'!$D$5:$D$3004,MATCH(I907,'Ordres de travail'!$A$5:$A$3004,0)),""))</f>
        <v/>
      </c>
      <c r="K907" s="9">
        <f>IF(D907="","",IFERROR(INDEX('Stock pièces'!$D$5:$D$404,MATCH(D907,'Stock pièces'!$A$5:$A$404,0)),""))</f>
        <v/>
      </c>
      <c r="L907" s="7" t="n"/>
      <c r="M907" s="7" t="n"/>
    </row>
    <row r="908">
      <c r="A908" s="7" t="inlineStr">
        <is>
          <t>MV-00904</t>
        </is>
      </c>
      <c r="B908" s="75" t="n">
        <v>46157.47569444445</v>
      </c>
      <c r="C908" s="7" t="inlineStr">
        <is>
          <t>Sortie</t>
        </is>
      </c>
      <c r="D908" s="7" t="inlineStr">
        <is>
          <t>PD-0017</t>
        </is>
      </c>
      <c r="E908" s="9">
        <f>IF(D908="","",IFERROR(INDEX('Stock pièces'!$B$5:$B$404,MATCH(D908,'Stock pièces'!$A$5:$A$404,0)),"Réf. inconnue"))</f>
        <v/>
      </c>
      <c r="F908" s="67" t="n">
        <v>1</v>
      </c>
      <c r="G908" s="81">
        <f>IF(D908="","",IFERROR(INDEX('Stock pièces'!$I$5:$I$404,MATCH(D908,'Stock pièces'!$A$5:$A$404,0)),0))</f>
        <v/>
      </c>
      <c r="H908" s="81">
        <f>IF(D908="","",N(F908)*N(G908))</f>
        <v/>
      </c>
      <c r="I908" s="7" t="inlineStr">
        <is>
          <t>OT-2026-0273</t>
        </is>
      </c>
      <c r="J908" s="9">
        <f>IF(I908="","",IFERROR(INDEX('Ordres de travail'!$D$5:$D$3004,MATCH(I908,'Ordres de travail'!$A$5:$A$3004,0)),""))</f>
        <v/>
      </c>
      <c r="K908" s="9">
        <f>IF(D908="","",IFERROR(INDEX('Stock pièces'!$D$5:$D$404,MATCH(D908,'Stock pièces'!$A$5:$A$404,0)),""))</f>
        <v/>
      </c>
      <c r="L908" s="7" t="n"/>
      <c r="M908" s="7" t="n"/>
    </row>
    <row r="909">
      <c r="A909" s="7" t="inlineStr">
        <is>
          <t>MV-00905</t>
        </is>
      </c>
      <c r="B909" s="75" t="n">
        <v>46158.58958333333</v>
      </c>
      <c r="C909" s="7" t="inlineStr">
        <is>
          <t>Sortie</t>
        </is>
      </c>
      <c r="D909" s="7" t="inlineStr">
        <is>
          <t>PD-0063</t>
        </is>
      </c>
      <c r="E909" s="9">
        <f>IF(D909="","",IFERROR(INDEX('Stock pièces'!$B$5:$B$404,MATCH(D909,'Stock pièces'!$A$5:$A$404,0)),"Réf. inconnue"))</f>
        <v/>
      </c>
      <c r="F909" s="67" t="n">
        <v>2</v>
      </c>
      <c r="G909" s="81">
        <f>IF(D909="","",IFERROR(INDEX('Stock pièces'!$I$5:$I$404,MATCH(D909,'Stock pièces'!$A$5:$A$404,0)),0))</f>
        <v/>
      </c>
      <c r="H909" s="81">
        <f>IF(D909="","",N(F909)*N(G909))</f>
        <v/>
      </c>
      <c r="I909" s="7" t="inlineStr">
        <is>
          <t>OT-2026-0297</t>
        </is>
      </c>
      <c r="J909" s="9">
        <f>IF(I909="","",IFERROR(INDEX('Ordres de travail'!$D$5:$D$3004,MATCH(I909,'Ordres de travail'!$A$5:$A$3004,0)),""))</f>
        <v/>
      </c>
      <c r="K909" s="9">
        <f>IF(D909="","",IFERROR(INDEX('Stock pièces'!$D$5:$D$404,MATCH(D909,'Stock pièces'!$A$5:$A$404,0)),""))</f>
        <v/>
      </c>
      <c r="L909" s="7" t="n"/>
      <c r="M909" s="7" t="n"/>
    </row>
    <row r="910">
      <c r="A910" s="7" t="inlineStr">
        <is>
          <t>MV-00906</t>
        </is>
      </c>
      <c r="B910" s="75" t="n">
        <v>46158.58958333333</v>
      </c>
      <c r="C910" s="7" t="inlineStr">
        <is>
          <t>Sortie</t>
        </is>
      </c>
      <c r="D910" s="7" t="inlineStr">
        <is>
          <t>PD-0065</t>
        </is>
      </c>
      <c r="E910" s="9">
        <f>IF(D910="","",IFERROR(INDEX('Stock pièces'!$B$5:$B$404,MATCH(D910,'Stock pièces'!$A$5:$A$404,0)),"Réf. inconnue"))</f>
        <v/>
      </c>
      <c r="F910" s="67" t="n">
        <v>1</v>
      </c>
      <c r="G910" s="81">
        <f>IF(D910="","",IFERROR(INDEX('Stock pièces'!$I$5:$I$404,MATCH(D910,'Stock pièces'!$A$5:$A$404,0)),0))</f>
        <v/>
      </c>
      <c r="H910" s="81">
        <f>IF(D910="","",N(F910)*N(G910))</f>
        <v/>
      </c>
      <c r="I910" s="7" t="inlineStr">
        <is>
          <t>OT-2026-0297</t>
        </is>
      </c>
      <c r="J910" s="9">
        <f>IF(I910="","",IFERROR(INDEX('Ordres de travail'!$D$5:$D$3004,MATCH(I910,'Ordres de travail'!$A$5:$A$3004,0)),""))</f>
        <v/>
      </c>
      <c r="K910" s="9">
        <f>IF(D910="","",IFERROR(INDEX('Stock pièces'!$D$5:$D$404,MATCH(D910,'Stock pièces'!$A$5:$A$404,0)),""))</f>
        <v/>
      </c>
      <c r="L910" s="7" t="n"/>
      <c r="M910" s="7" t="n"/>
    </row>
    <row r="911">
      <c r="A911" s="7" t="inlineStr">
        <is>
          <t>MV-00907</t>
        </is>
      </c>
      <c r="B911" s="75" t="n">
        <v>46160.40972222222</v>
      </c>
      <c r="C911" s="7" t="inlineStr">
        <is>
          <t>Sortie</t>
        </is>
      </c>
      <c r="D911" s="7" t="inlineStr">
        <is>
          <t>PD-0017</t>
        </is>
      </c>
      <c r="E911" s="9">
        <f>IF(D911="","",IFERROR(INDEX('Stock pièces'!$B$5:$B$404,MATCH(D911,'Stock pièces'!$A$5:$A$404,0)),"Réf. inconnue"))</f>
        <v/>
      </c>
      <c r="F911" s="67" t="n">
        <v>1</v>
      </c>
      <c r="G911" s="81">
        <f>IF(D911="","",IFERROR(INDEX('Stock pièces'!$I$5:$I$404,MATCH(D911,'Stock pièces'!$A$5:$A$404,0)),0))</f>
        <v/>
      </c>
      <c r="H911" s="81">
        <f>IF(D911="","",N(F911)*N(G911))</f>
        <v/>
      </c>
      <c r="I911" s="7" t="inlineStr">
        <is>
          <t>OT-2026-0277</t>
        </is>
      </c>
      <c r="J911" s="9">
        <f>IF(I911="","",IFERROR(INDEX('Ordres de travail'!$D$5:$D$3004,MATCH(I911,'Ordres de travail'!$A$5:$A$3004,0)),""))</f>
        <v/>
      </c>
      <c r="K911" s="9">
        <f>IF(D911="","",IFERROR(INDEX('Stock pièces'!$D$5:$D$404,MATCH(D911,'Stock pièces'!$A$5:$A$404,0)),""))</f>
        <v/>
      </c>
      <c r="L911" s="7" t="n"/>
      <c r="M911" s="7" t="n"/>
    </row>
    <row r="912">
      <c r="A912" s="7" t="inlineStr">
        <is>
          <t>MV-00908</t>
        </is>
      </c>
      <c r="B912" s="75" t="n">
        <v>46160.41666666666</v>
      </c>
      <c r="C912" s="7" t="inlineStr">
        <is>
          <t>Entrée</t>
        </is>
      </c>
      <c r="D912" s="7" t="inlineStr">
        <is>
          <t>PD-0010</t>
        </is>
      </c>
      <c r="E912" s="9">
        <f>IF(D912="","",IFERROR(INDEX('Stock pièces'!$B$5:$B$404,MATCH(D912,'Stock pièces'!$A$5:$A$404,0)),"Réf. inconnue"))</f>
        <v/>
      </c>
      <c r="F912" s="67" t="n">
        <v>1</v>
      </c>
      <c r="G912" s="81">
        <f>IF(D912="","",IFERROR(INDEX('Stock pièces'!$I$5:$I$404,MATCH(D912,'Stock pièces'!$A$5:$A$404,0)),0))</f>
        <v/>
      </c>
      <c r="H912" s="81">
        <f>IF(D912="","",N(F912)*N(G912))</f>
        <v/>
      </c>
      <c r="I912" s="7" t="n"/>
      <c r="J912" s="9">
        <f>IF(I912="","",IFERROR(INDEX('Ordres de travail'!$D$5:$D$3004,MATCH(I912,'Ordres de travail'!$A$5:$A$3004,0)),""))</f>
        <v/>
      </c>
      <c r="K912" s="9">
        <f>IF(D912="","",IFERROR(INDEX('Stock pièces'!$D$5:$D$404,MATCH(D912,'Stock pièces'!$A$5:$A$404,0)),""))</f>
        <v/>
      </c>
      <c r="L912" s="7" t="inlineStr">
        <is>
          <t>CMD-24247</t>
        </is>
      </c>
      <c r="M912" s="7" t="inlineStr">
        <is>
          <t>Réception commande réappro</t>
        </is>
      </c>
    </row>
    <row r="913">
      <c r="A913" s="7" t="inlineStr">
        <is>
          <t>MV-00909</t>
        </is>
      </c>
      <c r="B913" s="75" t="n">
        <v>46160.41666666666</v>
      </c>
      <c r="C913" s="7" t="inlineStr">
        <is>
          <t>Entrée</t>
        </is>
      </c>
      <c r="D913" s="7" t="inlineStr">
        <is>
          <t>PD-0075</t>
        </is>
      </c>
      <c r="E913" s="9">
        <f>IF(D913="","",IFERROR(INDEX('Stock pièces'!$B$5:$B$404,MATCH(D913,'Stock pièces'!$A$5:$A$404,0)),"Réf. inconnue"))</f>
        <v/>
      </c>
      <c r="F913" s="67" t="n">
        <v>3</v>
      </c>
      <c r="G913" s="81">
        <f>IF(D913="","",IFERROR(INDEX('Stock pièces'!$I$5:$I$404,MATCH(D913,'Stock pièces'!$A$5:$A$404,0)),0))</f>
        <v/>
      </c>
      <c r="H913" s="81">
        <f>IF(D913="","",N(F913)*N(G913))</f>
        <v/>
      </c>
      <c r="I913" s="7" t="n"/>
      <c r="J913" s="9">
        <f>IF(I913="","",IFERROR(INDEX('Ordres de travail'!$D$5:$D$3004,MATCH(I913,'Ordres de travail'!$A$5:$A$3004,0)),""))</f>
        <v/>
      </c>
      <c r="K913" s="9">
        <f>IF(D913="","",IFERROR(INDEX('Stock pièces'!$D$5:$D$404,MATCH(D913,'Stock pièces'!$A$5:$A$404,0)),""))</f>
        <v/>
      </c>
      <c r="L913" s="7" t="inlineStr">
        <is>
          <t>CMD-24254</t>
        </is>
      </c>
      <c r="M913" s="7" t="inlineStr">
        <is>
          <t>Réception commande réappro</t>
        </is>
      </c>
    </row>
    <row r="914">
      <c r="A914" s="7" t="inlineStr">
        <is>
          <t>MV-00910</t>
        </is>
      </c>
      <c r="B914" s="75" t="n">
        <v>46160.45138888889</v>
      </c>
      <c r="C914" s="7" t="inlineStr">
        <is>
          <t>Sortie</t>
        </is>
      </c>
      <c r="D914" s="7" t="inlineStr">
        <is>
          <t>PD-0062</t>
        </is>
      </c>
      <c r="E914" s="9">
        <f>IF(D914="","",IFERROR(INDEX('Stock pièces'!$B$5:$B$404,MATCH(D914,'Stock pièces'!$A$5:$A$404,0)),"Réf. inconnue"))</f>
        <v/>
      </c>
      <c r="F914" s="67" t="n">
        <v>1</v>
      </c>
      <c r="G914" s="81">
        <f>IF(D914="","",IFERROR(INDEX('Stock pièces'!$I$5:$I$404,MATCH(D914,'Stock pièces'!$A$5:$A$404,0)),0))</f>
        <v/>
      </c>
      <c r="H914" s="81">
        <f>IF(D914="","",N(F914)*N(G914))</f>
        <v/>
      </c>
      <c r="I914" s="7" t="inlineStr">
        <is>
          <t>OT-2026-0279</t>
        </is>
      </c>
      <c r="J914" s="9">
        <f>IF(I914="","",IFERROR(INDEX('Ordres de travail'!$D$5:$D$3004,MATCH(I914,'Ordres de travail'!$A$5:$A$3004,0)),""))</f>
        <v/>
      </c>
      <c r="K914" s="9">
        <f>IF(D914="","",IFERROR(INDEX('Stock pièces'!$D$5:$D$404,MATCH(D914,'Stock pièces'!$A$5:$A$404,0)),""))</f>
        <v/>
      </c>
      <c r="L914" s="7" t="n"/>
      <c r="M914" s="7" t="n"/>
    </row>
    <row r="915">
      <c r="A915" s="7" t="inlineStr">
        <is>
          <t>MV-00911</t>
        </is>
      </c>
      <c r="B915" s="75" t="n">
        <v>46160.52777777778</v>
      </c>
      <c r="C915" s="7" t="inlineStr">
        <is>
          <t>Sortie</t>
        </is>
      </c>
      <c r="D915" s="7" t="inlineStr">
        <is>
          <t>PD-0017</t>
        </is>
      </c>
      <c r="E915" s="9">
        <f>IF(D915="","",IFERROR(INDEX('Stock pièces'!$B$5:$B$404,MATCH(D915,'Stock pièces'!$A$5:$A$404,0)),"Réf. inconnue"))</f>
        <v/>
      </c>
      <c r="F915" s="67" t="n">
        <v>1</v>
      </c>
      <c r="G915" s="81">
        <f>IF(D915="","",IFERROR(INDEX('Stock pièces'!$I$5:$I$404,MATCH(D915,'Stock pièces'!$A$5:$A$404,0)),0))</f>
        <v/>
      </c>
      <c r="H915" s="81">
        <f>IF(D915="","",N(F915)*N(G915))</f>
        <v/>
      </c>
      <c r="I915" s="7" t="inlineStr">
        <is>
          <t>OT-2026-0280</t>
        </is>
      </c>
      <c r="J915" s="9">
        <f>IF(I915="","",IFERROR(INDEX('Ordres de travail'!$D$5:$D$3004,MATCH(I915,'Ordres de travail'!$A$5:$A$3004,0)),""))</f>
        <v/>
      </c>
      <c r="K915" s="9">
        <f>IF(D915="","",IFERROR(INDEX('Stock pièces'!$D$5:$D$404,MATCH(D915,'Stock pièces'!$A$5:$A$404,0)),""))</f>
        <v/>
      </c>
      <c r="L915" s="7" t="n"/>
      <c r="M915" s="7" t="n"/>
    </row>
    <row r="916">
      <c r="A916" s="7" t="inlineStr">
        <is>
          <t>MV-00912</t>
        </is>
      </c>
      <c r="B916" s="75" t="n">
        <v>46161.65555555555</v>
      </c>
      <c r="C916" s="7" t="inlineStr">
        <is>
          <t>Sortie</t>
        </is>
      </c>
      <c r="D916" s="7" t="inlineStr">
        <is>
          <t>PD-0034</t>
        </is>
      </c>
      <c r="E916" s="9">
        <f>IF(D916="","",IFERROR(INDEX('Stock pièces'!$B$5:$B$404,MATCH(D916,'Stock pièces'!$A$5:$A$404,0)),"Réf. inconnue"))</f>
        <v/>
      </c>
      <c r="F916" s="67" t="n">
        <v>1</v>
      </c>
      <c r="G916" s="81">
        <f>IF(D916="","",IFERROR(INDEX('Stock pièces'!$I$5:$I$404,MATCH(D916,'Stock pièces'!$A$5:$A$404,0)),0))</f>
        <v/>
      </c>
      <c r="H916" s="81">
        <f>IF(D916="","",N(F916)*N(G916))</f>
        <v/>
      </c>
      <c r="I916" s="7" t="inlineStr">
        <is>
          <t>OT-2026-0304</t>
        </is>
      </c>
      <c r="J916" s="9">
        <f>IF(I916="","",IFERROR(INDEX('Ordres de travail'!$D$5:$D$3004,MATCH(I916,'Ordres de travail'!$A$5:$A$3004,0)),""))</f>
        <v/>
      </c>
      <c r="K916" s="9">
        <f>IF(D916="","",IFERROR(INDEX('Stock pièces'!$D$5:$D$404,MATCH(D916,'Stock pièces'!$A$5:$A$404,0)),""))</f>
        <v/>
      </c>
      <c r="L916" s="7" t="n"/>
      <c r="M916" s="7" t="n"/>
    </row>
    <row r="917">
      <c r="A917" s="7" t="inlineStr">
        <is>
          <t>MV-00913</t>
        </is>
      </c>
      <c r="B917" s="75" t="n">
        <v>46162.66041666667</v>
      </c>
      <c r="C917" s="7" t="inlineStr">
        <is>
          <t>Sortie</t>
        </is>
      </c>
      <c r="D917" s="7" t="inlineStr">
        <is>
          <t>PD-0028</t>
        </is>
      </c>
      <c r="E917" s="9">
        <f>IF(D917="","",IFERROR(INDEX('Stock pièces'!$B$5:$B$404,MATCH(D917,'Stock pièces'!$A$5:$A$404,0)),"Réf. inconnue"))</f>
        <v/>
      </c>
      <c r="F917" s="67" t="n">
        <v>1</v>
      </c>
      <c r="G917" s="81">
        <f>IF(D917="","",IFERROR(INDEX('Stock pièces'!$I$5:$I$404,MATCH(D917,'Stock pièces'!$A$5:$A$404,0)),0))</f>
        <v/>
      </c>
      <c r="H917" s="81">
        <f>IF(D917="","",N(F917)*N(G917))</f>
        <v/>
      </c>
      <c r="I917" s="7" t="inlineStr">
        <is>
          <t>OT-2026-0307</t>
        </is>
      </c>
      <c r="J917" s="9">
        <f>IF(I917="","",IFERROR(INDEX('Ordres de travail'!$D$5:$D$3004,MATCH(I917,'Ordres de travail'!$A$5:$A$3004,0)),""))</f>
        <v/>
      </c>
      <c r="K917" s="9">
        <f>IF(D917="","",IFERROR(INDEX('Stock pièces'!$D$5:$D$404,MATCH(D917,'Stock pièces'!$A$5:$A$404,0)),""))</f>
        <v/>
      </c>
      <c r="L917" s="7" t="n"/>
      <c r="M917" s="7" t="n"/>
    </row>
    <row r="918">
      <c r="A918" s="7" t="inlineStr">
        <is>
          <t>MV-00914</t>
        </is>
      </c>
      <c r="B918" s="75" t="n">
        <v>46162.66041666667</v>
      </c>
      <c r="C918" s="7" t="inlineStr">
        <is>
          <t>Sortie</t>
        </is>
      </c>
      <c r="D918" s="7" t="inlineStr">
        <is>
          <t>PD-0029</t>
        </is>
      </c>
      <c r="E918" s="9">
        <f>IF(D918="","",IFERROR(INDEX('Stock pièces'!$B$5:$B$404,MATCH(D918,'Stock pièces'!$A$5:$A$404,0)),"Réf. inconnue"))</f>
        <v/>
      </c>
      <c r="F918" s="67" t="n">
        <v>3</v>
      </c>
      <c r="G918" s="81">
        <f>IF(D918="","",IFERROR(INDEX('Stock pièces'!$I$5:$I$404,MATCH(D918,'Stock pièces'!$A$5:$A$404,0)),0))</f>
        <v/>
      </c>
      <c r="H918" s="81">
        <f>IF(D918="","",N(F918)*N(G918))</f>
        <v/>
      </c>
      <c r="I918" s="7" t="inlineStr">
        <is>
          <t>OT-2026-0307</t>
        </is>
      </c>
      <c r="J918" s="9">
        <f>IF(I918="","",IFERROR(INDEX('Ordres de travail'!$D$5:$D$3004,MATCH(I918,'Ordres de travail'!$A$5:$A$3004,0)),""))</f>
        <v/>
      </c>
      <c r="K918" s="9">
        <f>IF(D918="","",IFERROR(INDEX('Stock pièces'!$D$5:$D$404,MATCH(D918,'Stock pièces'!$A$5:$A$404,0)),""))</f>
        <v/>
      </c>
      <c r="L918" s="7" t="n"/>
      <c r="M918" s="7" t="n"/>
    </row>
    <row r="919">
      <c r="A919" s="7" t="inlineStr">
        <is>
          <t>MV-00915</t>
        </is>
      </c>
      <c r="B919" s="75" t="n">
        <v>46163.46527777778</v>
      </c>
      <c r="C919" s="7" t="inlineStr">
        <is>
          <t>Sortie</t>
        </is>
      </c>
      <c r="D919" s="7" t="inlineStr">
        <is>
          <t>PD-0062</t>
        </is>
      </c>
      <c r="E919" s="9">
        <f>IF(D919="","",IFERROR(INDEX('Stock pièces'!$B$5:$B$404,MATCH(D919,'Stock pièces'!$A$5:$A$404,0)),"Réf. inconnue"))</f>
        <v/>
      </c>
      <c r="F919" s="67" t="n">
        <v>1</v>
      </c>
      <c r="G919" s="81">
        <f>IF(D919="","",IFERROR(INDEX('Stock pièces'!$I$5:$I$404,MATCH(D919,'Stock pièces'!$A$5:$A$404,0)),0))</f>
        <v/>
      </c>
      <c r="H919" s="81">
        <f>IF(D919="","",N(F919)*N(G919))</f>
        <v/>
      </c>
      <c r="I919" s="7" t="inlineStr">
        <is>
          <t>OT-2026-0289</t>
        </is>
      </c>
      <c r="J919" s="9">
        <f>IF(I919="","",IFERROR(INDEX('Ordres de travail'!$D$5:$D$3004,MATCH(I919,'Ordres de travail'!$A$5:$A$3004,0)),""))</f>
        <v/>
      </c>
      <c r="K919" s="9">
        <f>IF(D919="","",IFERROR(INDEX('Stock pièces'!$D$5:$D$404,MATCH(D919,'Stock pièces'!$A$5:$A$404,0)),""))</f>
        <v/>
      </c>
      <c r="L919" s="7" t="n"/>
      <c r="M919" s="7" t="n"/>
    </row>
    <row r="920">
      <c r="A920" s="7" t="inlineStr">
        <is>
          <t>MV-00916</t>
        </is>
      </c>
      <c r="B920" s="75" t="n">
        <v>46164.10347222222</v>
      </c>
      <c r="C920" s="7" t="inlineStr">
        <is>
          <t>Sortie</t>
        </is>
      </c>
      <c r="D920" s="7" t="inlineStr">
        <is>
          <t>PD-0025</t>
        </is>
      </c>
      <c r="E920" s="9">
        <f>IF(D920="","",IFERROR(INDEX('Stock pièces'!$B$5:$B$404,MATCH(D920,'Stock pièces'!$A$5:$A$404,0)),"Réf. inconnue"))</f>
        <v/>
      </c>
      <c r="F920" s="67" t="n">
        <v>3</v>
      </c>
      <c r="G920" s="81">
        <f>IF(D920="","",IFERROR(INDEX('Stock pièces'!$I$5:$I$404,MATCH(D920,'Stock pièces'!$A$5:$A$404,0)),0))</f>
        <v/>
      </c>
      <c r="H920" s="81">
        <f>IF(D920="","",N(F920)*N(G920))</f>
        <v/>
      </c>
      <c r="I920" s="7" t="inlineStr">
        <is>
          <t>OT-2026-0312</t>
        </is>
      </c>
      <c r="J920" s="9">
        <f>IF(I920="","",IFERROR(INDEX('Ordres de travail'!$D$5:$D$3004,MATCH(I920,'Ordres de travail'!$A$5:$A$3004,0)),""))</f>
        <v/>
      </c>
      <c r="K920" s="9">
        <f>IF(D920="","",IFERROR(INDEX('Stock pièces'!$D$5:$D$404,MATCH(D920,'Stock pièces'!$A$5:$A$404,0)),""))</f>
        <v/>
      </c>
      <c r="L920" s="7" t="n"/>
      <c r="M920" s="7" t="n"/>
    </row>
    <row r="921">
      <c r="A921" s="7" t="inlineStr">
        <is>
          <t>MV-00917</t>
        </is>
      </c>
      <c r="B921" s="75" t="n">
        <v>46164.41666666666</v>
      </c>
      <c r="C921" s="7" t="inlineStr">
        <is>
          <t>Entrée</t>
        </is>
      </c>
      <c r="D921" s="7" t="inlineStr">
        <is>
          <t>PD-0073</t>
        </is>
      </c>
      <c r="E921" s="9">
        <f>IF(D921="","",IFERROR(INDEX('Stock pièces'!$B$5:$B$404,MATCH(D921,'Stock pièces'!$A$5:$A$404,0)),"Réf. inconnue"))</f>
        <v/>
      </c>
      <c r="F921" s="67" t="n">
        <v>1</v>
      </c>
      <c r="G921" s="81">
        <f>IF(D921="","",IFERROR(INDEX('Stock pièces'!$I$5:$I$404,MATCH(D921,'Stock pièces'!$A$5:$A$404,0)),0))</f>
        <v/>
      </c>
      <c r="H921" s="81">
        <f>IF(D921="","",N(F921)*N(G921))</f>
        <v/>
      </c>
      <c r="I921" s="7" t="n"/>
      <c r="J921" s="9">
        <f>IF(I921="","",IFERROR(INDEX('Ordres de travail'!$D$5:$D$3004,MATCH(I921,'Ordres de travail'!$A$5:$A$3004,0)),""))</f>
        <v/>
      </c>
      <c r="K921" s="9">
        <f>IF(D921="","",IFERROR(INDEX('Stock pièces'!$D$5:$D$404,MATCH(D921,'Stock pièces'!$A$5:$A$404,0)),""))</f>
        <v/>
      </c>
      <c r="L921" s="7" t="inlineStr">
        <is>
          <t>CMD-24252</t>
        </is>
      </c>
      <c r="M921" s="7" t="inlineStr">
        <is>
          <t>Réception commande réappro</t>
        </is>
      </c>
    </row>
    <row r="922">
      <c r="A922" s="7" t="inlineStr">
        <is>
          <t>MV-00918</t>
        </is>
      </c>
      <c r="B922" s="75" t="n">
        <v>46165.92638888889</v>
      </c>
      <c r="C922" s="7" t="inlineStr">
        <is>
          <t>Sortie</t>
        </is>
      </c>
      <c r="D922" s="7" t="inlineStr">
        <is>
          <t>PD-0030</t>
        </is>
      </c>
      <c r="E922" s="9">
        <f>IF(D922="","",IFERROR(INDEX('Stock pièces'!$B$5:$B$404,MATCH(D922,'Stock pièces'!$A$5:$A$404,0)),"Réf. inconnue"))</f>
        <v/>
      </c>
      <c r="F922" s="67" t="n">
        <v>1</v>
      </c>
      <c r="G922" s="81">
        <f>IF(D922="","",IFERROR(INDEX('Stock pièces'!$I$5:$I$404,MATCH(D922,'Stock pièces'!$A$5:$A$404,0)),0))</f>
        <v/>
      </c>
      <c r="H922" s="81">
        <f>IF(D922="","",N(F922)*N(G922))</f>
        <v/>
      </c>
      <c r="I922" s="7" t="inlineStr">
        <is>
          <t>OT-2026-0313</t>
        </is>
      </c>
      <c r="J922" s="9">
        <f>IF(I922="","",IFERROR(INDEX('Ordres de travail'!$D$5:$D$3004,MATCH(I922,'Ordres de travail'!$A$5:$A$3004,0)),""))</f>
        <v/>
      </c>
      <c r="K922" s="9">
        <f>IF(D922="","",IFERROR(INDEX('Stock pièces'!$D$5:$D$404,MATCH(D922,'Stock pièces'!$A$5:$A$404,0)),""))</f>
        <v/>
      </c>
      <c r="L922" s="7" t="n"/>
      <c r="M922" s="7" t="n"/>
    </row>
    <row r="923">
      <c r="A923" s="7" t="inlineStr">
        <is>
          <t>MV-00919</t>
        </is>
      </c>
      <c r="B923" s="75" t="n">
        <v>46165.92638888889</v>
      </c>
      <c r="C923" s="7" t="inlineStr">
        <is>
          <t>Sortie</t>
        </is>
      </c>
      <c r="D923" s="7" t="inlineStr">
        <is>
          <t>PD-0032</t>
        </is>
      </c>
      <c r="E923" s="9">
        <f>IF(D923="","",IFERROR(INDEX('Stock pièces'!$B$5:$B$404,MATCH(D923,'Stock pièces'!$A$5:$A$404,0)),"Réf. inconnue"))</f>
        <v/>
      </c>
      <c r="F923" s="67" t="n">
        <v>1</v>
      </c>
      <c r="G923" s="81">
        <f>IF(D923="","",IFERROR(INDEX('Stock pièces'!$I$5:$I$404,MATCH(D923,'Stock pièces'!$A$5:$A$404,0)),0))</f>
        <v/>
      </c>
      <c r="H923" s="81">
        <f>IF(D923="","",N(F923)*N(G923))</f>
        <v/>
      </c>
      <c r="I923" s="7" t="inlineStr">
        <is>
          <t>OT-2026-0313</t>
        </is>
      </c>
      <c r="J923" s="9">
        <f>IF(I923="","",IFERROR(INDEX('Ordres de travail'!$D$5:$D$3004,MATCH(I923,'Ordres de travail'!$A$5:$A$3004,0)),""))</f>
        <v/>
      </c>
      <c r="K923" s="9">
        <f>IF(D923="","",IFERROR(INDEX('Stock pièces'!$D$5:$D$404,MATCH(D923,'Stock pièces'!$A$5:$A$404,0)),""))</f>
        <v/>
      </c>
      <c r="L923" s="7" t="n"/>
      <c r="M923" s="7" t="n"/>
    </row>
    <row r="924">
      <c r="A924" s="7" t="inlineStr">
        <is>
          <t>MV-00920</t>
        </is>
      </c>
      <c r="B924" s="75" t="n">
        <v>46167.40277777778</v>
      </c>
      <c r="C924" s="7" t="inlineStr">
        <is>
          <t>Sortie</t>
        </is>
      </c>
      <c r="D924" s="7" t="inlineStr">
        <is>
          <t>PD-0059</t>
        </is>
      </c>
      <c r="E924" s="9">
        <f>IF(D924="","",IFERROR(INDEX('Stock pièces'!$B$5:$B$404,MATCH(D924,'Stock pièces'!$A$5:$A$404,0)),"Réf. inconnue"))</f>
        <v/>
      </c>
      <c r="F924" s="67" t="n">
        <v>1</v>
      </c>
      <c r="G924" s="81">
        <f>IF(D924="","",IFERROR(INDEX('Stock pièces'!$I$5:$I$404,MATCH(D924,'Stock pièces'!$A$5:$A$404,0)),0))</f>
        <v/>
      </c>
      <c r="H924" s="81">
        <f>IF(D924="","",N(F924)*N(G924))</f>
        <v/>
      </c>
      <c r="I924" s="7" t="inlineStr">
        <is>
          <t>OT-2026-0302</t>
        </is>
      </c>
      <c r="J924" s="9">
        <f>IF(I924="","",IFERROR(INDEX('Ordres de travail'!$D$5:$D$3004,MATCH(I924,'Ordres de travail'!$A$5:$A$3004,0)),""))</f>
        <v/>
      </c>
      <c r="K924" s="9">
        <f>IF(D924="","",IFERROR(INDEX('Stock pièces'!$D$5:$D$404,MATCH(D924,'Stock pièces'!$A$5:$A$404,0)),""))</f>
        <v/>
      </c>
      <c r="L924" s="7" t="n"/>
      <c r="M924" s="7" t="n"/>
    </row>
    <row r="925">
      <c r="A925" s="7" t="inlineStr">
        <is>
          <t>MV-00921</t>
        </is>
      </c>
      <c r="B925" s="75" t="n">
        <v>46167.40972222222</v>
      </c>
      <c r="C925" s="7" t="inlineStr">
        <is>
          <t>Sortie</t>
        </is>
      </c>
      <c r="D925" s="7" t="inlineStr">
        <is>
          <t>PD-0025</t>
        </is>
      </c>
      <c r="E925" s="9">
        <f>IF(D925="","",IFERROR(INDEX('Stock pièces'!$B$5:$B$404,MATCH(D925,'Stock pièces'!$A$5:$A$404,0)),"Réf. inconnue"))</f>
        <v/>
      </c>
      <c r="F925" s="67" t="n">
        <v>3</v>
      </c>
      <c r="G925" s="81">
        <f>IF(D925="","",IFERROR(INDEX('Stock pièces'!$I$5:$I$404,MATCH(D925,'Stock pièces'!$A$5:$A$404,0)),0))</f>
        <v/>
      </c>
      <c r="H925" s="81">
        <f>IF(D925="","",N(F925)*N(G925))</f>
        <v/>
      </c>
      <c r="I925" s="7" t="inlineStr">
        <is>
          <t>OT-2026-0301</t>
        </is>
      </c>
      <c r="J925" s="9">
        <f>IF(I925="","",IFERROR(INDEX('Ordres de travail'!$D$5:$D$3004,MATCH(I925,'Ordres de travail'!$A$5:$A$3004,0)),""))</f>
        <v/>
      </c>
      <c r="K925" s="9">
        <f>IF(D925="","",IFERROR(INDEX('Stock pièces'!$D$5:$D$404,MATCH(D925,'Stock pièces'!$A$5:$A$404,0)),""))</f>
        <v/>
      </c>
      <c r="L925" s="7" t="n"/>
      <c r="M925" s="7" t="n"/>
    </row>
    <row r="926">
      <c r="A926" s="7" t="inlineStr">
        <is>
          <t>MV-00922</t>
        </is>
      </c>
      <c r="B926" s="75" t="n">
        <v>46167.41527777778</v>
      </c>
      <c r="C926" s="7" t="inlineStr">
        <is>
          <t>Sortie</t>
        </is>
      </c>
      <c r="D926" s="7" t="inlineStr">
        <is>
          <t>PD-0015</t>
        </is>
      </c>
      <c r="E926" s="9">
        <f>IF(D926="","",IFERROR(INDEX('Stock pièces'!$B$5:$B$404,MATCH(D926,'Stock pièces'!$A$5:$A$404,0)),"Réf. inconnue"))</f>
        <v/>
      </c>
      <c r="F926" s="67" t="n">
        <v>1</v>
      </c>
      <c r="G926" s="81">
        <f>IF(D926="","",IFERROR(INDEX('Stock pièces'!$I$5:$I$404,MATCH(D926,'Stock pièces'!$A$5:$A$404,0)),0))</f>
        <v/>
      </c>
      <c r="H926" s="81">
        <f>IF(D926="","",N(F926)*N(G926))</f>
        <v/>
      </c>
      <c r="I926" s="7" t="inlineStr">
        <is>
          <t>OT-2026-0315</t>
        </is>
      </c>
      <c r="J926" s="9">
        <f>IF(I926="","",IFERROR(INDEX('Ordres de travail'!$D$5:$D$3004,MATCH(I926,'Ordres de travail'!$A$5:$A$3004,0)),""))</f>
        <v/>
      </c>
      <c r="K926" s="9">
        <f>IF(D926="","",IFERROR(INDEX('Stock pièces'!$D$5:$D$404,MATCH(D926,'Stock pièces'!$A$5:$A$404,0)),""))</f>
        <v/>
      </c>
      <c r="L926" s="7" t="n"/>
      <c r="M926" s="7" t="n"/>
    </row>
    <row r="927">
      <c r="A927" s="7" t="inlineStr">
        <is>
          <t>MV-00923</t>
        </is>
      </c>
      <c r="B927" s="75" t="n">
        <v>46167.41527777778</v>
      </c>
      <c r="C927" s="7" t="inlineStr">
        <is>
          <t>Sortie</t>
        </is>
      </c>
      <c r="D927" s="7" t="inlineStr">
        <is>
          <t>PD-0025</t>
        </is>
      </c>
      <c r="E927" s="9">
        <f>IF(D927="","",IFERROR(INDEX('Stock pièces'!$B$5:$B$404,MATCH(D927,'Stock pièces'!$A$5:$A$404,0)),"Réf. inconnue"))</f>
        <v/>
      </c>
      <c r="F927" s="67" t="n">
        <v>2</v>
      </c>
      <c r="G927" s="81">
        <f>IF(D927="","",IFERROR(INDEX('Stock pièces'!$I$5:$I$404,MATCH(D927,'Stock pièces'!$A$5:$A$404,0)),0))</f>
        <v/>
      </c>
      <c r="H927" s="81">
        <f>IF(D927="","",N(F927)*N(G927))</f>
        <v/>
      </c>
      <c r="I927" s="7" t="inlineStr">
        <is>
          <t>OT-2026-0315</t>
        </is>
      </c>
      <c r="J927" s="9">
        <f>IF(I927="","",IFERROR(INDEX('Ordres de travail'!$D$5:$D$3004,MATCH(I927,'Ordres de travail'!$A$5:$A$3004,0)),""))</f>
        <v/>
      </c>
      <c r="K927" s="9">
        <f>IF(D927="","",IFERROR(INDEX('Stock pièces'!$D$5:$D$404,MATCH(D927,'Stock pièces'!$A$5:$A$404,0)),""))</f>
        <v/>
      </c>
      <c r="L927" s="7" t="n"/>
      <c r="M927" s="7" t="n"/>
    </row>
    <row r="928">
      <c r="A928" s="7" t="inlineStr">
        <is>
          <t>MV-00924</t>
        </is>
      </c>
      <c r="B928" s="75" t="n">
        <v>46167.42361111111</v>
      </c>
      <c r="C928" s="7" t="inlineStr">
        <is>
          <t>Sortie</t>
        </is>
      </c>
      <c r="D928" s="7" t="inlineStr">
        <is>
          <t>PD-0021</t>
        </is>
      </c>
      <c r="E928" s="9">
        <f>IF(D928="","",IFERROR(INDEX('Stock pièces'!$B$5:$B$404,MATCH(D928,'Stock pièces'!$A$5:$A$404,0)),"Réf. inconnue"))</f>
        <v/>
      </c>
      <c r="F928" s="67" t="n">
        <v>1</v>
      </c>
      <c r="G928" s="81">
        <f>IF(D928="","",IFERROR(INDEX('Stock pièces'!$I$5:$I$404,MATCH(D928,'Stock pièces'!$A$5:$A$404,0)),0))</f>
        <v/>
      </c>
      <c r="H928" s="81">
        <f>IF(D928="","",N(F928)*N(G928))</f>
        <v/>
      </c>
      <c r="I928" s="7" t="inlineStr">
        <is>
          <t>OT-2026-0299</t>
        </is>
      </c>
      <c r="J928" s="9">
        <f>IF(I928="","",IFERROR(INDEX('Ordres de travail'!$D$5:$D$3004,MATCH(I928,'Ordres de travail'!$A$5:$A$3004,0)),""))</f>
        <v/>
      </c>
      <c r="K928" s="9">
        <f>IF(D928="","",IFERROR(INDEX('Stock pièces'!$D$5:$D$404,MATCH(D928,'Stock pièces'!$A$5:$A$404,0)),""))</f>
        <v/>
      </c>
      <c r="L928" s="7" t="n"/>
      <c r="M928" s="7" t="n"/>
    </row>
    <row r="929">
      <c r="A929" s="7" t="inlineStr">
        <is>
          <t>MV-00925</t>
        </is>
      </c>
      <c r="B929" s="75" t="n">
        <v>46168.41666666666</v>
      </c>
      <c r="C929" s="7" t="inlineStr">
        <is>
          <t>Entrée</t>
        </is>
      </c>
      <c r="D929" s="7" t="inlineStr">
        <is>
          <t>PD-0028</t>
        </is>
      </c>
      <c r="E929" s="9">
        <f>IF(D929="","",IFERROR(INDEX('Stock pièces'!$B$5:$B$404,MATCH(D929,'Stock pièces'!$A$5:$A$404,0)),"Réf. inconnue"))</f>
        <v/>
      </c>
      <c r="F929" s="67" t="n">
        <v>5</v>
      </c>
      <c r="G929" s="81">
        <f>IF(D929="","",IFERROR(INDEX('Stock pièces'!$I$5:$I$404,MATCH(D929,'Stock pièces'!$A$5:$A$404,0)),0))</f>
        <v/>
      </c>
      <c r="H929" s="81">
        <f>IF(D929="","",N(F929)*N(G929))</f>
        <v/>
      </c>
      <c r="I929" s="7" t="n"/>
      <c r="J929" s="9">
        <f>IF(I929="","",IFERROR(INDEX('Ordres de travail'!$D$5:$D$3004,MATCH(I929,'Ordres de travail'!$A$5:$A$3004,0)),""))</f>
        <v/>
      </c>
      <c r="K929" s="9">
        <f>IF(D929="","",IFERROR(INDEX('Stock pièces'!$D$5:$D$404,MATCH(D929,'Stock pièces'!$A$5:$A$404,0)),""))</f>
        <v/>
      </c>
      <c r="L929" s="7" t="inlineStr">
        <is>
          <t>CMD-24257</t>
        </is>
      </c>
      <c r="M929" s="7" t="inlineStr">
        <is>
          <t>Réception commande réappro</t>
        </is>
      </c>
    </row>
    <row r="930">
      <c r="A930" s="7" t="inlineStr">
        <is>
          <t>MV-00926</t>
        </is>
      </c>
      <c r="B930" s="75" t="n">
        <v>46168.41666666666</v>
      </c>
      <c r="C930" s="7" t="inlineStr">
        <is>
          <t>Entrée</t>
        </is>
      </c>
      <c r="D930" s="7" t="inlineStr">
        <is>
          <t>PD-0029</t>
        </is>
      </c>
      <c r="E930" s="9">
        <f>IF(D930="","",IFERROR(INDEX('Stock pièces'!$B$5:$B$404,MATCH(D930,'Stock pièces'!$A$5:$A$404,0)),"Réf. inconnue"))</f>
        <v/>
      </c>
      <c r="F930" s="67" t="n">
        <v>5</v>
      </c>
      <c r="G930" s="81">
        <f>IF(D930="","",IFERROR(INDEX('Stock pièces'!$I$5:$I$404,MATCH(D930,'Stock pièces'!$A$5:$A$404,0)),0))</f>
        <v/>
      </c>
      <c r="H930" s="81">
        <f>IF(D930="","",N(F930)*N(G930))</f>
        <v/>
      </c>
      <c r="I930" s="7" t="n"/>
      <c r="J930" s="9">
        <f>IF(I930="","",IFERROR(INDEX('Ordres de travail'!$D$5:$D$3004,MATCH(I930,'Ordres de travail'!$A$5:$A$3004,0)),""))</f>
        <v/>
      </c>
      <c r="K930" s="9">
        <f>IF(D930="","",IFERROR(INDEX('Stock pièces'!$D$5:$D$404,MATCH(D930,'Stock pièces'!$A$5:$A$404,0)),""))</f>
        <v/>
      </c>
      <c r="L930" s="7" t="inlineStr">
        <is>
          <t>CMD-24258</t>
        </is>
      </c>
      <c r="M930" s="7" t="inlineStr">
        <is>
          <t>Réception commande réappro</t>
        </is>
      </c>
    </row>
    <row r="931">
      <c r="A931" s="7" t="inlineStr">
        <is>
          <t>MV-00927</t>
        </is>
      </c>
      <c r="B931" s="75" t="n">
        <v>46168.80486111111</v>
      </c>
      <c r="C931" s="7" t="inlineStr">
        <is>
          <t>Sortie</t>
        </is>
      </c>
      <c r="D931" s="7" t="inlineStr">
        <is>
          <t>PD-0066</t>
        </is>
      </c>
      <c r="E931" s="9">
        <f>IF(D931="","",IFERROR(INDEX('Stock pièces'!$B$5:$B$404,MATCH(D931,'Stock pièces'!$A$5:$A$404,0)),"Réf. inconnue"))</f>
        <v/>
      </c>
      <c r="F931" s="67" t="n">
        <v>1</v>
      </c>
      <c r="G931" s="81">
        <f>IF(D931="","",IFERROR(INDEX('Stock pièces'!$I$5:$I$404,MATCH(D931,'Stock pièces'!$A$5:$A$404,0)),0))</f>
        <v/>
      </c>
      <c r="H931" s="81">
        <f>IF(D931="","",N(F931)*N(G931))</f>
        <v/>
      </c>
      <c r="I931" s="7" t="inlineStr">
        <is>
          <t>OT-2026-0323</t>
        </is>
      </c>
      <c r="J931" s="9">
        <f>IF(I931="","",IFERROR(INDEX('Ordres de travail'!$D$5:$D$3004,MATCH(I931,'Ordres de travail'!$A$5:$A$3004,0)),""))</f>
        <v/>
      </c>
      <c r="K931" s="9">
        <f>IF(D931="","",IFERROR(INDEX('Stock pièces'!$D$5:$D$404,MATCH(D931,'Stock pièces'!$A$5:$A$404,0)),""))</f>
        <v/>
      </c>
      <c r="L931" s="7" t="n"/>
      <c r="M931" s="7" t="n"/>
    </row>
    <row r="932">
      <c r="A932" s="7" t="inlineStr">
        <is>
          <t>MV-00928</t>
        </is>
      </c>
      <c r="B932" s="75" t="n">
        <v>46168.80486111111</v>
      </c>
      <c r="C932" s="7" t="inlineStr">
        <is>
          <t>Sortie</t>
        </is>
      </c>
      <c r="D932" s="7" t="inlineStr">
        <is>
          <t>PD-0070</t>
        </is>
      </c>
      <c r="E932" s="9">
        <f>IF(D932="","",IFERROR(INDEX('Stock pièces'!$B$5:$B$404,MATCH(D932,'Stock pièces'!$A$5:$A$404,0)),"Réf. inconnue"))</f>
        <v/>
      </c>
      <c r="F932" s="67" t="n">
        <v>1</v>
      </c>
      <c r="G932" s="81">
        <f>IF(D932="","",IFERROR(INDEX('Stock pièces'!$I$5:$I$404,MATCH(D932,'Stock pièces'!$A$5:$A$404,0)),0))</f>
        <v/>
      </c>
      <c r="H932" s="81">
        <f>IF(D932="","",N(F932)*N(G932))</f>
        <v/>
      </c>
      <c r="I932" s="7" t="inlineStr">
        <is>
          <t>OT-2026-0323</t>
        </is>
      </c>
      <c r="J932" s="9">
        <f>IF(I932="","",IFERROR(INDEX('Ordres de travail'!$D$5:$D$3004,MATCH(I932,'Ordres de travail'!$A$5:$A$3004,0)),""))</f>
        <v/>
      </c>
      <c r="K932" s="9">
        <f>IF(D932="","",IFERROR(INDEX('Stock pièces'!$D$5:$D$404,MATCH(D932,'Stock pièces'!$A$5:$A$404,0)),""))</f>
        <v/>
      </c>
      <c r="L932" s="7" t="n"/>
      <c r="M932" s="7" t="n"/>
    </row>
    <row r="933">
      <c r="A933" s="7" t="inlineStr">
        <is>
          <t>MV-00929</t>
        </is>
      </c>
      <c r="B933" s="75" t="n">
        <v>46169.58611111111</v>
      </c>
      <c r="C933" s="7" t="inlineStr">
        <is>
          <t>Sortie</t>
        </is>
      </c>
      <c r="D933" s="7" t="inlineStr">
        <is>
          <t>PD-0041</t>
        </is>
      </c>
      <c r="E933" s="9">
        <f>IF(D933="","",IFERROR(INDEX('Stock pièces'!$B$5:$B$404,MATCH(D933,'Stock pièces'!$A$5:$A$404,0)),"Réf. inconnue"))</f>
        <v/>
      </c>
      <c r="F933" s="67" t="n">
        <v>1</v>
      </c>
      <c r="G933" s="81">
        <f>IF(D933="","",IFERROR(INDEX('Stock pièces'!$I$5:$I$404,MATCH(D933,'Stock pièces'!$A$5:$A$404,0)),0))</f>
        <v/>
      </c>
      <c r="H933" s="81">
        <f>IF(D933="","",N(F933)*N(G933))</f>
        <v/>
      </c>
      <c r="I933" s="7" t="inlineStr">
        <is>
          <t>OT-2026-0325</t>
        </is>
      </c>
      <c r="J933" s="9">
        <f>IF(I933="","",IFERROR(INDEX('Ordres de travail'!$D$5:$D$3004,MATCH(I933,'Ordres de travail'!$A$5:$A$3004,0)),""))</f>
        <v/>
      </c>
      <c r="K933" s="9">
        <f>IF(D933="","",IFERROR(INDEX('Stock pièces'!$D$5:$D$404,MATCH(D933,'Stock pièces'!$A$5:$A$404,0)),""))</f>
        <v/>
      </c>
      <c r="L933" s="7" t="n"/>
      <c r="M933" s="7" t="n"/>
    </row>
    <row r="934">
      <c r="A934" s="7" t="inlineStr">
        <is>
          <t>MV-00930</t>
        </is>
      </c>
      <c r="B934" s="75" t="n">
        <v>46169.68125</v>
      </c>
      <c r="C934" s="7" t="inlineStr">
        <is>
          <t>Sortie</t>
        </is>
      </c>
      <c r="D934" s="7" t="inlineStr">
        <is>
          <t>PD-0046</t>
        </is>
      </c>
      <c r="E934" s="9">
        <f>IF(D934="","",IFERROR(INDEX('Stock pièces'!$B$5:$B$404,MATCH(D934,'Stock pièces'!$A$5:$A$404,0)),"Réf. inconnue"))</f>
        <v/>
      </c>
      <c r="F934" s="67" t="n">
        <v>1</v>
      </c>
      <c r="G934" s="81">
        <f>IF(D934="","",IFERROR(INDEX('Stock pièces'!$I$5:$I$404,MATCH(D934,'Stock pièces'!$A$5:$A$404,0)),0))</f>
        <v/>
      </c>
      <c r="H934" s="81">
        <f>IF(D934="","",N(F934)*N(G934))</f>
        <v/>
      </c>
      <c r="I934" s="7" t="inlineStr">
        <is>
          <t>OT-2026-0328</t>
        </is>
      </c>
      <c r="J934" s="9">
        <f>IF(I934="","",IFERROR(INDEX('Ordres de travail'!$D$5:$D$3004,MATCH(I934,'Ordres de travail'!$A$5:$A$3004,0)),""))</f>
        <v/>
      </c>
      <c r="K934" s="9">
        <f>IF(D934="","",IFERROR(INDEX('Stock pièces'!$D$5:$D$404,MATCH(D934,'Stock pièces'!$A$5:$A$404,0)),""))</f>
        <v/>
      </c>
      <c r="L934" s="7" t="n"/>
      <c r="M934" s="7" t="n"/>
    </row>
    <row r="935">
      <c r="A935" s="7" t="inlineStr">
        <is>
          <t>MV-00931</t>
        </is>
      </c>
      <c r="B935" s="75" t="n">
        <v>46170.59722222222</v>
      </c>
      <c r="C935" s="7" t="inlineStr">
        <is>
          <t>Sortie</t>
        </is>
      </c>
      <c r="D935" s="7" t="inlineStr">
        <is>
          <t>PD-0025</t>
        </is>
      </c>
      <c r="E935" s="9">
        <f>IF(D935="","",IFERROR(INDEX('Stock pièces'!$B$5:$B$404,MATCH(D935,'Stock pièces'!$A$5:$A$404,0)),"Réf. inconnue"))</f>
        <v/>
      </c>
      <c r="F935" s="67" t="n">
        <v>2</v>
      </c>
      <c r="G935" s="81">
        <f>IF(D935="","",IFERROR(INDEX('Stock pièces'!$I$5:$I$404,MATCH(D935,'Stock pièces'!$A$5:$A$404,0)),0))</f>
        <v/>
      </c>
      <c r="H935" s="81">
        <f>IF(D935="","",N(F935)*N(G935))</f>
        <v/>
      </c>
      <c r="I935" s="7" t="inlineStr">
        <is>
          <t>OT-2026-0311</t>
        </is>
      </c>
      <c r="J935" s="9">
        <f>IF(I935="","",IFERROR(INDEX('Ordres de travail'!$D$5:$D$3004,MATCH(I935,'Ordres de travail'!$A$5:$A$3004,0)),""))</f>
        <v/>
      </c>
      <c r="K935" s="9">
        <f>IF(D935="","",IFERROR(INDEX('Stock pièces'!$D$5:$D$404,MATCH(D935,'Stock pièces'!$A$5:$A$404,0)),""))</f>
        <v/>
      </c>
      <c r="L935" s="7" t="n"/>
      <c r="M935" s="7" t="n"/>
    </row>
    <row r="936">
      <c r="A936" s="7" t="inlineStr">
        <is>
          <t>MV-00932</t>
        </is>
      </c>
      <c r="B936" s="75" t="n">
        <v>46171.48958333334</v>
      </c>
      <c r="C936" s="7" t="inlineStr">
        <is>
          <t>Entrée</t>
        </is>
      </c>
      <c r="D936" s="7" t="inlineStr">
        <is>
          <t>PD-0065</t>
        </is>
      </c>
      <c r="E936" s="9">
        <f>IF(D936="","",IFERROR(INDEX('Stock pièces'!$B$5:$B$404,MATCH(D936,'Stock pièces'!$A$5:$A$404,0)),"Réf. inconnue"))</f>
        <v/>
      </c>
      <c r="F936" s="67" t="n">
        <v>1</v>
      </c>
      <c r="G936" s="81">
        <f>IF(D936="","",IFERROR(INDEX('Stock pièces'!$I$5:$I$404,MATCH(D936,'Stock pièces'!$A$5:$A$404,0)),0))</f>
        <v/>
      </c>
      <c r="H936" s="81">
        <f>IF(D936="","",N(F936)*N(G936))</f>
        <v/>
      </c>
      <c r="I936" s="7" t="n"/>
      <c r="J936" s="9">
        <f>IF(I936="","",IFERROR(INDEX('Ordres de travail'!$D$5:$D$3004,MATCH(I936,'Ordres de travail'!$A$5:$A$3004,0)),""))</f>
        <v/>
      </c>
      <c r="K936" s="9">
        <f>IF(D936="","",IFERROR(INDEX('Stock pièces'!$D$5:$D$404,MATCH(D936,'Stock pièces'!$A$5:$A$404,0)),""))</f>
        <v/>
      </c>
      <c r="L936" s="7" t="inlineStr">
        <is>
          <t>URG-24264</t>
        </is>
      </c>
      <c r="M936" s="7" t="inlineStr">
        <is>
          <t>Achat urgent (rupture)</t>
        </is>
      </c>
    </row>
    <row r="937">
      <c r="A937" s="7" t="inlineStr">
        <is>
          <t>MV-00933</t>
        </is>
      </c>
      <c r="B937" s="75" t="n">
        <v>46171.49305555555</v>
      </c>
      <c r="C937" s="7" t="inlineStr">
        <is>
          <t>Sortie</t>
        </is>
      </c>
      <c r="D937" s="7" t="inlineStr">
        <is>
          <t>PD-0065</t>
        </is>
      </c>
      <c r="E937" s="9">
        <f>IF(D937="","",IFERROR(INDEX('Stock pièces'!$B$5:$B$404,MATCH(D937,'Stock pièces'!$A$5:$A$404,0)),"Réf. inconnue"))</f>
        <v/>
      </c>
      <c r="F937" s="67" t="n">
        <v>1</v>
      </c>
      <c r="G937" s="81">
        <f>IF(D937="","",IFERROR(INDEX('Stock pièces'!$I$5:$I$404,MATCH(D937,'Stock pièces'!$A$5:$A$404,0)),0))</f>
        <v/>
      </c>
      <c r="H937" s="81">
        <f>IF(D937="","",N(F937)*N(G937))</f>
        <v/>
      </c>
      <c r="I937" s="7" t="inlineStr">
        <is>
          <t>OT-2026-0330</t>
        </is>
      </c>
      <c r="J937" s="9">
        <f>IF(I937="","",IFERROR(INDEX('Ordres de travail'!$D$5:$D$3004,MATCH(I937,'Ordres de travail'!$A$5:$A$3004,0)),""))</f>
        <v/>
      </c>
      <c r="K937" s="9">
        <f>IF(D937="","",IFERROR(INDEX('Stock pièces'!$D$5:$D$404,MATCH(D937,'Stock pièces'!$A$5:$A$404,0)),""))</f>
        <v/>
      </c>
      <c r="L937" s="7" t="n"/>
      <c r="M937" s="7" t="n"/>
    </row>
    <row r="938">
      <c r="A938" s="7" t="inlineStr">
        <is>
          <t>MV-00934</t>
        </is>
      </c>
      <c r="B938" s="75" t="n">
        <v>46172.35972222222</v>
      </c>
      <c r="C938" s="7" t="inlineStr">
        <is>
          <t>Sortie</t>
        </is>
      </c>
      <c r="D938" s="7" t="inlineStr">
        <is>
          <t>PD-0011</t>
        </is>
      </c>
      <c r="E938" s="9">
        <f>IF(D938="","",IFERROR(INDEX('Stock pièces'!$B$5:$B$404,MATCH(D938,'Stock pièces'!$A$5:$A$404,0)),"Réf. inconnue"))</f>
        <v/>
      </c>
      <c r="F938" s="67" t="n">
        <v>2</v>
      </c>
      <c r="G938" s="81">
        <f>IF(D938="","",IFERROR(INDEX('Stock pièces'!$I$5:$I$404,MATCH(D938,'Stock pièces'!$A$5:$A$404,0)),0))</f>
        <v/>
      </c>
      <c r="H938" s="81">
        <f>IF(D938="","",N(F938)*N(G938))</f>
        <v/>
      </c>
      <c r="I938" s="7" t="inlineStr">
        <is>
          <t>OT-2026-0331</t>
        </is>
      </c>
      <c r="J938" s="9">
        <f>IF(I938="","",IFERROR(INDEX('Ordres de travail'!$D$5:$D$3004,MATCH(I938,'Ordres de travail'!$A$5:$A$3004,0)),""))</f>
        <v/>
      </c>
      <c r="K938" s="9">
        <f>IF(D938="","",IFERROR(INDEX('Stock pièces'!$D$5:$D$404,MATCH(D938,'Stock pièces'!$A$5:$A$404,0)),""))</f>
        <v/>
      </c>
      <c r="L938" s="7" t="n"/>
      <c r="M938" s="7" t="n"/>
    </row>
    <row r="939">
      <c r="A939" s="7" t="inlineStr">
        <is>
          <t>MV-00935</t>
        </is>
      </c>
      <c r="B939" s="75" t="n">
        <v>46172.35972222222</v>
      </c>
      <c r="C939" s="7" t="inlineStr">
        <is>
          <t>Sortie</t>
        </is>
      </c>
      <c r="D939" s="7" t="inlineStr">
        <is>
          <t>PD-0056</t>
        </is>
      </c>
      <c r="E939" s="9">
        <f>IF(D939="","",IFERROR(INDEX('Stock pièces'!$B$5:$B$404,MATCH(D939,'Stock pièces'!$A$5:$A$404,0)),"Réf. inconnue"))</f>
        <v/>
      </c>
      <c r="F939" s="67" t="n">
        <v>1</v>
      </c>
      <c r="G939" s="81">
        <f>IF(D939="","",IFERROR(INDEX('Stock pièces'!$I$5:$I$404,MATCH(D939,'Stock pièces'!$A$5:$A$404,0)),0))</f>
        <v/>
      </c>
      <c r="H939" s="81">
        <f>IF(D939="","",N(F939)*N(G939))</f>
        <v/>
      </c>
      <c r="I939" s="7" t="inlineStr">
        <is>
          <t>OT-2026-0331</t>
        </is>
      </c>
      <c r="J939" s="9">
        <f>IF(I939="","",IFERROR(INDEX('Ordres de travail'!$D$5:$D$3004,MATCH(I939,'Ordres de travail'!$A$5:$A$3004,0)),""))</f>
        <v/>
      </c>
      <c r="K939" s="9">
        <f>IF(D939="","",IFERROR(INDEX('Stock pièces'!$D$5:$D$404,MATCH(D939,'Stock pièces'!$A$5:$A$404,0)),""))</f>
        <v/>
      </c>
      <c r="L939" s="7" t="n"/>
      <c r="M939" s="7" t="n"/>
    </row>
    <row r="940">
      <c r="A940" s="7" t="inlineStr">
        <is>
          <t>MV-00936</t>
        </is>
      </c>
      <c r="B940" s="75" t="n">
        <v>46172.69791666666</v>
      </c>
      <c r="C940" s="7" t="inlineStr">
        <is>
          <t>Sortie</t>
        </is>
      </c>
      <c r="D940" s="7" t="inlineStr">
        <is>
          <t>PD-0020</t>
        </is>
      </c>
      <c r="E940" s="9">
        <f>IF(D940="","",IFERROR(INDEX('Stock pièces'!$B$5:$B$404,MATCH(D940,'Stock pièces'!$A$5:$A$404,0)),"Réf. inconnue"))</f>
        <v/>
      </c>
      <c r="F940" s="67" t="n">
        <v>1</v>
      </c>
      <c r="G940" s="81">
        <f>IF(D940="","",IFERROR(INDEX('Stock pièces'!$I$5:$I$404,MATCH(D940,'Stock pièces'!$A$5:$A$404,0)),0))</f>
        <v/>
      </c>
      <c r="H940" s="81">
        <f>IF(D940="","",N(F940)*N(G940))</f>
        <v/>
      </c>
      <c r="I940" s="7" t="inlineStr">
        <is>
          <t>OT-2026-0332</t>
        </is>
      </c>
      <c r="J940" s="9">
        <f>IF(I940="","",IFERROR(INDEX('Ordres de travail'!$D$5:$D$3004,MATCH(I940,'Ordres de travail'!$A$5:$A$3004,0)),""))</f>
        <v/>
      </c>
      <c r="K940" s="9">
        <f>IF(D940="","",IFERROR(INDEX('Stock pièces'!$D$5:$D$404,MATCH(D940,'Stock pièces'!$A$5:$A$404,0)),""))</f>
        <v/>
      </c>
      <c r="L940" s="7" t="n"/>
      <c r="M940" s="7" t="n"/>
    </row>
    <row r="941">
      <c r="A941" s="7" t="inlineStr">
        <is>
          <t>MV-00937</t>
        </is>
      </c>
      <c r="B941" s="75" t="n">
        <v>46174.35416666666</v>
      </c>
      <c r="C941" s="7" t="inlineStr">
        <is>
          <t>Sortie</t>
        </is>
      </c>
      <c r="D941" s="7" t="inlineStr">
        <is>
          <t>PD-0019</t>
        </is>
      </c>
      <c r="E941" s="9">
        <f>IF(D941="","",IFERROR(INDEX('Stock pièces'!$B$5:$B$404,MATCH(D941,'Stock pièces'!$A$5:$A$404,0)),"Réf. inconnue"))</f>
        <v/>
      </c>
      <c r="F941" s="67" t="n">
        <v>4</v>
      </c>
      <c r="G941" s="81">
        <f>IF(D941="","",IFERROR(INDEX('Stock pièces'!$I$5:$I$404,MATCH(D941,'Stock pièces'!$A$5:$A$404,0)),0))</f>
        <v/>
      </c>
      <c r="H941" s="81">
        <f>IF(D941="","",N(F941)*N(G941))</f>
        <v/>
      </c>
      <c r="I941" s="7" t="inlineStr">
        <is>
          <t>OT-2026-0314</t>
        </is>
      </c>
      <c r="J941" s="9">
        <f>IF(I941="","",IFERROR(INDEX('Ordres de travail'!$D$5:$D$3004,MATCH(I941,'Ordres de travail'!$A$5:$A$3004,0)),""))</f>
        <v/>
      </c>
      <c r="K941" s="9">
        <f>IF(D941="","",IFERROR(INDEX('Stock pièces'!$D$5:$D$404,MATCH(D941,'Stock pièces'!$A$5:$A$404,0)),""))</f>
        <v/>
      </c>
      <c r="L941" s="7" t="n"/>
      <c r="M941" s="7" t="n"/>
    </row>
    <row r="942">
      <c r="A942" s="7" t="inlineStr">
        <is>
          <t>MV-00938</t>
        </is>
      </c>
      <c r="B942" s="75" t="n">
        <v>46174.41666666666</v>
      </c>
      <c r="C942" s="7" t="inlineStr">
        <is>
          <t>Entrée</t>
        </is>
      </c>
      <c r="D942" s="7" t="inlineStr">
        <is>
          <t>PD-0034</t>
        </is>
      </c>
      <c r="E942" s="9">
        <f>IF(D942="","",IFERROR(INDEX('Stock pièces'!$B$5:$B$404,MATCH(D942,'Stock pièces'!$A$5:$A$404,0)),"Réf. inconnue"))</f>
        <v/>
      </c>
      <c r="F942" s="67" t="n">
        <v>1</v>
      </c>
      <c r="G942" s="81">
        <f>IF(D942="","",IFERROR(INDEX('Stock pièces'!$I$5:$I$404,MATCH(D942,'Stock pièces'!$A$5:$A$404,0)),0))</f>
        <v/>
      </c>
      <c r="H942" s="81">
        <f>IF(D942="","",N(F942)*N(G942))</f>
        <v/>
      </c>
      <c r="I942" s="7" t="n"/>
      <c r="J942" s="9">
        <f>IF(I942="","",IFERROR(INDEX('Ordres de travail'!$D$5:$D$3004,MATCH(I942,'Ordres de travail'!$A$5:$A$3004,0)),""))</f>
        <v/>
      </c>
      <c r="K942" s="9">
        <f>IF(D942="","",IFERROR(INDEX('Stock pièces'!$D$5:$D$404,MATCH(D942,'Stock pièces'!$A$5:$A$404,0)),""))</f>
        <v/>
      </c>
      <c r="L942" s="7" t="inlineStr">
        <is>
          <t>CMD-24256</t>
        </is>
      </c>
      <c r="M942" s="7" t="inlineStr">
        <is>
          <t>Réception commande réappro</t>
        </is>
      </c>
    </row>
    <row r="943">
      <c r="A943" s="7" t="inlineStr">
        <is>
          <t>MV-00939</t>
        </is>
      </c>
      <c r="B943" s="75" t="n">
        <v>46174.41666666666</v>
      </c>
      <c r="C943" s="7" t="inlineStr">
        <is>
          <t>Entrée</t>
        </is>
      </c>
      <c r="D943" s="7" t="inlineStr">
        <is>
          <t>PD-0030</t>
        </is>
      </c>
      <c r="E943" s="9">
        <f>IF(D943="","",IFERROR(INDEX('Stock pièces'!$B$5:$B$404,MATCH(D943,'Stock pièces'!$A$5:$A$404,0)),"Réf. inconnue"))</f>
        <v/>
      </c>
      <c r="F943" s="67" t="n">
        <v>1</v>
      </c>
      <c r="G943" s="81">
        <f>IF(D943="","",IFERROR(INDEX('Stock pièces'!$I$5:$I$404,MATCH(D943,'Stock pièces'!$A$5:$A$404,0)),0))</f>
        <v/>
      </c>
      <c r="H943" s="81">
        <f>IF(D943="","",N(F943)*N(G943))</f>
        <v/>
      </c>
      <c r="I943" s="7" t="n"/>
      <c r="J943" s="9">
        <f>IF(I943="","",IFERROR(INDEX('Ordres de travail'!$D$5:$D$3004,MATCH(I943,'Ordres de travail'!$A$5:$A$3004,0)),""))</f>
        <v/>
      </c>
      <c r="K943" s="9">
        <f>IF(D943="","",IFERROR(INDEX('Stock pièces'!$D$5:$D$404,MATCH(D943,'Stock pièces'!$A$5:$A$404,0)),""))</f>
        <v/>
      </c>
      <c r="L943" s="7" t="inlineStr">
        <is>
          <t>CMD-24259</t>
        </is>
      </c>
      <c r="M943" s="7" t="inlineStr">
        <is>
          <t>Réception commande réappro</t>
        </is>
      </c>
    </row>
    <row r="944">
      <c r="A944" s="7" t="inlineStr">
        <is>
          <t>MV-00940</t>
        </is>
      </c>
      <c r="B944" s="75" t="n">
        <v>46174.50694444445</v>
      </c>
      <c r="C944" s="7" t="inlineStr">
        <is>
          <t>Sortie</t>
        </is>
      </c>
      <c r="D944" s="7" t="inlineStr">
        <is>
          <t>PD-0015</t>
        </is>
      </c>
      <c r="E944" s="9">
        <f>IF(D944="","",IFERROR(INDEX('Stock pièces'!$B$5:$B$404,MATCH(D944,'Stock pièces'!$A$5:$A$404,0)),"Réf. inconnue"))</f>
        <v/>
      </c>
      <c r="F944" s="67" t="n">
        <v>1</v>
      </c>
      <c r="G944" s="81">
        <f>IF(D944="","",IFERROR(INDEX('Stock pièces'!$I$5:$I$404,MATCH(D944,'Stock pièces'!$A$5:$A$404,0)),0))</f>
        <v/>
      </c>
      <c r="H944" s="81">
        <f>IF(D944="","",N(F944)*N(G944))</f>
        <v/>
      </c>
      <c r="I944" s="7" t="inlineStr">
        <is>
          <t>OT-2026-0317</t>
        </is>
      </c>
      <c r="J944" s="9">
        <f>IF(I944="","",IFERROR(INDEX('Ordres de travail'!$D$5:$D$3004,MATCH(I944,'Ordres de travail'!$A$5:$A$3004,0)),""))</f>
        <v/>
      </c>
      <c r="K944" s="9">
        <f>IF(D944="","",IFERROR(INDEX('Stock pièces'!$D$5:$D$404,MATCH(D944,'Stock pièces'!$A$5:$A$404,0)),""))</f>
        <v/>
      </c>
      <c r="L944" s="7" t="n"/>
      <c r="M944" s="7" t="n"/>
    </row>
    <row r="945">
      <c r="A945" s="7" t="inlineStr">
        <is>
          <t>MV-00941</t>
        </is>
      </c>
      <c r="B945" s="75" t="n">
        <v>46174.50694444445</v>
      </c>
      <c r="C945" s="7" t="inlineStr">
        <is>
          <t>Sortie</t>
        </is>
      </c>
      <c r="D945" s="7" t="inlineStr">
        <is>
          <t>PD-0022</t>
        </is>
      </c>
      <c r="E945" s="9">
        <f>IF(D945="","",IFERROR(INDEX('Stock pièces'!$B$5:$B$404,MATCH(D945,'Stock pièces'!$A$5:$A$404,0)),"Réf. inconnue"))</f>
        <v/>
      </c>
      <c r="F945" s="67" t="n">
        <v>1</v>
      </c>
      <c r="G945" s="81">
        <f>IF(D945="","",IFERROR(INDEX('Stock pièces'!$I$5:$I$404,MATCH(D945,'Stock pièces'!$A$5:$A$404,0)),0))</f>
        <v/>
      </c>
      <c r="H945" s="81">
        <f>IF(D945="","",N(F945)*N(G945))</f>
        <v/>
      </c>
      <c r="I945" s="7" t="inlineStr">
        <is>
          <t>OT-2026-0317</t>
        </is>
      </c>
      <c r="J945" s="9">
        <f>IF(I945="","",IFERROR(INDEX('Ordres de travail'!$D$5:$D$3004,MATCH(I945,'Ordres de travail'!$A$5:$A$3004,0)),""))</f>
        <v/>
      </c>
      <c r="K945" s="9">
        <f>IF(D945="","",IFERROR(INDEX('Stock pièces'!$D$5:$D$404,MATCH(D945,'Stock pièces'!$A$5:$A$404,0)),""))</f>
        <v/>
      </c>
      <c r="L945" s="7" t="n"/>
      <c r="M945" s="7" t="n"/>
    </row>
    <row r="946">
      <c r="A946" s="7" t="inlineStr">
        <is>
          <t>MV-00942</t>
        </is>
      </c>
      <c r="B946" s="75" t="n">
        <v>46175.50138888889</v>
      </c>
      <c r="C946" s="7" t="inlineStr">
        <is>
          <t>Sortie</t>
        </is>
      </c>
      <c r="D946" s="7" t="inlineStr">
        <is>
          <t>PD-0029</t>
        </is>
      </c>
      <c r="E946" s="9">
        <f>IF(D946="","",IFERROR(INDEX('Stock pièces'!$B$5:$B$404,MATCH(D946,'Stock pièces'!$A$5:$A$404,0)),"Réf. inconnue"))</f>
        <v/>
      </c>
      <c r="F946" s="67" t="n">
        <v>1</v>
      </c>
      <c r="G946" s="81">
        <f>IF(D946="","",IFERROR(INDEX('Stock pièces'!$I$5:$I$404,MATCH(D946,'Stock pièces'!$A$5:$A$404,0)),0))</f>
        <v/>
      </c>
      <c r="H946" s="81">
        <f>IF(D946="","",N(F946)*N(G946))</f>
        <v/>
      </c>
      <c r="I946" s="7" t="inlineStr">
        <is>
          <t>OT-2026-0340</t>
        </is>
      </c>
      <c r="J946" s="9">
        <f>IF(I946="","",IFERROR(INDEX('Ordres de travail'!$D$5:$D$3004,MATCH(I946,'Ordres de travail'!$A$5:$A$3004,0)),""))</f>
        <v/>
      </c>
      <c r="K946" s="9">
        <f>IF(D946="","",IFERROR(INDEX('Stock pièces'!$D$5:$D$404,MATCH(D946,'Stock pièces'!$A$5:$A$404,0)),""))</f>
        <v/>
      </c>
      <c r="L946" s="7" t="n"/>
      <c r="M946" s="7" t="n"/>
    </row>
    <row r="947">
      <c r="A947" s="7" t="inlineStr">
        <is>
          <t>MV-00943</t>
        </is>
      </c>
      <c r="B947" s="75" t="n">
        <v>46175.50138888889</v>
      </c>
      <c r="C947" s="7" t="inlineStr">
        <is>
          <t>Sortie</t>
        </is>
      </c>
      <c r="D947" s="7" t="inlineStr">
        <is>
          <t>PD-0030</t>
        </is>
      </c>
      <c r="E947" s="9">
        <f>IF(D947="","",IFERROR(INDEX('Stock pièces'!$B$5:$B$404,MATCH(D947,'Stock pièces'!$A$5:$A$404,0)),"Réf. inconnue"))</f>
        <v/>
      </c>
      <c r="F947" s="67" t="n">
        <v>1</v>
      </c>
      <c r="G947" s="81">
        <f>IF(D947="","",IFERROR(INDEX('Stock pièces'!$I$5:$I$404,MATCH(D947,'Stock pièces'!$A$5:$A$404,0)),0))</f>
        <v/>
      </c>
      <c r="H947" s="81">
        <f>IF(D947="","",N(F947)*N(G947))</f>
        <v/>
      </c>
      <c r="I947" s="7" t="inlineStr">
        <is>
          <t>OT-2026-0340</t>
        </is>
      </c>
      <c r="J947" s="9">
        <f>IF(I947="","",IFERROR(INDEX('Ordres de travail'!$D$5:$D$3004,MATCH(I947,'Ordres de travail'!$A$5:$A$3004,0)),""))</f>
        <v/>
      </c>
      <c r="K947" s="9">
        <f>IF(D947="","",IFERROR(INDEX('Stock pièces'!$D$5:$D$404,MATCH(D947,'Stock pièces'!$A$5:$A$404,0)),""))</f>
        <v/>
      </c>
      <c r="L947" s="7" t="n"/>
      <c r="M947" s="7" t="n"/>
    </row>
    <row r="948">
      <c r="A948" s="7" t="inlineStr">
        <is>
          <t>MV-00944</t>
        </is>
      </c>
      <c r="B948" s="75" t="n">
        <v>46176.34027777778</v>
      </c>
      <c r="C948" s="7" t="inlineStr">
        <is>
          <t>Sortie</t>
        </is>
      </c>
      <c r="D948" s="7" t="inlineStr">
        <is>
          <t>PD-0025</t>
        </is>
      </c>
      <c r="E948" s="9">
        <f>IF(D948="","",IFERROR(INDEX('Stock pièces'!$B$5:$B$404,MATCH(D948,'Stock pièces'!$A$5:$A$404,0)),"Réf. inconnue"))</f>
        <v/>
      </c>
      <c r="F948" s="67" t="n">
        <v>1</v>
      </c>
      <c r="G948" s="81">
        <f>IF(D948="","",IFERROR(INDEX('Stock pièces'!$I$5:$I$404,MATCH(D948,'Stock pièces'!$A$5:$A$404,0)),0))</f>
        <v/>
      </c>
      <c r="H948" s="81">
        <f>IF(D948="","",N(F948)*N(G948))</f>
        <v/>
      </c>
      <c r="I948" s="7" t="inlineStr">
        <is>
          <t>OT-2026-0326</t>
        </is>
      </c>
      <c r="J948" s="9">
        <f>IF(I948="","",IFERROR(INDEX('Ordres de travail'!$D$5:$D$3004,MATCH(I948,'Ordres de travail'!$A$5:$A$3004,0)),""))</f>
        <v/>
      </c>
      <c r="K948" s="9">
        <f>IF(D948="","",IFERROR(INDEX('Stock pièces'!$D$5:$D$404,MATCH(D948,'Stock pièces'!$A$5:$A$404,0)),""))</f>
        <v/>
      </c>
      <c r="L948" s="7" t="n"/>
      <c r="M948" s="7" t="n"/>
    </row>
    <row r="949">
      <c r="A949" s="7" t="inlineStr">
        <is>
          <t>MV-00945</t>
        </is>
      </c>
      <c r="B949" s="75" t="n">
        <v>46176.41666666666</v>
      </c>
      <c r="C949" s="7" t="inlineStr">
        <is>
          <t>Entrée</t>
        </is>
      </c>
      <c r="D949" s="7" t="inlineStr">
        <is>
          <t>PD-0046</t>
        </is>
      </c>
      <c r="E949" s="9">
        <f>IF(D949="","",IFERROR(INDEX('Stock pièces'!$B$5:$B$404,MATCH(D949,'Stock pièces'!$A$5:$A$404,0)),"Réf. inconnue"))</f>
        <v/>
      </c>
      <c r="F949" s="67" t="n">
        <v>1</v>
      </c>
      <c r="G949" s="81">
        <f>IF(D949="","",IFERROR(INDEX('Stock pièces'!$I$5:$I$404,MATCH(D949,'Stock pièces'!$A$5:$A$404,0)),0))</f>
        <v/>
      </c>
      <c r="H949" s="81">
        <f>IF(D949="","",N(F949)*N(G949))</f>
        <v/>
      </c>
      <c r="I949" s="7" t="n"/>
      <c r="J949" s="9">
        <f>IF(I949="","",IFERROR(INDEX('Ordres de travail'!$D$5:$D$3004,MATCH(I949,'Ordres de travail'!$A$5:$A$3004,0)),""))</f>
        <v/>
      </c>
      <c r="K949" s="9">
        <f>IF(D949="","",IFERROR(INDEX('Stock pièces'!$D$5:$D$404,MATCH(D949,'Stock pièces'!$A$5:$A$404,0)),""))</f>
        <v/>
      </c>
      <c r="L949" s="7" t="inlineStr">
        <is>
          <t>CMD-24263</t>
        </is>
      </c>
      <c r="M949" s="7" t="inlineStr">
        <is>
          <t>Réception commande réappro</t>
        </is>
      </c>
    </row>
    <row r="950">
      <c r="A950" s="7" t="inlineStr">
        <is>
          <t>MV-00946</t>
        </is>
      </c>
      <c r="B950" s="75" t="n">
        <v>46176.99305555555</v>
      </c>
      <c r="C950" s="7" t="inlineStr">
        <is>
          <t>Sortie</t>
        </is>
      </c>
      <c r="D950" s="7" t="inlineStr">
        <is>
          <t>PD-0054</t>
        </is>
      </c>
      <c r="E950" s="9">
        <f>IF(D950="","",IFERROR(INDEX('Stock pièces'!$B$5:$B$404,MATCH(D950,'Stock pièces'!$A$5:$A$404,0)),"Réf. inconnue"))</f>
        <v/>
      </c>
      <c r="F950" s="67" t="n">
        <v>3</v>
      </c>
      <c r="G950" s="81">
        <f>IF(D950="","",IFERROR(INDEX('Stock pièces'!$I$5:$I$404,MATCH(D950,'Stock pièces'!$A$5:$A$404,0)),0))</f>
        <v/>
      </c>
      <c r="H950" s="81">
        <f>IF(D950="","",N(F950)*N(G950))</f>
        <v/>
      </c>
      <c r="I950" s="7" t="inlineStr">
        <is>
          <t>OT-2026-0338</t>
        </is>
      </c>
      <c r="J950" s="9">
        <f>IF(I950="","",IFERROR(INDEX('Ordres de travail'!$D$5:$D$3004,MATCH(I950,'Ordres de travail'!$A$5:$A$3004,0)),""))</f>
        <v/>
      </c>
      <c r="K950" s="9">
        <f>IF(D950="","",IFERROR(INDEX('Stock pièces'!$D$5:$D$404,MATCH(D950,'Stock pièces'!$A$5:$A$404,0)),""))</f>
        <v/>
      </c>
      <c r="L950" s="7" t="n"/>
      <c r="M950" s="7" t="n"/>
    </row>
    <row r="951">
      <c r="A951" s="7" t="inlineStr">
        <is>
          <t>MV-00947</t>
        </is>
      </c>
      <c r="B951" s="75" t="n">
        <v>46176.99305555555</v>
      </c>
      <c r="C951" s="7" t="inlineStr">
        <is>
          <t>Sortie</t>
        </is>
      </c>
      <c r="D951" s="7" t="inlineStr">
        <is>
          <t>PD-0055</t>
        </is>
      </c>
      <c r="E951" s="9">
        <f>IF(D951="","",IFERROR(INDEX('Stock pièces'!$B$5:$B$404,MATCH(D951,'Stock pièces'!$A$5:$A$404,0)),"Réf. inconnue"))</f>
        <v/>
      </c>
      <c r="F951" s="67" t="n">
        <v>1</v>
      </c>
      <c r="G951" s="81">
        <f>IF(D951="","",IFERROR(INDEX('Stock pièces'!$I$5:$I$404,MATCH(D951,'Stock pièces'!$A$5:$A$404,0)),0))</f>
        <v/>
      </c>
      <c r="H951" s="81">
        <f>IF(D951="","",N(F951)*N(G951))</f>
        <v/>
      </c>
      <c r="I951" s="7" t="inlineStr">
        <is>
          <t>OT-2026-0338</t>
        </is>
      </c>
      <c r="J951" s="9">
        <f>IF(I951="","",IFERROR(INDEX('Ordres de travail'!$D$5:$D$3004,MATCH(I951,'Ordres de travail'!$A$5:$A$3004,0)),""))</f>
        <v/>
      </c>
      <c r="K951" s="9">
        <f>IF(D951="","",IFERROR(INDEX('Stock pièces'!$D$5:$D$404,MATCH(D951,'Stock pièces'!$A$5:$A$404,0)),""))</f>
        <v/>
      </c>
      <c r="L951" s="7" t="n"/>
      <c r="M951" s="7" t="n"/>
    </row>
    <row r="952">
      <c r="A952" s="7" t="inlineStr">
        <is>
          <t>MV-00948</t>
        </is>
      </c>
      <c r="B952" s="75" t="n">
        <v>46177.41666666666</v>
      </c>
      <c r="C952" s="7" t="inlineStr">
        <is>
          <t>Entrée</t>
        </is>
      </c>
      <c r="D952" s="7" t="inlineStr">
        <is>
          <t>PD-0059</t>
        </is>
      </c>
      <c r="E952" s="9">
        <f>IF(D952="","",IFERROR(INDEX('Stock pièces'!$B$5:$B$404,MATCH(D952,'Stock pièces'!$A$5:$A$404,0)),"Réf. inconnue"))</f>
        <v/>
      </c>
      <c r="F952" s="67" t="n">
        <v>4</v>
      </c>
      <c r="G952" s="81">
        <f>IF(D952="","",IFERROR(INDEX('Stock pièces'!$I$5:$I$404,MATCH(D952,'Stock pièces'!$A$5:$A$404,0)),0))</f>
        <v/>
      </c>
      <c r="H952" s="81">
        <f>IF(D952="","",N(F952)*N(G952))</f>
        <v/>
      </c>
      <c r="I952" s="7" t="n"/>
      <c r="J952" s="9">
        <f>IF(I952="","",IFERROR(INDEX('Ordres de travail'!$D$5:$D$3004,MATCH(I952,'Ordres de travail'!$A$5:$A$3004,0)),""))</f>
        <v/>
      </c>
      <c r="K952" s="9">
        <f>IF(D952="","",IFERROR(INDEX('Stock pièces'!$D$5:$D$404,MATCH(D952,'Stock pièces'!$A$5:$A$404,0)),""))</f>
        <v/>
      </c>
      <c r="L952" s="7" t="inlineStr">
        <is>
          <t>CMD-24260</t>
        </is>
      </c>
      <c r="M952" s="7" t="inlineStr">
        <is>
          <t>Réception commande réappro</t>
        </is>
      </c>
    </row>
    <row r="953">
      <c r="A953" s="7" t="inlineStr">
        <is>
          <t>MV-00949</t>
        </is>
      </c>
      <c r="B953" s="75" t="n">
        <v>46178.35138888889</v>
      </c>
      <c r="C953" s="7" t="inlineStr">
        <is>
          <t>Sortie</t>
        </is>
      </c>
      <c r="D953" s="7" t="inlineStr">
        <is>
          <t>PD-0056</t>
        </is>
      </c>
      <c r="E953" s="9">
        <f>IF(D953="","",IFERROR(INDEX('Stock pièces'!$B$5:$B$404,MATCH(D953,'Stock pièces'!$A$5:$A$404,0)),"Réf. inconnue"))</f>
        <v/>
      </c>
      <c r="F953" s="67" t="n">
        <v>1</v>
      </c>
      <c r="G953" s="81">
        <f>IF(D953="","",IFERROR(INDEX('Stock pièces'!$I$5:$I$404,MATCH(D953,'Stock pièces'!$A$5:$A$404,0)),0))</f>
        <v/>
      </c>
      <c r="H953" s="81">
        <f>IF(D953="","",N(F953)*N(G953))</f>
        <v/>
      </c>
      <c r="I953" s="7" t="inlineStr">
        <is>
          <t>OT-2026-0347</t>
        </is>
      </c>
      <c r="J953" s="9">
        <f>IF(I953="","",IFERROR(INDEX('Ordres de travail'!$D$5:$D$3004,MATCH(I953,'Ordres de travail'!$A$5:$A$3004,0)),""))</f>
        <v/>
      </c>
      <c r="K953" s="9">
        <f>IF(D953="","",IFERROR(INDEX('Stock pièces'!$D$5:$D$404,MATCH(D953,'Stock pièces'!$A$5:$A$404,0)),""))</f>
        <v/>
      </c>
      <c r="L953" s="7" t="n"/>
      <c r="M953" s="7" t="n"/>
    </row>
    <row r="954">
      <c r="A954" s="7" t="inlineStr">
        <is>
          <t>MV-00950</t>
        </is>
      </c>
      <c r="B954" s="75" t="n">
        <v>46178.35138888889</v>
      </c>
      <c r="C954" s="7" t="inlineStr">
        <is>
          <t>Sortie</t>
        </is>
      </c>
      <c r="D954" s="7" t="inlineStr">
        <is>
          <t>PD-0057</t>
        </is>
      </c>
      <c r="E954" s="9">
        <f>IF(D954="","",IFERROR(INDEX('Stock pièces'!$B$5:$B$404,MATCH(D954,'Stock pièces'!$A$5:$A$404,0)),"Réf. inconnue"))</f>
        <v/>
      </c>
      <c r="F954" s="67" t="n">
        <v>1</v>
      </c>
      <c r="G954" s="81">
        <f>IF(D954="","",IFERROR(INDEX('Stock pièces'!$I$5:$I$404,MATCH(D954,'Stock pièces'!$A$5:$A$404,0)),0))</f>
        <v/>
      </c>
      <c r="H954" s="81">
        <f>IF(D954="","",N(F954)*N(G954))</f>
        <v/>
      </c>
      <c r="I954" s="7" t="inlineStr">
        <is>
          <t>OT-2026-0347</t>
        </is>
      </c>
      <c r="J954" s="9">
        <f>IF(I954="","",IFERROR(INDEX('Ordres de travail'!$D$5:$D$3004,MATCH(I954,'Ordres de travail'!$A$5:$A$3004,0)),""))</f>
        <v/>
      </c>
      <c r="K954" s="9">
        <f>IF(D954="","",IFERROR(INDEX('Stock pièces'!$D$5:$D$404,MATCH(D954,'Stock pièces'!$A$5:$A$404,0)),""))</f>
        <v/>
      </c>
      <c r="L954" s="7" t="n"/>
      <c r="M954" s="7" t="n"/>
    </row>
    <row r="955">
      <c r="A955" s="7" t="inlineStr">
        <is>
          <t>MV-00951</t>
        </is>
      </c>
      <c r="B955" s="75" t="n">
        <v>46178.41666666666</v>
      </c>
      <c r="C955" s="7" t="inlineStr">
        <is>
          <t>Entrée</t>
        </is>
      </c>
      <c r="D955" s="7" t="inlineStr">
        <is>
          <t>PD-0020</t>
        </is>
      </c>
      <c r="E955" s="9">
        <f>IF(D955="","",IFERROR(INDEX('Stock pièces'!$B$5:$B$404,MATCH(D955,'Stock pièces'!$A$5:$A$404,0)),"Réf. inconnue"))</f>
        <v/>
      </c>
      <c r="F955" s="67" t="n">
        <v>8</v>
      </c>
      <c r="G955" s="81">
        <f>IF(D955="","",IFERROR(INDEX('Stock pièces'!$I$5:$I$404,MATCH(D955,'Stock pièces'!$A$5:$A$404,0)),0))</f>
        <v/>
      </c>
      <c r="H955" s="81">
        <f>IF(D955="","",N(F955)*N(G955))</f>
        <v/>
      </c>
      <c r="I955" s="7" t="n"/>
      <c r="J955" s="9">
        <f>IF(I955="","",IFERROR(INDEX('Ordres de travail'!$D$5:$D$3004,MATCH(I955,'Ordres de travail'!$A$5:$A$3004,0)),""))</f>
        <v/>
      </c>
      <c r="K955" s="9">
        <f>IF(D955="","",IFERROR(INDEX('Stock pièces'!$D$5:$D$404,MATCH(D955,'Stock pièces'!$A$5:$A$404,0)),""))</f>
        <v/>
      </c>
      <c r="L955" s="7" t="inlineStr">
        <is>
          <t>CMD-24268</t>
        </is>
      </c>
      <c r="M955" s="7" t="inlineStr">
        <is>
          <t>Réception commande réappro</t>
        </is>
      </c>
    </row>
    <row r="956">
      <c r="A956" s="7" t="inlineStr">
        <is>
          <t>MV-00952</t>
        </is>
      </c>
      <c r="B956" s="75" t="n">
        <v>46178.51180555556</v>
      </c>
      <c r="C956" s="7" t="inlineStr">
        <is>
          <t>Sortie</t>
        </is>
      </c>
      <c r="D956" s="7" t="inlineStr">
        <is>
          <t>PD-0005</t>
        </is>
      </c>
      <c r="E956" s="9">
        <f>IF(D956="","",IFERROR(INDEX('Stock pièces'!$B$5:$B$404,MATCH(D956,'Stock pièces'!$A$5:$A$404,0)),"Réf. inconnue"))</f>
        <v/>
      </c>
      <c r="F956" s="67" t="n">
        <v>1</v>
      </c>
      <c r="G956" s="81">
        <f>IF(D956="","",IFERROR(INDEX('Stock pièces'!$I$5:$I$404,MATCH(D956,'Stock pièces'!$A$5:$A$404,0)),0))</f>
        <v/>
      </c>
      <c r="H956" s="81">
        <f>IF(D956="","",N(F956)*N(G956))</f>
        <v/>
      </c>
      <c r="I956" s="7" t="inlineStr">
        <is>
          <t>OT-2026-0348</t>
        </is>
      </c>
      <c r="J956" s="9">
        <f>IF(I956="","",IFERROR(INDEX('Ordres de travail'!$D$5:$D$3004,MATCH(I956,'Ordres de travail'!$A$5:$A$3004,0)),""))</f>
        <v/>
      </c>
      <c r="K956" s="9">
        <f>IF(D956="","",IFERROR(INDEX('Stock pièces'!$D$5:$D$404,MATCH(D956,'Stock pièces'!$A$5:$A$404,0)),""))</f>
        <v/>
      </c>
      <c r="L956" s="7" t="n"/>
      <c r="M956" s="7" t="n"/>
    </row>
    <row r="957">
      <c r="A957" s="7" t="inlineStr">
        <is>
          <t>MV-00953</t>
        </is>
      </c>
      <c r="B957" s="75" t="n">
        <v>46181.41666666666</v>
      </c>
      <c r="C957" s="7" t="inlineStr">
        <is>
          <t>Entrée</t>
        </is>
      </c>
      <c r="D957" s="7" t="inlineStr">
        <is>
          <t>PD-0041</t>
        </is>
      </c>
      <c r="E957" s="9">
        <f>IF(D957="","",IFERROR(INDEX('Stock pièces'!$B$5:$B$404,MATCH(D957,'Stock pièces'!$A$5:$A$404,0)),"Réf. inconnue"))</f>
        <v/>
      </c>
      <c r="F957" s="67" t="n">
        <v>1</v>
      </c>
      <c r="G957" s="81">
        <f>IF(D957="","",IFERROR(INDEX('Stock pièces'!$I$5:$I$404,MATCH(D957,'Stock pièces'!$A$5:$A$404,0)),0))</f>
        <v/>
      </c>
      <c r="H957" s="81">
        <f>IF(D957="","",N(F957)*N(G957))</f>
        <v/>
      </c>
      <c r="I957" s="7" t="n"/>
      <c r="J957" s="9">
        <f>IF(I957="","",IFERROR(INDEX('Ordres de travail'!$D$5:$D$3004,MATCH(I957,'Ordres de travail'!$A$5:$A$3004,0)),""))</f>
        <v/>
      </c>
      <c r="K957" s="9">
        <f>IF(D957="","",IFERROR(INDEX('Stock pièces'!$D$5:$D$404,MATCH(D957,'Stock pièces'!$A$5:$A$404,0)),""))</f>
        <v/>
      </c>
      <c r="L957" s="7" t="inlineStr">
        <is>
          <t>CMD-24262</t>
        </is>
      </c>
      <c r="M957" s="7" t="inlineStr">
        <is>
          <t>Réception commande réappro</t>
        </is>
      </c>
    </row>
    <row r="958">
      <c r="A958" s="7" t="inlineStr">
        <is>
          <t>MV-00954</t>
        </is>
      </c>
      <c r="B958" s="75" t="n">
        <v>46181.41666666666</v>
      </c>
      <c r="C958" s="7" t="inlineStr">
        <is>
          <t>Entrée</t>
        </is>
      </c>
      <c r="D958" s="7" t="inlineStr">
        <is>
          <t>PD-0011</t>
        </is>
      </c>
      <c r="E958" s="9">
        <f>IF(D958="","",IFERROR(INDEX('Stock pièces'!$B$5:$B$404,MATCH(D958,'Stock pièces'!$A$5:$A$404,0)),"Réf. inconnue"))</f>
        <v/>
      </c>
      <c r="F958" s="67" t="n">
        <v>3</v>
      </c>
      <c r="G958" s="81">
        <f>IF(D958="","",IFERROR(INDEX('Stock pièces'!$I$5:$I$404,MATCH(D958,'Stock pièces'!$A$5:$A$404,0)),0))</f>
        <v/>
      </c>
      <c r="H958" s="81">
        <f>IF(D958="","",N(F958)*N(G958))</f>
        <v/>
      </c>
      <c r="I958" s="7" t="n"/>
      <c r="J958" s="9">
        <f>IF(I958="","",IFERROR(INDEX('Ordres de travail'!$D$5:$D$3004,MATCH(I958,'Ordres de travail'!$A$5:$A$3004,0)),""))</f>
        <v/>
      </c>
      <c r="K958" s="9">
        <f>IF(D958="","",IFERROR(INDEX('Stock pièces'!$D$5:$D$404,MATCH(D958,'Stock pièces'!$A$5:$A$404,0)),""))</f>
        <v/>
      </c>
      <c r="L958" s="7" t="inlineStr">
        <is>
          <t>CMD-24266</t>
        </is>
      </c>
      <c r="M958" s="7" t="inlineStr">
        <is>
          <t>Réception commande réappro</t>
        </is>
      </c>
    </row>
    <row r="959">
      <c r="A959" s="7" t="inlineStr">
        <is>
          <t>MV-00955</t>
        </is>
      </c>
      <c r="B959" s="75" t="n">
        <v>46181.41666666666</v>
      </c>
      <c r="C959" s="7" t="inlineStr">
        <is>
          <t>Entrée</t>
        </is>
      </c>
      <c r="D959" s="7" t="inlineStr">
        <is>
          <t>PD-0022</t>
        </is>
      </c>
      <c r="E959" s="9">
        <f>IF(D959="","",IFERROR(INDEX('Stock pièces'!$B$5:$B$404,MATCH(D959,'Stock pièces'!$A$5:$A$404,0)),"Réf. inconnue"))</f>
        <v/>
      </c>
      <c r="F959" s="67" t="n">
        <v>2</v>
      </c>
      <c r="G959" s="81">
        <f>IF(D959="","",IFERROR(INDEX('Stock pièces'!$I$5:$I$404,MATCH(D959,'Stock pièces'!$A$5:$A$404,0)),0))</f>
        <v/>
      </c>
      <c r="H959" s="81">
        <f>IF(D959="","",N(F959)*N(G959))</f>
        <v/>
      </c>
      <c r="I959" s="7" t="n"/>
      <c r="J959" s="9">
        <f>IF(I959="","",IFERROR(INDEX('Ordres de travail'!$D$5:$D$3004,MATCH(I959,'Ordres de travail'!$A$5:$A$3004,0)),""))</f>
        <v/>
      </c>
      <c r="K959" s="9">
        <f>IF(D959="","",IFERROR(INDEX('Stock pièces'!$D$5:$D$404,MATCH(D959,'Stock pièces'!$A$5:$A$404,0)),""))</f>
        <v/>
      </c>
      <c r="L959" s="7" t="inlineStr">
        <is>
          <t>CMD-24269</t>
        </is>
      </c>
      <c r="M959" s="7" t="inlineStr">
        <is>
          <t>Réception commande réappro</t>
        </is>
      </c>
    </row>
    <row r="960">
      <c r="A960" s="7" t="inlineStr">
        <is>
          <t>MV-00956</t>
        </is>
      </c>
      <c r="B960" s="75" t="n">
        <v>46181.56458333333</v>
      </c>
      <c r="C960" s="7" t="inlineStr">
        <is>
          <t>Sortie</t>
        </is>
      </c>
      <c r="D960" s="7" t="inlineStr">
        <is>
          <t>PD-0019</t>
        </is>
      </c>
      <c r="E960" s="9">
        <f>IF(D960="","",IFERROR(INDEX('Stock pièces'!$B$5:$B$404,MATCH(D960,'Stock pièces'!$A$5:$A$404,0)),"Réf. inconnue"))</f>
        <v/>
      </c>
      <c r="F960" s="67" t="n">
        <v>1</v>
      </c>
      <c r="G960" s="81">
        <f>IF(D960="","",IFERROR(INDEX('Stock pièces'!$I$5:$I$404,MATCH(D960,'Stock pièces'!$A$5:$A$404,0)),0))</f>
        <v/>
      </c>
      <c r="H960" s="81">
        <f>IF(D960="","",N(F960)*N(G960))</f>
        <v/>
      </c>
      <c r="I960" s="7" t="inlineStr">
        <is>
          <t>OT-2026-0339</t>
        </is>
      </c>
      <c r="J960" s="9">
        <f>IF(I960="","",IFERROR(INDEX('Ordres de travail'!$D$5:$D$3004,MATCH(I960,'Ordres de travail'!$A$5:$A$3004,0)),""))</f>
        <v/>
      </c>
      <c r="K960" s="9">
        <f>IF(D960="","",IFERROR(INDEX('Stock pièces'!$D$5:$D$404,MATCH(D960,'Stock pièces'!$A$5:$A$404,0)),""))</f>
        <v/>
      </c>
      <c r="L960" s="7" t="n"/>
      <c r="M960" s="7" t="n"/>
    </row>
    <row r="961">
      <c r="A961" s="7" t="inlineStr">
        <is>
          <t>MV-00957</t>
        </is>
      </c>
      <c r="B961" s="75" t="n">
        <v>46181.56458333333</v>
      </c>
      <c r="C961" s="7" t="inlineStr">
        <is>
          <t>Sortie</t>
        </is>
      </c>
      <c r="D961" s="7" t="inlineStr">
        <is>
          <t>PD-0020</t>
        </is>
      </c>
      <c r="E961" s="9">
        <f>IF(D961="","",IFERROR(INDEX('Stock pièces'!$B$5:$B$404,MATCH(D961,'Stock pièces'!$A$5:$A$404,0)),"Réf. inconnue"))</f>
        <v/>
      </c>
      <c r="F961" s="67" t="n">
        <v>1</v>
      </c>
      <c r="G961" s="81">
        <f>IF(D961="","",IFERROR(INDEX('Stock pièces'!$I$5:$I$404,MATCH(D961,'Stock pièces'!$A$5:$A$404,0)),0))</f>
        <v/>
      </c>
      <c r="H961" s="81">
        <f>IF(D961="","",N(F961)*N(G961))</f>
        <v/>
      </c>
      <c r="I961" s="7" t="inlineStr">
        <is>
          <t>OT-2026-0339</t>
        </is>
      </c>
      <c r="J961" s="9">
        <f>IF(I961="","",IFERROR(INDEX('Ordres de travail'!$D$5:$D$3004,MATCH(I961,'Ordres de travail'!$A$5:$A$3004,0)),""))</f>
        <v/>
      </c>
      <c r="K961" s="9">
        <f>IF(D961="","",IFERROR(INDEX('Stock pièces'!$D$5:$D$404,MATCH(D961,'Stock pièces'!$A$5:$A$404,0)),""))</f>
        <v/>
      </c>
      <c r="L961" s="7" t="n"/>
      <c r="M961" s="7" t="n"/>
    </row>
    <row r="962">
      <c r="A962" s="7" t="inlineStr">
        <is>
          <t>MV-00958</t>
        </is>
      </c>
      <c r="B962" s="75" t="n">
        <v>46183.41666666666</v>
      </c>
      <c r="C962" s="7" t="inlineStr">
        <is>
          <t>Entrée</t>
        </is>
      </c>
      <c r="D962" s="7" t="inlineStr">
        <is>
          <t>PD-0070</t>
        </is>
      </c>
      <c r="E962" s="9">
        <f>IF(D962="","",IFERROR(INDEX('Stock pièces'!$B$5:$B$404,MATCH(D962,'Stock pièces'!$A$5:$A$404,0)),"Réf. inconnue"))</f>
        <v/>
      </c>
      <c r="F962" s="67" t="n">
        <v>1</v>
      </c>
      <c r="G962" s="81">
        <f>IF(D962="","",IFERROR(INDEX('Stock pièces'!$I$5:$I$404,MATCH(D962,'Stock pièces'!$A$5:$A$404,0)),0))</f>
        <v/>
      </c>
      <c r="H962" s="81">
        <f>IF(D962="","",N(F962)*N(G962))</f>
        <v/>
      </c>
      <c r="I962" s="7" t="n"/>
      <c r="J962" s="9">
        <f>IF(I962="","",IFERROR(INDEX('Ordres de travail'!$D$5:$D$3004,MATCH(I962,'Ordres de travail'!$A$5:$A$3004,0)),""))</f>
        <v/>
      </c>
      <c r="K962" s="9">
        <f>IF(D962="","",IFERROR(INDEX('Stock pièces'!$D$5:$D$404,MATCH(D962,'Stock pièces'!$A$5:$A$404,0)),""))</f>
        <v/>
      </c>
      <c r="L962" s="7" t="inlineStr">
        <is>
          <t>CMD-24261</t>
        </is>
      </c>
      <c r="M962" s="7" t="inlineStr">
        <is>
          <t>Réception commande réappro</t>
        </is>
      </c>
    </row>
    <row r="963">
      <c r="A963" s="7" t="inlineStr">
        <is>
          <t>MV-00959</t>
        </is>
      </c>
      <c r="B963" s="75" t="n">
        <v>46183.41666666666</v>
      </c>
      <c r="C963" s="7" t="inlineStr">
        <is>
          <t>Entrée</t>
        </is>
      </c>
      <c r="D963" s="7" t="inlineStr">
        <is>
          <t>PD-0030</t>
        </is>
      </c>
      <c r="E963" s="9">
        <f>IF(D963="","",IFERROR(INDEX('Stock pièces'!$B$5:$B$404,MATCH(D963,'Stock pièces'!$A$5:$A$404,0)),"Réf. inconnue"))</f>
        <v/>
      </c>
      <c r="F963" s="67" t="n">
        <v>1</v>
      </c>
      <c r="G963" s="81">
        <f>IF(D963="","",IFERROR(INDEX('Stock pièces'!$I$5:$I$404,MATCH(D963,'Stock pièces'!$A$5:$A$404,0)),0))</f>
        <v/>
      </c>
      <c r="H963" s="81">
        <f>IF(D963="","",N(F963)*N(G963))</f>
        <v/>
      </c>
      <c r="I963" s="7" t="n"/>
      <c r="J963" s="9">
        <f>IF(I963="","",IFERROR(INDEX('Ordres de travail'!$D$5:$D$3004,MATCH(I963,'Ordres de travail'!$A$5:$A$3004,0)),""))</f>
        <v/>
      </c>
      <c r="K963" s="9">
        <f>IF(D963="","",IFERROR(INDEX('Stock pièces'!$D$5:$D$404,MATCH(D963,'Stock pièces'!$A$5:$A$404,0)),""))</f>
        <v/>
      </c>
      <c r="L963" s="7" t="inlineStr">
        <is>
          <t>CMD-24270</t>
        </is>
      </c>
      <c r="M963" s="7" t="inlineStr">
        <is>
          <t>Réception commande réappro</t>
        </is>
      </c>
    </row>
    <row r="964">
      <c r="A964" s="7" t="inlineStr">
        <is>
          <t>MV-00960</t>
        </is>
      </c>
      <c r="B964" s="75" t="n">
        <v>46183.41666666666</v>
      </c>
      <c r="C964" s="7" t="inlineStr">
        <is>
          <t>Entrée</t>
        </is>
      </c>
      <c r="D964" s="7" t="inlineStr">
        <is>
          <t>PD-0054</t>
        </is>
      </c>
      <c r="E964" s="9">
        <f>IF(D964="","",IFERROR(INDEX('Stock pièces'!$B$5:$B$404,MATCH(D964,'Stock pièces'!$A$5:$A$404,0)),"Réf. inconnue"))</f>
        <v/>
      </c>
      <c r="F964" s="67" t="n">
        <v>3</v>
      </c>
      <c r="G964" s="81">
        <f>IF(D964="","",IFERROR(INDEX('Stock pièces'!$I$5:$I$404,MATCH(D964,'Stock pièces'!$A$5:$A$404,0)),0))</f>
        <v/>
      </c>
      <c r="H964" s="81">
        <f>IF(D964="","",N(F964)*N(G964))</f>
        <v/>
      </c>
      <c r="I964" s="7" t="n"/>
      <c r="J964" s="9">
        <f>IF(I964="","",IFERROR(INDEX('Ordres de travail'!$D$5:$D$3004,MATCH(I964,'Ordres de travail'!$A$5:$A$3004,0)),""))</f>
        <v/>
      </c>
      <c r="K964" s="9">
        <f>IF(D964="","",IFERROR(INDEX('Stock pièces'!$D$5:$D$404,MATCH(D964,'Stock pièces'!$A$5:$A$404,0)),""))</f>
        <v/>
      </c>
      <c r="L964" s="7" t="inlineStr">
        <is>
          <t>CMD-24271</t>
        </is>
      </c>
      <c r="M964" s="7" t="inlineStr">
        <is>
          <t>Réception commande réappro</t>
        </is>
      </c>
    </row>
    <row r="965">
      <c r="A965" s="7" t="inlineStr">
        <is>
          <t>MV-00961</t>
        </is>
      </c>
      <c r="B965" s="75" t="n">
        <v>46183.55555555555</v>
      </c>
      <c r="C965" s="7" t="inlineStr">
        <is>
          <t>Sortie</t>
        </is>
      </c>
      <c r="D965" s="7" t="inlineStr">
        <is>
          <t>PD-0017</t>
        </is>
      </c>
      <c r="E965" s="9">
        <f>IF(D965="","",IFERROR(INDEX('Stock pièces'!$B$5:$B$404,MATCH(D965,'Stock pièces'!$A$5:$A$404,0)),"Réf. inconnue"))</f>
        <v/>
      </c>
      <c r="F965" s="67" t="n">
        <v>1</v>
      </c>
      <c r="G965" s="81">
        <f>IF(D965="","",IFERROR(INDEX('Stock pièces'!$I$5:$I$404,MATCH(D965,'Stock pièces'!$A$5:$A$404,0)),0))</f>
        <v/>
      </c>
      <c r="H965" s="81">
        <f>IF(D965="","",N(F965)*N(G965))</f>
        <v/>
      </c>
      <c r="I965" s="7" t="inlineStr">
        <is>
          <t>OT-2026-0343</t>
        </is>
      </c>
      <c r="J965" s="9">
        <f>IF(I965="","",IFERROR(INDEX('Ordres de travail'!$D$5:$D$3004,MATCH(I965,'Ordres de travail'!$A$5:$A$3004,0)),""))</f>
        <v/>
      </c>
      <c r="K965" s="9">
        <f>IF(D965="","",IFERROR(INDEX('Stock pièces'!$D$5:$D$404,MATCH(D965,'Stock pièces'!$A$5:$A$404,0)),""))</f>
        <v/>
      </c>
      <c r="L965" s="7" t="n"/>
      <c r="M965" s="7" t="n"/>
    </row>
    <row r="966">
      <c r="A966" s="7" t="inlineStr">
        <is>
          <t>MV-00962</t>
        </is>
      </c>
      <c r="B966" s="75" t="n">
        <v>46184.41666666666</v>
      </c>
      <c r="C966" s="7" t="inlineStr">
        <is>
          <t>Entrée</t>
        </is>
      </c>
      <c r="D966" s="7" t="inlineStr">
        <is>
          <t>PD-0056</t>
        </is>
      </c>
      <c r="E966" s="9">
        <f>IF(D966="","",IFERROR(INDEX('Stock pièces'!$B$5:$B$404,MATCH(D966,'Stock pièces'!$A$5:$A$404,0)),"Réf. inconnue"))</f>
        <v/>
      </c>
      <c r="F966" s="67" t="n">
        <v>1</v>
      </c>
      <c r="G966" s="81">
        <f>IF(D966="","",IFERROR(INDEX('Stock pièces'!$I$5:$I$404,MATCH(D966,'Stock pièces'!$A$5:$A$404,0)),0))</f>
        <v/>
      </c>
      <c r="H966" s="81">
        <f>IF(D966="","",N(F966)*N(G966))</f>
        <v/>
      </c>
      <c r="I966" s="7" t="n"/>
      <c r="J966" s="9">
        <f>IF(I966="","",IFERROR(INDEX('Ordres de travail'!$D$5:$D$3004,MATCH(I966,'Ordres de travail'!$A$5:$A$3004,0)),""))</f>
        <v/>
      </c>
      <c r="K966" s="9">
        <f>IF(D966="","",IFERROR(INDEX('Stock pièces'!$D$5:$D$404,MATCH(D966,'Stock pièces'!$A$5:$A$404,0)),""))</f>
        <v/>
      </c>
      <c r="L966" s="7" t="inlineStr">
        <is>
          <t>CMD-24267</t>
        </is>
      </c>
      <c r="M966" s="7" t="inlineStr">
        <is>
          <t>Réception commande réappro</t>
        </is>
      </c>
    </row>
    <row r="967">
      <c r="A967" s="7" t="inlineStr">
        <is>
          <t>MV-00963</t>
        </is>
      </c>
      <c r="B967" s="75" t="n">
        <v>46188.41666666666</v>
      </c>
      <c r="C967" s="7" t="inlineStr">
        <is>
          <t>Entrée</t>
        </is>
      </c>
      <c r="D967" s="7" t="inlineStr">
        <is>
          <t>PD-0065</t>
        </is>
      </c>
      <c r="E967" s="9">
        <f>IF(D967="","",IFERROR(INDEX('Stock pièces'!$B$5:$B$404,MATCH(D967,'Stock pièces'!$A$5:$A$404,0)),"Réf. inconnue"))</f>
        <v/>
      </c>
      <c r="F967" s="67" t="n">
        <v>1</v>
      </c>
      <c r="G967" s="81">
        <f>IF(D967="","",IFERROR(INDEX('Stock pièces'!$I$5:$I$404,MATCH(D967,'Stock pièces'!$A$5:$A$404,0)),0))</f>
        <v/>
      </c>
      <c r="H967" s="81">
        <f>IF(D967="","",N(F967)*N(G967))</f>
        <v/>
      </c>
      <c r="I967" s="7" t="n"/>
      <c r="J967" s="9">
        <f>IF(I967="","",IFERROR(INDEX('Ordres de travail'!$D$5:$D$3004,MATCH(I967,'Ordres de travail'!$A$5:$A$3004,0)),""))</f>
        <v/>
      </c>
      <c r="K967" s="9">
        <f>IF(D967="","",IFERROR(INDEX('Stock pièces'!$D$5:$D$404,MATCH(D967,'Stock pièces'!$A$5:$A$404,0)),""))</f>
        <v/>
      </c>
      <c r="L967" s="7" t="inlineStr">
        <is>
          <t>CMD-24265</t>
        </is>
      </c>
      <c r="M967" s="7" t="inlineStr">
        <is>
          <t>Réception commande réappro</t>
        </is>
      </c>
    </row>
    <row r="968">
      <c r="A968" s="7" t="inlineStr">
        <is>
          <t>MV-00964</t>
        </is>
      </c>
      <c r="B968" s="75" t="n">
        <v>46188.51388888889</v>
      </c>
      <c r="C968" s="7" t="inlineStr">
        <is>
          <t>Sortie</t>
        </is>
      </c>
      <c r="D968" s="7" t="inlineStr">
        <is>
          <t>PD-0025</t>
        </is>
      </c>
      <c r="E968" s="9">
        <f>IF(D968="","",IFERROR(INDEX('Stock pièces'!$B$5:$B$404,MATCH(D968,'Stock pièces'!$A$5:$A$404,0)),"Réf. inconnue"))</f>
        <v/>
      </c>
      <c r="F968" s="67" t="n">
        <v>1</v>
      </c>
      <c r="G968" s="81">
        <f>IF(D968="","",IFERROR(INDEX('Stock pièces'!$I$5:$I$404,MATCH(D968,'Stock pièces'!$A$5:$A$404,0)),0))</f>
        <v/>
      </c>
      <c r="H968" s="81">
        <f>IF(D968="","",N(F968)*N(G968))</f>
        <v/>
      </c>
      <c r="I968" s="7" t="inlineStr">
        <is>
          <t>OT-2026-0353</t>
        </is>
      </c>
      <c r="J968" s="9">
        <f>IF(I968="","",IFERROR(INDEX('Ordres de travail'!$D$5:$D$3004,MATCH(I968,'Ordres de travail'!$A$5:$A$3004,0)),""))</f>
        <v/>
      </c>
      <c r="K968" s="9">
        <f>IF(D968="","",IFERROR(INDEX('Stock pièces'!$D$5:$D$404,MATCH(D968,'Stock pièces'!$A$5:$A$404,0)),""))</f>
        <v/>
      </c>
      <c r="L968" s="7" t="n"/>
      <c r="M968" s="7" t="n"/>
    </row>
    <row r="969">
      <c r="A969" s="7" t="inlineStr">
        <is>
          <t>MV-00965</t>
        </is>
      </c>
      <c r="B969" s="75" t="n">
        <v>46189.48611111111</v>
      </c>
      <c r="C969" s="7" t="inlineStr">
        <is>
          <t>Sortie</t>
        </is>
      </c>
      <c r="D969" s="7" t="inlineStr">
        <is>
          <t>PD-0027</t>
        </is>
      </c>
      <c r="E969" s="9">
        <f>IF(D969="","",IFERROR(INDEX('Stock pièces'!$B$5:$B$404,MATCH(D969,'Stock pièces'!$A$5:$A$404,0)),"Réf. inconnue"))</f>
        <v/>
      </c>
      <c r="F969" s="67" t="n">
        <v>1</v>
      </c>
      <c r="G969" s="81">
        <f>IF(D969="","",IFERROR(INDEX('Stock pièces'!$I$5:$I$404,MATCH(D969,'Stock pièces'!$A$5:$A$404,0)),0))</f>
        <v/>
      </c>
      <c r="H969" s="81">
        <f>IF(D969="","",N(F969)*N(G969))</f>
        <v/>
      </c>
      <c r="I969" s="7" t="inlineStr">
        <is>
          <t>OT-2026-0356</t>
        </is>
      </c>
      <c r="J969" s="9">
        <f>IF(I969="","",IFERROR(INDEX('Ordres de travail'!$D$5:$D$3004,MATCH(I969,'Ordres de travail'!$A$5:$A$3004,0)),""))</f>
        <v/>
      </c>
      <c r="K969" s="9">
        <f>IF(D969="","",IFERROR(INDEX('Stock pièces'!$D$5:$D$404,MATCH(D969,'Stock pièces'!$A$5:$A$404,0)),""))</f>
        <v/>
      </c>
      <c r="L969" s="7" t="n"/>
      <c r="M969" s="7" t="n"/>
    </row>
    <row r="970">
      <c r="A970" s="7" t="inlineStr">
        <is>
          <t>MV-00966</t>
        </is>
      </c>
      <c r="B970" s="75" t="n">
        <v>46189.58333333334</v>
      </c>
      <c r="C970" s="7" t="inlineStr">
        <is>
          <t>Sortie</t>
        </is>
      </c>
      <c r="D970" s="7" t="inlineStr">
        <is>
          <t>PD-0017</t>
        </is>
      </c>
      <c r="E970" s="9">
        <f>IF(D970="","",IFERROR(INDEX('Stock pièces'!$B$5:$B$404,MATCH(D970,'Stock pièces'!$A$5:$A$404,0)),"Réf. inconnue"))</f>
        <v/>
      </c>
      <c r="F970" s="67" t="n">
        <v>1</v>
      </c>
      <c r="G970" s="81">
        <f>IF(D970="","",IFERROR(INDEX('Stock pièces'!$I$5:$I$404,MATCH(D970,'Stock pièces'!$A$5:$A$404,0)),0))</f>
        <v/>
      </c>
      <c r="H970" s="81">
        <f>IF(D970="","",N(F970)*N(G970))</f>
        <v/>
      </c>
      <c r="I970" s="7" t="inlineStr">
        <is>
          <t>OT-2026-0354</t>
        </is>
      </c>
      <c r="J970" s="9">
        <f>IF(I970="","",IFERROR(INDEX('Ordres de travail'!$D$5:$D$3004,MATCH(I970,'Ordres de travail'!$A$5:$A$3004,0)),""))</f>
        <v/>
      </c>
      <c r="K970" s="9">
        <f>IF(D970="","",IFERROR(INDEX('Stock pièces'!$D$5:$D$404,MATCH(D970,'Stock pièces'!$A$5:$A$404,0)),""))</f>
        <v/>
      </c>
      <c r="L970" s="7" t="n"/>
      <c r="M970" s="7" t="n"/>
    </row>
    <row r="971">
      <c r="A971" s="7" t="inlineStr">
        <is>
          <t>MV-00967</t>
        </is>
      </c>
      <c r="B971" s="75" t="n">
        <v>46190.2375</v>
      </c>
      <c r="C971" s="7" t="inlineStr">
        <is>
          <t>Sortie</t>
        </is>
      </c>
      <c r="D971" s="7" t="inlineStr">
        <is>
          <t>PD-0042</t>
        </is>
      </c>
      <c r="E971" s="9">
        <f>IF(D971="","",IFERROR(INDEX('Stock pièces'!$B$5:$B$404,MATCH(D971,'Stock pièces'!$A$5:$A$404,0)),"Réf. inconnue"))</f>
        <v/>
      </c>
      <c r="F971" s="67" t="n">
        <v>1</v>
      </c>
      <c r="G971" s="81">
        <f>IF(D971="","",IFERROR(INDEX('Stock pièces'!$I$5:$I$404,MATCH(D971,'Stock pièces'!$A$5:$A$404,0)),0))</f>
        <v/>
      </c>
      <c r="H971" s="81">
        <f>IF(D971="","",N(F971)*N(G971))</f>
        <v/>
      </c>
      <c r="I971" s="7" t="inlineStr">
        <is>
          <t>OT-2026-0378</t>
        </is>
      </c>
      <c r="J971" s="9">
        <f>IF(I971="","",IFERROR(INDEX('Ordres de travail'!$D$5:$D$3004,MATCH(I971,'Ordres de travail'!$A$5:$A$3004,0)),""))</f>
        <v/>
      </c>
      <c r="K971" s="9">
        <f>IF(D971="","",IFERROR(INDEX('Stock pièces'!$D$5:$D$404,MATCH(D971,'Stock pièces'!$A$5:$A$404,0)),""))</f>
        <v/>
      </c>
      <c r="L971" s="7" t="n"/>
      <c r="M971" s="7" t="n"/>
    </row>
    <row r="972">
      <c r="A972" s="7" t="inlineStr">
        <is>
          <t>MV-00968</t>
        </is>
      </c>
      <c r="B972" s="75" t="n">
        <v>46191.375</v>
      </c>
      <c r="C972" s="7" t="inlineStr">
        <is>
          <t>Sortie</t>
        </is>
      </c>
      <c r="D972" s="7" t="inlineStr">
        <is>
          <t>PD-0062</t>
        </is>
      </c>
      <c r="E972" s="9">
        <f>IF(D972="","",IFERROR(INDEX('Stock pièces'!$B$5:$B$404,MATCH(D972,'Stock pièces'!$A$5:$A$404,0)),"Réf. inconnue"))</f>
        <v/>
      </c>
      <c r="F972" s="67" t="n">
        <v>1</v>
      </c>
      <c r="G972" s="81">
        <f>IF(D972="","",IFERROR(INDEX('Stock pièces'!$I$5:$I$404,MATCH(D972,'Stock pièces'!$A$5:$A$404,0)),0))</f>
        <v/>
      </c>
      <c r="H972" s="81">
        <f>IF(D972="","",N(F972)*N(G972))</f>
        <v/>
      </c>
      <c r="I972" s="7" t="inlineStr">
        <is>
          <t>OT-2026-0360</t>
        </is>
      </c>
      <c r="J972" s="9">
        <f>IF(I972="","",IFERROR(INDEX('Ordres de travail'!$D$5:$D$3004,MATCH(I972,'Ordres de travail'!$A$5:$A$3004,0)),""))</f>
        <v/>
      </c>
      <c r="K972" s="9">
        <f>IF(D972="","",IFERROR(INDEX('Stock pièces'!$D$5:$D$404,MATCH(D972,'Stock pièces'!$A$5:$A$404,0)),""))</f>
        <v/>
      </c>
      <c r="L972" s="7" t="n"/>
      <c r="M972" s="7" t="n"/>
    </row>
    <row r="973">
      <c r="A973" s="7" t="inlineStr">
        <is>
          <t>MV-00969</t>
        </is>
      </c>
      <c r="B973" s="75" t="n">
        <v>46191.56944444445</v>
      </c>
      <c r="C973" s="7" t="inlineStr">
        <is>
          <t>Sortie</t>
        </is>
      </c>
      <c r="D973" s="7" t="inlineStr">
        <is>
          <t>PD-0062</t>
        </is>
      </c>
      <c r="E973" s="9">
        <f>IF(D973="","",IFERROR(INDEX('Stock pièces'!$B$5:$B$404,MATCH(D973,'Stock pièces'!$A$5:$A$404,0)),"Réf. inconnue"))</f>
        <v/>
      </c>
      <c r="F973" s="67" t="n">
        <v>1</v>
      </c>
      <c r="G973" s="81">
        <f>IF(D973="","",IFERROR(INDEX('Stock pièces'!$I$5:$I$404,MATCH(D973,'Stock pièces'!$A$5:$A$404,0)),0))</f>
        <v/>
      </c>
      <c r="H973" s="81">
        <f>IF(D973="","",N(F973)*N(G973))</f>
        <v/>
      </c>
      <c r="I973" s="7" t="inlineStr">
        <is>
          <t>OT-2026-0361</t>
        </is>
      </c>
      <c r="J973" s="9">
        <f>IF(I973="","",IFERROR(INDEX('Ordres de travail'!$D$5:$D$3004,MATCH(I973,'Ordres de travail'!$A$5:$A$3004,0)),""))</f>
        <v/>
      </c>
      <c r="K973" s="9">
        <f>IF(D973="","",IFERROR(INDEX('Stock pièces'!$D$5:$D$404,MATCH(D973,'Stock pièces'!$A$5:$A$404,0)),""))</f>
        <v/>
      </c>
      <c r="L973" s="7" t="n"/>
      <c r="M973" s="7" t="n"/>
    </row>
    <row r="974">
      <c r="A974" s="7" t="inlineStr">
        <is>
          <t>MV-00970</t>
        </is>
      </c>
      <c r="B974" s="75" t="n">
        <v>46192.42152777778</v>
      </c>
      <c r="C974" s="7" t="inlineStr">
        <is>
          <t>Sortie</t>
        </is>
      </c>
      <c r="D974" s="7" t="inlineStr">
        <is>
          <t>PD-0069</t>
        </is>
      </c>
      <c r="E974" s="9">
        <f>IF(D974="","",IFERROR(INDEX('Stock pièces'!$B$5:$B$404,MATCH(D974,'Stock pièces'!$A$5:$A$404,0)),"Réf. inconnue"))</f>
        <v/>
      </c>
      <c r="F974" s="67" t="n">
        <v>1</v>
      </c>
      <c r="G974" s="81">
        <f>IF(D974="","",IFERROR(INDEX('Stock pièces'!$I$5:$I$404,MATCH(D974,'Stock pièces'!$A$5:$A$404,0)),0))</f>
        <v/>
      </c>
      <c r="H974" s="81">
        <f>IF(D974="","",N(F974)*N(G974))</f>
        <v/>
      </c>
      <c r="I974" s="7" t="inlineStr">
        <is>
          <t>OT-2026-0382</t>
        </is>
      </c>
      <c r="J974" s="9">
        <f>IF(I974="","",IFERROR(INDEX('Ordres de travail'!$D$5:$D$3004,MATCH(I974,'Ordres de travail'!$A$5:$A$3004,0)),""))</f>
        <v/>
      </c>
      <c r="K974" s="9">
        <f>IF(D974="","",IFERROR(INDEX('Stock pièces'!$D$5:$D$404,MATCH(D974,'Stock pièces'!$A$5:$A$404,0)),""))</f>
        <v/>
      </c>
      <c r="L974" s="7" t="n"/>
      <c r="M974" s="7" t="n"/>
    </row>
    <row r="975">
      <c r="A975" s="7" t="inlineStr">
        <is>
          <t>MV-00971</t>
        </is>
      </c>
      <c r="B975" s="75" t="n">
        <v>46192.50694444445</v>
      </c>
      <c r="C975" s="7" t="inlineStr">
        <is>
          <t>Sortie</t>
        </is>
      </c>
      <c r="D975" s="7" t="inlineStr">
        <is>
          <t>PD-0044</t>
        </is>
      </c>
      <c r="E975" s="9">
        <f>IF(D975="","",IFERROR(INDEX('Stock pièces'!$B$5:$B$404,MATCH(D975,'Stock pièces'!$A$5:$A$404,0)),"Réf. inconnue"))</f>
        <v/>
      </c>
      <c r="F975" s="67" t="n">
        <v>1</v>
      </c>
      <c r="G975" s="81">
        <f>IF(D975="","",IFERROR(INDEX('Stock pièces'!$I$5:$I$404,MATCH(D975,'Stock pièces'!$A$5:$A$404,0)),0))</f>
        <v/>
      </c>
      <c r="H975" s="81">
        <f>IF(D975="","",N(F975)*N(G975))</f>
        <v/>
      </c>
      <c r="I975" s="7" t="inlineStr">
        <is>
          <t>OT-2026-0365</t>
        </is>
      </c>
      <c r="J975" s="9">
        <f>IF(I975="","",IFERROR(INDEX('Ordres de travail'!$D$5:$D$3004,MATCH(I975,'Ordres de travail'!$A$5:$A$3004,0)),""))</f>
        <v/>
      </c>
      <c r="K975" s="9">
        <f>IF(D975="","",IFERROR(INDEX('Stock pièces'!$D$5:$D$404,MATCH(D975,'Stock pièces'!$A$5:$A$404,0)),""))</f>
        <v/>
      </c>
      <c r="L975" s="7" t="n"/>
      <c r="M975" s="7" t="n"/>
    </row>
    <row r="976">
      <c r="A976" s="7" t="inlineStr">
        <is>
          <t>MV-00972</t>
        </is>
      </c>
      <c r="B976" s="75" t="n">
        <v>46195.34722222222</v>
      </c>
      <c r="C976" s="7" t="inlineStr">
        <is>
          <t>Sortie</t>
        </is>
      </c>
      <c r="D976" s="7" t="inlineStr">
        <is>
          <t>PD-0017</t>
        </is>
      </c>
      <c r="E976" s="9">
        <f>IF(D976="","",IFERROR(INDEX('Stock pièces'!$B$5:$B$404,MATCH(D976,'Stock pièces'!$A$5:$A$404,0)),"Réf. inconnue"))</f>
        <v/>
      </c>
      <c r="F976" s="67" t="n">
        <v>1</v>
      </c>
      <c r="G976" s="81">
        <f>IF(D976="","",IFERROR(INDEX('Stock pièces'!$I$5:$I$404,MATCH(D976,'Stock pièces'!$A$5:$A$404,0)),0))</f>
        <v/>
      </c>
      <c r="H976" s="81">
        <f>IF(D976="","",N(F976)*N(G976))</f>
        <v/>
      </c>
      <c r="I976" s="7" t="inlineStr">
        <is>
          <t>OT-2026-0367</t>
        </is>
      </c>
      <c r="J976" s="9">
        <f>IF(I976="","",IFERROR(INDEX('Ordres de travail'!$D$5:$D$3004,MATCH(I976,'Ordres de travail'!$A$5:$A$3004,0)),""))</f>
        <v/>
      </c>
      <c r="K976" s="9">
        <f>IF(D976="","",IFERROR(INDEX('Stock pièces'!$D$5:$D$404,MATCH(D976,'Stock pièces'!$A$5:$A$404,0)),""))</f>
        <v/>
      </c>
      <c r="L976" s="7" t="n"/>
      <c r="M976" s="7" t="n"/>
    </row>
    <row r="977">
      <c r="A977" s="7" t="inlineStr">
        <is>
          <t>MV-00973</t>
        </is>
      </c>
      <c r="B977" s="75" t="n">
        <v>46195.36111111111</v>
      </c>
      <c r="C977" s="7" t="inlineStr">
        <is>
          <t>Sortie</t>
        </is>
      </c>
      <c r="D977" s="7" t="inlineStr">
        <is>
          <t>PD-0015</t>
        </is>
      </c>
      <c r="E977" s="9">
        <f>IF(D977="","",IFERROR(INDEX('Stock pièces'!$B$5:$B$404,MATCH(D977,'Stock pièces'!$A$5:$A$404,0)),"Réf. inconnue"))</f>
        <v/>
      </c>
      <c r="F977" s="67" t="n">
        <v>1</v>
      </c>
      <c r="G977" s="81">
        <f>IF(D977="","",IFERROR(INDEX('Stock pièces'!$I$5:$I$404,MATCH(D977,'Stock pièces'!$A$5:$A$404,0)),0))</f>
        <v/>
      </c>
      <c r="H977" s="81">
        <f>IF(D977="","",N(F977)*N(G977))</f>
        <v/>
      </c>
      <c r="I977" s="7" t="inlineStr">
        <is>
          <t>OT-2026-0368</t>
        </is>
      </c>
      <c r="J977" s="9">
        <f>IF(I977="","",IFERROR(INDEX('Ordres de travail'!$D$5:$D$3004,MATCH(I977,'Ordres de travail'!$A$5:$A$3004,0)),""))</f>
        <v/>
      </c>
      <c r="K977" s="9">
        <f>IF(D977="","",IFERROR(INDEX('Stock pièces'!$D$5:$D$404,MATCH(D977,'Stock pièces'!$A$5:$A$404,0)),""))</f>
        <v/>
      </c>
      <c r="L977" s="7" t="n"/>
      <c r="M977" s="7" t="n"/>
    </row>
    <row r="978">
      <c r="A978" s="7" t="inlineStr">
        <is>
          <t>MV-00974</t>
        </is>
      </c>
      <c r="B978" s="75" t="n">
        <v>46195.36111111111</v>
      </c>
      <c r="C978" s="7" t="inlineStr">
        <is>
          <t>Sortie</t>
        </is>
      </c>
      <c r="D978" s="7" t="inlineStr">
        <is>
          <t>PD-0022</t>
        </is>
      </c>
      <c r="E978" s="9">
        <f>IF(D978="","",IFERROR(INDEX('Stock pièces'!$B$5:$B$404,MATCH(D978,'Stock pièces'!$A$5:$A$404,0)),"Réf. inconnue"))</f>
        <v/>
      </c>
      <c r="F978" s="67" t="n">
        <v>1</v>
      </c>
      <c r="G978" s="81">
        <f>IF(D978="","",IFERROR(INDEX('Stock pièces'!$I$5:$I$404,MATCH(D978,'Stock pièces'!$A$5:$A$404,0)),0))</f>
        <v/>
      </c>
      <c r="H978" s="81">
        <f>IF(D978="","",N(F978)*N(G978))</f>
        <v/>
      </c>
      <c r="I978" s="7" t="inlineStr">
        <is>
          <t>OT-2026-0368</t>
        </is>
      </c>
      <c r="J978" s="9">
        <f>IF(I978="","",IFERROR(INDEX('Ordres de travail'!$D$5:$D$3004,MATCH(I978,'Ordres de travail'!$A$5:$A$3004,0)),""))</f>
        <v/>
      </c>
      <c r="K978" s="9">
        <f>IF(D978="","",IFERROR(INDEX('Stock pièces'!$D$5:$D$404,MATCH(D978,'Stock pièces'!$A$5:$A$404,0)),""))</f>
        <v/>
      </c>
      <c r="L978" s="7" t="n"/>
      <c r="M978" s="7" t="n"/>
    </row>
    <row r="979">
      <c r="A979" s="7" t="inlineStr">
        <is>
          <t>MV-00975</t>
        </is>
      </c>
      <c r="B979" s="75" t="n">
        <v>46195.40972222222</v>
      </c>
      <c r="C979" s="7" t="inlineStr">
        <is>
          <t>Sortie</t>
        </is>
      </c>
      <c r="D979" s="7" t="inlineStr">
        <is>
          <t>PD-0021</t>
        </is>
      </c>
      <c r="E979" s="9">
        <f>IF(D979="","",IFERROR(INDEX('Stock pièces'!$B$5:$B$404,MATCH(D979,'Stock pièces'!$A$5:$A$404,0)),"Réf. inconnue"))</f>
        <v/>
      </c>
      <c r="F979" s="67" t="n">
        <v>1</v>
      </c>
      <c r="G979" s="81">
        <f>IF(D979="","",IFERROR(INDEX('Stock pièces'!$I$5:$I$404,MATCH(D979,'Stock pièces'!$A$5:$A$404,0)),0))</f>
        <v/>
      </c>
      <c r="H979" s="81">
        <f>IF(D979="","",N(F979)*N(G979))</f>
        <v/>
      </c>
      <c r="I979" s="7" t="inlineStr">
        <is>
          <t>OT-2026-0372</t>
        </is>
      </c>
      <c r="J979" s="9">
        <f>IF(I979="","",IFERROR(INDEX('Ordres de travail'!$D$5:$D$3004,MATCH(I979,'Ordres de travail'!$A$5:$A$3004,0)),""))</f>
        <v/>
      </c>
      <c r="K979" s="9">
        <f>IF(D979="","",IFERROR(INDEX('Stock pièces'!$D$5:$D$404,MATCH(D979,'Stock pièces'!$A$5:$A$404,0)),""))</f>
        <v/>
      </c>
      <c r="L979" s="7" t="n"/>
      <c r="M979" s="7" t="n"/>
    </row>
    <row r="980">
      <c r="A980" s="7" t="inlineStr">
        <is>
          <t>MV-00976</t>
        </is>
      </c>
      <c r="B980" s="75" t="n">
        <v>46195.41666666666</v>
      </c>
      <c r="C980" s="7" t="inlineStr">
        <is>
          <t>Entrée</t>
        </is>
      </c>
      <c r="D980" s="7" t="inlineStr">
        <is>
          <t>PD-0017</t>
        </is>
      </c>
      <c r="E980" s="9">
        <f>IF(D980="","",IFERROR(INDEX('Stock pièces'!$B$5:$B$404,MATCH(D980,'Stock pièces'!$A$5:$A$404,0)),"Réf. inconnue"))</f>
        <v/>
      </c>
      <c r="F980" s="67" t="n">
        <v>8</v>
      </c>
      <c r="G980" s="81">
        <f>IF(D980="","",IFERROR(INDEX('Stock pièces'!$I$5:$I$404,MATCH(D980,'Stock pièces'!$A$5:$A$404,0)),0))</f>
        <v/>
      </c>
      <c r="H980" s="81">
        <f>IF(D980="","",N(F980)*N(G980))</f>
        <v/>
      </c>
      <c r="I980" s="7" t="n"/>
      <c r="J980" s="9">
        <f>IF(I980="","",IFERROR(INDEX('Ordres de travail'!$D$5:$D$3004,MATCH(I980,'Ordres de travail'!$A$5:$A$3004,0)),""))</f>
        <v/>
      </c>
      <c r="K980" s="9">
        <f>IF(D980="","",IFERROR(INDEX('Stock pièces'!$D$5:$D$404,MATCH(D980,'Stock pièces'!$A$5:$A$404,0)),""))</f>
        <v/>
      </c>
      <c r="L980" s="7" t="inlineStr">
        <is>
          <t>CMD-24273</t>
        </is>
      </c>
      <c r="M980" s="7" t="inlineStr">
        <is>
          <t>Réception commande réappro</t>
        </is>
      </c>
    </row>
    <row r="981">
      <c r="A981" s="7" t="inlineStr">
        <is>
          <t>MV-00977</t>
        </is>
      </c>
      <c r="B981" s="75" t="n">
        <v>46195.80972222222</v>
      </c>
      <c r="C981" s="7" t="inlineStr">
        <is>
          <t>Sortie</t>
        </is>
      </c>
      <c r="D981" s="7" t="inlineStr">
        <is>
          <t>PD-0029</t>
        </is>
      </c>
      <c r="E981" s="9">
        <f>IF(D981="","",IFERROR(INDEX('Stock pièces'!$B$5:$B$404,MATCH(D981,'Stock pièces'!$A$5:$A$404,0)),"Réf. inconnue"))</f>
        <v/>
      </c>
      <c r="F981" s="67" t="n">
        <v>2</v>
      </c>
      <c r="G981" s="81">
        <f>IF(D981="","",IFERROR(INDEX('Stock pièces'!$I$5:$I$404,MATCH(D981,'Stock pièces'!$A$5:$A$404,0)),0))</f>
        <v/>
      </c>
      <c r="H981" s="81">
        <f>IF(D981="","",N(F981)*N(G981))</f>
        <v/>
      </c>
      <c r="I981" s="7" t="inlineStr">
        <is>
          <t>OT-2026-0385</t>
        </is>
      </c>
      <c r="J981" s="9">
        <f>IF(I981="","",IFERROR(INDEX('Ordres de travail'!$D$5:$D$3004,MATCH(I981,'Ordres de travail'!$A$5:$A$3004,0)),""))</f>
        <v/>
      </c>
      <c r="K981" s="9">
        <f>IF(D981="","",IFERROR(INDEX('Stock pièces'!$D$5:$D$404,MATCH(D981,'Stock pièces'!$A$5:$A$404,0)),""))</f>
        <v/>
      </c>
      <c r="L981" s="7" t="n"/>
      <c r="M981" s="7" t="n"/>
    </row>
    <row r="982">
      <c r="A982" s="7" t="inlineStr">
        <is>
          <t>MV-00978</t>
        </is>
      </c>
      <c r="B982" s="75" t="n">
        <v>46196.3125</v>
      </c>
      <c r="C982" s="7" t="inlineStr">
        <is>
          <t>Sortie</t>
        </is>
      </c>
      <c r="D982" s="7" t="inlineStr">
        <is>
          <t>PD-0025</t>
        </is>
      </c>
      <c r="E982" s="9">
        <f>IF(D982="","",IFERROR(INDEX('Stock pièces'!$B$5:$B$404,MATCH(D982,'Stock pièces'!$A$5:$A$404,0)),"Réf. inconnue"))</f>
        <v/>
      </c>
      <c r="F982" s="67" t="n">
        <v>1</v>
      </c>
      <c r="G982" s="81">
        <f>IF(D982="","",IFERROR(INDEX('Stock pièces'!$I$5:$I$404,MATCH(D982,'Stock pièces'!$A$5:$A$404,0)),0))</f>
        <v/>
      </c>
      <c r="H982" s="81">
        <f>IF(D982="","",N(F982)*N(G982))</f>
        <v/>
      </c>
      <c r="I982" s="7" t="inlineStr">
        <is>
          <t>OT-2026-0377</t>
        </is>
      </c>
      <c r="J982" s="9">
        <f>IF(I982="","",IFERROR(INDEX('Ordres de travail'!$D$5:$D$3004,MATCH(I982,'Ordres de travail'!$A$5:$A$3004,0)),""))</f>
        <v/>
      </c>
      <c r="K982" s="9">
        <f>IF(D982="","",IFERROR(INDEX('Stock pièces'!$D$5:$D$404,MATCH(D982,'Stock pièces'!$A$5:$A$404,0)),""))</f>
        <v/>
      </c>
      <c r="L982" s="7" t="n"/>
      <c r="M982" s="7" t="n"/>
    </row>
    <row r="983">
      <c r="A983" s="7" t="inlineStr">
        <is>
          <t>MV-00979</t>
        </is>
      </c>
      <c r="B983" s="75" t="n">
        <v>46196.59722222222</v>
      </c>
      <c r="C983" s="7" t="inlineStr">
        <is>
          <t>Sortie</t>
        </is>
      </c>
      <c r="D983" s="7" t="inlineStr">
        <is>
          <t>PD-0017</t>
        </is>
      </c>
      <c r="E983" s="9">
        <f>IF(D983="","",IFERROR(INDEX('Stock pièces'!$B$5:$B$404,MATCH(D983,'Stock pièces'!$A$5:$A$404,0)),"Réf. inconnue"))</f>
        <v/>
      </c>
      <c r="F983" s="67" t="n">
        <v>1</v>
      </c>
      <c r="G983" s="81">
        <f>IF(D983="","",IFERROR(INDEX('Stock pièces'!$I$5:$I$404,MATCH(D983,'Stock pièces'!$A$5:$A$404,0)),0))</f>
        <v/>
      </c>
      <c r="H983" s="81">
        <f>IF(D983="","",N(F983)*N(G983))</f>
        <v/>
      </c>
      <c r="I983" s="7" t="inlineStr">
        <is>
          <t>OT-2026-0376</t>
        </is>
      </c>
      <c r="J983" s="9">
        <f>IF(I983="","",IFERROR(INDEX('Ordres de travail'!$D$5:$D$3004,MATCH(I983,'Ordres de travail'!$A$5:$A$3004,0)),""))</f>
        <v/>
      </c>
      <c r="K983" s="9">
        <f>IF(D983="","",IFERROR(INDEX('Stock pièces'!$D$5:$D$404,MATCH(D983,'Stock pièces'!$A$5:$A$404,0)),""))</f>
        <v/>
      </c>
      <c r="L983" s="7" t="n"/>
      <c r="M983" s="7" t="n"/>
    </row>
    <row r="984">
      <c r="A984" s="7" t="inlineStr">
        <is>
          <t>MV-00980</t>
        </is>
      </c>
      <c r="B984" s="75" t="n">
        <v>46197.50694444445</v>
      </c>
      <c r="C984" s="7" t="inlineStr">
        <is>
          <t>Sortie</t>
        </is>
      </c>
      <c r="D984" s="7" t="inlineStr">
        <is>
          <t>PD-0004</t>
        </is>
      </c>
      <c r="E984" s="9">
        <f>IF(D984="","",IFERROR(INDEX('Stock pièces'!$B$5:$B$404,MATCH(D984,'Stock pièces'!$A$5:$A$404,0)),"Réf. inconnue"))</f>
        <v/>
      </c>
      <c r="F984" s="67" t="n">
        <v>1</v>
      </c>
      <c r="G984" s="81">
        <f>IF(D984="","",IFERROR(INDEX('Stock pièces'!$I$5:$I$404,MATCH(D984,'Stock pièces'!$A$5:$A$404,0)),0))</f>
        <v/>
      </c>
      <c r="H984" s="81">
        <f>IF(D984="","",N(F984)*N(G984))</f>
        <v/>
      </c>
      <c r="I984" s="7" t="inlineStr">
        <is>
          <t>OT-2026-0388</t>
        </is>
      </c>
      <c r="J984" s="9">
        <f>IF(I984="","",IFERROR(INDEX('Ordres de travail'!$D$5:$D$3004,MATCH(I984,'Ordres de travail'!$A$5:$A$3004,0)),""))</f>
        <v/>
      </c>
      <c r="K984" s="9">
        <f>IF(D984="","",IFERROR(INDEX('Stock pièces'!$D$5:$D$404,MATCH(D984,'Stock pièces'!$A$5:$A$404,0)),""))</f>
        <v/>
      </c>
      <c r="L984" s="7" t="n"/>
      <c r="M984" s="7" t="n"/>
    </row>
    <row r="985">
      <c r="A985" s="7" t="inlineStr">
        <is>
          <t>MV-00981</t>
        </is>
      </c>
      <c r="B985" s="75" t="n">
        <v>46202.41666666666</v>
      </c>
      <c r="C985" s="7" t="inlineStr">
        <is>
          <t>Entrée</t>
        </is>
      </c>
      <c r="D985" s="7" t="inlineStr">
        <is>
          <t>PD-0057</t>
        </is>
      </c>
      <c r="E985" s="9">
        <f>IF(D985="","",IFERROR(INDEX('Stock pièces'!$B$5:$B$404,MATCH(D985,'Stock pièces'!$A$5:$A$404,0)),"Réf. inconnue"))</f>
        <v/>
      </c>
      <c r="F985" s="67" t="n">
        <v>1</v>
      </c>
      <c r="G985" s="81">
        <f>IF(D985="","",IFERROR(INDEX('Stock pièces'!$I$5:$I$404,MATCH(D985,'Stock pièces'!$A$5:$A$404,0)),0))</f>
        <v/>
      </c>
      <c r="H985" s="81">
        <f>IF(D985="","",N(F985)*N(G985))</f>
        <v/>
      </c>
      <c r="I985" s="7" t="n"/>
      <c r="J985" s="9">
        <f>IF(I985="","",IFERROR(INDEX('Ordres de travail'!$D$5:$D$3004,MATCH(I985,'Ordres de travail'!$A$5:$A$3004,0)),""))</f>
        <v/>
      </c>
      <c r="K985" s="9">
        <f>IF(D985="","",IFERROR(INDEX('Stock pièces'!$D$5:$D$404,MATCH(D985,'Stock pièces'!$A$5:$A$404,0)),""))</f>
        <v/>
      </c>
      <c r="L985" s="7" t="inlineStr">
        <is>
          <t>CMD-24272</t>
        </is>
      </c>
      <c r="M985" s="7" t="inlineStr">
        <is>
          <t>Réception commande réappro</t>
        </is>
      </c>
    </row>
    <row r="986">
      <c r="A986" s="7" t="inlineStr">
        <is>
          <t>MV-00982</t>
        </is>
      </c>
      <c r="B986" s="75" t="n">
        <v>46202.41666666666</v>
      </c>
      <c r="C986" s="7" t="inlineStr">
        <is>
          <t>Entrée</t>
        </is>
      </c>
      <c r="D986" s="7" t="inlineStr">
        <is>
          <t>PD-0027</t>
        </is>
      </c>
      <c r="E986" s="9">
        <f>IF(D986="","",IFERROR(INDEX('Stock pièces'!$B$5:$B$404,MATCH(D986,'Stock pièces'!$A$5:$A$404,0)),"Réf. inconnue"))</f>
        <v/>
      </c>
      <c r="F986" s="67" t="n">
        <v>2</v>
      </c>
      <c r="G986" s="81">
        <f>IF(D986="","",IFERROR(INDEX('Stock pièces'!$I$5:$I$404,MATCH(D986,'Stock pièces'!$A$5:$A$404,0)),0))</f>
        <v/>
      </c>
      <c r="H986" s="81">
        <f>IF(D986="","",N(F986)*N(G986))</f>
        <v/>
      </c>
      <c r="I986" s="7" t="n"/>
      <c r="J986" s="9">
        <f>IF(I986="","",IFERROR(INDEX('Ordres de travail'!$D$5:$D$3004,MATCH(I986,'Ordres de travail'!$A$5:$A$3004,0)),""))</f>
        <v/>
      </c>
      <c r="K986" s="9">
        <f>IF(D986="","",IFERROR(INDEX('Stock pièces'!$D$5:$D$404,MATCH(D986,'Stock pièces'!$A$5:$A$404,0)),""))</f>
        <v/>
      </c>
      <c r="L986" s="7" t="inlineStr">
        <is>
          <t>CMD-24274</t>
        </is>
      </c>
      <c r="M986" s="7" t="inlineStr">
        <is>
          <t>Réception commande réappro</t>
        </is>
      </c>
    </row>
    <row r="987">
      <c r="A987" s="7" t="inlineStr">
        <is>
          <t>MV-00983</t>
        </is>
      </c>
      <c r="B987" s="75" t="n">
        <v>46202.41666666666</v>
      </c>
      <c r="C987" s="7" t="inlineStr">
        <is>
          <t>Entrée</t>
        </is>
      </c>
      <c r="D987" s="7" t="inlineStr">
        <is>
          <t>PD-0069</t>
        </is>
      </c>
      <c r="E987" s="9">
        <f>IF(D987="","",IFERROR(INDEX('Stock pièces'!$B$5:$B$404,MATCH(D987,'Stock pièces'!$A$5:$A$404,0)),"Réf. inconnue"))</f>
        <v/>
      </c>
      <c r="F987" s="67" t="n">
        <v>1</v>
      </c>
      <c r="G987" s="81">
        <f>IF(D987="","",IFERROR(INDEX('Stock pièces'!$I$5:$I$404,MATCH(D987,'Stock pièces'!$A$5:$A$404,0)),0))</f>
        <v/>
      </c>
      <c r="H987" s="81">
        <f>IF(D987="","",N(F987)*N(G987))</f>
        <v/>
      </c>
      <c r="I987" s="7" t="n"/>
      <c r="J987" s="9">
        <f>IF(I987="","",IFERROR(INDEX('Ordres de travail'!$D$5:$D$3004,MATCH(I987,'Ordres de travail'!$A$5:$A$3004,0)),""))</f>
        <v/>
      </c>
      <c r="K987" s="9">
        <f>IF(D987="","",IFERROR(INDEX('Stock pièces'!$D$5:$D$404,MATCH(D987,'Stock pièces'!$A$5:$A$404,0)),""))</f>
        <v/>
      </c>
      <c r="L987" s="7" t="inlineStr">
        <is>
          <t>CMD-24276</t>
        </is>
      </c>
      <c r="M987" s="7" t="inlineStr">
        <is>
          <t>Réception commande réappro</t>
        </is>
      </c>
    </row>
    <row r="988">
      <c r="A988" s="7" t="inlineStr">
        <is>
          <t>MV-00984</t>
        </is>
      </c>
      <c r="B988" s="75" t="n">
        <v>46202.41666666666</v>
      </c>
      <c r="C988" s="7" t="inlineStr">
        <is>
          <t>Entrée</t>
        </is>
      </c>
      <c r="D988" s="7" t="inlineStr">
        <is>
          <t>PD-0029</t>
        </is>
      </c>
      <c r="E988" s="9">
        <f>IF(D988="","",IFERROR(INDEX('Stock pièces'!$B$5:$B$404,MATCH(D988,'Stock pièces'!$A$5:$A$404,0)),"Réf. inconnue"))</f>
        <v/>
      </c>
      <c r="F988" s="67" t="n">
        <v>3</v>
      </c>
      <c r="G988" s="81">
        <f>IF(D988="","",IFERROR(INDEX('Stock pièces'!$I$5:$I$404,MATCH(D988,'Stock pièces'!$A$5:$A$404,0)),0))</f>
        <v/>
      </c>
      <c r="H988" s="81">
        <f>IF(D988="","",N(F988)*N(G988))</f>
        <v/>
      </c>
      <c r="I988" s="7" t="n"/>
      <c r="J988" s="9">
        <f>IF(I988="","",IFERROR(INDEX('Ordres de travail'!$D$5:$D$3004,MATCH(I988,'Ordres de travail'!$A$5:$A$3004,0)),""))</f>
        <v/>
      </c>
      <c r="K988" s="9">
        <f>IF(D988="","",IFERROR(INDEX('Stock pièces'!$D$5:$D$404,MATCH(D988,'Stock pièces'!$A$5:$A$404,0)),""))</f>
        <v/>
      </c>
      <c r="L988" s="7" t="inlineStr">
        <is>
          <t>CMD-24279</t>
        </is>
      </c>
      <c r="M988" s="7" t="inlineStr">
        <is>
          <t>Réception commande réappro</t>
        </is>
      </c>
    </row>
    <row r="989">
      <c r="A989" s="7" t="inlineStr">
        <is>
          <t>MV-00985</t>
        </is>
      </c>
      <c r="B989" s="75" t="n">
        <v>46203.27083333334</v>
      </c>
      <c r="C989" s="7" t="inlineStr">
        <is>
          <t>Sortie</t>
        </is>
      </c>
      <c r="D989" s="7" t="inlineStr">
        <is>
          <t>PD-0058</t>
        </is>
      </c>
      <c r="E989" s="9">
        <f>IF(D989="","",IFERROR(INDEX('Stock pièces'!$B$5:$B$404,MATCH(D989,'Stock pièces'!$A$5:$A$404,0)),"Réf. inconnue"))</f>
        <v/>
      </c>
      <c r="F989" s="67" t="n">
        <v>1</v>
      </c>
      <c r="G989" s="81">
        <f>IF(D989="","",IFERROR(INDEX('Stock pièces'!$I$5:$I$404,MATCH(D989,'Stock pièces'!$A$5:$A$404,0)),0))</f>
        <v/>
      </c>
      <c r="H989" s="81">
        <f>IF(D989="","",N(F989)*N(G989))</f>
        <v/>
      </c>
      <c r="I989" s="7" t="inlineStr">
        <is>
          <t>OT-2026-0386</t>
        </is>
      </c>
      <c r="J989" s="9">
        <f>IF(I989="","",IFERROR(INDEX('Ordres de travail'!$D$5:$D$3004,MATCH(I989,'Ordres de travail'!$A$5:$A$3004,0)),""))</f>
        <v/>
      </c>
      <c r="K989" s="9">
        <f>IF(D989="","",IFERROR(INDEX('Stock pièces'!$D$5:$D$404,MATCH(D989,'Stock pièces'!$A$5:$A$404,0)),""))</f>
        <v/>
      </c>
      <c r="L989" s="7" t="n"/>
      <c r="M989" s="7" t="n"/>
    </row>
    <row r="990">
      <c r="A990" s="7" t="inlineStr">
        <is>
          <t>MV-00986</t>
        </is>
      </c>
      <c r="B990" s="75" t="n">
        <v>46203.27083333334</v>
      </c>
      <c r="C990" s="7" t="inlineStr">
        <is>
          <t>Sortie</t>
        </is>
      </c>
      <c r="D990" s="7" t="inlineStr">
        <is>
          <t>PD-0059</t>
        </is>
      </c>
      <c r="E990" s="9">
        <f>IF(D990="","",IFERROR(INDEX('Stock pièces'!$B$5:$B$404,MATCH(D990,'Stock pièces'!$A$5:$A$404,0)),"Réf. inconnue"))</f>
        <v/>
      </c>
      <c r="F990" s="67" t="n">
        <v>1</v>
      </c>
      <c r="G990" s="81">
        <f>IF(D990="","",IFERROR(INDEX('Stock pièces'!$I$5:$I$404,MATCH(D990,'Stock pièces'!$A$5:$A$404,0)),0))</f>
        <v/>
      </c>
      <c r="H990" s="81">
        <f>IF(D990="","",N(F990)*N(G990))</f>
        <v/>
      </c>
      <c r="I990" s="7" t="inlineStr">
        <is>
          <t>OT-2026-0386</t>
        </is>
      </c>
      <c r="J990" s="9">
        <f>IF(I990="","",IFERROR(INDEX('Ordres de travail'!$D$5:$D$3004,MATCH(I990,'Ordres de travail'!$A$5:$A$3004,0)),""))</f>
        <v/>
      </c>
      <c r="K990" s="9">
        <f>IF(D990="","",IFERROR(INDEX('Stock pièces'!$D$5:$D$404,MATCH(D990,'Stock pièces'!$A$5:$A$404,0)),""))</f>
        <v/>
      </c>
      <c r="L990" s="7" t="n"/>
      <c r="M990" s="7" t="n"/>
    </row>
    <row r="991">
      <c r="A991" s="7" t="inlineStr">
        <is>
          <t>MV-00987</t>
        </is>
      </c>
      <c r="B991" s="75" t="n">
        <v>46203.41666666666</v>
      </c>
      <c r="C991" s="7" t="inlineStr">
        <is>
          <t>Entrée</t>
        </is>
      </c>
      <c r="D991" s="7" t="inlineStr">
        <is>
          <t>PD-0021</t>
        </is>
      </c>
      <c r="E991" s="9">
        <f>IF(D991="","",IFERROR(INDEX('Stock pièces'!$B$5:$B$404,MATCH(D991,'Stock pièces'!$A$5:$A$404,0)),"Réf. inconnue"))</f>
        <v/>
      </c>
      <c r="F991" s="67" t="n">
        <v>4</v>
      </c>
      <c r="G991" s="81">
        <f>IF(D991="","",IFERROR(INDEX('Stock pièces'!$I$5:$I$404,MATCH(D991,'Stock pièces'!$A$5:$A$404,0)),0))</f>
        <v/>
      </c>
      <c r="H991" s="81">
        <f>IF(D991="","",N(F991)*N(G991))</f>
        <v/>
      </c>
      <c r="I991" s="7" t="n"/>
      <c r="J991" s="9">
        <f>IF(I991="","",IFERROR(INDEX('Ordres de travail'!$D$5:$D$3004,MATCH(I991,'Ordres de travail'!$A$5:$A$3004,0)),""))</f>
        <v/>
      </c>
      <c r="K991" s="9">
        <f>IF(D991="","",IFERROR(INDEX('Stock pièces'!$D$5:$D$404,MATCH(D991,'Stock pièces'!$A$5:$A$404,0)),""))</f>
        <v/>
      </c>
      <c r="L991" s="7" t="inlineStr">
        <is>
          <t>CMD-24278</t>
        </is>
      </c>
      <c r="M991" s="7" t="inlineStr">
        <is>
          <t>Réception commande réappro</t>
        </is>
      </c>
    </row>
    <row r="992">
      <c r="A992" s="7" t="inlineStr">
        <is>
          <t>MV-00988</t>
        </is>
      </c>
      <c r="B992" s="75" t="n">
        <v>46204.41666666666</v>
      </c>
      <c r="C992" s="7" t="inlineStr">
        <is>
          <t>Entrée</t>
        </is>
      </c>
      <c r="D992" s="7" t="inlineStr">
        <is>
          <t>PD-0044</t>
        </is>
      </c>
      <c r="E992" s="9">
        <f>IF(D992="","",IFERROR(INDEX('Stock pièces'!$B$5:$B$404,MATCH(D992,'Stock pièces'!$A$5:$A$404,0)),"Réf. inconnue"))</f>
        <v/>
      </c>
      <c r="F992" s="67" t="n">
        <v>2</v>
      </c>
      <c r="G992" s="81">
        <f>IF(D992="","",IFERROR(INDEX('Stock pièces'!$I$5:$I$404,MATCH(D992,'Stock pièces'!$A$5:$A$404,0)),0))</f>
        <v/>
      </c>
      <c r="H992" s="81">
        <f>IF(D992="","",N(F992)*N(G992))</f>
        <v/>
      </c>
      <c r="I992" s="7" t="n"/>
      <c r="J992" s="9">
        <f>IF(I992="","",IFERROR(INDEX('Ordres de travail'!$D$5:$D$3004,MATCH(I992,'Ordres de travail'!$A$5:$A$3004,0)),""))</f>
        <v/>
      </c>
      <c r="K992" s="9">
        <f>IF(D992="","",IFERROR(INDEX('Stock pièces'!$D$5:$D$404,MATCH(D992,'Stock pièces'!$A$5:$A$404,0)),""))</f>
        <v/>
      </c>
      <c r="L992" s="7" t="inlineStr">
        <is>
          <t>CMD-24277</t>
        </is>
      </c>
      <c r="M992" s="7" t="inlineStr">
        <is>
          <t>Réception commande réappro</t>
        </is>
      </c>
    </row>
    <row r="993">
      <c r="A993" s="7" t="inlineStr">
        <is>
          <t>MV-00989</t>
        </is>
      </c>
      <c r="B993" s="75" t="n">
        <v>46204.48611111111</v>
      </c>
      <c r="C993" s="7" t="inlineStr">
        <is>
          <t>Sortie</t>
        </is>
      </c>
      <c r="D993" s="7" t="inlineStr">
        <is>
          <t>PD-0019</t>
        </is>
      </c>
      <c r="E993" s="9">
        <f>IF(D993="","",IFERROR(INDEX('Stock pièces'!$B$5:$B$404,MATCH(D993,'Stock pièces'!$A$5:$A$404,0)),"Réf. inconnue"))</f>
        <v/>
      </c>
      <c r="F993" s="67" t="n">
        <v>4</v>
      </c>
      <c r="G993" s="81">
        <f>IF(D993="","",IFERROR(INDEX('Stock pièces'!$I$5:$I$404,MATCH(D993,'Stock pièces'!$A$5:$A$404,0)),0))</f>
        <v/>
      </c>
      <c r="H993" s="81">
        <f>IF(D993="","",N(F993)*N(G993))</f>
        <v/>
      </c>
      <c r="I993" s="7" t="inlineStr">
        <is>
          <t>OT-2026-0389</t>
        </is>
      </c>
      <c r="J993" s="9">
        <f>IF(I993="","",IFERROR(INDEX('Ordres de travail'!$D$5:$D$3004,MATCH(I993,'Ordres de travail'!$A$5:$A$3004,0)),""))</f>
        <v/>
      </c>
      <c r="K993" s="9">
        <f>IF(D993="","",IFERROR(INDEX('Stock pièces'!$D$5:$D$404,MATCH(D993,'Stock pièces'!$A$5:$A$404,0)),""))</f>
        <v/>
      </c>
      <c r="L993" s="7" t="n"/>
      <c r="M993" s="7" t="n"/>
    </row>
    <row r="994">
      <c r="A994" s="7" t="inlineStr">
        <is>
          <t>MV-00990</t>
        </is>
      </c>
      <c r="B994" s="75" t="n">
        <v>46204.63541666666</v>
      </c>
      <c r="C994" s="7" t="inlineStr">
        <is>
          <t>Sortie</t>
        </is>
      </c>
      <c r="D994" s="7" t="inlineStr">
        <is>
          <t>PD-0044</t>
        </is>
      </c>
      <c r="E994" s="9">
        <f>IF(D994="","",IFERROR(INDEX('Stock pièces'!$B$5:$B$404,MATCH(D994,'Stock pièces'!$A$5:$A$404,0)),"Réf. inconnue"))</f>
        <v/>
      </c>
      <c r="F994" s="67" t="n">
        <v>1</v>
      </c>
      <c r="G994" s="81">
        <f>IF(D994="","",IFERROR(INDEX('Stock pièces'!$I$5:$I$404,MATCH(D994,'Stock pièces'!$A$5:$A$404,0)),0))</f>
        <v/>
      </c>
      <c r="H994" s="81">
        <f>IF(D994="","",N(F994)*N(G994))</f>
        <v/>
      </c>
      <c r="I994" s="7" t="inlineStr">
        <is>
          <t>OT-2026-0403</t>
        </is>
      </c>
      <c r="J994" s="9">
        <f>IF(I994="","",IFERROR(INDEX('Ordres de travail'!$D$5:$D$3004,MATCH(I994,'Ordres de travail'!$A$5:$A$3004,0)),""))</f>
        <v/>
      </c>
      <c r="K994" s="9">
        <f>IF(D994="","",IFERROR(INDEX('Stock pièces'!$D$5:$D$404,MATCH(D994,'Stock pièces'!$A$5:$A$404,0)),""))</f>
        <v/>
      </c>
      <c r="L994" s="7" t="n"/>
      <c r="M994" s="7" t="n"/>
    </row>
    <row r="995">
      <c r="A995" s="7" t="inlineStr">
        <is>
          <t>MV-00991</t>
        </is>
      </c>
      <c r="B995" s="75" t="n">
        <v>46205.625</v>
      </c>
      <c r="C995" s="7" t="inlineStr">
        <is>
          <t>Sortie</t>
        </is>
      </c>
      <c r="D995" s="7" t="inlineStr">
        <is>
          <t>PD-0027</t>
        </is>
      </c>
      <c r="E995" s="9">
        <f>IF(D995="","",IFERROR(INDEX('Stock pièces'!$B$5:$B$404,MATCH(D995,'Stock pièces'!$A$5:$A$404,0)),"Réf. inconnue"))</f>
        <v/>
      </c>
      <c r="F995" s="67" t="n">
        <v>1</v>
      </c>
      <c r="G995" s="81">
        <f>IF(D995="","",IFERROR(INDEX('Stock pièces'!$I$5:$I$404,MATCH(D995,'Stock pièces'!$A$5:$A$404,0)),0))</f>
        <v/>
      </c>
      <c r="H995" s="81">
        <f>IF(D995="","",N(F995)*N(G995))</f>
        <v/>
      </c>
      <c r="I995" s="7" t="inlineStr">
        <is>
          <t>OT-2026-0390</t>
        </is>
      </c>
      <c r="J995" s="9">
        <f>IF(I995="","",IFERROR(INDEX('Ordres de travail'!$D$5:$D$3004,MATCH(I995,'Ordres de travail'!$A$5:$A$3004,0)),""))</f>
        <v/>
      </c>
      <c r="K995" s="9">
        <f>IF(D995="","",IFERROR(INDEX('Stock pièces'!$D$5:$D$404,MATCH(D995,'Stock pièces'!$A$5:$A$404,0)),""))</f>
        <v/>
      </c>
      <c r="L995" s="7" t="n"/>
      <c r="M995" s="7" t="n"/>
    </row>
    <row r="996">
      <c r="A996" s="7" t="inlineStr">
        <is>
          <t>MV-00992</t>
        </is>
      </c>
      <c r="B996" s="75" t="n">
        <v>46206.41666666666</v>
      </c>
      <c r="C996" s="7" t="inlineStr">
        <is>
          <t>Entrée</t>
        </is>
      </c>
      <c r="D996" s="7" t="inlineStr">
        <is>
          <t>PD-0042</t>
        </is>
      </c>
      <c r="E996" s="9">
        <f>IF(D996="","",IFERROR(INDEX('Stock pièces'!$B$5:$B$404,MATCH(D996,'Stock pièces'!$A$5:$A$404,0)),"Réf. inconnue"))</f>
        <v/>
      </c>
      <c r="F996" s="67" t="n">
        <v>1</v>
      </c>
      <c r="G996" s="81">
        <f>IF(D996="","",IFERROR(INDEX('Stock pièces'!$I$5:$I$404,MATCH(D996,'Stock pièces'!$A$5:$A$404,0)),0))</f>
        <v/>
      </c>
      <c r="H996" s="81">
        <f>IF(D996="","",N(F996)*N(G996))</f>
        <v/>
      </c>
      <c r="I996" s="7" t="n"/>
      <c r="J996" s="9">
        <f>IF(I996="","",IFERROR(INDEX('Ordres de travail'!$D$5:$D$3004,MATCH(I996,'Ordres de travail'!$A$5:$A$3004,0)),""))</f>
        <v/>
      </c>
      <c r="K996" s="9">
        <f>IF(D996="","",IFERROR(INDEX('Stock pièces'!$D$5:$D$404,MATCH(D996,'Stock pièces'!$A$5:$A$404,0)),""))</f>
        <v/>
      </c>
      <c r="L996" s="7" t="inlineStr">
        <is>
          <t>CMD-24275</t>
        </is>
      </c>
      <c r="M996" s="7" t="inlineStr">
        <is>
          <t>Réception commande réappro</t>
        </is>
      </c>
    </row>
    <row r="997">
      <c r="A997" s="7" t="inlineStr">
        <is>
          <t>MV-00993</t>
        </is>
      </c>
      <c r="B997" s="75" t="n">
        <v>46207.17569444444</v>
      </c>
      <c r="C997" s="7" t="inlineStr">
        <is>
          <t>Sortie</t>
        </is>
      </c>
      <c r="D997" s="7" t="inlineStr">
        <is>
          <t>PD-0066</t>
        </is>
      </c>
      <c r="E997" s="9">
        <f>IF(D997="","",IFERROR(INDEX('Stock pièces'!$B$5:$B$404,MATCH(D997,'Stock pièces'!$A$5:$A$404,0)),"Réf. inconnue"))</f>
        <v/>
      </c>
      <c r="F997" s="67" t="n">
        <v>1</v>
      </c>
      <c r="G997" s="81">
        <f>IF(D997="","",IFERROR(INDEX('Stock pièces'!$I$5:$I$404,MATCH(D997,'Stock pièces'!$A$5:$A$404,0)),0))</f>
        <v/>
      </c>
      <c r="H997" s="81">
        <f>IF(D997="","",N(F997)*N(G997))</f>
        <v/>
      </c>
      <c r="I997" s="7" t="inlineStr">
        <is>
          <t>OT-2026-0406</t>
        </is>
      </c>
      <c r="J997" s="9">
        <f>IF(I997="","",IFERROR(INDEX('Ordres de travail'!$D$5:$D$3004,MATCH(I997,'Ordres de travail'!$A$5:$A$3004,0)),""))</f>
        <v/>
      </c>
      <c r="K997" s="9">
        <f>IF(D997="","",IFERROR(INDEX('Stock pièces'!$D$5:$D$404,MATCH(D997,'Stock pièces'!$A$5:$A$404,0)),""))</f>
        <v/>
      </c>
      <c r="L997" s="7" t="n"/>
      <c r="M997" s="7" t="n"/>
    </row>
    <row r="998">
      <c r="A998" s="7" t="inlineStr">
        <is>
          <t>MV-00994</t>
        </is>
      </c>
      <c r="B998" s="75" t="n">
        <v>46207.17569444444</v>
      </c>
      <c r="C998" s="7" t="inlineStr">
        <is>
          <t>Sortie</t>
        </is>
      </c>
      <c r="D998" s="7" t="inlineStr">
        <is>
          <t>PD-0067</t>
        </is>
      </c>
      <c r="E998" s="9">
        <f>IF(D998="","",IFERROR(INDEX('Stock pièces'!$B$5:$B$404,MATCH(D998,'Stock pièces'!$A$5:$A$404,0)),"Réf. inconnue"))</f>
        <v/>
      </c>
      <c r="F998" s="67" t="n">
        <v>2</v>
      </c>
      <c r="G998" s="81">
        <f>IF(D998="","",IFERROR(INDEX('Stock pièces'!$I$5:$I$404,MATCH(D998,'Stock pièces'!$A$5:$A$404,0)),0))</f>
        <v/>
      </c>
      <c r="H998" s="81">
        <f>IF(D998="","",N(F998)*N(G998))</f>
        <v/>
      </c>
      <c r="I998" s="7" t="inlineStr">
        <is>
          <t>OT-2026-0406</t>
        </is>
      </c>
      <c r="J998" s="9">
        <f>IF(I998="","",IFERROR(INDEX('Ordres de travail'!$D$5:$D$3004,MATCH(I998,'Ordres de travail'!$A$5:$A$3004,0)),""))</f>
        <v/>
      </c>
      <c r="K998" s="9">
        <f>IF(D998="","",IFERROR(INDEX('Stock pièces'!$D$5:$D$404,MATCH(D998,'Stock pièces'!$A$5:$A$404,0)),""))</f>
        <v/>
      </c>
      <c r="L998" s="7" t="n"/>
      <c r="M998" s="7" t="n"/>
    </row>
    <row r="999">
      <c r="A999" s="7" t="inlineStr">
        <is>
          <t>MV-00995</t>
        </is>
      </c>
      <c r="B999" s="75" t="n">
        <v>46209.3125</v>
      </c>
      <c r="C999" s="7" t="inlineStr">
        <is>
          <t>Sortie</t>
        </is>
      </c>
      <c r="D999" s="7" t="inlineStr">
        <is>
          <t>PD-0074</t>
        </is>
      </c>
      <c r="E999" s="9">
        <f>IF(D999="","",IFERROR(INDEX('Stock pièces'!$B$5:$B$404,MATCH(D999,'Stock pièces'!$A$5:$A$404,0)),"Réf. inconnue"))</f>
        <v/>
      </c>
      <c r="F999" s="67" t="n">
        <v>1</v>
      </c>
      <c r="G999" s="81">
        <f>IF(D999="","",IFERROR(INDEX('Stock pièces'!$I$5:$I$404,MATCH(D999,'Stock pièces'!$A$5:$A$404,0)),0))</f>
        <v/>
      </c>
      <c r="H999" s="81">
        <f>IF(D999="","",N(F999)*N(G999))</f>
        <v/>
      </c>
      <c r="I999" s="7" t="inlineStr">
        <is>
          <t>OT-2026-0397</t>
        </is>
      </c>
      <c r="J999" s="9">
        <f>IF(I999="","",IFERROR(INDEX('Ordres de travail'!$D$5:$D$3004,MATCH(I999,'Ordres de travail'!$A$5:$A$3004,0)),""))</f>
        <v/>
      </c>
      <c r="K999" s="9">
        <f>IF(D999="","",IFERROR(INDEX('Stock pièces'!$D$5:$D$404,MATCH(D999,'Stock pièces'!$A$5:$A$404,0)),""))</f>
        <v/>
      </c>
      <c r="L999" s="7" t="n"/>
      <c r="M999" s="7" t="n"/>
    </row>
    <row r="1000">
      <c r="A1000" s="7" t="inlineStr">
        <is>
          <t>MV-00996</t>
        </is>
      </c>
      <c r="B1000" s="75" t="n">
        <v>46210.05555555555</v>
      </c>
      <c r="C1000" s="7" t="inlineStr">
        <is>
          <t>Sortie</t>
        </is>
      </c>
      <c r="D1000" s="7" t="inlineStr">
        <is>
          <t>PD-0050</t>
        </is>
      </c>
      <c r="E1000" s="9">
        <f>IF(D1000="","",IFERROR(INDEX('Stock pièces'!$B$5:$B$404,MATCH(D1000,'Stock pièces'!$A$5:$A$404,0)),"Réf. inconnue"))</f>
        <v/>
      </c>
      <c r="F1000" s="67" t="n">
        <v>2</v>
      </c>
      <c r="G1000" s="81">
        <f>IF(D1000="","",IFERROR(INDEX('Stock pièces'!$I$5:$I$404,MATCH(D1000,'Stock pièces'!$A$5:$A$404,0)),0))</f>
        <v/>
      </c>
      <c r="H1000" s="81">
        <f>IF(D1000="","",N(F1000)*N(G1000))</f>
        <v/>
      </c>
      <c r="I1000" s="7" t="inlineStr">
        <is>
          <t>OT-2026-0410</t>
        </is>
      </c>
      <c r="J1000" s="9">
        <f>IF(I1000="","",IFERROR(INDEX('Ordres de travail'!$D$5:$D$3004,MATCH(I1000,'Ordres de travail'!$A$5:$A$3004,0)),""))</f>
        <v/>
      </c>
      <c r="K1000" s="9">
        <f>IF(D1000="","",IFERROR(INDEX('Stock pièces'!$D$5:$D$404,MATCH(D1000,'Stock pièces'!$A$5:$A$404,0)),""))</f>
        <v/>
      </c>
      <c r="L1000" s="7" t="n"/>
      <c r="M1000" s="7" t="n"/>
    </row>
    <row r="1001">
      <c r="A1001" s="7" t="inlineStr">
        <is>
          <t>MV-00997</t>
        </is>
      </c>
      <c r="B1001" s="75" t="n">
        <v>46210.05555555555</v>
      </c>
      <c r="C1001" s="7" t="inlineStr">
        <is>
          <t>Sortie</t>
        </is>
      </c>
      <c r="D1001" s="7" t="inlineStr">
        <is>
          <t>PD-0051</t>
        </is>
      </c>
      <c r="E1001" s="9">
        <f>IF(D1001="","",IFERROR(INDEX('Stock pièces'!$B$5:$B$404,MATCH(D1001,'Stock pièces'!$A$5:$A$404,0)),"Réf. inconnue"))</f>
        <v/>
      </c>
      <c r="F1001" s="67" t="n">
        <v>3</v>
      </c>
      <c r="G1001" s="81">
        <f>IF(D1001="","",IFERROR(INDEX('Stock pièces'!$I$5:$I$404,MATCH(D1001,'Stock pièces'!$A$5:$A$404,0)),0))</f>
        <v/>
      </c>
      <c r="H1001" s="81">
        <f>IF(D1001="","",N(F1001)*N(G1001))</f>
        <v/>
      </c>
      <c r="I1001" s="7" t="inlineStr">
        <is>
          <t>OT-2026-0410</t>
        </is>
      </c>
      <c r="J1001" s="9">
        <f>IF(I1001="","",IFERROR(INDEX('Ordres de travail'!$D$5:$D$3004,MATCH(I1001,'Ordres de travail'!$A$5:$A$3004,0)),""))</f>
        <v/>
      </c>
      <c r="K1001" s="9">
        <f>IF(D1001="","",IFERROR(INDEX('Stock pièces'!$D$5:$D$404,MATCH(D1001,'Stock pièces'!$A$5:$A$404,0)),""))</f>
        <v/>
      </c>
      <c r="L1001" s="7" t="n"/>
      <c r="M1001" s="7" t="n"/>
    </row>
    <row r="1002">
      <c r="A1002" s="7" t="inlineStr">
        <is>
          <t>MV-00998</t>
        </is>
      </c>
      <c r="B1002" s="75" t="n">
        <v>46210.39236111111</v>
      </c>
      <c r="C1002" s="7" t="inlineStr">
        <is>
          <t>Sortie</t>
        </is>
      </c>
      <c r="D1002" s="7" t="inlineStr">
        <is>
          <t>PD-0025</t>
        </is>
      </c>
      <c r="E1002" s="9">
        <f>IF(D1002="","",IFERROR(INDEX('Stock pièces'!$B$5:$B$404,MATCH(D1002,'Stock pièces'!$A$5:$A$404,0)),"Réf. inconnue"))</f>
        <v/>
      </c>
      <c r="F1002" s="67" t="n">
        <v>2</v>
      </c>
      <c r="G1002" s="81">
        <f>IF(D1002="","",IFERROR(INDEX('Stock pièces'!$I$5:$I$404,MATCH(D1002,'Stock pièces'!$A$5:$A$404,0)),0))</f>
        <v/>
      </c>
      <c r="H1002" s="81">
        <f>IF(D1002="","",N(F1002)*N(G1002))</f>
        <v/>
      </c>
      <c r="I1002" s="7" t="inlineStr">
        <is>
          <t>OT-2026-0398</t>
        </is>
      </c>
      <c r="J1002" s="9">
        <f>IF(I1002="","",IFERROR(INDEX('Ordres de travail'!$D$5:$D$3004,MATCH(I1002,'Ordres de travail'!$A$5:$A$3004,0)),""))</f>
        <v/>
      </c>
      <c r="K1002" s="9">
        <f>IF(D1002="","",IFERROR(INDEX('Stock pièces'!$D$5:$D$404,MATCH(D1002,'Stock pièces'!$A$5:$A$404,0)),""))</f>
        <v/>
      </c>
      <c r="L1002" s="7" t="n"/>
      <c r="M1002" s="7" t="n"/>
    </row>
    <row r="1003">
      <c r="A1003" s="7" t="inlineStr">
        <is>
          <t>MV-00999</t>
        </is>
      </c>
      <c r="B1003" s="75" t="n">
        <v>46211.05555555555</v>
      </c>
      <c r="C1003" s="7" t="inlineStr">
        <is>
          <t>Retour</t>
        </is>
      </c>
      <c r="D1003" s="7" t="inlineStr">
        <is>
          <t>PD-0050</t>
        </is>
      </c>
      <c r="E1003" s="9">
        <f>IF(D1003="","",IFERROR(INDEX('Stock pièces'!$B$5:$B$404,MATCH(D1003,'Stock pièces'!$A$5:$A$404,0)),"Réf. inconnue"))</f>
        <v/>
      </c>
      <c r="F1003" s="67" t="n">
        <v>1</v>
      </c>
      <c r="G1003" s="81">
        <f>IF(D1003="","",IFERROR(INDEX('Stock pièces'!$I$5:$I$404,MATCH(D1003,'Stock pièces'!$A$5:$A$404,0)),0))</f>
        <v/>
      </c>
      <c r="H1003" s="81">
        <f>IF(D1003="","",N(F1003)*N(G1003))</f>
        <v/>
      </c>
      <c r="I1003" s="7" t="inlineStr">
        <is>
          <t>OT-2026-0410</t>
        </is>
      </c>
      <c r="J1003" s="9">
        <f>IF(I1003="","",IFERROR(INDEX('Ordres de travail'!$D$5:$D$3004,MATCH(I1003,'Ordres de travail'!$A$5:$A$3004,0)),""))</f>
        <v/>
      </c>
      <c r="K1003" s="9">
        <f>IF(D1003="","",IFERROR(INDEX('Stock pièces'!$D$5:$D$404,MATCH(D1003,'Stock pièces'!$A$5:$A$404,0)),""))</f>
        <v/>
      </c>
      <c r="L1003" s="7" t="n"/>
      <c r="M1003" s="7" t="inlineStr">
        <is>
          <t>Pièce non utilisée</t>
        </is>
      </c>
    </row>
    <row r="1004">
      <c r="A1004" s="7" t="inlineStr">
        <is>
          <t>MV-01000</t>
        </is>
      </c>
      <c r="B1004" s="75" t="n">
        <v>46211.05555555555</v>
      </c>
      <c r="C1004" s="7" t="inlineStr">
        <is>
          <t>Retour</t>
        </is>
      </c>
      <c r="D1004" s="7" t="inlineStr">
        <is>
          <t>PD-0051</t>
        </is>
      </c>
      <c r="E1004" s="9">
        <f>IF(D1004="","",IFERROR(INDEX('Stock pièces'!$B$5:$B$404,MATCH(D1004,'Stock pièces'!$A$5:$A$404,0)),"Réf. inconnue"))</f>
        <v/>
      </c>
      <c r="F1004" s="67" t="n">
        <v>1</v>
      </c>
      <c r="G1004" s="81">
        <f>IF(D1004="","",IFERROR(INDEX('Stock pièces'!$I$5:$I$404,MATCH(D1004,'Stock pièces'!$A$5:$A$404,0)),0))</f>
        <v/>
      </c>
      <c r="H1004" s="81">
        <f>IF(D1004="","",N(F1004)*N(G1004))</f>
        <v/>
      </c>
      <c r="I1004" s="7" t="inlineStr">
        <is>
          <t>OT-2026-0410</t>
        </is>
      </c>
      <c r="J1004" s="9">
        <f>IF(I1004="","",IFERROR(INDEX('Ordres de travail'!$D$5:$D$3004,MATCH(I1004,'Ordres de travail'!$A$5:$A$3004,0)),""))</f>
        <v/>
      </c>
      <c r="K1004" s="9">
        <f>IF(D1004="","",IFERROR(INDEX('Stock pièces'!$D$5:$D$404,MATCH(D1004,'Stock pièces'!$A$5:$A$404,0)),""))</f>
        <v/>
      </c>
      <c r="L1004" s="7" t="n"/>
      <c r="M1004" s="7" t="inlineStr">
        <is>
          <t>Pièce non utilisée</t>
        </is>
      </c>
    </row>
    <row r="1005">
      <c r="A1005" s="7" t="inlineStr">
        <is>
          <t>MV-01001</t>
        </is>
      </c>
      <c r="B1005" s="75" t="n">
        <v>46211.41666666666</v>
      </c>
      <c r="C1005" s="7" t="inlineStr">
        <is>
          <t>Entrée</t>
        </is>
      </c>
      <c r="D1005" s="7" t="inlineStr">
        <is>
          <t>PD-0058</t>
        </is>
      </c>
      <c r="E1005" s="9">
        <f>IF(D1005="","",IFERROR(INDEX('Stock pièces'!$B$5:$B$404,MATCH(D1005,'Stock pièces'!$A$5:$A$404,0)),"Réf. inconnue"))</f>
        <v/>
      </c>
      <c r="F1005" s="67" t="n">
        <v>7</v>
      </c>
      <c r="G1005" s="81">
        <f>IF(D1005="","",IFERROR(INDEX('Stock pièces'!$I$5:$I$404,MATCH(D1005,'Stock pièces'!$A$5:$A$404,0)),0))</f>
        <v/>
      </c>
      <c r="H1005" s="81">
        <f>IF(D1005="","",N(F1005)*N(G1005))</f>
        <v/>
      </c>
      <c r="I1005" s="7" t="n"/>
      <c r="J1005" s="9">
        <f>IF(I1005="","",IFERROR(INDEX('Ordres de travail'!$D$5:$D$3004,MATCH(I1005,'Ordres de travail'!$A$5:$A$3004,0)),""))</f>
        <v/>
      </c>
      <c r="K1005" s="9">
        <f>IF(D1005="","",IFERROR(INDEX('Stock pièces'!$D$5:$D$404,MATCH(D1005,'Stock pièces'!$A$5:$A$404,0)),""))</f>
        <v/>
      </c>
      <c r="L1005" s="7" t="inlineStr">
        <is>
          <t>CMD-24281</t>
        </is>
      </c>
      <c r="M1005" s="7" t="inlineStr">
        <is>
          <t>Réception commande réappro</t>
        </is>
      </c>
    </row>
    <row r="1006">
      <c r="A1006" s="7" t="inlineStr">
        <is>
          <t>MV-01002</t>
        </is>
      </c>
      <c r="B1006" s="75" t="n">
        <v>46213.57986111111</v>
      </c>
      <c r="C1006" s="7" t="inlineStr">
        <is>
          <t>Sortie</t>
        </is>
      </c>
      <c r="D1006" s="7" t="inlineStr">
        <is>
          <t>PD-0017</t>
        </is>
      </c>
      <c r="E1006" s="9">
        <f>IF(D1006="","",IFERROR(INDEX('Stock pièces'!$B$5:$B$404,MATCH(D1006,'Stock pièces'!$A$5:$A$404,0)),"Réf. inconnue"))</f>
        <v/>
      </c>
      <c r="F1006" s="67" t="n">
        <v>1</v>
      </c>
      <c r="G1006" s="81">
        <f>IF(D1006="","",IFERROR(INDEX('Stock pièces'!$I$5:$I$404,MATCH(D1006,'Stock pièces'!$A$5:$A$404,0)),0))</f>
        <v/>
      </c>
      <c r="H1006" s="81">
        <f>IF(D1006="","",N(F1006)*N(G1006))</f>
        <v/>
      </c>
      <c r="I1006" s="7" t="inlineStr">
        <is>
          <t>OT-2026-0407</t>
        </is>
      </c>
      <c r="J1006" s="9">
        <f>IF(I1006="","",IFERROR(INDEX('Ordres de travail'!$D$5:$D$3004,MATCH(I1006,'Ordres de travail'!$A$5:$A$3004,0)),""))</f>
        <v/>
      </c>
      <c r="K1006" s="9">
        <f>IF(D1006="","",IFERROR(INDEX('Stock pièces'!$D$5:$D$404,MATCH(D1006,'Stock pièces'!$A$5:$A$404,0)),""))</f>
        <v/>
      </c>
      <c r="L1006" s="7" t="n"/>
      <c r="M1006" s="7" t="n"/>
    </row>
    <row r="1007">
      <c r="A1007" s="7" t="inlineStr">
        <is>
          <t>MV-01003</t>
        </is>
      </c>
      <c r="B1007" s="75" t="n">
        <v>46214.75833333333</v>
      </c>
      <c r="C1007" s="7" t="inlineStr">
        <is>
          <t>Sortie</t>
        </is>
      </c>
      <c r="D1007" s="7" t="inlineStr">
        <is>
          <t>PD-0066</t>
        </is>
      </c>
      <c r="E1007" s="9">
        <f>IF(D1007="","",IFERROR(INDEX('Stock pièces'!$B$5:$B$404,MATCH(D1007,'Stock pièces'!$A$5:$A$404,0)),"Réf. inconnue"))</f>
        <v/>
      </c>
      <c r="F1007" s="67" t="n">
        <v>1</v>
      </c>
      <c r="G1007" s="81">
        <f>IF(D1007="","",IFERROR(INDEX('Stock pièces'!$I$5:$I$404,MATCH(D1007,'Stock pièces'!$A$5:$A$404,0)),0))</f>
        <v/>
      </c>
      <c r="H1007" s="81">
        <f>IF(D1007="","",N(F1007)*N(G1007))</f>
        <v/>
      </c>
      <c r="I1007" s="7" t="inlineStr">
        <is>
          <t>OT-2026-0416</t>
        </is>
      </c>
      <c r="J1007" s="9">
        <f>IF(I1007="","",IFERROR(INDEX('Ordres de travail'!$D$5:$D$3004,MATCH(I1007,'Ordres de travail'!$A$5:$A$3004,0)),""))</f>
        <v/>
      </c>
      <c r="K1007" s="9">
        <f>IF(D1007="","",IFERROR(INDEX('Stock pièces'!$D$5:$D$404,MATCH(D1007,'Stock pièces'!$A$5:$A$404,0)),""))</f>
        <v/>
      </c>
      <c r="L1007" s="7" t="n"/>
      <c r="M1007" s="7" t="n"/>
    </row>
    <row r="1008">
      <c r="A1008" s="7" t="inlineStr">
        <is>
          <t>MV-01004</t>
        </is>
      </c>
      <c r="B1008" s="75" t="n">
        <v>46216.41666666666</v>
      </c>
      <c r="C1008" s="7" t="inlineStr">
        <is>
          <t>Entrée</t>
        </is>
      </c>
      <c r="D1008" s="7" t="inlineStr">
        <is>
          <t>PD-0004</t>
        </is>
      </c>
      <c r="E1008" s="9">
        <f>IF(D1008="","",IFERROR(INDEX('Stock pièces'!$B$5:$B$404,MATCH(D1008,'Stock pièces'!$A$5:$A$404,0)),"Réf. inconnue"))</f>
        <v/>
      </c>
      <c r="F1008" s="67" t="n">
        <v>1</v>
      </c>
      <c r="G1008" s="81">
        <f>IF(D1008="","",IFERROR(INDEX('Stock pièces'!$I$5:$I$404,MATCH(D1008,'Stock pièces'!$A$5:$A$404,0)),0))</f>
        <v/>
      </c>
      <c r="H1008" s="81">
        <f>IF(D1008="","",N(F1008)*N(G1008))</f>
        <v/>
      </c>
      <c r="I1008" s="7" t="n"/>
      <c r="J1008" s="9">
        <f>IF(I1008="","",IFERROR(INDEX('Ordres de travail'!$D$5:$D$3004,MATCH(I1008,'Ordres de travail'!$A$5:$A$3004,0)),""))</f>
        <v/>
      </c>
      <c r="K1008" s="9">
        <f>IF(D1008="","",IFERROR(INDEX('Stock pièces'!$D$5:$D$404,MATCH(D1008,'Stock pièces'!$A$5:$A$404,0)),""))</f>
        <v/>
      </c>
      <c r="L1008" s="7" t="inlineStr">
        <is>
          <t>CMD-24280</t>
        </is>
      </c>
      <c r="M1008" s="7" t="inlineStr">
        <is>
          <t>Réception commande réappro</t>
        </is>
      </c>
    </row>
    <row r="1009">
      <c r="A1009" s="7" t="inlineStr">
        <is>
          <t>MV-01005</t>
        </is>
      </c>
      <c r="B1009" s="75" t="n">
        <v>46216.41666666666</v>
      </c>
      <c r="C1009" s="7" t="inlineStr">
        <is>
          <t>Entrée</t>
        </is>
      </c>
      <c r="D1009" s="7" t="inlineStr">
        <is>
          <t>PD-0066</t>
        </is>
      </c>
      <c r="E1009" s="9">
        <f>IF(D1009="","",IFERROR(INDEX('Stock pièces'!$B$5:$B$404,MATCH(D1009,'Stock pièces'!$A$5:$A$404,0)),"Réf. inconnue"))</f>
        <v/>
      </c>
      <c r="F1009" s="67" t="n">
        <v>2</v>
      </c>
      <c r="G1009" s="81">
        <f>IF(D1009="","",IFERROR(INDEX('Stock pièces'!$I$5:$I$404,MATCH(D1009,'Stock pièces'!$A$5:$A$404,0)),0))</f>
        <v/>
      </c>
      <c r="H1009" s="81">
        <f>IF(D1009="","",N(F1009)*N(G1009))</f>
        <v/>
      </c>
      <c r="I1009" s="7" t="n"/>
      <c r="J1009" s="9">
        <f>IF(I1009="","",IFERROR(INDEX('Ordres de travail'!$D$5:$D$3004,MATCH(I1009,'Ordres de travail'!$A$5:$A$3004,0)),""))</f>
        <v/>
      </c>
      <c r="K1009" s="9">
        <f>IF(D1009="","",IFERROR(INDEX('Stock pièces'!$D$5:$D$404,MATCH(D1009,'Stock pièces'!$A$5:$A$404,0)),""))</f>
        <v/>
      </c>
      <c r="L1009" s="7" t="inlineStr">
        <is>
          <t>CMD-24282</t>
        </is>
      </c>
      <c r="M1009" s="7" t="inlineStr">
        <is>
          <t>Réception commande réappro</t>
        </is>
      </c>
    </row>
    <row r="1010">
      <c r="A1010" s="7" t="inlineStr">
        <is>
          <t>MV-01006</t>
        </is>
      </c>
      <c r="B1010" s="75" t="n">
        <v>46216.41666666666</v>
      </c>
      <c r="C1010" s="7" t="inlineStr">
        <is>
          <t>Entrée</t>
        </is>
      </c>
      <c r="D1010" s="7" t="inlineStr">
        <is>
          <t>PD-0025</t>
        </is>
      </c>
      <c r="E1010" s="9">
        <f>IF(D1010="","",IFERROR(INDEX('Stock pièces'!$B$5:$B$404,MATCH(D1010,'Stock pièces'!$A$5:$A$404,0)),"Réf. inconnue"))</f>
        <v/>
      </c>
      <c r="F1010" s="67" t="n">
        <v>36</v>
      </c>
      <c r="G1010" s="81">
        <f>IF(D1010="","",IFERROR(INDEX('Stock pièces'!$I$5:$I$404,MATCH(D1010,'Stock pièces'!$A$5:$A$404,0)),0))</f>
        <v/>
      </c>
      <c r="H1010" s="81">
        <f>IF(D1010="","",N(F1010)*N(G1010))</f>
        <v/>
      </c>
      <c r="I1010" s="7" t="n"/>
      <c r="J1010" s="9">
        <f>IF(I1010="","",IFERROR(INDEX('Ordres de travail'!$D$5:$D$3004,MATCH(I1010,'Ordres de travail'!$A$5:$A$3004,0)),""))</f>
        <v/>
      </c>
      <c r="K1010" s="9">
        <f>IF(D1010="","",IFERROR(INDEX('Stock pièces'!$D$5:$D$404,MATCH(D1010,'Stock pièces'!$A$5:$A$404,0)),""))</f>
        <v/>
      </c>
      <c r="L1010" s="7" t="inlineStr">
        <is>
          <t>CMD-24284</t>
        </is>
      </c>
      <c r="M1010" s="7" t="inlineStr">
        <is>
          <t>Réception commande réappro</t>
        </is>
      </c>
    </row>
    <row r="1011">
      <c r="A1011" s="7" t="inlineStr">
        <is>
          <t>MV-01007</t>
        </is>
      </c>
      <c r="B1011" s="75" t="n">
        <v>46216.42361111111</v>
      </c>
      <c r="C1011" s="7" t="inlineStr">
        <is>
          <t>Sortie</t>
        </is>
      </c>
      <c r="D1011" s="7" t="inlineStr">
        <is>
          <t>PD-0021</t>
        </is>
      </c>
      <c r="E1011" s="9">
        <f>IF(D1011="","",IFERROR(INDEX('Stock pièces'!$B$5:$B$404,MATCH(D1011,'Stock pièces'!$A$5:$A$404,0)),"Réf. inconnue"))</f>
        <v/>
      </c>
      <c r="F1011" s="67" t="n">
        <v>1</v>
      </c>
      <c r="G1011" s="81">
        <f>IF(D1011="","",IFERROR(INDEX('Stock pièces'!$I$5:$I$404,MATCH(D1011,'Stock pièces'!$A$5:$A$404,0)),0))</f>
        <v/>
      </c>
      <c r="H1011" s="81">
        <f>IF(D1011="","",N(F1011)*N(G1011))</f>
        <v/>
      </c>
      <c r="I1011" s="7" t="inlineStr">
        <is>
          <t>OT-2026-0409</t>
        </is>
      </c>
      <c r="J1011" s="9">
        <f>IF(I1011="","",IFERROR(INDEX('Ordres de travail'!$D$5:$D$3004,MATCH(I1011,'Ordres de travail'!$A$5:$A$3004,0)),""))</f>
        <v/>
      </c>
      <c r="K1011" s="9">
        <f>IF(D1011="","",IFERROR(INDEX('Stock pièces'!$D$5:$D$404,MATCH(D1011,'Stock pièces'!$A$5:$A$404,0)),""))</f>
        <v/>
      </c>
      <c r="L1011" s="7" t="n"/>
      <c r="M1011" s="7" t="n"/>
    </row>
    <row r="1012">
      <c r="A1012" s="7" t="inlineStr">
        <is>
          <t>MV-01008</t>
        </is>
      </c>
      <c r="B1012" s="75" t="n">
        <v>46216.52777777778</v>
      </c>
      <c r="C1012" s="7" t="inlineStr">
        <is>
          <t>Sortie</t>
        </is>
      </c>
      <c r="D1012" s="7" t="inlineStr">
        <is>
          <t>PD-0025</t>
        </is>
      </c>
      <c r="E1012" s="9">
        <f>IF(D1012="","",IFERROR(INDEX('Stock pièces'!$B$5:$B$404,MATCH(D1012,'Stock pièces'!$A$5:$A$404,0)),"Réf. inconnue"))</f>
        <v/>
      </c>
      <c r="F1012" s="67" t="n">
        <v>1</v>
      </c>
      <c r="G1012" s="81">
        <f>IF(D1012="","",IFERROR(INDEX('Stock pièces'!$I$5:$I$404,MATCH(D1012,'Stock pièces'!$A$5:$A$404,0)),0))</f>
        <v/>
      </c>
      <c r="H1012" s="81">
        <f>IF(D1012="","",N(F1012)*N(G1012))</f>
        <v/>
      </c>
      <c r="I1012" s="7" t="inlineStr">
        <is>
          <t>OT-2026-0408</t>
        </is>
      </c>
      <c r="J1012" s="9">
        <f>IF(I1012="","",IFERROR(INDEX('Ordres de travail'!$D$5:$D$3004,MATCH(I1012,'Ordres de travail'!$A$5:$A$3004,0)),""))</f>
        <v/>
      </c>
      <c r="K1012" s="9">
        <f>IF(D1012="","",IFERROR(INDEX('Stock pièces'!$D$5:$D$404,MATCH(D1012,'Stock pièces'!$A$5:$A$404,0)),""))</f>
        <v/>
      </c>
      <c r="L1012" s="7" t="n"/>
      <c r="M1012" s="7" t="n"/>
    </row>
    <row r="1013">
      <c r="A1013" s="7" t="inlineStr">
        <is>
          <t>MV-01009</t>
        </is>
      </c>
      <c r="B1013" s="75" t="n">
        <v>46217.41666666666</v>
      </c>
      <c r="C1013" s="7" t="inlineStr">
        <is>
          <t>Entrée</t>
        </is>
      </c>
      <c r="D1013" s="7" t="inlineStr">
        <is>
          <t>PD-0067</t>
        </is>
      </c>
      <c r="E1013" s="9">
        <f>IF(D1013="","",IFERROR(INDEX('Stock pièces'!$B$5:$B$404,MATCH(D1013,'Stock pièces'!$A$5:$A$404,0)),"Réf. inconnue"))</f>
        <v/>
      </c>
      <c r="F1013" s="67" t="n">
        <v>3</v>
      </c>
      <c r="G1013" s="81">
        <f>IF(D1013="","",IFERROR(INDEX('Stock pièces'!$I$5:$I$404,MATCH(D1013,'Stock pièces'!$A$5:$A$404,0)),0))</f>
        <v/>
      </c>
      <c r="H1013" s="81">
        <f>IF(D1013="","",N(F1013)*N(G1013))</f>
        <v/>
      </c>
      <c r="I1013" s="7" t="n"/>
      <c r="J1013" s="9">
        <f>IF(I1013="","",IFERROR(INDEX('Ordres de travail'!$D$5:$D$3004,MATCH(I1013,'Ordres de travail'!$A$5:$A$3004,0)),""))</f>
        <v/>
      </c>
      <c r="K1013" s="9">
        <f>IF(D1013="","",IFERROR(INDEX('Stock pièces'!$D$5:$D$404,MATCH(D1013,'Stock pièces'!$A$5:$A$404,0)),""))</f>
        <v/>
      </c>
      <c r="L1013" s="7" t="inlineStr">
        <is>
          <t>CMD-24283</t>
        </is>
      </c>
      <c r="M1013" s="7" t="inlineStr">
        <is>
          <t>Réception commande réappro</t>
        </is>
      </c>
    </row>
    <row r="1014">
      <c r="A1014" s="7" t="inlineStr">
        <is>
          <t>MV-01010</t>
        </is>
      </c>
      <c r="B1014" s="75" t="n">
        <v>46217.4375</v>
      </c>
      <c r="C1014" s="7" t="inlineStr">
        <is>
          <t>Sortie</t>
        </is>
      </c>
      <c r="D1014" s="7" t="inlineStr">
        <is>
          <t>PD-0012</t>
        </is>
      </c>
      <c r="E1014" s="9">
        <f>IF(D1014="","",IFERROR(INDEX('Stock pièces'!$B$5:$B$404,MATCH(D1014,'Stock pièces'!$A$5:$A$404,0)),"Réf. inconnue"))</f>
        <v/>
      </c>
      <c r="F1014" s="67" t="n">
        <v>1</v>
      </c>
      <c r="G1014" s="81">
        <f>IF(D1014="","",IFERROR(INDEX('Stock pièces'!$I$5:$I$404,MATCH(D1014,'Stock pièces'!$A$5:$A$404,0)),0))</f>
        <v/>
      </c>
      <c r="H1014" s="81">
        <f>IF(D1014="","",N(F1014)*N(G1014))</f>
        <v/>
      </c>
      <c r="I1014" s="7" t="inlineStr">
        <is>
          <t>OT-2026-0411</t>
        </is>
      </c>
      <c r="J1014" s="9">
        <f>IF(I1014="","",IFERROR(INDEX('Ordres de travail'!$D$5:$D$3004,MATCH(I1014,'Ordres de travail'!$A$5:$A$3004,0)),""))</f>
        <v/>
      </c>
      <c r="K1014" s="9">
        <f>IF(D1014="","",IFERROR(INDEX('Stock pièces'!$D$5:$D$404,MATCH(D1014,'Stock pièces'!$A$5:$A$404,0)),""))</f>
        <v/>
      </c>
      <c r="L1014" s="7" t="n"/>
      <c r="M1014" s="7" t="n"/>
    </row>
    <row r="1015">
      <c r="A1015" s="7" t="inlineStr">
        <is>
          <t>MV-01011</t>
        </is>
      </c>
      <c r="B1015" s="75" t="n">
        <v>46217.4375</v>
      </c>
      <c r="C1015" s="7" t="inlineStr">
        <is>
          <t>Sortie</t>
        </is>
      </c>
      <c r="D1015" s="7" t="inlineStr">
        <is>
          <t>PD-0013</t>
        </is>
      </c>
      <c r="E1015" s="9">
        <f>IF(D1015="","",IFERROR(INDEX('Stock pièces'!$B$5:$B$404,MATCH(D1015,'Stock pièces'!$A$5:$A$404,0)),"Réf. inconnue"))</f>
        <v/>
      </c>
      <c r="F1015" s="67" t="n">
        <v>1</v>
      </c>
      <c r="G1015" s="81">
        <f>IF(D1015="","",IFERROR(INDEX('Stock pièces'!$I$5:$I$404,MATCH(D1015,'Stock pièces'!$A$5:$A$404,0)),0))</f>
        <v/>
      </c>
      <c r="H1015" s="81">
        <f>IF(D1015="","",N(F1015)*N(G1015))</f>
        <v/>
      </c>
      <c r="I1015" s="7" t="inlineStr">
        <is>
          <t>OT-2026-0411</t>
        </is>
      </c>
      <c r="J1015" s="9">
        <f>IF(I1015="","",IFERROR(INDEX('Ordres de travail'!$D$5:$D$3004,MATCH(I1015,'Ordres de travail'!$A$5:$A$3004,0)),""))</f>
        <v/>
      </c>
      <c r="K1015" s="9">
        <f>IF(D1015="","",IFERROR(INDEX('Stock pièces'!$D$5:$D$404,MATCH(D1015,'Stock pièces'!$A$5:$A$404,0)),""))</f>
        <v/>
      </c>
      <c r="L1015" s="7" t="n"/>
      <c r="M1015" s="7" t="n"/>
    </row>
    <row r="1016">
      <c r="A1016" s="7" t="inlineStr">
        <is>
          <t>MV-01012</t>
        </is>
      </c>
      <c r="B1016" s="75" t="n">
        <v>46217.4375</v>
      </c>
      <c r="C1016" s="7" t="inlineStr">
        <is>
          <t>Sortie</t>
        </is>
      </c>
      <c r="D1016" s="7" t="inlineStr">
        <is>
          <t>PD-0014</t>
        </is>
      </c>
      <c r="E1016" s="9">
        <f>IF(D1016="","",IFERROR(INDEX('Stock pièces'!$B$5:$B$404,MATCH(D1016,'Stock pièces'!$A$5:$A$404,0)),"Réf. inconnue"))</f>
        <v/>
      </c>
      <c r="F1016" s="67" t="n">
        <v>1</v>
      </c>
      <c r="G1016" s="81">
        <f>IF(D1016="","",IFERROR(INDEX('Stock pièces'!$I$5:$I$404,MATCH(D1016,'Stock pièces'!$A$5:$A$404,0)),0))</f>
        <v/>
      </c>
      <c r="H1016" s="81">
        <f>IF(D1016="","",N(F1016)*N(G1016))</f>
        <v/>
      </c>
      <c r="I1016" s="7" t="inlineStr">
        <is>
          <t>OT-2026-0411</t>
        </is>
      </c>
      <c r="J1016" s="9">
        <f>IF(I1016="","",IFERROR(INDEX('Ordres de travail'!$D$5:$D$3004,MATCH(I1016,'Ordres de travail'!$A$5:$A$3004,0)),""))</f>
        <v/>
      </c>
      <c r="K1016" s="9">
        <f>IF(D1016="","",IFERROR(INDEX('Stock pièces'!$D$5:$D$404,MATCH(D1016,'Stock pièces'!$A$5:$A$404,0)),""))</f>
        <v/>
      </c>
      <c r="L1016" s="7" t="n"/>
      <c r="M1016" s="7" t="n"/>
    </row>
    <row r="1017">
      <c r="A1017" s="7" t="inlineStr">
        <is>
          <t>MV-01013</t>
        </is>
      </c>
      <c r="B1017" s="75" t="n">
        <v>46217.4375</v>
      </c>
      <c r="C1017" s="7" t="inlineStr">
        <is>
          <t>Sortie</t>
        </is>
      </c>
      <c r="D1017" s="7" t="inlineStr">
        <is>
          <t>PD-0024</t>
        </is>
      </c>
      <c r="E1017" s="9">
        <f>IF(D1017="","",IFERROR(INDEX('Stock pièces'!$B$5:$B$404,MATCH(D1017,'Stock pièces'!$A$5:$A$404,0)),"Réf. inconnue"))</f>
        <v/>
      </c>
      <c r="F1017" s="67" t="n">
        <v>1</v>
      </c>
      <c r="G1017" s="81">
        <f>IF(D1017="","",IFERROR(INDEX('Stock pièces'!$I$5:$I$404,MATCH(D1017,'Stock pièces'!$A$5:$A$404,0)),0))</f>
        <v/>
      </c>
      <c r="H1017" s="81">
        <f>IF(D1017="","",N(F1017)*N(G1017))</f>
        <v/>
      </c>
      <c r="I1017" s="7" t="inlineStr">
        <is>
          <t>OT-2026-0411</t>
        </is>
      </c>
      <c r="J1017" s="9">
        <f>IF(I1017="","",IFERROR(INDEX('Ordres de travail'!$D$5:$D$3004,MATCH(I1017,'Ordres de travail'!$A$5:$A$3004,0)),""))</f>
        <v/>
      </c>
      <c r="K1017" s="9">
        <f>IF(D1017="","",IFERROR(INDEX('Stock pièces'!$D$5:$D$404,MATCH(D1017,'Stock pièces'!$A$5:$A$404,0)),""))</f>
        <v/>
      </c>
      <c r="L1017" s="7" t="n"/>
      <c r="M1017" s="7" t="n"/>
    </row>
    <row r="1018">
      <c r="A1018" s="7" t="inlineStr">
        <is>
          <t>MV-01014</t>
        </is>
      </c>
      <c r="B1018" s="75" t="n">
        <v>46218.41319444445</v>
      </c>
      <c r="C1018" s="7" t="inlineStr">
        <is>
          <t>Sortie</t>
        </is>
      </c>
      <c r="D1018" s="7" t="inlineStr">
        <is>
          <t>PD-0021</t>
        </is>
      </c>
      <c r="E1018" s="9">
        <f>IF(D1018="","",IFERROR(INDEX('Stock pièces'!$B$5:$B$404,MATCH(D1018,'Stock pièces'!$A$5:$A$404,0)),"Réf. inconnue"))</f>
        <v/>
      </c>
      <c r="F1018" s="67" t="n">
        <v>1</v>
      </c>
      <c r="G1018" s="81">
        <f>IF(D1018="","",IFERROR(INDEX('Stock pièces'!$I$5:$I$404,MATCH(D1018,'Stock pièces'!$A$5:$A$404,0)),0))</f>
        <v/>
      </c>
      <c r="H1018" s="81">
        <f>IF(D1018="","",N(F1018)*N(G1018))</f>
        <v/>
      </c>
      <c r="I1018" s="7" t="inlineStr">
        <is>
          <t>OT-2026-0413</t>
        </is>
      </c>
      <c r="J1018" s="9">
        <f>IF(I1018="","",IFERROR(INDEX('Ordres de travail'!$D$5:$D$3004,MATCH(I1018,'Ordres de travail'!$A$5:$A$3004,0)),""))</f>
        <v/>
      </c>
      <c r="K1018" s="9">
        <f>IF(D1018="","",IFERROR(INDEX('Stock pièces'!$D$5:$D$404,MATCH(D1018,'Stock pièces'!$A$5:$A$404,0)),""))</f>
        <v/>
      </c>
      <c r="L1018" s="7" t="n"/>
      <c r="M1018" s="7" t="n"/>
    </row>
    <row r="1019">
      <c r="A1019" s="7" t="inlineStr">
        <is>
          <t>MV-01015</t>
        </is>
      </c>
      <c r="B1019" s="75" t="n">
        <v>46218.46597222222</v>
      </c>
      <c r="C1019" s="7" t="inlineStr">
        <is>
          <t>Sortie</t>
        </is>
      </c>
      <c r="D1019" s="7" t="inlineStr">
        <is>
          <t>PD-0065</t>
        </is>
      </c>
      <c r="E1019" s="9">
        <f>IF(D1019="","",IFERROR(INDEX('Stock pièces'!$B$5:$B$404,MATCH(D1019,'Stock pièces'!$A$5:$A$404,0)),"Réf. inconnue"))</f>
        <v/>
      </c>
      <c r="F1019" s="67" t="n">
        <v>1</v>
      </c>
      <c r="G1019" s="81">
        <f>IF(D1019="","",IFERROR(INDEX('Stock pièces'!$I$5:$I$404,MATCH(D1019,'Stock pièces'!$A$5:$A$404,0)),0))</f>
        <v/>
      </c>
      <c r="H1019" s="81">
        <f>IF(D1019="","",N(F1019)*N(G1019))</f>
        <v/>
      </c>
      <c r="I1019" s="7" t="inlineStr">
        <is>
          <t>OT-2026-0427</t>
        </is>
      </c>
      <c r="J1019" s="9">
        <f>IF(I1019="","",IFERROR(INDEX('Ordres de travail'!$D$5:$D$3004,MATCH(I1019,'Ordres de travail'!$A$5:$A$3004,0)),""))</f>
        <v/>
      </c>
      <c r="K1019" s="9">
        <f>IF(D1019="","",IFERROR(INDEX('Stock pièces'!$D$5:$D$404,MATCH(D1019,'Stock pièces'!$A$5:$A$404,0)),""))</f>
        <v/>
      </c>
      <c r="L1019" s="7" t="n"/>
      <c r="M1019" s="7" t="n"/>
    </row>
    <row r="1020">
      <c r="A1020" s="7" t="inlineStr">
        <is>
          <t>MV-01016</t>
        </is>
      </c>
      <c r="B1020" s="75" t="n">
        <v>46219.34027777778</v>
      </c>
      <c r="C1020" s="7" t="inlineStr">
        <is>
          <t>Sortie</t>
        </is>
      </c>
      <c r="D1020" s="7" t="inlineStr">
        <is>
          <t>PD-0020</t>
        </is>
      </c>
      <c r="E1020" s="9">
        <f>IF(D1020="","",IFERROR(INDEX('Stock pièces'!$B$5:$B$404,MATCH(D1020,'Stock pièces'!$A$5:$A$404,0)),"Réf. inconnue"))</f>
        <v/>
      </c>
      <c r="F1020" s="67" t="n">
        <v>1</v>
      </c>
      <c r="G1020" s="81">
        <f>IF(D1020="","",IFERROR(INDEX('Stock pièces'!$I$5:$I$404,MATCH(D1020,'Stock pièces'!$A$5:$A$404,0)),0))</f>
        <v/>
      </c>
      <c r="H1020" s="81">
        <f>IF(D1020="","",N(F1020)*N(G1020))</f>
        <v/>
      </c>
      <c r="I1020" s="7" t="inlineStr">
        <is>
          <t>OT-2026-0414</t>
        </is>
      </c>
      <c r="J1020" s="9">
        <f>IF(I1020="","",IFERROR(INDEX('Ordres de travail'!$D$5:$D$3004,MATCH(I1020,'Ordres de travail'!$A$5:$A$3004,0)),""))</f>
        <v/>
      </c>
      <c r="K1020" s="9">
        <f>IF(D1020="","",IFERROR(INDEX('Stock pièces'!$D$5:$D$404,MATCH(D1020,'Stock pièces'!$A$5:$A$404,0)),""))</f>
        <v/>
      </c>
      <c r="L1020" s="7" t="n"/>
      <c r="M1020" s="7" t="n"/>
    </row>
    <row r="1021">
      <c r="A1021" s="7" t="inlineStr">
        <is>
          <t>MV-01017</t>
        </is>
      </c>
      <c r="B1021" s="75" t="n">
        <v>46223.26388888889</v>
      </c>
      <c r="C1021" s="7" t="inlineStr">
        <is>
          <t>Sortie</t>
        </is>
      </c>
      <c r="D1021" s="7" t="inlineStr">
        <is>
          <t>PD-0062</t>
        </is>
      </c>
      <c r="E1021" s="9">
        <f>IF(D1021="","",IFERROR(INDEX('Stock pièces'!$B$5:$B$404,MATCH(D1021,'Stock pièces'!$A$5:$A$404,0)),"Réf. inconnue"))</f>
        <v/>
      </c>
      <c r="F1021" s="67" t="n">
        <v>1</v>
      </c>
      <c r="G1021" s="81">
        <f>IF(D1021="","",IFERROR(INDEX('Stock pièces'!$I$5:$I$404,MATCH(D1021,'Stock pièces'!$A$5:$A$404,0)),0))</f>
        <v/>
      </c>
      <c r="H1021" s="81">
        <f>IF(D1021="","",N(F1021)*N(G1021))</f>
        <v/>
      </c>
      <c r="I1021" s="7" t="inlineStr">
        <is>
          <t>OT-2026-0418</t>
        </is>
      </c>
      <c r="J1021" s="9">
        <f>IF(I1021="","",IFERROR(INDEX('Ordres de travail'!$D$5:$D$3004,MATCH(I1021,'Ordres de travail'!$A$5:$A$3004,0)),""))</f>
        <v/>
      </c>
      <c r="K1021" s="9">
        <f>IF(D1021="","",IFERROR(INDEX('Stock pièces'!$D$5:$D$404,MATCH(D1021,'Stock pièces'!$A$5:$A$404,0)),""))</f>
        <v/>
      </c>
      <c r="L1021" s="7" t="n"/>
      <c r="M1021" s="7" t="n"/>
    </row>
    <row r="1022">
      <c r="A1022" s="7" t="inlineStr">
        <is>
          <t>MV-01018</t>
        </is>
      </c>
      <c r="B1022" s="75" t="n">
        <v>46223.41666666666</v>
      </c>
      <c r="C1022" s="7" t="inlineStr">
        <is>
          <t>Entrée</t>
        </is>
      </c>
      <c r="D1022" s="7" t="inlineStr">
        <is>
          <t>PD-0013</t>
        </is>
      </c>
      <c r="E1022" s="9">
        <f>IF(D1022="","",IFERROR(INDEX('Stock pièces'!$B$5:$B$404,MATCH(D1022,'Stock pièces'!$A$5:$A$404,0)),"Réf. inconnue"))</f>
        <v/>
      </c>
      <c r="F1022" s="67" t="n">
        <v>4</v>
      </c>
      <c r="G1022" s="81">
        <f>IF(D1022="","",IFERROR(INDEX('Stock pièces'!$I$5:$I$404,MATCH(D1022,'Stock pièces'!$A$5:$A$404,0)),0))</f>
        <v/>
      </c>
      <c r="H1022" s="81">
        <f>IF(D1022="","",N(F1022)*N(G1022))</f>
        <v/>
      </c>
      <c r="I1022" s="7" t="n"/>
      <c r="J1022" s="9">
        <f>IF(I1022="","",IFERROR(INDEX('Ordres de travail'!$D$5:$D$3004,MATCH(I1022,'Ordres de travail'!$A$5:$A$3004,0)),""))</f>
        <v/>
      </c>
      <c r="K1022" s="9">
        <f>IF(D1022="","",IFERROR(INDEX('Stock pièces'!$D$5:$D$404,MATCH(D1022,'Stock pièces'!$A$5:$A$404,0)),""))</f>
        <v/>
      </c>
      <c r="L1022" s="7" t="inlineStr">
        <is>
          <t>CMD-24285</t>
        </is>
      </c>
      <c r="M1022" s="7" t="inlineStr">
        <is>
          <t>Réception commande réappro</t>
        </is>
      </c>
    </row>
    <row r="1023">
      <c r="A1023" s="7" t="inlineStr">
        <is>
          <t>MV-01019</t>
        </is>
      </c>
      <c r="B1023" s="75" t="n">
        <v>46224.41666666666</v>
      </c>
      <c r="C1023" s="7" t="inlineStr">
        <is>
          <t>Entrée</t>
        </is>
      </c>
      <c r="D1023" s="7" t="inlineStr">
        <is>
          <t>PD-0014</t>
        </is>
      </c>
      <c r="E1023" s="9">
        <f>IF(D1023="","",IFERROR(INDEX('Stock pièces'!$B$5:$B$404,MATCH(D1023,'Stock pièces'!$A$5:$A$404,0)),"Réf. inconnue"))</f>
        <v/>
      </c>
      <c r="F1023" s="67" t="n">
        <v>1</v>
      </c>
      <c r="G1023" s="81">
        <f>IF(D1023="","",IFERROR(INDEX('Stock pièces'!$I$5:$I$404,MATCH(D1023,'Stock pièces'!$A$5:$A$404,0)),0))</f>
        <v/>
      </c>
      <c r="H1023" s="81">
        <f>IF(D1023="","",N(F1023)*N(G1023))</f>
        <v/>
      </c>
      <c r="I1023" s="7" t="n"/>
      <c r="J1023" s="9">
        <f>IF(I1023="","",IFERROR(INDEX('Ordres de travail'!$D$5:$D$3004,MATCH(I1023,'Ordres de travail'!$A$5:$A$3004,0)),""))</f>
        <v/>
      </c>
      <c r="K1023" s="9">
        <f>IF(D1023="","",IFERROR(INDEX('Stock pièces'!$D$5:$D$404,MATCH(D1023,'Stock pièces'!$A$5:$A$404,0)),""))</f>
        <v/>
      </c>
      <c r="L1023" s="7" t="inlineStr">
        <is>
          <t>CMD-24286</t>
        </is>
      </c>
      <c r="M1023" s="7" t="inlineStr">
        <is>
          <t>Réception commande réappro</t>
        </is>
      </c>
    </row>
    <row r="1024">
      <c r="A1024" s="7" t="inlineStr">
        <is>
          <t>MV-01020</t>
        </is>
      </c>
      <c r="B1024" s="75" t="n">
        <v>46224.41666666666</v>
      </c>
      <c r="C1024" s="7" t="inlineStr">
        <is>
          <t>Entrée</t>
        </is>
      </c>
      <c r="D1024" s="7" t="inlineStr">
        <is>
          <t>PD-0024</t>
        </is>
      </c>
      <c r="E1024" s="9">
        <f>IF(D1024="","",IFERROR(INDEX('Stock pièces'!$B$5:$B$404,MATCH(D1024,'Stock pièces'!$A$5:$A$404,0)),"Réf. inconnue"))</f>
        <v/>
      </c>
      <c r="F1024" s="67" t="n">
        <v>2</v>
      </c>
      <c r="G1024" s="81">
        <f>IF(D1024="","",IFERROR(INDEX('Stock pièces'!$I$5:$I$404,MATCH(D1024,'Stock pièces'!$A$5:$A$404,0)),0))</f>
        <v/>
      </c>
      <c r="H1024" s="81">
        <f>IF(D1024="","",N(F1024)*N(G1024))</f>
        <v/>
      </c>
      <c r="I1024" s="7" t="n"/>
      <c r="J1024" s="9">
        <f>IF(I1024="","",IFERROR(INDEX('Ordres de travail'!$D$5:$D$3004,MATCH(I1024,'Ordres de travail'!$A$5:$A$3004,0)),""))</f>
        <v/>
      </c>
      <c r="K1024" s="9">
        <f>IF(D1024="","",IFERROR(INDEX('Stock pièces'!$D$5:$D$404,MATCH(D1024,'Stock pièces'!$A$5:$A$404,0)),""))</f>
        <v/>
      </c>
      <c r="L1024" s="7" t="inlineStr">
        <is>
          <t>CMD-24287</t>
        </is>
      </c>
      <c r="M1024" s="7" t="inlineStr">
        <is>
          <t>Réception commande réappro</t>
        </is>
      </c>
    </row>
    <row r="1025">
      <c r="A1025" s="7" t="inlineStr">
        <is>
          <t>MV-01021</t>
        </is>
      </c>
      <c r="B1025" s="75" t="n">
        <v>46225.40972222222</v>
      </c>
      <c r="C1025" s="7" t="inlineStr">
        <is>
          <t>Sortie</t>
        </is>
      </c>
      <c r="D1025" s="7" t="inlineStr">
        <is>
          <t>PD-0025</t>
        </is>
      </c>
      <c r="E1025" s="9">
        <f>IF(D1025="","",IFERROR(INDEX('Stock pièces'!$B$5:$B$404,MATCH(D1025,'Stock pièces'!$A$5:$A$404,0)),"Réf. inconnue"))</f>
        <v/>
      </c>
      <c r="F1025" s="67" t="n">
        <v>1</v>
      </c>
      <c r="G1025" s="81">
        <f>IF(D1025="","",IFERROR(INDEX('Stock pièces'!$I$5:$I$404,MATCH(D1025,'Stock pièces'!$A$5:$A$404,0)),0))</f>
        <v/>
      </c>
      <c r="H1025" s="81">
        <f>IF(D1025="","",N(F1025)*N(G1025))</f>
        <v/>
      </c>
      <c r="I1025" s="7" t="inlineStr">
        <is>
          <t>OT-2026-0428</t>
        </is>
      </c>
      <c r="J1025" s="9">
        <f>IF(I1025="","",IFERROR(INDEX('Ordres de travail'!$D$5:$D$3004,MATCH(I1025,'Ordres de travail'!$A$5:$A$3004,0)),""))</f>
        <v/>
      </c>
      <c r="K1025" s="9">
        <f>IF(D1025="","",IFERROR(INDEX('Stock pièces'!$D$5:$D$404,MATCH(D1025,'Stock pièces'!$A$5:$A$404,0)),""))</f>
        <v/>
      </c>
      <c r="L1025" s="7" t="n"/>
      <c r="M1025" s="7" t="n"/>
    </row>
    <row r="1026">
      <c r="A1026" s="7" t="inlineStr">
        <is>
          <t>MV-01022</t>
        </is>
      </c>
      <c r="B1026" s="75" t="n">
        <v>46225.42361111111</v>
      </c>
      <c r="C1026" s="7" t="inlineStr">
        <is>
          <t>Sortie</t>
        </is>
      </c>
      <c r="D1026" s="7" t="inlineStr">
        <is>
          <t>PD-0025</t>
        </is>
      </c>
      <c r="E1026" s="9">
        <f>IF(D1026="","",IFERROR(INDEX('Stock pièces'!$B$5:$B$404,MATCH(D1026,'Stock pièces'!$A$5:$A$404,0)),"Réf. inconnue"))</f>
        <v/>
      </c>
      <c r="F1026" s="67" t="n">
        <v>1</v>
      </c>
      <c r="G1026" s="81">
        <f>IF(D1026="","",IFERROR(INDEX('Stock pièces'!$I$5:$I$404,MATCH(D1026,'Stock pièces'!$A$5:$A$404,0)),0))</f>
        <v/>
      </c>
      <c r="H1026" s="81">
        <f>IF(D1026="","",N(F1026)*N(G1026))</f>
        <v/>
      </c>
      <c r="I1026" s="7" t="inlineStr">
        <is>
          <t>OT-2026-0429</t>
        </is>
      </c>
      <c r="J1026" s="9">
        <f>IF(I1026="","",IFERROR(INDEX('Ordres de travail'!$D$5:$D$3004,MATCH(I1026,'Ordres de travail'!$A$5:$A$3004,0)),""))</f>
        <v/>
      </c>
      <c r="K1026" s="9">
        <f>IF(D1026="","",IFERROR(INDEX('Stock pièces'!$D$5:$D$404,MATCH(D1026,'Stock pièces'!$A$5:$A$404,0)),""))</f>
        <v/>
      </c>
      <c r="L1026" s="7" t="n"/>
      <c r="M1026" s="7" t="n"/>
    </row>
    <row r="1027">
      <c r="A1027" s="7" t="inlineStr">
        <is>
          <t>MV-01023</t>
        </is>
      </c>
      <c r="B1027" s="75" t="n">
        <v>46225.55902777778</v>
      </c>
      <c r="C1027" s="7" t="inlineStr">
        <is>
          <t>Sortie</t>
        </is>
      </c>
      <c r="D1027" s="7" t="inlineStr">
        <is>
          <t>PD-0017</t>
        </is>
      </c>
      <c r="E1027" s="9">
        <f>IF(D1027="","",IFERROR(INDEX('Stock pièces'!$B$5:$B$404,MATCH(D1027,'Stock pièces'!$A$5:$A$404,0)),"Réf. inconnue"))</f>
        <v/>
      </c>
      <c r="F1027" s="67" t="n">
        <v>1</v>
      </c>
      <c r="G1027" s="81">
        <f>IF(D1027="","",IFERROR(INDEX('Stock pièces'!$I$5:$I$404,MATCH(D1027,'Stock pièces'!$A$5:$A$404,0)),0))</f>
        <v/>
      </c>
      <c r="H1027" s="81">
        <f>IF(D1027="","",N(F1027)*N(G1027))</f>
        <v/>
      </c>
      <c r="I1027" s="7" t="inlineStr">
        <is>
          <t>OT-2026-0426</t>
        </is>
      </c>
      <c r="J1027" s="9">
        <f>IF(I1027="","",IFERROR(INDEX('Ordres de travail'!$D$5:$D$3004,MATCH(I1027,'Ordres de travail'!$A$5:$A$3004,0)),""))</f>
        <v/>
      </c>
      <c r="K1027" s="9">
        <f>IF(D1027="","",IFERROR(INDEX('Stock pièces'!$D$5:$D$404,MATCH(D1027,'Stock pièces'!$A$5:$A$404,0)),""))</f>
        <v/>
      </c>
      <c r="L1027" s="7" t="n"/>
      <c r="M1027" s="7" t="n"/>
    </row>
    <row r="1028">
      <c r="A1028" s="7" t="inlineStr">
        <is>
          <t>MV-01024</t>
        </is>
      </c>
      <c r="B1028" s="75" t="n">
        <v>46225.84097222222</v>
      </c>
      <c r="C1028" s="7" t="inlineStr">
        <is>
          <t>Sortie</t>
        </is>
      </c>
      <c r="D1028" s="7" t="inlineStr">
        <is>
          <t>PD-0043</t>
        </is>
      </c>
      <c r="E1028" s="9">
        <f>IF(D1028="","",IFERROR(INDEX('Stock pièces'!$B$5:$B$404,MATCH(D1028,'Stock pièces'!$A$5:$A$404,0)),"Réf. inconnue"))</f>
        <v/>
      </c>
      <c r="F1028" s="67" t="n">
        <v>1</v>
      </c>
      <c r="G1028" s="81">
        <f>IF(D1028="","",IFERROR(INDEX('Stock pièces'!$I$5:$I$404,MATCH(D1028,'Stock pièces'!$A$5:$A$404,0)),0))</f>
        <v/>
      </c>
      <c r="H1028" s="81">
        <f>IF(D1028="","",N(F1028)*N(G1028))</f>
        <v/>
      </c>
      <c r="I1028" s="7" t="inlineStr">
        <is>
          <t>OT-2026-0444</t>
        </is>
      </c>
      <c r="J1028" s="9">
        <f>IF(I1028="","",IFERROR(INDEX('Ordres de travail'!$D$5:$D$3004,MATCH(I1028,'Ordres de travail'!$A$5:$A$3004,0)),""))</f>
        <v/>
      </c>
      <c r="K1028" s="9">
        <f>IF(D1028="","",IFERROR(INDEX('Stock pièces'!$D$5:$D$404,MATCH(D1028,'Stock pièces'!$A$5:$A$404,0)),""))</f>
        <v/>
      </c>
      <c r="L1028" s="7" t="n"/>
      <c r="M1028" s="7" t="n"/>
    </row>
    <row r="1029">
      <c r="A1029" s="7" t="inlineStr">
        <is>
          <t>MV-01025</t>
        </is>
      </c>
      <c r="B1029" s="75" t="n">
        <v>46227.39236111111</v>
      </c>
      <c r="C1029" s="7" t="inlineStr">
        <is>
          <t>Sortie</t>
        </is>
      </c>
      <c r="D1029" s="7" t="inlineStr">
        <is>
          <t>PD-0062</t>
        </is>
      </c>
      <c r="E1029" s="9">
        <f>IF(D1029="","",IFERROR(INDEX('Stock pièces'!$B$5:$B$404,MATCH(D1029,'Stock pièces'!$A$5:$A$404,0)),"Réf. inconnue"))</f>
        <v/>
      </c>
      <c r="F1029" s="67" t="n">
        <v>1</v>
      </c>
      <c r="G1029" s="81">
        <f>IF(D1029="","",IFERROR(INDEX('Stock pièces'!$I$5:$I$404,MATCH(D1029,'Stock pièces'!$A$5:$A$404,0)),0))</f>
        <v/>
      </c>
      <c r="H1029" s="81">
        <f>IF(D1029="","",N(F1029)*N(G1029))</f>
        <v/>
      </c>
      <c r="I1029" s="7" t="inlineStr">
        <is>
          <t>OT-2026-0433</t>
        </is>
      </c>
      <c r="J1029" s="9">
        <f>IF(I1029="","",IFERROR(INDEX('Ordres de travail'!$D$5:$D$3004,MATCH(I1029,'Ordres de travail'!$A$5:$A$3004,0)),""))</f>
        <v/>
      </c>
      <c r="K1029" s="9">
        <f>IF(D1029="","",IFERROR(INDEX('Stock pièces'!$D$5:$D$404,MATCH(D1029,'Stock pièces'!$A$5:$A$404,0)),""))</f>
        <v/>
      </c>
      <c r="L1029" s="7" t="n"/>
      <c r="M1029" s="7" t="n"/>
    </row>
    <row r="1030">
      <c r="A1030" s="7" t="inlineStr">
        <is>
          <t>MV-01026</t>
        </is>
      </c>
      <c r="B1030" s="75" t="n">
        <v>46227.60069444445</v>
      </c>
      <c r="C1030" s="7" t="inlineStr">
        <is>
          <t>Sortie</t>
        </is>
      </c>
      <c r="D1030" s="7" t="inlineStr">
        <is>
          <t>PD-0017</t>
        </is>
      </c>
      <c r="E1030" s="9">
        <f>IF(D1030="","",IFERROR(INDEX('Stock pièces'!$B$5:$B$404,MATCH(D1030,'Stock pièces'!$A$5:$A$404,0)),"Réf. inconnue"))</f>
        <v/>
      </c>
      <c r="F1030" s="67" t="n">
        <v>1</v>
      </c>
      <c r="G1030" s="81">
        <f>IF(D1030="","",IFERROR(INDEX('Stock pièces'!$I$5:$I$404,MATCH(D1030,'Stock pièces'!$A$5:$A$404,0)),0))</f>
        <v/>
      </c>
      <c r="H1030" s="81">
        <f>IF(D1030="","",N(F1030)*N(G1030))</f>
        <v/>
      </c>
      <c r="I1030" s="7" t="inlineStr">
        <is>
          <t>OT-2026-0436</t>
        </is>
      </c>
      <c r="J1030" s="9">
        <f>IF(I1030="","",IFERROR(INDEX('Ordres de travail'!$D$5:$D$3004,MATCH(I1030,'Ordres de travail'!$A$5:$A$3004,0)),""))</f>
        <v/>
      </c>
      <c r="K1030" s="9">
        <f>IF(D1030="","",IFERROR(INDEX('Stock pièces'!$D$5:$D$404,MATCH(D1030,'Stock pièces'!$A$5:$A$404,0)),""))</f>
        <v/>
      </c>
      <c r="L1030" s="7" t="n"/>
      <c r="M1030" s="7" t="n"/>
    </row>
    <row r="1031">
      <c r="A1031" s="7" t="inlineStr">
        <is>
          <t>MV-01027</t>
        </is>
      </c>
      <c r="B1031" s="75" t="n">
        <v>46228.49305555555</v>
      </c>
      <c r="C1031" s="7" t="inlineStr">
        <is>
          <t>Sortie</t>
        </is>
      </c>
      <c r="D1031" s="7" t="inlineStr">
        <is>
          <t>PD-0007</t>
        </is>
      </c>
      <c r="E1031" s="9">
        <f>IF(D1031="","",IFERROR(INDEX('Stock pièces'!$B$5:$B$404,MATCH(D1031,'Stock pièces'!$A$5:$A$404,0)),"Réf. inconnue"))</f>
        <v/>
      </c>
      <c r="F1031" s="67" t="n">
        <v>3</v>
      </c>
      <c r="G1031" s="81">
        <f>IF(D1031="","",IFERROR(INDEX('Stock pièces'!$I$5:$I$404,MATCH(D1031,'Stock pièces'!$A$5:$A$404,0)),0))</f>
        <v/>
      </c>
      <c r="H1031" s="81">
        <f>IF(D1031="","",N(F1031)*N(G1031))</f>
        <v/>
      </c>
      <c r="I1031" s="7" t="inlineStr">
        <is>
          <t>OT-2026-0447</t>
        </is>
      </c>
      <c r="J1031" s="9">
        <f>IF(I1031="","",IFERROR(INDEX('Ordres de travail'!$D$5:$D$3004,MATCH(I1031,'Ordres de travail'!$A$5:$A$3004,0)),""))</f>
        <v/>
      </c>
      <c r="K1031" s="9">
        <f>IF(D1031="","",IFERROR(INDEX('Stock pièces'!$D$5:$D$404,MATCH(D1031,'Stock pièces'!$A$5:$A$404,0)),""))</f>
        <v/>
      </c>
      <c r="L1031" s="7" t="n"/>
      <c r="M1031" s="7" t="n"/>
    </row>
    <row r="1032">
      <c r="A1032" s="7" t="inlineStr">
        <is>
          <t>MV-01028</t>
        </is>
      </c>
      <c r="B1032" s="75" t="n">
        <v>46230.43055555555</v>
      </c>
      <c r="C1032" s="7" t="inlineStr">
        <is>
          <t>Sortie</t>
        </is>
      </c>
      <c r="D1032" s="7" t="inlineStr">
        <is>
          <t>PD-0017</t>
        </is>
      </c>
      <c r="E1032" s="9">
        <f>IF(D1032="","",IFERROR(INDEX('Stock pièces'!$B$5:$B$404,MATCH(D1032,'Stock pièces'!$A$5:$A$404,0)),"Réf. inconnue"))</f>
        <v/>
      </c>
      <c r="F1032" s="67" t="n">
        <v>1</v>
      </c>
      <c r="G1032" s="81">
        <f>IF(D1032="","",IFERROR(INDEX('Stock pièces'!$I$5:$I$404,MATCH(D1032,'Stock pièces'!$A$5:$A$404,0)),0))</f>
        <v/>
      </c>
      <c r="H1032" s="81">
        <f>IF(D1032="","",N(F1032)*N(G1032))</f>
        <v/>
      </c>
      <c r="I1032" s="7" t="inlineStr">
        <is>
          <t>OT-2026-0439</t>
        </is>
      </c>
      <c r="J1032" s="9">
        <f>IF(I1032="","",IFERROR(INDEX('Ordres de travail'!$D$5:$D$3004,MATCH(I1032,'Ordres de travail'!$A$5:$A$3004,0)),""))</f>
        <v/>
      </c>
      <c r="K1032" s="9">
        <f>IF(D1032="","",IFERROR(INDEX('Stock pièces'!$D$5:$D$404,MATCH(D1032,'Stock pièces'!$A$5:$A$404,0)),""))</f>
        <v/>
      </c>
      <c r="L1032" s="7" t="n"/>
      <c r="M1032" s="7" t="n"/>
    </row>
    <row r="1033">
      <c r="A1033" s="7" t="inlineStr">
        <is>
          <t>MV-01029</t>
        </is>
      </c>
      <c r="B1033" s="75" t="n">
        <v>46231.41666666666</v>
      </c>
      <c r="C1033" s="7" t="inlineStr">
        <is>
          <t>Entrée</t>
        </is>
      </c>
      <c r="D1033" s="7" t="inlineStr">
        <is>
          <t>PD-0062</t>
        </is>
      </c>
      <c r="E1033" s="9">
        <f>IF(D1033="","",IFERROR(INDEX('Stock pièces'!$B$5:$B$404,MATCH(D1033,'Stock pièces'!$A$5:$A$404,0)),"Réf. inconnue"))</f>
        <v/>
      </c>
      <c r="F1033" s="67" t="n">
        <v>15</v>
      </c>
      <c r="G1033" s="81">
        <f>IF(D1033="","",IFERROR(INDEX('Stock pièces'!$I$5:$I$404,MATCH(D1033,'Stock pièces'!$A$5:$A$404,0)),0))</f>
        <v/>
      </c>
      <c r="H1033" s="81">
        <f>IF(D1033="","",N(F1033)*N(G1033))</f>
        <v/>
      </c>
      <c r="I1033" s="7" t="n"/>
      <c r="J1033" s="9">
        <f>IF(I1033="","",IFERROR(INDEX('Ordres de travail'!$D$5:$D$3004,MATCH(I1033,'Ordres de travail'!$A$5:$A$3004,0)),""))</f>
        <v/>
      </c>
      <c r="K1033" s="9">
        <f>IF(D1033="","",IFERROR(INDEX('Stock pièces'!$D$5:$D$404,MATCH(D1033,'Stock pièces'!$A$5:$A$404,0)),""))</f>
        <v/>
      </c>
      <c r="L1033" s="7" t="inlineStr">
        <is>
          <t>CMD-24290</t>
        </is>
      </c>
      <c r="M1033" s="7" t="inlineStr">
        <is>
          <t>Réception commande réappro</t>
        </is>
      </c>
    </row>
    <row r="1034">
      <c r="A1034" s="7" t="inlineStr">
        <is>
          <t>MV-01030</t>
        </is>
      </c>
      <c r="B1034" s="75" t="n">
        <v>46231.82916666667</v>
      </c>
      <c r="C1034" s="7" t="inlineStr">
        <is>
          <t>Entrée</t>
        </is>
      </c>
      <c r="D1034" s="7" t="inlineStr">
        <is>
          <t>PD-0043</t>
        </is>
      </c>
      <c r="E1034" s="9">
        <f>IF(D1034="","",IFERROR(INDEX('Stock pièces'!$B$5:$B$404,MATCH(D1034,'Stock pièces'!$A$5:$A$404,0)),"Réf. inconnue"))</f>
        <v/>
      </c>
      <c r="F1034" s="67" t="n">
        <v>1</v>
      </c>
      <c r="G1034" s="81">
        <f>IF(D1034="","",IFERROR(INDEX('Stock pièces'!$I$5:$I$404,MATCH(D1034,'Stock pièces'!$A$5:$A$404,0)),0))</f>
        <v/>
      </c>
      <c r="H1034" s="81">
        <f>IF(D1034="","",N(F1034)*N(G1034))</f>
        <v/>
      </c>
      <c r="I1034" s="7" t="n"/>
      <c r="J1034" s="9">
        <f>IF(I1034="","",IFERROR(INDEX('Ordres de travail'!$D$5:$D$3004,MATCH(I1034,'Ordres de travail'!$A$5:$A$3004,0)),""))</f>
        <v/>
      </c>
      <c r="K1034" s="9">
        <f>IF(D1034="","",IFERROR(INDEX('Stock pièces'!$D$5:$D$404,MATCH(D1034,'Stock pièces'!$A$5:$A$404,0)),""))</f>
        <v/>
      </c>
      <c r="L1034" s="7" t="inlineStr">
        <is>
          <t>URG-24293</t>
        </is>
      </c>
      <c r="M1034" s="7" t="inlineStr">
        <is>
          <t>Achat urgent (rupture)</t>
        </is>
      </c>
    </row>
    <row r="1035">
      <c r="A1035" s="7" t="inlineStr">
        <is>
          <t>MV-01031</t>
        </is>
      </c>
      <c r="B1035" s="75" t="n">
        <v>46231.83263888889</v>
      </c>
      <c r="C1035" s="7" t="inlineStr">
        <is>
          <t>Sortie</t>
        </is>
      </c>
      <c r="D1035" s="7" t="inlineStr">
        <is>
          <t>PD-0038</t>
        </is>
      </c>
      <c r="E1035" s="9">
        <f>IF(D1035="","",IFERROR(INDEX('Stock pièces'!$B$5:$B$404,MATCH(D1035,'Stock pièces'!$A$5:$A$404,0)),"Réf. inconnue"))</f>
        <v/>
      </c>
      <c r="F1035" s="67" t="n">
        <v>3</v>
      </c>
      <c r="G1035" s="81">
        <f>IF(D1035="","",IFERROR(INDEX('Stock pièces'!$I$5:$I$404,MATCH(D1035,'Stock pièces'!$A$5:$A$404,0)),0))</f>
        <v/>
      </c>
      <c r="H1035" s="81">
        <f>IF(D1035="","",N(F1035)*N(G1035))</f>
        <v/>
      </c>
      <c r="I1035" s="7" t="inlineStr">
        <is>
          <t>OT-2026-0454</t>
        </is>
      </c>
      <c r="J1035" s="9">
        <f>IF(I1035="","",IFERROR(INDEX('Ordres de travail'!$D$5:$D$3004,MATCH(I1035,'Ordres de travail'!$A$5:$A$3004,0)),""))</f>
        <v/>
      </c>
      <c r="K1035" s="9">
        <f>IF(D1035="","",IFERROR(INDEX('Stock pièces'!$D$5:$D$404,MATCH(D1035,'Stock pièces'!$A$5:$A$404,0)),""))</f>
        <v/>
      </c>
      <c r="L1035" s="7" t="n"/>
      <c r="M1035" s="7" t="n"/>
    </row>
    <row r="1036">
      <c r="A1036" s="7" t="inlineStr">
        <is>
          <t>MV-01032</t>
        </is>
      </c>
      <c r="B1036" s="75" t="n">
        <v>46231.83263888889</v>
      </c>
      <c r="C1036" s="7" t="inlineStr">
        <is>
          <t>Sortie</t>
        </is>
      </c>
      <c r="D1036" s="7" t="inlineStr">
        <is>
          <t>PD-0043</t>
        </is>
      </c>
      <c r="E1036" s="9">
        <f>IF(D1036="","",IFERROR(INDEX('Stock pièces'!$B$5:$B$404,MATCH(D1036,'Stock pièces'!$A$5:$A$404,0)),"Réf. inconnue"))</f>
        <v/>
      </c>
      <c r="F1036" s="67" t="n">
        <v>1</v>
      </c>
      <c r="G1036" s="81">
        <f>IF(D1036="","",IFERROR(INDEX('Stock pièces'!$I$5:$I$404,MATCH(D1036,'Stock pièces'!$A$5:$A$404,0)),0))</f>
        <v/>
      </c>
      <c r="H1036" s="81">
        <f>IF(D1036="","",N(F1036)*N(G1036))</f>
        <v/>
      </c>
      <c r="I1036" s="7" t="inlineStr">
        <is>
          <t>OT-2026-0454</t>
        </is>
      </c>
      <c r="J1036" s="9">
        <f>IF(I1036="","",IFERROR(INDEX('Ordres de travail'!$D$5:$D$3004,MATCH(I1036,'Ordres de travail'!$A$5:$A$3004,0)),""))</f>
        <v/>
      </c>
      <c r="K1036" s="9">
        <f>IF(D1036="","",IFERROR(INDEX('Stock pièces'!$D$5:$D$404,MATCH(D1036,'Stock pièces'!$A$5:$A$404,0)),""))</f>
        <v/>
      </c>
      <c r="L1036" s="7" t="n"/>
      <c r="M1036" s="7" t="n"/>
    </row>
    <row r="1037">
      <c r="A1037" s="7" t="inlineStr">
        <is>
          <t>MV-01033</t>
        </is>
      </c>
      <c r="B1037" s="75" t="n">
        <v>46233.41666666666</v>
      </c>
      <c r="C1037" s="7" t="inlineStr">
        <is>
          <t>Entrée</t>
        </is>
      </c>
      <c r="D1037" s="7" t="inlineStr">
        <is>
          <t>PD-0065</t>
        </is>
      </c>
      <c r="E1037" s="9">
        <f>IF(D1037="","",IFERROR(INDEX('Stock pièces'!$B$5:$B$404,MATCH(D1037,'Stock pièces'!$A$5:$A$404,0)),"Réf. inconnue"))</f>
        <v/>
      </c>
      <c r="F1037" s="67" t="n">
        <v>1</v>
      </c>
      <c r="G1037" s="81">
        <f>IF(D1037="","",IFERROR(INDEX('Stock pièces'!$I$5:$I$404,MATCH(D1037,'Stock pièces'!$A$5:$A$404,0)),0))</f>
        <v/>
      </c>
      <c r="H1037" s="81">
        <f>IF(D1037="","",N(F1037)*N(G1037))</f>
        <v/>
      </c>
      <c r="I1037" s="7" t="n"/>
      <c r="J1037" s="9">
        <f>IF(I1037="","",IFERROR(INDEX('Ordres de travail'!$D$5:$D$3004,MATCH(I1037,'Ordres de travail'!$A$5:$A$3004,0)),""))</f>
        <v/>
      </c>
      <c r="K1037" s="9">
        <f>IF(D1037="","",IFERROR(INDEX('Stock pièces'!$D$5:$D$404,MATCH(D1037,'Stock pièces'!$A$5:$A$404,0)),""))</f>
        <v/>
      </c>
      <c r="L1037" s="7" t="inlineStr">
        <is>
          <t>CMD-24288</t>
        </is>
      </c>
      <c r="M1037" s="7" t="inlineStr">
        <is>
          <t>Réception commande réappro</t>
        </is>
      </c>
    </row>
    <row r="1038">
      <c r="A1038" s="7" t="inlineStr">
        <is>
          <t>MV-01034</t>
        </is>
      </c>
      <c r="B1038" s="75" t="n">
        <v>46233.41666666666</v>
      </c>
      <c r="C1038" s="7" t="inlineStr">
        <is>
          <t>Entrée</t>
        </is>
      </c>
      <c r="D1038" s="7" t="inlineStr">
        <is>
          <t>PD-0007</t>
        </is>
      </c>
      <c r="E1038" s="9">
        <f>IF(D1038="","",IFERROR(INDEX('Stock pièces'!$B$5:$B$404,MATCH(D1038,'Stock pièces'!$A$5:$A$404,0)),"Réf. inconnue"))</f>
        <v/>
      </c>
      <c r="F1038" s="67" t="n">
        <v>4</v>
      </c>
      <c r="G1038" s="81">
        <f>IF(D1038="","",IFERROR(INDEX('Stock pièces'!$I$5:$I$404,MATCH(D1038,'Stock pièces'!$A$5:$A$404,0)),0))</f>
        <v/>
      </c>
      <c r="H1038" s="81">
        <f>IF(D1038="","",N(F1038)*N(G1038))</f>
        <v/>
      </c>
      <c r="I1038" s="7" t="n"/>
      <c r="J1038" s="9">
        <f>IF(I1038="","",IFERROR(INDEX('Ordres de travail'!$D$5:$D$3004,MATCH(I1038,'Ordres de travail'!$A$5:$A$3004,0)),""))</f>
        <v/>
      </c>
      <c r="K1038" s="9">
        <f>IF(D1038="","",IFERROR(INDEX('Stock pièces'!$D$5:$D$404,MATCH(D1038,'Stock pièces'!$A$5:$A$404,0)),""))</f>
        <v/>
      </c>
      <c r="L1038" s="7" t="inlineStr">
        <is>
          <t>CMD-24291</t>
        </is>
      </c>
      <c r="M1038" s="7" t="inlineStr">
        <is>
          <t>Réception commande réappro</t>
        </is>
      </c>
    </row>
    <row r="1039">
      <c r="A1039" s="7" t="inlineStr">
        <is>
          <t>MV-01035</t>
        </is>
      </c>
      <c r="B1039" s="75" t="n">
        <v>46234.46527777778</v>
      </c>
      <c r="C1039" s="7" t="inlineStr">
        <is>
          <t>Sortie</t>
        </is>
      </c>
      <c r="D1039" s="7" t="inlineStr">
        <is>
          <t>PD-0019</t>
        </is>
      </c>
      <c r="E1039" s="9">
        <f>IF(D1039="","",IFERROR(INDEX('Stock pièces'!$B$5:$B$404,MATCH(D1039,'Stock pièces'!$A$5:$A$404,0)),"Réf. inconnue"))</f>
        <v/>
      </c>
      <c r="F1039" s="67" t="n">
        <v>4</v>
      </c>
      <c r="G1039" s="81">
        <f>IF(D1039="","",IFERROR(INDEX('Stock pièces'!$I$5:$I$404,MATCH(D1039,'Stock pièces'!$A$5:$A$404,0)),0))</f>
        <v/>
      </c>
      <c r="H1039" s="81">
        <f>IF(D1039="","",N(F1039)*N(G1039))</f>
        <v/>
      </c>
      <c r="I1039" s="7" t="inlineStr">
        <is>
          <t>OT-2026-0446</t>
        </is>
      </c>
      <c r="J1039" s="9">
        <f>IF(I1039="","",IFERROR(INDEX('Ordres de travail'!$D$5:$D$3004,MATCH(I1039,'Ordres de travail'!$A$5:$A$3004,0)),""))</f>
        <v/>
      </c>
      <c r="K1039" s="9">
        <f>IF(D1039="","",IFERROR(INDEX('Stock pièces'!$D$5:$D$404,MATCH(D1039,'Stock pièces'!$A$5:$A$404,0)),""))</f>
        <v/>
      </c>
      <c r="L1039" s="7" t="n"/>
      <c r="M1039" s="7" t="n"/>
    </row>
    <row r="1040">
      <c r="A1040" s="7" t="inlineStr">
        <is>
          <t>MV-01036</t>
        </is>
      </c>
      <c r="B1040" s="75" t="n">
        <v>46234.89305555556</v>
      </c>
      <c r="C1040" s="7" t="inlineStr">
        <is>
          <t>Sortie</t>
        </is>
      </c>
      <c r="D1040" s="7" t="inlineStr">
        <is>
          <t>PD-0045</t>
        </is>
      </c>
      <c r="E1040" s="9">
        <f>IF(D1040="","",IFERROR(INDEX('Stock pièces'!$B$5:$B$404,MATCH(D1040,'Stock pièces'!$A$5:$A$404,0)),"Réf. inconnue"))</f>
        <v/>
      </c>
      <c r="F1040" s="67" t="n">
        <v>1</v>
      </c>
      <c r="G1040" s="81">
        <f>IF(D1040="","",IFERROR(INDEX('Stock pièces'!$I$5:$I$404,MATCH(D1040,'Stock pièces'!$A$5:$A$404,0)),0))</f>
        <v/>
      </c>
      <c r="H1040" s="81">
        <f>IF(D1040="","",N(F1040)*N(G1040))</f>
        <v/>
      </c>
      <c r="I1040" s="7" t="inlineStr">
        <is>
          <t>OT-2026-0460</t>
        </is>
      </c>
      <c r="J1040" s="9">
        <f>IF(I1040="","",IFERROR(INDEX('Ordres de travail'!$D$5:$D$3004,MATCH(I1040,'Ordres de travail'!$A$5:$A$3004,0)),""))</f>
        <v/>
      </c>
      <c r="K1040" s="9">
        <f>IF(D1040="","",IFERROR(INDEX('Stock pièces'!$D$5:$D$404,MATCH(D1040,'Stock pièces'!$A$5:$A$404,0)),""))</f>
        <v/>
      </c>
      <c r="L1040" s="7" t="n"/>
      <c r="M1040" s="7" t="n"/>
    </row>
    <row r="1041">
      <c r="A1041" s="7" t="inlineStr">
        <is>
          <t>MV-01037</t>
        </is>
      </c>
      <c r="B1041" s="75" t="n">
        <v>46237.41666666666</v>
      </c>
      <c r="C1041" s="7" t="inlineStr">
        <is>
          <t>Entrée</t>
        </is>
      </c>
      <c r="D1041" s="7" t="inlineStr">
        <is>
          <t>PD-0038</t>
        </is>
      </c>
      <c r="E1041" s="9">
        <f>IF(D1041="","",IFERROR(INDEX('Stock pièces'!$B$5:$B$404,MATCH(D1041,'Stock pièces'!$A$5:$A$404,0)),"Réf. inconnue"))</f>
        <v/>
      </c>
      <c r="F1041" s="67" t="n">
        <v>8</v>
      </c>
      <c r="G1041" s="81">
        <f>IF(D1041="","",IFERROR(INDEX('Stock pièces'!$I$5:$I$404,MATCH(D1041,'Stock pièces'!$A$5:$A$404,0)),0))</f>
        <v/>
      </c>
      <c r="H1041" s="81">
        <f>IF(D1041="","",N(F1041)*N(G1041))</f>
        <v/>
      </c>
      <c r="I1041" s="7" t="n"/>
      <c r="J1041" s="9">
        <f>IF(I1041="","",IFERROR(INDEX('Ordres de travail'!$D$5:$D$3004,MATCH(I1041,'Ordres de travail'!$A$5:$A$3004,0)),""))</f>
        <v/>
      </c>
      <c r="K1041" s="9">
        <f>IF(D1041="","",IFERROR(INDEX('Stock pièces'!$D$5:$D$404,MATCH(D1041,'Stock pièces'!$A$5:$A$404,0)),""))</f>
        <v/>
      </c>
      <c r="L1041" s="7" t="inlineStr">
        <is>
          <t>CMD-24292</t>
        </is>
      </c>
      <c r="M1041" s="7" t="inlineStr">
        <is>
          <t>Réception commande réappro</t>
        </is>
      </c>
    </row>
    <row r="1042">
      <c r="A1042" s="7" t="inlineStr">
        <is>
          <t>MV-01038</t>
        </is>
      </c>
      <c r="B1042" s="75" t="n">
        <v>46237.80416666667</v>
      </c>
      <c r="C1042" s="7" t="inlineStr">
        <is>
          <t>Sortie</t>
        </is>
      </c>
      <c r="D1042" s="7" t="inlineStr">
        <is>
          <t>PD-0007</t>
        </is>
      </c>
      <c r="E1042" s="9">
        <f>IF(D1042="","",IFERROR(INDEX('Stock pièces'!$B$5:$B$404,MATCH(D1042,'Stock pièces'!$A$5:$A$404,0)),"Réf. inconnue"))</f>
        <v/>
      </c>
      <c r="F1042" s="67" t="n">
        <v>2</v>
      </c>
      <c r="G1042" s="81">
        <f>IF(D1042="","",IFERROR(INDEX('Stock pièces'!$I$5:$I$404,MATCH(D1042,'Stock pièces'!$A$5:$A$404,0)),0))</f>
        <v/>
      </c>
      <c r="H1042" s="81">
        <f>IF(D1042="","",N(F1042)*N(G1042))</f>
        <v/>
      </c>
      <c r="I1042" s="7" t="inlineStr">
        <is>
          <t>OT-2026-0453</t>
        </is>
      </c>
      <c r="J1042" s="9">
        <f>IF(I1042="","",IFERROR(INDEX('Ordres de travail'!$D$5:$D$3004,MATCH(I1042,'Ordres de travail'!$A$5:$A$3004,0)),""))</f>
        <v/>
      </c>
      <c r="K1042" s="9">
        <f>IF(D1042="","",IFERROR(INDEX('Stock pièces'!$D$5:$D$404,MATCH(D1042,'Stock pièces'!$A$5:$A$404,0)),""))</f>
        <v/>
      </c>
      <c r="L1042" s="7" t="n"/>
      <c r="M1042" s="7" t="n"/>
    </row>
    <row r="1043">
      <c r="A1043" s="7" t="inlineStr">
        <is>
          <t>MV-01039</t>
        </is>
      </c>
      <c r="B1043" s="75" t="n">
        <v>46237.80416666667</v>
      </c>
      <c r="C1043" s="7" t="inlineStr">
        <is>
          <t>Sortie</t>
        </is>
      </c>
      <c r="D1043" s="7" t="inlineStr">
        <is>
          <t>PD-0009</t>
        </is>
      </c>
      <c r="E1043" s="9">
        <f>IF(D1043="","",IFERROR(INDEX('Stock pièces'!$B$5:$B$404,MATCH(D1043,'Stock pièces'!$A$5:$A$404,0)),"Réf. inconnue"))</f>
        <v/>
      </c>
      <c r="F1043" s="67" t="n">
        <v>2</v>
      </c>
      <c r="G1043" s="81">
        <f>IF(D1043="","",IFERROR(INDEX('Stock pièces'!$I$5:$I$404,MATCH(D1043,'Stock pièces'!$A$5:$A$404,0)),0))</f>
        <v/>
      </c>
      <c r="H1043" s="81">
        <f>IF(D1043="","",N(F1043)*N(G1043))</f>
        <v/>
      </c>
      <c r="I1043" s="7" t="inlineStr">
        <is>
          <t>OT-2026-0453</t>
        </is>
      </c>
      <c r="J1043" s="9">
        <f>IF(I1043="","",IFERROR(INDEX('Ordres de travail'!$D$5:$D$3004,MATCH(I1043,'Ordres de travail'!$A$5:$A$3004,0)),""))</f>
        <v/>
      </c>
      <c r="K1043" s="9">
        <f>IF(D1043="","",IFERROR(INDEX('Stock pièces'!$D$5:$D$404,MATCH(D1043,'Stock pièces'!$A$5:$A$404,0)),""))</f>
        <v/>
      </c>
      <c r="L1043" s="7" t="n"/>
      <c r="M1043" s="7" t="n"/>
    </row>
    <row r="1044">
      <c r="A1044" s="7" t="inlineStr">
        <is>
          <t>MV-01040</t>
        </is>
      </c>
      <c r="B1044" s="75" t="n">
        <v>46238.47569444445</v>
      </c>
      <c r="C1044" s="7" t="inlineStr">
        <is>
          <t>Sortie</t>
        </is>
      </c>
      <c r="D1044" s="7" t="inlineStr">
        <is>
          <t>PD-0058</t>
        </is>
      </c>
      <c r="E1044" s="9">
        <f>IF(D1044="","",IFERROR(INDEX('Stock pièces'!$B$5:$B$404,MATCH(D1044,'Stock pièces'!$A$5:$A$404,0)),"Réf. inconnue"))</f>
        <v/>
      </c>
      <c r="F1044" s="67" t="n">
        <v>1</v>
      </c>
      <c r="G1044" s="81">
        <f>IF(D1044="","",IFERROR(INDEX('Stock pièces'!$I$5:$I$404,MATCH(D1044,'Stock pièces'!$A$5:$A$404,0)),0))</f>
        <v/>
      </c>
      <c r="H1044" s="81">
        <f>IF(D1044="","",N(F1044)*N(G1044))</f>
        <v/>
      </c>
      <c r="I1044" s="7" t="inlineStr">
        <is>
          <t>OT-2026-0451</t>
        </is>
      </c>
      <c r="J1044" s="9">
        <f>IF(I1044="","",IFERROR(INDEX('Ordres de travail'!$D$5:$D$3004,MATCH(I1044,'Ordres de travail'!$A$5:$A$3004,0)),""))</f>
        <v/>
      </c>
      <c r="K1044" s="9">
        <f>IF(D1044="","",IFERROR(INDEX('Stock pièces'!$D$5:$D$404,MATCH(D1044,'Stock pièces'!$A$5:$A$404,0)),""))</f>
        <v/>
      </c>
      <c r="L1044" s="7" t="n"/>
      <c r="M1044" s="7" t="n"/>
    </row>
    <row r="1045">
      <c r="A1045" s="7" t="inlineStr">
        <is>
          <t>MV-01041</t>
        </is>
      </c>
      <c r="B1045" s="75" t="n">
        <v>46238.47569444445</v>
      </c>
      <c r="C1045" s="7" t="inlineStr">
        <is>
          <t>Sortie</t>
        </is>
      </c>
      <c r="D1045" s="7" t="inlineStr">
        <is>
          <t>PD-0059</t>
        </is>
      </c>
      <c r="E1045" s="9">
        <f>IF(D1045="","",IFERROR(INDEX('Stock pièces'!$B$5:$B$404,MATCH(D1045,'Stock pièces'!$A$5:$A$404,0)),"Réf. inconnue"))</f>
        <v/>
      </c>
      <c r="F1045" s="67" t="n">
        <v>1</v>
      </c>
      <c r="G1045" s="81">
        <f>IF(D1045="","",IFERROR(INDEX('Stock pièces'!$I$5:$I$404,MATCH(D1045,'Stock pièces'!$A$5:$A$404,0)),0))</f>
        <v/>
      </c>
      <c r="H1045" s="81">
        <f>IF(D1045="","",N(F1045)*N(G1045))</f>
        <v/>
      </c>
      <c r="I1045" s="7" t="inlineStr">
        <is>
          <t>OT-2026-0451</t>
        </is>
      </c>
      <c r="J1045" s="9">
        <f>IF(I1045="","",IFERROR(INDEX('Ordres de travail'!$D$5:$D$3004,MATCH(I1045,'Ordres de travail'!$A$5:$A$3004,0)),""))</f>
        <v/>
      </c>
      <c r="K1045" s="9">
        <f>IF(D1045="","",IFERROR(INDEX('Stock pièces'!$D$5:$D$404,MATCH(D1045,'Stock pièces'!$A$5:$A$404,0)),""))</f>
        <v/>
      </c>
      <c r="L1045" s="7" t="n"/>
      <c r="M1045" s="7" t="n"/>
    </row>
    <row r="1046">
      <c r="A1046" s="7" t="inlineStr">
        <is>
          <t>MV-01042</t>
        </is>
      </c>
      <c r="B1046" s="75" t="n">
        <v>46238.52013888889</v>
      </c>
      <c r="C1046" s="7" t="inlineStr">
        <is>
          <t>Sortie</t>
        </is>
      </c>
      <c r="D1046" s="7" t="inlineStr">
        <is>
          <t>PD-0067</t>
        </is>
      </c>
      <c r="E1046" s="9">
        <f>IF(D1046="","",IFERROR(INDEX('Stock pièces'!$B$5:$B$404,MATCH(D1046,'Stock pièces'!$A$5:$A$404,0)),"Réf. inconnue"))</f>
        <v/>
      </c>
      <c r="F1046" s="67" t="n">
        <v>2</v>
      </c>
      <c r="G1046" s="81">
        <f>IF(D1046="","",IFERROR(INDEX('Stock pièces'!$I$5:$I$404,MATCH(D1046,'Stock pièces'!$A$5:$A$404,0)),0))</f>
        <v/>
      </c>
      <c r="H1046" s="81">
        <f>IF(D1046="","",N(F1046)*N(G1046))</f>
        <v/>
      </c>
      <c r="I1046" s="7" t="inlineStr">
        <is>
          <t>OT-2026-0468</t>
        </is>
      </c>
      <c r="J1046" s="9">
        <f>IF(I1046="","",IFERROR(INDEX('Ordres de travail'!$D$5:$D$3004,MATCH(I1046,'Ordres de travail'!$A$5:$A$3004,0)),""))</f>
        <v/>
      </c>
      <c r="K1046" s="9">
        <f>IF(D1046="","",IFERROR(INDEX('Stock pièces'!$D$5:$D$404,MATCH(D1046,'Stock pièces'!$A$5:$A$404,0)),""))</f>
        <v/>
      </c>
      <c r="L1046" s="7" t="n"/>
      <c r="M1046" s="7" t="n"/>
    </row>
    <row r="1047">
      <c r="A1047" s="7" t="inlineStr">
        <is>
          <t>MV-01043</t>
        </is>
      </c>
      <c r="B1047" s="75" t="n">
        <v>46238.80416666667</v>
      </c>
      <c r="C1047" s="7" t="inlineStr">
        <is>
          <t>Retour</t>
        </is>
      </c>
      <c r="D1047" s="7" t="inlineStr">
        <is>
          <t>PD-0009</t>
        </is>
      </c>
      <c r="E1047" s="9">
        <f>IF(D1047="","",IFERROR(INDEX('Stock pièces'!$B$5:$B$404,MATCH(D1047,'Stock pièces'!$A$5:$A$404,0)),"Réf. inconnue"))</f>
        <v/>
      </c>
      <c r="F1047" s="67" t="n">
        <v>1</v>
      </c>
      <c r="G1047" s="81">
        <f>IF(D1047="","",IFERROR(INDEX('Stock pièces'!$I$5:$I$404,MATCH(D1047,'Stock pièces'!$A$5:$A$404,0)),0))</f>
        <v/>
      </c>
      <c r="H1047" s="81">
        <f>IF(D1047="","",N(F1047)*N(G1047))</f>
        <v/>
      </c>
      <c r="I1047" s="7" t="inlineStr">
        <is>
          <t>OT-2026-0453</t>
        </is>
      </c>
      <c r="J1047" s="9">
        <f>IF(I1047="","",IFERROR(INDEX('Ordres de travail'!$D$5:$D$3004,MATCH(I1047,'Ordres de travail'!$A$5:$A$3004,0)),""))</f>
        <v/>
      </c>
      <c r="K1047" s="9">
        <f>IF(D1047="","",IFERROR(INDEX('Stock pièces'!$D$5:$D$404,MATCH(D1047,'Stock pièces'!$A$5:$A$404,0)),""))</f>
        <v/>
      </c>
      <c r="L1047" s="7" t="n"/>
      <c r="M1047" s="7" t="inlineStr">
        <is>
          <t>Pièce non utilisée</t>
        </is>
      </c>
    </row>
    <row r="1048">
      <c r="A1048" s="7" t="inlineStr">
        <is>
          <t>MV-01044</t>
        </is>
      </c>
      <c r="B1048" s="75" t="n">
        <v>46238.93263888889</v>
      </c>
      <c r="C1048" s="7" t="inlineStr">
        <is>
          <t>Sortie</t>
        </is>
      </c>
      <c r="D1048" s="7" t="inlineStr">
        <is>
          <t>PD-0055</t>
        </is>
      </c>
      <c r="E1048" s="9">
        <f>IF(D1048="","",IFERROR(INDEX('Stock pièces'!$B$5:$B$404,MATCH(D1048,'Stock pièces'!$A$5:$A$404,0)),"Réf. inconnue"))</f>
        <v/>
      </c>
      <c r="F1048" s="67" t="n">
        <v>1</v>
      </c>
      <c r="G1048" s="81">
        <f>IF(D1048="","",IFERROR(INDEX('Stock pièces'!$I$5:$I$404,MATCH(D1048,'Stock pièces'!$A$5:$A$404,0)),0))</f>
        <v/>
      </c>
      <c r="H1048" s="81">
        <f>IF(D1048="","",N(F1048)*N(G1048))</f>
        <v/>
      </c>
      <c r="I1048" s="7" t="inlineStr">
        <is>
          <t>OT-2026-0470</t>
        </is>
      </c>
      <c r="J1048" s="9">
        <f>IF(I1048="","",IFERROR(INDEX('Ordres de travail'!$D$5:$D$3004,MATCH(I1048,'Ordres de travail'!$A$5:$A$3004,0)),""))</f>
        <v/>
      </c>
      <c r="K1048" s="9">
        <f>IF(D1048="","",IFERROR(INDEX('Stock pièces'!$D$5:$D$404,MATCH(D1048,'Stock pièces'!$A$5:$A$404,0)),""))</f>
        <v/>
      </c>
      <c r="L1048" s="7" t="n"/>
      <c r="M1048" s="7" t="n"/>
    </row>
    <row r="1049">
      <c r="A1049" s="7" t="inlineStr">
        <is>
          <t>MV-01045</t>
        </is>
      </c>
      <c r="B1049" s="75" t="n">
        <v>46240.4375</v>
      </c>
      <c r="C1049" s="7" t="inlineStr">
        <is>
          <t>Sortie</t>
        </is>
      </c>
      <c r="D1049" s="7" t="inlineStr">
        <is>
          <t>PD-0017</t>
        </is>
      </c>
      <c r="E1049" s="9">
        <f>IF(D1049="","",IFERROR(INDEX('Stock pièces'!$B$5:$B$404,MATCH(D1049,'Stock pièces'!$A$5:$A$404,0)),"Réf. inconnue"))</f>
        <v/>
      </c>
      <c r="F1049" s="67" t="n">
        <v>1</v>
      </c>
      <c r="G1049" s="81">
        <f>IF(D1049="","",IFERROR(INDEX('Stock pièces'!$I$5:$I$404,MATCH(D1049,'Stock pièces'!$A$5:$A$404,0)),0))</f>
        <v/>
      </c>
      <c r="H1049" s="81">
        <f>IF(D1049="","",N(F1049)*N(G1049))</f>
        <v/>
      </c>
      <c r="I1049" s="7" t="inlineStr">
        <is>
          <t>OT-2026-0456</t>
        </is>
      </c>
      <c r="J1049" s="9">
        <f>IF(I1049="","",IFERROR(INDEX('Ordres de travail'!$D$5:$D$3004,MATCH(I1049,'Ordres de travail'!$A$5:$A$3004,0)),""))</f>
        <v/>
      </c>
      <c r="K1049" s="9">
        <f>IF(D1049="","",IFERROR(INDEX('Stock pièces'!$D$5:$D$404,MATCH(D1049,'Stock pièces'!$A$5:$A$404,0)),""))</f>
        <v/>
      </c>
      <c r="L1049" s="7" t="n"/>
      <c r="M1049" s="7" t="n"/>
    </row>
    <row r="1050">
      <c r="A1050" s="7" t="inlineStr">
        <is>
          <t>MV-01046</t>
        </is>
      </c>
      <c r="B1050" s="75" t="n">
        <v>46242.27638888889</v>
      </c>
      <c r="C1050" s="7" t="inlineStr">
        <is>
          <t>Sortie</t>
        </is>
      </c>
      <c r="D1050" s="7" t="inlineStr">
        <is>
          <t>PD-0009</t>
        </is>
      </c>
      <c r="E1050" s="9">
        <f>IF(D1050="","",IFERROR(INDEX('Stock pièces'!$B$5:$B$404,MATCH(D1050,'Stock pièces'!$A$5:$A$404,0)),"Réf. inconnue"))</f>
        <v/>
      </c>
      <c r="F1050" s="67" t="n">
        <v>1</v>
      </c>
      <c r="G1050" s="81">
        <f>IF(D1050="","",IFERROR(INDEX('Stock pièces'!$I$5:$I$404,MATCH(D1050,'Stock pièces'!$A$5:$A$404,0)),0))</f>
        <v/>
      </c>
      <c r="H1050" s="81">
        <f>IF(D1050="","",N(F1050)*N(G1050))</f>
        <v/>
      </c>
      <c r="I1050" s="7" t="inlineStr">
        <is>
          <t>OT-2026-0474</t>
        </is>
      </c>
      <c r="J1050" s="9">
        <f>IF(I1050="","",IFERROR(INDEX('Ordres de travail'!$D$5:$D$3004,MATCH(I1050,'Ordres de travail'!$A$5:$A$3004,0)),""))</f>
        <v/>
      </c>
      <c r="K1050" s="9">
        <f>IF(D1050="","",IFERROR(INDEX('Stock pièces'!$D$5:$D$404,MATCH(D1050,'Stock pièces'!$A$5:$A$404,0)),""))</f>
        <v/>
      </c>
      <c r="L1050" s="7" t="n"/>
      <c r="M1050" s="7" t="n"/>
    </row>
    <row r="1051">
      <c r="A1051" s="7" t="inlineStr">
        <is>
          <t>MV-01047</t>
        </is>
      </c>
      <c r="B1051" s="75" t="n">
        <v>46242.86805555555</v>
      </c>
      <c r="C1051" s="7" t="inlineStr">
        <is>
          <t>Sortie</t>
        </is>
      </c>
      <c r="D1051" s="7" t="inlineStr">
        <is>
          <t>PD-0029</t>
        </is>
      </c>
      <c r="E1051" s="9">
        <f>IF(D1051="","",IFERROR(INDEX('Stock pièces'!$B$5:$B$404,MATCH(D1051,'Stock pièces'!$A$5:$A$404,0)),"Réf. inconnue"))</f>
        <v/>
      </c>
      <c r="F1051" s="67" t="n">
        <v>1</v>
      </c>
      <c r="G1051" s="81">
        <f>IF(D1051="","",IFERROR(INDEX('Stock pièces'!$I$5:$I$404,MATCH(D1051,'Stock pièces'!$A$5:$A$404,0)),0))</f>
        <v/>
      </c>
      <c r="H1051" s="81">
        <f>IF(D1051="","",N(F1051)*N(G1051))</f>
        <v/>
      </c>
      <c r="I1051" s="7" t="inlineStr">
        <is>
          <t>OT-2026-0475</t>
        </is>
      </c>
      <c r="J1051" s="9">
        <f>IF(I1051="","",IFERROR(INDEX('Ordres de travail'!$D$5:$D$3004,MATCH(I1051,'Ordres de travail'!$A$5:$A$3004,0)),""))</f>
        <v/>
      </c>
      <c r="K1051" s="9">
        <f>IF(D1051="","",IFERROR(INDEX('Stock pièces'!$D$5:$D$404,MATCH(D1051,'Stock pièces'!$A$5:$A$404,0)),""))</f>
        <v/>
      </c>
      <c r="L1051" s="7" t="n"/>
      <c r="M1051" s="7" t="n"/>
    </row>
    <row r="1052">
      <c r="A1052" s="7" t="inlineStr">
        <is>
          <t>MV-01048</t>
        </is>
      </c>
      <c r="B1052" s="75" t="n">
        <v>46244.41666666666</v>
      </c>
      <c r="C1052" s="7" t="inlineStr">
        <is>
          <t>Entrée</t>
        </is>
      </c>
      <c r="D1052" s="7" t="inlineStr">
        <is>
          <t>PD-0043</t>
        </is>
      </c>
      <c r="E1052" s="9">
        <f>IF(D1052="","",IFERROR(INDEX('Stock pièces'!$B$5:$B$404,MATCH(D1052,'Stock pièces'!$A$5:$A$404,0)),"Réf. inconnue"))</f>
        <v/>
      </c>
      <c r="F1052" s="67" t="n">
        <v>1</v>
      </c>
      <c r="G1052" s="81">
        <f>IF(D1052="","",IFERROR(INDEX('Stock pièces'!$I$5:$I$404,MATCH(D1052,'Stock pièces'!$A$5:$A$404,0)),0))</f>
        <v/>
      </c>
      <c r="H1052" s="81">
        <f>IF(D1052="","",N(F1052)*N(G1052))</f>
        <v/>
      </c>
      <c r="I1052" s="7" t="n"/>
      <c r="J1052" s="9">
        <f>IF(I1052="","",IFERROR(INDEX('Ordres de travail'!$D$5:$D$3004,MATCH(I1052,'Ordres de travail'!$A$5:$A$3004,0)),""))</f>
        <v/>
      </c>
      <c r="K1052" s="9">
        <f>IF(D1052="","",IFERROR(INDEX('Stock pièces'!$D$5:$D$404,MATCH(D1052,'Stock pièces'!$A$5:$A$404,0)),""))</f>
        <v/>
      </c>
      <c r="L1052" s="7" t="inlineStr">
        <is>
          <t>CMD-24294</t>
        </is>
      </c>
      <c r="M1052" s="7" t="inlineStr">
        <is>
          <t>Réception commande réappro</t>
        </is>
      </c>
    </row>
    <row r="1053">
      <c r="A1053" s="7" t="inlineStr">
        <is>
          <t>MV-01049</t>
        </is>
      </c>
      <c r="B1053" s="75" t="n">
        <v>46244.41666666666</v>
      </c>
      <c r="C1053" s="7" t="inlineStr">
        <is>
          <t>Entrée</t>
        </is>
      </c>
      <c r="D1053" s="7" t="inlineStr">
        <is>
          <t>PD-0019</t>
        </is>
      </c>
      <c r="E1053" s="9">
        <f>IF(D1053="","",IFERROR(INDEX('Stock pièces'!$B$5:$B$404,MATCH(D1053,'Stock pièces'!$A$5:$A$404,0)),"Réf. inconnue"))</f>
        <v/>
      </c>
      <c r="F1053" s="67" t="n">
        <v>19</v>
      </c>
      <c r="G1053" s="81">
        <f>IF(D1053="","",IFERROR(INDEX('Stock pièces'!$I$5:$I$404,MATCH(D1053,'Stock pièces'!$A$5:$A$404,0)),0))</f>
        <v/>
      </c>
      <c r="H1053" s="81">
        <f>IF(D1053="","",N(F1053)*N(G1053))</f>
        <v/>
      </c>
      <c r="I1053" s="7" t="n"/>
      <c r="J1053" s="9">
        <f>IF(I1053="","",IFERROR(INDEX('Ordres de travail'!$D$5:$D$3004,MATCH(I1053,'Ordres de travail'!$A$5:$A$3004,0)),""))</f>
        <v/>
      </c>
      <c r="K1053" s="9">
        <f>IF(D1053="","",IFERROR(INDEX('Stock pièces'!$D$5:$D$404,MATCH(D1053,'Stock pièces'!$A$5:$A$404,0)),""))</f>
        <v/>
      </c>
      <c r="L1053" s="7" t="inlineStr">
        <is>
          <t>CMD-24295</t>
        </is>
      </c>
      <c r="M1053" s="7" t="inlineStr">
        <is>
          <t>Réception commande réappro</t>
        </is>
      </c>
    </row>
    <row r="1054">
      <c r="A1054" s="7" t="inlineStr">
        <is>
          <t>MV-01050</t>
        </is>
      </c>
      <c r="B1054" s="75" t="n">
        <v>46244.41666666666</v>
      </c>
      <c r="C1054" s="7" t="inlineStr">
        <is>
          <t>Entrée</t>
        </is>
      </c>
      <c r="D1054" s="7" t="inlineStr">
        <is>
          <t>PD-0007</t>
        </is>
      </c>
      <c r="E1054" s="9">
        <f>IF(D1054="","",IFERROR(INDEX('Stock pièces'!$B$5:$B$404,MATCH(D1054,'Stock pièces'!$A$5:$A$404,0)),"Réf. inconnue"))</f>
        <v/>
      </c>
      <c r="F1054" s="67" t="n">
        <v>2</v>
      </c>
      <c r="G1054" s="81">
        <f>IF(D1054="","",IFERROR(INDEX('Stock pièces'!$I$5:$I$404,MATCH(D1054,'Stock pièces'!$A$5:$A$404,0)),0))</f>
        <v/>
      </c>
      <c r="H1054" s="81">
        <f>IF(D1054="","",N(F1054)*N(G1054))</f>
        <v/>
      </c>
      <c r="I1054" s="7" t="n"/>
      <c r="J1054" s="9">
        <f>IF(I1054="","",IFERROR(INDEX('Ordres de travail'!$D$5:$D$3004,MATCH(I1054,'Ordres de travail'!$A$5:$A$3004,0)),""))</f>
        <v/>
      </c>
      <c r="K1054" s="9">
        <f>IF(D1054="","",IFERROR(INDEX('Stock pièces'!$D$5:$D$404,MATCH(D1054,'Stock pièces'!$A$5:$A$404,0)),""))</f>
        <v/>
      </c>
      <c r="L1054" s="7" t="inlineStr">
        <is>
          <t>CMD-24296</t>
        </is>
      </c>
      <c r="M1054" s="7" t="inlineStr">
        <is>
          <t>Réception commande réappro</t>
        </is>
      </c>
    </row>
    <row r="1055">
      <c r="A1055" s="7" t="inlineStr">
        <is>
          <t>MV-01051</t>
        </is>
      </c>
      <c r="B1055" s="75" t="n">
        <v>46244.52777777778</v>
      </c>
      <c r="C1055" s="7" t="inlineStr">
        <is>
          <t>Sortie</t>
        </is>
      </c>
      <c r="D1055" s="7" t="inlineStr">
        <is>
          <t>PD-0025</t>
        </is>
      </c>
      <c r="E1055" s="9">
        <f>IF(D1055="","",IFERROR(INDEX('Stock pièces'!$B$5:$B$404,MATCH(D1055,'Stock pièces'!$A$5:$A$404,0)),"Réf. inconnue"))</f>
        <v/>
      </c>
      <c r="F1055" s="67" t="n">
        <v>2</v>
      </c>
      <c r="G1055" s="81">
        <f>IF(D1055="","",IFERROR(INDEX('Stock pièces'!$I$5:$I$404,MATCH(D1055,'Stock pièces'!$A$5:$A$404,0)),0))</f>
        <v/>
      </c>
      <c r="H1055" s="81">
        <f>IF(D1055="","",N(F1055)*N(G1055))</f>
        <v/>
      </c>
      <c r="I1055" s="7" t="inlineStr">
        <is>
          <t>OT-2026-0461</t>
        </is>
      </c>
      <c r="J1055" s="9">
        <f>IF(I1055="","",IFERROR(INDEX('Ordres de travail'!$D$5:$D$3004,MATCH(I1055,'Ordres de travail'!$A$5:$A$3004,0)),""))</f>
        <v/>
      </c>
      <c r="K1055" s="9">
        <f>IF(D1055="","",IFERROR(INDEX('Stock pièces'!$D$5:$D$404,MATCH(D1055,'Stock pièces'!$A$5:$A$404,0)),""))</f>
        <v/>
      </c>
      <c r="L1055" s="7" t="n"/>
      <c r="M1055" s="7" t="n"/>
    </row>
    <row r="1056">
      <c r="A1056" s="7" t="inlineStr">
        <is>
          <t>MV-01052</t>
        </is>
      </c>
      <c r="B1056" s="75" t="n">
        <v>46244.58333333334</v>
      </c>
      <c r="C1056" s="7" t="inlineStr">
        <is>
          <t>Sortie</t>
        </is>
      </c>
      <c r="D1056" s="7" t="inlineStr">
        <is>
          <t>PD-0025</t>
        </is>
      </c>
      <c r="E1056" s="9">
        <f>IF(D1056="","",IFERROR(INDEX('Stock pièces'!$B$5:$B$404,MATCH(D1056,'Stock pièces'!$A$5:$A$404,0)),"Réf. inconnue"))</f>
        <v/>
      </c>
      <c r="F1056" s="67" t="n">
        <v>3</v>
      </c>
      <c r="G1056" s="81">
        <f>IF(D1056="","",IFERROR(INDEX('Stock pièces'!$I$5:$I$404,MATCH(D1056,'Stock pièces'!$A$5:$A$404,0)),0))</f>
        <v/>
      </c>
      <c r="H1056" s="81">
        <f>IF(D1056="","",N(F1056)*N(G1056))</f>
        <v/>
      </c>
      <c r="I1056" s="7" t="inlineStr">
        <is>
          <t>OT-2026-0462</t>
        </is>
      </c>
      <c r="J1056" s="9">
        <f>IF(I1056="","",IFERROR(INDEX('Ordres de travail'!$D$5:$D$3004,MATCH(I1056,'Ordres de travail'!$A$5:$A$3004,0)),""))</f>
        <v/>
      </c>
      <c r="K1056" s="9">
        <f>IF(D1056="","",IFERROR(INDEX('Stock pièces'!$D$5:$D$404,MATCH(D1056,'Stock pièces'!$A$5:$A$404,0)),""))</f>
        <v/>
      </c>
      <c r="L1056" s="7" t="n"/>
      <c r="M1056" s="7" t="n"/>
    </row>
    <row r="1057">
      <c r="A1057" s="7" t="inlineStr">
        <is>
          <t>MV-01053</t>
        </is>
      </c>
      <c r="B1057" s="75" t="n">
        <v>46247.41666666666</v>
      </c>
      <c r="C1057" s="7" t="inlineStr">
        <is>
          <t>Entrée</t>
        </is>
      </c>
      <c r="D1057" s="7" t="inlineStr">
        <is>
          <t>PD-0067</t>
        </is>
      </c>
      <c r="E1057" s="9">
        <f>IF(D1057="","",IFERROR(INDEX('Stock pièces'!$B$5:$B$404,MATCH(D1057,'Stock pièces'!$A$5:$A$404,0)),"Réf. inconnue"))</f>
        <v/>
      </c>
      <c r="F1057" s="67" t="n">
        <v>2</v>
      </c>
      <c r="G1057" s="81">
        <f>IF(D1057="","",IFERROR(INDEX('Stock pièces'!$I$5:$I$404,MATCH(D1057,'Stock pièces'!$A$5:$A$404,0)),0))</f>
        <v/>
      </c>
      <c r="H1057" s="81">
        <f>IF(D1057="","",N(F1057)*N(G1057))</f>
        <v/>
      </c>
      <c r="I1057" s="7" t="n"/>
      <c r="J1057" s="9">
        <f>IF(I1057="","",IFERROR(INDEX('Ordres de travail'!$D$5:$D$3004,MATCH(I1057,'Ordres de travail'!$A$5:$A$3004,0)),""))</f>
        <v/>
      </c>
      <c r="K1057" s="9">
        <f>IF(D1057="","",IFERROR(INDEX('Stock pièces'!$D$5:$D$404,MATCH(D1057,'Stock pièces'!$A$5:$A$404,0)),""))</f>
        <v/>
      </c>
      <c r="L1057" s="7" t="inlineStr">
        <is>
          <t>CMD-24297</t>
        </is>
      </c>
      <c r="M1057" s="7" t="inlineStr">
        <is>
          <t>Réception commande réappro</t>
        </is>
      </c>
    </row>
    <row r="1058">
      <c r="A1058" s="7" t="inlineStr">
        <is>
          <t>MV-01054</t>
        </is>
      </c>
      <c r="B1058" s="75" t="n">
        <v>46250.23680555556</v>
      </c>
      <c r="C1058" s="7" t="inlineStr">
        <is>
          <t>Sortie</t>
        </is>
      </c>
      <c r="D1058" s="7" t="inlineStr">
        <is>
          <t>PD-0002</t>
        </is>
      </c>
      <c r="E1058" s="9">
        <f>IF(D1058="","",IFERROR(INDEX('Stock pièces'!$B$5:$B$404,MATCH(D1058,'Stock pièces'!$A$5:$A$404,0)),"Réf. inconnue"))</f>
        <v/>
      </c>
      <c r="F1058" s="67" t="n">
        <v>1</v>
      </c>
      <c r="G1058" s="81">
        <f>IF(D1058="","",IFERROR(INDEX('Stock pièces'!$I$5:$I$404,MATCH(D1058,'Stock pièces'!$A$5:$A$404,0)),0))</f>
        <v/>
      </c>
      <c r="H1058" s="81">
        <f>IF(D1058="","",N(F1058)*N(G1058))</f>
        <v/>
      </c>
      <c r="I1058" s="7" t="inlineStr">
        <is>
          <t>OT-2026-0487</t>
        </is>
      </c>
      <c r="J1058" s="9">
        <f>IF(I1058="","",IFERROR(INDEX('Ordres de travail'!$D$5:$D$3004,MATCH(I1058,'Ordres de travail'!$A$5:$A$3004,0)),""))</f>
        <v/>
      </c>
      <c r="K1058" s="9">
        <f>IF(D1058="","",IFERROR(INDEX('Stock pièces'!$D$5:$D$404,MATCH(D1058,'Stock pièces'!$A$5:$A$404,0)),""))</f>
        <v/>
      </c>
      <c r="L1058" s="7" t="n"/>
      <c r="M1058" s="7" t="n"/>
    </row>
    <row r="1059">
      <c r="A1059" s="7" t="inlineStr">
        <is>
          <t>MV-01055</t>
        </is>
      </c>
      <c r="B1059" s="75" t="n">
        <v>46250.83611111111</v>
      </c>
      <c r="C1059" s="7" t="inlineStr">
        <is>
          <t>Sortie</t>
        </is>
      </c>
      <c r="D1059" s="7" t="inlineStr">
        <is>
          <t>PD-0066</t>
        </is>
      </c>
      <c r="E1059" s="9">
        <f>IF(D1059="","",IFERROR(INDEX('Stock pièces'!$B$5:$B$404,MATCH(D1059,'Stock pièces'!$A$5:$A$404,0)),"Réf. inconnue"))</f>
        <v/>
      </c>
      <c r="F1059" s="67" t="n">
        <v>1</v>
      </c>
      <c r="G1059" s="81">
        <f>IF(D1059="","",IFERROR(INDEX('Stock pièces'!$I$5:$I$404,MATCH(D1059,'Stock pièces'!$A$5:$A$404,0)),0))</f>
        <v/>
      </c>
      <c r="H1059" s="81">
        <f>IF(D1059="","",N(F1059)*N(G1059))</f>
        <v/>
      </c>
      <c r="I1059" s="7" t="inlineStr">
        <is>
          <t>OT-2026-0486</t>
        </is>
      </c>
      <c r="J1059" s="9">
        <f>IF(I1059="","",IFERROR(INDEX('Ordres de travail'!$D$5:$D$3004,MATCH(I1059,'Ordres de travail'!$A$5:$A$3004,0)),""))</f>
        <v/>
      </c>
      <c r="K1059" s="9">
        <f>IF(D1059="","",IFERROR(INDEX('Stock pièces'!$D$5:$D$404,MATCH(D1059,'Stock pièces'!$A$5:$A$404,0)),""))</f>
        <v/>
      </c>
      <c r="L1059" s="7" t="n"/>
      <c r="M1059" s="7" t="n"/>
    </row>
    <row r="1060">
      <c r="A1060" s="7" t="inlineStr">
        <is>
          <t>MV-01056</t>
        </is>
      </c>
      <c r="B1060" s="75" t="n">
        <v>46250.83611111111</v>
      </c>
      <c r="C1060" s="7" t="inlineStr">
        <is>
          <t>Sortie</t>
        </is>
      </c>
      <c r="D1060" s="7" t="inlineStr">
        <is>
          <t>PD-0067</t>
        </is>
      </c>
      <c r="E1060" s="9">
        <f>IF(D1060="","",IFERROR(INDEX('Stock pièces'!$B$5:$B$404,MATCH(D1060,'Stock pièces'!$A$5:$A$404,0)),"Réf. inconnue"))</f>
        <v/>
      </c>
      <c r="F1060" s="67" t="n">
        <v>3</v>
      </c>
      <c r="G1060" s="81">
        <f>IF(D1060="","",IFERROR(INDEX('Stock pièces'!$I$5:$I$404,MATCH(D1060,'Stock pièces'!$A$5:$A$404,0)),0))</f>
        <v/>
      </c>
      <c r="H1060" s="81">
        <f>IF(D1060="","",N(F1060)*N(G1060))</f>
        <v/>
      </c>
      <c r="I1060" s="7" t="inlineStr">
        <is>
          <t>OT-2026-0486</t>
        </is>
      </c>
      <c r="J1060" s="9">
        <f>IF(I1060="","",IFERROR(INDEX('Ordres de travail'!$D$5:$D$3004,MATCH(I1060,'Ordres de travail'!$A$5:$A$3004,0)),""))</f>
        <v/>
      </c>
      <c r="K1060" s="9">
        <f>IF(D1060="","",IFERROR(INDEX('Stock pièces'!$D$5:$D$404,MATCH(D1060,'Stock pièces'!$A$5:$A$404,0)),""))</f>
        <v/>
      </c>
      <c r="L1060" s="7" t="n"/>
      <c r="M1060" s="7" t="n"/>
    </row>
    <row r="1061">
      <c r="A1061" s="7" t="inlineStr">
        <is>
          <t>MV-01057</t>
        </is>
      </c>
      <c r="B1061" s="75" t="n">
        <v>46251.41666666666</v>
      </c>
      <c r="C1061" s="7" t="inlineStr">
        <is>
          <t>Entrée</t>
        </is>
      </c>
      <c r="D1061" s="7" t="inlineStr">
        <is>
          <t>PD-0017</t>
        </is>
      </c>
      <c r="E1061" s="9">
        <f>IF(D1061="","",IFERROR(INDEX('Stock pièces'!$B$5:$B$404,MATCH(D1061,'Stock pièces'!$A$5:$A$404,0)),"Réf. inconnue"))</f>
        <v/>
      </c>
      <c r="F1061" s="67" t="n">
        <v>8</v>
      </c>
      <c r="G1061" s="81">
        <f>IF(D1061="","",IFERROR(INDEX('Stock pièces'!$I$5:$I$404,MATCH(D1061,'Stock pièces'!$A$5:$A$404,0)),0))</f>
        <v/>
      </c>
      <c r="H1061" s="81">
        <f>IF(D1061="","",N(F1061)*N(G1061))</f>
        <v/>
      </c>
      <c r="I1061" s="7" t="n"/>
      <c r="J1061" s="9">
        <f>IF(I1061="","",IFERROR(INDEX('Ordres de travail'!$D$5:$D$3004,MATCH(I1061,'Ordres de travail'!$A$5:$A$3004,0)),""))</f>
        <v/>
      </c>
      <c r="K1061" s="9">
        <f>IF(D1061="","",IFERROR(INDEX('Stock pièces'!$D$5:$D$404,MATCH(D1061,'Stock pièces'!$A$5:$A$404,0)),""))</f>
        <v/>
      </c>
      <c r="L1061" s="7" t="inlineStr">
        <is>
          <t>CMD-24298</t>
        </is>
      </c>
      <c r="M1061" s="7" t="inlineStr">
        <is>
          <t>Réception commande réappro</t>
        </is>
      </c>
    </row>
    <row r="1062">
      <c r="A1062" s="7" t="inlineStr">
        <is>
          <t>MV-01058</t>
        </is>
      </c>
      <c r="B1062" s="75" t="n">
        <v>46251.80763888889</v>
      </c>
      <c r="C1062" s="7" t="inlineStr">
        <is>
          <t>Sortie</t>
        </is>
      </c>
      <c r="D1062" s="7" t="inlineStr">
        <is>
          <t>PD-0054</t>
        </is>
      </c>
      <c r="E1062" s="9">
        <f>IF(D1062="","",IFERROR(INDEX('Stock pièces'!$B$5:$B$404,MATCH(D1062,'Stock pièces'!$A$5:$A$404,0)),"Réf. inconnue"))</f>
        <v/>
      </c>
      <c r="F1062" s="67" t="n">
        <v>2</v>
      </c>
      <c r="G1062" s="81">
        <f>IF(D1062="","",IFERROR(INDEX('Stock pièces'!$I$5:$I$404,MATCH(D1062,'Stock pièces'!$A$5:$A$404,0)),0))</f>
        <v/>
      </c>
      <c r="H1062" s="81">
        <f>IF(D1062="","",N(F1062)*N(G1062))</f>
        <v/>
      </c>
      <c r="I1062" s="7" t="inlineStr">
        <is>
          <t>OT-2026-0499</t>
        </is>
      </c>
      <c r="J1062" s="9">
        <f>IF(I1062="","",IFERROR(INDEX('Ordres de travail'!$D$5:$D$3004,MATCH(I1062,'Ordres de travail'!$A$5:$A$3004,0)),""))</f>
        <v/>
      </c>
      <c r="K1062" s="9">
        <f>IF(D1062="","",IFERROR(INDEX('Stock pièces'!$D$5:$D$404,MATCH(D1062,'Stock pièces'!$A$5:$A$404,0)),""))</f>
        <v/>
      </c>
      <c r="L1062" s="7" t="n"/>
      <c r="M1062" s="7" t="n"/>
    </row>
    <row r="1063">
      <c r="A1063" s="7" t="inlineStr">
        <is>
          <t>MV-01059</t>
        </is>
      </c>
      <c r="B1063" s="75" t="n">
        <v>46252.58333333334</v>
      </c>
      <c r="C1063" s="7" t="inlineStr">
        <is>
          <t>Sortie</t>
        </is>
      </c>
      <c r="D1063" s="7" t="inlineStr">
        <is>
          <t>PD-0012</t>
        </is>
      </c>
      <c r="E1063" s="9">
        <f>IF(D1063="","",IFERROR(INDEX('Stock pièces'!$B$5:$B$404,MATCH(D1063,'Stock pièces'!$A$5:$A$404,0)),"Réf. inconnue"))</f>
        <v/>
      </c>
      <c r="F1063" s="67" t="n">
        <v>1</v>
      </c>
      <c r="G1063" s="81">
        <f>IF(D1063="","",IFERROR(INDEX('Stock pièces'!$I$5:$I$404,MATCH(D1063,'Stock pièces'!$A$5:$A$404,0)),0))</f>
        <v/>
      </c>
      <c r="H1063" s="81">
        <f>IF(D1063="","",N(F1063)*N(G1063))</f>
        <v/>
      </c>
      <c r="I1063" s="7" t="inlineStr">
        <is>
          <t>OT-2026-0482</t>
        </is>
      </c>
      <c r="J1063" s="9">
        <f>IF(I1063="","",IFERROR(INDEX('Ordres de travail'!$D$5:$D$3004,MATCH(I1063,'Ordres de travail'!$A$5:$A$3004,0)),""))</f>
        <v/>
      </c>
      <c r="K1063" s="9">
        <f>IF(D1063="","",IFERROR(INDEX('Stock pièces'!$D$5:$D$404,MATCH(D1063,'Stock pièces'!$A$5:$A$404,0)),""))</f>
        <v/>
      </c>
      <c r="L1063" s="7" t="n"/>
      <c r="M1063" s="7" t="n"/>
    </row>
    <row r="1064">
      <c r="A1064" s="7" t="inlineStr">
        <is>
          <t>MV-01060</t>
        </is>
      </c>
      <c r="B1064" s="75" t="n">
        <v>46252.58333333334</v>
      </c>
      <c r="C1064" s="7" t="inlineStr">
        <is>
          <t>Sortie</t>
        </is>
      </c>
      <c r="D1064" s="7" t="inlineStr">
        <is>
          <t>PD-0013</t>
        </is>
      </c>
      <c r="E1064" s="9">
        <f>IF(D1064="","",IFERROR(INDEX('Stock pièces'!$B$5:$B$404,MATCH(D1064,'Stock pièces'!$A$5:$A$404,0)),"Réf. inconnue"))</f>
        <v/>
      </c>
      <c r="F1064" s="67" t="n">
        <v>1</v>
      </c>
      <c r="G1064" s="81">
        <f>IF(D1064="","",IFERROR(INDEX('Stock pièces'!$I$5:$I$404,MATCH(D1064,'Stock pièces'!$A$5:$A$404,0)),0))</f>
        <v/>
      </c>
      <c r="H1064" s="81">
        <f>IF(D1064="","",N(F1064)*N(G1064))</f>
        <v/>
      </c>
      <c r="I1064" s="7" t="inlineStr">
        <is>
          <t>OT-2026-0482</t>
        </is>
      </c>
      <c r="J1064" s="9">
        <f>IF(I1064="","",IFERROR(INDEX('Ordres de travail'!$D$5:$D$3004,MATCH(I1064,'Ordres de travail'!$A$5:$A$3004,0)),""))</f>
        <v/>
      </c>
      <c r="K1064" s="9">
        <f>IF(D1064="","",IFERROR(INDEX('Stock pièces'!$D$5:$D$404,MATCH(D1064,'Stock pièces'!$A$5:$A$404,0)),""))</f>
        <v/>
      </c>
      <c r="L1064" s="7" t="n"/>
      <c r="M1064" s="7" t="n"/>
    </row>
    <row r="1065">
      <c r="A1065" s="7" t="inlineStr">
        <is>
          <t>MV-01061</t>
        </is>
      </c>
      <c r="B1065" s="75" t="n">
        <v>46252.58333333334</v>
      </c>
      <c r="C1065" s="7" t="inlineStr">
        <is>
          <t>Sortie</t>
        </is>
      </c>
      <c r="D1065" s="7" t="inlineStr">
        <is>
          <t>PD-0024</t>
        </is>
      </c>
      <c r="E1065" s="9">
        <f>IF(D1065="","",IFERROR(INDEX('Stock pièces'!$B$5:$B$404,MATCH(D1065,'Stock pièces'!$A$5:$A$404,0)),"Réf. inconnue"))</f>
        <v/>
      </c>
      <c r="F1065" s="67" t="n">
        <v>1</v>
      </c>
      <c r="G1065" s="81">
        <f>IF(D1065="","",IFERROR(INDEX('Stock pièces'!$I$5:$I$404,MATCH(D1065,'Stock pièces'!$A$5:$A$404,0)),0))</f>
        <v/>
      </c>
      <c r="H1065" s="81">
        <f>IF(D1065="","",N(F1065)*N(G1065))</f>
        <v/>
      </c>
      <c r="I1065" s="7" t="inlineStr">
        <is>
          <t>OT-2026-0482</t>
        </is>
      </c>
      <c r="J1065" s="9">
        <f>IF(I1065="","",IFERROR(INDEX('Ordres de travail'!$D$5:$D$3004,MATCH(I1065,'Ordres de travail'!$A$5:$A$3004,0)),""))</f>
        <v/>
      </c>
      <c r="K1065" s="9">
        <f>IF(D1065="","",IFERROR(INDEX('Stock pièces'!$D$5:$D$404,MATCH(D1065,'Stock pièces'!$A$5:$A$404,0)),""))</f>
        <v/>
      </c>
      <c r="L1065" s="7" t="n"/>
      <c r="M1065" s="7" t="n"/>
    </row>
    <row r="1066">
      <c r="A1066" s="7" t="inlineStr">
        <is>
          <t>MV-01062</t>
        </is>
      </c>
      <c r="B1066" s="75" t="n">
        <v>46258.40972222222</v>
      </c>
      <c r="C1066" s="7" t="inlineStr">
        <is>
          <t>Sortie</t>
        </is>
      </c>
      <c r="D1066" s="7" t="inlineStr">
        <is>
          <t>PD-0017</t>
        </is>
      </c>
      <c r="E1066" s="9">
        <f>IF(D1066="","",IFERROR(INDEX('Stock pièces'!$B$5:$B$404,MATCH(D1066,'Stock pièces'!$A$5:$A$404,0)),"Réf. inconnue"))</f>
        <v/>
      </c>
      <c r="F1066" s="67" t="n">
        <v>1</v>
      </c>
      <c r="G1066" s="81">
        <f>IF(D1066="","",IFERROR(INDEX('Stock pièces'!$I$5:$I$404,MATCH(D1066,'Stock pièces'!$A$5:$A$404,0)),0))</f>
        <v/>
      </c>
      <c r="H1066" s="81">
        <f>IF(D1066="","",N(F1066)*N(G1066))</f>
        <v/>
      </c>
      <c r="I1066" s="7" t="inlineStr">
        <is>
          <t>OT-2026-0495</t>
        </is>
      </c>
      <c r="J1066" s="9">
        <f>IF(I1066="","",IFERROR(INDEX('Ordres de travail'!$D$5:$D$3004,MATCH(I1066,'Ordres de travail'!$A$5:$A$3004,0)),""))</f>
        <v/>
      </c>
      <c r="K1066" s="9">
        <f>IF(D1066="","",IFERROR(INDEX('Stock pièces'!$D$5:$D$404,MATCH(D1066,'Stock pièces'!$A$5:$A$404,0)),""))</f>
        <v/>
      </c>
      <c r="L1066" s="7" t="n"/>
      <c r="M1066" s="7" t="n"/>
    </row>
    <row r="1067">
      <c r="A1067" s="7" t="inlineStr">
        <is>
          <t>MV-01063</t>
        </is>
      </c>
      <c r="B1067" s="75" t="n">
        <v>46258.41666666666</v>
      </c>
      <c r="C1067" s="7" t="inlineStr">
        <is>
          <t>Entrée</t>
        </is>
      </c>
      <c r="D1067" s="7" t="inlineStr">
        <is>
          <t>PD-0066</t>
        </is>
      </c>
      <c r="E1067" s="9">
        <f>IF(D1067="","",IFERROR(INDEX('Stock pièces'!$B$5:$B$404,MATCH(D1067,'Stock pièces'!$A$5:$A$404,0)),"Réf. inconnue"))</f>
        <v/>
      </c>
      <c r="F1067" s="67" t="n">
        <v>2</v>
      </c>
      <c r="G1067" s="81">
        <f>IF(D1067="","",IFERROR(INDEX('Stock pièces'!$I$5:$I$404,MATCH(D1067,'Stock pièces'!$A$5:$A$404,0)),0))</f>
        <v/>
      </c>
      <c r="H1067" s="81">
        <f>IF(D1067="","",N(F1067)*N(G1067))</f>
        <v/>
      </c>
      <c r="I1067" s="7" t="n"/>
      <c r="J1067" s="9">
        <f>IF(I1067="","",IFERROR(INDEX('Ordres de travail'!$D$5:$D$3004,MATCH(I1067,'Ordres de travail'!$A$5:$A$3004,0)),""))</f>
        <v/>
      </c>
      <c r="K1067" s="9">
        <f>IF(D1067="","",IFERROR(INDEX('Stock pièces'!$D$5:$D$404,MATCH(D1067,'Stock pièces'!$A$5:$A$404,0)),""))</f>
        <v/>
      </c>
      <c r="L1067" s="7" t="inlineStr">
        <is>
          <t>CMD-24299</t>
        </is>
      </c>
      <c r="M1067" s="7" t="inlineStr">
        <is>
          <t>Réception commande réappro</t>
        </is>
      </c>
    </row>
    <row r="1068">
      <c r="A1068" s="7" t="inlineStr">
        <is>
          <t>MV-01064</t>
        </is>
      </c>
      <c r="B1068" s="75" t="n">
        <v>46258.51388888889</v>
      </c>
      <c r="C1068" s="7" t="inlineStr">
        <is>
          <t>Sortie</t>
        </is>
      </c>
      <c r="D1068" s="7" t="inlineStr">
        <is>
          <t>PD-0021</t>
        </is>
      </c>
      <c r="E1068" s="9">
        <f>IF(D1068="","",IFERROR(INDEX('Stock pièces'!$B$5:$B$404,MATCH(D1068,'Stock pièces'!$A$5:$A$404,0)),"Réf. inconnue"))</f>
        <v/>
      </c>
      <c r="F1068" s="67" t="n">
        <v>1</v>
      </c>
      <c r="G1068" s="81">
        <f>IF(D1068="","",IFERROR(INDEX('Stock pièces'!$I$5:$I$404,MATCH(D1068,'Stock pièces'!$A$5:$A$404,0)),0))</f>
        <v/>
      </c>
      <c r="H1068" s="81">
        <f>IF(D1068="","",N(F1068)*N(G1068))</f>
        <v/>
      </c>
      <c r="I1068" s="7" t="inlineStr">
        <is>
          <t>OT-2026-0492</t>
        </is>
      </c>
      <c r="J1068" s="9">
        <f>IF(I1068="","",IFERROR(INDEX('Ordres de travail'!$D$5:$D$3004,MATCH(I1068,'Ordres de travail'!$A$5:$A$3004,0)),""))</f>
        <v/>
      </c>
      <c r="K1068" s="9">
        <f>IF(D1068="","",IFERROR(INDEX('Stock pièces'!$D$5:$D$404,MATCH(D1068,'Stock pièces'!$A$5:$A$404,0)),""))</f>
        <v/>
      </c>
      <c r="L1068" s="7" t="n"/>
      <c r="M1068" s="7" t="n"/>
    </row>
    <row r="1069">
      <c r="A1069" s="7" t="inlineStr">
        <is>
          <t>MV-01065</t>
        </is>
      </c>
      <c r="B1069" s="75" t="n">
        <v>46258.53819444445</v>
      </c>
      <c r="C1069" s="7" t="inlineStr">
        <is>
          <t>Sortie</t>
        </is>
      </c>
      <c r="D1069" s="7" t="inlineStr">
        <is>
          <t>PD-0017</t>
        </is>
      </c>
      <c r="E1069" s="9">
        <f>IF(D1069="","",IFERROR(INDEX('Stock pièces'!$B$5:$B$404,MATCH(D1069,'Stock pièces'!$A$5:$A$404,0)),"Réf. inconnue"))</f>
        <v/>
      </c>
      <c r="F1069" s="67" t="n">
        <v>1</v>
      </c>
      <c r="G1069" s="81">
        <f>IF(D1069="","",IFERROR(INDEX('Stock pièces'!$I$5:$I$404,MATCH(D1069,'Stock pièces'!$A$5:$A$404,0)),0))</f>
        <v/>
      </c>
      <c r="H1069" s="81">
        <f>IF(D1069="","",N(F1069)*N(G1069))</f>
        <v/>
      </c>
      <c r="I1069" s="7" t="inlineStr">
        <is>
          <t>OT-2026-0493</t>
        </is>
      </c>
      <c r="J1069" s="9">
        <f>IF(I1069="","",IFERROR(INDEX('Ordres de travail'!$D$5:$D$3004,MATCH(I1069,'Ordres de travail'!$A$5:$A$3004,0)),""))</f>
        <v/>
      </c>
      <c r="K1069" s="9">
        <f>IF(D1069="","",IFERROR(INDEX('Stock pièces'!$D$5:$D$404,MATCH(D1069,'Stock pièces'!$A$5:$A$404,0)),""))</f>
        <v/>
      </c>
      <c r="L1069" s="7" t="n"/>
      <c r="M1069" s="7" t="n"/>
    </row>
    <row r="1070">
      <c r="A1070" s="7" t="inlineStr">
        <is>
          <t>MV-01066</t>
        </is>
      </c>
      <c r="B1070" s="75" t="n">
        <v>46258.57638888889</v>
      </c>
      <c r="C1070" s="7" t="inlineStr">
        <is>
          <t>Sortie</t>
        </is>
      </c>
      <c r="D1070" s="7" t="inlineStr">
        <is>
          <t>PD-0025</t>
        </is>
      </c>
      <c r="E1070" s="9">
        <f>IF(D1070="","",IFERROR(INDEX('Stock pièces'!$B$5:$B$404,MATCH(D1070,'Stock pièces'!$A$5:$A$404,0)),"Réf. inconnue"))</f>
        <v/>
      </c>
      <c r="F1070" s="67" t="n">
        <v>3</v>
      </c>
      <c r="G1070" s="81">
        <f>IF(D1070="","",IFERROR(INDEX('Stock pièces'!$I$5:$I$404,MATCH(D1070,'Stock pièces'!$A$5:$A$404,0)),0))</f>
        <v/>
      </c>
      <c r="H1070" s="81">
        <f>IF(D1070="","",N(F1070)*N(G1070))</f>
        <v/>
      </c>
      <c r="I1070" s="7" t="inlineStr">
        <is>
          <t>OT-2026-0490</t>
        </is>
      </c>
      <c r="J1070" s="9">
        <f>IF(I1070="","",IFERROR(INDEX('Ordres de travail'!$D$5:$D$3004,MATCH(I1070,'Ordres de travail'!$A$5:$A$3004,0)),""))</f>
        <v/>
      </c>
      <c r="K1070" s="9">
        <f>IF(D1070="","",IFERROR(INDEX('Stock pièces'!$D$5:$D$404,MATCH(D1070,'Stock pièces'!$A$5:$A$404,0)),""))</f>
        <v/>
      </c>
      <c r="L1070" s="7" t="n"/>
      <c r="M1070" s="7" t="n"/>
    </row>
    <row r="1071">
      <c r="A1071" s="7" t="inlineStr">
        <is>
          <t>MV-01067</t>
        </is>
      </c>
      <c r="B1071" s="75" t="n">
        <v>46258.61111111111</v>
      </c>
      <c r="C1071" s="7" t="inlineStr">
        <is>
          <t>Sortie</t>
        </is>
      </c>
      <c r="D1071" s="7" t="inlineStr">
        <is>
          <t>PD-0012</t>
        </is>
      </c>
      <c r="E1071" s="9">
        <f>IF(D1071="","",IFERROR(INDEX('Stock pièces'!$B$5:$B$404,MATCH(D1071,'Stock pièces'!$A$5:$A$404,0)),"Réf. inconnue"))</f>
        <v/>
      </c>
      <c r="F1071" s="67" t="n">
        <v>1</v>
      </c>
      <c r="G1071" s="81">
        <f>IF(D1071="","",IFERROR(INDEX('Stock pièces'!$I$5:$I$404,MATCH(D1071,'Stock pièces'!$A$5:$A$404,0)),0))</f>
        <v/>
      </c>
      <c r="H1071" s="81">
        <f>IF(D1071="","",N(F1071)*N(G1071))</f>
        <v/>
      </c>
      <c r="I1071" s="7" t="inlineStr">
        <is>
          <t>OT-2026-0498</t>
        </is>
      </c>
      <c r="J1071" s="9">
        <f>IF(I1071="","",IFERROR(INDEX('Ordres de travail'!$D$5:$D$3004,MATCH(I1071,'Ordres de travail'!$A$5:$A$3004,0)),""))</f>
        <v/>
      </c>
      <c r="K1071" s="9">
        <f>IF(D1071="","",IFERROR(INDEX('Stock pièces'!$D$5:$D$404,MATCH(D1071,'Stock pièces'!$A$5:$A$404,0)),""))</f>
        <v/>
      </c>
      <c r="L1071" s="7" t="n"/>
      <c r="M1071" s="7" t="n"/>
    </row>
    <row r="1072">
      <c r="A1072" s="7" t="inlineStr">
        <is>
          <t>MV-01068</t>
        </is>
      </c>
      <c r="B1072" s="75" t="n">
        <v>46258.61111111111</v>
      </c>
      <c r="C1072" s="7" t="inlineStr">
        <is>
          <t>Sortie</t>
        </is>
      </c>
      <c r="D1072" s="7" t="inlineStr">
        <is>
          <t>PD-0013</t>
        </is>
      </c>
      <c r="E1072" s="9">
        <f>IF(D1072="","",IFERROR(INDEX('Stock pièces'!$B$5:$B$404,MATCH(D1072,'Stock pièces'!$A$5:$A$404,0)),"Réf. inconnue"))</f>
        <v/>
      </c>
      <c r="F1072" s="67" t="n">
        <v>1</v>
      </c>
      <c r="G1072" s="81">
        <f>IF(D1072="","",IFERROR(INDEX('Stock pièces'!$I$5:$I$404,MATCH(D1072,'Stock pièces'!$A$5:$A$404,0)),0))</f>
        <v/>
      </c>
      <c r="H1072" s="81">
        <f>IF(D1072="","",N(F1072)*N(G1072))</f>
        <v/>
      </c>
      <c r="I1072" s="7" t="inlineStr">
        <is>
          <t>OT-2026-0498</t>
        </is>
      </c>
      <c r="J1072" s="9">
        <f>IF(I1072="","",IFERROR(INDEX('Ordres de travail'!$D$5:$D$3004,MATCH(I1072,'Ordres de travail'!$A$5:$A$3004,0)),""))</f>
        <v/>
      </c>
      <c r="K1072" s="9">
        <f>IF(D1072="","",IFERROR(INDEX('Stock pièces'!$D$5:$D$404,MATCH(D1072,'Stock pièces'!$A$5:$A$404,0)),""))</f>
        <v/>
      </c>
      <c r="L1072" s="7" t="n"/>
      <c r="M1072" s="7" t="n"/>
    </row>
    <row r="1073">
      <c r="A1073" s="7" t="inlineStr">
        <is>
          <t>MV-01069</t>
        </is>
      </c>
      <c r="B1073" s="75" t="n">
        <v>46258.61111111111</v>
      </c>
      <c r="C1073" s="7" t="inlineStr">
        <is>
          <t>Sortie</t>
        </is>
      </c>
      <c r="D1073" s="7" t="inlineStr">
        <is>
          <t>PD-0014</t>
        </is>
      </c>
      <c r="E1073" s="9">
        <f>IF(D1073="","",IFERROR(INDEX('Stock pièces'!$B$5:$B$404,MATCH(D1073,'Stock pièces'!$A$5:$A$404,0)),"Réf. inconnue"))</f>
        <v/>
      </c>
      <c r="F1073" s="67" t="n">
        <v>1</v>
      </c>
      <c r="G1073" s="81">
        <f>IF(D1073="","",IFERROR(INDEX('Stock pièces'!$I$5:$I$404,MATCH(D1073,'Stock pièces'!$A$5:$A$404,0)),0))</f>
        <v/>
      </c>
      <c r="H1073" s="81">
        <f>IF(D1073="","",N(F1073)*N(G1073))</f>
        <v/>
      </c>
      <c r="I1073" s="7" t="inlineStr">
        <is>
          <t>OT-2026-0498</t>
        </is>
      </c>
      <c r="J1073" s="9">
        <f>IF(I1073="","",IFERROR(INDEX('Ordres de travail'!$D$5:$D$3004,MATCH(I1073,'Ordres de travail'!$A$5:$A$3004,0)),""))</f>
        <v/>
      </c>
      <c r="K1073" s="9">
        <f>IF(D1073="","",IFERROR(INDEX('Stock pièces'!$D$5:$D$404,MATCH(D1073,'Stock pièces'!$A$5:$A$404,0)),""))</f>
        <v/>
      </c>
      <c r="L1073" s="7" t="n"/>
      <c r="M1073" s="7" t="n"/>
    </row>
    <row r="1074">
      <c r="A1074" s="7" t="inlineStr">
        <is>
          <t>MV-01070</t>
        </is>
      </c>
      <c r="B1074" s="75" t="n">
        <v>46258.61111111111</v>
      </c>
      <c r="C1074" s="7" t="inlineStr">
        <is>
          <t>Sortie</t>
        </is>
      </c>
      <c r="D1074" s="7" t="inlineStr">
        <is>
          <t>PD-0024</t>
        </is>
      </c>
      <c r="E1074" s="9">
        <f>IF(D1074="","",IFERROR(INDEX('Stock pièces'!$B$5:$B$404,MATCH(D1074,'Stock pièces'!$A$5:$A$404,0)),"Réf. inconnue"))</f>
        <v/>
      </c>
      <c r="F1074" s="67" t="n">
        <v>1</v>
      </c>
      <c r="G1074" s="81">
        <f>IF(D1074="","",IFERROR(INDEX('Stock pièces'!$I$5:$I$404,MATCH(D1074,'Stock pièces'!$A$5:$A$404,0)),0))</f>
        <v/>
      </c>
      <c r="H1074" s="81">
        <f>IF(D1074="","",N(F1074)*N(G1074))</f>
        <v/>
      </c>
      <c r="I1074" s="7" t="inlineStr">
        <is>
          <t>OT-2026-0498</t>
        </is>
      </c>
      <c r="J1074" s="9">
        <f>IF(I1074="","",IFERROR(INDEX('Ordres de travail'!$D$5:$D$3004,MATCH(I1074,'Ordres de travail'!$A$5:$A$3004,0)),""))</f>
        <v/>
      </c>
      <c r="K1074" s="9">
        <f>IF(D1074="","",IFERROR(INDEX('Stock pièces'!$D$5:$D$404,MATCH(D1074,'Stock pièces'!$A$5:$A$404,0)),""))</f>
        <v/>
      </c>
      <c r="L1074" s="7" t="n"/>
      <c r="M1074" s="7" t="n"/>
    </row>
    <row r="1075">
      <c r="A1075" s="7" t="inlineStr">
        <is>
          <t>MV-01071</t>
        </is>
      </c>
      <c r="B1075" s="75" t="n">
        <v>46259.41666666666</v>
      </c>
      <c r="C1075" s="7" t="inlineStr">
        <is>
          <t>Entrée</t>
        </is>
      </c>
      <c r="D1075" s="7" t="inlineStr">
        <is>
          <t>PD-0067</t>
        </is>
      </c>
      <c r="E1075" s="9">
        <f>IF(D1075="","",IFERROR(INDEX('Stock pièces'!$B$5:$B$404,MATCH(D1075,'Stock pièces'!$A$5:$A$404,0)),"Réf. inconnue"))</f>
        <v/>
      </c>
      <c r="F1075" s="67" t="n">
        <v>3</v>
      </c>
      <c r="G1075" s="81">
        <f>IF(D1075="","",IFERROR(INDEX('Stock pièces'!$I$5:$I$404,MATCH(D1075,'Stock pièces'!$A$5:$A$404,0)),0))</f>
        <v/>
      </c>
      <c r="H1075" s="81">
        <f>IF(D1075="","",N(F1075)*N(G1075))</f>
        <v/>
      </c>
      <c r="I1075" s="7" t="n"/>
      <c r="J1075" s="9">
        <f>IF(I1075="","",IFERROR(INDEX('Ordres de travail'!$D$5:$D$3004,MATCH(I1075,'Ordres de travail'!$A$5:$A$3004,0)),""))</f>
        <v/>
      </c>
      <c r="K1075" s="9">
        <f>IF(D1075="","",IFERROR(INDEX('Stock pièces'!$D$5:$D$404,MATCH(D1075,'Stock pièces'!$A$5:$A$404,0)),""))</f>
        <v/>
      </c>
      <c r="L1075" s="7" t="inlineStr">
        <is>
          <t>CMD-24300</t>
        </is>
      </c>
      <c r="M1075" s="7" t="inlineStr">
        <is>
          <t>Réception commande réappro</t>
        </is>
      </c>
    </row>
    <row r="1076">
      <c r="A1076" s="7" t="inlineStr">
        <is>
          <t>MV-01072</t>
        </is>
      </c>
      <c r="B1076" s="75" t="n">
        <v>46260.41666666666</v>
      </c>
      <c r="C1076" s="7" t="inlineStr">
        <is>
          <t>Entrée</t>
        </is>
      </c>
      <c r="D1076" s="7" t="inlineStr">
        <is>
          <t>PD-0054</t>
        </is>
      </c>
      <c r="E1076" s="9">
        <f>IF(D1076="","",IFERROR(INDEX('Stock pièces'!$B$5:$B$404,MATCH(D1076,'Stock pièces'!$A$5:$A$404,0)),"Réf. inconnue"))</f>
        <v/>
      </c>
      <c r="F1076" s="67" t="n">
        <v>2</v>
      </c>
      <c r="G1076" s="81">
        <f>IF(D1076="","",IFERROR(INDEX('Stock pièces'!$I$5:$I$404,MATCH(D1076,'Stock pièces'!$A$5:$A$404,0)),0))</f>
        <v/>
      </c>
      <c r="H1076" s="81">
        <f>IF(D1076="","",N(F1076)*N(G1076))</f>
        <v/>
      </c>
      <c r="I1076" s="7" t="n"/>
      <c r="J1076" s="9">
        <f>IF(I1076="","",IFERROR(INDEX('Ordres de travail'!$D$5:$D$3004,MATCH(I1076,'Ordres de travail'!$A$5:$A$3004,0)),""))</f>
        <v/>
      </c>
      <c r="K1076" s="9">
        <f>IF(D1076="","",IFERROR(INDEX('Stock pièces'!$D$5:$D$404,MATCH(D1076,'Stock pièces'!$A$5:$A$404,0)),""))</f>
        <v/>
      </c>
      <c r="L1076" s="7" t="inlineStr">
        <is>
          <t>CMD-24301</t>
        </is>
      </c>
      <c r="M1076" s="7" t="inlineStr">
        <is>
          <t>Réception commande réappro</t>
        </is>
      </c>
    </row>
    <row r="1077">
      <c r="A1077" s="7" t="inlineStr">
        <is>
          <t>MV-01073</t>
        </is>
      </c>
      <c r="B1077" s="75" t="n">
        <v>46260.48819444444</v>
      </c>
      <c r="C1077" s="7" t="inlineStr">
        <is>
          <t>Sortie</t>
        </is>
      </c>
      <c r="D1077" s="7" t="inlineStr">
        <is>
          <t>PD-0055</t>
        </is>
      </c>
      <c r="E1077" s="9">
        <f>IF(D1077="","",IFERROR(INDEX('Stock pièces'!$B$5:$B$404,MATCH(D1077,'Stock pièces'!$A$5:$A$404,0)),"Réf. inconnue"))</f>
        <v/>
      </c>
      <c r="F1077" s="67" t="n">
        <v>2</v>
      </c>
      <c r="G1077" s="81">
        <f>IF(D1077="","",IFERROR(INDEX('Stock pièces'!$I$5:$I$404,MATCH(D1077,'Stock pièces'!$A$5:$A$404,0)),0))</f>
        <v/>
      </c>
      <c r="H1077" s="81">
        <f>IF(D1077="","",N(F1077)*N(G1077))</f>
        <v/>
      </c>
      <c r="I1077" s="7" t="inlineStr">
        <is>
          <t>OT-2026-0508</t>
        </is>
      </c>
      <c r="J1077" s="9">
        <f>IF(I1077="","",IFERROR(INDEX('Ordres de travail'!$D$5:$D$3004,MATCH(I1077,'Ordres de travail'!$A$5:$A$3004,0)),""))</f>
        <v/>
      </c>
      <c r="K1077" s="9">
        <f>IF(D1077="","",IFERROR(INDEX('Stock pièces'!$D$5:$D$404,MATCH(D1077,'Stock pièces'!$A$5:$A$404,0)),""))</f>
        <v/>
      </c>
      <c r="L1077" s="7" t="n"/>
      <c r="M1077" s="7" t="n"/>
    </row>
    <row r="1078">
      <c r="A1078" s="7" t="inlineStr">
        <is>
          <t>MV-01074</t>
        </is>
      </c>
      <c r="B1078" s="75" t="n">
        <v>46261.47569444445</v>
      </c>
      <c r="C1078" s="7" t="inlineStr">
        <is>
          <t>Sortie</t>
        </is>
      </c>
      <c r="D1078" s="7" t="inlineStr">
        <is>
          <t>PD-0025</t>
        </is>
      </c>
      <c r="E1078" s="9">
        <f>IF(D1078="","",IFERROR(INDEX('Stock pièces'!$B$5:$B$404,MATCH(D1078,'Stock pièces'!$A$5:$A$404,0)),"Réf. inconnue"))</f>
        <v/>
      </c>
      <c r="F1078" s="67" t="n">
        <v>1</v>
      </c>
      <c r="G1078" s="81">
        <f>IF(D1078="","",IFERROR(INDEX('Stock pièces'!$I$5:$I$404,MATCH(D1078,'Stock pièces'!$A$5:$A$404,0)),0))</f>
        <v/>
      </c>
      <c r="H1078" s="81">
        <f>IF(D1078="","",N(F1078)*N(G1078))</f>
        <v/>
      </c>
      <c r="I1078" s="7" t="inlineStr">
        <is>
          <t>OT-2026-0503</t>
        </is>
      </c>
      <c r="J1078" s="9">
        <f>IF(I1078="","",IFERROR(INDEX('Ordres de travail'!$D$5:$D$3004,MATCH(I1078,'Ordres de travail'!$A$5:$A$3004,0)),""))</f>
        <v/>
      </c>
      <c r="K1078" s="9">
        <f>IF(D1078="","",IFERROR(INDEX('Stock pièces'!$D$5:$D$404,MATCH(D1078,'Stock pièces'!$A$5:$A$404,0)),""))</f>
        <v/>
      </c>
      <c r="L1078" s="7" t="n"/>
      <c r="M1078" s="7" t="n"/>
    </row>
    <row r="1079">
      <c r="A1079" s="7" t="inlineStr">
        <is>
          <t>MV-01075</t>
        </is>
      </c>
      <c r="B1079" s="75" t="n">
        <v>46261.48819444444</v>
      </c>
      <c r="C1079" s="7" t="inlineStr">
        <is>
          <t>Retour</t>
        </is>
      </c>
      <c r="D1079" s="7" t="inlineStr">
        <is>
          <t>PD-0055</t>
        </is>
      </c>
      <c r="E1079" s="9">
        <f>IF(D1079="","",IFERROR(INDEX('Stock pièces'!$B$5:$B$404,MATCH(D1079,'Stock pièces'!$A$5:$A$404,0)),"Réf. inconnue"))</f>
        <v/>
      </c>
      <c r="F1079" s="67" t="n">
        <v>1</v>
      </c>
      <c r="G1079" s="81">
        <f>IF(D1079="","",IFERROR(INDEX('Stock pièces'!$I$5:$I$404,MATCH(D1079,'Stock pièces'!$A$5:$A$404,0)),0))</f>
        <v/>
      </c>
      <c r="H1079" s="81">
        <f>IF(D1079="","",N(F1079)*N(G1079))</f>
        <v/>
      </c>
      <c r="I1079" s="7" t="inlineStr">
        <is>
          <t>OT-2026-0508</t>
        </is>
      </c>
      <c r="J1079" s="9">
        <f>IF(I1079="","",IFERROR(INDEX('Ordres de travail'!$D$5:$D$3004,MATCH(I1079,'Ordres de travail'!$A$5:$A$3004,0)),""))</f>
        <v/>
      </c>
      <c r="K1079" s="9">
        <f>IF(D1079="","",IFERROR(INDEX('Stock pièces'!$D$5:$D$404,MATCH(D1079,'Stock pièces'!$A$5:$A$404,0)),""))</f>
        <v/>
      </c>
      <c r="L1079" s="7" t="n"/>
      <c r="M1079" s="7" t="inlineStr">
        <is>
          <t>Pièce non utilisée</t>
        </is>
      </c>
    </row>
    <row r="1080">
      <c r="A1080" s="7" t="inlineStr">
        <is>
          <t>MV-01076</t>
        </is>
      </c>
      <c r="B1080" s="75" t="n">
        <v>46262.26736111111</v>
      </c>
      <c r="C1080" s="7" t="inlineStr">
        <is>
          <t>Sortie</t>
        </is>
      </c>
      <c r="D1080" s="7" t="inlineStr">
        <is>
          <t>PD-0015</t>
        </is>
      </c>
      <c r="E1080" s="9">
        <f>IF(D1080="","",IFERROR(INDEX('Stock pièces'!$B$5:$B$404,MATCH(D1080,'Stock pièces'!$A$5:$A$404,0)),"Réf. inconnue"))</f>
        <v/>
      </c>
      <c r="F1080" s="67" t="n">
        <v>1</v>
      </c>
      <c r="G1080" s="81">
        <f>IF(D1080="","",IFERROR(INDEX('Stock pièces'!$I$5:$I$404,MATCH(D1080,'Stock pièces'!$A$5:$A$404,0)),0))</f>
        <v/>
      </c>
      <c r="H1080" s="81">
        <f>IF(D1080="","",N(F1080)*N(G1080))</f>
        <v/>
      </c>
      <c r="I1080" s="7" t="inlineStr">
        <is>
          <t>OT-2026-0506</t>
        </is>
      </c>
      <c r="J1080" s="9">
        <f>IF(I1080="","",IFERROR(INDEX('Ordres de travail'!$D$5:$D$3004,MATCH(I1080,'Ordres de travail'!$A$5:$A$3004,0)),""))</f>
        <v/>
      </c>
      <c r="K1080" s="9">
        <f>IF(D1080="","",IFERROR(INDEX('Stock pièces'!$D$5:$D$404,MATCH(D1080,'Stock pièces'!$A$5:$A$404,0)),""))</f>
        <v/>
      </c>
      <c r="L1080" s="7" t="n"/>
      <c r="M1080" s="7" t="n"/>
    </row>
    <row r="1081">
      <c r="A1081" s="7" t="inlineStr">
        <is>
          <t>MV-01077</t>
        </is>
      </c>
      <c r="B1081" s="75" t="n">
        <v>46262.26736111111</v>
      </c>
      <c r="C1081" s="7" t="inlineStr">
        <is>
          <t>Sortie</t>
        </is>
      </c>
      <c r="D1081" s="7" t="inlineStr">
        <is>
          <t>PD-0022</t>
        </is>
      </c>
      <c r="E1081" s="9">
        <f>IF(D1081="","",IFERROR(INDEX('Stock pièces'!$B$5:$B$404,MATCH(D1081,'Stock pièces'!$A$5:$A$404,0)),"Réf. inconnue"))</f>
        <v/>
      </c>
      <c r="F1081" s="67" t="n">
        <v>1</v>
      </c>
      <c r="G1081" s="81">
        <f>IF(D1081="","",IFERROR(INDEX('Stock pièces'!$I$5:$I$404,MATCH(D1081,'Stock pièces'!$A$5:$A$404,0)),0))</f>
        <v/>
      </c>
      <c r="H1081" s="81">
        <f>IF(D1081="","",N(F1081)*N(G1081))</f>
        <v/>
      </c>
      <c r="I1081" s="7" t="inlineStr">
        <is>
          <t>OT-2026-0506</t>
        </is>
      </c>
      <c r="J1081" s="9">
        <f>IF(I1081="","",IFERROR(INDEX('Ordres de travail'!$D$5:$D$3004,MATCH(I1081,'Ordres de travail'!$A$5:$A$3004,0)),""))</f>
        <v/>
      </c>
      <c r="K1081" s="9">
        <f>IF(D1081="","",IFERROR(INDEX('Stock pièces'!$D$5:$D$404,MATCH(D1081,'Stock pièces'!$A$5:$A$404,0)),""))</f>
        <v/>
      </c>
      <c r="L1081" s="7" t="n"/>
      <c r="M1081" s="7" t="n"/>
    </row>
    <row r="1082">
      <c r="A1082" s="7" t="inlineStr">
        <is>
          <t>MV-01078</t>
        </is>
      </c>
      <c r="B1082" s="75" t="n">
        <v>46265.41319444445</v>
      </c>
      <c r="C1082" s="7" t="inlineStr">
        <is>
          <t>Sortie</t>
        </is>
      </c>
      <c r="D1082" s="7" t="inlineStr">
        <is>
          <t>PD-0062</t>
        </is>
      </c>
      <c r="E1082" s="9">
        <f>IF(D1082="","",IFERROR(INDEX('Stock pièces'!$B$5:$B$404,MATCH(D1082,'Stock pièces'!$A$5:$A$404,0)),"Réf. inconnue"))</f>
        <v/>
      </c>
      <c r="F1082" s="67" t="n">
        <v>1</v>
      </c>
      <c r="G1082" s="81">
        <f>IF(D1082="","",IFERROR(INDEX('Stock pièces'!$I$5:$I$404,MATCH(D1082,'Stock pièces'!$A$5:$A$404,0)),0))</f>
        <v/>
      </c>
      <c r="H1082" s="81">
        <f>IF(D1082="","",N(F1082)*N(G1082))</f>
        <v/>
      </c>
      <c r="I1082" s="7" t="inlineStr">
        <is>
          <t>OT-2026-0507</t>
        </is>
      </c>
      <c r="J1082" s="9">
        <f>IF(I1082="","",IFERROR(INDEX('Ordres de travail'!$D$5:$D$3004,MATCH(I1082,'Ordres de travail'!$A$5:$A$3004,0)),""))</f>
        <v/>
      </c>
      <c r="K1082" s="9">
        <f>IF(D1082="","",IFERROR(INDEX('Stock pièces'!$D$5:$D$404,MATCH(D1082,'Stock pièces'!$A$5:$A$404,0)),""))</f>
        <v/>
      </c>
      <c r="L1082" s="7" t="n"/>
      <c r="M1082" s="7" t="n"/>
    </row>
    <row r="1083">
      <c r="A1083" s="7" t="inlineStr">
        <is>
          <t>MV-01079</t>
        </is>
      </c>
      <c r="B1083" s="75" t="n">
        <v>46265.41319444445</v>
      </c>
      <c r="C1083" s="7" t="inlineStr">
        <is>
          <t>Sortie</t>
        </is>
      </c>
      <c r="D1083" s="7" t="inlineStr">
        <is>
          <t>PD-0063</t>
        </is>
      </c>
      <c r="E1083" s="9">
        <f>IF(D1083="","",IFERROR(INDEX('Stock pièces'!$B$5:$B$404,MATCH(D1083,'Stock pièces'!$A$5:$A$404,0)),"Réf. inconnue"))</f>
        <v/>
      </c>
      <c r="F1083" s="67" t="n">
        <v>1</v>
      </c>
      <c r="G1083" s="81">
        <f>IF(D1083="","",IFERROR(INDEX('Stock pièces'!$I$5:$I$404,MATCH(D1083,'Stock pièces'!$A$5:$A$404,0)),0))</f>
        <v/>
      </c>
      <c r="H1083" s="81">
        <f>IF(D1083="","",N(F1083)*N(G1083))</f>
        <v/>
      </c>
      <c r="I1083" s="7" t="inlineStr">
        <is>
          <t>OT-2026-0507</t>
        </is>
      </c>
      <c r="J1083" s="9">
        <f>IF(I1083="","",IFERROR(INDEX('Ordres de travail'!$D$5:$D$3004,MATCH(I1083,'Ordres de travail'!$A$5:$A$3004,0)),""))</f>
        <v/>
      </c>
      <c r="K1083" s="9">
        <f>IF(D1083="","",IFERROR(INDEX('Stock pièces'!$D$5:$D$404,MATCH(D1083,'Stock pièces'!$A$5:$A$404,0)),""))</f>
        <v/>
      </c>
      <c r="L1083" s="7" t="n"/>
      <c r="M1083" s="7" t="n"/>
    </row>
    <row r="1084">
      <c r="A1084" s="7" t="inlineStr">
        <is>
          <t>MV-01080</t>
        </is>
      </c>
      <c r="B1084" s="75" t="n">
        <v>46265.41666666666</v>
      </c>
      <c r="C1084" s="7" t="inlineStr">
        <is>
          <t>Entrée</t>
        </is>
      </c>
      <c r="D1084" s="7" t="inlineStr">
        <is>
          <t>PD-0012</t>
        </is>
      </c>
      <c r="E1084" s="9">
        <f>IF(D1084="","",IFERROR(INDEX('Stock pièces'!$B$5:$B$404,MATCH(D1084,'Stock pièces'!$A$5:$A$404,0)),"Réf. inconnue"))</f>
        <v/>
      </c>
      <c r="F1084" s="67" t="n">
        <v>4</v>
      </c>
      <c r="G1084" s="81">
        <f>IF(D1084="","",IFERROR(INDEX('Stock pièces'!$I$5:$I$404,MATCH(D1084,'Stock pièces'!$A$5:$A$404,0)),0))</f>
        <v/>
      </c>
      <c r="H1084" s="81">
        <f>IF(D1084="","",N(F1084)*N(G1084))</f>
        <v/>
      </c>
      <c r="I1084" s="7" t="n"/>
      <c r="J1084" s="9">
        <f>IF(I1084="","",IFERROR(INDEX('Ordres de travail'!$D$5:$D$3004,MATCH(I1084,'Ordres de travail'!$A$5:$A$3004,0)),""))</f>
        <v/>
      </c>
      <c r="K1084" s="9">
        <f>IF(D1084="","",IFERROR(INDEX('Stock pièces'!$D$5:$D$404,MATCH(D1084,'Stock pièces'!$A$5:$A$404,0)),""))</f>
        <v/>
      </c>
      <c r="L1084" s="7" t="inlineStr">
        <is>
          <t>CMD-24302</t>
        </is>
      </c>
      <c r="M1084" s="7" t="inlineStr">
        <is>
          <t>Réception commande réappro</t>
        </is>
      </c>
    </row>
    <row r="1085">
      <c r="A1085" s="7" t="inlineStr">
        <is>
          <t>MV-01081</t>
        </is>
      </c>
      <c r="B1085" s="75" t="n">
        <v>46265.41666666666</v>
      </c>
      <c r="C1085" s="7" t="inlineStr">
        <is>
          <t>Entrée</t>
        </is>
      </c>
      <c r="D1085" s="7" t="inlineStr">
        <is>
          <t>PD-0014</t>
        </is>
      </c>
      <c r="E1085" s="9">
        <f>IF(D1085="","",IFERROR(INDEX('Stock pièces'!$B$5:$B$404,MATCH(D1085,'Stock pièces'!$A$5:$A$404,0)),"Réf. inconnue"))</f>
        <v/>
      </c>
      <c r="F1085" s="67" t="n">
        <v>1</v>
      </c>
      <c r="G1085" s="81">
        <f>IF(D1085="","",IFERROR(INDEX('Stock pièces'!$I$5:$I$404,MATCH(D1085,'Stock pièces'!$A$5:$A$404,0)),0))</f>
        <v/>
      </c>
      <c r="H1085" s="81">
        <f>IF(D1085="","",N(F1085)*N(G1085))</f>
        <v/>
      </c>
      <c r="I1085" s="7" t="n"/>
      <c r="J1085" s="9">
        <f>IF(I1085="","",IFERROR(INDEX('Ordres de travail'!$D$5:$D$3004,MATCH(I1085,'Ordres de travail'!$A$5:$A$3004,0)),""))</f>
        <v/>
      </c>
      <c r="K1085" s="9">
        <f>IF(D1085="","",IFERROR(INDEX('Stock pièces'!$D$5:$D$404,MATCH(D1085,'Stock pièces'!$A$5:$A$404,0)),""))</f>
        <v/>
      </c>
      <c r="L1085" s="7" t="inlineStr">
        <is>
          <t>CMD-24303</t>
        </is>
      </c>
      <c r="M1085" s="7" t="inlineStr">
        <is>
          <t>Réception commande réappro</t>
        </is>
      </c>
    </row>
    <row r="1086">
      <c r="A1086" s="7" t="inlineStr">
        <is>
          <t>MV-01082</t>
        </is>
      </c>
      <c r="B1086" s="75" t="n">
        <v>46265.93263888889</v>
      </c>
      <c r="C1086" s="7" t="inlineStr">
        <is>
          <t>Sortie</t>
        </is>
      </c>
      <c r="D1086" s="7" t="inlineStr">
        <is>
          <t>PD-0056</t>
        </is>
      </c>
      <c r="E1086" s="9">
        <f>IF(D1086="","",IFERROR(INDEX('Stock pièces'!$B$5:$B$404,MATCH(D1086,'Stock pièces'!$A$5:$A$404,0)),"Réf. inconnue"))</f>
        <v/>
      </c>
      <c r="F1086" s="67" t="n">
        <v>1</v>
      </c>
      <c r="G1086" s="81">
        <f>IF(D1086="","",IFERROR(INDEX('Stock pièces'!$I$5:$I$404,MATCH(D1086,'Stock pièces'!$A$5:$A$404,0)),0))</f>
        <v/>
      </c>
      <c r="H1086" s="81">
        <f>IF(D1086="","",N(F1086)*N(G1086))</f>
        <v/>
      </c>
      <c r="I1086" s="7" t="inlineStr">
        <is>
          <t>OT-2026-0518</t>
        </is>
      </c>
      <c r="J1086" s="9">
        <f>IF(I1086="","",IFERROR(INDEX('Ordres de travail'!$D$5:$D$3004,MATCH(I1086,'Ordres de travail'!$A$5:$A$3004,0)),""))</f>
        <v/>
      </c>
      <c r="K1086" s="9">
        <f>IF(D1086="","",IFERROR(INDEX('Stock pièces'!$D$5:$D$404,MATCH(D1086,'Stock pièces'!$A$5:$A$404,0)),""))</f>
        <v/>
      </c>
      <c r="L1086" s="7" t="n"/>
      <c r="M1086" s="7" t="n"/>
    </row>
    <row r="1087">
      <c r="A1087" s="7" t="inlineStr">
        <is>
          <t>MV-01083</t>
        </is>
      </c>
      <c r="B1087" s="75" t="n">
        <v>46266.37152777778</v>
      </c>
      <c r="C1087" s="7" t="inlineStr">
        <is>
          <t>Sortie</t>
        </is>
      </c>
      <c r="D1087" s="7" t="inlineStr">
        <is>
          <t>PD-0017</t>
        </is>
      </c>
      <c r="E1087" s="9">
        <f>IF(D1087="","",IFERROR(INDEX('Stock pièces'!$B$5:$B$404,MATCH(D1087,'Stock pièces'!$A$5:$A$404,0)),"Réf. inconnue"))</f>
        <v/>
      </c>
      <c r="F1087" s="67" t="n">
        <v>1</v>
      </c>
      <c r="G1087" s="81">
        <f>IF(D1087="","",IFERROR(INDEX('Stock pièces'!$I$5:$I$404,MATCH(D1087,'Stock pièces'!$A$5:$A$404,0)),0))</f>
        <v/>
      </c>
      <c r="H1087" s="81">
        <f>IF(D1087="","",N(F1087)*N(G1087))</f>
        <v/>
      </c>
      <c r="I1087" s="7" t="inlineStr">
        <is>
          <t>OT-2026-0511</t>
        </is>
      </c>
      <c r="J1087" s="9">
        <f>IF(I1087="","",IFERROR(INDEX('Ordres de travail'!$D$5:$D$3004,MATCH(I1087,'Ordres de travail'!$A$5:$A$3004,0)),""))</f>
        <v/>
      </c>
      <c r="K1087" s="9">
        <f>IF(D1087="","",IFERROR(INDEX('Stock pièces'!$D$5:$D$404,MATCH(D1087,'Stock pièces'!$A$5:$A$404,0)),""))</f>
        <v/>
      </c>
      <c r="L1087" s="7" t="n"/>
      <c r="M1087" s="7" t="n"/>
    </row>
    <row r="1088">
      <c r="A1088" s="7" t="inlineStr">
        <is>
          <t>MV-01084</t>
        </is>
      </c>
      <c r="B1088" s="75" t="n">
        <v>46266.41666666666</v>
      </c>
      <c r="C1088" s="7" t="inlineStr">
        <is>
          <t>Entrée</t>
        </is>
      </c>
      <c r="D1088" s="7" t="inlineStr">
        <is>
          <t>PD-0024</t>
        </is>
      </c>
      <c r="E1088" s="9">
        <f>IF(D1088="","",IFERROR(INDEX('Stock pièces'!$B$5:$B$404,MATCH(D1088,'Stock pièces'!$A$5:$A$404,0)),"Réf. inconnue"))</f>
        <v/>
      </c>
      <c r="F1088" s="67" t="n">
        <v>2</v>
      </c>
      <c r="G1088" s="81">
        <f>IF(D1088="","",IFERROR(INDEX('Stock pièces'!$I$5:$I$404,MATCH(D1088,'Stock pièces'!$A$5:$A$404,0)),0))</f>
        <v/>
      </c>
      <c r="H1088" s="81">
        <f>IF(D1088="","",N(F1088)*N(G1088))</f>
        <v/>
      </c>
      <c r="I1088" s="7" t="n"/>
      <c r="J1088" s="9">
        <f>IF(I1088="","",IFERROR(INDEX('Ordres de travail'!$D$5:$D$3004,MATCH(I1088,'Ordres de travail'!$A$5:$A$3004,0)),""))</f>
        <v/>
      </c>
      <c r="K1088" s="9">
        <f>IF(D1088="","",IFERROR(INDEX('Stock pièces'!$D$5:$D$404,MATCH(D1088,'Stock pièces'!$A$5:$A$404,0)),""))</f>
        <v/>
      </c>
      <c r="L1088" s="7" t="inlineStr">
        <is>
          <t>CMD-24304</t>
        </is>
      </c>
      <c r="M1088" s="7" t="inlineStr">
        <is>
          <t>Réception commande réappro</t>
        </is>
      </c>
    </row>
    <row r="1089">
      <c r="A1089" s="7" t="inlineStr">
        <is>
          <t>MV-01085</t>
        </is>
      </c>
      <c r="B1089" s="75" t="n">
        <v>46266.57638888889</v>
      </c>
      <c r="C1089" s="7" t="inlineStr">
        <is>
          <t>Sortie</t>
        </is>
      </c>
      <c r="D1089" s="7" t="inlineStr">
        <is>
          <t>PD-0017</t>
        </is>
      </c>
      <c r="E1089" s="9">
        <f>IF(D1089="","",IFERROR(INDEX('Stock pièces'!$B$5:$B$404,MATCH(D1089,'Stock pièces'!$A$5:$A$404,0)),"Réf. inconnue"))</f>
        <v/>
      </c>
      <c r="F1089" s="67" t="n">
        <v>1</v>
      </c>
      <c r="G1089" s="81">
        <f>IF(D1089="","",IFERROR(INDEX('Stock pièces'!$I$5:$I$404,MATCH(D1089,'Stock pièces'!$A$5:$A$404,0)),0))</f>
        <v/>
      </c>
      <c r="H1089" s="81">
        <f>IF(D1089="","",N(F1089)*N(G1089))</f>
        <v/>
      </c>
      <c r="I1089" s="7" t="inlineStr">
        <is>
          <t>OT-2026-0509</t>
        </is>
      </c>
      <c r="J1089" s="9">
        <f>IF(I1089="","",IFERROR(INDEX('Ordres de travail'!$D$5:$D$3004,MATCH(I1089,'Ordres de travail'!$A$5:$A$3004,0)),""))</f>
        <v/>
      </c>
      <c r="K1089" s="9">
        <f>IF(D1089="","",IFERROR(INDEX('Stock pièces'!$D$5:$D$404,MATCH(D1089,'Stock pièces'!$A$5:$A$404,0)),""))</f>
        <v/>
      </c>
      <c r="L1089" s="7" t="n"/>
      <c r="M1089" s="7" t="n"/>
    </row>
    <row r="1090">
      <c r="A1090" s="7" t="inlineStr">
        <is>
          <t>MV-01086</t>
        </is>
      </c>
      <c r="B1090" s="75" t="n">
        <v>46268.41666666666</v>
      </c>
      <c r="C1090" s="7" t="inlineStr">
        <is>
          <t>Entrée</t>
        </is>
      </c>
      <c r="D1090" s="7" t="inlineStr">
        <is>
          <t>PD-0015</t>
        </is>
      </c>
      <c r="E1090" s="9">
        <f>IF(D1090="","",IFERROR(INDEX('Stock pièces'!$B$5:$B$404,MATCH(D1090,'Stock pièces'!$A$5:$A$404,0)),"Réf. inconnue"))</f>
        <v/>
      </c>
      <c r="F1090" s="67" t="n">
        <v>6</v>
      </c>
      <c r="G1090" s="81">
        <f>IF(D1090="","",IFERROR(INDEX('Stock pièces'!$I$5:$I$404,MATCH(D1090,'Stock pièces'!$A$5:$A$404,0)),0))</f>
        <v/>
      </c>
      <c r="H1090" s="81">
        <f>IF(D1090="","",N(F1090)*N(G1090))</f>
        <v/>
      </c>
      <c r="I1090" s="7" t="n"/>
      <c r="J1090" s="9">
        <f>IF(I1090="","",IFERROR(INDEX('Ordres de travail'!$D$5:$D$3004,MATCH(I1090,'Ordres de travail'!$A$5:$A$3004,0)),""))</f>
        <v/>
      </c>
      <c r="K1090" s="9">
        <f>IF(D1090="","",IFERROR(INDEX('Stock pièces'!$D$5:$D$404,MATCH(D1090,'Stock pièces'!$A$5:$A$404,0)),""))</f>
        <v/>
      </c>
      <c r="L1090" s="7" t="inlineStr">
        <is>
          <t>CMD-24305</t>
        </is>
      </c>
      <c r="M1090" s="7" t="inlineStr">
        <is>
          <t>Réception commande réappro</t>
        </is>
      </c>
    </row>
    <row r="1091">
      <c r="A1091" s="7" t="inlineStr">
        <is>
          <t>MV-01087</t>
        </is>
      </c>
      <c r="B1091" s="75" t="n">
        <v>46268.45486111111</v>
      </c>
      <c r="C1091" s="7" t="inlineStr">
        <is>
          <t>Sortie</t>
        </is>
      </c>
      <c r="D1091" s="7" t="inlineStr">
        <is>
          <t>PD-0019</t>
        </is>
      </c>
      <c r="E1091" s="9">
        <f>IF(D1091="","",IFERROR(INDEX('Stock pièces'!$B$5:$B$404,MATCH(D1091,'Stock pièces'!$A$5:$A$404,0)),"Réf. inconnue"))</f>
        <v/>
      </c>
      <c r="F1091" s="67" t="n">
        <v>3</v>
      </c>
      <c r="G1091" s="81">
        <f>IF(D1091="","",IFERROR(INDEX('Stock pièces'!$I$5:$I$404,MATCH(D1091,'Stock pièces'!$A$5:$A$404,0)),0))</f>
        <v/>
      </c>
      <c r="H1091" s="81">
        <f>IF(D1091="","",N(F1091)*N(G1091))</f>
        <v/>
      </c>
      <c r="I1091" s="7" t="inlineStr">
        <is>
          <t>OT-2026-0512</t>
        </is>
      </c>
      <c r="J1091" s="9">
        <f>IF(I1091="","",IFERROR(INDEX('Ordres de travail'!$D$5:$D$3004,MATCH(I1091,'Ordres de travail'!$A$5:$A$3004,0)),""))</f>
        <v/>
      </c>
      <c r="K1091" s="9">
        <f>IF(D1091="","",IFERROR(INDEX('Stock pièces'!$D$5:$D$404,MATCH(D1091,'Stock pièces'!$A$5:$A$404,0)),""))</f>
        <v/>
      </c>
      <c r="L1091" s="7" t="n"/>
      <c r="M1091" s="7" t="n"/>
    </row>
    <row r="1092">
      <c r="A1092" s="7" t="inlineStr">
        <is>
          <t>MV-01088</t>
        </is>
      </c>
      <c r="B1092" s="75" t="n">
        <v>46268.45486111111</v>
      </c>
      <c r="C1092" s="7" t="inlineStr">
        <is>
          <t>Sortie</t>
        </is>
      </c>
      <c r="D1092" s="7" t="inlineStr">
        <is>
          <t>PD-0020</t>
        </is>
      </c>
      <c r="E1092" s="9">
        <f>IF(D1092="","",IFERROR(INDEX('Stock pièces'!$B$5:$B$404,MATCH(D1092,'Stock pièces'!$A$5:$A$404,0)),"Réf. inconnue"))</f>
        <v/>
      </c>
      <c r="F1092" s="67" t="n">
        <v>2</v>
      </c>
      <c r="G1092" s="81">
        <f>IF(D1092="","",IFERROR(INDEX('Stock pièces'!$I$5:$I$404,MATCH(D1092,'Stock pièces'!$A$5:$A$404,0)),0))</f>
        <v/>
      </c>
      <c r="H1092" s="81">
        <f>IF(D1092="","",N(F1092)*N(G1092))</f>
        <v/>
      </c>
      <c r="I1092" s="7" t="inlineStr">
        <is>
          <t>OT-2026-0512</t>
        </is>
      </c>
      <c r="J1092" s="9">
        <f>IF(I1092="","",IFERROR(INDEX('Ordres de travail'!$D$5:$D$3004,MATCH(I1092,'Ordres de travail'!$A$5:$A$3004,0)),""))</f>
        <v/>
      </c>
      <c r="K1092" s="9">
        <f>IF(D1092="","",IFERROR(INDEX('Stock pièces'!$D$5:$D$404,MATCH(D1092,'Stock pièces'!$A$5:$A$404,0)),""))</f>
        <v/>
      </c>
      <c r="L1092" s="7" t="n"/>
      <c r="M1092" s="7" t="n"/>
    </row>
    <row r="1093">
      <c r="A1093" s="7" t="inlineStr">
        <is>
          <t>MV-01089</t>
        </is>
      </c>
      <c r="B1093" s="75" t="n">
        <v>46269.41666666666</v>
      </c>
      <c r="C1093" s="7" t="inlineStr">
        <is>
          <t>Entrée</t>
        </is>
      </c>
      <c r="D1093" s="7" t="inlineStr">
        <is>
          <t>PD-0022</t>
        </is>
      </c>
      <c r="E1093" s="9">
        <f>IF(D1093="","",IFERROR(INDEX('Stock pièces'!$B$5:$B$404,MATCH(D1093,'Stock pièces'!$A$5:$A$404,0)),"Réf. inconnue"))</f>
        <v/>
      </c>
      <c r="F1093" s="67" t="n">
        <v>2</v>
      </c>
      <c r="G1093" s="81">
        <f>IF(D1093="","",IFERROR(INDEX('Stock pièces'!$I$5:$I$404,MATCH(D1093,'Stock pièces'!$A$5:$A$404,0)),0))</f>
        <v/>
      </c>
      <c r="H1093" s="81">
        <f>IF(D1093="","",N(F1093)*N(G1093))</f>
        <v/>
      </c>
      <c r="I1093" s="7" t="n"/>
      <c r="J1093" s="9">
        <f>IF(I1093="","",IFERROR(INDEX('Ordres de travail'!$D$5:$D$3004,MATCH(I1093,'Ordres de travail'!$A$5:$A$3004,0)),""))</f>
        <v/>
      </c>
      <c r="K1093" s="9">
        <f>IF(D1093="","",IFERROR(INDEX('Stock pièces'!$D$5:$D$404,MATCH(D1093,'Stock pièces'!$A$5:$A$404,0)),""))</f>
        <v/>
      </c>
      <c r="L1093" s="7" t="inlineStr">
        <is>
          <t>CMD-24306</t>
        </is>
      </c>
      <c r="M1093" s="7" t="inlineStr">
        <is>
          <t>Réception commande réappro</t>
        </is>
      </c>
    </row>
    <row r="1094">
      <c r="A1094" s="7" t="inlineStr">
        <is>
          <t>MV-01090</t>
        </is>
      </c>
      <c r="B1094" s="75" t="n">
        <v>46270.60763888889</v>
      </c>
      <c r="C1094" s="7" t="inlineStr">
        <is>
          <t>Entrée</t>
        </is>
      </c>
      <c r="D1094" s="7" t="inlineStr">
        <is>
          <t>PD-0076</t>
        </is>
      </c>
      <c r="E1094" s="9">
        <f>IF(D1094="","",IFERROR(INDEX('Stock pièces'!$B$5:$B$404,MATCH(D1094,'Stock pièces'!$A$5:$A$404,0)),"Réf. inconnue"))</f>
        <v/>
      </c>
      <c r="F1094" s="67" t="n">
        <v>1</v>
      </c>
      <c r="G1094" s="81">
        <f>IF(D1094="","",IFERROR(INDEX('Stock pièces'!$I$5:$I$404,MATCH(D1094,'Stock pièces'!$A$5:$A$404,0)),0))</f>
        <v/>
      </c>
      <c r="H1094" s="81">
        <f>IF(D1094="","",N(F1094)*N(G1094))</f>
        <v/>
      </c>
      <c r="I1094" s="7" t="n"/>
      <c r="J1094" s="9">
        <f>IF(I1094="","",IFERROR(INDEX('Ordres de travail'!$D$5:$D$3004,MATCH(I1094,'Ordres de travail'!$A$5:$A$3004,0)),""))</f>
        <v/>
      </c>
      <c r="K1094" s="9">
        <f>IF(D1094="","",IFERROR(INDEX('Stock pièces'!$D$5:$D$404,MATCH(D1094,'Stock pièces'!$A$5:$A$404,0)),""))</f>
        <v/>
      </c>
      <c r="L1094" s="7" t="inlineStr">
        <is>
          <t>URG-24309</t>
        </is>
      </c>
      <c r="M1094" s="7" t="inlineStr">
        <is>
          <t>Achat urgent (rupture)</t>
        </is>
      </c>
    </row>
    <row r="1095">
      <c r="A1095" s="7" t="inlineStr">
        <is>
          <t>MV-01091</t>
        </is>
      </c>
      <c r="B1095" s="75" t="n">
        <v>46270.61111111111</v>
      </c>
      <c r="C1095" s="7" t="inlineStr">
        <is>
          <t>Sortie</t>
        </is>
      </c>
      <c r="D1095" s="7" t="inlineStr">
        <is>
          <t>PD-0075</t>
        </is>
      </c>
      <c r="E1095" s="9">
        <f>IF(D1095="","",IFERROR(INDEX('Stock pièces'!$B$5:$B$404,MATCH(D1095,'Stock pièces'!$A$5:$A$404,0)),"Réf. inconnue"))</f>
        <v/>
      </c>
      <c r="F1095" s="67" t="n">
        <v>1</v>
      </c>
      <c r="G1095" s="81">
        <f>IF(D1095="","",IFERROR(INDEX('Stock pièces'!$I$5:$I$404,MATCH(D1095,'Stock pièces'!$A$5:$A$404,0)),0))</f>
        <v/>
      </c>
      <c r="H1095" s="81">
        <f>IF(D1095="","",N(F1095)*N(G1095))</f>
        <v/>
      </c>
      <c r="I1095" s="7" t="inlineStr">
        <is>
          <t>OT-2026-0527</t>
        </is>
      </c>
      <c r="J1095" s="9">
        <f>IF(I1095="","",IFERROR(INDEX('Ordres de travail'!$D$5:$D$3004,MATCH(I1095,'Ordres de travail'!$A$5:$A$3004,0)),""))</f>
        <v/>
      </c>
      <c r="K1095" s="9">
        <f>IF(D1095="","",IFERROR(INDEX('Stock pièces'!$D$5:$D$404,MATCH(D1095,'Stock pièces'!$A$5:$A$404,0)),""))</f>
        <v/>
      </c>
      <c r="L1095" s="7" t="n"/>
      <c r="M1095" s="7" t="n"/>
    </row>
    <row r="1096">
      <c r="A1096" s="7" t="inlineStr">
        <is>
          <t>MV-01092</t>
        </is>
      </c>
      <c r="B1096" s="75" t="n">
        <v>46270.61111111111</v>
      </c>
      <c r="C1096" s="7" t="inlineStr">
        <is>
          <t>Sortie</t>
        </is>
      </c>
      <c r="D1096" s="7" t="inlineStr">
        <is>
          <t>PD-0076</t>
        </is>
      </c>
      <c r="E1096" s="9">
        <f>IF(D1096="","",IFERROR(INDEX('Stock pièces'!$B$5:$B$404,MATCH(D1096,'Stock pièces'!$A$5:$A$404,0)),"Réf. inconnue"))</f>
        <v/>
      </c>
      <c r="F1096" s="67" t="n">
        <v>3</v>
      </c>
      <c r="G1096" s="81">
        <f>IF(D1096="","",IFERROR(INDEX('Stock pièces'!$I$5:$I$404,MATCH(D1096,'Stock pièces'!$A$5:$A$404,0)),0))</f>
        <v/>
      </c>
      <c r="H1096" s="81">
        <f>IF(D1096="","",N(F1096)*N(G1096))</f>
        <v/>
      </c>
      <c r="I1096" s="7" t="inlineStr">
        <is>
          <t>OT-2026-0527</t>
        </is>
      </c>
      <c r="J1096" s="9">
        <f>IF(I1096="","",IFERROR(INDEX('Ordres de travail'!$D$5:$D$3004,MATCH(I1096,'Ordres de travail'!$A$5:$A$3004,0)),""))</f>
        <v/>
      </c>
      <c r="K1096" s="9">
        <f>IF(D1096="","",IFERROR(INDEX('Stock pièces'!$D$5:$D$404,MATCH(D1096,'Stock pièces'!$A$5:$A$404,0)),""))</f>
        <v/>
      </c>
      <c r="L1096" s="7" t="n"/>
      <c r="M1096" s="7" t="n"/>
    </row>
    <row r="1097">
      <c r="A1097" s="7" t="inlineStr">
        <is>
          <t>MV-01093</t>
        </is>
      </c>
      <c r="B1097" s="75" t="n">
        <v>46272.325</v>
      </c>
      <c r="C1097" s="7" t="inlineStr">
        <is>
          <t>Sortie</t>
        </is>
      </c>
      <c r="D1097" s="7" t="inlineStr">
        <is>
          <t>PD-0032</t>
        </is>
      </c>
      <c r="E1097" s="9">
        <f>IF(D1097="","",IFERROR(INDEX('Stock pièces'!$B$5:$B$404,MATCH(D1097,'Stock pièces'!$A$5:$A$404,0)),"Réf. inconnue"))</f>
        <v/>
      </c>
      <c r="F1097" s="67" t="n">
        <v>1</v>
      </c>
      <c r="G1097" s="81">
        <f>IF(D1097="","",IFERROR(INDEX('Stock pièces'!$I$5:$I$404,MATCH(D1097,'Stock pièces'!$A$5:$A$404,0)),0))</f>
        <v/>
      </c>
      <c r="H1097" s="81">
        <f>IF(D1097="","",N(F1097)*N(G1097))</f>
        <v/>
      </c>
      <c r="I1097" s="7" t="inlineStr">
        <is>
          <t>OT-2026-0531</t>
        </is>
      </c>
      <c r="J1097" s="9">
        <f>IF(I1097="","",IFERROR(INDEX('Ordres de travail'!$D$5:$D$3004,MATCH(I1097,'Ordres de travail'!$A$5:$A$3004,0)),""))</f>
        <v/>
      </c>
      <c r="K1097" s="9">
        <f>IF(D1097="","",IFERROR(INDEX('Stock pièces'!$D$5:$D$404,MATCH(D1097,'Stock pièces'!$A$5:$A$404,0)),""))</f>
        <v/>
      </c>
      <c r="L1097" s="7" t="n"/>
      <c r="M1097" s="7" t="n"/>
    </row>
    <row r="1098">
      <c r="A1098" s="7" t="inlineStr">
        <is>
          <t>MV-01094</t>
        </is>
      </c>
      <c r="B1098" s="75" t="n">
        <v>46272.41666666666</v>
      </c>
      <c r="C1098" s="7" t="inlineStr">
        <is>
          <t>Entrée</t>
        </is>
      </c>
      <c r="D1098" s="7" t="inlineStr">
        <is>
          <t>PD-0063</t>
        </is>
      </c>
      <c r="E1098" s="9">
        <f>IF(D1098="","",IFERROR(INDEX('Stock pièces'!$B$5:$B$404,MATCH(D1098,'Stock pièces'!$A$5:$A$404,0)),"Réf. inconnue"))</f>
        <v/>
      </c>
      <c r="F1098" s="67" t="n">
        <v>7</v>
      </c>
      <c r="G1098" s="81">
        <f>IF(D1098="","",IFERROR(INDEX('Stock pièces'!$I$5:$I$404,MATCH(D1098,'Stock pièces'!$A$5:$A$404,0)),0))</f>
        <v/>
      </c>
      <c r="H1098" s="81">
        <f>IF(D1098="","",N(F1098)*N(G1098))</f>
        <v/>
      </c>
      <c r="I1098" s="7" t="n"/>
      <c r="J1098" s="9">
        <f>IF(I1098="","",IFERROR(INDEX('Ordres de travail'!$D$5:$D$3004,MATCH(I1098,'Ordres de travail'!$A$5:$A$3004,0)),""))</f>
        <v/>
      </c>
      <c r="K1098" s="9">
        <f>IF(D1098="","",IFERROR(INDEX('Stock pièces'!$D$5:$D$404,MATCH(D1098,'Stock pièces'!$A$5:$A$404,0)),""))</f>
        <v/>
      </c>
      <c r="L1098" s="7" t="inlineStr">
        <is>
          <t>CMD-24307</t>
        </is>
      </c>
      <c r="M1098" s="7" t="inlineStr">
        <is>
          <t>Réception commande réappro</t>
        </is>
      </c>
    </row>
    <row r="1099">
      <c r="A1099" s="7" t="inlineStr">
        <is>
          <t>MV-01095</t>
        </is>
      </c>
      <c r="B1099" s="75" t="n">
        <v>46272.70069444444</v>
      </c>
      <c r="C1099" s="7" t="inlineStr">
        <is>
          <t>Sortie</t>
        </is>
      </c>
      <c r="D1099" s="7" t="inlineStr">
        <is>
          <t>PD-0038</t>
        </is>
      </c>
      <c r="E1099" s="9">
        <f>IF(D1099="","",IFERROR(INDEX('Stock pièces'!$B$5:$B$404,MATCH(D1099,'Stock pièces'!$A$5:$A$404,0)),"Réf. inconnue"))</f>
        <v/>
      </c>
      <c r="F1099" s="67" t="n">
        <v>1</v>
      </c>
      <c r="G1099" s="81">
        <f>IF(D1099="","",IFERROR(INDEX('Stock pièces'!$I$5:$I$404,MATCH(D1099,'Stock pièces'!$A$5:$A$404,0)),0))</f>
        <v/>
      </c>
      <c r="H1099" s="81">
        <f>IF(D1099="","",N(F1099)*N(G1099))</f>
        <v/>
      </c>
      <c r="I1099" s="7" t="inlineStr">
        <is>
          <t>OT-2026-0534</t>
        </is>
      </c>
      <c r="J1099" s="9">
        <f>IF(I1099="","",IFERROR(INDEX('Ordres de travail'!$D$5:$D$3004,MATCH(I1099,'Ordres de travail'!$A$5:$A$3004,0)),""))</f>
        <v/>
      </c>
      <c r="K1099" s="9">
        <f>IF(D1099="","",IFERROR(INDEX('Stock pièces'!$D$5:$D$404,MATCH(D1099,'Stock pièces'!$A$5:$A$404,0)),""))</f>
        <v/>
      </c>
      <c r="L1099" s="7" t="n"/>
      <c r="M1099" s="7" t="n"/>
    </row>
    <row r="1100">
      <c r="A1100" s="7" t="inlineStr">
        <is>
          <t>MV-01096</t>
        </is>
      </c>
      <c r="B1100" s="75" t="n">
        <v>46273.60416666666</v>
      </c>
      <c r="C1100" s="7" t="inlineStr">
        <is>
          <t>Sortie</t>
        </is>
      </c>
      <c r="D1100" s="7" t="inlineStr">
        <is>
          <t>PD-0058</t>
        </is>
      </c>
      <c r="E1100" s="9">
        <f>IF(D1100="","",IFERROR(INDEX('Stock pièces'!$B$5:$B$404,MATCH(D1100,'Stock pièces'!$A$5:$A$404,0)),"Réf. inconnue"))</f>
        <v/>
      </c>
      <c r="F1100" s="67" t="n">
        <v>1</v>
      </c>
      <c r="G1100" s="81">
        <f>IF(D1100="","",IFERROR(INDEX('Stock pièces'!$I$5:$I$404,MATCH(D1100,'Stock pièces'!$A$5:$A$404,0)),0))</f>
        <v/>
      </c>
      <c r="H1100" s="81">
        <f>IF(D1100="","",N(F1100)*N(G1100))</f>
        <v/>
      </c>
      <c r="I1100" s="7" t="inlineStr">
        <is>
          <t>OT-2026-0519</t>
        </is>
      </c>
      <c r="J1100" s="9">
        <f>IF(I1100="","",IFERROR(INDEX('Ordres de travail'!$D$5:$D$3004,MATCH(I1100,'Ordres de travail'!$A$5:$A$3004,0)),""))</f>
        <v/>
      </c>
      <c r="K1100" s="9">
        <f>IF(D1100="","",IFERROR(INDEX('Stock pièces'!$D$5:$D$404,MATCH(D1100,'Stock pièces'!$A$5:$A$404,0)),""))</f>
        <v/>
      </c>
      <c r="L1100" s="7" t="n"/>
      <c r="M1100" s="7" t="n"/>
    </row>
    <row r="1101">
      <c r="A1101" s="7" t="inlineStr">
        <is>
          <t>MV-01097</t>
        </is>
      </c>
      <c r="B1101" s="75" t="n">
        <v>46273.60416666666</v>
      </c>
      <c r="C1101" s="7" t="inlineStr">
        <is>
          <t>Sortie</t>
        </is>
      </c>
      <c r="D1101" s="7" t="inlineStr">
        <is>
          <t>PD-0059</t>
        </is>
      </c>
      <c r="E1101" s="9">
        <f>IF(D1101="","",IFERROR(INDEX('Stock pièces'!$B$5:$B$404,MATCH(D1101,'Stock pièces'!$A$5:$A$404,0)),"Réf. inconnue"))</f>
        <v/>
      </c>
      <c r="F1101" s="67" t="n">
        <v>1</v>
      </c>
      <c r="G1101" s="81">
        <f>IF(D1101="","",IFERROR(INDEX('Stock pièces'!$I$5:$I$404,MATCH(D1101,'Stock pièces'!$A$5:$A$404,0)),0))</f>
        <v/>
      </c>
      <c r="H1101" s="81">
        <f>IF(D1101="","",N(F1101)*N(G1101))</f>
        <v/>
      </c>
      <c r="I1101" s="7" t="inlineStr">
        <is>
          <t>OT-2026-0519</t>
        </is>
      </c>
      <c r="J1101" s="9">
        <f>IF(I1101="","",IFERROR(INDEX('Ordres de travail'!$D$5:$D$3004,MATCH(I1101,'Ordres de travail'!$A$5:$A$3004,0)),""))</f>
        <v/>
      </c>
      <c r="K1101" s="9">
        <f>IF(D1101="","",IFERROR(INDEX('Stock pièces'!$D$5:$D$404,MATCH(D1101,'Stock pièces'!$A$5:$A$404,0)),""))</f>
        <v/>
      </c>
      <c r="L1101" s="7" t="n"/>
      <c r="M1101" s="7" t="n"/>
    </row>
    <row r="1102">
      <c r="A1102" s="7" t="inlineStr">
        <is>
          <t>MV-01098</t>
        </is>
      </c>
      <c r="B1102" s="75" t="n">
        <v>46274.41666666666</v>
      </c>
      <c r="C1102" s="7" t="inlineStr">
        <is>
          <t>Entrée</t>
        </is>
      </c>
      <c r="D1102" s="7" t="inlineStr">
        <is>
          <t>PD-0076</t>
        </is>
      </c>
      <c r="E1102" s="9">
        <f>IF(D1102="","",IFERROR(INDEX('Stock pièces'!$B$5:$B$404,MATCH(D1102,'Stock pièces'!$A$5:$A$404,0)),"Réf. inconnue"))</f>
        <v/>
      </c>
      <c r="F1102" s="67" t="n">
        <v>3</v>
      </c>
      <c r="G1102" s="81">
        <f>IF(D1102="","",IFERROR(INDEX('Stock pièces'!$I$5:$I$404,MATCH(D1102,'Stock pièces'!$A$5:$A$404,0)),0))</f>
        <v/>
      </c>
      <c r="H1102" s="81">
        <f>IF(D1102="","",N(F1102)*N(G1102))</f>
        <v/>
      </c>
      <c r="I1102" s="7" t="n"/>
      <c r="J1102" s="9">
        <f>IF(I1102="","",IFERROR(INDEX('Ordres de travail'!$D$5:$D$3004,MATCH(I1102,'Ordres de travail'!$A$5:$A$3004,0)),""))</f>
        <v/>
      </c>
      <c r="K1102" s="9">
        <f>IF(D1102="","",IFERROR(INDEX('Stock pièces'!$D$5:$D$404,MATCH(D1102,'Stock pièces'!$A$5:$A$404,0)),""))</f>
        <v/>
      </c>
      <c r="L1102" s="7" t="inlineStr">
        <is>
          <t>CMD-24310</t>
        </is>
      </c>
      <c r="M1102" s="7" t="inlineStr">
        <is>
          <t>Réception commande réappro</t>
        </is>
      </c>
    </row>
    <row r="1103">
      <c r="A1103" s="7" t="inlineStr">
        <is>
          <t>MV-01099</t>
        </is>
      </c>
      <c r="B1103" s="75" t="n">
        <v>46274.45833333334</v>
      </c>
      <c r="C1103" s="7" t="inlineStr">
        <is>
          <t>Sortie</t>
        </is>
      </c>
      <c r="D1103" s="7" t="inlineStr">
        <is>
          <t>PD-0025</t>
        </is>
      </c>
      <c r="E1103" s="9">
        <f>IF(D1103="","",IFERROR(INDEX('Stock pièces'!$B$5:$B$404,MATCH(D1103,'Stock pièces'!$A$5:$A$404,0)),"Réf. inconnue"))</f>
        <v/>
      </c>
      <c r="F1103" s="67" t="n">
        <v>3</v>
      </c>
      <c r="G1103" s="81">
        <f>IF(D1103="","",IFERROR(INDEX('Stock pièces'!$I$5:$I$404,MATCH(D1103,'Stock pièces'!$A$5:$A$404,0)),0))</f>
        <v/>
      </c>
      <c r="H1103" s="81">
        <f>IF(D1103="","",N(F1103)*N(G1103))</f>
        <v/>
      </c>
      <c r="I1103" s="7" t="inlineStr">
        <is>
          <t>OT-2026-0524</t>
        </is>
      </c>
      <c r="J1103" s="9">
        <f>IF(I1103="","",IFERROR(INDEX('Ordres de travail'!$D$5:$D$3004,MATCH(I1103,'Ordres de travail'!$A$5:$A$3004,0)),""))</f>
        <v/>
      </c>
      <c r="K1103" s="9">
        <f>IF(D1103="","",IFERROR(INDEX('Stock pièces'!$D$5:$D$404,MATCH(D1103,'Stock pièces'!$A$5:$A$404,0)),""))</f>
        <v/>
      </c>
      <c r="L1103" s="7" t="n"/>
      <c r="M1103" s="7" t="n"/>
    </row>
    <row r="1104">
      <c r="A1104" s="7" t="inlineStr">
        <is>
          <t>MV-01100</t>
        </is>
      </c>
      <c r="B1104" s="75" t="n">
        <v>46274.57638888889</v>
      </c>
      <c r="C1104" s="7" t="inlineStr">
        <is>
          <t>Sortie</t>
        </is>
      </c>
      <c r="D1104" s="7" t="inlineStr">
        <is>
          <t>PD-0025</t>
        </is>
      </c>
      <c r="E1104" s="9">
        <f>IF(D1104="","",IFERROR(INDEX('Stock pièces'!$B$5:$B$404,MATCH(D1104,'Stock pièces'!$A$5:$A$404,0)),"Réf. inconnue"))</f>
        <v/>
      </c>
      <c r="F1104" s="67" t="n">
        <v>2</v>
      </c>
      <c r="G1104" s="81">
        <f>IF(D1104="","",IFERROR(INDEX('Stock pièces'!$I$5:$I$404,MATCH(D1104,'Stock pièces'!$A$5:$A$404,0)),0))</f>
        <v/>
      </c>
      <c r="H1104" s="81">
        <f>IF(D1104="","",N(F1104)*N(G1104))</f>
        <v/>
      </c>
      <c r="I1104" s="7" t="inlineStr">
        <is>
          <t>OT-2026-0523</t>
        </is>
      </c>
      <c r="J1104" s="9">
        <f>IF(I1104="","",IFERROR(INDEX('Ordres de travail'!$D$5:$D$3004,MATCH(I1104,'Ordres de travail'!$A$5:$A$3004,0)),""))</f>
        <v/>
      </c>
      <c r="K1104" s="9">
        <f>IF(D1104="","",IFERROR(INDEX('Stock pièces'!$D$5:$D$404,MATCH(D1104,'Stock pièces'!$A$5:$A$404,0)),""))</f>
        <v/>
      </c>
      <c r="L1104" s="7" t="n"/>
      <c r="M1104" s="7" t="n"/>
    </row>
    <row r="1105">
      <c r="A1105" s="7" t="inlineStr">
        <is>
          <t>MV-01101</t>
        </is>
      </c>
      <c r="B1105" s="75" t="n">
        <v>46275.41666666666</v>
      </c>
      <c r="C1105" s="7" t="inlineStr">
        <is>
          <t>Entrée</t>
        </is>
      </c>
      <c r="D1105" s="7" t="inlineStr">
        <is>
          <t>PD-0056</t>
        </is>
      </c>
      <c r="E1105" s="9">
        <f>IF(D1105="","",IFERROR(INDEX('Stock pièces'!$B$5:$B$404,MATCH(D1105,'Stock pièces'!$A$5:$A$404,0)),"Réf. inconnue"))</f>
        <v/>
      </c>
      <c r="F1105" s="67" t="n">
        <v>2</v>
      </c>
      <c r="G1105" s="81">
        <f>IF(D1105="","",IFERROR(INDEX('Stock pièces'!$I$5:$I$404,MATCH(D1105,'Stock pièces'!$A$5:$A$404,0)),0))</f>
        <v/>
      </c>
      <c r="H1105" s="81">
        <f>IF(D1105="","",N(F1105)*N(G1105))</f>
        <v/>
      </c>
      <c r="I1105" s="7" t="n"/>
      <c r="J1105" s="9">
        <f>IF(I1105="","",IFERROR(INDEX('Ordres de travail'!$D$5:$D$3004,MATCH(I1105,'Ordres de travail'!$A$5:$A$3004,0)),""))</f>
        <v/>
      </c>
      <c r="K1105" s="9">
        <f>IF(D1105="","",IFERROR(INDEX('Stock pièces'!$D$5:$D$404,MATCH(D1105,'Stock pièces'!$A$5:$A$404,0)),""))</f>
        <v/>
      </c>
      <c r="L1105" s="7" t="inlineStr">
        <is>
          <t>CMD-24308</t>
        </is>
      </c>
      <c r="M1105" s="7" t="inlineStr">
        <is>
          <t>Réception commande réappro</t>
        </is>
      </c>
    </row>
    <row r="1106">
      <c r="A1106" s="7" t="inlineStr">
        <is>
          <t>MV-01102</t>
        </is>
      </c>
      <c r="B1106" s="75" t="n">
        <v>46276.38888888889</v>
      </c>
      <c r="C1106" s="7" t="inlineStr">
        <is>
          <t>Sortie</t>
        </is>
      </c>
      <c r="D1106" s="7" t="inlineStr">
        <is>
          <t>PD-0074</t>
        </is>
      </c>
      <c r="E1106" s="9">
        <f>IF(D1106="","",IFERROR(INDEX('Stock pièces'!$B$5:$B$404,MATCH(D1106,'Stock pièces'!$A$5:$A$404,0)),"Réf. inconnue"))</f>
        <v/>
      </c>
      <c r="F1106" s="67" t="n">
        <v>1</v>
      </c>
      <c r="G1106" s="81">
        <f>IF(D1106="","",IFERROR(INDEX('Stock pièces'!$I$5:$I$404,MATCH(D1106,'Stock pièces'!$A$5:$A$404,0)),0))</f>
        <v/>
      </c>
      <c r="H1106" s="81">
        <f>IF(D1106="","",N(F1106)*N(G1106))</f>
        <v/>
      </c>
      <c r="I1106" s="7" t="inlineStr">
        <is>
          <t>OT-2026-0529</t>
        </is>
      </c>
      <c r="J1106" s="9">
        <f>IF(I1106="","",IFERROR(INDEX('Ordres de travail'!$D$5:$D$3004,MATCH(I1106,'Ordres de travail'!$A$5:$A$3004,0)),""))</f>
        <v/>
      </c>
      <c r="K1106" s="9">
        <f>IF(D1106="","",IFERROR(INDEX('Stock pièces'!$D$5:$D$404,MATCH(D1106,'Stock pièces'!$A$5:$A$404,0)),""))</f>
        <v/>
      </c>
      <c r="L1106" s="7" t="n"/>
      <c r="M1106" s="7" t="n"/>
    </row>
    <row r="1107">
      <c r="A1107" s="7" t="inlineStr">
        <is>
          <t>MV-01103</t>
        </is>
      </c>
      <c r="B1107" s="75" t="n">
        <v>46276.89930555555</v>
      </c>
      <c r="C1107" s="7" t="inlineStr">
        <is>
          <t>Sortie</t>
        </is>
      </c>
      <c r="D1107" s="7" t="inlineStr">
        <is>
          <t>PD-0039</t>
        </is>
      </c>
      <c r="E1107" s="9">
        <f>IF(D1107="","",IFERROR(INDEX('Stock pièces'!$B$5:$B$404,MATCH(D1107,'Stock pièces'!$A$5:$A$404,0)),"Réf. inconnue"))</f>
        <v/>
      </c>
      <c r="F1107" s="67" t="n">
        <v>3</v>
      </c>
      <c r="G1107" s="81">
        <f>IF(D1107="","",IFERROR(INDEX('Stock pièces'!$I$5:$I$404,MATCH(D1107,'Stock pièces'!$A$5:$A$404,0)),0))</f>
        <v/>
      </c>
      <c r="H1107" s="81">
        <f>IF(D1107="","",N(F1107)*N(G1107))</f>
        <v/>
      </c>
      <c r="I1107" s="7" t="inlineStr">
        <is>
          <t>OT-2026-0538</t>
        </is>
      </c>
      <c r="J1107" s="9">
        <f>IF(I1107="","",IFERROR(INDEX('Ordres de travail'!$D$5:$D$3004,MATCH(I1107,'Ordres de travail'!$A$5:$A$3004,0)),""))</f>
        <v/>
      </c>
      <c r="K1107" s="9">
        <f>IF(D1107="","",IFERROR(INDEX('Stock pièces'!$D$5:$D$404,MATCH(D1107,'Stock pièces'!$A$5:$A$404,0)),""))</f>
        <v/>
      </c>
      <c r="L1107" s="7" t="n"/>
      <c r="M1107" s="7" t="n"/>
    </row>
    <row r="1108">
      <c r="A1108" s="7" t="inlineStr">
        <is>
          <t>MV-01104</t>
        </is>
      </c>
      <c r="B1108" s="75" t="n">
        <v>46276.89930555555</v>
      </c>
      <c r="C1108" s="7" t="inlineStr">
        <is>
          <t>Sortie</t>
        </is>
      </c>
      <c r="D1108" s="7" t="inlineStr">
        <is>
          <t>PD-0040</t>
        </is>
      </c>
      <c r="E1108" s="9">
        <f>IF(D1108="","",IFERROR(INDEX('Stock pièces'!$B$5:$B$404,MATCH(D1108,'Stock pièces'!$A$5:$A$404,0)),"Réf. inconnue"))</f>
        <v/>
      </c>
      <c r="F1108" s="67" t="n">
        <v>2</v>
      </c>
      <c r="G1108" s="81">
        <f>IF(D1108="","",IFERROR(INDEX('Stock pièces'!$I$5:$I$404,MATCH(D1108,'Stock pièces'!$A$5:$A$404,0)),0))</f>
        <v/>
      </c>
      <c r="H1108" s="81">
        <f>IF(D1108="","",N(F1108)*N(G1108))</f>
        <v/>
      </c>
      <c r="I1108" s="7" t="inlineStr">
        <is>
          <t>OT-2026-0538</t>
        </is>
      </c>
      <c r="J1108" s="9">
        <f>IF(I1108="","",IFERROR(INDEX('Ordres de travail'!$D$5:$D$3004,MATCH(I1108,'Ordres de travail'!$A$5:$A$3004,0)),""))</f>
        <v/>
      </c>
      <c r="K1108" s="9">
        <f>IF(D1108="","",IFERROR(INDEX('Stock pièces'!$D$5:$D$404,MATCH(D1108,'Stock pièces'!$A$5:$A$404,0)),""))</f>
        <v/>
      </c>
      <c r="L1108" s="7" t="n"/>
      <c r="M1108" s="7" t="n"/>
    </row>
    <row r="1109">
      <c r="A1109" s="7" t="inlineStr">
        <is>
          <t>MV-01105</t>
        </is>
      </c>
      <c r="B1109" s="75" t="n">
        <v>46277.89930555555</v>
      </c>
      <c r="C1109" s="7" t="inlineStr">
        <is>
          <t>Retour</t>
        </is>
      </c>
      <c r="D1109" s="7" t="inlineStr">
        <is>
          <t>PD-0040</t>
        </is>
      </c>
      <c r="E1109" s="9">
        <f>IF(D1109="","",IFERROR(INDEX('Stock pièces'!$B$5:$B$404,MATCH(D1109,'Stock pièces'!$A$5:$A$404,0)),"Réf. inconnue"))</f>
        <v/>
      </c>
      <c r="F1109" s="67" t="n">
        <v>1</v>
      </c>
      <c r="G1109" s="81">
        <f>IF(D1109="","",IFERROR(INDEX('Stock pièces'!$I$5:$I$404,MATCH(D1109,'Stock pièces'!$A$5:$A$404,0)),0))</f>
        <v/>
      </c>
      <c r="H1109" s="81">
        <f>IF(D1109="","",N(F1109)*N(G1109))</f>
        <v/>
      </c>
      <c r="I1109" s="7" t="inlineStr">
        <is>
          <t>OT-2026-0538</t>
        </is>
      </c>
      <c r="J1109" s="9">
        <f>IF(I1109="","",IFERROR(INDEX('Ordres de travail'!$D$5:$D$3004,MATCH(I1109,'Ordres de travail'!$A$5:$A$3004,0)),""))</f>
        <v/>
      </c>
      <c r="K1109" s="9">
        <f>IF(D1109="","",IFERROR(INDEX('Stock pièces'!$D$5:$D$404,MATCH(D1109,'Stock pièces'!$A$5:$A$404,0)),""))</f>
        <v/>
      </c>
      <c r="L1109" s="7" t="n"/>
      <c r="M1109" s="7" t="inlineStr">
        <is>
          <t>Pièce non utilisée</t>
        </is>
      </c>
    </row>
    <row r="1110">
      <c r="A1110" s="7" t="inlineStr">
        <is>
          <t>MV-01106</t>
        </is>
      </c>
      <c r="B1110" s="75" t="n">
        <v>46278.11527777778</v>
      </c>
      <c r="C1110" s="7" t="inlineStr">
        <is>
          <t>Sortie</t>
        </is>
      </c>
      <c r="D1110" s="7" t="inlineStr">
        <is>
          <t>PD-0045</t>
        </is>
      </c>
      <c r="E1110" s="9">
        <f>IF(D1110="","",IFERROR(INDEX('Stock pièces'!$B$5:$B$404,MATCH(D1110,'Stock pièces'!$A$5:$A$404,0)),"Réf. inconnue"))</f>
        <v/>
      </c>
      <c r="F1110" s="67" t="n">
        <v>1</v>
      </c>
      <c r="G1110" s="81">
        <f>IF(D1110="","",IFERROR(INDEX('Stock pièces'!$I$5:$I$404,MATCH(D1110,'Stock pièces'!$A$5:$A$404,0)),0))</f>
        <v/>
      </c>
      <c r="H1110" s="81">
        <f>IF(D1110="","",N(F1110)*N(G1110))</f>
        <v/>
      </c>
      <c r="I1110" s="7" t="inlineStr">
        <is>
          <t>OT-2026-0539</t>
        </is>
      </c>
      <c r="J1110" s="9">
        <f>IF(I1110="","",IFERROR(INDEX('Ordres de travail'!$D$5:$D$3004,MATCH(I1110,'Ordres de travail'!$A$5:$A$3004,0)),""))</f>
        <v/>
      </c>
      <c r="K1110" s="9">
        <f>IF(D1110="","",IFERROR(INDEX('Stock pièces'!$D$5:$D$404,MATCH(D1110,'Stock pièces'!$A$5:$A$404,0)),""))</f>
        <v/>
      </c>
      <c r="L1110" s="7" t="n"/>
      <c r="M1110" s="7" t="n"/>
    </row>
    <row r="1111">
      <c r="A1111" s="7" t="inlineStr">
        <is>
          <t>MV-01107</t>
        </is>
      </c>
      <c r="B1111" s="75" t="n">
        <v>46279.41666666666</v>
      </c>
      <c r="C1111" s="7" t="inlineStr">
        <is>
          <t>Entrée</t>
        </is>
      </c>
      <c r="D1111" s="7" t="inlineStr">
        <is>
          <t>PD-0032</t>
        </is>
      </c>
      <c r="E1111" s="9">
        <f>IF(D1111="","",IFERROR(INDEX('Stock pièces'!$B$5:$B$404,MATCH(D1111,'Stock pièces'!$A$5:$A$404,0)),"Réf. inconnue"))</f>
        <v/>
      </c>
      <c r="F1111" s="67" t="n">
        <v>2</v>
      </c>
      <c r="G1111" s="81">
        <f>IF(D1111="","",IFERROR(INDEX('Stock pièces'!$I$5:$I$404,MATCH(D1111,'Stock pièces'!$A$5:$A$404,0)),0))</f>
        <v/>
      </c>
      <c r="H1111" s="81">
        <f>IF(D1111="","",N(F1111)*N(G1111))</f>
        <v/>
      </c>
      <c r="I1111" s="7" t="n"/>
      <c r="J1111" s="9">
        <f>IF(I1111="","",IFERROR(INDEX('Ordres de travail'!$D$5:$D$3004,MATCH(I1111,'Ordres de travail'!$A$5:$A$3004,0)),""))</f>
        <v/>
      </c>
      <c r="K1111" s="9">
        <f>IF(D1111="","",IFERROR(INDEX('Stock pièces'!$D$5:$D$404,MATCH(D1111,'Stock pièces'!$A$5:$A$404,0)),""))</f>
        <v/>
      </c>
      <c r="L1111" s="7" t="inlineStr">
        <is>
          <t>CMD-24311</t>
        </is>
      </c>
      <c r="M1111" s="7" t="inlineStr">
        <is>
          <t>Réception commande réappro</t>
        </is>
      </c>
    </row>
    <row r="1112">
      <c r="A1112" s="7" t="inlineStr">
        <is>
          <t>MV-01108</t>
        </is>
      </c>
      <c r="B1112" s="75" t="n">
        <v>46280.36111111111</v>
      </c>
      <c r="C1112" s="7" t="inlineStr">
        <is>
          <t>Sortie</t>
        </is>
      </c>
      <c r="D1112" s="7" t="inlineStr">
        <is>
          <t>PD-0021</t>
        </is>
      </c>
      <c r="E1112" s="9">
        <f>IF(D1112="","",IFERROR(INDEX('Stock pièces'!$B$5:$B$404,MATCH(D1112,'Stock pièces'!$A$5:$A$404,0)),"Réf. inconnue"))</f>
        <v/>
      </c>
      <c r="F1112" s="67" t="n">
        <v>1</v>
      </c>
      <c r="G1112" s="81">
        <f>IF(D1112="","",IFERROR(INDEX('Stock pièces'!$I$5:$I$404,MATCH(D1112,'Stock pièces'!$A$5:$A$404,0)),0))</f>
        <v/>
      </c>
      <c r="H1112" s="81">
        <f>IF(D1112="","",N(F1112)*N(G1112))</f>
        <v/>
      </c>
      <c r="I1112" s="7" t="inlineStr">
        <is>
          <t>OT-2026-0537</t>
        </is>
      </c>
      <c r="J1112" s="9">
        <f>IF(I1112="","",IFERROR(INDEX('Ordres de travail'!$D$5:$D$3004,MATCH(I1112,'Ordres de travail'!$A$5:$A$3004,0)),""))</f>
        <v/>
      </c>
      <c r="K1112" s="9">
        <f>IF(D1112="","",IFERROR(INDEX('Stock pièces'!$D$5:$D$404,MATCH(D1112,'Stock pièces'!$A$5:$A$404,0)),""))</f>
        <v/>
      </c>
      <c r="L1112" s="7" t="n"/>
      <c r="M1112" s="7" t="n"/>
    </row>
    <row r="1113">
      <c r="A1113" s="7" t="inlineStr">
        <is>
          <t>MV-01109</t>
        </is>
      </c>
      <c r="B1113" s="75" t="n">
        <v>46284.30138888889</v>
      </c>
      <c r="C1113" s="7" t="inlineStr">
        <is>
          <t>Sortie</t>
        </is>
      </c>
      <c r="D1113" s="7" t="inlineStr">
        <is>
          <t>PD-0029</t>
        </is>
      </c>
      <c r="E1113" s="9">
        <f>IF(D1113="","",IFERROR(INDEX('Stock pièces'!$B$5:$B$404,MATCH(D1113,'Stock pièces'!$A$5:$A$404,0)),"Réf. inconnue"))</f>
        <v/>
      </c>
      <c r="F1113" s="67" t="n">
        <v>3</v>
      </c>
      <c r="G1113" s="81">
        <f>IF(D1113="","",IFERROR(INDEX('Stock pièces'!$I$5:$I$404,MATCH(D1113,'Stock pièces'!$A$5:$A$404,0)),0))</f>
        <v/>
      </c>
      <c r="H1113" s="81">
        <f>IF(D1113="","",N(F1113)*N(G1113))</f>
        <v/>
      </c>
      <c r="I1113" s="7" t="inlineStr">
        <is>
          <t>OT-2026-0554</t>
        </is>
      </c>
      <c r="J1113" s="9">
        <f>IF(I1113="","",IFERROR(INDEX('Ordres de travail'!$D$5:$D$3004,MATCH(I1113,'Ordres de travail'!$A$5:$A$3004,0)),""))</f>
        <v/>
      </c>
      <c r="K1113" s="9">
        <f>IF(D1113="","",IFERROR(INDEX('Stock pièces'!$D$5:$D$404,MATCH(D1113,'Stock pièces'!$A$5:$A$404,0)),""))</f>
        <v/>
      </c>
      <c r="L1113" s="7" t="n"/>
      <c r="M1113" s="7" t="n"/>
    </row>
    <row r="1114">
      <c r="A1114" s="7" t="inlineStr">
        <is>
          <t>MV-01110</t>
        </is>
      </c>
      <c r="B1114" s="75" t="n">
        <v>46284.30138888889</v>
      </c>
      <c r="C1114" s="7" t="inlineStr">
        <is>
          <t>Sortie</t>
        </is>
      </c>
      <c r="D1114" s="7" t="inlineStr">
        <is>
          <t>PD-0030</t>
        </is>
      </c>
      <c r="E1114" s="9">
        <f>IF(D1114="","",IFERROR(INDEX('Stock pièces'!$B$5:$B$404,MATCH(D1114,'Stock pièces'!$A$5:$A$404,0)),"Réf. inconnue"))</f>
        <v/>
      </c>
      <c r="F1114" s="67" t="n">
        <v>1</v>
      </c>
      <c r="G1114" s="81">
        <f>IF(D1114="","",IFERROR(INDEX('Stock pièces'!$I$5:$I$404,MATCH(D1114,'Stock pièces'!$A$5:$A$404,0)),0))</f>
        <v/>
      </c>
      <c r="H1114" s="81">
        <f>IF(D1114="","",N(F1114)*N(G1114))</f>
        <v/>
      </c>
      <c r="I1114" s="7" t="inlineStr">
        <is>
          <t>OT-2026-0554</t>
        </is>
      </c>
      <c r="J1114" s="9">
        <f>IF(I1114="","",IFERROR(INDEX('Ordres de travail'!$D$5:$D$3004,MATCH(I1114,'Ordres de travail'!$A$5:$A$3004,0)),""))</f>
        <v/>
      </c>
      <c r="K1114" s="9">
        <f>IF(D1114="","",IFERROR(INDEX('Stock pièces'!$D$5:$D$404,MATCH(D1114,'Stock pièces'!$A$5:$A$404,0)),""))</f>
        <v/>
      </c>
      <c r="L1114" s="7" t="n"/>
      <c r="M1114" s="7" t="n"/>
    </row>
    <row r="1115">
      <c r="A1115" s="7" t="inlineStr">
        <is>
          <t>MV-01111</t>
        </is>
      </c>
      <c r="B1115" s="75" t="n">
        <v>46284.70277777778</v>
      </c>
      <c r="C1115" s="7" t="inlineStr">
        <is>
          <t>Sortie</t>
        </is>
      </c>
      <c r="D1115" s="7" t="inlineStr">
        <is>
          <t>PD-0042</t>
        </is>
      </c>
      <c r="E1115" s="9">
        <f>IF(D1115="","",IFERROR(INDEX('Stock pièces'!$B$5:$B$404,MATCH(D1115,'Stock pièces'!$A$5:$A$404,0)),"Réf. inconnue"))</f>
        <v/>
      </c>
      <c r="F1115" s="67" t="n">
        <v>1</v>
      </c>
      <c r="G1115" s="81">
        <f>IF(D1115="","",IFERROR(INDEX('Stock pièces'!$I$5:$I$404,MATCH(D1115,'Stock pièces'!$A$5:$A$404,0)),0))</f>
        <v/>
      </c>
      <c r="H1115" s="81">
        <f>IF(D1115="","",N(F1115)*N(G1115))</f>
        <v/>
      </c>
      <c r="I1115" s="7" t="inlineStr">
        <is>
          <t>OT-2026-0556</t>
        </is>
      </c>
      <c r="J1115" s="9">
        <f>IF(I1115="","",IFERROR(INDEX('Ordres de travail'!$D$5:$D$3004,MATCH(I1115,'Ordres de travail'!$A$5:$A$3004,0)),""))</f>
        <v/>
      </c>
      <c r="K1115" s="9">
        <f>IF(D1115="","",IFERROR(INDEX('Stock pièces'!$D$5:$D$404,MATCH(D1115,'Stock pièces'!$A$5:$A$404,0)),""))</f>
        <v/>
      </c>
      <c r="L1115" s="7" t="n"/>
      <c r="M1115" s="7" t="n"/>
    </row>
    <row r="1116">
      <c r="A1116" s="7" t="inlineStr">
        <is>
          <t>MV-01112</t>
        </is>
      </c>
      <c r="B1116" s="75" t="n">
        <v>46286.41666666666</v>
      </c>
      <c r="C1116" s="7" t="inlineStr">
        <is>
          <t>Entrée</t>
        </is>
      </c>
      <c r="D1116" s="7" t="inlineStr">
        <is>
          <t>PD-0045</t>
        </is>
      </c>
      <c r="E1116" s="9">
        <f>IF(D1116="","",IFERROR(INDEX('Stock pièces'!$B$5:$B$404,MATCH(D1116,'Stock pièces'!$A$5:$A$404,0)),"Réf. inconnue"))</f>
        <v/>
      </c>
      <c r="F1116" s="67" t="n">
        <v>2</v>
      </c>
      <c r="G1116" s="81">
        <f>IF(D1116="","",IFERROR(INDEX('Stock pièces'!$I$5:$I$404,MATCH(D1116,'Stock pièces'!$A$5:$A$404,0)),0))</f>
        <v/>
      </c>
      <c r="H1116" s="81">
        <f>IF(D1116="","",N(F1116)*N(G1116))</f>
        <v/>
      </c>
      <c r="I1116" s="7" t="n"/>
      <c r="J1116" s="9">
        <f>IF(I1116="","",IFERROR(INDEX('Ordres de travail'!$D$5:$D$3004,MATCH(I1116,'Ordres de travail'!$A$5:$A$3004,0)),""))</f>
        <v/>
      </c>
      <c r="K1116" s="9">
        <f>IF(D1116="","",IFERROR(INDEX('Stock pièces'!$D$5:$D$404,MATCH(D1116,'Stock pièces'!$A$5:$A$404,0)),""))</f>
        <v/>
      </c>
      <c r="L1116" s="7" t="inlineStr">
        <is>
          <t>CMD-24312</t>
        </is>
      </c>
      <c r="M1116" s="7" t="inlineStr">
        <is>
          <t>Réception commande réappro</t>
        </is>
      </c>
    </row>
    <row r="1117">
      <c r="A1117" s="7" t="inlineStr">
        <is>
          <t>MV-01113</t>
        </is>
      </c>
      <c r="B1117" s="75" t="n">
        <v>46287.41666666666</v>
      </c>
      <c r="C1117" s="7" t="inlineStr">
        <is>
          <t>Entrée</t>
        </is>
      </c>
      <c r="D1117" s="7" t="inlineStr">
        <is>
          <t>PD-0021</t>
        </is>
      </c>
      <c r="E1117" s="9">
        <f>IF(D1117="","",IFERROR(INDEX('Stock pièces'!$B$5:$B$404,MATCH(D1117,'Stock pièces'!$A$5:$A$404,0)),"Réf. inconnue"))</f>
        <v/>
      </c>
      <c r="F1117" s="67" t="n">
        <v>4</v>
      </c>
      <c r="G1117" s="81">
        <f>IF(D1117="","",IFERROR(INDEX('Stock pièces'!$I$5:$I$404,MATCH(D1117,'Stock pièces'!$A$5:$A$404,0)),0))</f>
        <v/>
      </c>
      <c r="H1117" s="81">
        <f>IF(D1117="","",N(F1117)*N(G1117))</f>
        <v/>
      </c>
      <c r="I1117" s="7" t="n"/>
      <c r="J1117" s="9">
        <f>IF(I1117="","",IFERROR(INDEX('Ordres de travail'!$D$5:$D$3004,MATCH(I1117,'Ordres de travail'!$A$5:$A$3004,0)),""))</f>
        <v/>
      </c>
      <c r="K1117" s="9">
        <f>IF(D1117="","",IFERROR(INDEX('Stock pièces'!$D$5:$D$404,MATCH(D1117,'Stock pièces'!$A$5:$A$404,0)),""))</f>
        <v/>
      </c>
      <c r="L1117" s="7" t="inlineStr">
        <is>
          <t>CMD-24313</t>
        </is>
      </c>
      <c r="M1117" s="7" t="inlineStr">
        <is>
          <t>Réception commande réappro</t>
        </is>
      </c>
    </row>
    <row r="1118">
      <c r="A1118" s="7" t="inlineStr">
        <is>
          <t>MV-01114</t>
        </is>
      </c>
      <c r="B1118" s="75" t="n">
        <v>46287.52083333334</v>
      </c>
      <c r="C1118" s="7" t="inlineStr">
        <is>
          <t>Sortie</t>
        </is>
      </c>
      <c r="D1118" s="7" t="inlineStr">
        <is>
          <t>PD-0017</t>
        </is>
      </c>
      <c r="E1118" s="9">
        <f>IF(D1118="","",IFERROR(INDEX('Stock pièces'!$B$5:$B$404,MATCH(D1118,'Stock pièces'!$A$5:$A$404,0)),"Réf. inconnue"))</f>
        <v/>
      </c>
      <c r="F1118" s="67" t="n">
        <v>1</v>
      </c>
      <c r="G1118" s="81">
        <f>IF(D1118="","",IFERROR(INDEX('Stock pièces'!$I$5:$I$404,MATCH(D1118,'Stock pièces'!$A$5:$A$404,0)),0))</f>
        <v/>
      </c>
      <c r="H1118" s="81">
        <f>IF(D1118="","",N(F1118)*N(G1118))</f>
        <v/>
      </c>
      <c r="I1118" s="7" t="inlineStr">
        <is>
          <t>OT-2026-0542</t>
        </is>
      </c>
      <c r="J1118" s="9">
        <f>IF(I1118="","",IFERROR(INDEX('Ordres de travail'!$D$5:$D$3004,MATCH(I1118,'Ordres de travail'!$A$5:$A$3004,0)),""))</f>
        <v/>
      </c>
      <c r="K1118" s="9">
        <f>IF(D1118="","",IFERROR(INDEX('Stock pièces'!$D$5:$D$404,MATCH(D1118,'Stock pièces'!$A$5:$A$404,0)),""))</f>
        <v/>
      </c>
      <c r="L1118" s="7" t="n"/>
      <c r="M1118" s="7" t="n"/>
    </row>
    <row r="1119">
      <c r="A1119" s="7" t="inlineStr">
        <is>
          <t>MV-01115</t>
        </is>
      </c>
      <c r="B1119" s="75" t="n">
        <v>46288.26388888889</v>
      </c>
      <c r="C1119" s="7" t="inlineStr">
        <is>
          <t>Sortie</t>
        </is>
      </c>
      <c r="D1119" s="7" t="inlineStr">
        <is>
          <t>PD-0017</t>
        </is>
      </c>
      <c r="E1119" s="9">
        <f>IF(D1119="","",IFERROR(INDEX('Stock pièces'!$B$5:$B$404,MATCH(D1119,'Stock pièces'!$A$5:$A$404,0)),"Réf. inconnue"))</f>
        <v/>
      </c>
      <c r="F1119" s="67" t="n">
        <v>1</v>
      </c>
      <c r="G1119" s="81">
        <f>IF(D1119="","",IFERROR(INDEX('Stock pièces'!$I$5:$I$404,MATCH(D1119,'Stock pièces'!$A$5:$A$404,0)),0))</f>
        <v/>
      </c>
      <c r="H1119" s="81">
        <f>IF(D1119="","",N(F1119)*N(G1119))</f>
        <v/>
      </c>
      <c r="I1119" s="7" t="inlineStr">
        <is>
          <t>OT-2026-0548</t>
        </is>
      </c>
      <c r="J1119" s="9">
        <f>IF(I1119="","",IFERROR(INDEX('Ordres de travail'!$D$5:$D$3004,MATCH(I1119,'Ordres de travail'!$A$5:$A$3004,0)),""))</f>
        <v/>
      </c>
      <c r="K1119" s="9">
        <f>IF(D1119="","",IFERROR(INDEX('Stock pièces'!$D$5:$D$404,MATCH(D1119,'Stock pièces'!$A$5:$A$404,0)),""))</f>
        <v/>
      </c>
      <c r="L1119" s="7" t="n"/>
      <c r="M1119" s="7" t="n"/>
    </row>
    <row r="1120">
      <c r="A1120" s="7" t="inlineStr">
        <is>
          <t>MV-01116</t>
        </is>
      </c>
      <c r="B1120" s="75" t="n">
        <v>46288.41666666666</v>
      </c>
      <c r="C1120" s="7" t="inlineStr">
        <is>
          <t>Entrée</t>
        </is>
      </c>
      <c r="D1120" s="7" t="inlineStr">
        <is>
          <t>PD-0029</t>
        </is>
      </c>
      <c r="E1120" s="9">
        <f>IF(D1120="","",IFERROR(INDEX('Stock pièces'!$B$5:$B$404,MATCH(D1120,'Stock pièces'!$A$5:$A$404,0)),"Réf. inconnue"))</f>
        <v/>
      </c>
      <c r="F1120" s="67" t="n">
        <v>4</v>
      </c>
      <c r="G1120" s="81">
        <f>IF(D1120="","",IFERROR(INDEX('Stock pièces'!$I$5:$I$404,MATCH(D1120,'Stock pièces'!$A$5:$A$404,0)),0))</f>
        <v/>
      </c>
      <c r="H1120" s="81">
        <f>IF(D1120="","",N(F1120)*N(G1120))</f>
        <v/>
      </c>
      <c r="I1120" s="7" t="n"/>
      <c r="J1120" s="9">
        <f>IF(I1120="","",IFERROR(INDEX('Ordres de travail'!$D$5:$D$3004,MATCH(I1120,'Ordres de travail'!$A$5:$A$3004,0)),""))</f>
        <v/>
      </c>
      <c r="K1120" s="9">
        <f>IF(D1120="","",IFERROR(INDEX('Stock pièces'!$D$5:$D$404,MATCH(D1120,'Stock pièces'!$A$5:$A$404,0)),""))</f>
        <v/>
      </c>
      <c r="L1120" s="7" t="inlineStr">
        <is>
          <t>CMD-24314</t>
        </is>
      </c>
      <c r="M1120" s="7" t="inlineStr">
        <is>
          <t>Réception commande réappro</t>
        </is>
      </c>
    </row>
    <row r="1121">
      <c r="A1121" s="7" t="inlineStr">
        <is>
          <t>MV-01117</t>
        </is>
      </c>
      <c r="B1121" s="75" t="n">
        <v>46290.25694444445</v>
      </c>
      <c r="C1121" s="7" t="inlineStr">
        <is>
          <t>Sortie</t>
        </is>
      </c>
      <c r="D1121" s="7" t="inlineStr">
        <is>
          <t>PD-0025</t>
        </is>
      </c>
      <c r="E1121" s="9">
        <f>IF(D1121="","",IFERROR(INDEX('Stock pièces'!$B$5:$B$404,MATCH(D1121,'Stock pièces'!$A$5:$A$404,0)),"Réf. inconnue"))</f>
        <v/>
      </c>
      <c r="F1121" s="67" t="n">
        <v>1</v>
      </c>
      <c r="G1121" s="81">
        <f>IF(D1121="","",IFERROR(INDEX('Stock pièces'!$I$5:$I$404,MATCH(D1121,'Stock pièces'!$A$5:$A$404,0)),0))</f>
        <v/>
      </c>
      <c r="H1121" s="81">
        <f>IF(D1121="","",N(F1121)*N(G1121))</f>
        <v/>
      </c>
      <c r="I1121" s="7" t="inlineStr">
        <is>
          <t>OT-2026-0552</t>
        </is>
      </c>
      <c r="J1121" s="9">
        <f>IF(I1121="","",IFERROR(INDEX('Ordres de travail'!$D$5:$D$3004,MATCH(I1121,'Ordres de travail'!$A$5:$A$3004,0)),""))</f>
        <v/>
      </c>
      <c r="K1121" s="9">
        <f>IF(D1121="","",IFERROR(INDEX('Stock pièces'!$D$5:$D$404,MATCH(D1121,'Stock pièces'!$A$5:$A$404,0)),""))</f>
        <v/>
      </c>
      <c r="L1121" s="7" t="n"/>
      <c r="M1121" s="7" t="n"/>
    </row>
    <row r="1122">
      <c r="A1122" s="7" t="inlineStr">
        <is>
          <t>MV-01118</t>
        </is>
      </c>
      <c r="B1122" s="75" t="n">
        <v>46290.43888888889</v>
      </c>
      <c r="C1122" s="7" t="inlineStr">
        <is>
          <t>Sortie</t>
        </is>
      </c>
      <c r="D1122" s="7" t="inlineStr">
        <is>
          <t>PD-0070</t>
        </is>
      </c>
      <c r="E1122" s="9">
        <f>IF(D1122="","",IFERROR(INDEX('Stock pièces'!$B$5:$B$404,MATCH(D1122,'Stock pièces'!$A$5:$A$404,0)),"Réf. inconnue"))</f>
        <v/>
      </c>
      <c r="F1122" s="67" t="n">
        <v>1</v>
      </c>
      <c r="G1122" s="81">
        <f>IF(D1122="","",IFERROR(INDEX('Stock pièces'!$I$5:$I$404,MATCH(D1122,'Stock pièces'!$A$5:$A$404,0)),0))</f>
        <v/>
      </c>
      <c r="H1122" s="81">
        <f>IF(D1122="","",N(F1122)*N(G1122))</f>
        <v/>
      </c>
      <c r="I1122" s="7" t="inlineStr">
        <is>
          <t>OT-2026-0571</t>
        </is>
      </c>
      <c r="J1122" s="9">
        <f>IF(I1122="","",IFERROR(INDEX('Ordres de travail'!$D$5:$D$3004,MATCH(I1122,'Ordres de travail'!$A$5:$A$3004,0)),""))</f>
        <v/>
      </c>
      <c r="K1122" s="9">
        <f>IF(D1122="","",IFERROR(INDEX('Stock pièces'!$D$5:$D$404,MATCH(D1122,'Stock pièces'!$A$5:$A$404,0)),""))</f>
        <v/>
      </c>
      <c r="L1122" s="7" t="n"/>
      <c r="M1122" s="7" t="n"/>
    </row>
    <row r="1123">
      <c r="A1123" s="7" t="inlineStr">
        <is>
          <t>MV-01119</t>
        </is>
      </c>
      <c r="B1123" s="75" t="n">
        <v>46290.45138888889</v>
      </c>
      <c r="C1123" s="7" t="inlineStr">
        <is>
          <t>Sortie</t>
        </is>
      </c>
      <c r="D1123" s="7" t="inlineStr">
        <is>
          <t>PD-0019</t>
        </is>
      </c>
      <c r="E1123" s="9">
        <f>IF(D1123="","",IFERROR(INDEX('Stock pièces'!$B$5:$B$404,MATCH(D1123,'Stock pièces'!$A$5:$A$404,0)),"Réf. inconnue"))</f>
        <v/>
      </c>
      <c r="F1123" s="67" t="n">
        <v>2</v>
      </c>
      <c r="G1123" s="81">
        <f>IF(D1123="","",IFERROR(INDEX('Stock pièces'!$I$5:$I$404,MATCH(D1123,'Stock pièces'!$A$5:$A$404,0)),0))</f>
        <v/>
      </c>
      <c r="H1123" s="81">
        <f>IF(D1123="","",N(F1123)*N(G1123))</f>
        <v/>
      </c>
      <c r="I1123" s="7" t="inlineStr">
        <is>
          <t>OT-2026-0553</t>
        </is>
      </c>
      <c r="J1123" s="9">
        <f>IF(I1123="","",IFERROR(INDEX('Ordres de travail'!$D$5:$D$3004,MATCH(I1123,'Ordres de travail'!$A$5:$A$3004,0)),""))</f>
        <v/>
      </c>
      <c r="K1123" s="9">
        <f>IF(D1123="","",IFERROR(INDEX('Stock pièces'!$D$5:$D$404,MATCH(D1123,'Stock pièces'!$A$5:$A$404,0)),""))</f>
        <v/>
      </c>
      <c r="L1123" s="7" t="n"/>
      <c r="M1123" s="7" t="n"/>
    </row>
    <row r="1124">
      <c r="A1124" s="7" t="inlineStr">
        <is>
          <t>MV-01120</t>
        </is>
      </c>
      <c r="B1124" s="75" t="n">
        <v>46293.41666666666</v>
      </c>
      <c r="C1124" s="7" t="inlineStr">
        <is>
          <t>Entrée</t>
        </is>
      </c>
      <c r="D1124" s="7" t="inlineStr">
        <is>
          <t>PD-0030</t>
        </is>
      </c>
      <c r="E1124" s="9">
        <f>IF(D1124="","",IFERROR(INDEX('Stock pièces'!$B$5:$B$404,MATCH(D1124,'Stock pièces'!$A$5:$A$404,0)),"Réf. inconnue"))</f>
        <v/>
      </c>
      <c r="F1124" s="67" t="n">
        <v>1</v>
      </c>
      <c r="G1124" s="81">
        <f>IF(D1124="","",IFERROR(INDEX('Stock pièces'!$I$5:$I$404,MATCH(D1124,'Stock pièces'!$A$5:$A$404,0)),0))</f>
        <v/>
      </c>
      <c r="H1124" s="81">
        <f>IF(D1124="","",N(F1124)*N(G1124))</f>
        <v/>
      </c>
      <c r="I1124" s="7" t="n"/>
      <c r="J1124" s="9">
        <f>IF(I1124="","",IFERROR(INDEX('Ordres de travail'!$D$5:$D$3004,MATCH(I1124,'Ordres de travail'!$A$5:$A$3004,0)),""))</f>
        <v/>
      </c>
      <c r="K1124" s="9">
        <f>IF(D1124="","",IFERROR(INDEX('Stock pièces'!$D$5:$D$404,MATCH(D1124,'Stock pièces'!$A$5:$A$404,0)),""))</f>
        <v/>
      </c>
      <c r="L1124" s="7" t="inlineStr">
        <is>
          <t>CMD-24315</t>
        </is>
      </c>
      <c r="M1124" s="7" t="inlineStr">
        <is>
          <t>Réception commande réappro</t>
        </is>
      </c>
    </row>
    <row r="1125">
      <c r="A1125" s="7" t="inlineStr">
        <is>
          <t>MV-01121</t>
        </is>
      </c>
      <c r="B1125" s="75" t="n">
        <v>46296.54583333333</v>
      </c>
      <c r="C1125" s="7" t="inlineStr">
        <is>
          <t>Sortie</t>
        </is>
      </c>
      <c r="D1125" s="7" t="inlineStr">
        <is>
          <t>PD-0055</t>
        </is>
      </c>
      <c r="E1125" s="9">
        <f>IF(D1125="","",IFERROR(INDEX('Stock pièces'!$B$5:$B$404,MATCH(D1125,'Stock pièces'!$A$5:$A$404,0)),"Réf. inconnue"))</f>
        <v/>
      </c>
      <c r="F1125" s="67" t="n">
        <v>1</v>
      </c>
      <c r="G1125" s="81">
        <f>IF(D1125="","",IFERROR(INDEX('Stock pièces'!$I$5:$I$404,MATCH(D1125,'Stock pièces'!$A$5:$A$404,0)),0))</f>
        <v/>
      </c>
      <c r="H1125" s="81">
        <f>IF(D1125="","",N(F1125)*N(G1125))</f>
        <v/>
      </c>
      <c r="I1125" s="7" t="inlineStr">
        <is>
          <t>OT-2026-0580</t>
        </is>
      </c>
      <c r="J1125" s="9">
        <f>IF(I1125="","",IFERROR(INDEX('Ordres de travail'!$D$5:$D$3004,MATCH(I1125,'Ordres de travail'!$A$5:$A$3004,0)),""))</f>
        <v/>
      </c>
      <c r="K1125" s="9">
        <f>IF(D1125="","",IFERROR(INDEX('Stock pièces'!$D$5:$D$404,MATCH(D1125,'Stock pièces'!$A$5:$A$404,0)),""))</f>
        <v/>
      </c>
      <c r="L1125" s="7" t="n"/>
      <c r="M1125" s="7" t="n"/>
    </row>
    <row r="1126">
      <c r="A1126" s="7" t="n"/>
      <c r="B1126" s="75" t="n"/>
      <c r="C1126" s="7" t="n"/>
      <c r="D1126" s="7" t="n"/>
      <c r="E1126" s="9">
        <f>IF(D1126="","",IFERROR(INDEX('Stock pièces'!$B$5:$B$404,MATCH(D1126,'Stock pièces'!$A$5:$A$404,0)),"Réf. inconnue"))</f>
        <v/>
      </c>
      <c r="F1126" s="67" t="n"/>
      <c r="G1126" s="81">
        <f>IF(D1126="","",IFERROR(INDEX('Stock pièces'!$I$5:$I$404,MATCH(D1126,'Stock pièces'!$A$5:$A$404,0)),0))</f>
        <v/>
      </c>
      <c r="H1126" s="81">
        <f>IF(D1126="","",N(F1126)*N(G1126))</f>
        <v/>
      </c>
      <c r="I1126" s="7" t="n"/>
      <c r="J1126" s="9">
        <f>IF(I1126="","",IFERROR(INDEX('Ordres de travail'!$D$5:$D$3004,MATCH(I1126,'Ordres de travail'!$A$5:$A$3004,0)),""))</f>
        <v/>
      </c>
      <c r="K1126" s="9">
        <f>IF(D1126="","",IFERROR(INDEX('Stock pièces'!$D$5:$D$404,MATCH(D1126,'Stock pièces'!$A$5:$A$404,0)),""))</f>
        <v/>
      </c>
      <c r="L1126" s="7" t="n"/>
      <c r="M1126" s="7" t="n"/>
    </row>
    <row r="1127">
      <c r="A1127" s="7" t="n"/>
      <c r="B1127" s="75" t="n"/>
      <c r="C1127" s="7" t="n"/>
      <c r="D1127" s="7" t="n"/>
      <c r="E1127" s="9">
        <f>IF(D1127="","",IFERROR(INDEX('Stock pièces'!$B$5:$B$404,MATCH(D1127,'Stock pièces'!$A$5:$A$404,0)),"Réf. inconnue"))</f>
        <v/>
      </c>
      <c r="F1127" s="67" t="n"/>
      <c r="G1127" s="81">
        <f>IF(D1127="","",IFERROR(INDEX('Stock pièces'!$I$5:$I$404,MATCH(D1127,'Stock pièces'!$A$5:$A$404,0)),0))</f>
        <v/>
      </c>
      <c r="H1127" s="81">
        <f>IF(D1127="","",N(F1127)*N(G1127))</f>
        <v/>
      </c>
      <c r="I1127" s="7" t="n"/>
      <c r="J1127" s="9">
        <f>IF(I1127="","",IFERROR(INDEX('Ordres de travail'!$D$5:$D$3004,MATCH(I1127,'Ordres de travail'!$A$5:$A$3004,0)),""))</f>
        <v/>
      </c>
      <c r="K1127" s="9">
        <f>IF(D1127="","",IFERROR(INDEX('Stock pièces'!$D$5:$D$404,MATCH(D1127,'Stock pièces'!$A$5:$A$404,0)),""))</f>
        <v/>
      </c>
      <c r="L1127" s="7" t="n"/>
      <c r="M1127" s="7" t="n"/>
    </row>
    <row r="1128">
      <c r="A1128" s="7" t="n"/>
      <c r="B1128" s="75" t="n"/>
      <c r="C1128" s="7" t="n"/>
      <c r="D1128" s="7" t="n"/>
      <c r="E1128" s="9">
        <f>IF(D1128="","",IFERROR(INDEX('Stock pièces'!$B$5:$B$404,MATCH(D1128,'Stock pièces'!$A$5:$A$404,0)),"Réf. inconnue"))</f>
        <v/>
      </c>
      <c r="F1128" s="67" t="n"/>
      <c r="G1128" s="81">
        <f>IF(D1128="","",IFERROR(INDEX('Stock pièces'!$I$5:$I$404,MATCH(D1128,'Stock pièces'!$A$5:$A$404,0)),0))</f>
        <v/>
      </c>
      <c r="H1128" s="81">
        <f>IF(D1128="","",N(F1128)*N(G1128))</f>
        <v/>
      </c>
      <c r="I1128" s="7" t="n"/>
      <c r="J1128" s="9">
        <f>IF(I1128="","",IFERROR(INDEX('Ordres de travail'!$D$5:$D$3004,MATCH(I1128,'Ordres de travail'!$A$5:$A$3004,0)),""))</f>
        <v/>
      </c>
      <c r="K1128" s="9">
        <f>IF(D1128="","",IFERROR(INDEX('Stock pièces'!$D$5:$D$404,MATCH(D1128,'Stock pièces'!$A$5:$A$404,0)),""))</f>
        <v/>
      </c>
      <c r="L1128" s="7" t="n"/>
      <c r="M1128" s="7" t="n"/>
    </row>
    <row r="1129">
      <c r="A1129" s="7" t="n"/>
      <c r="B1129" s="75" t="n"/>
      <c r="C1129" s="7" t="n"/>
      <c r="D1129" s="7" t="n"/>
      <c r="E1129" s="9">
        <f>IF(D1129="","",IFERROR(INDEX('Stock pièces'!$B$5:$B$404,MATCH(D1129,'Stock pièces'!$A$5:$A$404,0)),"Réf. inconnue"))</f>
        <v/>
      </c>
      <c r="F1129" s="67" t="n"/>
      <c r="G1129" s="81">
        <f>IF(D1129="","",IFERROR(INDEX('Stock pièces'!$I$5:$I$404,MATCH(D1129,'Stock pièces'!$A$5:$A$404,0)),0))</f>
        <v/>
      </c>
      <c r="H1129" s="81">
        <f>IF(D1129="","",N(F1129)*N(G1129))</f>
        <v/>
      </c>
      <c r="I1129" s="7" t="n"/>
      <c r="J1129" s="9">
        <f>IF(I1129="","",IFERROR(INDEX('Ordres de travail'!$D$5:$D$3004,MATCH(I1129,'Ordres de travail'!$A$5:$A$3004,0)),""))</f>
        <v/>
      </c>
      <c r="K1129" s="9">
        <f>IF(D1129="","",IFERROR(INDEX('Stock pièces'!$D$5:$D$404,MATCH(D1129,'Stock pièces'!$A$5:$A$404,0)),""))</f>
        <v/>
      </c>
      <c r="L1129" s="7" t="n"/>
      <c r="M1129" s="7" t="n"/>
    </row>
    <row r="1130">
      <c r="A1130" s="7" t="n"/>
      <c r="B1130" s="75" t="n"/>
      <c r="C1130" s="7" t="n"/>
      <c r="D1130" s="7" t="n"/>
      <c r="E1130" s="9">
        <f>IF(D1130="","",IFERROR(INDEX('Stock pièces'!$B$5:$B$404,MATCH(D1130,'Stock pièces'!$A$5:$A$404,0)),"Réf. inconnue"))</f>
        <v/>
      </c>
      <c r="F1130" s="67" t="n"/>
      <c r="G1130" s="81">
        <f>IF(D1130="","",IFERROR(INDEX('Stock pièces'!$I$5:$I$404,MATCH(D1130,'Stock pièces'!$A$5:$A$404,0)),0))</f>
        <v/>
      </c>
      <c r="H1130" s="81">
        <f>IF(D1130="","",N(F1130)*N(G1130))</f>
        <v/>
      </c>
      <c r="I1130" s="7" t="n"/>
      <c r="J1130" s="9">
        <f>IF(I1130="","",IFERROR(INDEX('Ordres de travail'!$D$5:$D$3004,MATCH(I1130,'Ordres de travail'!$A$5:$A$3004,0)),""))</f>
        <v/>
      </c>
      <c r="K1130" s="9">
        <f>IF(D1130="","",IFERROR(INDEX('Stock pièces'!$D$5:$D$404,MATCH(D1130,'Stock pièces'!$A$5:$A$404,0)),""))</f>
        <v/>
      </c>
      <c r="L1130" s="7" t="n"/>
      <c r="M1130" s="7" t="n"/>
    </row>
    <row r="1131">
      <c r="A1131" s="7" t="n"/>
      <c r="B1131" s="75" t="n"/>
      <c r="C1131" s="7" t="n"/>
      <c r="D1131" s="7" t="n"/>
      <c r="E1131" s="9">
        <f>IF(D1131="","",IFERROR(INDEX('Stock pièces'!$B$5:$B$404,MATCH(D1131,'Stock pièces'!$A$5:$A$404,0)),"Réf. inconnue"))</f>
        <v/>
      </c>
      <c r="F1131" s="67" t="n"/>
      <c r="G1131" s="81">
        <f>IF(D1131="","",IFERROR(INDEX('Stock pièces'!$I$5:$I$404,MATCH(D1131,'Stock pièces'!$A$5:$A$404,0)),0))</f>
        <v/>
      </c>
      <c r="H1131" s="81">
        <f>IF(D1131="","",N(F1131)*N(G1131))</f>
        <v/>
      </c>
      <c r="I1131" s="7" t="n"/>
      <c r="J1131" s="9">
        <f>IF(I1131="","",IFERROR(INDEX('Ordres de travail'!$D$5:$D$3004,MATCH(I1131,'Ordres de travail'!$A$5:$A$3004,0)),""))</f>
        <v/>
      </c>
      <c r="K1131" s="9">
        <f>IF(D1131="","",IFERROR(INDEX('Stock pièces'!$D$5:$D$404,MATCH(D1131,'Stock pièces'!$A$5:$A$404,0)),""))</f>
        <v/>
      </c>
      <c r="L1131" s="7" t="n"/>
      <c r="M1131" s="7" t="n"/>
    </row>
    <row r="1132">
      <c r="A1132" s="7" t="n"/>
      <c r="B1132" s="75" t="n"/>
      <c r="C1132" s="7" t="n"/>
      <c r="D1132" s="7" t="n"/>
      <c r="E1132" s="9">
        <f>IF(D1132="","",IFERROR(INDEX('Stock pièces'!$B$5:$B$404,MATCH(D1132,'Stock pièces'!$A$5:$A$404,0)),"Réf. inconnue"))</f>
        <v/>
      </c>
      <c r="F1132" s="67" t="n"/>
      <c r="G1132" s="81">
        <f>IF(D1132="","",IFERROR(INDEX('Stock pièces'!$I$5:$I$404,MATCH(D1132,'Stock pièces'!$A$5:$A$404,0)),0))</f>
        <v/>
      </c>
      <c r="H1132" s="81">
        <f>IF(D1132="","",N(F1132)*N(G1132))</f>
        <v/>
      </c>
      <c r="I1132" s="7" t="n"/>
      <c r="J1132" s="9">
        <f>IF(I1132="","",IFERROR(INDEX('Ordres de travail'!$D$5:$D$3004,MATCH(I1132,'Ordres de travail'!$A$5:$A$3004,0)),""))</f>
        <v/>
      </c>
      <c r="K1132" s="9">
        <f>IF(D1132="","",IFERROR(INDEX('Stock pièces'!$D$5:$D$404,MATCH(D1132,'Stock pièces'!$A$5:$A$404,0)),""))</f>
        <v/>
      </c>
      <c r="L1132" s="7" t="n"/>
      <c r="M1132" s="7" t="n"/>
    </row>
    <row r="1133">
      <c r="A1133" s="7" t="n"/>
      <c r="B1133" s="75" t="n"/>
      <c r="C1133" s="7" t="n"/>
      <c r="D1133" s="7" t="n"/>
      <c r="E1133" s="9">
        <f>IF(D1133="","",IFERROR(INDEX('Stock pièces'!$B$5:$B$404,MATCH(D1133,'Stock pièces'!$A$5:$A$404,0)),"Réf. inconnue"))</f>
        <v/>
      </c>
      <c r="F1133" s="67" t="n"/>
      <c r="G1133" s="81">
        <f>IF(D1133="","",IFERROR(INDEX('Stock pièces'!$I$5:$I$404,MATCH(D1133,'Stock pièces'!$A$5:$A$404,0)),0))</f>
        <v/>
      </c>
      <c r="H1133" s="81">
        <f>IF(D1133="","",N(F1133)*N(G1133))</f>
        <v/>
      </c>
      <c r="I1133" s="7" t="n"/>
      <c r="J1133" s="9">
        <f>IF(I1133="","",IFERROR(INDEX('Ordres de travail'!$D$5:$D$3004,MATCH(I1133,'Ordres de travail'!$A$5:$A$3004,0)),""))</f>
        <v/>
      </c>
      <c r="K1133" s="9">
        <f>IF(D1133="","",IFERROR(INDEX('Stock pièces'!$D$5:$D$404,MATCH(D1133,'Stock pièces'!$A$5:$A$404,0)),""))</f>
        <v/>
      </c>
      <c r="L1133" s="7" t="n"/>
      <c r="M1133" s="7" t="n"/>
    </row>
    <row r="1134">
      <c r="A1134" s="7" t="n"/>
      <c r="B1134" s="75" t="n"/>
      <c r="C1134" s="7" t="n"/>
      <c r="D1134" s="7" t="n"/>
      <c r="E1134" s="9">
        <f>IF(D1134="","",IFERROR(INDEX('Stock pièces'!$B$5:$B$404,MATCH(D1134,'Stock pièces'!$A$5:$A$404,0)),"Réf. inconnue"))</f>
        <v/>
      </c>
      <c r="F1134" s="67" t="n"/>
      <c r="G1134" s="81">
        <f>IF(D1134="","",IFERROR(INDEX('Stock pièces'!$I$5:$I$404,MATCH(D1134,'Stock pièces'!$A$5:$A$404,0)),0))</f>
        <v/>
      </c>
      <c r="H1134" s="81">
        <f>IF(D1134="","",N(F1134)*N(G1134))</f>
        <v/>
      </c>
      <c r="I1134" s="7" t="n"/>
      <c r="J1134" s="9">
        <f>IF(I1134="","",IFERROR(INDEX('Ordres de travail'!$D$5:$D$3004,MATCH(I1134,'Ordres de travail'!$A$5:$A$3004,0)),""))</f>
        <v/>
      </c>
      <c r="K1134" s="9">
        <f>IF(D1134="","",IFERROR(INDEX('Stock pièces'!$D$5:$D$404,MATCH(D1134,'Stock pièces'!$A$5:$A$404,0)),""))</f>
        <v/>
      </c>
      <c r="L1134" s="7" t="n"/>
      <c r="M1134" s="7" t="n"/>
    </row>
    <row r="1135">
      <c r="A1135" s="7" t="n"/>
      <c r="B1135" s="75" t="n"/>
      <c r="C1135" s="7" t="n"/>
      <c r="D1135" s="7" t="n"/>
      <c r="E1135" s="9">
        <f>IF(D1135="","",IFERROR(INDEX('Stock pièces'!$B$5:$B$404,MATCH(D1135,'Stock pièces'!$A$5:$A$404,0)),"Réf. inconnue"))</f>
        <v/>
      </c>
      <c r="F1135" s="67" t="n"/>
      <c r="G1135" s="81">
        <f>IF(D1135="","",IFERROR(INDEX('Stock pièces'!$I$5:$I$404,MATCH(D1135,'Stock pièces'!$A$5:$A$404,0)),0))</f>
        <v/>
      </c>
      <c r="H1135" s="81">
        <f>IF(D1135="","",N(F1135)*N(G1135))</f>
        <v/>
      </c>
      <c r="I1135" s="7" t="n"/>
      <c r="J1135" s="9">
        <f>IF(I1135="","",IFERROR(INDEX('Ordres de travail'!$D$5:$D$3004,MATCH(I1135,'Ordres de travail'!$A$5:$A$3004,0)),""))</f>
        <v/>
      </c>
      <c r="K1135" s="9">
        <f>IF(D1135="","",IFERROR(INDEX('Stock pièces'!$D$5:$D$404,MATCH(D1135,'Stock pièces'!$A$5:$A$404,0)),""))</f>
        <v/>
      </c>
      <c r="L1135" s="7" t="n"/>
      <c r="M1135" s="7" t="n"/>
    </row>
    <row r="1136">
      <c r="A1136" s="7" t="n"/>
      <c r="B1136" s="75" t="n"/>
      <c r="C1136" s="7" t="n"/>
      <c r="D1136" s="7" t="n"/>
      <c r="E1136" s="9">
        <f>IF(D1136="","",IFERROR(INDEX('Stock pièces'!$B$5:$B$404,MATCH(D1136,'Stock pièces'!$A$5:$A$404,0)),"Réf. inconnue"))</f>
        <v/>
      </c>
      <c r="F1136" s="67" t="n"/>
      <c r="G1136" s="81">
        <f>IF(D1136="","",IFERROR(INDEX('Stock pièces'!$I$5:$I$404,MATCH(D1136,'Stock pièces'!$A$5:$A$404,0)),0))</f>
        <v/>
      </c>
      <c r="H1136" s="81">
        <f>IF(D1136="","",N(F1136)*N(G1136))</f>
        <v/>
      </c>
      <c r="I1136" s="7" t="n"/>
      <c r="J1136" s="9">
        <f>IF(I1136="","",IFERROR(INDEX('Ordres de travail'!$D$5:$D$3004,MATCH(I1136,'Ordres de travail'!$A$5:$A$3004,0)),""))</f>
        <v/>
      </c>
      <c r="K1136" s="9">
        <f>IF(D1136="","",IFERROR(INDEX('Stock pièces'!$D$5:$D$404,MATCH(D1136,'Stock pièces'!$A$5:$A$404,0)),""))</f>
        <v/>
      </c>
      <c r="L1136" s="7" t="n"/>
      <c r="M1136" s="7" t="n"/>
    </row>
    <row r="1137">
      <c r="A1137" s="7" t="n"/>
      <c r="B1137" s="75" t="n"/>
      <c r="C1137" s="7" t="n"/>
      <c r="D1137" s="7" t="n"/>
      <c r="E1137" s="9">
        <f>IF(D1137="","",IFERROR(INDEX('Stock pièces'!$B$5:$B$404,MATCH(D1137,'Stock pièces'!$A$5:$A$404,0)),"Réf. inconnue"))</f>
        <v/>
      </c>
      <c r="F1137" s="67" t="n"/>
      <c r="G1137" s="81">
        <f>IF(D1137="","",IFERROR(INDEX('Stock pièces'!$I$5:$I$404,MATCH(D1137,'Stock pièces'!$A$5:$A$404,0)),0))</f>
        <v/>
      </c>
      <c r="H1137" s="81">
        <f>IF(D1137="","",N(F1137)*N(G1137))</f>
        <v/>
      </c>
      <c r="I1137" s="7" t="n"/>
      <c r="J1137" s="9">
        <f>IF(I1137="","",IFERROR(INDEX('Ordres de travail'!$D$5:$D$3004,MATCH(I1137,'Ordres de travail'!$A$5:$A$3004,0)),""))</f>
        <v/>
      </c>
      <c r="K1137" s="9">
        <f>IF(D1137="","",IFERROR(INDEX('Stock pièces'!$D$5:$D$404,MATCH(D1137,'Stock pièces'!$A$5:$A$404,0)),""))</f>
        <v/>
      </c>
      <c r="L1137" s="7" t="n"/>
      <c r="M1137" s="7" t="n"/>
    </row>
    <row r="1138">
      <c r="A1138" s="7" t="n"/>
      <c r="B1138" s="75" t="n"/>
      <c r="C1138" s="7" t="n"/>
      <c r="D1138" s="7" t="n"/>
      <c r="E1138" s="9">
        <f>IF(D1138="","",IFERROR(INDEX('Stock pièces'!$B$5:$B$404,MATCH(D1138,'Stock pièces'!$A$5:$A$404,0)),"Réf. inconnue"))</f>
        <v/>
      </c>
      <c r="F1138" s="67" t="n"/>
      <c r="G1138" s="81">
        <f>IF(D1138="","",IFERROR(INDEX('Stock pièces'!$I$5:$I$404,MATCH(D1138,'Stock pièces'!$A$5:$A$404,0)),0))</f>
        <v/>
      </c>
      <c r="H1138" s="81">
        <f>IF(D1138="","",N(F1138)*N(G1138))</f>
        <v/>
      </c>
      <c r="I1138" s="7" t="n"/>
      <c r="J1138" s="9">
        <f>IF(I1138="","",IFERROR(INDEX('Ordres de travail'!$D$5:$D$3004,MATCH(I1138,'Ordres de travail'!$A$5:$A$3004,0)),""))</f>
        <v/>
      </c>
      <c r="K1138" s="9">
        <f>IF(D1138="","",IFERROR(INDEX('Stock pièces'!$D$5:$D$404,MATCH(D1138,'Stock pièces'!$A$5:$A$404,0)),""))</f>
        <v/>
      </c>
      <c r="L1138" s="7" t="n"/>
      <c r="M1138" s="7" t="n"/>
    </row>
    <row r="1139">
      <c r="A1139" s="7" t="n"/>
      <c r="B1139" s="75" t="n"/>
      <c r="C1139" s="7" t="n"/>
      <c r="D1139" s="7" t="n"/>
      <c r="E1139" s="9">
        <f>IF(D1139="","",IFERROR(INDEX('Stock pièces'!$B$5:$B$404,MATCH(D1139,'Stock pièces'!$A$5:$A$404,0)),"Réf. inconnue"))</f>
        <v/>
      </c>
      <c r="F1139" s="67" t="n"/>
      <c r="G1139" s="81">
        <f>IF(D1139="","",IFERROR(INDEX('Stock pièces'!$I$5:$I$404,MATCH(D1139,'Stock pièces'!$A$5:$A$404,0)),0))</f>
        <v/>
      </c>
      <c r="H1139" s="81">
        <f>IF(D1139="","",N(F1139)*N(G1139))</f>
        <v/>
      </c>
      <c r="I1139" s="7" t="n"/>
      <c r="J1139" s="9">
        <f>IF(I1139="","",IFERROR(INDEX('Ordres de travail'!$D$5:$D$3004,MATCH(I1139,'Ordres de travail'!$A$5:$A$3004,0)),""))</f>
        <v/>
      </c>
      <c r="K1139" s="9">
        <f>IF(D1139="","",IFERROR(INDEX('Stock pièces'!$D$5:$D$404,MATCH(D1139,'Stock pièces'!$A$5:$A$404,0)),""))</f>
        <v/>
      </c>
      <c r="L1139" s="7" t="n"/>
      <c r="M1139" s="7" t="n"/>
    </row>
    <row r="1140">
      <c r="A1140" s="7" t="n"/>
      <c r="B1140" s="75" t="n"/>
      <c r="C1140" s="7" t="n"/>
      <c r="D1140" s="7" t="n"/>
      <c r="E1140" s="9">
        <f>IF(D1140="","",IFERROR(INDEX('Stock pièces'!$B$5:$B$404,MATCH(D1140,'Stock pièces'!$A$5:$A$404,0)),"Réf. inconnue"))</f>
        <v/>
      </c>
      <c r="F1140" s="67" t="n"/>
      <c r="G1140" s="81">
        <f>IF(D1140="","",IFERROR(INDEX('Stock pièces'!$I$5:$I$404,MATCH(D1140,'Stock pièces'!$A$5:$A$404,0)),0))</f>
        <v/>
      </c>
      <c r="H1140" s="81">
        <f>IF(D1140="","",N(F1140)*N(G1140))</f>
        <v/>
      </c>
      <c r="I1140" s="7" t="n"/>
      <c r="J1140" s="9">
        <f>IF(I1140="","",IFERROR(INDEX('Ordres de travail'!$D$5:$D$3004,MATCH(I1140,'Ordres de travail'!$A$5:$A$3004,0)),""))</f>
        <v/>
      </c>
      <c r="K1140" s="9">
        <f>IF(D1140="","",IFERROR(INDEX('Stock pièces'!$D$5:$D$404,MATCH(D1140,'Stock pièces'!$A$5:$A$404,0)),""))</f>
        <v/>
      </c>
      <c r="L1140" s="7" t="n"/>
      <c r="M1140" s="7" t="n"/>
    </row>
    <row r="1141">
      <c r="A1141" s="7" t="n"/>
      <c r="B1141" s="75" t="n"/>
      <c r="C1141" s="7" t="n"/>
      <c r="D1141" s="7" t="n"/>
      <c r="E1141" s="9">
        <f>IF(D1141="","",IFERROR(INDEX('Stock pièces'!$B$5:$B$404,MATCH(D1141,'Stock pièces'!$A$5:$A$404,0)),"Réf. inconnue"))</f>
        <v/>
      </c>
      <c r="F1141" s="67" t="n"/>
      <c r="G1141" s="81">
        <f>IF(D1141="","",IFERROR(INDEX('Stock pièces'!$I$5:$I$404,MATCH(D1141,'Stock pièces'!$A$5:$A$404,0)),0))</f>
        <v/>
      </c>
      <c r="H1141" s="81">
        <f>IF(D1141="","",N(F1141)*N(G1141))</f>
        <v/>
      </c>
      <c r="I1141" s="7" t="n"/>
      <c r="J1141" s="9">
        <f>IF(I1141="","",IFERROR(INDEX('Ordres de travail'!$D$5:$D$3004,MATCH(I1141,'Ordres de travail'!$A$5:$A$3004,0)),""))</f>
        <v/>
      </c>
      <c r="K1141" s="9">
        <f>IF(D1141="","",IFERROR(INDEX('Stock pièces'!$D$5:$D$404,MATCH(D1141,'Stock pièces'!$A$5:$A$404,0)),""))</f>
        <v/>
      </c>
      <c r="L1141" s="7" t="n"/>
      <c r="M1141" s="7" t="n"/>
    </row>
    <row r="1142">
      <c r="A1142" s="7" t="n"/>
      <c r="B1142" s="75" t="n"/>
      <c r="C1142" s="7" t="n"/>
      <c r="D1142" s="7" t="n"/>
      <c r="E1142" s="9">
        <f>IF(D1142="","",IFERROR(INDEX('Stock pièces'!$B$5:$B$404,MATCH(D1142,'Stock pièces'!$A$5:$A$404,0)),"Réf. inconnue"))</f>
        <v/>
      </c>
      <c r="F1142" s="67" t="n"/>
      <c r="G1142" s="81">
        <f>IF(D1142="","",IFERROR(INDEX('Stock pièces'!$I$5:$I$404,MATCH(D1142,'Stock pièces'!$A$5:$A$404,0)),0))</f>
        <v/>
      </c>
      <c r="H1142" s="81">
        <f>IF(D1142="","",N(F1142)*N(G1142))</f>
        <v/>
      </c>
      <c r="I1142" s="7" t="n"/>
      <c r="J1142" s="9">
        <f>IF(I1142="","",IFERROR(INDEX('Ordres de travail'!$D$5:$D$3004,MATCH(I1142,'Ordres de travail'!$A$5:$A$3004,0)),""))</f>
        <v/>
      </c>
      <c r="K1142" s="9">
        <f>IF(D1142="","",IFERROR(INDEX('Stock pièces'!$D$5:$D$404,MATCH(D1142,'Stock pièces'!$A$5:$A$404,0)),""))</f>
        <v/>
      </c>
      <c r="L1142" s="7" t="n"/>
      <c r="M1142" s="7" t="n"/>
    </row>
    <row r="1143">
      <c r="A1143" s="7" t="n"/>
      <c r="B1143" s="75" t="n"/>
      <c r="C1143" s="7" t="n"/>
      <c r="D1143" s="7" t="n"/>
      <c r="E1143" s="9">
        <f>IF(D1143="","",IFERROR(INDEX('Stock pièces'!$B$5:$B$404,MATCH(D1143,'Stock pièces'!$A$5:$A$404,0)),"Réf. inconnue"))</f>
        <v/>
      </c>
      <c r="F1143" s="67" t="n"/>
      <c r="G1143" s="81">
        <f>IF(D1143="","",IFERROR(INDEX('Stock pièces'!$I$5:$I$404,MATCH(D1143,'Stock pièces'!$A$5:$A$404,0)),0))</f>
        <v/>
      </c>
      <c r="H1143" s="81">
        <f>IF(D1143="","",N(F1143)*N(G1143))</f>
        <v/>
      </c>
      <c r="I1143" s="7" t="n"/>
      <c r="J1143" s="9">
        <f>IF(I1143="","",IFERROR(INDEX('Ordres de travail'!$D$5:$D$3004,MATCH(I1143,'Ordres de travail'!$A$5:$A$3004,0)),""))</f>
        <v/>
      </c>
      <c r="K1143" s="9">
        <f>IF(D1143="","",IFERROR(INDEX('Stock pièces'!$D$5:$D$404,MATCH(D1143,'Stock pièces'!$A$5:$A$404,0)),""))</f>
        <v/>
      </c>
      <c r="L1143" s="7" t="n"/>
      <c r="M1143" s="7" t="n"/>
    </row>
    <row r="1144">
      <c r="A1144" s="7" t="n"/>
      <c r="B1144" s="75" t="n"/>
      <c r="C1144" s="7" t="n"/>
      <c r="D1144" s="7" t="n"/>
      <c r="E1144" s="9">
        <f>IF(D1144="","",IFERROR(INDEX('Stock pièces'!$B$5:$B$404,MATCH(D1144,'Stock pièces'!$A$5:$A$404,0)),"Réf. inconnue"))</f>
        <v/>
      </c>
      <c r="F1144" s="67" t="n"/>
      <c r="G1144" s="81">
        <f>IF(D1144="","",IFERROR(INDEX('Stock pièces'!$I$5:$I$404,MATCH(D1144,'Stock pièces'!$A$5:$A$404,0)),0))</f>
        <v/>
      </c>
      <c r="H1144" s="81">
        <f>IF(D1144="","",N(F1144)*N(G1144))</f>
        <v/>
      </c>
      <c r="I1144" s="7" t="n"/>
      <c r="J1144" s="9">
        <f>IF(I1144="","",IFERROR(INDEX('Ordres de travail'!$D$5:$D$3004,MATCH(I1144,'Ordres de travail'!$A$5:$A$3004,0)),""))</f>
        <v/>
      </c>
      <c r="K1144" s="9">
        <f>IF(D1144="","",IFERROR(INDEX('Stock pièces'!$D$5:$D$404,MATCH(D1144,'Stock pièces'!$A$5:$A$404,0)),""))</f>
        <v/>
      </c>
      <c r="L1144" s="7" t="n"/>
      <c r="M1144" s="7" t="n"/>
    </row>
    <row r="1145">
      <c r="A1145" s="7" t="n"/>
      <c r="B1145" s="75" t="n"/>
      <c r="C1145" s="7" t="n"/>
      <c r="D1145" s="7" t="n"/>
      <c r="E1145" s="9">
        <f>IF(D1145="","",IFERROR(INDEX('Stock pièces'!$B$5:$B$404,MATCH(D1145,'Stock pièces'!$A$5:$A$404,0)),"Réf. inconnue"))</f>
        <v/>
      </c>
      <c r="F1145" s="67" t="n"/>
      <c r="G1145" s="81">
        <f>IF(D1145="","",IFERROR(INDEX('Stock pièces'!$I$5:$I$404,MATCH(D1145,'Stock pièces'!$A$5:$A$404,0)),0))</f>
        <v/>
      </c>
      <c r="H1145" s="81">
        <f>IF(D1145="","",N(F1145)*N(G1145))</f>
        <v/>
      </c>
      <c r="I1145" s="7" t="n"/>
      <c r="J1145" s="9">
        <f>IF(I1145="","",IFERROR(INDEX('Ordres de travail'!$D$5:$D$3004,MATCH(I1145,'Ordres de travail'!$A$5:$A$3004,0)),""))</f>
        <v/>
      </c>
      <c r="K1145" s="9">
        <f>IF(D1145="","",IFERROR(INDEX('Stock pièces'!$D$5:$D$404,MATCH(D1145,'Stock pièces'!$A$5:$A$404,0)),""))</f>
        <v/>
      </c>
      <c r="L1145" s="7" t="n"/>
      <c r="M1145" s="7" t="n"/>
    </row>
    <row r="1146">
      <c r="A1146" s="7" t="n"/>
      <c r="B1146" s="75" t="n"/>
      <c r="C1146" s="7" t="n"/>
      <c r="D1146" s="7" t="n"/>
      <c r="E1146" s="9">
        <f>IF(D1146="","",IFERROR(INDEX('Stock pièces'!$B$5:$B$404,MATCH(D1146,'Stock pièces'!$A$5:$A$404,0)),"Réf. inconnue"))</f>
        <v/>
      </c>
      <c r="F1146" s="67" t="n"/>
      <c r="G1146" s="81">
        <f>IF(D1146="","",IFERROR(INDEX('Stock pièces'!$I$5:$I$404,MATCH(D1146,'Stock pièces'!$A$5:$A$404,0)),0))</f>
        <v/>
      </c>
      <c r="H1146" s="81">
        <f>IF(D1146="","",N(F1146)*N(G1146))</f>
        <v/>
      </c>
      <c r="I1146" s="7" t="n"/>
      <c r="J1146" s="9">
        <f>IF(I1146="","",IFERROR(INDEX('Ordres de travail'!$D$5:$D$3004,MATCH(I1146,'Ordres de travail'!$A$5:$A$3004,0)),""))</f>
        <v/>
      </c>
      <c r="K1146" s="9">
        <f>IF(D1146="","",IFERROR(INDEX('Stock pièces'!$D$5:$D$404,MATCH(D1146,'Stock pièces'!$A$5:$A$404,0)),""))</f>
        <v/>
      </c>
      <c r="L1146" s="7" t="n"/>
      <c r="M1146" s="7" t="n"/>
    </row>
    <row r="1147">
      <c r="A1147" s="7" t="n"/>
      <c r="B1147" s="75" t="n"/>
      <c r="C1147" s="7" t="n"/>
      <c r="D1147" s="7" t="n"/>
      <c r="E1147" s="9">
        <f>IF(D1147="","",IFERROR(INDEX('Stock pièces'!$B$5:$B$404,MATCH(D1147,'Stock pièces'!$A$5:$A$404,0)),"Réf. inconnue"))</f>
        <v/>
      </c>
      <c r="F1147" s="67" t="n"/>
      <c r="G1147" s="81">
        <f>IF(D1147="","",IFERROR(INDEX('Stock pièces'!$I$5:$I$404,MATCH(D1147,'Stock pièces'!$A$5:$A$404,0)),0))</f>
        <v/>
      </c>
      <c r="H1147" s="81">
        <f>IF(D1147="","",N(F1147)*N(G1147))</f>
        <v/>
      </c>
      <c r="I1147" s="7" t="n"/>
      <c r="J1147" s="9">
        <f>IF(I1147="","",IFERROR(INDEX('Ordres de travail'!$D$5:$D$3004,MATCH(I1147,'Ordres de travail'!$A$5:$A$3004,0)),""))</f>
        <v/>
      </c>
      <c r="K1147" s="9">
        <f>IF(D1147="","",IFERROR(INDEX('Stock pièces'!$D$5:$D$404,MATCH(D1147,'Stock pièces'!$A$5:$A$404,0)),""))</f>
        <v/>
      </c>
      <c r="L1147" s="7" t="n"/>
      <c r="M1147" s="7" t="n"/>
    </row>
    <row r="1148">
      <c r="A1148" s="7" t="n"/>
      <c r="B1148" s="75" t="n"/>
      <c r="C1148" s="7" t="n"/>
      <c r="D1148" s="7" t="n"/>
      <c r="E1148" s="9">
        <f>IF(D1148="","",IFERROR(INDEX('Stock pièces'!$B$5:$B$404,MATCH(D1148,'Stock pièces'!$A$5:$A$404,0)),"Réf. inconnue"))</f>
        <v/>
      </c>
      <c r="F1148" s="67" t="n"/>
      <c r="G1148" s="81">
        <f>IF(D1148="","",IFERROR(INDEX('Stock pièces'!$I$5:$I$404,MATCH(D1148,'Stock pièces'!$A$5:$A$404,0)),0))</f>
        <v/>
      </c>
      <c r="H1148" s="81">
        <f>IF(D1148="","",N(F1148)*N(G1148))</f>
        <v/>
      </c>
      <c r="I1148" s="7" t="n"/>
      <c r="J1148" s="9">
        <f>IF(I1148="","",IFERROR(INDEX('Ordres de travail'!$D$5:$D$3004,MATCH(I1148,'Ordres de travail'!$A$5:$A$3004,0)),""))</f>
        <v/>
      </c>
      <c r="K1148" s="9">
        <f>IF(D1148="","",IFERROR(INDEX('Stock pièces'!$D$5:$D$404,MATCH(D1148,'Stock pièces'!$A$5:$A$404,0)),""))</f>
        <v/>
      </c>
      <c r="L1148" s="7" t="n"/>
      <c r="M1148" s="7" t="n"/>
    </row>
    <row r="1149">
      <c r="A1149" s="7" t="n"/>
      <c r="B1149" s="75" t="n"/>
      <c r="C1149" s="7" t="n"/>
      <c r="D1149" s="7" t="n"/>
      <c r="E1149" s="9">
        <f>IF(D1149="","",IFERROR(INDEX('Stock pièces'!$B$5:$B$404,MATCH(D1149,'Stock pièces'!$A$5:$A$404,0)),"Réf. inconnue"))</f>
        <v/>
      </c>
      <c r="F1149" s="67" t="n"/>
      <c r="G1149" s="81">
        <f>IF(D1149="","",IFERROR(INDEX('Stock pièces'!$I$5:$I$404,MATCH(D1149,'Stock pièces'!$A$5:$A$404,0)),0))</f>
        <v/>
      </c>
      <c r="H1149" s="81">
        <f>IF(D1149="","",N(F1149)*N(G1149))</f>
        <v/>
      </c>
      <c r="I1149" s="7" t="n"/>
      <c r="J1149" s="9">
        <f>IF(I1149="","",IFERROR(INDEX('Ordres de travail'!$D$5:$D$3004,MATCH(I1149,'Ordres de travail'!$A$5:$A$3004,0)),""))</f>
        <v/>
      </c>
      <c r="K1149" s="9">
        <f>IF(D1149="","",IFERROR(INDEX('Stock pièces'!$D$5:$D$404,MATCH(D1149,'Stock pièces'!$A$5:$A$404,0)),""))</f>
        <v/>
      </c>
      <c r="L1149" s="7" t="n"/>
      <c r="M1149" s="7" t="n"/>
    </row>
    <row r="1150">
      <c r="A1150" s="7" t="n"/>
      <c r="B1150" s="75" t="n"/>
      <c r="C1150" s="7" t="n"/>
      <c r="D1150" s="7" t="n"/>
      <c r="E1150" s="9">
        <f>IF(D1150="","",IFERROR(INDEX('Stock pièces'!$B$5:$B$404,MATCH(D1150,'Stock pièces'!$A$5:$A$404,0)),"Réf. inconnue"))</f>
        <v/>
      </c>
      <c r="F1150" s="67" t="n"/>
      <c r="G1150" s="81">
        <f>IF(D1150="","",IFERROR(INDEX('Stock pièces'!$I$5:$I$404,MATCH(D1150,'Stock pièces'!$A$5:$A$404,0)),0))</f>
        <v/>
      </c>
      <c r="H1150" s="81">
        <f>IF(D1150="","",N(F1150)*N(G1150))</f>
        <v/>
      </c>
      <c r="I1150" s="7" t="n"/>
      <c r="J1150" s="9">
        <f>IF(I1150="","",IFERROR(INDEX('Ordres de travail'!$D$5:$D$3004,MATCH(I1150,'Ordres de travail'!$A$5:$A$3004,0)),""))</f>
        <v/>
      </c>
      <c r="K1150" s="9">
        <f>IF(D1150="","",IFERROR(INDEX('Stock pièces'!$D$5:$D$404,MATCH(D1150,'Stock pièces'!$A$5:$A$404,0)),""))</f>
        <v/>
      </c>
      <c r="L1150" s="7" t="n"/>
      <c r="M1150" s="7" t="n"/>
    </row>
    <row r="1151">
      <c r="A1151" s="7" t="n"/>
      <c r="B1151" s="75" t="n"/>
      <c r="C1151" s="7" t="n"/>
      <c r="D1151" s="7" t="n"/>
      <c r="E1151" s="9">
        <f>IF(D1151="","",IFERROR(INDEX('Stock pièces'!$B$5:$B$404,MATCH(D1151,'Stock pièces'!$A$5:$A$404,0)),"Réf. inconnue"))</f>
        <v/>
      </c>
      <c r="F1151" s="67" t="n"/>
      <c r="G1151" s="81">
        <f>IF(D1151="","",IFERROR(INDEX('Stock pièces'!$I$5:$I$404,MATCH(D1151,'Stock pièces'!$A$5:$A$404,0)),0))</f>
        <v/>
      </c>
      <c r="H1151" s="81">
        <f>IF(D1151="","",N(F1151)*N(G1151))</f>
        <v/>
      </c>
      <c r="I1151" s="7" t="n"/>
      <c r="J1151" s="9">
        <f>IF(I1151="","",IFERROR(INDEX('Ordres de travail'!$D$5:$D$3004,MATCH(I1151,'Ordres de travail'!$A$5:$A$3004,0)),""))</f>
        <v/>
      </c>
      <c r="K1151" s="9">
        <f>IF(D1151="","",IFERROR(INDEX('Stock pièces'!$D$5:$D$404,MATCH(D1151,'Stock pièces'!$A$5:$A$404,0)),""))</f>
        <v/>
      </c>
      <c r="L1151" s="7" t="n"/>
      <c r="M1151" s="7" t="n"/>
    </row>
    <row r="1152">
      <c r="A1152" s="7" t="n"/>
      <c r="B1152" s="75" t="n"/>
      <c r="C1152" s="7" t="n"/>
      <c r="D1152" s="7" t="n"/>
      <c r="E1152" s="9">
        <f>IF(D1152="","",IFERROR(INDEX('Stock pièces'!$B$5:$B$404,MATCH(D1152,'Stock pièces'!$A$5:$A$404,0)),"Réf. inconnue"))</f>
        <v/>
      </c>
      <c r="F1152" s="67" t="n"/>
      <c r="G1152" s="81">
        <f>IF(D1152="","",IFERROR(INDEX('Stock pièces'!$I$5:$I$404,MATCH(D1152,'Stock pièces'!$A$5:$A$404,0)),0))</f>
        <v/>
      </c>
      <c r="H1152" s="81">
        <f>IF(D1152="","",N(F1152)*N(G1152))</f>
        <v/>
      </c>
      <c r="I1152" s="7" t="n"/>
      <c r="J1152" s="9">
        <f>IF(I1152="","",IFERROR(INDEX('Ordres de travail'!$D$5:$D$3004,MATCH(I1152,'Ordres de travail'!$A$5:$A$3004,0)),""))</f>
        <v/>
      </c>
      <c r="K1152" s="9">
        <f>IF(D1152="","",IFERROR(INDEX('Stock pièces'!$D$5:$D$404,MATCH(D1152,'Stock pièces'!$A$5:$A$404,0)),""))</f>
        <v/>
      </c>
      <c r="L1152" s="7" t="n"/>
      <c r="M1152" s="7" t="n"/>
    </row>
    <row r="1153">
      <c r="A1153" s="7" t="n"/>
      <c r="B1153" s="75" t="n"/>
      <c r="C1153" s="7" t="n"/>
      <c r="D1153" s="7" t="n"/>
      <c r="E1153" s="9">
        <f>IF(D1153="","",IFERROR(INDEX('Stock pièces'!$B$5:$B$404,MATCH(D1153,'Stock pièces'!$A$5:$A$404,0)),"Réf. inconnue"))</f>
        <v/>
      </c>
      <c r="F1153" s="67" t="n"/>
      <c r="G1153" s="81">
        <f>IF(D1153="","",IFERROR(INDEX('Stock pièces'!$I$5:$I$404,MATCH(D1153,'Stock pièces'!$A$5:$A$404,0)),0))</f>
        <v/>
      </c>
      <c r="H1153" s="81">
        <f>IF(D1153="","",N(F1153)*N(G1153))</f>
        <v/>
      </c>
      <c r="I1153" s="7" t="n"/>
      <c r="J1153" s="9">
        <f>IF(I1153="","",IFERROR(INDEX('Ordres de travail'!$D$5:$D$3004,MATCH(I1153,'Ordres de travail'!$A$5:$A$3004,0)),""))</f>
        <v/>
      </c>
      <c r="K1153" s="9">
        <f>IF(D1153="","",IFERROR(INDEX('Stock pièces'!$D$5:$D$404,MATCH(D1153,'Stock pièces'!$A$5:$A$404,0)),""))</f>
        <v/>
      </c>
      <c r="L1153" s="7" t="n"/>
      <c r="M1153" s="7" t="n"/>
    </row>
    <row r="1154">
      <c r="A1154" s="7" t="n"/>
      <c r="B1154" s="75" t="n"/>
      <c r="C1154" s="7" t="n"/>
      <c r="D1154" s="7" t="n"/>
      <c r="E1154" s="9">
        <f>IF(D1154="","",IFERROR(INDEX('Stock pièces'!$B$5:$B$404,MATCH(D1154,'Stock pièces'!$A$5:$A$404,0)),"Réf. inconnue"))</f>
        <v/>
      </c>
      <c r="F1154" s="67" t="n"/>
      <c r="G1154" s="81">
        <f>IF(D1154="","",IFERROR(INDEX('Stock pièces'!$I$5:$I$404,MATCH(D1154,'Stock pièces'!$A$5:$A$404,0)),0))</f>
        <v/>
      </c>
      <c r="H1154" s="81">
        <f>IF(D1154="","",N(F1154)*N(G1154))</f>
        <v/>
      </c>
      <c r="I1154" s="7" t="n"/>
      <c r="J1154" s="9">
        <f>IF(I1154="","",IFERROR(INDEX('Ordres de travail'!$D$5:$D$3004,MATCH(I1154,'Ordres de travail'!$A$5:$A$3004,0)),""))</f>
        <v/>
      </c>
      <c r="K1154" s="9">
        <f>IF(D1154="","",IFERROR(INDEX('Stock pièces'!$D$5:$D$404,MATCH(D1154,'Stock pièces'!$A$5:$A$404,0)),""))</f>
        <v/>
      </c>
      <c r="L1154" s="7" t="n"/>
      <c r="M1154" s="7" t="n"/>
    </row>
    <row r="1155">
      <c r="A1155" s="7" t="n"/>
      <c r="B1155" s="75" t="n"/>
      <c r="C1155" s="7" t="n"/>
      <c r="D1155" s="7" t="n"/>
      <c r="E1155" s="9">
        <f>IF(D1155="","",IFERROR(INDEX('Stock pièces'!$B$5:$B$404,MATCH(D1155,'Stock pièces'!$A$5:$A$404,0)),"Réf. inconnue"))</f>
        <v/>
      </c>
      <c r="F1155" s="67" t="n"/>
      <c r="G1155" s="81">
        <f>IF(D1155="","",IFERROR(INDEX('Stock pièces'!$I$5:$I$404,MATCH(D1155,'Stock pièces'!$A$5:$A$404,0)),0))</f>
        <v/>
      </c>
      <c r="H1155" s="81">
        <f>IF(D1155="","",N(F1155)*N(G1155))</f>
        <v/>
      </c>
      <c r="I1155" s="7" t="n"/>
      <c r="J1155" s="9">
        <f>IF(I1155="","",IFERROR(INDEX('Ordres de travail'!$D$5:$D$3004,MATCH(I1155,'Ordres de travail'!$A$5:$A$3004,0)),""))</f>
        <v/>
      </c>
      <c r="K1155" s="9">
        <f>IF(D1155="","",IFERROR(INDEX('Stock pièces'!$D$5:$D$404,MATCH(D1155,'Stock pièces'!$A$5:$A$404,0)),""))</f>
        <v/>
      </c>
      <c r="L1155" s="7" t="n"/>
      <c r="M1155" s="7" t="n"/>
    </row>
    <row r="1156">
      <c r="A1156" s="7" t="n"/>
      <c r="B1156" s="75" t="n"/>
      <c r="C1156" s="7" t="n"/>
      <c r="D1156" s="7" t="n"/>
      <c r="E1156" s="9">
        <f>IF(D1156="","",IFERROR(INDEX('Stock pièces'!$B$5:$B$404,MATCH(D1156,'Stock pièces'!$A$5:$A$404,0)),"Réf. inconnue"))</f>
        <v/>
      </c>
      <c r="F1156" s="67" t="n"/>
      <c r="G1156" s="81">
        <f>IF(D1156="","",IFERROR(INDEX('Stock pièces'!$I$5:$I$404,MATCH(D1156,'Stock pièces'!$A$5:$A$404,0)),0))</f>
        <v/>
      </c>
      <c r="H1156" s="81">
        <f>IF(D1156="","",N(F1156)*N(G1156))</f>
        <v/>
      </c>
      <c r="I1156" s="7" t="n"/>
      <c r="J1156" s="9">
        <f>IF(I1156="","",IFERROR(INDEX('Ordres de travail'!$D$5:$D$3004,MATCH(I1156,'Ordres de travail'!$A$5:$A$3004,0)),""))</f>
        <v/>
      </c>
      <c r="K1156" s="9">
        <f>IF(D1156="","",IFERROR(INDEX('Stock pièces'!$D$5:$D$404,MATCH(D1156,'Stock pièces'!$A$5:$A$404,0)),""))</f>
        <v/>
      </c>
      <c r="L1156" s="7" t="n"/>
      <c r="M1156" s="7" t="n"/>
    </row>
    <row r="1157">
      <c r="A1157" s="7" t="n"/>
      <c r="B1157" s="75" t="n"/>
      <c r="C1157" s="7" t="n"/>
      <c r="D1157" s="7" t="n"/>
      <c r="E1157" s="9">
        <f>IF(D1157="","",IFERROR(INDEX('Stock pièces'!$B$5:$B$404,MATCH(D1157,'Stock pièces'!$A$5:$A$404,0)),"Réf. inconnue"))</f>
        <v/>
      </c>
      <c r="F1157" s="67" t="n"/>
      <c r="G1157" s="81">
        <f>IF(D1157="","",IFERROR(INDEX('Stock pièces'!$I$5:$I$404,MATCH(D1157,'Stock pièces'!$A$5:$A$404,0)),0))</f>
        <v/>
      </c>
      <c r="H1157" s="81">
        <f>IF(D1157="","",N(F1157)*N(G1157))</f>
        <v/>
      </c>
      <c r="I1157" s="7" t="n"/>
      <c r="J1157" s="9">
        <f>IF(I1157="","",IFERROR(INDEX('Ordres de travail'!$D$5:$D$3004,MATCH(I1157,'Ordres de travail'!$A$5:$A$3004,0)),""))</f>
        <v/>
      </c>
      <c r="K1157" s="9">
        <f>IF(D1157="","",IFERROR(INDEX('Stock pièces'!$D$5:$D$404,MATCH(D1157,'Stock pièces'!$A$5:$A$404,0)),""))</f>
        <v/>
      </c>
      <c r="L1157" s="7" t="n"/>
      <c r="M1157" s="7" t="n"/>
    </row>
    <row r="1158">
      <c r="A1158" s="7" t="n"/>
      <c r="B1158" s="75" t="n"/>
      <c r="C1158" s="7" t="n"/>
      <c r="D1158" s="7" t="n"/>
      <c r="E1158" s="9">
        <f>IF(D1158="","",IFERROR(INDEX('Stock pièces'!$B$5:$B$404,MATCH(D1158,'Stock pièces'!$A$5:$A$404,0)),"Réf. inconnue"))</f>
        <v/>
      </c>
      <c r="F1158" s="67" t="n"/>
      <c r="G1158" s="81">
        <f>IF(D1158="","",IFERROR(INDEX('Stock pièces'!$I$5:$I$404,MATCH(D1158,'Stock pièces'!$A$5:$A$404,0)),0))</f>
        <v/>
      </c>
      <c r="H1158" s="81">
        <f>IF(D1158="","",N(F1158)*N(G1158))</f>
        <v/>
      </c>
      <c r="I1158" s="7" t="n"/>
      <c r="J1158" s="9">
        <f>IF(I1158="","",IFERROR(INDEX('Ordres de travail'!$D$5:$D$3004,MATCH(I1158,'Ordres de travail'!$A$5:$A$3004,0)),""))</f>
        <v/>
      </c>
      <c r="K1158" s="9">
        <f>IF(D1158="","",IFERROR(INDEX('Stock pièces'!$D$5:$D$404,MATCH(D1158,'Stock pièces'!$A$5:$A$404,0)),""))</f>
        <v/>
      </c>
      <c r="L1158" s="7" t="n"/>
      <c r="M1158" s="7" t="n"/>
    </row>
    <row r="1159">
      <c r="A1159" s="7" t="n"/>
      <c r="B1159" s="75" t="n"/>
      <c r="C1159" s="7" t="n"/>
      <c r="D1159" s="7" t="n"/>
      <c r="E1159" s="9">
        <f>IF(D1159="","",IFERROR(INDEX('Stock pièces'!$B$5:$B$404,MATCH(D1159,'Stock pièces'!$A$5:$A$404,0)),"Réf. inconnue"))</f>
        <v/>
      </c>
      <c r="F1159" s="67" t="n"/>
      <c r="G1159" s="81">
        <f>IF(D1159="","",IFERROR(INDEX('Stock pièces'!$I$5:$I$404,MATCH(D1159,'Stock pièces'!$A$5:$A$404,0)),0))</f>
        <v/>
      </c>
      <c r="H1159" s="81">
        <f>IF(D1159="","",N(F1159)*N(G1159))</f>
        <v/>
      </c>
      <c r="I1159" s="7" t="n"/>
      <c r="J1159" s="9">
        <f>IF(I1159="","",IFERROR(INDEX('Ordres de travail'!$D$5:$D$3004,MATCH(I1159,'Ordres de travail'!$A$5:$A$3004,0)),""))</f>
        <v/>
      </c>
      <c r="K1159" s="9">
        <f>IF(D1159="","",IFERROR(INDEX('Stock pièces'!$D$5:$D$404,MATCH(D1159,'Stock pièces'!$A$5:$A$404,0)),""))</f>
        <v/>
      </c>
      <c r="L1159" s="7" t="n"/>
      <c r="M1159" s="7" t="n"/>
    </row>
    <row r="1160">
      <c r="A1160" s="7" t="n"/>
      <c r="B1160" s="75" t="n"/>
      <c r="C1160" s="7" t="n"/>
      <c r="D1160" s="7" t="n"/>
      <c r="E1160" s="9">
        <f>IF(D1160="","",IFERROR(INDEX('Stock pièces'!$B$5:$B$404,MATCH(D1160,'Stock pièces'!$A$5:$A$404,0)),"Réf. inconnue"))</f>
        <v/>
      </c>
      <c r="F1160" s="67" t="n"/>
      <c r="G1160" s="81">
        <f>IF(D1160="","",IFERROR(INDEX('Stock pièces'!$I$5:$I$404,MATCH(D1160,'Stock pièces'!$A$5:$A$404,0)),0))</f>
        <v/>
      </c>
      <c r="H1160" s="81">
        <f>IF(D1160="","",N(F1160)*N(G1160))</f>
        <v/>
      </c>
      <c r="I1160" s="7" t="n"/>
      <c r="J1160" s="9">
        <f>IF(I1160="","",IFERROR(INDEX('Ordres de travail'!$D$5:$D$3004,MATCH(I1160,'Ordres de travail'!$A$5:$A$3004,0)),""))</f>
        <v/>
      </c>
      <c r="K1160" s="9">
        <f>IF(D1160="","",IFERROR(INDEX('Stock pièces'!$D$5:$D$404,MATCH(D1160,'Stock pièces'!$A$5:$A$404,0)),""))</f>
        <v/>
      </c>
      <c r="L1160" s="7" t="n"/>
      <c r="M1160" s="7" t="n"/>
    </row>
    <row r="1161">
      <c r="A1161" s="7" t="n"/>
      <c r="B1161" s="75" t="n"/>
      <c r="C1161" s="7" t="n"/>
      <c r="D1161" s="7" t="n"/>
      <c r="E1161" s="9">
        <f>IF(D1161="","",IFERROR(INDEX('Stock pièces'!$B$5:$B$404,MATCH(D1161,'Stock pièces'!$A$5:$A$404,0)),"Réf. inconnue"))</f>
        <v/>
      </c>
      <c r="F1161" s="67" t="n"/>
      <c r="G1161" s="81">
        <f>IF(D1161="","",IFERROR(INDEX('Stock pièces'!$I$5:$I$404,MATCH(D1161,'Stock pièces'!$A$5:$A$404,0)),0))</f>
        <v/>
      </c>
      <c r="H1161" s="81">
        <f>IF(D1161="","",N(F1161)*N(G1161))</f>
        <v/>
      </c>
      <c r="I1161" s="7" t="n"/>
      <c r="J1161" s="9">
        <f>IF(I1161="","",IFERROR(INDEX('Ordres de travail'!$D$5:$D$3004,MATCH(I1161,'Ordres de travail'!$A$5:$A$3004,0)),""))</f>
        <v/>
      </c>
      <c r="K1161" s="9">
        <f>IF(D1161="","",IFERROR(INDEX('Stock pièces'!$D$5:$D$404,MATCH(D1161,'Stock pièces'!$A$5:$A$404,0)),""))</f>
        <v/>
      </c>
      <c r="L1161" s="7" t="n"/>
      <c r="M1161" s="7" t="n"/>
    </row>
    <row r="1162">
      <c r="A1162" s="7" t="n"/>
      <c r="B1162" s="75" t="n"/>
      <c r="C1162" s="7" t="n"/>
      <c r="D1162" s="7" t="n"/>
      <c r="E1162" s="9">
        <f>IF(D1162="","",IFERROR(INDEX('Stock pièces'!$B$5:$B$404,MATCH(D1162,'Stock pièces'!$A$5:$A$404,0)),"Réf. inconnue"))</f>
        <v/>
      </c>
      <c r="F1162" s="67" t="n"/>
      <c r="G1162" s="81">
        <f>IF(D1162="","",IFERROR(INDEX('Stock pièces'!$I$5:$I$404,MATCH(D1162,'Stock pièces'!$A$5:$A$404,0)),0))</f>
        <v/>
      </c>
      <c r="H1162" s="81">
        <f>IF(D1162="","",N(F1162)*N(G1162))</f>
        <v/>
      </c>
      <c r="I1162" s="7" t="n"/>
      <c r="J1162" s="9">
        <f>IF(I1162="","",IFERROR(INDEX('Ordres de travail'!$D$5:$D$3004,MATCH(I1162,'Ordres de travail'!$A$5:$A$3004,0)),""))</f>
        <v/>
      </c>
      <c r="K1162" s="9">
        <f>IF(D1162="","",IFERROR(INDEX('Stock pièces'!$D$5:$D$404,MATCH(D1162,'Stock pièces'!$A$5:$A$404,0)),""))</f>
        <v/>
      </c>
      <c r="L1162" s="7" t="n"/>
      <c r="M1162" s="7" t="n"/>
    </row>
    <row r="1163">
      <c r="A1163" s="7" t="n"/>
      <c r="B1163" s="75" t="n"/>
      <c r="C1163" s="7" t="n"/>
      <c r="D1163" s="7" t="n"/>
      <c r="E1163" s="9">
        <f>IF(D1163="","",IFERROR(INDEX('Stock pièces'!$B$5:$B$404,MATCH(D1163,'Stock pièces'!$A$5:$A$404,0)),"Réf. inconnue"))</f>
        <v/>
      </c>
      <c r="F1163" s="67" t="n"/>
      <c r="G1163" s="81">
        <f>IF(D1163="","",IFERROR(INDEX('Stock pièces'!$I$5:$I$404,MATCH(D1163,'Stock pièces'!$A$5:$A$404,0)),0))</f>
        <v/>
      </c>
      <c r="H1163" s="81">
        <f>IF(D1163="","",N(F1163)*N(G1163))</f>
        <v/>
      </c>
      <c r="I1163" s="7" t="n"/>
      <c r="J1163" s="9">
        <f>IF(I1163="","",IFERROR(INDEX('Ordres de travail'!$D$5:$D$3004,MATCH(I1163,'Ordres de travail'!$A$5:$A$3004,0)),""))</f>
        <v/>
      </c>
      <c r="K1163" s="9">
        <f>IF(D1163="","",IFERROR(INDEX('Stock pièces'!$D$5:$D$404,MATCH(D1163,'Stock pièces'!$A$5:$A$404,0)),""))</f>
        <v/>
      </c>
      <c r="L1163" s="7" t="n"/>
      <c r="M1163" s="7" t="n"/>
    </row>
    <row r="1164">
      <c r="A1164" s="7" t="n"/>
      <c r="B1164" s="75" t="n"/>
      <c r="C1164" s="7" t="n"/>
      <c r="D1164" s="7" t="n"/>
      <c r="E1164" s="9">
        <f>IF(D1164="","",IFERROR(INDEX('Stock pièces'!$B$5:$B$404,MATCH(D1164,'Stock pièces'!$A$5:$A$404,0)),"Réf. inconnue"))</f>
        <v/>
      </c>
      <c r="F1164" s="67" t="n"/>
      <c r="G1164" s="81">
        <f>IF(D1164="","",IFERROR(INDEX('Stock pièces'!$I$5:$I$404,MATCH(D1164,'Stock pièces'!$A$5:$A$404,0)),0))</f>
        <v/>
      </c>
      <c r="H1164" s="81">
        <f>IF(D1164="","",N(F1164)*N(G1164))</f>
        <v/>
      </c>
      <c r="I1164" s="7" t="n"/>
      <c r="J1164" s="9">
        <f>IF(I1164="","",IFERROR(INDEX('Ordres de travail'!$D$5:$D$3004,MATCH(I1164,'Ordres de travail'!$A$5:$A$3004,0)),""))</f>
        <v/>
      </c>
      <c r="K1164" s="9">
        <f>IF(D1164="","",IFERROR(INDEX('Stock pièces'!$D$5:$D$404,MATCH(D1164,'Stock pièces'!$A$5:$A$404,0)),""))</f>
        <v/>
      </c>
      <c r="L1164" s="7" t="n"/>
      <c r="M1164" s="7" t="n"/>
    </row>
    <row r="1165">
      <c r="A1165" s="7" t="n"/>
      <c r="B1165" s="75" t="n"/>
      <c r="C1165" s="7" t="n"/>
      <c r="D1165" s="7" t="n"/>
      <c r="E1165" s="9">
        <f>IF(D1165="","",IFERROR(INDEX('Stock pièces'!$B$5:$B$404,MATCH(D1165,'Stock pièces'!$A$5:$A$404,0)),"Réf. inconnue"))</f>
        <v/>
      </c>
      <c r="F1165" s="67" t="n"/>
      <c r="G1165" s="81">
        <f>IF(D1165="","",IFERROR(INDEX('Stock pièces'!$I$5:$I$404,MATCH(D1165,'Stock pièces'!$A$5:$A$404,0)),0))</f>
        <v/>
      </c>
      <c r="H1165" s="81">
        <f>IF(D1165="","",N(F1165)*N(G1165))</f>
        <v/>
      </c>
      <c r="I1165" s="7" t="n"/>
      <c r="J1165" s="9">
        <f>IF(I1165="","",IFERROR(INDEX('Ordres de travail'!$D$5:$D$3004,MATCH(I1165,'Ordres de travail'!$A$5:$A$3004,0)),""))</f>
        <v/>
      </c>
      <c r="K1165" s="9">
        <f>IF(D1165="","",IFERROR(INDEX('Stock pièces'!$D$5:$D$404,MATCH(D1165,'Stock pièces'!$A$5:$A$404,0)),""))</f>
        <v/>
      </c>
      <c r="L1165" s="7" t="n"/>
      <c r="M1165" s="7" t="n"/>
    </row>
    <row r="1166">
      <c r="A1166" s="7" t="n"/>
      <c r="B1166" s="75" t="n"/>
      <c r="C1166" s="7" t="n"/>
      <c r="D1166" s="7" t="n"/>
      <c r="E1166" s="9">
        <f>IF(D1166="","",IFERROR(INDEX('Stock pièces'!$B$5:$B$404,MATCH(D1166,'Stock pièces'!$A$5:$A$404,0)),"Réf. inconnue"))</f>
        <v/>
      </c>
      <c r="F1166" s="67" t="n"/>
      <c r="G1166" s="81">
        <f>IF(D1166="","",IFERROR(INDEX('Stock pièces'!$I$5:$I$404,MATCH(D1166,'Stock pièces'!$A$5:$A$404,0)),0))</f>
        <v/>
      </c>
      <c r="H1166" s="81">
        <f>IF(D1166="","",N(F1166)*N(G1166))</f>
        <v/>
      </c>
      <c r="I1166" s="7" t="n"/>
      <c r="J1166" s="9">
        <f>IF(I1166="","",IFERROR(INDEX('Ordres de travail'!$D$5:$D$3004,MATCH(I1166,'Ordres de travail'!$A$5:$A$3004,0)),""))</f>
        <v/>
      </c>
      <c r="K1166" s="9">
        <f>IF(D1166="","",IFERROR(INDEX('Stock pièces'!$D$5:$D$404,MATCH(D1166,'Stock pièces'!$A$5:$A$404,0)),""))</f>
        <v/>
      </c>
      <c r="L1166" s="7" t="n"/>
      <c r="M1166" s="7" t="n"/>
    </row>
    <row r="1167">
      <c r="A1167" s="7" t="n"/>
      <c r="B1167" s="75" t="n"/>
      <c r="C1167" s="7" t="n"/>
      <c r="D1167" s="7" t="n"/>
      <c r="E1167" s="9">
        <f>IF(D1167="","",IFERROR(INDEX('Stock pièces'!$B$5:$B$404,MATCH(D1167,'Stock pièces'!$A$5:$A$404,0)),"Réf. inconnue"))</f>
        <v/>
      </c>
      <c r="F1167" s="67" t="n"/>
      <c r="G1167" s="81">
        <f>IF(D1167="","",IFERROR(INDEX('Stock pièces'!$I$5:$I$404,MATCH(D1167,'Stock pièces'!$A$5:$A$404,0)),0))</f>
        <v/>
      </c>
      <c r="H1167" s="81">
        <f>IF(D1167="","",N(F1167)*N(G1167))</f>
        <v/>
      </c>
      <c r="I1167" s="7" t="n"/>
      <c r="J1167" s="9">
        <f>IF(I1167="","",IFERROR(INDEX('Ordres de travail'!$D$5:$D$3004,MATCH(I1167,'Ordres de travail'!$A$5:$A$3004,0)),""))</f>
        <v/>
      </c>
      <c r="K1167" s="9">
        <f>IF(D1167="","",IFERROR(INDEX('Stock pièces'!$D$5:$D$404,MATCH(D1167,'Stock pièces'!$A$5:$A$404,0)),""))</f>
        <v/>
      </c>
      <c r="L1167" s="7" t="n"/>
      <c r="M1167" s="7" t="n"/>
    </row>
    <row r="1168">
      <c r="A1168" s="7" t="n"/>
      <c r="B1168" s="75" t="n"/>
      <c r="C1168" s="7" t="n"/>
      <c r="D1168" s="7" t="n"/>
      <c r="E1168" s="9">
        <f>IF(D1168="","",IFERROR(INDEX('Stock pièces'!$B$5:$B$404,MATCH(D1168,'Stock pièces'!$A$5:$A$404,0)),"Réf. inconnue"))</f>
        <v/>
      </c>
      <c r="F1168" s="67" t="n"/>
      <c r="G1168" s="81">
        <f>IF(D1168="","",IFERROR(INDEX('Stock pièces'!$I$5:$I$404,MATCH(D1168,'Stock pièces'!$A$5:$A$404,0)),0))</f>
        <v/>
      </c>
      <c r="H1168" s="81">
        <f>IF(D1168="","",N(F1168)*N(G1168))</f>
        <v/>
      </c>
      <c r="I1168" s="7" t="n"/>
      <c r="J1168" s="9">
        <f>IF(I1168="","",IFERROR(INDEX('Ordres de travail'!$D$5:$D$3004,MATCH(I1168,'Ordres de travail'!$A$5:$A$3004,0)),""))</f>
        <v/>
      </c>
      <c r="K1168" s="9">
        <f>IF(D1168="","",IFERROR(INDEX('Stock pièces'!$D$5:$D$404,MATCH(D1168,'Stock pièces'!$A$5:$A$404,0)),""))</f>
        <v/>
      </c>
      <c r="L1168" s="7" t="n"/>
      <c r="M1168" s="7" t="n"/>
    </row>
    <row r="1169">
      <c r="A1169" s="7" t="n"/>
      <c r="B1169" s="75" t="n"/>
      <c r="C1169" s="7" t="n"/>
      <c r="D1169" s="7" t="n"/>
      <c r="E1169" s="9">
        <f>IF(D1169="","",IFERROR(INDEX('Stock pièces'!$B$5:$B$404,MATCH(D1169,'Stock pièces'!$A$5:$A$404,0)),"Réf. inconnue"))</f>
        <v/>
      </c>
      <c r="F1169" s="67" t="n"/>
      <c r="G1169" s="81">
        <f>IF(D1169="","",IFERROR(INDEX('Stock pièces'!$I$5:$I$404,MATCH(D1169,'Stock pièces'!$A$5:$A$404,0)),0))</f>
        <v/>
      </c>
      <c r="H1169" s="81">
        <f>IF(D1169="","",N(F1169)*N(G1169))</f>
        <v/>
      </c>
      <c r="I1169" s="7" t="n"/>
      <c r="J1169" s="9">
        <f>IF(I1169="","",IFERROR(INDEX('Ordres de travail'!$D$5:$D$3004,MATCH(I1169,'Ordres de travail'!$A$5:$A$3004,0)),""))</f>
        <v/>
      </c>
      <c r="K1169" s="9">
        <f>IF(D1169="","",IFERROR(INDEX('Stock pièces'!$D$5:$D$404,MATCH(D1169,'Stock pièces'!$A$5:$A$404,0)),""))</f>
        <v/>
      </c>
      <c r="L1169" s="7" t="n"/>
      <c r="M1169" s="7" t="n"/>
    </row>
    <row r="1170">
      <c r="A1170" s="7" t="n"/>
      <c r="B1170" s="75" t="n"/>
      <c r="C1170" s="7" t="n"/>
      <c r="D1170" s="7" t="n"/>
      <c r="E1170" s="9">
        <f>IF(D1170="","",IFERROR(INDEX('Stock pièces'!$B$5:$B$404,MATCH(D1170,'Stock pièces'!$A$5:$A$404,0)),"Réf. inconnue"))</f>
        <v/>
      </c>
      <c r="F1170" s="67" t="n"/>
      <c r="G1170" s="81">
        <f>IF(D1170="","",IFERROR(INDEX('Stock pièces'!$I$5:$I$404,MATCH(D1170,'Stock pièces'!$A$5:$A$404,0)),0))</f>
        <v/>
      </c>
      <c r="H1170" s="81">
        <f>IF(D1170="","",N(F1170)*N(G1170))</f>
        <v/>
      </c>
      <c r="I1170" s="7" t="n"/>
      <c r="J1170" s="9">
        <f>IF(I1170="","",IFERROR(INDEX('Ordres de travail'!$D$5:$D$3004,MATCH(I1170,'Ordres de travail'!$A$5:$A$3004,0)),""))</f>
        <v/>
      </c>
      <c r="K1170" s="9">
        <f>IF(D1170="","",IFERROR(INDEX('Stock pièces'!$D$5:$D$404,MATCH(D1170,'Stock pièces'!$A$5:$A$404,0)),""))</f>
        <v/>
      </c>
      <c r="L1170" s="7" t="n"/>
      <c r="M1170" s="7" t="n"/>
    </row>
    <row r="1171">
      <c r="A1171" s="7" t="n"/>
      <c r="B1171" s="75" t="n"/>
      <c r="C1171" s="7" t="n"/>
      <c r="D1171" s="7" t="n"/>
      <c r="E1171" s="9">
        <f>IF(D1171="","",IFERROR(INDEX('Stock pièces'!$B$5:$B$404,MATCH(D1171,'Stock pièces'!$A$5:$A$404,0)),"Réf. inconnue"))</f>
        <v/>
      </c>
      <c r="F1171" s="67" t="n"/>
      <c r="G1171" s="81">
        <f>IF(D1171="","",IFERROR(INDEX('Stock pièces'!$I$5:$I$404,MATCH(D1171,'Stock pièces'!$A$5:$A$404,0)),0))</f>
        <v/>
      </c>
      <c r="H1171" s="81">
        <f>IF(D1171="","",N(F1171)*N(G1171))</f>
        <v/>
      </c>
      <c r="I1171" s="7" t="n"/>
      <c r="J1171" s="9">
        <f>IF(I1171="","",IFERROR(INDEX('Ordres de travail'!$D$5:$D$3004,MATCH(I1171,'Ordres de travail'!$A$5:$A$3004,0)),""))</f>
        <v/>
      </c>
      <c r="K1171" s="9">
        <f>IF(D1171="","",IFERROR(INDEX('Stock pièces'!$D$5:$D$404,MATCH(D1171,'Stock pièces'!$A$5:$A$404,0)),""))</f>
        <v/>
      </c>
      <c r="L1171" s="7" t="n"/>
      <c r="M1171" s="7" t="n"/>
    </row>
    <row r="1172">
      <c r="A1172" s="7" t="n"/>
      <c r="B1172" s="75" t="n"/>
      <c r="C1172" s="7" t="n"/>
      <c r="D1172" s="7" t="n"/>
      <c r="E1172" s="9">
        <f>IF(D1172="","",IFERROR(INDEX('Stock pièces'!$B$5:$B$404,MATCH(D1172,'Stock pièces'!$A$5:$A$404,0)),"Réf. inconnue"))</f>
        <v/>
      </c>
      <c r="F1172" s="67" t="n"/>
      <c r="G1172" s="81">
        <f>IF(D1172="","",IFERROR(INDEX('Stock pièces'!$I$5:$I$404,MATCH(D1172,'Stock pièces'!$A$5:$A$404,0)),0))</f>
        <v/>
      </c>
      <c r="H1172" s="81">
        <f>IF(D1172="","",N(F1172)*N(G1172))</f>
        <v/>
      </c>
      <c r="I1172" s="7" t="n"/>
      <c r="J1172" s="9">
        <f>IF(I1172="","",IFERROR(INDEX('Ordres de travail'!$D$5:$D$3004,MATCH(I1172,'Ordres de travail'!$A$5:$A$3004,0)),""))</f>
        <v/>
      </c>
      <c r="K1172" s="9">
        <f>IF(D1172="","",IFERROR(INDEX('Stock pièces'!$D$5:$D$404,MATCH(D1172,'Stock pièces'!$A$5:$A$404,0)),""))</f>
        <v/>
      </c>
      <c r="L1172" s="7" t="n"/>
      <c r="M1172" s="7" t="n"/>
    </row>
    <row r="1173">
      <c r="A1173" s="7" t="n"/>
      <c r="B1173" s="75" t="n"/>
      <c r="C1173" s="7" t="n"/>
      <c r="D1173" s="7" t="n"/>
      <c r="E1173" s="9">
        <f>IF(D1173="","",IFERROR(INDEX('Stock pièces'!$B$5:$B$404,MATCH(D1173,'Stock pièces'!$A$5:$A$404,0)),"Réf. inconnue"))</f>
        <v/>
      </c>
      <c r="F1173" s="67" t="n"/>
      <c r="G1173" s="81">
        <f>IF(D1173="","",IFERROR(INDEX('Stock pièces'!$I$5:$I$404,MATCH(D1173,'Stock pièces'!$A$5:$A$404,0)),0))</f>
        <v/>
      </c>
      <c r="H1173" s="81">
        <f>IF(D1173="","",N(F1173)*N(G1173))</f>
        <v/>
      </c>
      <c r="I1173" s="7" t="n"/>
      <c r="J1173" s="9">
        <f>IF(I1173="","",IFERROR(INDEX('Ordres de travail'!$D$5:$D$3004,MATCH(I1173,'Ordres de travail'!$A$5:$A$3004,0)),""))</f>
        <v/>
      </c>
      <c r="K1173" s="9">
        <f>IF(D1173="","",IFERROR(INDEX('Stock pièces'!$D$5:$D$404,MATCH(D1173,'Stock pièces'!$A$5:$A$404,0)),""))</f>
        <v/>
      </c>
      <c r="L1173" s="7" t="n"/>
      <c r="M1173" s="7" t="n"/>
    </row>
    <row r="1174">
      <c r="A1174" s="7" t="n"/>
      <c r="B1174" s="75" t="n"/>
      <c r="C1174" s="7" t="n"/>
      <c r="D1174" s="7" t="n"/>
      <c r="E1174" s="9">
        <f>IF(D1174="","",IFERROR(INDEX('Stock pièces'!$B$5:$B$404,MATCH(D1174,'Stock pièces'!$A$5:$A$404,0)),"Réf. inconnue"))</f>
        <v/>
      </c>
      <c r="F1174" s="67" t="n"/>
      <c r="G1174" s="81">
        <f>IF(D1174="","",IFERROR(INDEX('Stock pièces'!$I$5:$I$404,MATCH(D1174,'Stock pièces'!$A$5:$A$404,0)),0))</f>
        <v/>
      </c>
      <c r="H1174" s="81">
        <f>IF(D1174="","",N(F1174)*N(G1174))</f>
        <v/>
      </c>
      <c r="I1174" s="7" t="n"/>
      <c r="J1174" s="9">
        <f>IF(I1174="","",IFERROR(INDEX('Ordres de travail'!$D$5:$D$3004,MATCH(I1174,'Ordres de travail'!$A$5:$A$3004,0)),""))</f>
        <v/>
      </c>
      <c r="K1174" s="9">
        <f>IF(D1174="","",IFERROR(INDEX('Stock pièces'!$D$5:$D$404,MATCH(D1174,'Stock pièces'!$A$5:$A$404,0)),""))</f>
        <v/>
      </c>
      <c r="L1174" s="7" t="n"/>
      <c r="M1174" s="7" t="n"/>
    </row>
    <row r="1175">
      <c r="A1175" s="7" t="n"/>
      <c r="B1175" s="75" t="n"/>
      <c r="C1175" s="7" t="n"/>
      <c r="D1175" s="7" t="n"/>
      <c r="E1175" s="9">
        <f>IF(D1175="","",IFERROR(INDEX('Stock pièces'!$B$5:$B$404,MATCH(D1175,'Stock pièces'!$A$5:$A$404,0)),"Réf. inconnue"))</f>
        <v/>
      </c>
      <c r="F1175" s="67" t="n"/>
      <c r="G1175" s="81">
        <f>IF(D1175="","",IFERROR(INDEX('Stock pièces'!$I$5:$I$404,MATCH(D1175,'Stock pièces'!$A$5:$A$404,0)),0))</f>
        <v/>
      </c>
      <c r="H1175" s="81">
        <f>IF(D1175="","",N(F1175)*N(G1175))</f>
        <v/>
      </c>
      <c r="I1175" s="7" t="n"/>
      <c r="J1175" s="9">
        <f>IF(I1175="","",IFERROR(INDEX('Ordres de travail'!$D$5:$D$3004,MATCH(I1175,'Ordres de travail'!$A$5:$A$3004,0)),""))</f>
        <v/>
      </c>
      <c r="K1175" s="9">
        <f>IF(D1175="","",IFERROR(INDEX('Stock pièces'!$D$5:$D$404,MATCH(D1175,'Stock pièces'!$A$5:$A$404,0)),""))</f>
        <v/>
      </c>
      <c r="L1175" s="7" t="n"/>
      <c r="M1175" s="7" t="n"/>
    </row>
    <row r="1176">
      <c r="A1176" s="7" t="n"/>
      <c r="B1176" s="75" t="n"/>
      <c r="C1176" s="7" t="n"/>
      <c r="D1176" s="7" t="n"/>
      <c r="E1176" s="9">
        <f>IF(D1176="","",IFERROR(INDEX('Stock pièces'!$B$5:$B$404,MATCH(D1176,'Stock pièces'!$A$5:$A$404,0)),"Réf. inconnue"))</f>
        <v/>
      </c>
      <c r="F1176" s="67" t="n"/>
      <c r="G1176" s="81">
        <f>IF(D1176="","",IFERROR(INDEX('Stock pièces'!$I$5:$I$404,MATCH(D1176,'Stock pièces'!$A$5:$A$404,0)),0))</f>
        <v/>
      </c>
      <c r="H1176" s="81">
        <f>IF(D1176="","",N(F1176)*N(G1176))</f>
        <v/>
      </c>
      <c r="I1176" s="7" t="n"/>
      <c r="J1176" s="9">
        <f>IF(I1176="","",IFERROR(INDEX('Ordres de travail'!$D$5:$D$3004,MATCH(I1176,'Ordres de travail'!$A$5:$A$3004,0)),""))</f>
        <v/>
      </c>
      <c r="K1176" s="9">
        <f>IF(D1176="","",IFERROR(INDEX('Stock pièces'!$D$5:$D$404,MATCH(D1176,'Stock pièces'!$A$5:$A$404,0)),""))</f>
        <v/>
      </c>
      <c r="L1176" s="7" t="n"/>
      <c r="M1176" s="7" t="n"/>
    </row>
    <row r="1177">
      <c r="A1177" s="7" t="n"/>
      <c r="B1177" s="75" t="n"/>
      <c r="C1177" s="7" t="n"/>
      <c r="D1177" s="7" t="n"/>
      <c r="E1177" s="9">
        <f>IF(D1177="","",IFERROR(INDEX('Stock pièces'!$B$5:$B$404,MATCH(D1177,'Stock pièces'!$A$5:$A$404,0)),"Réf. inconnue"))</f>
        <v/>
      </c>
      <c r="F1177" s="67" t="n"/>
      <c r="G1177" s="81">
        <f>IF(D1177="","",IFERROR(INDEX('Stock pièces'!$I$5:$I$404,MATCH(D1177,'Stock pièces'!$A$5:$A$404,0)),0))</f>
        <v/>
      </c>
      <c r="H1177" s="81">
        <f>IF(D1177="","",N(F1177)*N(G1177))</f>
        <v/>
      </c>
      <c r="I1177" s="7" t="n"/>
      <c r="J1177" s="9">
        <f>IF(I1177="","",IFERROR(INDEX('Ordres de travail'!$D$5:$D$3004,MATCH(I1177,'Ordres de travail'!$A$5:$A$3004,0)),""))</f>
        <v/>
      </c>
      <c r="K1177" s="9">
        <f>IF(D1177="","",IFERROR(INDEX('Stock pièces'!$D$5:$D$404,MATCH(D1177,'Stock pièces'!$A$5:$A$404,0)),""))</f>
        <v/>
      </c>
      <c r="L1177" s="7" t="n"/>
      <c r="M1177" s="7" t="n"/>
    </row>
    <row r="1178">
      <c r="A1178" s="7" t="n"/>
      <c r="B1178" s="75" t="n"/>
      <c r="C1178" s="7" t="n"/>
      <c r="D1178" s="7" t="n"/>
      <c r="E1178" s="9">
        <f>IF(D1178="","",IFERROR(INDEX('Stock pièces'!$B$5:$B$404,MATCH(D1178,'Stock pièces'!$A$5:$A$404,0)),"Réf. inconnue"))</f>
        <v/>
      </c>
      <c r="F1178" s="67" t="n"/>
      <c r="G1178" s="81">
        <f>IF(D1178="","",IFERROR(INDEX('Stock pièces'!$I$5:$I$404,MATCH(D1178,'Stock pièces'!$A$5:$A$404,0)),0))</f>
        <v/>
      </c>
      <c r="H1178" s="81">
        <f>IF(D1178="","",N(F1178)*N(G1178))</f>
        <v/>
      </c>
      <c r="I1178" s="7" t="n"/>
      <c r="J1178" s="9">
        <f>IF(I1178="","",IFERROR(INDEX('Ordres de travail'!$D$5:$D$3004,MATCH(I1178,'Ordres de travail'!$A$5:$A$3004,0)),""))</f>
        <v/>
      </c>
      <c r="K1178" s="9">
        <f>IF(D1178="","",IFERROR(INDEX('Stock pièces'!$D$5:$D$404,MATCH(D1178,'Stock pièces'!$A$5:$A$404,0)),""))</f>
        <v/>
      </c>
      <c r="L1178" s="7" t="n"/>
      <c r="M1178" s="7" t="n"/>
    </row>
    <row r="1179">
      <c r="A1179" s="7" t="n"/>
      <c r="B1179" s="75" t="n"/>
      <c r="C1179" s="7" t="n"/>
      <c r="D1179" s="7" t="n"/>
      <c r="E1179" s="9">
        <f>IF(D1179="","",IFERROR(INDEX('Stock pièces'!$B$5:$B$404,MATCH(D1179,'Stock pièces'!$A$5:$A$404,0)),"Réf. inconnue"))</f>
        <v/>
      </c>
      <c r="F1179" s="67" t="n"/>
      <c r="G1179" s="81">
        <f>IF(D1179="","",IFERROR(INDEX('Stock pièces'!$I$5:$I$404,MATCH(D1179,'Stock pièces'!$A$5:$A$404,0)),0))</f>
        <v/>
      </c>
      <c r="H1179" s="81">
        <f>IF(D1179="","",N(F1179)*N(G1179))</f>
        <v/>
      </c>
      <c r="I1179" s="7" t="n"/>
      <c r="J1179" s="9">
        <f>IF(I1179="","",IFERROR(INDEX('Ordres de travail'!$D$5:$D$3004,MATCH(I1179,'Ordres de travail'!$A$5:$A$3004,0)),""))</f>
        <v/>
      </c>
      <c r="K1179" s="9">
        <f>IF(D1179="","",IFERROR(INDEX('Stock pièces'!$D$5:$D$404,MATCH(D1179,'Stock pièces'!$A$5:$A$404,0)),""))</f>
        <v/>
      </c>
      <c r="L1179" s="7" t="n"/>
      <c r="M1179" s="7" t="n"/>
    </row>
    <row r="1180">
      <c r="A1180" s="7" t="n"/>
      <c r="B1180" s="75" t="n"/>
      <c r="C1180" s="7" t="n"/>
      <c r="D1180" s="7" t="n"/>
      <c r="E1180" s="9">
        <f>IF(D1180="","",IFERROR(INDEX('Stock pièces'!$B$5:$B$404,MATCH(D1180,'Stock pièces'!$A$5:$A$404,0)),"Réf. inconnue"))</f>
        <v/>
      </c>
      <c r="F1180" s="67" t="n"/>
      <c r="G1180" s="81">
        <f>IF(D1180="","",IFERROR(INDEX('Stock pièces'!$I$5:$I$404,MATCH(D1180,'Stock pièces'!$A$5:$A$404,0)),0))</f>
        <v/>
      </c>
      <c r="H1180" s="81">
        <f>IF(D1180="","",N(F1180)*N(G1180))</f>
        <v/>
      </c>
      <c r="I1180" s="7" t="n"/>
      <c r="J1180" s="9">
        <f>IF(I1180="","",IFERROR(INDEX('Ordres de travail'!$D$5:$D$3004,MATCH(I1180,'Ordres de travail'!$A$5:$A$3004,0)),""))</f>
        <v/>
      </c>
      <c r="K1180" s="9">
        <f>IF(D1180="","",IFERROR(INDEX('Stock pièces'!$D$5:$D$404,MATCH(D1180,'Stock pièces'!$A$5:$A$404,0)),""))</f>
        <v/>
      </c>
      <c r="L1180" s="7" t="n"/>
      <c r="M1180" s="7" t="n"/>
    </row>
    <row r="1181">
      <c r="A1181" s="7" t="n"/>
      <c r="B1181" s="75" t="n"/>
      <c r="C1181" s="7" t="n"/>
      <c r="D1181" s="7" t="n"/>
      <c r="E1181" s="9">
        <f>IF(D1181="","",IFERROR(INDEX('Stock pièces'!$B$5:$B$404,MATCH(D1181,'Stock pièces'!$A$5:$A$404,0)),"Réf. inconnue"))</f>
        <v/>
      </c>
      <c r="F1181" s="67" t="n"/>
      <c r="G1181" s="81">
        <f>IF(D1181="","",IFERROR(INDEX('Stock pièces'!$I$5:$I$404,MATCH(D1181,'Stock pièces'!$A$5:$A$404,0)),0))</f>
        <v/>
      </c>
      <c r="H1181" s="81">
        <f>IF(D1181="","",N(F1181)*N(G1181))</f>
        <v/>
      </c>
      <c r="I1181" s="7" t="n"/>
      <c r="J1181" s="9">
        <f>IF(I1181="","",IFERROR(INDEX('Ordres de travail'!$D$5:$D$3004,MATCH(I1181,'Ordres de travail'!$A$5:$A$3004,0)),""))</f>
        <v/>
      </c>
      <c r="K1181" s="9">
        <f>IF(D1181="","",IFERROR(INDEX('Stock pièces'!$D$5:$D$404,MATCH(D1181,'Stock pièces'!$A$5:$A$404,0)),""))</f>
        <v/>
      </c>
      <c r="L1181" s="7" t="n"/>
      <c r="M1181" s="7" t="n"/>
    </row>
    <row r="1182">
      <c r="A1182" s="7" t="n"/>
      <c r="B1182" s="75" t="n"/>
      <c r="C1182" s="7" t="n"/>
      <c r="D1182" s="7" t="n"/>
      <c r="E1182" s="9">
        <f>IF(D1182="","",IFERROR(INDEX('Stock pièces'!$B$5:$B$404,MATCH(D1182,'Stock pièces'!$A$5:$A$404,0)),"Réf. inconnue"))</f>
        <v/>
      </c>
      <c r="F1182" s="67" t="n"/>
      <c r="G1182" s="81">
        <f>IF(D1182="","",IFERROR(INDEX('Stock pièces'!$I$5:$I$404,MATCH(D1182,'Stock pièces'!$A$5:$A$404,0)),0))</f>
        <v/>
      </c>
      <c r="H1182" s="81">
        <f>IF(D1182="","",N(F1182)*N(G1182))</f>
        <v/>
      </c>
      <c r="I1182" s="7" t="n"/>
      <c r="J1182" s="9">
        <f>IF(I1182="","",IFERROR(INDEX('Ordres de travail'!$D$5:$D$3004,MATCH(I1182,'Ordres de travail'!$A$5:$A$3004,0)),""))</f>
        <v/>
      </c>
      <c r="K1182" s="9">
        <f>IF(D1182="","",IFERROR(INDEX('Stock pièces'!$D$5:$D$404,MATCH(D1182,'Stock pièces'!$A$5:$A$404,0)),""))</f>
        <v/>
      </c>
      <c r="L1182" s="7" t="n"/>
      <c r="M1182" s="7" t="n"/>
    </row>
    <row r="1183">
      <c r="A1183" s="7" t="n"/>
      <c r="B1183" s="75" t="n"/>
      <c r="C1183" s="7" t="n"/>
      <c r="D1183" s="7" t="n"/>
      <c r="E1183" s="9">
        <f>IF(D1183="","",IFERROR(INDEX('Stock pièces'!$B$5:$B$404,MATCH(D1183,'Stock pièces'!$A$5:$A$404,0)),"Réf. inconnue"))</f>
        <v/>
      </c>
      <c r="F1183" s="67" t="n"/>
      <c r="G1183" s="81">
        <f>IF(D1183="","",IFERROR(INDEX('Stock pièces'!$I$5:$I$404,MATCH(D1183,'Stock pièces'!$A$5:$A$404,0)),0))</f>
        <v/>
      </c>
      <c r="H1183" s="81">
        <f>IF(D1183="","",N(F1183)*N(G1183))</f>
        <v/>
      </c>
      <c r="I1183" s="7" t="n"/>
      <c r="J1183" s="9">
        <f>IF(I1183="","",IFERROR(INDEX('Ordres de travail'!$D$5:$D$3004,MATCH(I1183,'Ordres de travail'!$A$5:$A$3004,0)),""))</f>
        <v/>
      </c>
      <c r="K1183" s="9">
        <f>IF(D1183="","",IFERROR(INDEX('Stock pièces'!$D$5:$D$404,MATCH(D1183,'Stock pièces'!$A$5:$A$404,0)),""))</f>
        <v/>
      </c>
      <c r="L1183" s="7" t="n"/>
      <c r="M1183" s="7" t="n"/>
    </row>
    <row r="1184">
      <c r="A1184" s="7" t="n"/>
      <c r="B1184" s="75" t="n"/>
      <c r="C1184" s="7" t="n"/>
      <c r="D1184" s="7" t="n"/>
      <c r="E1184" s="9">
        <f>IF(D1184="","",IFERROR(INDEX('Stock pièces'!$B$5:$B$404,MATCH(D1184,'Stock pièces'!$A$5:$A$404,0)),"Réf. inconnue"))</f>
        <v/>
      </c>
      <c r="F1184" s="67" t="n"/>
      <c r="G1184" s="81">
        <f>IF(D1184="","",IFERROR(INDEX('Stock pièces'!$I$5:$I$404,MATCH(D1184,'Stock pièces'!$A$5:$A$404,0)),0))</f>
        <v/>
      </c>
      <c r="H1184" s="81">
        <f>IF(D1184="","",N(F1184)*N(G1184))</f>
        <v/>
      </c>
      <c r="I1184" s="7" t="n"/>
      <c r="J1184" s="9">
        <f>IF(I1184="","",IFERROR(INDEX('Ordres de travail'!$D$5:$D$3004,MATCH(I1184,'Ordres de travail'!$A$5:$A$3004,0)),""))</f>
        <v/>
      </c>
      <c r="K1184" s="9">
        <f>IF(D1184="","",IFERROR(INDEX('Stock pièces'!$D$5:$D$404,MATCH(D1184,'Stock pièces'!$A$5:$A$404,0)),""))</f>
        <v/>
      </c>
      <c r="L1184" s="7" t="n"/>
      <c r="M1184" s="7" t="n"/>
    </row>
    <row r="1185">
      <c r="A1185" s="7" t="n"/>
      <c r="B1185" s="75" t="n"/>
      <c r="C1185" s="7" t="n"/>
      <c r="D1185" s="7" t="n"/>
      <c r="E1185" s="9">
        <f>IF(D1185="","",IFERROR(INDEX('Stock pièces'!$B$5:$B$404,MATCH(D1185,'Stock pièces'!$A$5:$A$404,0)),"Réf. inconnue"))</f>
        <v/>
      </c>
      <c r="F1185" s="67" t="n"/>
      <c r="G1185" s="81">
        <f>IF(D1185="","",IFERROR(INDEX('Stock pièces'!$I$5:$I$404,MATCH(D1185,'Stock pièces'!$A$5:$A$404,0)),0))</f>
        <v/>
      </c>
      <c r="H1185" s="81">
        <f>IF(D1185="","",N(F1185)*N(G1185))</f>
        <v/>
      </c>
      <c r="I1185" s="7" t="n"/>
      <c r="J1185" s="9">
        <f>IF(I1185="","",IFERROR(INDEX('Ordres de travail'!$D$5:$D$3004,MATCH(I1185,'Ordres de travail'!$A$5:$A$3004,0)),""))</f>
        <v/>
      </c>
      <c r="K1185" s="9">
        <f>IF(D1185="","",IFERROR(INDEX('Stock pièces'!$D$5:$D$404,MATCH(D1185,'Stock pièces'!$A$5:$A$404,0)),""))</f>
        <v/>
      </c>
      <c r="L1185" s="7" t="n"/>
      <c r="M1185" s="7" t="n"/>
    </row>
    <row r="1186">
      <c r="A1186" s="7" t="n"/>
      <c r="B1186" s="75" t="n"/>
      <c r="C1186" s="7" t="n"/>
      <c r="D1186" s="7" t="n"/>
      <c r="E1186" s="9">
        <f>IF(D1186="","",IFERROR(INDEX('Stock pièces'!$B$5:$B$404,MATCH(D1186,'Stock pièces'!$A$5:$A$404,0)),"Réf. inconnue"))</f>
        <v/>
      </c>
      <c r="F1186" s="67" t="n"/>
      <c r="G1186" s="81">
        <f>IF(D1186="","",IFERROR(INDEX('Stock pièces'!$I$5:$I$404,MATCH(D1186,'Stock pièces'!$A$5:$A$404,0)),0))</f>
        <v/>
      </c>
      <c r="H1186" s="81">
        <f>IF(D1186="","",N(F1186)*N(G1186))</f>
        <v/>
      </c>
      <c r="I1186" s="7" t="n"/>
      <c r="J1186" s="9">
        <f>IF(I1186="","",IFERROR(INDEX('Ordres de travail'!$D$5:$D$3004,MATCH(I1186,'Ordres de travail'!$A$5:$A$3004,0)),""))</f>
        <v/>
      </c>
      <c r="K1186" s="9">
        <f>IF(D1186="","",IFERROR(INDEX('Stock pièces'!$D$5:$D$404,MATCH(D1186,'Stock pièces'!$A$5:$A$404,0)),""))</f>
        <v/>
      </c>
      <c r="L1186" s="7" t="n"/>
      <c r="M1186" s="7" t="n"/>
    </row>
    <row r="1187">
      <c r="A1187" s="7" t="n"/>
      <c r="B1187" s="75" t="n"/>
      <c r="C1187" s="7" t="n"/>
      <c r="D1187" s="7" t="n"/>
      <c r="E1187" s="9">
        <f>IF(D1187="","",IFERROR(INDEX('Stock pièces'!$B$5:$B$404,MATCH(D1187,'Stock pièces'!$A$5:$A$404,0)),"Réf. inconnue"))</f>
        <v/>
      </c>
      <c r="F1187" s="67" t="n"/>
      <c r="G1187" s="81">
        <f>IF(D1187="","",IFERROR(INDEX('Stock pièces'!$I$5:$I$404,MATCH(D1187,'Stock pièces'!$A$5:$A$404,0)),0))</f>
        <v/>
      </c>
      <c r="H1187" s="81">
        <f>IF(D1187="","",N(F1187)*N(G1187))</f>
        <v/>
      </c>
      <c r="I1187" s="7" t="n"/>
      <c r="J1187" s="9">
        <f>IF(I1187="","",IFERROR(INDEX('Ordres de travail'!$D$5:$D$3004,MATCH(I1187,'Ordres de travail'!$A$5:$A$3004,0)),""))</f>
        <v/>
      </c>
      <c r="K1187" s="9">
        <f>IF(D1187="","",IFERROR(INDEX('Stock pièces'!$D$5:$D$404,MATCH(D1187,'Stock pièces'!$A$5:$A$404,0)),""))</f>
        <v/>
      </c>
      <c r="L1187" s="7" t="n"/>
      <c r="M1187" s="7" t="n"/>
    </row>
    <row r="1188">
      <c r="A1188" s="7" t="n"/>
      <c r="B1188" s="75" t="n"/>
      <c r="C1188" s="7" t="n"/>
      <c r="D1188" s="7" t="n"/>
      <c r="E1188" s="9">
        <f>IF(D1188="","",IFERROR(INDEX('Stock pièces'!$B$5:$B$404,MATCH(D1188,'Stock pièces'!$A$5:$A$404,0)),"Réf. inconnue"))</f>
        <v/>
      </c>
      <c r="F1188" s="67" t="n"/>
      <c r="G1188" s="81">
        <f>IF(D1188="","",IFERROR(INDEX('Stock pièces'!$I$5:$I$404,MATCH(D1188,'Stock pièces'!$A$5:$A$404,0)),0))</f>
        <v/>
      </c>
      <c r="H1188" s="81">
        <f>IF(D1188="","",N(F1188)*N(G1188))</f>
        <v/>
      </c>
      <c r="I1188" s="7" t="n"/>
      <c r="J1188" s="9">
        <f>IF(I1188="","",IFERROR(INDEX('Ordres de travail'!$D$5:$D$3004,MATCH(I1188,'Ordres de travail'!$A$5:$A$3004,0)),""))</f>
        <v/>
      </c>
      <c r="K1188" s="9">
        <f>IF(D1188="","",IFERROR(INDEX('Stock pièces'!$D$5:$D$404,MATCH(D1188,'Stock pièces'!$A$5:$A$404,0)),""))</f>
        <v/>
      </c>
      <c r="L1188" s="7" t="n"/>
      <c r="M1188" s="7" t="n"/>
    </row>
    <row r="1189">
      <c r="A1189" s="7" t="n"/>
      <c r="B1189" s="75" t="n"/>
      <c r="C1189" s="7" t="n"/>
      <c r="D1189" s="7" t="n"/>
      <c r="E1189" s="9">
        <f>IF(D1189="","",IFERROR(INDEX('Stock pièces'!$B$5:$B$404,MATCH(D1189,'Stock pièces'!$A$5:$A$404,0)),"Réf. inconnue"))</f>
        <v/>
      </c>
      <c r="F1189" s="67" t="n"/>
      <c r="G1189" s="81">
        <f>IF(D1189="","",IFERROR(INDEX('Stock pièces'!$I$5:$I$404,MATCH(D1189,'Stock pièces'!$A$5:$A$404,0)),0))</f>
        <v/>
      </c>
      <c r="H1189" s="81">
        <f>IF(D1189="","",N(F1189)*N(G1189))</f>
        <v/>
      </c>
      <c r="I1189" s="7" t="n"/>
      <c r="J1189" s="9">
        <f>IF(I1189="","",IFERROR(INDEX('Ordres de travail'!$D$5:$D$3004,MATCH(I1189,'Ordres de travail'!$A$5:$A$3004,0)),""))</f>
        <v/>
      </c>
      <c r="K1189" s="9">
        <f>IF(D1189="","",IFERROR(INDEX('Stock pièces'!$D$5:$D$404,MATCH(D1189,'Stock pièces'!$A$5:$A$404,0)),""))</f>
        <v/>
      </c>
      <c r="L1189" s="7" t="n"/>
      <c r="M1189" s="7" t="n"/>
    </row>
    <row r="1190">
      <c r="A1190" s="7" t="n"/>
      <c r="B1190" s="75" t="n"/>
      <c r="C1190" s="7" t="n"/>
      <c r="D1190" s="7" t="n"/>
      <c r="E1190" s="9">
        <f>IF(D1190="","",IFERROR(INDEX('Stock pièces'!$B$5:$B$404,MATCH(D1190,'Stock pièces'!$A$5:$A$404,0)),"Réf. inconnue"))</f>
        <v/>
      </c>
      <c r="F1190" s="67" t="n"/>
      <c r="G1190" s="81">
        <f>IF(D1190="","",IFERROR(INDEX('Stock pièces'!$I$5:$I$404,MATCH(D1190,'Stock pièces'!$A$5:$A$404,0)),0))</f>
        <v/>
      </c>
      <c r="H1190" s="81">
        <f>IF(D1190="","",N(F1190)*N(G1190))</f>
        <v/>
      </c>
      <c r="I1190" s="7" t="n"/>
      <c r="J1190" s="9">
        <f>IF(I1190="","",IFERROR(INDEX('Ordres de travail'!$D$5:$D$3004,MATCH(I1190,'Ordres de travail'!$A$5:$A$3004,0)),""))</f>
        <v/>
      </c>
      <c r="K1190" s="9">
        <f>IF(D1190="","",IFERROR(INDEX('Stock pièces'!$D$5:$D$404,MATCH(D1190,'Stock pièces'!$A$5:$A$404,0)),""))</f>
        <v/>
      </c>
      <c r="L1190" s="7" t="n"/>
      <c r="M1190" s="7" t="n"/>
    </row>
    <row r="1191">
      <c r="A1191" s="7" t="n"/>
      <c r="B1191" s="75" t="n"/>
      <c r="C1191" s="7" t="n"/>
      <c r="D1191" s="7" t="n"/>
      <c r="E1191" s="9">
        <f>IF(D1191="","",IFERROR(INDEX('Stock pièces'!$B$5:$B$404,MATCH(D1191,'Stock pièces'!$A$5:$A$404,0)),"Réf. inconnue"))</f>
        <v/>
      </c>
      <c r="F1191" s="67" t="n"/>
      <c r="G1191" s="81">
        <f>IF(D1191="","",IFERROR(INDEX('Stock pièces'!$I$5:$I$404,MATCH(D1191,'Stock pièces'!$A$5:$A$404,0)),0))</f>
        <v/>
      </c>
      <c r="H1191" s="81">
        <f>IF(D1191="","",N(F1191)*N(G1191))</f>
        <v/>
      </c>
      <c r="I1191" s="7" t="n"/>
      <c r="J1191" s="9">
        <f>IF(I1191="","",IFERROR(INDEX('Ordres de travail'!$D$5:$D$3004,MATCH(I1191,'Ordres de travail'!$A$5:$A$3004,0)),""))</f>
        <v/>
      </c>
      <c r="K1191" s="9">
        <f>IF(D1191="","",IFERROR(INDEX('Stock pièces'!$D$5:$D$404,MATCH(D1191,'Stock pièces'!$A$5:$A$404,0)),""))</f>
        <v/>
      </c>
      <c r="L1191" s="7" t="n"/>
      <c r="M1191" s="7" t="n"/>
    </row>
    <row r="1192">
      <c r="A1192" s="7" t="n"/>
      <c r="B1192" s="75" t="n"/>
      <c r="C1192" s="7" t="n"/>
      <c r="D1192" s="7" t="n"/>
      <c r="E1192" s="9">
        <f>IF(D1192="","",IFERROR(INDEX('Stock pièces'!$B$5:$B$404,MATCH(D1192,'Stock pièces'!$A$5:$A$404,0)),"Réf. inconnue"))</f>
        <v/>
      </c>
      <c r="F1192" s="67" t="n"/>
      <c r="G1192" s="81">
        <f>IF(D1192="","",IFERROR(INDEX('Stock pièces'!$I$5:$I$404,MATCH(D1192,'Stock pièces'!$A$5:$A$404,0)),0))</f>
        <v/>
      </c>
      <c r="H1192" s="81">
        <f>IF(D1192="","",N(F1192)*N(G1192))</f>
        <v/>
      </c>
      <c r="I1192" s="7" t="n"/>
      <c r="J1192" s="9">
        <f>IF(I1192="","",IFERROR(INDEX('Ordres de travail'!$D$5:$D$3004,MATCH(I1192,'Ordres de travail'!$A$5:$A$3004,0)),""))</f>
        <v/>
      </c>
      <c r="K1192" s="9">
        <f>IF(D1192="","",IFERROR(INDEX('Stock pièces'!$D$5:$D$404,MATCH(D1192,'Stock pièces'!$A$5:$A$404,0)),""))</f>
        <v/>
      </c>
      <c r="L1192" s="7" t="n"/>
      <c r="M1192" s="7" t="n"/>
    </row>
    <row r="1193">
      <c r="A1193" s="7" t="n"/>
      <c r="B1193" s="75" t="n"/>
      <c r="C1193" s="7" t="n"/>
      <c r="D1193" s="7" t="n"/>
      <c r="E1193" s="9">
        <f>IF(D1193="","",IFERROR(INDEX('Stock pièces'!$B$5:$B$404,MATCH(D1193,'Stock pièces'!$A$5:$A$404,0)),"Réf. inconnue"))</f>
        <v/>
      </c>
      <c r="F1193" s="67" t="n"/>
      <c r="G1193" s="81">
        <f>IF(D1193="","",IFERROR(INDEX('Stock pièces'!$I$5:$I$404,MATCH(D1193,'Stock pièces'!$A$5:$A$404,0)),0))</f>
        <v/>
      </c>
      <c r="H1193" s="81">
        <f>IF(D1193="","",N(F1193)*N(G1193))</f>
        <v/>
      </c>
      <c r="I1193" s="7" t="n"/>
      <c r="J1193" s="9">
        <f>IF(I1193="","",IFERROR(INDEX('Ordres de travail'!$D$5:$D$3004,MATCH(I1193,'Ordres de travail'!$A$5:$A$3004,0)),""))</f>
        <v/>
      </c>
      <c r="K1193" s="9">
        <f>IF(D1193="","",IFERROR(INDEX('Stock pièces'!$D$5:$D$404,MATCH(D1193,'Stock pièces'!$A$5:$A$404,0)),""))</f>
        <v/>
      </c>
      <c r="L1193" s="7" t="n"/>
      <c r="M1193" s="7" t="n"/>
    </row>
    <row r="1194">
      <c r="A1194" s="7" t="n"/>
      <c r="B1194" s="75" t="n"/>
      <c r="C1194" s="7" t="n"/>
      <c r="D1194" s="7" t="n"/>
      <c r="E1194" s="9">
        <f>IF(D1194="","",IFERROR(INDEX('Stock pièces'!$B$5:$B$404,MATCH(D1194,'Stock pièces'!$A$5:$A$404,0)),"Réf. inconnue"))</f>
        <v/>
      </c>
      <c r="F1194" s="67" t="n"/>
      <c r="G1194" s="81">
        <f>IF(D1194="","",IFERROR(INDEX('Stock pièces'!$I$5:$I$404,MATCH(D1194,'Stock pièces'!$A$5:$A$404,0)),0))</f>
        <v/>
      </c>
      <c r="H1194" s="81">
        <f>IF(D1194="","",N(F1194)*N(G1194))</f>
        <v/>
      </c>
      <c r="I1194" s="7" t="n"/>
      <c r="J1194" s="9">
        <f>IF(I1194="","",IFERROR(INDEX('Ordres de travail'!$D$5:$D$3004,MATCH(I1194,'Ordres de travail'!$A$5:$A$3004,0)),""))</f>
        <v/>
      </c>
      <c r="K1194" s="9">
        <f>IF(D1194="","",IFERROR(INDEX('Stock pièces'!$D$5:$D$404,MATCH(D1194,'Stock pièces'!$A$5:$A$404,0)),""))</f>
        <v/>
      </c>
      <c r="L1194" s="7" t="n"/>
      <c r="M1194" s="7" t="n"/>
    </row>
    <row r="1195">
      <c r="A1195" s="7" t="n"/>
      <c r="B1195" s="75" t="n"/>
      <c r="C1195" s="7" t="n"/>
      <c r="D1195" s="7" t="n"/>
      <c r="E1195" s="9">
        <f>IF(D1195="","",IFERROR(INDEX('Stock pièces'!$B$5:$B$404,MATCH(D1195,'Stock pièces'!$A$5:$A$404,0)),"Réf. inconnue"))</f>
        <v/>
      </c>
      <c r="F1195" s="67" t="n"/>
      <c r="G1195" s="81">
        <f>IF(D1195="","",IFERROR(INDEX('Stock pièces'!$I$5:$I$404,MATCH(D1195,'Stock pièces'!$A$5:$A$404,0)),0))</f>
        <v/>
      </c>
      <c r="H1195" s="81">
        <f>IF(D1195="","",N(F1195)*N(G1195))</f>
        <v/>
      </c>
      <c r="I1195" s="7" t="n"/>
      <c r="J1195" s="9">
        <f>IF(I1195="","",IFERROR(INDEX('Ordres de travail'!$D$5:$D$3004,MATCH(I1195,'Ordres de travail'!$A$5:$A$3004,0)),""))</f>
        <v/>
      </c>
      <c r="K1195" s="9">
        <f>IF(D1195="","",IFERROR(INDEX('Stock pièces'!$D$5:$D$404,MATCH(D1195,'Stock pièces'!$A$5:$A$404,0)),""))</f>
        <v/>
      </c>
      <c r="L1195" s="7" t="n"/>
      <c r="M1195" s="7" t="n"/>
    </row>
    <row r="1196">
      <c r="A1196" s="7" t="n"/>
      <c r="B1196" s="75" t="n"/>
      <c r="C1196" s="7" t="n"/>
      <c r="D1196" s="7" t="n"/>
      <c r="E1196" s="9">
        <f>IF(D1196="","",IFERROR(INDEX('Stock pièces'!$B$5:$B$404,MATCH(D1196,'Stock pièces'!$A$5:$A$404,0)),"Réf. inconnue"))</f>
        <v/>
      </c>
      <c r="F1196" s="67" t="n"/>
      <c r="G1196" s="81">
        <f>IF(D1196="","",IFERROR(INDEX('Stock pièces'!$I$5:$I$404,MATCH(D1196,'Stock pièces'!$A$5:$A$404,0)),0))</f>
        <v/>
      </c>
      <c r="H1196" s="81">
        <f>IF(D1196="","",N(F1196)*N(G1196))</f>
        <v/>
      </c>
      <c r="I1196" s="7" t="n"/>
      <c r="J1196" s="9">
        <f>IF(I1196="","",IFERROR(INDEX('Ordres de travail'!$D$5:$D$3004,MATCH(I1196,'Ordres de travail'!$A$5:$A$3004,0)),""))</f>
        <v/>
      </c>
      <c r="K1196" s="9">
        <f>IF(D1196="","",IFERROR(INDEX('Stock pièces'!$D$5:$D$404,MATCH(D1196,'Stock pièces'!$A$5:$A$404,0)),""))</f>
        <v/>
      </c>
      <c r="L1196" s="7" t="n"/>
      <c r="M1196" s="7" t="n"/>
    </row>
    <row r="1197">
      <c r="A1197" s="7" t="n"/>
      <c r="B1197" s="75" t="n"/>
      <c r="C1197" s="7" t="n"/>
      <c r="D1197" s="7" t="n"/>
      <c r="E1197" s="9">
        <f>IF(D1197="","",IFERROR(INDEX('Stock pièces'!$B$5:$B$404,MATCH(D1197,'Stock pièces'!$A$5:$A$404,0)),"Réf. inconnue"))</f>
        <v/>
      </c>
      <c r="F1197" s="67" t="n"/>
      <c r="G1197" s="81">
        <f>IF(D1197="","",IFERROR(INDEX('Stock pièces'!$I$5:$I$404,MATCH(D1197,'Stock pièces'!$A$5:$A$404,0)),0))</f>
        <v/>
      </c>
      <c r="H1197" s="81">
        <f>IF(D1197="","",N(F1197)*N(G1197))</f>
        <v/>
      </c>
      <c r="I1197" s="7" t="n"/>
      <c r="J1197" s="9">
        <f>IF(I1197="","",IFERROR(INDEX('Ordres de travail'!$D$5:$D$3004,MATCH(I1197,'Ordres de travail'!$A$5:$A$3004,0)),""))</f>
        <v/>
      </c>
      <c r="K1197" s="9">
        <f>IF(D1197="","",IFERROR(INDEX('Stock pièces'!$D$5:$D$404,MATCH(D1197,'Stock pièces'!$A$5:$A$404,0)),""))</f>
        <v/>
      </c>
      <c r="L1197" s="7" t="n"/>
      <c r="M1197" s="7" t="n"/>
    </row>
    <row r="1198">
      <c r="A1198" s="7" t="n"/>
      <c r="B1198" s="75" t="n"/>
      <c r="C1198" s="7" t="n"/>
      <c r="D1198" s="7" t="n"/>
      <c r="E1198" s="9">
        <f>IF(D1198="","",IFERROR(INDEX('Stock pièces'!$B$5:$B$404,MATCH(D1198,'Stock pièces'!$A$5:$A$404,0)),"Réf. inconnue"))</f>
        <v/>
      </c>
      <c r="F1198" s="67" t="n"/>
      <c r="G1198" s="81">
        <f>IF(D1198="","",IFERROR(INDEX('Stock pièces'!$I$5:$I$404,MATCH(D1198,'Stock pièces'!$A$5:$A$404,0)),0))</f>
        <v/>
      </c>
      <c r="H1198" s="81">
        <f>IF(D1198="","",N(F1198)*N(G1198))</f>
        <v/>
      </c>
      <c r="I1198" s="7" t="n"/>
      <c r="J1198" s="9">
        <f>IF(I1198="","",IFERROR(INDEX('Ordres de travail'!$D$5:$D$3004,MATCH(I1198,'Ordres de travail'!$A$5:$A$3004,0)),""))</f>
        <v/>
      </c>
      <c r="K1198" s="9">
        <f>IF(D1198="","",IFERROR(INDEX('Stock pièces'!$D$5:$D$404,MATCH(D1198,'Stock pièces'!$A$5:$A$404,0)),""))</f>
        <v/>
      </c>
      <c r="L1198" s="7" t="n"/>
      <c r="M1198" s="7" t="n"/>
    </row>
    <row r="1199">
      <c r="A1199" s="7" t="n"/>
      <c r="B1199" s="75" t="n"/>
      <c r="C1199" s="7" t="n"/>
      <c r="D1199" s="7" t="n"/>
      <c r="E1199" s="9">
        <f>IF(D1199="","",IFERROR(INDEX('Stock pièces'!$B$5:$B$404,MATCH(D1199,'Stock pièces'!$A$5:$A$404,0)),"Réf. inconnue"))</f>
        <v/>
      </c>
      <c r="F1199" s="67" t="n"/>
      <c r="G1199" s="81">
        <f>IF(D1199="","",IFERROR(INDEX('Stock pièces'!$I$5:$I$404,MATCH(D1199,'Stock pièces'!$A$5:$A$404,0)),0))</f>
        <v/>
      </c>
      <c r="H1199" s="81">
        <f>IF(D1199="","",N(F1199)*N(G1199))</f>
        <v/>
      </c>
      <c r="I1199" s="7" t="n"/>
      <c r="J1199" s="9">
        <f>IF(I1199="","",IFERROR(INDEX('Ordres de travail'!$D$5:$D$3004,MATCH(I1199,'Ordres de travail'!$A$5:$A$3004,0)),""))</f>
        <v/>
      </c>
      <c r="K1199" s="9">
        <f>IF(D1199="","",IFERROR(INDEX('Stock pièces'!$D$5:$D$404,MATCH(D1199,'Stock pièces'!$A$5:$A$404,0)),""))</f>
        <v/>
      </c>
      <c r="L1199" s="7" t="n"/>
      <c r="M1199" s="7" t="n"/>
    </row>
    <row r="1200">
      <c r="A1200" s="7" t="n"/>
      <c r="B1200" s="75" t="n"/>
      <c r="C1200" s="7" t="n"/>
      <c r="D1200" s="7" t="n"/>
      <c r="E1200" s="9">
        <f>IF(D1200="","",IFERROR(INDEX('Stock pièces'!$B$5:$B$404,MATCH(D1200,'Stock pièces'!$A$5:$A$404,0)),"Réf. inconnue"))</f>
        <v/>
      </c>
      <c r="F1200" s="67" t="n"/>
      <c r="G1200" s="81">
        <f>IF(D1200="","",IFERROR(INDEX('Stock pièces'!$I$5:$I$404,MATCH(D1200,'Stock pièces'!$A$5:$A$404,0)),0))</f>
        <v/>
      </c>
      <c r="H1200" s="81">
        <f>IF(D1200="","",N(F1200)*N(G1200))</f>
        <v/>
      </c>
      <c r="I1200" s="7" t="n"/>
      <c r="J1200" s="9">
        <f>IF(I1200="","",IFERROR(INDEX('Ordres de travail'!$D$5:$D$3004,MATCH(I1200,'Ordres de travail'!$A$5:$A$3004,0)),""))</f>
        <v/>
      </c>
      <c r="K1200" s="9">
        <f>IF(D1200="","",IFERROR(INDEX('Stock pièces'!$D$5:$D$404,MATCH(D1200,'Stock pièces'!$A$5:$A$404,0)),""))</f>
        <v/>
      </c>
      <c r="L1200" s="7" t="n"/>
      <c r="M1200" s="7" t="n"/>
    </row>
    <row r="1201">
      <c r="A1201" s="7" t="n"/>
      <c r="B1201" s="75" t="n"/>
      <c r="C1201" s="7" t="n"/>
      <c r="D1201" s="7" t="n"/>
      <c r="E1201" s="9">
        <f>IF(D1201="","",IFERROR(INDEX('Stock pièces'!$B$5:$B$404,MATCH(D1201,'Stock pièces'!$A$5:$A$404,0)),"Réf. inconnue"))</f>
        <v/>
      </c>
      <c r="F1201" s="67" t="n"/>
      <c r="G1201" s="81">
        <f>IF(D1201="","",IFERROR(INDEX('Stock pièces'!$I$5:$I$404,MATCH(D1201,'Stock pièces'!$A$5:$A$404,0)),0))</f>
        <v/>
      </c>
      <c r="H1201" s="81">
        <f>IF(D1201="","",N(F1201)*N(G1201))</f>
        <v/>
      </c>
      <c r="I1201" s="7" t="n"/>
      <c r="J1201" s="9">
        <f>IF(I1201="","",IFERROR(INDEX('Ordres de travail'!$D$5:$D$3004,MATCH(I1201,'Ordres de travail'!$A$5:$A$3004,0)),""))</f>
        <v/>
      </c>
      <c r="K1201" s="9">
        <f>IF(D1201="","",IFERROR(INDEX('Stock pièces'!$D$5:$D$404,MATCH(D1201,'Stock pièces'!$A$5:$A$404,0)),""))</f>
        <v/>
      </c>
      <c r="L1201" s="7" t="n"/>
      <c r="M1201" s="7" t="n"/>
    </row>
    <row r="1202">
      <c r="A1202" s="7" t="n"/>
      <c r="B1202" s="75" t="n"/>
      <c r="C1202" s="7" t="n"/>
      <c r="D1202" s="7" t="n"/>
      <c r="E1202" s="9">
        <f>IF(D1202="","",IFERROR(INDEX('Stock pièces'!$B$5:$B$404,MATCH(D1202,'Stock pièces'!$A$5:$A$404,0)),"Réf. inconnue"))</f>
        <v/>
      </c>
      <c r="F1202" s="67" t="n"/>
      <c r="G1202" s="81">
        <f>IF(D1202="","",IFERROR(INDEX('Stock pièces'!$I$5:$I$404,MATCH(D1202,'Stock pièces'!$A$5:$A$404,0)),0))</f>
        <v/>
      </c>
      <c r="H1202" s="81">
        <f>IF(D1202="","",N(F1202)*N(G1202))</f>
        <v/>
      </c>
      <c r="I1202" s="7" t="n"/>
      <c r="J1202" s="9">
        <f>IF(I1202="","",IFERROR(INDEX('Ordres de travail'!$D$5:$D$3004,MATCH(I1202,'Ordres de travail'!$A$5:$A$3004,0)),""))</f>
        <v/>
      </c>
      <c r="K1202" s="9">
        <f>IF(D1202="","",IFERROR(INDEX('Stock pièces'!$D$5:$D$404,MATCH(D1202,'Stock pièces'!$A$5:$A$404,0)),""))</f>
        <v/>
      </c>
      <c r="L1202" s="7" t="n"/>
      <c r="M1202" s="7" t="n"/>
    </row>
    <row r="1203">
      <c r="A1203" s="7" t="n"/>
      <c r="B1203" s="75" t="n"/>
      <c r="C1203" s="7" t="n"/>
      <c r="D1203" s="7" t="n"/>
      <c r="E1203" s="9">
        <f>IF(D1203="","",IFERROR(INDEX('Stock pièces'!$B$5:$B$404,MATCH(D1203,'Stock pièces'!$A$5:$A$404,0)),"Réf. inconnue"))</f>
        <v/>
      </c>
      <c r="F1203" s="67" t="n"/>
      <c r="G1203" s="81">
        <f>IF(D1203="","",IFERROR(INDEX('Stock pièces'!$I$5:$I$404,MATCH(D1203,'Stock pièces'!$A$5:$A$404,0)),0))</f>
        <v/>
      </c>
      <c r="H1203" s="81">
        <f>IF(D1203="","",N(F1203)*N(G1203))</f>
        <v/>
      </c>
      <c r="I1203" s="7" t="n"/>
      <c r="J1203" s="9">
        <f>IF(I1203="","",IFERROR(INDEX('Ordres de travail'!$D$5:$D$3004,MATCH(I1203,'Ordres de travail'!$A$5:$A$3004,0)),""))</f>
        <v/>
      </c>
      <c r="K1203" s="9">
        <f>IF(D1203="","",IFERROR(INDEX('Stock pièces'!$D$5:$D$404,MATCH(D1203,'Stock pièces'!$A$5:$A$404,0)),""))</f>
        <v/>
      </c>
      <c r="L1203" s="7" t="n"/>
      <c r="M1203" s="7" t="n"/>
    </row>
    <row r="1204">
      <c r="A1204" s="7" t="n"/>
      <c r="B1204" s="75" t="n"/>
      <c r="C1204" s="7" t="n"/>
      <c r="D1204" s="7" t="n"/>
      <c r="E1204" s="9">
        <f>IF(D1204="","",IFERROR(INDEX('Stock pièces'!$B$5:$B$404,MATCH(D1204,'Stock pièces'!$A$5:$A$404,0)),"Réf. inconnue"))</f>
        <v/>
      </c>
      <c r="F1204" s="67" t="n"/>
      <c r="G1204" s="81">
        <f>IF(D1204="","",IFERROR(INDEX('Stock pièces'!$I$5:$I$404,MATCH(D1204,'Stock pièces'!$A$5:$A$404,0)),0))</f>
        <v/>
      </c>
      <c r="H1204" s="81">
        <f>IF(D1204="","",N(F1204)*N(G1204))</f>
        <v/>
      </c>
      <c r="I1204" s="7" t="n"/>
      <c r="J1204" s="9">
        <f>IF(I1204="","",IFERROR(INDEX('Ordres de travail'!$D$5:$D$3004,MATCH(I1204,'Ordres de travail'!$A$5:$A$3004,0)),""))</f>
        <v/>
      </c>
      <c r="K1204" s="9">
        <f>IF(D1204="","",IFERROR(INDEX('Stock pièces'!$D$5:$D$404,MATCH(D1204,'Stock pièces'!$A$5:$A$404,0)),""))</f>
        <v/>
      </c>
      <c r="L1204" s="7" t="n"/>
      <c r="M1204" s="7" t="n"/>
    </row>
    <row r="1205">
      <c r="A1205" s="7" t="n"/>
      <c r="B1205" s="75" t="n"/>
      <c r="C1205" s="7" t="n"/>
      <c r="D1205" s="7" t="n"/>
      <c r="E1205" s="9">
        <f>IF(D1205="","",IFERROR(INDEX('Stock pièces'!$B$5:$B$404,MATCH(D1205,'Stock pièces'!$A$5:$A$404,0)),"Réf. inconnue"))</f>
        <v/>
      </c>
      <c r="F1205" s="67" t="n"/>
      <c r="G1205" s="81">
        <f>IF(D1205="","",IFERROR(INDEX('Stock pièces'!$I$5:$I$404,MATCH(D1205,'Stock pièces'!$A$5:$A$404,0)),0))</f>
        <v/>
      </c>
      <c r="H1205" s="81">
        <f>IF(D1205="","",N(F1205)*N(G1205))</f>
        <v/>
      </c>
      <c r="I1205" s="7" t="n"/>
      <c r="J1205" s="9">
        <f>IF(I1205="","",IFERROR(INDEX('Ordres de travail'!$D$5:$D$3004,MATCH(I1205,'Ordres de travail'!$A$5:$A$3004,0)),""))</f>
        <v/>
      </c>
      <c r="K1205" s="9">
        <f>IF(D1205="","",IFERROR(INDEX('Stock pièces'!$D$5:$D$404,MATCH(D1205,'Stock pièces'!$A$5:$A$404,0)),""))</f>
        <v/>
      </c>
      <c r="L1205" s="7" t="n"/>
      <c r="M1205" s="7" t="n"/>
    </row>
    <row r="1206">
      <c r="A1206" s="7" t="n"/>
      <c r="B1206" s="75" t="n"/>
      <c r="C1206" s="7" t="n"/>
      <c r="D1206" s="7" t="n"/>
      <c r="E1206" s="9">
        <f>IF(D1206="","",IFERROR(INDEX('Stock pièces'!$B$5:$B$404,MATCH(D1206,'Stock pièces'!$A$5:$A$404,0)),"Réf. inconnue"))</f>
        <v/>
      </c>
      <c r="F1206" s="67" t="n"/>
      <c r="G1206" s="81">
        <f>IF(D1206="","",IFERROR(INDEX('Stock pièces'!$I$5:$I$404,MATCH(D1206,'Stock pièces'!$A$5:$A$404,0)),0))</f>
        <v/>
      </c>
      <c r="H1206" s="81">
        <f>IF(D1206="","",N(F1206)*N(G1206))</f>
        <v/>
      </c>
      <c r="I1206" s="7" t="n"/>
      <c r="J1206" s="9">
        <f>IF(I1206="","",IFERROR(INDEX('Ordres de travail'!$D$5:$D$3004,MATCH(I1206,'Ordres de travail'!$A$5:$A$3004,0)),""))</f>
        <v/>
      </c>
      <c r="K1206" s="9">
        <f>IF(D1206="","",IFERROR(INDEX('Stock pièces'!$D$5:$D$404,MATCH(D1206,'Stock pièces'!$A$5:$A$404,0)),""))</f>
        <v/>
      </c>
      <c r="L1206" s="7" t="n"/>
      <c r="M1206" s="7" t="n"/>
    </row>
    <row r="1207">
      <c r="A1207" s="7" t="n"/>
      <c r="B1207" s="75" t="n"/>
      <c r="C1207" s="7" t="n"/>
      <c r="D1207" s="7" t="n"/>
      <c r="E1207" s="9">
        <f>IF(D1207="","",IFERROR(INDEX('Stock pièces'!$B$5:$B$404,MATCH(D1207,'Stock pièces'!$A$5:$A$404,0)),"Réf. inconnue"))</f>
        <v/>
      </c>
      <c r="F1207" s="67" t="n"/>
      <c r="G1207" s="81">
        <f>IF(D1207="","",IFERROR(INDEX('Stock pièces'!$I$5:$I$404,MATCH(D1207,'Stock pièces'!$A$5:$A$404,0)),0))</f>
        <v/>
      </c>
      <c r="H1207" s="81">
        <f>IF(D1207="","",N(F1207)*N(G1207))</f>
        <v/>
      </c>
      <c r="I1207" s="7" t="n"/>
      <c r="J1207" s="9">
        <f>IF(I1207="","",IFERROR(INDEX('Ordres de travail'!$D$5:$D$3004,MATCH(I1207,'Ordres de travail'!$A$5:$A$3004,0)),""))</f>
        <v/>
      </c>
      <c r="K1207" s="9">
        <f>IF(D1207="","",IFERROR(INDEX('Stock pièces'!$D$5:$D$404,MATCH(D1207,'Stock pièces'!$A$5:$A$404,0)),""))</f>
        <v/>
      </c>
      <c r="L1207" s="7" t="n"/>
      <c r="M1207" s="7" t="n"/>
    </row>
    <row r="1208">
      <c r="A1208" s="7" t="n"/>
      <c r="B1208" s="75" t="n"/>
      <c r="C1208" s="7" t="n"/>
      <c r="D1208" s="7" t="n"/>
      <c r="E1208" s="9">
        <f>IF(D1208="","",IFERROR(INDEX('Stock pièces'!$B$5:$B$404,MATCH(D1208,'Stock pièces'!$A$5:$A$404,0)),"Réf. inconnue"))</f>
        <v/>
      </c>
      <c r="F1208" s="67" t="n"/>
      <c r="G1208" s="81">
        <f>IF(D1208="","",IFERROR(INDEX('Stock pièces'!$I$5:$I$404,MATCH(D1208,'Stock pièces'!$A$5:$A$404,0)),0))</f>
        <v/>
      </c>
      <c r="H1208" s="81">
        <f>IF(D1208="","",N(F1208)*N(G1208))</f>
        <v/>
      </c>
      <c r="I1208" s="7" t="n"/>
      <c r="J1208" s="9">
        <f>IF(I1208="","",IFERROR(INDEX('Ordres de travail'!$D$5:$D$3004,MATCH(I1208,'Ordres de travail'!$A$5:$A$3004,0)),""))</f>
        <v/>
      </c>
      <c r="K1208" s="9">
        <f>IF(D1208="","",IFERROR(INDEX('Stock pièces'!$D$5:$D$404,MATCH(D1208,'Stock pièces'!$A$5:$A$404,0)),""))</f>
        <v/>
      </c>
      <c r="L1208" s="7" t="n"/>
      <c r="M1208" s="7" t="n"/>
    </row>
    <row r="1209">
      <c r="A1209" s="7" t="n"/>
      <c r="B1209" s="75" t="n"/>
      <c r="C1209" s="7" t="n"/>
      <c r="D1209" s="7" t="n"/>
      <c r="E1209" s="9">
        <f>IF(D1209="","",IFERROR(INDEX('Stock pièces'!$B$5:$B$404,MATCH(D1209,'Stock pièces'!$A$5:$A$404,0)),"Réf. inconnue"))</f>
        <v/>
      </c>
      <c r="F1209" s="67" t="n"/>
      <c r="G1209" s="81">
        <f>IF(D1209="","",IFERROR(INDEX('Stock pièces'!$I$5:$I$404,MATCH(D1209,'Stock pièces'!$A$5:$A$404,0)),0))</f>
        <v/>
      </c>
      <c r="H1209" s="81">
        <f>IF(D1209="","",N(F1209)*N(G1209))</f>
        <v/>
      </c>
      <c r="I1209" s="7" t="n"/>
      <c r="J1209" s="9">
        <f>IF(I1209="","",IFERROR(INDEX('Ordres de travail'!$D$5:$D$3004,MATCH(I1209,'Ordres de travail'!$A$5:$A$3004,0)),""))</f>
        <v/>
      </c>
      <c r="K1209" s="9">
        <f>IF(D1209="","",IFERROR(INDEX('Stock pièces'!$D$5:$D$404,MATCH(D1209,'Stock pièces'!$A$5:$A$404,0)),""))</f>
        <v/>
      </c>
      <c r="L1209" s="7" t="n"/>
      <c r="M1209" s="7" t="n"/>
    </row>
    <row r="1210">
      <c r="A1210" s="7" t="n"/>
      <c r="B1210" s="75" t="n"/>
      <c r="C1210" s="7" t="n"/>
      <c r="D1210" s="7" t="n"/>
      <c r="E1210" s="9">
        <f>IF(D1210="","",IFERROR(INDEX('Stock pièces'!$B$5:$B$404,MATCH(D1210,'Stock pièces'!$A$5:$A$404,0)),"Réf. inconnue"))</f>
        <v/>
      </c>
      <c r="F1210" s="67" t="n"/>
      <c r="G1210" s="81">
        <f>IF(D1210="","",IFERROR(INDEX('Stock pièces'!$I$5:$I$404,MATCH(D1210,'Stock pièces'!$A$5:$A$404,0)),0))</f>
        <v/>
      </c>
      <c r="H1210" s="81">
        <f>IF(D1210="","",N(F1210)*N(G1210))</f>
        <v/>
      </c>
      <c r="I1210" s="7" t="n"/>
      <c r="J1210" s="9">
        <f>IF(I1210="","",IFERROR(INDEX('Ordres de travail'!$D$5:$D$3004,MATCH(I1210,'Ordres de travail'!$A$5:$A$3004,0)),""))</f>
        <v/>
      </c>
      <c r="K1210" s="9">
        <f>IF(D1210="","",IFERROR(INDEX('Stock pièces'!$D$5:$D$404,MATCH(D1210,'Stock pièces'!$A$5:$A$404,0)),""))</f>
        <v/>
      </c>
      <c r="L1210" s="7" t="n"/>
      <c r="M1210" s="7" t="n"/>
    </row>
    <row r="1211">
      <c r="A1211" s="7" t="n"/>
      <c r="B1211" s="75" t="n"/>
      <c r="C1211" s="7" t="n"/>
      <c r="D1211" s="7" t="n"/>
      <c r="E1211" s="9">
        <f>IF(D1211="","",IFERROR(INDEX('Stock pièces'!$B$5:$B$404,MATCH(D1211,'Stock pièces'!$A$5:$A$404,0)),"Réf. inconnue"))</f>
        <v/>
      </c>
      <c r="F1211" s="67" t="n"/>
      <c r="G1211" s="81">
        <f>IF(D1211="","",IFERROR(INDEX('Stock pièces'!$I$5:$I$404,MATCH(D1211,'Stock pièces'!$A$5:$A$404,0)),0))</f>
        <v/>
      </c>
      <c r="H1211" s="81">
        <f>IF(D1211="","",N(F1211)*N(G1211))</f>
        <v/>
      </c>
      <c r="I1211" s="7" t="n"/>
      <c r="J1211" s="9">
        <f>IF(I1211="","",IFERROR(INDEX('Ordres de travail'!$D$5:$D$3004,MATCH(I1211,'Ordres de travail'!$A$5:$A$3004,0)),""))</f>
        <v/>
      </c>
      <c r="K1211" s="9">
        <f>IF(D1211="","",IFERROR(INDEX('Stock pièces'!$D$5:$D$404,MATCH(D1211,'Stock pièces'!$A$5:$A$404,0)),""))</f>
        <v/>
      </c>
      <c r="L1211" s="7" t="n"/>
      <c r="M1211" s="7" t="n"/>
    </row>
    <row r="1212">
      <c r="A1212" s="7" t="n"/>
      <c r="B1212" s="75" t="n"/>
      <c r="C1212" s="7" t="n"/>
      <c r="D1212" s="7" t="n"/>
      <c r="E1212" s="9">
        <f>IF(D1212="","",IFERROR(INDEX('Stock pièces'!$B$5:$B$404,MATCH(D1212,'Stock pièces'!$A$5:$A$404,0)),"Réf. inconnue"))</f>
        <v/>
      </c>
      <c r="F1212" s="67" t="n"/>
      <c r="G1212" s="81">
        <f>IF(D1212="","",IFERROR(INDEX('Stock pièces'!$I$5:$I$404,MATCH(D1212,'Stock pièces'!$A$5:$A$404,0)),0))</f>
        <v/>
      </c>
      <c r="H1212" s="81">
        <f>IF(D1212="","",N(F1212)*N(G1212))</f>
        <v/>
      </c>
      <c r="I1212" s="7" t="n"/>
      <c r="J1212" s="9">
        <f>IF(I1212="","",IFERROR(INDEX('Ordres de travail'!$D$5:$D$3004,MATCH(I1212,'Ordres de travail'!$A$5:$A$3004,0)),""))</f>
        <v/>
      </c>
      <c r="K1212" s="9">
        <f>IF(D1212="","",IFERROR(INDEX('Stock pièces'!$D$5:$D$404,MATCH(D1212,'Stock pièces'!$A$5:$A$404,0)),""))</f>
        <v/>
      </c>
      <c r="L1212" s="7" t="n"/>
      <c r="M1212" s="7" t="n"/>
    </row>
    <row r="1213">
      <c r="A1213" s="7" t="n"/>
      <c r="B1213" s="75" t="n"/>
      <c r="C1213" s="7" t="n"/>
      <c r="D1213" s="7" t="n"/>
      <c r="E1213" s="9">
        <f>IF(D1213="","",IFERROR(INDEX('Stock pièces'!$B$5:$B$404,MATCH(D1213,'Stock pièces'!$A$5:$A$404,0)),"Réf. inconnue"))</f>
        <v/>
      </c>
      <c r="F1213" s="67" t="n"/>
      <c r="G1213" s="81">
        <f>IF(D1213="","",IFERROR(INDEX('Stock pièces'!$I$5:$I$404,MATCH(D1213,'Stock pièces'!$A$5:$A$404,0)),0))</f>
        <v/>
      </c>
      <c r="H1213" s="81">
        <f>IF(D1213="","",N(F1213)*N(G1213))</f>
        <v/>
      </c>
      <c r="I1213" s="7" t="n"/>
      <c r="J1213" s="9">
        <f>IF(I1213="","",IFERROR(INDEX('Ordres de travail'!$D$5:$D$3004,MATCH(I1213,'Ordres de travail'!$A$5:$A$3004,0)),""))</f>
        <v/>
      </c>
      <c r="K1213" s="9">
        <f>IF(D1213="","",IFERROR(INDEX('Stock pièces'!$D$5:$D$404,MATCH(D1213,'Stock pièces'!$A$5:$A$404,0)),""))</f>
        <v/>
      </c>
      <c r="L1213" s="7" t="n"/>
      <c r="M1213" s="7" t="n"/>
    </row>
    <row r="1214">
      <c r="A1214" s="7" t="n"/>
      <c r="B1214" s="75" t="n"/>
      <c r="C1214" s="7" t="n"/>
      <c r="D1214" s="7" t="n"/>
      <c r="E1214" s="9">
        <f>IF(D1214="","",IFERROR(INDEX('Stock pièces'!$B$5:$B$404,MATCH(D1214,'Stock pièces'!$A$5:$A$404,0)),"Réf. inconnue"))</f>
        <v/>
      </c>
      <c r="F1214" s="67" t="n"/>
      <c r="G1214" s="81">
        <f>IF(D1214="","",IFERROR(INDEX('Stock pièces'!$I$5:$I$404,MATCH(D1214,'Stock pièces'!$A$5:$A$404,0)),0))</f>
        <v/>
      </c>
      <c r="H1214" s="81">
        <f>IF(D1214="","",N(F1214)*N(G1214))</f>
        <v/>
      </c>
      <c r="I1214" s="7" t="n"/>
      <c r="J1214" s="9">
        <f>IF(I1214="","",IFERROR(INDEX('Ordres de travail'!$D$5:$D$3004,MATCH(I1214,'Ordres de travail'!$A$5:$A$3004,0)),""))</f>
        <v/>
      </c>
      <c r="K1214" s="9">
        <f>IF(D1214="","",IFERROR(INDEX('Stock pièces'!$D$5:$D$404,MATCH(D1214,'Stock pièces'!$A$5:$A$404,0)),""))</f>
        <v/>
      </c>
      <c r="L1214" s="7" t="n"/>
      <c r="M1214" s="7" t="n"/>
    </row>
    <row r="1215">
      <c r="A1215" s="7" t="n"/>
      <c r="B1215" s="75" t="n"/>
      <c r="C1215" s="7" t="n"/>
      <c r="D1215" s="7" t="n"/>
      <c r="E1215" s="9">
        <f>IF(D1215="","",IFERROR(INDEX('Stock pièces'!$B$5:$B$404,MATCH(D1215,'Stock pièces'!$A$5:$A$404,0)),"Réf. inconnue"))</f>
        <v/>
      </c>
      <c r="F1215" s="67" t="n"/>
      <c r="G1215" s="81">
        <f>IF(D1215="","",IFERROR(INDEX('Stock pièces'!$I$5:$I$404,MATCH(D1215,'Stock pièces'!$A$5:$A$404,0)),0))</f>
        <v/>
      </c>
      <c r="H1215" s="81">
        <f>IF(D1215="","",N(F1215)*N(G1215))</f>
        <v/>
      </c>
      <c r="I1215" s="7" t="n"/>
      <c r="J1215" s="9">
        <f>IF(I1215="","",IFERROR(INDEX('Ordres de travail'!$D$5:$D$3004,MATCH(I1215,'Ordres de travail'!$A$5:$A$3004,0)),""))</f>
        <v/>
      </c>
      <c r="K1215" s="9">
        <f>IF(D1215="","",IFERROR(INDEX('Stock pièces'!$D$5:$D$404,MATCH(D1215,'Stock pièces'!$A$5:$A$404,0)),""))</f>
        <v/>
      </c>
      <c r="L1215" s="7" t="n"/>
      <c r="M1215" s="7" t="n"/>
    </row>
    <row r="1216">
      <c r="A1216" s="7" t="n"/>
      <c r="B1216" s="75" t="n"/>
      <c r="C1216" s="7" t="n"/>
      <c r="D1216" s="7" t="n"/>
      <c r="E1216" s="9">
        <f>IF(D1216="","",IFERROR(INDEX('Stock pièces'!$B$5:$B$404,MATCH(D1216,'Stock pièces'!$A$5:$A$404,0)),"Réf. inconnue"))</f>
        <v/>
      </c>
      <c r="F1216" s="67" t="n"/>
      <c r="G1216" s="81">
        <f>IF(D1216="","",IFERROR(INDEX('Stock pièces'!$I$5:$I$404,MATCH(D1216,'Stock pièces'!$A$5:$A$404,0)),0))</f>
        <v/>
      </c>
      <c r="H1216" s="81">
        <f>IF(D1216="","",N(F1216)*N(G1216))</f>
        <v/>
      </c>
      <c r="I1216" s="7" t="n"/>
      <c r="J1216" s="9">
        <f>IF(I1216="","",IFERROR(INDEX('Ordres de travail'!$D$5:$D$3004,MATCH(I1216,'Ordres de travail'!$A$5:$A$3004,0)),""))</f>
        <v/>
      </c>
      <c r="K1216" s="9">
        <f>IF(D1216="","",IFERROR(INDEX('Stock pièces'!$D$5:$D$404,MATCH(D1216,'Stock pièces'!$A$5:$A$404,0)),""))</f>
        <v/>
      </c>
      <c r="L1216" s="7" t="n"/>
      <c r="M1216" s="7" t="n"/>
    </row>
    <row r="1217">
      <c r="A1217" s="7" t="n"/>
      <c r="B1217" s="75" t="n"/>
      <c r="C1217" s="7" t="n"/>
      <c r="D1217" s="7" t="n"/>
      <c r="E1217" s="9">
        <f>IF(D1217="","",IFERROR(INDEX('Stock pièces'!$B$5:$B$404,MATCH(D1217,'Stock pièces'!$A$5:$A$404,0)),"Réf. inconnue"))</f>
        <v/>
      </c>
      <c r="F1217" s="67" t="n"/>
      <c r="G1217" s="81">
        <f>IF(D1217="","",IFERROR(INDEX('Stock pièces'!$I$5:$I$404,MATCH(D1217,'Stock pièces'!$A$5:$A$404,0)),0))</f>
        <v/>
      </c>
      <c r="H1217" s="81">
        <f>IF(D1217="","",N(F1217)*N(G1217))</f>
        <v/>
      </c>
      <c r="I1217" s="7" t="n"/>
      <c r="J1217" s="9">
        <f>IF(I1217="","",IFERROR(INDEX('Ordres de travail'!$D$5:$D$3004,MATCH(I1217,'Ordres de travail'!$A$5:$A$3004,0)),""))</f>
        <v/>
      </c>
      <c r="K1217" s="9">
        <f>IF(D1217="","",IFERROR(INDEX('Stock pièces'!$D$5:$D$404,MATCH(D1217,'Stock pièces'!$A$5:$A$404,0)),""))</f>
        <v/>
      </c>
      <c r="L1217" s="7" t="n"/>
      <c r="M1217" s="7" t="n"/>
    </row>
    <row r="1218">
      <c r="A1218" s="7" t="n"/>
      <c r="B1218" s="75" t="n"/>
      <c r="C1218" s="7" t="n"/>
      <c r="D1218" s="7" t="n"/>
      <c r="E1218" s="9">
        <f>IF(D1218="","",IFERROR(INDEX('Stock pièces'!$B$5:$B$404,MATCH(D1218,'Stock pièces'!$A$5:$A$404,0)),"Réf. inconnue"))</f>
        <v/>
      </c>
      <c r="F1218" s="67" t="n"/>
      <c r="G1218" s="81">
        <f>IF(D1218="","",IFERROR(INDEX('Stock pièces'!$I$5:$I$404,MATCH(D1218,'Stock pièces'!$A$5:$A$404,0)),0))</f>
        <v/>
      </c>
      <c r="H1218" s="81">
        <f>IF(D1218="","",N(F1218)*N(G1218))</f>
        <v/>
      </c>
      <c r="I1218" s="7" t="n"/>
      <c r="J1218" s="9">
        <f>IF(I1218="","",IFERROR(INDEX('Ordres de travail'!$D$5:$D$3004,MATCH(I1218,'Ordres de travail'!$A$5:$A$3004,0)),""))</f>
        <v/>
      </c>
      <c r="K1218" s="9">
        <f>IF(D1218="","",IFERROR(INDEX('Stock pièces'!$D$5:$D$404,MATCH(D1218,'Stock pièces'!$A$5:$A$404,0)),""))</f>
        <v/>
      </c>
      <c r="L1218" s="7" t="n"/>
      <c r="M1218" s="7" t="n"/>
    </row>
    <row r="1219">
      <c r="A1219" s="7" t="n"/>
      <c r="B1219" s="75" t="n"/>
      <c r="C1219" s="7" t="n"/>
      <c r="D1219" s="7" t="n"/>
      <c r="E1219" s="9">
        <f>IF(D1219="","",IFERROR(INDEX('Stock pièces'!$B$5:$B$404,MATCH(D1219,'Stock pièces'!$A$5:$A$404,0)),"Réf. inconnue"))</f>
        <v/>
      </c>
      <c r="F1219" s="67" t="n"/>
      <c r="G1219" s="81">
        <f>IF(D1219="","",IFERROR(INDEX('Stock pièces'!$I$5:$I$404,MATCH(D1219,'Stock pièces'!$A$5:$A$404,0)),0))</f>
        <v/>
      </c>
      <c r="H1219" s="81">
        <f>IF(D1219="","",N(F1219)*N(G1219))</f>
        <v/>
      </c>
      <c r="I1219" s="7" t="n"/>
      <c r="J1219" s="9">
        <f>IF(I1219="","",IFERROR(INDEX('Ordres de travail'!$D$5:$D$3004,MATCH(I1219,'Ordres de travail'!$A$5:$A$3004,0)),""))</f>
        <v/>
      </c>
      <c r="K1219" s="9">
        <f>IF(D1219="","",IFERROR(INDEX('Stock pièces'!$D$5:$D$404,MATCH(D1219,'Stock pièces'!$A$5:$A$404,0)),""))</f>
        <v/>
      </c>
      <c r="L1219" s="7" t="n"/>
      <c r="M1219" s="7" t="n"/>
    </row>
    <row r="1220">
      <c r="A1220" s="7" t="n"/>
      <c r="B1220" s="75" t="n"/>
      <c r="C1220" s="7" t="n"/>
      <c r="D1220" s="7" t="n"/>
      <c r="E1220" s="9">
        <f>IF(D1220="","",IFERROR(INDEX('Stock pièces'!$B$5:$B$404,MATCH(D1220,'Stock pièces'!$A$5:$A$404,0)),"Réf. inconnue"))</f>
        <v/>
      </c>
      <c r="F1220" s="67" t="n"/>
      <c r="G1220" s="81">
        <f>IF(D1220="","",IFERROR(INDEX('Stock pièces'!$I$5:$I$404,MATCH(D1220,'Stock pièces'!$A$5:$A$404,0)),0))</f>
        <v/>
      </c>
      <c r="H1220" s="81">
        <f>IF(D1220="","",N(F1220)*N(G1220))</f>
        <v/>
      </c>
      <c r="I1220" s="7" t="n"/>
      <c r="J1220" s="9">
        <f>IF(I1220="","",IFERROR(INDEX('Ordres de travail'!$D$5:$D$3004,MATCH(I1220,'Ordres de travail'!$A$5:$A$3004,0)),""))</f>
        <v/>
      </c>
      <c r="K1220" s="9">
        <f>IF(D1220="","",IFERROR(INDEX('Stock pièces'!$D$5:$D$404,MATCH(D1220,'Stock pièces'!$A$5:$A$404,0)),""))</f>
        <v/>
      </c>
      <c r="L1220" s="7" t="n"/>
      <c r="M1220" s="7" t="n"/>
    </row>
    <row r="1221">
      <c r="A1221" s="7" t="n"/>
      <c r="B1221" s="75" t="n"/>
      <c r="C1221" s="7" t="n"/>
      <c r="D1221" s="7" t="n"/>
      <c r="E1221" s="9">
        <f>IF(D1221="","",IFERROR(INDEX('Stock pièces'!$B$5:$B$404,MATCH(D1221,'Stock pièces'!$A$5:$A$404,0)),"Réf. inconnue"))</f>
        <v/>
      </c>
      <c r="F1221" s="67" t="n"/>
      <c r="G1221" s="81">
        <f>IF(D1221="","",IFERROR(INDEX('Stock pièces'!$I$5:$I$404,MATCH(D1221,'Stock pièces'!$A$5:$A$404,0)),0))</f>
        <v/>
      </c>
      <c r="H1221" s="81">
        <f>IF(D1221="","",N(F1221)*N(G1221))</f>
        <v/>
      </c>
      <c r="I1221" s="7" t="n"/>
      <c r="J1221" s="9">
        <f>IF(I1221="","",IFERROR(INDEX('Ordres de travail'!$D$5:$D$3004,MATCH(I1221,'Ordres de travail'!$A$5:$A$3004,0)),""))</f>
        <v/>
      </c>
      <c r="K1221" s="9">
        <f>IF(D1221="","",IFERROR(INDEX('Stock pièces'!$D$5:$D$404,MATCH(D1221,'Stock pièces'!$A$5:$A$404,0)),""))</f>
        <v/>
      </c>
      <c r="L1221" s="7" t="n"/>
      <c r="M1221" s="7" t="n"/>
    </row>
    <row r="1222">
      <c r="A1222" s="7" t="n"/>
      <c r="B1222" s="75" t="n"/>
      <c r="C1222" s="7" t="n"/>
      <c r="D1222" s="7" t="n"/>
      <c r="E1222" s="9">
        <f>IF(D1222="","",IFERROR(INDEX('Stock pièces'!$B$5:$B$404,MATCH(D1222,'Stock pièces'!$A$5:$A$404,0)),"Réf. inconnue"))</f>
        <v/>
      </c>
      <c r="F1222" s="67" t="n"/>
      <c r="G1222" s="81">
        <f>IF(D1222="","",IFERROR(INDEX('Stock pièces'!$I$5:$I$404,MATCH(D1222,'Stock pièces'!$A$5:$A$404,0)),0))</f>
        <v/>
      </c>
      <c r="H1222" s="81">
        <f>IF(D1222="","",N(F1222)*N(G1222))</f>
        <v/>
      </c>
      <c r="I1222" s="7" t="n"/>
      <c r="J1222" s="9">
        <f>IF(I1222="","",IFERROR(INDEX('Ordres de travail'!$D$5:$D$3004,MATCH(I1222,'Ordres de travail'!$A$5:$A$3004,0)),""))</f>
        <v/>
      </c>
      <c r="K1222" s="9">
        <f>IF(D1222="","",IFERROR(INDEX('Stock pièces'!$D$5:$D$404,MATCH(D1222,'Stock pièces'!$A$5:$A$404,0)),""))</f>
        <v/>
      </c>
      <c r="L1222" s="7" t="n"/>
      <c r="M1222" s="7" t="n"/>
    </row>
    <row r="1223">
      <c r="A1223" s="7" t="n"/>
      <c r="B1223" s="75" t="n"/>
      <c r="C1223" s="7" t="n"/>
      <c r="D1223" s="7" t="n"/>
      <c r="E1223" s="9">
        <f>IF(D1223="","",IFERROR(INDEX('Stock pièces'!$B$5:$B$404,MATCH(D1223,'Stock pièces'!$A$5:$A$404,0)),"Réf. inconnue"))</f>
        <v/>
      </c>
      <c r="F1223" s="67" t="n"/>
      <c r="G1223" s="81">
        <f>IF(D1223="","",IFERROR(INDEX('Stock pièces'!$I$5:$I$404,MATCH(D1223,'Stock pièces'!$A$5:$A$404,0)),0))</f>
        <v/>
      </c>
      <c r="H1223" s="81">
        <f>IF(D1223="","",N(F1223)*N(G1223))</f>
        <v/>
      </c>
      <c r="I1223" s="7" t="n"/>
      <c r="J1223" s="9">
        <f>IF(I1223="","",IFERROR(INDEX('Ordres de travail'!$D$5:$D$3004,MATCH(I1223,'Ordres de travail'!$A$5:$A$3004,0)),""))</f>
        <v/>
      </c>
      <c r="K1223" s="9">
        <f>IF(D1223="","",IFERROR(INDEX('Stock pièces'!$D$5:$D$404,MATCH(D1223,'Stock pièces'!$A$5:$A$404,0)),""))</f>
        <v/>
      </c>
      <c r="L1223" s="7" t="n"/>
      <c r="M1223" s="7" t="n"/>
    </row>
    <row r="1224">
      <c r="A1224" s="7" t="n"/>
      <c r="B1224" s="75" t="n"/>
      <c r="C1224" s="7" t="n"/>
      <c r="D1224" s="7" t="n"/>
      <c r="E1224" s="9">
        <f>IF(D1224="","",IFERROR(INDEX('Stock pièces'!$B$5:$B$404,MATCH(D1224,'Stock pièces'!$A$5:$A$404,0)),"Réf. inconnue"))</f>
        <v/>
      </c>
      <c r="F1224" s="67" t="n"/>
      <c r="G1224" s="81">
        <f>IF(D1224="","",IFERROR(INDEX('Stock pièces'!$I$5:$I$404,MATCH(D1224,'Stock pièces'!$A$5:$A$404,0)),0))</f>
        <v/>
      </c>
      <c r="H1224" s="81">
        <f>IF(D1224="","",N(F1224)*N(G1224))</f>
        <v/>
      </c>
      <c r="I1224" s="7" t="n"/>
      <c r="J1224" s="9">
        <f>IF(I1224="","",IFERROR(INDEX('Ordres de travail'!$D$5:$D$3004,MATCH(I1224,'Ordres de travail'!$A$5:$A$3004,0)),""))</f>
        <v/>
      </c>
      <c r="K1224" s="9">
        <f>IF(D1224="","",IFERROR(INDEX('Stock pièces'!$D$5:$D$404,MATCH(D1224,'Stock pièces'!$A$5:$A$404,0)),""))</f>
        <v/>
      </c>
      <c r="L1224" s="7" t="n"/>
      <c r="M1224" s="7" t="n"/>
    </row>
    <row r="1225">
      <c r="A1225" s="7" t="n"/>
      <c r="B1225" s="75" t="n"/>
      <c r="C1225" s="7" t="n"/>
      <c r="D1225" s="7" t="n"/>
      <c r="E1225" s="9">
        <f>IF(D1225="","",IFERROR(INDEX('Stock pièces'!$B$5:$B$404,MATCH(D1225,'Stock pièces'!$A$5:$A$404,0)),"Réf. inconnue"))</f>
        <v/>
      </c>
      <c r="F1225" s="67" t="n"/>
      <c r="G1225" s="81">
        <f>IF(D1225="","",IFERROR(INDEX('Stock pièces'!$I$5:$I$404,MATCH(D1225,'Stock pièces'!$A$5:$A$404,0)),0))</f>
        <v/>
      </c>
      <c r="H1225" s="81">
        <f>IF(D1225="","",N(F1225)*N(G1225))</f>
        <v/>
      </c>
      <c r="I1225" s="7" t="n"/>
      <c r="J1225" s="9">
        <f>IF(I1225="","",IFERROR(INDEX('Ordres de travail'!$D$5:$D$3004,MATCH(I1225,'Ordres de travail'!$A$5:$A$3004,0)),""))</f>
        <v/>
      </c>
      <c r="K1225" s="9">
        <f>IF(D1225="","",IFERROR(INDEX('Stock pièces'!$D$5:$D$404,MATCH(D1225,'Stock pièces'!$A$5:$A$404,0)),""))</f>
        <v/>
      </c>
      <c r="L1225" s="7" t="n"/>
      <c r="M1225" s="7" t="n"/>
    </row>
    <row r="1226">
      <c r="A1226" s="7" t="n"/>
      <c r="B1226" s="75" t="n"/>
      <c r="C1226" s="7" t="n"/>
      <c r="D1226" s="7" t="n"/>
      <c r="E1226" s="9">
        <f>IF(D1226="","",IFERROR(INDEX('Stock pièces'!$B$5:$B$404,MATCH(D1226,'Stock pièces'!$A$5:$A$404,0)),"Réf. inconnue"))</f>
        <v/>
      </c>
      <c r="F1226" s="67" t="n"/>
      <c r="G1226" s="81">
        <f>IF(D1226="","",IFERROR(INDEX('Stock pièces'!$I$5:$I$404,MATCH(D1226,'Stock pièces'!$A$5:$A$404,0)),0))</f>
        <v/>
      </c>
      <c r="H1226" s="81">
        <f>IF(D1226="","",N(F1226)*N(G1226))</f>
        <v/>
      </c>
      <c r="I1226" s="7" t="n"/>
      <c r="J1226" s="9">
        <f>IF(I1226="","",IFERROR(INDEX('Ordres de travail'!$D$5:$D$3004,MATCH(I1226,'Ordres de travail'!$A$5:$A$3004,0)),""))</f>
        <v/>
      </c>
      <c r="K1226" s="9">
        <f>IF(D1226="","",IFERROR(INDEX('Stock pièces'!$D$5:$D$404,MATCH(D1226,'Stock pièces'!$A$5:$A$404,0)),""))</f>
        <v/>
      </c>
      <c r="L1226" s="7" t="n"/>
      <c r="M1226" s="7" t="n"/>
    </row>
    <row r="1227">
      <c r="A1227" s="7" t="n"/>
      <c r="B1227" s="75" t="n"/>
      <c r="C1227" s="7" t="n"/>
      <c r="D1227" s="7" t="n"/>
      <c r="E1227" s="9">
        <f>IF(D1227="","",IFERROR(INDEX('Stock pièces'!$B$5:$B$404,MATCH(D1227,'Stock pièces'!$A$5:$A$404,0)),"Réf. inconnue"))</f>
        <v/>
      </c>
      <c r="F1227" s="67" t="n"/>
      <c r="G1227" s="81">
        <f>IF(D1227="","",IFERROR(INDEX('Stock pièces'!$I$5:$I$404,MATCH(D1227,'Stock pièces'!$A$5:$A$404,0)),0))</f>
        <v/>
      </c>
      <c r="H1227" s="81">
        <f>IF(D1227="","",N(F1227)*N(G1227))</f>
        <v/>
      </c>
      <c r="I1227" s="7" t="n"/>
      <c r="J1227" s="9">
        <f>IF(I1227="","",IFERROR(INDEX('Ordres de travail'!$D$5:$D$3004,MATCH(I1227,'Ordres de travail'!$A$5:$A$3004,0)),""))</f>
        <v/>
      </c>
      <c r="K1227" s="9">
        <f>IF(D1227="","",IFERROR(INDEX('Stock pièces'!$D$5:$D$404,MATCH(D1227,'Stock pièces'!$A$5:$A$404,0)),""))</f>
        <v/>
      </c>
      <c r="L1227" s="7" t="n"/>
      <c r="M1227" s="7" t="n"/>
    </row>
    <row r="1228">
      <c r="A1228" s="7" t="n"/>
      <c r="B1228" s="75" t="n"/>
      <c r="C1228" s="7" t="n"/>
      <c r="D1228" s="7" t="n"/>
      <c r="E1228" s="9">
        <f>IF(D1228="","",IFERROR(INDEX('Stock pièces'!$B$5:$B$404,MATCH(D1228,'Stock pièces'!$A$5:$A$404,0)),"Réf. inconnue"))</f>
        <v/>
      </c>
      <c r="F1228" s="67" t="n"/>
      <c r="G1228" s="81">
        <f>IF(D1228="","",IFERROR(INDEX('Stock pièces'!$I$5:$I$404,MATCH(D1228,'Stock pièces'!$A$5:$A$404,0)),0))</f>
        <v/>
      </c>
      <c r="H1228" s="81">
        <f>IF(D1228="","",N(F1228)*N(G1228))</f>
        <v/>
      </c>
      <c r="I1228" s="7" t="n"/>
      <c r="J1228" s="9">
        <f>IF(I1228="","",IFERROR(INDEX('Ordres de travail'!$D$5:$D$3004,MATCH(I1228,'Ordres de travail'!$A$5:$A$3004,0)),""))</f>
        <v/>
      </c>
      <c r="K1228" s="9">
        <f>IF(D1228="","",IFERROR(INDEX('Stock pièces'!$D$5:$D$404,MATCH(D1228,'Stock pièces'!$A$5:$A$404,0)),""))</f>
        <v/>
      </c>
      <c r="L1228" s="7" t="n"/>
      <c r="M1228" s="7" t="n"/>
    </row>
    <row r="1229">
      <c r="A1229" s="7" t="n"/>
      <c r="B1229" s="75" t="n"/>
      <c r="C1229" s="7" t="n"/>
      <c r="D1229" s="7" t="n"/>
      <c r="E1229" s="9">
        <f>IF(D1229="","",IFERROR(INDEX('Stock pièces'!$B$5:$B$404,MATCH(D1229,'Stock pièces'!$A$5:$A$404,0)),"Réf. inconnue"))</f>
        <v/>
      </c>
      <c r="F1229" s="67" t="n"/>
      <c r="G1229" s="81">
        <f>IF(D1229="","",IFERROR(INDEX('Stock pièces'!$I$5:$I$404,MATCH(D1229,'Stock pièces'!$A$5:$A$404,0)),0))</f>
        <v/>
      </c>
      <c r="H1229" s="81">
        <f>IF(D1229="","",N(F1229)*N(G1229))</f>
        <v/>
      </c>
      <c r="I1229" s="7" t="n"/>
      <c r="J1229" s="9">
        <f>IF(I1229="","",IFERROR(INDEX('Ordres de travail'!$D$5:$D$3004,MATCH(I1229,'Ordres de travail'!$A$5:$A$3004,0)),""))</f>
        <v/>
      </c>
      <c r="K1229" s="9">
        <f>IF(D1229="","",IFERROR(INDEX('Stock pièces'!$D$5:$D$404,MATCH(D1229,'Stock pièces'!$A$5:$A$404,0)),""))</f>
        <v/>
      </c>
      <c r="L1229" s="7" t="n"/>
      <c r="M1229" s="7" t="n"/>
    </row>
    <row r="1230">
      <c r="A1230" s="7" t="n"/>
      <c r="B1230" s="75" t="n"/>
      <c r="C1230" s="7" t="n"/>
      <c r="D1230" s="7" t="n"/>
      <c r="E1230" s="9">
        <f>IF(D1230="","",IFERROR(INDEX('Stock pièces'!$B$5:$B$404,MATCH(D1230,'Stock pièces'!$A$5:$A$404,0)),"Réf. inconnue"))</f>
        <v/>
      </c>
      <c r="F1230" s="67" t="n"/>
      <c r="G1230" s="81">
        <f>IF(D1230="","",IFERROR(INDEX('Stock pièces'!$I$5:$I$404,MATCH(D1230,'Stock pièces'!$A$5:$A$404,0)),0))</f>
        <v/>
      </c>
      <c r="H1230" s="81">
        <f>IF(D1230="","",N(F1230)*N(G1230))</f>
        <v/>
      </c>
      <c r="I1230" s="7" t="n"/>
      <c r="J1230" s="9">
        <f>IF(I1230="","",IFERROR(INDEX('Ordres de travail'!$D$5:$D$3004,MATCH(I1230,'Ordres de travail'!$A$5:$A$3004,0)),""))</f>
        <v/>
      </c>
      <c r="K1230" s="9">
        <f>IF(D1230="","",IFERROR(INDEX('Stock pièces'!$D$5:$D$404,MATCH(D1230,'Stock pièces'!$A$5:$A$404,0)),""))</f>
        <v/>
      </c>
      <c r="L1230" s="7" t="n"/>
      <c r="M1230" s="7" t="n"/>
    </row>
    <row r="1231">
      <c r="A1231" s="7" t="n"/>
      <c r="B1231" s="75" t="n"/>
      <c r="C1231" s="7" t="n"/>
      <c r="D1231" s="7" t="n"/>
      <c r="E1231" s="9">
        <f>IF(D1231="","",IFERROR(INDEX('Stock pièces'!$B$5:$B$404,MATCH(D1231,'Stock pièces'!$A$5:$A$404,0)),"Réf. inconnue"))</f>
        <v/>
      </c>
      <c r="F1231" s="67" t="n"/>
      <c r="G1231" s="81">
        <f>IF(D1231="","",IFERROR(INDEX('Stock pièces'!$I$5:$I$404,MATCH(D1231,'Stock pièces'!$A$5:$A$404,0)),0))</f>
        <v/>
      </c>
      <c r="H1231" s="81">
        <f>IF(D1231="","",N(F1231)*N(G1231))</f>
        <v/>
      </c>
      <c r="I1231" s="7" t="n"/>
      <c r="J1231" s="9">
        <f>IF(I1231="","",IFERROR(INDEX('Ordres de travail'!$D$5:$D$3004,MATCH(I1231,'Ordres de travail'!$A$5:$A$3004,0)),""))</f>
        <v/>
      </c>
      <c r="K1231" s="9">
        <f>IF(D1231="","",IFERROR(INDEX('Stock pièces'!$D$5:$D$404,MATCH(D1231,'Stock pièces'!$A$5:$A$404,0)),""))</f>
        <v/>
      </c>
      <c r="L1231" s="7" t="n"/>
      <c r="M1231" s="7" t="n"/>
    </row>
    <row r="1232">
      <c r="A1232" s="7" t="n"/>
      <c r="B1232" s="75" t="n"/>
      <c r="C1232" s="7" t="n"/>
      <c r="D1232" s="7" t="n"/>
      <c r="E1232" s="9">
        <f>IF(D1232="","",IFERROR(INDEX('Stock pièces'!$B$5:$B$404,MATCH(D1232,'Stock pièces'!$A$5:$A$404,0)),"Réf. inconnue"))</f>
        <v/>
      </c>
      <c r="F1232" s="67" t="n"/>
      <c r="G1232" s="81">
        <f>IF(D1232="","",IFERROR(INDEX('Stock pièces'!$I$5:$I$404,MATCH(D1232,'Stock pièces'!$A$5:$A$404,0)),0))</f>
        <v/>
      </c>
      <c r="H1232" s="81">
        <f>IF(D1232="","",N(F1232)*N(G1232))</f>
        <v/>
      </c>
      <c r="I1232" s="7" t="n"/>
      <c r="J1232" s="9">
        <f>IF(I1232="","",IFERROR(INDEX('Ordres de travail'!$D$5:$D$3004,MATCH(I1232,'Ordres de travail'!$A$5:$A$3004,0)),""))</f>
        <v/>
      </c>
      <c r="K1232" s="9">
        <f>IF(D1232="","",IFERROR(INDEX('Stock pièces'!$D$5:$D$404,MATCH(D1232,'Stock pièces'!$A$5:$A$404,0)),""))</f>
        <v/>
      </c>
      <c r="L1232" s="7" t="n"/>
      <c r="M1232" s="7" t="n"/>
    </row>
    <row r="1233">
      <c r="A1233" s="7" t="n"/>
      <c r="B1233" s="75" t="n"/>
      <c r="C1233" s="7" t="n"/>
      <c r="D1233" s="7" t="n"/>
      <c r="E1233" s="9">
        <f>IF(D1233="","",IFERROR(INDEX('Stock pièces'!$B$5:$B$404,MATCH(D1233,'Stock pièces'!$A$5:$A$404,0)),"Réf. inconnue"))</f>
        <v/>
      </c>
      <c r="F1233" s="67" t="n"/>
      <c r="G1233" s="81">
        <f>IF(D1233="","",IFERROR(INDEX('Stock pièces'!$I$5:$I$404,MATCH(D1233,'Stock pièces'!$A$5:$A$404,0)),0))</f>
        <v/>
      </c>
      <c r="H1233" s="81">
        <f>IF(D1233="","",N(F1233)*N(G1233))</f>
        <v/>
      </c>
      <c r="I1233" s="7" t="n"/>
      <c r="J1233" s="9">
        <f>IF(I1233="","",IFERROR(INDEX('Ordres de travail'!$D$5:$D$3004,MATCH(I1233,'Ordres de travail'!$A$5:$A$3004,0)),""))</f>
        <v/>
      </c>
      <c r="K1233" s="9">
        <f>IF(D1233="","",IFERROR(INDEX('Stock pièces'!$D$5:$D$404,MATCH(D1233,'Stock pièces'!$A$5:$A$404,0)),""))</f>
        <v/>
      </c>
      <c r="L1233" s="7" t="n"/>
      <c r="M1233" s="7" t="n"/>
    </row>
    <row r="1234">
      <c r="A1234" s="7" t="n"/>
      <c r="B1234" s="75" t="n"/>
      <c r="C1234" s="7" t="n"/>
      <c r="D1234" s="7" t="n"/>
      <c r="E1234" s="9">
        <f>IF(D1234="","",IFERROR(INDEX('Stock pièces'!$B$5:$B$404,MATCH(D1234,'Stock pièces'!$A$5:$A$404,0)),"Réf. inconnue"))</f>
        <v/>
      </c>
      <c r="F1234" s="67" t="n"/>
      <c r="G1234" s="81">
        <f>IF(D1234="","",IFERROR(INDEX('Stock pièces'!$I$5:$I$404,MATCH(D1234,'Stock pièces'!$A$5:$A$404,0)),0))</f>
        <v/>
      </c>
      <c r="H1234" s="81">
        <f>IF(D1234="","",N(F1234)*N(G1234))</f>
        <v/>
      </c>
      <c r="I1234" s="7" t="n"/>
      <c r="J1234" s="9">
        <f>IF(I1234="","",IFERROR(INDEX('Ordres de travail'!$D$5:$D$3004,MATCH(I1234,'Ordres de travail'!$A$5:$A$3004,0)),""))</f>
        <v/>
      </c>
      <c r="K1234" s="9">
        <f>IF(D1234="","",IFERROR(INDEX('Stock pièces'!$D$5:$D$404,MATCH(D1234,'Stock pièces'!$A$5:$A$404,0)),""))</f>
        <v/>
      </c>
      <c r="L1234" s="7" t="n"/>
      <c r="M1234" s="7" t="n"/>
    </row>
    <row r="1235">
      <c r="A1235" s="7" t="n"/>
      <c r="B1235" s="75" t="n"/>
      <c r="C1235" s="7" t="n"/>
      <c r="D1235" s="7" t="n"/>
      <c r="E1235" s="9">
        <f>IF(D1235="","",IFERROR(INDEX('Stock pièces'!$B$5:$B$404,MATCH(D1235,'Stock pièces'!$A$5:$A$404,0)),"Réf. inconnue"))</f>
        <v/>
      </c>
      <c r="F1235" s="67" t="n"/>
      <c r="G1235" s="81">
        <f>IF(D1235="","",IFERROR(INDEX('Stock pièces'!$I$5:$I$404,MATCH(D1235,'Stock pièces'!$A$5:$A$404,0)),0))</f>
        <v/>
      </c>
      <c r="H1235" s="81">
        <f>IF(D1235="","",N(F1235)*N(G1235))</f>
        <v/>
      </c>
      <c r="I1235" s="7" t="n"/>
      <c r="J1235" s="9">
        <f>IF(I1235="","",IFERROR(INDEX('Ordres de travail'!$D$5:$D$3004,MATCH(I1235,'Ordres de travail'!$A$5:$A$3004,0)),""))</f>
        <v/>
      </c>
      <c r="K1235" s="9">
        <f>IF(D1235="","",IFERROR(INDEX('Stock pièces'!$D$5:$D$404,MATCH(D1235,'Stock pièces'!$A$5:$A$404,0)),""))</f>
        <v/>
      </c>
      <c r="L1235" s="7" t="n"/>
      <c r="M1235" s="7" t="n"/>
    </row>
    <row r="1236">
      <c r="A1236" s="7" t="n"/>
      <c r="B1236" s="75" t="n"/>
      <c r="C1236" s="7" t="n"/>
      <c r="D1236" s="7" t="n"/>
      <c r="E1236" s="9">
        <f>IF(D1236="","",IFERROR(INDEX('Stock pièces'!$B$5:$B$404,MATCH(D1236,'Stock pièces'!$A$5:$A$404,0)),"Réf. inconnue"))</f>
        <v/>
      </c>
      <c r="F1236" s="67" t="n"/>
      <c r="G1236" s="81">
        <f>IF(D1236="","",IFERROR(INDEX('Stock pièces'!$I$5:$I$404,MATCH(D1236,'Stock pièces'!$A$5:$A$404,0)),0))</f>
        <v/>
      </c>
      <c r="H1236" s="81">
        <f>IF(D1236="","",N(F1236)*N(G1236))</f>
        <v/>
      </c>
      <c r="I1236" s="7" t="n"/>
      <c r="J1236" s="9">
        <f>IF(I1236="","",IFERROR(INDEX('Ordres de travail'!$D$5:$D$3004,MATCH(I1236,'Ordres de travail'!$A$5:$A$3004,0)),""))</f>
        <v/>
      </c>
      <c r="K1236" s="9">
        <f>IF(D1236="","",IFERROR(INDEX('Stock pièces'!$D$5:$D$404,MATCH(D1236,'Stock pièces'!$A$5:$A$404,0)),""))</f>
        <v/>
      </c>
      <c r="L1236" s="7" t="n"/>
      <c r="M1236" s="7" t="n"/>
    </row>
    <row r="1237">
      <c r="A1237" s="7" t="n"/>
      <c r="B1237" s="75" t="n"/>
      <c r="C1237" s="7" t="n"/>
      <c r="D1237" s="7" t="n"/>
      <c r="E1237" s="9">
        <f>IF(D1237="","",IFERROR(INDEX('Stock pièces'!$B$5:$B$404,MATCH(D1237,'Stock pièces'!$A$5:$A$404,0)),"Réf. inconnue"))</f>
        <v/>
      </c>
      <c r="F1237" s="67" t="n"/>
      <c r="G1237" s="81">
        <f>IF(D1237="","",IFERROR(INDEX('Stock pièces'!$I$5:$I$404,MATCH(D1237,'Stock pièces'!$A$5:$A$404,0)),0))</f>
        <v/>
      </c>
      <c r="H1237" s="81">
        <f>IF(D1237="","",N(F1237)*N(G1237))</f>
        <v/>
      </c>
      <c r="I1237" s="7" t="n"/>
      <c r="J1237" s="9">
        <f>IF(I1237="","",IFERROR(INDEX('Ordres de travail'!$D$5:$D$3004,MATCH(I1237,'Ordres de travail'!$A$5:$A$3004,0)),""))</f>
        <v/>
      </c>
      <c r="K1237" s="9">
        <f>IF(D1237="","",IFERROR(INDEX('Stock pièces'!$D$5:$D$404,MATCH(D1237,'Stock pièces'!$A$5:$A$404,0)),""))</f>
        <v/>
      </c>
      <c r="L1237" s="7" t="n"/>
      <c r="M1237" s="7" t="n"/>
    </row>
    <row r="1238">
      <c r="A1238" s="7" t="n"/>
      <c r="B1238" s="75" t="n"/>
      <c r="C1238" s="7" t="n"/>
      <c r="D1238" s="7" t="n"/>
      <c r="E1238" s="9">
        <f>IF(D1238="","",IFERROR(INDEX('Stock pièces'!$B$5:$B$404,MATCH(D1238,'Stock pièces'!$A$5:$A$404,0)),"Réf. inconnue"))</f>
        <v/>
      </c>
      <c r="F1238" s="67" t="n"/>
      <c r="G1238" s="81">
        <f>IF(D1238="","",IFERROR(INDEX('Stock pièces'!$I$5:$I$404,MATCH(D1238,'Stock pièces'!$A$5:$A$404,0)),0))</f>
        <v/>
      </c>
      <c r="H1238" s="81">
        <f>IF(D1238="","",N(F1238)*N(G1238))</f>
        <v/>
      </c>
      <c r="I1238" s="7" t="n"/>
      <c r="J1238" s="9">
        <f>IF(I1238="","",IFERROR(INDEX('Ordres de travail'!$D$5:$D$3004,MATCH(I1238,'Ordres de travail'!$A$5:$A$3004,0)),""))</f>
        <v/>
      </c>
      <c r="K1238" s="9">
        <f>IF(D1238="","",IFERROR(INDEX('Stock pièces'!$D$5:$D$404,MATCH(D1238,'Stock pièces'!$A$5:$A$404,0)),""))</f>
        <v/>
      </c>
      <c r="L1238" s="7" t="n"/>
      <c r="M1238" s="7" t="n"/>
    </row>
    <row r="1239">
      <c r="A1239" s="7" t="n"/>
      <c r="B1239" s="75" t="n"/>
      <c r="C1239" s="7" t="n"/>
      <c r="D1239" s="7" t="n"/>
      <c r="E1239" s="9">
        <f>IF(D1239="","",IFERROR(INDEX('Stock pièces'!$B$5:$B$404,MATCH(D1239,'Stock pièces'!$A$5:$A$404,0)),"Réf. inconnue"))</f>
        <v/>
      </c>
      <c r="F1239" s="67" t="n"/>
      <c r="G1239" s="81">
        <f>IF(D1239="","",IFERROR(INDEX('Stock pièces'!$I$5:$I$404,MATCH(D1239,'Stock pièces'!$A$5:$A$404,0)),0))</f>
        <v/>
      </c>
      <c r="H1239" s="81">
        <f>IF(D1239="","",N(F1239)*N(G1239))</f>
        <v/>
      </c>
      <c r="I1239" s="7" t="n"/>
      <c r="J1239" s="9">
        <f>IF(I1239="","",IFERROR(INDEX('Ordres de travail'!$D$5:$D$3004,MATCH(I1239,'Ordres de travail'!$A$5:$A$3004,0)),""))</f>
        <v/>
      </c>
      <c r="K1239" s="9">
        <f>IF(D1239="","",IFERROR(INDEX('Stock pièces'!$D$5:$D$404,MATCH(D1239,'Stock pièces'!$A$5:$A$404,0)),""))</f>
        <v/>
      </c>
      <c r="L1239" s="7" t="n"/>
      <c r="M1239" s="7" t="n"/>
    </row>
    <row r="1240">
      <c r="A1240" s="7" t="n"/>
      <c r="B1240" s="75" t="n"/>
      <c r="C1240" s="7" t="n"/>
      <c r="D1240" s="7" t="n"/>
      <c r="E1240" s="9">
        <f>IF(D1240="","",IFERROR(INDEX('Stock pièces'!$B$5:$B$404,MATCH(D1240,'Stock pièces'!$A$5:$A$404,0)),"Réf. inconnue"))</f>
        <v/>
      </c>
      <c r="F1240" s="67" t="n"/>
      <c r="G1240" s="81">
        <f>IF(D1240="","",IFERROR(INDEX('Stock pièces'!$I$5:$I$404,MATCH(D1240,'Stock pièces'!$A$5:$A$404,0)),0))</f>
        <v/>
      </c>
      <c r="H1240" s="81">
        <f>IF(D1240="","",N(F1240)*N(G1240))</f>
        <v/>
      </c>
      <c r="I1240" s="7" t="n"/>
      <c r="J1240" s="9">
        <f>IF(I1240="","",IFERROR(INDEX('Ordres de travail'!$D$5:$D$3004,MATCH(I1240,'Ordres de travail'!$A$5:$A$3004,0)),""))</f>
        <v/>
      </c>
      <c r="K1240" s="9">
        <f>IF(D1240="","",IFERROR(INDEX('Stock pièces'!$D$5:$D$404,MATCH(D1240,'Stock pièces'!$A$5:$A$404,0)),""))</f>
        <v/>
      </c>
      <c r="L1240" s="7" t="n"/>
      <c r="M1240" s="7" t="n"/>
    </row>
    <row r="1241">
      <c r="A1241" s="7" t="n"/>
      <c r="B1241" s="75" t="n"/>
      <c r="C1241" s="7" t="n"/>
      <c r="D1241" s="7" t="n"/>
      <c r="E1241" s="9">
        <f>IF(D1241="","",IFERROR(INDEX('Stock pièces'!$B$5:$B$404,MATCH(D1241,'Stock pièces'!$A$5:$A$404,0)),"Réf. inconnue"))</f>
        <v/>
      </c>
      <c r="F1241" s="67" t="n"/>
      <c r="G1241" s="81">
        <f>IF(D1241="","",IFERROR(INDEX('Stock pièces'!$I$5:$I$404,MATCH(D1241,'Stock pièces'!$A$5:$A$404,0)),0))</f>
        <v/>
      </c>
      <c r="H1241" s="81">
        <f>IF(D1241="","",N(F1241)*N(G1241))</f>
        <v/>
      </c>
      <c r="I1241" s="7" t="n"/>
      <c r="J1241" s="9">
        <f>IF(I1241="","",IFERROR(INDEX('Ordres de travail'!$D$5:$D$3004,MATCH(I1241,'Ordres de travail'!$A$5:$A$3004,0)),""))</f>
        <v/>
      </c>
      <c r="K1241" s="9">
        <f>IF(D1241="","",IFERROR(INDEX('Stock pièces'!$D$5:$D$404,MATCH(D1241,'Stock pièces'!$A$5:$A$404,0)),""))</f>
        <v/>
      </c>
      <c r="L1241" s="7" t="n"/>
      <c r="M1241" s="7" t="n"/>
    </row>
    <row r="1242">
      <c r="A1242" s="7" t="n"/>
      <c r="B1242" s="75" t="n"/>
      <c r="C1242" s="7" t="n"/>
      <c r="D1242" s="7" t="n"/>
      <c r="E1242" s="9">
        <f>IF(D1242="","",IFERROR(INDEX('Stock pièces'!$B$5:$B$404,MATCH(D1242,'Stock pièces'!$A$5:$A$404,0)),"Réf. inconnue"))</f>
        <v/>
      </c>
      <c r="F1242" s="67" t="n"/>
      <c r="G1242" s="81">
        <f>IF(D1242="","",IFERROR(INDEX('Stock pièces'!$I$5:$I$404,MATCH(D1242,'Stock pièces'!$A$5:$A$404,0)),0))</f>
        <v/>
      </c>
      <c r="H1242" s="81">
        <f>IF(D1242="","",N(F1242)*N(G1242))</f>
        <v/>
      </c>
      <c r="I1242" s="7" t="n"/>
      <c r="J1242" s="9">
        <f>IF(I1242="","",IFERROR(INDEX('Ordres de travail'!$D$5:$D$3004,MATCH(I1242,'Ordres de travail'!$A$5:$A$3004,0)),""))</f>
        <v/>
      </c>
      <c r="K1242" s="9">
        <f>IF(D1242="","",IFERROR(INDEX('Stock pièces'!$D$5:$D$404,MATCH(D1242,'Stock pièces'!$A$5:$A$404,0)),""))</f>
        <v/>
      </c>
      <c r="L1242" s="7" t="n"/>
      <c r="M1242" s="7" t="n"/>
    </row>
    <row r="1243">
      <c r="A1243" s="7" t="n"/>
      <c r="B1243" s="75" t="n"/>
      <c r="C1243" s="7" t="n"/>
      <c r="D1243" s="7" t="n"/>
      <c r="E1243" s="9">
        <f>IF(D1243="","",IFERROR(INDEX('Stock pièces'!$B$5:$B$404,MATCH(D1243,'Stock pièces'!$A$5:$A$404,0)),"Réf. inconnue"))</f>
        <v/>
      </c>
      <c r="F1243" s="67" t="n"/>
      <c r="G1243" s="81">
        <f>IF(D1243="","",IFERROR(INDEX('Stock pièces'!$I$5:$I$404,MATCH(D1243,'Stock pièces'!$A$5:$A$404,0)),0))</f>
        <v/>
      </c>
      <c r="H1243" s="81">
        <f>IF(D1243="","",N(F1243)*N(G1243))</f>
        <v/>
      </c>
      <c r="I1243" s="7" t="n"/>
      <c r="J1243" s="9">
        <f>IF(I1243="","",IFERROR(INDEX('Ordres de travail'!$D$5:$D$3004,MATCH(I1243,'Ordres de travail'!$A$5:$A$3004,0)),""))</f>
        <v/>
      </c>
      <c r="K1243" s="9">
        <f>IF(D1243="","",IFERROR(INDEX('Stock pièces'!$D$5:$D$404,MATCH(D1243,'Stock pièces'!$A$5:$A$404,0)),""))</f>
        <v/>
      </c>
      <c r="L1243" s="7" t="n"/>
      <c r="M1243" s="7" t="n"/>
    </row>
    <row r="1244">
      <c r="A1244" s="7" t="n"/>
      <c r="B1244" s="75" t="n"/>
      <c r="C1244" s="7" t="n"/>
      <c r="D1244" s="7" t="n"/>
      <c r="E1244" s="9">
        <f>IF(D1244="","",IFERROR(INDEX('Stock pièces'!$B$5:$B$404,MATCH(D1244,'Stock pièces'!$A$5:$A$404,0)),"Réf. inconnue"))</f>
        <v/>
      </c>
      <c r="F1244" s="67" t="n"/>
      <c r="G1244" s="81">
        <f>IF(D1244="","",IFERROR(INDEX('Stock pièces'!$I$5:$I$404,MATCH(D1244,'Stock pièces'!$A$5:$A$404,0)),0))</f>
        <v/>
      </c>
      <c r="H1244" s="81">
        <f>IF(D1244="","",N(F1244)*N(G1244))</f>
        <v/>
      </c>
      <c r="I1244" s="7" t="n"/>
      <c r="J1244" s="9">
        <f>IF(I1244="","",IFERROR(INDEX('Ordres de travail'!$D$5:$D$3004,MATCH(I1244,'Ordres de travail'!$A$5:$A$3004,0)),""))</f>
        <v/>
      </c>
      <c r="K1244" s="9">
        <f>IF(D1244="","",IFERROR(INDEX('Stock pièces'!$D$5:$D$404,MATCH(D1244,'Stock pièces'!$A$5:$A$404,0)),""))</f>
        <v/>
      </c>
      <c r="L1244" s="7" t="n"/>
      <c r="M1244" s="7" t="n"/>
    </row>
    <row r="1245">
      <c r="A1245" s="7" t="n"/>
      <c r="B1245" s="75" t="n"/>
      <c r="C1245" s="7" t="n"/>
      <c r="D1245" s="7" t="n"/>
      <c r="E1245" s="9">
        <f>IF(D1245="","",IFERROR(INDEX('Stock pièces'!$B$5:$B$404,MATCH(D1245,'Stock pièces'!$A$5:$A$404,0)),"Réf. inconnue"))</f>
        <v/>
      </c>
      <c r="F1245" s="67" t="n"/>
      <c r="G1245" s="81">
        <f>IF(D1245="","",IFERROR(INDEX('Stock pièces'!$I$5:$I$404,MATCH(D1245,'Stock pièces'!$A$5:$A$404,0)),0))</f>
        <v/>
      </c>
      <c r="H1245" s="81">
        <f>IF(D1245="","",N(F1245)*N(G1245))</f>
        <v/>
      </c>
      <c r="I1245" s="7" t="n"/>
      <c r="J1245" s="9">
        <f>IF(I1245="","",IFERROR(INDEX('Ordres de travail'!$D$5:$D$3004,MATCH(I1245,'Ordres de travail'!$A$5:$A$3004,0)),""))</f>
        <v/>
      </c>
      <c r="K1245" s="9">
        <f>IF(D1245="","",IFERROR(INDEX('Stock pièces'!$D$5:$D$404,MATCH(D1245,'Stock pièces'!$A$5:$A$404,0)),""))</f>
        <v/>
      </c>
      <c r="L1245" s="7" t="n"/>
      <c r="M1245" s="7" t="n"/>
    </row>
    <row r="1246">
      <c r="A1246" s="7" t="n"/>
      <c r="B1246" s="75" t="n"/>
      <c r="C1246" s="7" t="n"/>
      <c r="D1246" s="7" t="n"/>
      <c r="E1246" s="9">
        <f>IF(D1246="","",IFERROR(INDEX('Stock pièces'!$B$5:$B$404,MATCH(D1246,'Stock pièces'!$A$5:$A$404,0)),"Réf. inconnue"))</f>
        <v/>
      </c>
      <c r="F1246" s="67" t="n"/>
      <c r="G1246" s="81">
        <f>IF(D1246="","",IFERROR(INDEX('Stock pièces'!$I$5:$I$404,MATCH(D1246,'Stock pièces'!$A$5:$A$404,0)),0))</f>
        <v/>
      </c>
      <c r="H1246" s="81">
        <f>IF(D1246="","",N(F1246)*N(G1246))</f>
        <v/>
      </c>
      <c r="I1246" s="7" t="n"/>
      <c r="J1246" s="9">
        <f>IF(I1246="","",IFERROR(INDEX('Ordres de travail'!$D$5:$D$3004,MATCH(I1246,'Ordres de travail'!$A$5:$A$3004,0)),""))</f>
        <v/>
      </c>
      <c r="K1246" s="9">
        <f>IF(D1246="","",IFERROR(INDEX('Stock pièces'!$D$5:$D$404,MATCH(D1246,'Stock pièces'!$A$5:$A$404,0)),""))</f>
        <v/>
      </c>
      <c r="L1246" s="7" t="n"/>
      <c r="M1246" s="7" t="n"/>
    </row>
    <row r="1247">
      <c r="A1247" s="7" t="n"/>
      <c r="B1247" s="75" t="n"/>
      <c r="C1247" s="7" t="n"/>
      <c r="D1247" s="7" t="n"/>
      <c r="E1247" s="9">
        <f>IF(D1247="","",IFERROR(INDEX('Stock pièces'!$B$5:$B$404,MATCH(D1247,'Stock pièces'!$A$5:$A$404,0)),"Réf. inconnue"))</f>
        <v/>
      </c>
      <c r="F1247" s="67" t="n"/>
      <c r="G1247" s="81">
        <f>IF(D1247="","",IFERROR(INDEX('Stock pièces'!$I$5:$I$404,MATCH(D1247,'Stock pièces'!$A$5:$A$404,0)),0))</f>
        <v/>
      </c>
      <c r="H1247" s="81">
        <f>IF(D1247="","",N(F1247)*N(G1247))</f>
        <v/>
      </c>
      <c r="I1247" s="7" t="n"/>
      <c r="J1247" s="9">
        <f>IF(I1247="","",IFERROR(INDEX('Ordres de travail'!$D$5:$D$3004,MATCH(I1247,'Ordres de travail'!$A$5:$A$3004,0)),""))</f>
        <v/>
      </c>
      <c r="K1247" s="9">
        <f>IF(D1247="","",IFERROR(INDEX('Stock pièces'!$D$5:$D$404,MATCH(D1247,'Stock pièces'!$A$5:$A$404,0)),""))</f>
        <v/>
      </c>
      <c r="L1247" s="7" t="n"/>
      <c r="M1247" s="7" t="n"/>
    </row>
    <row r="1248">
      <c r="A1248" s="7" t="n"/>
      <c r="B1248" s="75" t="n"/>
      <c r="C1248" s="7" t="n"/>
      <c r="D1248" s="7" t="n"/>
      <c r="E1248" s="9">
        <f>IF(D1248="","",IFERROR(INDEX('Stock pièces'!$B$5:$B$404,MATCH(D1248,'Stock pièces'!$A$5:$A$404,0)),"Réf. inconnue"))</f>
        <v/>
      </c>
      <c r="F1248" s="67" t="n"/>
      <c r="G1248" s="81">
        <f>IF(D1248="","",IFERROR(INDEX('Stock pièces'!$I$5:$I$404,MATCH(D1248,'Stock pièces'!$A$5:$A$404,0)),0))</f>
        <v/>
      </c>
      <c r="H1248" s="81">
        <f>IF(D1248="","",N(F1248)*N(G1248))</f>
        <v/>
      </c>
      <c r="I1248" s="7" t="n"/>
      <c r="J1248" s="9">
        <f>IF(I1248="","",IFERROR(INDEX('Ordres de travail'!$D$5:$D$3004,MATCH(I1248,'Ordres de travail'!$A$5:$A$3004,0)),""))</f>
        <v/>
      </c>
      <c r="K1248" s="9">
        <f>IF(D1248="","",IFERROR(INDEX('Stock pièces'!$D$5:$D$404,MATCH(D1248,'Stock pièces'!$A$5:$A$404,0)),""))</f>
        <v/>
      </c>
      <c r="L1248" s="7" t="n"/>
      <c r="M1248" s="7" t="n"/>
    </row>
    <row r="1249">
      <c r="A1249" s="7" t="n"/>
      <c r="B1249" s="75" t="n"/>
      <c r="C1249" s="7" t="n"/>
      <c r="D1249" s="7" t="n"/>
      <c r="E1249" s="9">
        <f>IF(D1249="","",IFERROR(INDEX('Stock pièces'!$B$5:$B$404,MATCH(D1249,'Stock pièces'!$A$5:$A$404,0)),"Réf. inconnue"))</f>
        <v/>
      </c>
      <c r="F1249" s="67" t="n"/>
      <c r="G1249" s="81">
        <f>IF(D1249="","",IFERROR(INDEX('Stock pièces'!$I$5:$I$404,MATCH(D1249,'Stock pièces'!$A$5:$A$404,0)),0))</f>
        <v/>
      </c>
      <c r="H1249" s="81">
        <f>IF(D1249="","",N(F1249)*N(G1249))</f>
        <v/>
      </c>
      <c r="I1249" s="7" t="n"/>
      <c r="J1249" s="9">
        <f>IF(I1249="","",IFERROR(INDEX('Ordres de travail'!$D$5:$D$3004,MATCH(I1249,'Ordres de travail'!$A$5:$A$3004,0)),""))</f>
        <v/>
      </c>
      <c r="K1249" s="9">
        <f>IF(D1249="","",IFERROR(INDEX('Stock pièces'!$D$5:$D$404,MATCH(D1249,'Stock pièces'!$A$5:$A$404,0)),""))</f>
        <v/>
      </c>
      <c r="L1249" s="7" t="n"/>
      <c r="M1249" s="7" t="n"/>
    </row>
    <row r="1250">
      <c r="A1250" s="7" t="n"/>
      <c r="B1250" s="75" t="n"/>
      <c r="C1250" s="7" t="n"/>
      <c r="D1250" s="7" t="n"/>
      <c r="E1250" s="9">
        <f>IF(D1250="","",IFERROR(INDEX('Stock pièces'!$B$5:$B$404,MATCH(D1250,'Stock pièces'!$A$5:$A$404,0)),"Réf. inconnue"))</f>
        <v/>
      </c>
      <c r="F1250" s="67" t="n"/>
      <c r="G1250" s="81">
        <f>IF(D1250="","",IFERROR(INDEX('Stock pièces'!$I$5:$I$404,MATCH(D1250,'Stock pièces'!$A$5:$A$404,0)),0))</f>
        <v/>
      </c>
      <c r="H1250" s="81">
        <f>IF(D1250="","",N(F1250)*N(G1250))</f>
        <v/>
      </c>
      <c r="I1250" s="7" t="n"/>
      <c r="J1250" s="9">
        <f>IF(I1250="","",IFERROR(INDEX('Ordres de travail'!$D$5:$D$3004,MATCH(I1250,'Ordres de travail'!$A$5:$A$3004,0)),""))</f>
        <v/>
      </c>
      <c r="K1250" s="9">
        <f>IF(D1250="","",IFERROR(INDEX('Stock pièces'!$D$5:$D$404,MATCH(D1250,'Stock pièces'!$A$5:$A$404,0)),""))</f>
        <v/>
      </c>
      <c r="L1250" s="7" t="n"/>
      <c r="M1250" s="7" t="n"/>
    </row>
    <row r="1251">
      <c r="A1251" s="7" t="n"/>
      <c r="B1251" s="75" t="n"/>
      <c r="C1251" s="7" t="n"/>
      <c r="D1251" s="7" t="n"/>
      <c r="E1251" s="9">
        <f>IF(D1251="","",IFERROR(INDEX('Stock pièces'!$B$5:$B$404,MATCH(D1251,'Stock pièces'!$A$5:$A$404,0)),"Réf. inconnue"))</f>
        <v/>
      </c>
      <c r="F1251" s="67" t="n"/>
      <c r="G1251" s="81">
        <f>IF(D1251="","",IFERROR(INDEX('Stock pièces'!$I$5:$I$404,MATCH(D1251,'Stock pièces'!$A$5:$A$404,0)),0))</f>
        <v/>
      </c>
      <c r="H1251" s="81">
        <f>IF(D1251="","",N(F1251)*N(G1251))</f>
        <v/>
      </c>
      <c r="I1251" s="7" t="n"/>
      <c r="J1251" s="9">
        <f>IF(I1251="","",IFERROR(INDEX('Ordres de travail'!$D$5:$D$3004,MATCH(I1251,'Ordres de travail'!$A$5:$A$3004,0)),""))</f>
        <v/>
      </c>
      <c r="K1251" s="9">
        <f>IF(D1251="","",IFERROR(INDEX('Stock pièces'!$D$5:$D$404,MATCH(D1251,'Stock pièces'!$A$5:$A$404,0)),""))</f>
        <v/>
      </c>
      <c r="L1251" s="7" t="n"/>
      <c r="M1251" s="7" t="n"/>
    </row>
    <row r="1252">
      <c r="A1252" s="7" t="n"/>
      <c r="B1252" s="75" t="n"/>
      <c r="C1252" s="7" t="n"/>
      <c r="D1252" s="7" t="n"/>
      <c r="E1252" s="9">
        <f>IF(D1252="","",IFERROR(INDEX('Stock pièces'!$B$5:$B$404,MATCH(D1252,'Stock pièces'!$A$5:$A$404,0)),"Réf. inconnue"))</f>
        <v/>
      </c>
      <c r="F1252" s="67" t="n"/>
      <c r="G1252" s="81">
        <f>IF(D1252="","",IFERROR(INDEX('Stock pièces'!$I$5:$I$404,MATCH(D1252,'Stock pièces'!$A$5:$A$404,0)),0))</f>
        <v/>
      </c>
      <c r="H1252" s="81">
        <f>IF(D1252="","",N(F1252)*N(G1252))</f>
        <v/>
      </c>
      <c r="I1252" s="7" t="n"/>
      <c r="J1252" s="9">
        <f>IF(I1252="","",IFERROR(INDEX('Ordres de travail'!$D$5:$D$3004,MATCH(I1252,'Ordres de travail'!$A$5:$A$3004,0)),""))</f>
        <v/>
      </c>
      <c r="K1252" s="9">
        <f>IF(D1252="","",IFERROR(INDEX('Stock pièces'!$D$5:$D$404,MATCH(D1252,'Stock pièces'!$A$5:$A$404,0)),""))</f>
        <v/>
      </c>
      <c r="L1252" s="7" t="n"/>
      <c r="M1252" s="7" t="n"/>
    </row>
    <row r="1253">
      <c r="A1253" s="7" t="n"/>
      <c r="B1253" s="75" t="n"/>
      <c r="C1253" s="7" t="n"/>
      <c r="D1253" s="7" t="n"/>
      <c r="E1253" s="9">
        <f>IF(D1253="","",IFERROR(INDEX('Stock pièces'!$B$5:$B$404,MATCH(D1253,'Stock pièces'!$A$5:$A$404,0)),"Réf. inconnue"))</f>
        <v/>
      </c>
      <c r="F1253" s="67" t="n"/>
      <c r="G1253" s="81">
        <f>IF(D1253="","",IFERROR(INDEX('Stock pièces'!$I$5:$I$404,MATCH(D1253,'Stock pièces'!$A$5:$A$404,0)),0))</f>
        <v/>
      </c>
      <c r="H1253" s="81">
        <f>IF(D1253="","",N(F1253)*N(G1253))</f>
        <v/>
      </c>
      <c r="I1253" s="7" t="n"/>
      <c r="J1253" s="9">
        <f>IF(I1253="","",IFERROR(INDEX('Ordres de travail'!$D$5:$D$3004,MATCH(I1253,'Ordres de travail'!$A$5:$A$3004,0)),""))</f>
        <v/>
      </c>
      <c r="K1253" s="9">
        <f>IF(D1253="","",IFERROR(INDEX('Stock pièces'!$D$5:$D$404,MATCH(D1253,'Stock pièces'!$A$5:$A$404,0)),""))</f>
        <v/>
      </c>
      <c r="L1253" s="7" t="n"/>
      <c r="M1253" s="7" t="n"/>
    </row>
    <row r="1254">
      <c r="A1254" s="7" t="n"/>
      <c r="B1254" s="75" t="n"/>
      <c r="C1254" s="7" t="n"/>
      <c r="D1254" s="7" t="n"/>
      <c r="E1254" s="9">
        <f>IF(D1254="","",IFERROR(INDEX('Stock pièces'!$B$5:$B$404,MATCH(D1254,'Stock pièces'!$A$5:$A$404,0)),"Réf. inconnue"))</f>
        <v/>
      </c>
      <c r="F1254" s="67" t="n"/>
      <c r="G1254" s="81">
        <f>IF(D1254="","",IFERROR(INDEX('Stock pièces'!$I$5:$I$404,MATCH(D1254,'Stock pièces'!$A$5:$A$404,0)),0))</f>
        <v/>
      </c>
      <c r="H1254" s="81">
        <f>IF(D1254="","",N(F1254)*N(G1254))</f>
        <v/>
      </c>
      <c r="I1254" s="7" t="n"/>
      <c r="J1254" s="9">
        <f>IF(I1254="","",IFERROR(INDEX('Ordres de travail'!$D$5:$D$3004,MATCH(I1254,'Ordres de travail'!$A$5:$A$3004,0)),""))</f>
        <v/>
      </c>
      <c r="K1254" s="9">
        <f>IF(D1254="","",IFERROR(INDEX('Stock pièces'!$D$5:$D$404,MATCH(D1254,'Stock pièces'!$A$5:$A$404,0)),""))</f>
        <v/>
      </c>
      <c r="L1254" s="7" t="n"/>
      <c r="M1254" s="7" t="n"/>
    </row>
    <row r="1255">
      <c r="A1255" s="7" t="n"/>
      <c r="B1255" s="75" t="n"/>
      <c r="C1255" s="7" t="n"/>
      <c r="D1255" s="7" t="n"/>
      <c r="E1255" s="9">
        <f>IF(D1255="","",IFERROR(INDEX('Stock pièces'!$B$5:$B$404,MATCH(D1255,'Stock pièces'!$A$5:$A$404,0)),"Réf. inconnue"))</f>
        <v/>
      </c>
      <c r="F1255" s="67" t="n"/>
      <c r="G1255" s="81">
        <f>IF(D1255="","",IFERROR(INDEX('Stock pièces'!$I$5:$I$404,MATCH(D1255,'Stock pièces'!$A$5:$A$404,0)),0))</f>
        <v/>
      </c>
      <c r="H1255" s="81">
        <f>IF(D1255="","",N(F1255)*N(G1255))</f>
        <v/>
      </c>
      <c r="I1255" s="7" t="n"/>
      <c r="J1255" s="9">
        <f>IF(I1255="","",IFERROR(INDEX('Ordres de travail'!$D$5:$D$3004,MATCH(I1255,'Ordres de travail'!$A$5:$A$3004,0)),""))</f>
        <v/>
      </c>
      <c r="K1255" s="9">
        <f>IF(D1255="","",IFERROR(INDEX('Stock pièces'!$D$5:$D$404,MATCH(D1255,'Stock pièces'!$A$5:$A$404,0)),""))</f>
        <v/>
      </c>
      <c r="L1255" s="7" t="n"/>
      <c r="M1255" s="7" t="n"/>
    </row>
    <row r="1256">
      <c r="A1256" s="7" t="n"/>
      <c r="B1256" s="75" t="n"/>
      <c r="C1256" s="7" t="n"/>
      <c r="D1256" s="7" t="n"/>
      <c r="E1256" s="9">
        <f>IF(D1256="","",IFERROR(INDEX('Stock pièces'!$B$5:$B$404,MATCH(D1256,'Stock pièces'!$A$5:$A$404,0)),"Réf. inconnue"))</f>
        <v/>
      </c>
      <c r="F1256" s="67" t="n"/>
      <c r="G1256" s="81">
        <f>IF(D1256="","",IFERROR(INDEX('Stock pièces'!$I$5:$I$404,MATCH(D1256,'Stock pièces'!$A$5:$A$404,0)),0))</f>
        <v/>
      </c>
      <c r="H1256" s="81">
        <f>IF(D1256="","",N(F1256)*N(G1256))</f>
        <v/>
      </c>
      <c r="I1256" s="7" t="n"/>
      <c r="J1256" s="9">
        <f>IF(I1256="","",IFERROR(INDEX('Ordres de travail'!$D$5:$D$3004,MATCH(I1256,'Ordres de travail'!$A$5:$A$3004,0)),""))</f>
        <v/>
      </c>
      <c r="K1256" s="9">
        <f>IF(D1256="","",IFERROR(INDEX('Stock pièces'!$D$5:$D$404,MATCH(D1256,'Stock pièces'!$A$5:$A$404,0)),""))</f>
        <v/>
      </c>
      <c r="L1256" s="7" t="n"/>
      <c r="M1256" s="7" t="n"/>
    </row>
    <row r="1257">
      <c r="A1257" s="7" t="n"/>
      <c r="B1257" s="75" t="n"/>
      <c r="C1257" s="7" t="n"/>
      <c r="D1257" s="7" t="n"/>
      <c r="E1257" s="9">
        <f>IF(D1257="","",IFERROR(INDEX('Stock pièces'!$B$5:$B$404,MATCH(D1257,'Stock pièces'!$A$5:$A$404,0)),"Réf. inconnue"))</f>
        <v/>
      </c>
      <c r="F1257" s="67" t="n"/>
      <c r="G1257" s="81">
        <f>IF(D1257="","",IFERROR(INDEX('Stock pièces'!$I$5:$I$404,MATCH(D1257,'Stock pièces'!$A$5:$A$404,0)),0))</f>
        <v/>
      </c>
      <c r="H1257" s="81">
        <f>IF(D1257="","",N(F1257)*N(G1257))</f>
        <v/>
      </c>
      <c r="I1257" s="7" t="n"/>
      <c r="J1257" s="9">
        <f>IF(I1257="","",IFERROR(INDEX('Ordres de travail'!$D$5:$D$3004,MATCH(I1257,'Ordres de travail'!$A$5:$A$3004,0)),""))</f>
        <v/>
      </c>
      <c r="K1257" s="9">
        <f>IF(D1257="","",IFERROR(INDEX('Stock pièces'!$D$5:$D$404,MATCH(D1257,'Stock pièces'!$A$5:$A$404,0)),""))</f>
        <v/>
      </c>
      <c r="L1257" s="7" t="n"/>
      <c r="M1257" s="7" t="n"/>
    </row>
    <row r="1258">
      <c r="A1258" s="7" t="n"/>
      <c r="B1258" s="75" t="n"/>
      <c r="C1258" s="7" t="n"/>
      <c r="D1258" s="7" t="n"/>
      <c r="E1258" s="9">
        <f>IF(D1258="","",IFERROR(INDEX('Stock pièces'!$B$5:$B$404,MATCH(D1258,'Stock pièces'!$A$5:$A$404,0)),"Réf. inconnue"))</f>
        <v/>
      </c>
      <c r="F1258" s="67" t="n"/>
      <c r="G1258" s="81">
        <f>IF(D1258="","",IFERROR(INDEX('Stock pièces'!$I$5:$I$404,MATCH(D1258,'Stock pièces'!$A$5:$A$404,0)),0))</f>
        <v/>
      </c>
      <c r="H1258" s="81">
        <f>IF(D1258="","",N(F1258)*N(G1258))</f>
        <v/>
      </c>
      <c r="I1258" s="7" t="n"/>
      <c r="J1258" s="9">
        <f>IF(I1258="","",IFERROR(INDEX('Ordres de travail'!$D$5:$D$3004,MATCH(I1258,'Ordres de travail'!$A$5:$A$3004,0)),""))</f>
        <v/>
      </c>
      <c r="K1258" s="9">
        <f>IF(D1258="","",IFERROR(INDEX('Stock pièces'!$D$5:$D$404,MATCH(D1258,'Stock pièces'!$A$5:$A$404,0)),""))</f>
        <v/>
      </c>
      <c r="L1258" s="7" t="n"/>
      <c r="M1258" s="7" t="n"/>
    </row>
    <row r="1259">
      <c r="A1259" s="7" t="n"/>
      <c r="B1259" s="75" t="n"/>
      <c r="C1259" s="7" t="n"/>
      <c r="D1259" s="7" t="n"/>
      <c r="E1259" s="9">
        <f>IF(D1259="","",IFERROR(INDEX('Stock pièces'!$B$5:$B$404,MATCH(D1259,'Stock pièces'!$A$5:$A$404,0)),"Réf. inconnue"))</f>
        <v/>
      </c>
      <c r="F1259" s="67" t="n"/>
      <c r="G1259" s="81">
        <f>IF(D1259="","",IFERROR(INDEX('Stock pièces'!$I$5:$I$404,MATCH(D1259,'Stock pièces'!$A$5:$A$404,0)),0))</f>
        <v/>
      </c>
      <c r="H1259" s="81">
        <f>IF(D1259="","",N(F1259)*N(G1259))</f>
        <v/>
      </c>
      <c r="I1259" s="7" t="n"/>
      <c r="J1259" s="9">
        <f>IF(I1259="","",IFERROR(INDEX('Ordres de travail'!$D$5:$D$3004,MATCH(I1259,'Ordres de travail'!$A$5:$A$3004,0)),""))</f>
        <v/>
      </c>
      <c r="K1259" s="9">
        <f>IF(D1259="","",IFERROR(INDEX('Stock pièces'!$D$5:$D$404,MATCH(D1259,'Stock pièces'!$A$5:$A$404,0)),""))</f>
        <v/>
      </c>
      <c r="L1259" s="7" t="n"/>
      <c r="M1259" s="7" t="n"/>
    </row>
    <row r="1260">
      <c r="A1260" s="7" t="n"/>
      <c r="B1260" s="75" t="n"/>
      <c r="C1260" s="7" t="n"/>
      <c r="D1260" s="7" t="n"/>
      <c r="E1260" s="9">
        <f>IF(D1260="","",IFERROR(INDEX('Stock pièces'!$B$5:$B$404,MATCH(D1260,'Stock pièces'!$A$5:$A$404,0)),"Réf. inconnue"))</f>
        <v/>
      </c>
      <c r="F1260" s="67" t="n"/>
      <c r="G1260" s="81">
        <f>IF(D1260="","",IFERROR(INDEX('Stock pièces'!$I$5:$I$404,MATCH(D1260,'Stock pièces'!$A$5:$A$404,0)),0))</f>
        <v/>
      </c>
      <c r="H1260" s="81">
        <f>IF(D1260="","",N(F1260)*N(G1260))</f>
        <v/>
      </c>
      <c r="I1260" s="7" t="n"/>
      <c r="J1260" s="9">
        <f>IF(I1260="","",IFERROR(INDEX('Ordres de travail'!$D$5:$D$3004,MATCH(I1260,'Ordres de travail'!$A$5:$A$3004,0)),""))</f>
        <v/>
      </c>
      <c r="K1260" s="9">
        <f>IF(D1260="","",IFERROR(INDEX('Stock pièces'!$D$5:$D$404,MATCH(D1260,'Stock pièces'!$A$5:$A$404,0)),""))</f>
        <v/>
      </c>
      <c r="L1260" s="7" t="n"/>
      <c r="M1260" s="7" t="n"/>
    </row>
    <row r="1261">
      <c r="A1261" s="7" t="n"/>
      <c r="B1261" s="75" t="n"/>
      <c r="C1261" s="7" t="n"/>
      <c r="D1261" s="7" t="n"/>
      <c r="E1261" s="9">
        <f>IF(D1261="","",IFERROR(INDEX('Stock pièces'!$B$5:$B$404,MATCH(D1261,'Stock pièces'!$A$5:$A$404,0)),"Réf. inconnue"))</f>
        <v/>
      </c>
      <c r="F1261" s="67" t="n"/>
      <c r="G1261" s="81">
        <f>IF(D1261="","",IFERROR(INDEX('Stock pièces'!$I$5:$I$404,MATCH(D1261,'Stock pièces'!$A$5:$A$404,0)),0))</f>
        <v/>
      </c>
      <c r="H1261" s="81">
        <f>IF(D1261="","",N(F1261)*N(G1261))</f>
        <v/>
      </c>
      <c r="I1261" s="7" t="n"/>
      <c r="J1261" s="9">
        <f>IF(I1261="","",IFERROR(INDEX('Ordres de travail'!$D$5:$D$3004,MATCH(I1261,'Ordres de travail'!$A$5:$A$3004,0)),""))</f>
        <v/>
      </c>
      <c r="K1261" s="9">
        <f>IF(D1261="","",IFERROR(INDEX('Stock pièces'!$D$5:$D$404,MATCH(D1261,'Stock pièces'!$A$5:$A$404,0)),""))</f>
        <v/>
      </c>
      <c r="L1261" s="7" t="n"/>
      <c r="M1261" s="7" t="n"/>
    </row>
    <row r="1262">
      <c r="A1262" s="7" t="n"/>
      <c r="B1262" s="75" t="n"/>
      <c r="C1262" s="7" t="n"/>
      <c r="D1262" s="7" t="n"/>
      <c r="E1262" s="9">
        <f>IF(D1262="","",IFERROR(INDEX('Stock pièces'!$B$5:$B$404,MATCH(D1262,'Stock pièces'!$A$5:$A$404,0)),"Réf. inconnue"))</f>
        <v/>
      </c>
      <c r="F1262" s="67" t="n"/>
      <c r="G1262" s="81">
        <f>IF(D1262="","",IFERROR(INDEX('Stock pièces'!$I$5:$I$404,MATCH(D1262,'Stock pièces'!$A$5:$A$404,0)),0))</f>
        <v/>
      </c>
      <c r="H1262" s="81">
        <f>IF(D1262="","",N(F1262)*N(G1262))</f>
        <v/>
      </c>
      <c r="I1262" s="7" t="n"/>
      <c r="J1262" s="9">
        <f>IF(I1262="","",IFERROR(INDEX('Ordres de travail'!$D$5:$D$3004,MATCH(I1262,'Ordres de travail'!$A$5:$A$3004,0)),""))</f>
        <v/>
      </c>
      <c r="K1262" s="9">
        <f>IF(D1262="","",IFERROR(INDEX('Stock pièces'!$D$5:$D$404,MATCH(D1262,'Stock pièces'!$A$5:$A$404,0)),""))</f>
        <v/>
      </c>
      <c r="L1262" s="7" t="n"/>
      <c r="M1262" s="7" t="n"/>
    </row>
    <row r="1263">
      <c r="A1263" s="7" t="n"/>
      <c r="B1263" s="75" t="n"/>
      <c r="C1263" s="7" t="n"/>
      <c r="D1263" s="7" t="n"/>
      <c r="E1263" s="9">
        <f>IF(D1263="","",IFERROR(INDEX('Stock pièces'!$B$5:$B$404,MATCH(D1263,'Stock pièces'!$A$5:$A$404,0)),"Réf. inconnue"))</f>
        <v/>
      </c>
      <c r="F1263" s="67" t="n"/>
      <c r="G1263" s="81">
        <f>IF(D1263="","",IFERROR(INDEX('Stock pièces'!$I$5:$I$404,MATCH(D1263,'Stock pièces'!$A$5:$A$404,0)),0))</f>
        <v/>
      </c>
      <c r="H1263" s="81">
        <f>IF(D1263="","",N(F1263)*N(G1263))</f>
        <v/>
      </c>
      <c r="I1263" s="7" t="n"/>
      <c r="J1263" s="9">
        <f>IF(I1263="","",IFERROR(INDEX('Ordres de travail'!$D$5:$D$3004,MATCH(I1263,'Ordres de travail'!$A$5:$A$3004,0)),""))</f>
        <v/>
      </c>
      <c r="K1263" s="9">
        <f>IF(D1263="","",IFERROR(INDEX('Stock pièces'!$D$5:$D$404,MATCH(D1263,'Stock pièces'!$A$5:$A$404,0)),""))</f>
        <v/>
      </c>
      <c r="L1263" s="7" t="n"/>
      <c r="M1263" s="7" t="n"/>
    </row>
    <row r="1264">
      <c r="A1264" s="7" t="n"/>
      <c r="B1264" s="75" t="n"/>
      <c r="C1264" s="7" t="n"/>
      <c r="D1264" s="7" t="n"/>
      <c r="E1264" s="9">
        <f>IF(D1264="","",IFERROR(INDEX('Stock pièces'!$B$5:$B$404,MATCH(D1264,'Stock pièces'!$A$5:$A$404,0)),"Réf. inconnue"))</f>
        <v/>
      </c>
      <c r="F1264" s="67" t="n"/>
      <c r="G1264" s="81">
        <f>IF(D1264="","",IFERROR(INDEX('Stock pièces'!$I$5:$I$404,MATCH(D1264,'Stock pièces'!$A$5:$A$404,0)),0))</f>
        <v/>
      </c>
      <c r="H1264" s="81">
        <f>IF(D1264="","",N(F1264)*N(G1264))</f>
        <v/>
      </c>
      <c r="I1264" s="7" t="n"/>
      <c r="J1264" s="9">
        <f>IF(I1264="","",IFERROR(INDEX('Ordres de travail'!$D$5:$D$3004,MATCH(I1264,'Ordres de travail'!$A$5:$A$3004,0)),""))</f>
        <v/>
      </c>
      <c r="K1264" s="9">
        <f>IF(D1264="","",IFERROR(INDEX('Stock pièces'!$D$5:$D$404,MATCH(D1264,'Stock pièces'!$A$5:$A$404,0)),""))</f>
        <v/>
      </c>
      <c r="L1264" s="7" t="n"/>
      <c r="M1264" s="7" t="n"/>
    </row>
    <row r="1265">
      <c r="A1265" s="7" t="n"/>
      <c r="B1265" s="75" t="n"/>
      <c r="C1265" s="7" t="n"/>
      <c r="D1265" s="7" t="n"/>
      <c r="E1265" s="9">
        <f>IF(D1265="","",IFERROR(INDEX('Stock pièces'!$B$5:$B$404,MATCH(D1265,'Stock pièces'!$A$5:$A$404,0)),"Réf. inconnue"))</f>
        <v/>
      </c>
      <c r="F1265" s="67" t="n"/>
      <c r="G1265" s="81">
        <f>IF(D1265="","",IFERROR(INDEX('Stock pièces'!$I$5:$I$404,MATCH(D1265,'Stock pièces'!$A$5:$A$404,0)),0))</f>
        <v/>
      </c>
      <c r="H1265" s="81">
        <f>IF(D1265="","",N(F1265)*N(G1265))</f>
        <v/>
      </c>
      <c r="I1265" s="7" t="n"/>
      <c r="J1265" s="9">
        <f>IF(I1265="","",IFERROR(INDEX('Ordres de travail'!$D$5:$D$3004,MATCH(I1265,'Ordres de travail'!$A$5:$A$3004,0)),""))</f>
        <v/>
      </c>
      <c r="K1265" s="9">
        <f>IF(D1265="","",IFERROR(INDEX('Stock pièces'!$D$5:$D$404,MATCH(D1265,'Stock pièces'!$A$5:$A$404,0)),""))</f>
        <v/>
      </c>
      <c r="L1265" s="7" t="n"/>
      <c r="M1265" s="7" t="n"/>
    </row>
    <row r="1266">
      <c r="A1266" s="7" t="n"/>
      <c r="B1266" s="75" t="n"/>
      <c r="C1266" s="7" t="n"/>
      <c r="D1266" s="7" t="n"/>
      <c r="E1266" s="9">
        <f>IF(D1266="","",IFERROR(INDEX('Stock pièces'!$B$5:$B$404,MATCH(D1266,'Stock pièces'!$A$5:$A$404,0)),"Réf. inconnue"))</f>
        <v/>
      </c>
      <c r="F1266" s="67" t="n"/>
      <c r="G1266" s="81">
        <f>IF(D1266="","",IFERROR(INDEX('Stock pièces'!$I$5:$I$404,MATCH(D1266,'Stock pièces'!$A$5:$A$404,0)),0))</f>
        <v/>
      </c>
      <c r="H1266" s="81">
        <f>IF(D1266="","",N(F1266)*N(G1266))</f>
        <v/>
      </c>
      <c r="I1266" s="7" t="n"/>
      <c r="J1266" s="9">
        <f>IF(I1266="","",IFERROR(INDEX('Ordres de travail'!$D$5:$D$3004,MATCH(I1266,'Ordres de travail'!$A$5:$A$3004,0)),""))</f>
        <v/>
      </c>
      <c r="K1266" s="9">
        <f>IF(D1266="","",IFERROR(INDEX('Stock pièces'!$D$5:$D$404,MATCH(D1266,'Stock pièces'!$A$5:$A$404,0)),""))</f>
        <v/>
      </c>
      <c r="L1266" s="7" t="n"/>
      <c r="M1266" s="7" t="n"/>
    </row>
    <row r="1267">
      <c r="A1267" s="7" t="n"/>
      <c r="B1267" s="75" t="n"/>
      <c r="C1267" s="7" t="n"/>
      <c r="D1267" s="7" t="n"/>
      <c r="E1267" s="9">
        <f>IF(D1267="","",IFERROR(INDEX('Stock pièces'!$B$5:$B$404,MATCH(D1267,'Stock pièces'!$A$5:$A$404,0)),"Réf. inconnue"))</f>
        <v/>
      </c>
      <c r="F1267" s="67" t="n"/>
      <c r="G1267" s="81">
        <f>IF(D1267="","",IFERROR(INDEX('Stock pièces'!$I$5:$I$404,MATCH(D1267,'Stock pièces'!$A$5:$A$404,0)),0))</f>
        <v/>
      </c>
      <c r="H1267" s="81">
        <f>IF(D1267="","",N(F1267)*N(G1267))</f>
        <v/>
      </c>
      <c r="I1267" s="7" t="n"/>
      <c r="J1267" s="9">
        <f>IF(I1267="","",IFERROR(INDEX('Ordres de travail'!$D$5:$D$3004,MATCH(I1267,'Ordres de travail'!$A$5:$A$3004,0)),""))</f>
        <v/>
      </c>
      <c r="K1267" s="9">
        <f>IF(D1267="","",IFERROR(INDEX('Stock pièces'!$D$5:$D$404,MATCH(D1267,'Stock pièces'!$A$5:$A$404,0)),""))</f>
        <v/>
      </c>
      <c r="L1267" s="7" t="n"/>
      <c r="M1267" s="7" t="n"/>
    </row>
    <row r="1268">
      <c r="A1268" s="7" t="n"/>
      <c r="B1268" s="75" t="n"/>
      <c r="C1268" s="7" t="n"/>
      <c r="D1268" s="7" t="n"/>
      <c r="E1268" s="9">
        <f>IF(D1268="","",IFERROR(INDEX('Stock pièces'!$B$5:$B$404,MATCH(D1268,'Stock pièces'!$A$5:$A$404,0)),"Réf. inconnue"))</f>
        <v/>
      </c>
      <c r="F1268" s="67" t="n"/>
      <c r="G1268" s="81">
        <f>IF(D1268="","",IFERROR(INDEX('Stock pièces'!$I$5:$I$404,MATCH(D1268,'Stock pièces'!$A$5:$A$404,0)),0))</f>
        <v/>
      </c>
      <c r="H1268" s="81">
        <f>IF(D1268="","",N(F1268)*N(G1268))</f>
        <v/>
      </c>
      <c r="I1268" s="7" t="n"/>
      <c r="J1268" s="9">
        <f>IF(I1268="","",IFERROR(INDEX('Ordres de travail'!$D$5:$D$3004,MATCH(I1268,'Ordres de travail'!$A$5:$A$3004,0)),""))</f>
        <v/>
      </c>
      <c r="K1268" s="9">
        <f>IF(D1268="","",IFERROR(INDEX('Stock pièces'!$D$5:$D$404,MATCH(D1268,'Stock pièces'!$A$5:$A$404,0)),""))</f>
        <v/>
      </c>
      <c r="L1268" s="7" t="n"/>
      <c r="M1268" s="7" t="n"/>
    </row>
    <row r="1269">
      <c r="A1269" s="7" t="n"/>
      <c r="B1269" s="75" t="n"/>
      <c r="C1269" s="7" t="n"/>
      <c r="D1269" s="7" t="n"/>
      <c r="E1269" s="9">
        <f>IF(D1269="","",IFERROR(INDEX('Stock pièces'!$B$5:$B$404,MATCH(D1269,'Stock pièces'!$A$5:$A$404,0)),"Réf. inconnue"))</f>
        <v/>
      </c>
      <c r="F1269" s="67" t="n"/>
      <c r="G1269" s="81">
        <f>IF(D1269="","",IFERROR(INDEX('Stock pièces'!$I$5:$I$404,MATCH(D1269,'Stock pièces'!$A$5:$A$404,0)),0))</f>
        <v/>
      </c>
      <c r="H1269" s="81">
        <f>IF(D1269="","",N(F1269)*N(G1269))</f>
        <v/>
      </c>
      <c r="I1269" s="7" t="n"/>
      <c r="J1269" s="9">
        <f>IF(I1269="","",IFERROR(INDEX('Ordres de travail'!$D$5:$D$3004,MATCH(I1269,'Ordres de travail'!$A$5:$A$3004,0)),""))</f>
        <v/>
      </c>
      <c r="K1269" s="9">
        <f>IF(D1269="","",IFERROR(INDEX('Stock pièces'!$D$5:$D$404,MATCH(D1269,'Stock pièces'!$A$5:$A$404,0)),""))</f>
        <v/>
      </c>
      <c r="L1269" s="7" t="n"/>
      <c r="M1269" s="7" t="n"/>
    </row>
    <row r="1270">
      <c r="A1270" s="7" t="n"/>
      <c r="B1270" s="75" t="n"/>
      <c r="C1270" s="7" t="n"/>
      <c r="D1270" s="7" t="n"/>
      <c r="E1270" s="9">
        <f>IF(D1270="","",IFERROR(INDEX('Stock pièces'!$B$5:$B$404,MATCH(D1270,'Stock pièces'!$A$5:$A$404,0)),"Réf. inconnue"))</f>
        <v/>
      </c>
      <c r="F1270" s="67" t="n"/>
      <c r="G1270" s="81">
        <f>IF(D1270="","",IFERROR(INDEX('Stock pièces'!$I$5:$I$404,MATCH(D1270,'Stock pièces'!$A$5:$A$404,0)),0))</f>
        <v/>
      </c>
      <c r="H1270" s="81">
        <f>IF(D1270="","",N(F1270)*N(G1270))</f>
        <v/>
      </c>
      <c r="I1270" s="7" t="n"/>
      <c r="J1270" s="9">
        <f>IF(I1270="","",IFERROR(INDEX('Ordres de travail'!$D$5:$D$3004,MATCH(I1270,'Ordres de travail'!$A$5:$A$3004,0)),""))</f>
        <v/>
      </c>
      <c r="K1270" s="9">
        <f>IF(D1270="","",IFERROR(INDEX('Stock pièces'!$D$5:$D$404,MATCH(D1270,'Stock pièces'!$A$5:$A$404,0)),""))</f>
        <v/>
      </c>
      <c r="L1270" s="7" t="n"/>
      <c r="M1270" s="7" t="n"/>
    </row>
    <row r="1271">
      <c r="A1271" s="7" t="n"/>
      <c r="B1271" s="75" t="n"/>
      <c r="C1271" s="7" t="n"/>
      <c r="D1271" s="7" t="n"/>
      <c r="E1271" s="9">
        <f>IF(D1271="","",IFERROR(INDEX('Stock pièces'!$B$5:$B$404,MATCH(D1271,'Stock pièces'!$A$5:$A$404,0)),"Réf. inconnue"))</f>
        <v/>
      </c>
      <c r="F1271" s="67" t="n"/>
      <c r="G1271" s="81">
        <f>IF(D1271="","",IFERROR(INDEX('Stock pièces'!$I$5:$I$404,MATCH(D1271,'Stock pièces'!$A$5:$A$404,0)),0))</f>
        <v/>
      </c>
      <c r="H1271" s="81">
        <f>IF(D1271="","",N(F1271)*N(G1271))</f>
        <v/>
      </c>
      <c r="I1271" s="7" t="n"/>
      <c r="J1271" s="9">
        <f>IF(I1271="","",IFERROR(INDEX('Ordres de travail'!$D$5:$D$3004,MATCH(I1271,'Ordres de travail'!$A$5:$A$3004,0)),""))</f>
        <v/>
      </c>
      <c r="K1271" s="9">
        <f>IF(D1271="","",IFERROR(INDEX('Stock pièces'!$D$5:$D$404,MATCH(D1271,'Stock pièces'!$A$5:$A$404,0)),""))</f>
        <v/>
      </c>
      <c r="L1271" s="7" t="n"/>
      <c r="M1271" s="7" t="n"/>
    </row>
    <row r="1272">
      <c r="A1272" s="7" t="n"/>
      <c r="B1272" s="75" t="n"/>
      <c r="C1272" s="7" t="n"/>
      <c r="D1272" s="7" t="n"/>
      <c r="E1272" s="9">
        <f>IF(D1272="","",IFERROR(INDEX('Stock pièces'!$B$5:$B$404,MATCH(D1272,'Stock pièces'!$A$5:$A$404,0)),"Réf. inconnue"))</f>
        <v/>
      </c>
      <c r="F1272" s="67" t="n"/>
      <c r="G1272" s="81">
        <f>IF(D1272="","",IFERROR(INDEX('Stock pièces'!$I$5:$I$404,MATCH(D1272,'Stock pièces'!$A$5:$A$404,0)),0))</f>
        <v/>
      </c>
      <c r="H1272" s="81">
        <f>IF(D1272="","",N(F1272)*N(G1272))</f>
        <v/>
      </c>
      <c r="I1272" s="7" t="n"/>
      <c r="J1272" s="9">
        <f>IF(I1272="","",IFERROR(INDEX('Ordres de travail'!$D$5:$D$3004,MATCH(I1272,'Ordres de travail'!$A$5:$A$3004,0)),""))</f>
        <v/>
      </c>
      <c r="K1272" s="9">
        <f>IF(D1272="","",IFERROR(INDEX('Stock pièces'!$D$5:$D$404,MATCH(D1272,'Stock pièces'!$A$5:$A$404,0)),""))</f>
        <v/>
      </c>
      <c r="L1272" s="7" t="n"/>
      <c r="M1272" s="7" t="n"/>
    </row>
    <row r="1273">
      <c r="A1273" s="7" t="n"/>
      <c r="B1273" s="75" t="n"/>
      <c r="C1273" s="7" t="n"/>
      <c r="D1273" s="7" t="n"/>
      <c r="E1273" s="9">
        <f>IF(D1273="","",IFERROR(INDEX('Stock pièces'!$B$5:$B$404,MATCH(D1273,'Stock pièces'!$A$5:$A$404,0)),"Réf. inconnue"))</f>
        <v/>
      </c>
      <c r="F1273" s="67" t="n"/>
      <c r="G1273" s="81">
        <f>IF(D1273="","",IFERROR(INDEX('Stock pièces'!$I$5:$I$404,MATCH(D1273,'Stock pièces'!$A$5:$A$404,0)),0))</f>
        <v/>
      </c>
      <c r="H1273" s="81">
        <f>IF(D1273="","",N(F1273)*N(G1273))</f>
        <v/>
      </c>
      <c r="I1273" s="7" t="n"/>
      <c r="J1273" s="9">
        <f>IF(I1273="","",IFERROR(INDEX('Ordres de travail'!$D$5:$D$3004,MATCH(I1273,'Ordres de travail'!$A$5:$A$3004,0)),""))</f>
        <v/>
      </c>
      <c r="K1273" s="9">
        <f>IF(D1273="","",IFERROR(INDEX('Stock pièces'!$D$5:$D$404,MATCH(D1273,'Stock pièces'!$A$5:$A$404,0)),""))</f>
        <v/>
      </c>
      <c r="L1273" s="7" t="n"/>
      <c r="M1273" s="7" t="n"/>
    </row>
    <row r="1274">
      <c r="A1274" s="7" t="n"/>
      <c r="B1274" s="75" t="n"/>
      <c r="C1274" s="7" t="n"/>
      <c r="D1274" s="7" t="n"/>
      <c r="E1274" s="9">
        <f>IF(D1274="","",IFERROR(INDEX('Stock pièces'!$B$5:$B$404,MATCH(D1274,'Stock pièces'!$A$5:$A$404,0)),"Réf. inconnue"))</f>
        <v/>
      </c>
      <c r="F1274" s="67" t="n"/>
      <c r="G1274" s="81">
        <f>IF(D1274="","",IFERROR(INDEX('Stock pièces'!$I$5:$I$404,MATCH(D1274,'Stock pièces'!$A$5:$A$404,0)),0))</f>
        <v/>
      </c>
      <c r="H1274" s="81">
        <f>IF(D1274="","",N(F1274)*N(G1274))</f>
        <v/>
      </c>
      <c r="I1274" s="7" t="n"/>
      <c r="J1274" s="9">
        <f>IF(I1274="","",IFERROR(INDEX('Ordres de travail'!$D$5:$D$3004,MATCH(I1274,'Ordres de travail'!$A$5:$A$3004,0)),""))</f>
        <v/>
      </c>
      <c r="K1274" s="9">
        <f>IF(D1274="","",IFERROR(INDEX('Stock pièces'!$D$5:$D$404,MATCH(D1274,'Stock pièces'!$A$5:$A$404,0)),""))</f>
        <v/>
      </c>
      <c r="L1274" s="7" t="n"/>
      <c r="M1274" s="7" t="n"/>
    </row>
    <row r="1275">
      <c r="A1275" s="7" t="n"/>
      <c r="B1275" s="75" t="n"/>
      <c r="C1275" s="7" t="n"/>
      <c r="D1275" s="7" t="n"/>
      <c r="E1275" s="9">
        <f>IF(D1275="","",IFERROR(INDEX('Stock pièces'!$B$5:$B$404,MATCH(D1275,'Stock pièces'!$A$5:$A$404,0)),"Réf. inconnue"))</f>
        <v/>
      </c>
      <c r="F1275" s="67" t="n"/>
      <c r="G1275" s="81">
        <f>IF(D1275="","",IFERROR(INDEX('Stock pièces'!$I$5:$I$404,MATCH(D1275,'Stock pièces'!$A$5:$A$404,0)),0))</f>
        <v/>
      </c>
      <c r="H1275" s="81">
        <f>IF(D1275="","",N(F1275)*N(G1275))</f>
        <v/>
      </c>
      <c r="I1275" s="7" t="n"/>
      <c r="J1275" s="9">
        <f>IF(I1275="","",IFERROR(INDEX('Ordres de travail'!$D$5:$D$3004,MATCH(I1275,'Ordres de travail'!$A$5:$A$3004,0)),""))</f>
        <v/>
      </c>
      <c r="K1275" s="9">
        <f>IF(D1275="","",IFERROR(INDEX('Stock pièces'!$D$5:$D$404,MATCH(D1275,'Stock pièces'!$A$5:$A$404,0)),""))</f>
        <v/>
      </c>
      <c r="L1275" s="7" t="n"/>
      <c r="M1275" s="7" t="n"/>
    </row>
    <row r="1276">
      <c r="A1276" s="7" t="n"/>
      <c r="B1276" s="75" t="n"/>
      <c r="C1276" s="7" t="n"/>
      <c r="D1276" s="7" t="n"/>
      <c r="E1276" s="9">
        <f>IF(D1276="","",IFERROR(INDEX('Stock pièces'!$B$5:$B$404,MATCH(D1276,'Stock pièces'!$A$5:$A$404,0)),"Réf. inconnue"))</f>
        <v/>
      </c>
      <c r="F1276" s="67" t="n"/>
      <c r="G1276" s="81">
        <f>IF(D1276="","",IFERROR(INDEX('Stock pièces'!$I$5:$I$404,MATCH(D1276,'Stock pièces'!$A$5:$A$404,0)),0))</f>
        <v/>
      </c>
      <c r="H1276" s="81">
        <f>IF(D1276="","",N(F1276)*N(G1276))</f>
        <v/>
      </c>
      <c r="I1276" s="7" t="n"/>
      <c r="J1276" s="9">
        <f>IF(I1276="","",IFERROR(INDEX('Ordres de travail'!$D$5:$D$3004,MATCH(I1276,'Ordres de travail'!$A$5:$A$3004,0)),""))</f>
        <v/>
      </c>
      <c r="K1276" s="9">
        <f>IF(D1276="","",IFERROR(INDEX('Stock pièces'!$D$5:$D$404,MATCH(D1276,'Stock pièces'!$A$5:$A$404,0)),""))</f>
        <v/>
      </c>
      <c r="L1276" s="7" t="n"/>
      <c r="M1276" s="7" t="n"/>
    </row>
    <row r="1277">
      <c r="A1277" s="7" t="n"/>
      <c r="B1277" s="75" t="n"/>
      <c r="C1277" s="7" t="n"/>
      <c r="D1277" s="7" t="n"/>
      <c r="E1277" s="9">
        <f>IF(D1277="","",IFERROR(INDEX('Stock pièces'!$B$5:$B$404,MATCH(D1277,'Stock pièces'!$A$5:$A$404,0)),"Réf. inconnue"))</f>
        <v/>
      </c>
      <c r="F1277" s="67" t="n"/>
      <c r="G1277" s="81">
        <f>IF(D1277="","",IFERROR(INDEX('Stock pièces'!$I$5:$I$404,MATCH(D1277,'Stock pièces'!$A$5:$A$404,0)),0))</f>
        <v/>
      </c>
      <c r="H1277" s="81">
        <f>IF(D1277="","",N(F1277)*N(G1277))</f>
        <v/>
      </c>
      <c r="I1277" s="7" t="n"/>
      <c r="J1277" s="9">
        <f>IF(I1277="","",IFERROR(INDEX('Ordres de travail'!$D$5:$D$3004,MATCH(I1277,'Ordres de travail'!$A$5:$A$3004,0)),""))</f>
        <v/>
      </c>
      <c r="K1277" s="9">
        <f>IF(D1277="","",IFERROR(INDEX('Stock pièces'!$D$5:$D$404,MATCH(D1277,'Stock pièces'!$A$5:$A$404,0)),""))</f>
        <v/>
      </c>
      <c r="L1277" s="7" t="n"/>
      <c r="M1277" s="7" t="n"/>
    </row>
    <row r="1278">
      <c r="A1278" s="7" t="n"/>
      <c r="B1278" s="75" t="n"/>
      <c r="C1278" s="7" t="n"/>
      <c r="D1278" s="7" t="n"/>
      <c r="E1278" s="9">
        <f>IF(D1278="","",IFERROR(INDEX('Stock pièces'!$B$5:$B$404,MATCH(D1278,'Stock pièces'!$A$5:$A$404,0)),"Réf. inconnue"))</f>
        <v/>
      </c>
      <c r="F1278" s="67" t="n"/>
      <c r="G1278" s="81">
        <f>IF(D1278="","",IFERROR(INDEX('Stock pièces'!$I$5:$I$404,MATCH(D1278,'Stock pièces'!$A$5:$A$404,0)),0))</f>
        <v/>
      </c>
      <c r="H1278" s="81">
        <f>IF(D1278="","",N(F1278)*N(G1278))</f>
        <v/>
      </c>
      <c r="I1278" s="7" t="n"/>
      <c r="J1278" s="9">
        <f>IF(I1278="","",IFERROR(INDEX('Ordres de travail'!$D$5:$D$3004,MATCH(I1278,'Ordres de travail'!$A$5:$A$3004,0)),""))</f>
        <v/>
      </c>
      <c r="K1278" s="9">
        <f>IF(D1278="","",IFERROR(INDEX('Stock pièces'!$D$5:$D$404,MATCH(D1278,'Stock pièces'!$A$5:$A$404,0)),""))</f>
        <v/>
      </c>
      <c r="L1278" s="7" t="n"/>
      <c r="M1278" s="7" t="n"/>
    </row>
    <row r="1279">
      <c r="A1279" s="7" t="n"/>
      <c r="B1279" s="75" t="n"/>
      <c r="C1279" s="7" t="n"/>
      <c r="D1279" s="7" t="n"/>
      <c r="E1279" s="9">
        <f>IF(D1279="","",IFERROR(INDEX('Stock pièces'!$B$5:$B$404,MATCH(D1279,'Stock pièces'!$A$5:$A$404,0)),"Réf. inconnue"))</f>
        <v/>
      </c>
      <c r="F1279" s="67" t="n"/>
      <c r="G1279" s="81">
        <f>IF(D1279="","",IFERROR(INDEX('Stock pièces'!$I$5:$I$404,MATCH(D1279,'Stock pièces'!$A$5:$A$404,0)),0))</f>
        <v/>
      </c>
      <c r="H1279" s="81">
        <f>IF(D1279="","",N(F1279)*N(G1279))</f>
        <v/>
      </c>
      <c r="I1279" s="7" t="n"/>
      <c r="J1279" s="9">
        <f>IF(I1279="","",IFERROR(INDEX('Ordres de travail'!$D$5:$D$3004,MATCH(I1279,'Ordres de travail'!$A$5:$A$3004,0)),""))</f>
        <v/>
      </c>
      <c r="K1279" s="9">
        <f>IF(D1279="","",IFERROR(INDEX('Stock pièces'!$D$5:$D$404,MATCH(D1279,'Stock pièces'!$A$5:$A$404,0)),""))</f>
        <v/>
      </c>
      <c r="L1279" s="7" t="n"/>
      <c r="M1279" s="7" t="n"/>
    </row>
    <row r="1280">
      <c r="A1280" s="7" t="n"/>
      <c r="B1280" s="75" t="n"/>
      <c r="C1280" s="7" t="n"/>
      <c r="D1280" s="7" t="n"/>
      <c r="E1280" s="9">
        <f>IF(D1280="","",IFERROR(INDEX('Stock pièces'!$B$5:$B$404,MATCH(D1280,'Stock pièces'!$A$5:$A$404,0)),"Réf. inconnue"))</f>
        <v/>
      </c>
      <c r="F1280" s="67" t="n"/>
      <c r="G1280" s="81">
        <f>IF(D1280="","",IFERROR(INDEX('Stock pièces'!$I$5:$I$404,MATCH(D1280,'Stock pièces'!$A$5:$A$404,0)),0))</f>
        <v/>
      </c>
      <c r="H1280" s="81">
        <f>IF(D1280="","",N(F1280)*N(G1280))</f>
        <v/>
      </c>
      <c r="I1280" s="7" t="n"/>
      <c r="J1280" s="9">
        <f>IF(I1280="","",IFERROR(INDEX('Ordres de travail'!$D$5:$D$3004,MATCH(I1280,'Ordres de travail'!$A$5:$A$3004,0)),""))</f>
        <v/>
      </c>
      <c r="K1280" s="9">
        <f>IF(D1280="","",IFERROR(INDEX('Stock pièces'!$D$5:$D$404,MATCH(D1280,'Stock pièces'!$A$5:$A$404,0)),""))</f>
        <v/>
      </c>
      <c r="L1280" s="7" t="n"/>
      <c r="M1280" s="7" t="n"/>
    </row>
    <row r="1281">
      <c r="A1281" s="7" t="n"/>
      <c r="B1281" s="75" t="n"/>
      <c r="C1281" s="7" t="n"/>
      <c r="D1281" s="7" t="n"/>
      <c r="E1281" s="9">
        <f>IF(D1281="","",IFERROR(INDEX('Stock pièces'!$B$5:$B$404,MATCH(D1281,'Stock pièces'!$A$5:$A$404,0)),"Réf. inconnue"))</f>
        <v/>
      </c>
      <c r="F1281" s="67" t="n"/>
      <c r="G1281" s="81">
        <f>IF(D1281="","",IFERROR(INDEX('Stock pièces'!$I$5:$I$404,MATCH(D1281,'Stock pièces'!$A$5:$A$404,0)),0))</f>
        <v/>
      </c>
      <c r="H1281" s="81">
        <f>IF(D1281="","",N(F1281)*N(G1281))</f>
        <v/>
      </c>
      <c r="I1281" s="7" t="n"/>
      <c r="J1281" s="9">
        <f>IF(I1281="","",IFERROR(INDEX('Ordres de travail'!$D$5:$D$3004,MATCH(I1281,'Ordres de travail'!$A$5:$A$3004,0)),""))</f>
        <v/>
      </c>
      <c r="K1281" s="9">
        <f>IF(D1281="","",IFERROR(INDEX('Stock pièces'!$D$5:$D$404,MATCH(D1281,'Stock pièces'!$A$5:$A$404,0)),""))</f>
        <v/>
      </c>
      <c r="L1281" s="7" t="n"/>
      <c r="M1281" s="7" t="n"/>
    </row>
    <row r="1282">
      <c r="A1282" s="7" t="n"/>
      <c r="B1282" s="75" t="n"/>
      <c r="C1282" s="7" t="n"/>
      <c r="D1282" s="7" t="n"/>
      <c r="E1282" s="9">
        <f>IF(D1282="","",IFERROR(INDEX('Stock pièces'!$B$5:$B$404,MATCH(D1282,'Stock pièces'!$A$5:$A$404,0)),"Réf. inconnue"))</f>
        <v/>
      </c>
      <c r="F1282" s="67" t="n"/>
      <c r="G1282" s="81">
        <f>IF(D1282="","",IFERROR(INDEX('Stock pièces'!$I$5:$I$404,MATCH(D1282,'Stock pièces'!$A$5:$A$404,0)),0))</f>
        <v/>
      </c>
      <c r="H1282" s="81">
        <f>IF(D1282="","",N(F1282)*N(G1282))</f>
        <v/>
      </c>
      <c r="I1282" s="7" t="n"/>
      <c r="J1282" s="9">
        <f>IF(I1282="","",IFERROR(INDEX('Ordres de travail'!$D$5:$D$3004,MATCH(I1282,'Ordres de travail'!$A$5:$A$3004,0)),""))</f>
        <v/>
      </c>
      <c r="K1282" s="9">
        <f>IF(D1282="","",IFERROR(INDEX('Stock pièces'!$D$5:$D$404,MATCH(D1282,'Stock pièces'!$A$5:$A$404,0)),""))</f>
        <v/>
      </c>
      <c r="L1282" s="7" t="n"/>
      <c r="M1282" s="7" t="n"/>
    </row>
    <row r="1283">
      <c r="A1283" s="7" t="n"/>
      <c r="B1283" s="75" t="n"/>
      <c r="C1283" s="7" t="n"/>
      <c r="D1283" s="7" t="n"/>
      <c r="E1283" s="9">
        <f>IF(D1283="","",IFERROR(INDEX('Stock pièces'!$B$5:$B$404,MATCH(D1283,'Stock pièces'!$A$5:$A$404,0)),"Réf. inconnue"))</f>
        <v/>
      </c>
      <c r="F1283" s="67" t="n"/>
      <c r="G1283" s="81">
        <f>IF(D1283="","",IFERROR(INDEX('Stock pièces'!$I$5:$I$404,MATCH(D1283,'Stock pièces'!$A$5:$A$404,0)),0))</f>
        <v/>
      </c>
      <c r="H1283" s="81">
        <f>IF(D1283="","",N(F1283)*N(G1283))</f>
        <v/>
      </c>
      <c r="I1283" s="7" t="n"/>
      <c r="J1283" s="9">
        <f>IF(I1283="","",IFERROR(INDEX('Ordres de travail'!$D$5:$D$3004,MATCH(I1283,'Ordres de travail'!$A$5:$A$3004,0)),""))</f>
        <v/>
      </c>
      <c r="K1283" s="9">
        <f>IF(D1283="","",IFERROR(INDEX('Stock pièces'!$D$5:$D$404,MATCH(D1283,'Stock pièces'!$A$5:$A$404,0)),""))</f>
        <v/>
      </c>
      <c r="L1283" s="7" t="n"/>
      <c r="M1283" s="7" t="n"/>
    </row>
    <row r="1284">
      <c r="A1284" s="7" t="n"/>
      <c r="B1284" s="75" t="n"/>
      <c r="C1284" s="7" t="n"/>
      <c r="D1284" s="7" t="n"/>
      <c r="E1284" s="9">
        <f>IF(D1284="","",IFERROR(INDEX('Stock pièces'!$B$5:$B$404,MATCH(D1284,'Stock pièces'!$A$5:$A$404,0)),"Réf. inconnue"))</f>
        <v/>
      </c>
      <c r="F1284" s="67" t="n"/>
      <c r="G1284" s="81">
        <f>IF(D1284="","",IFERROR(INDEX('Stock pièces'!$I$5:$I$404,MATCH(D1284,'Stock pièces'!$A$5:$A$404,0)),0))</f>
        <v/>
      </c>
      <c r="H1284" s="81">
        <f>IF(D1284="","",N(F1284)*N(G1284))</f>
        <v/>
      </c>
      <c r="I1284" s="7" t="n"/>
      <c r="J1284" s="9">
        <f>IF(I1284="","",IFERROR(INDEX('Ordres de travail'!$D$5:$D$3004,MATCH(I1284,'Ordres de travail'!$A$5:$A$3004,0)),""))</f>
        <v/>
      </c>
      <c r="K1284" s="9">
        <f>IF(D1284="","",IFERROR(INDEX('Stock pièces'!$D$5:$D$404,MATCH(D1284,'Stock pièces'!$A$5:$A$404,0)),""))</f>
        <v/>
      </c>
      <c r="L1284" s="7" t="n"/>
      <c r="M1284" s="7" t="n"/>
    </row>
    <row r="1285">
      <c r="A1285" s="7" t="n"/>
      <c r="B1285" s="75" t="n"/>
      <c r="C1285" s="7" t="n"/>
      <c r="D1285" s="7" t="n"/>
      <c r="E1285" s="9">
        <f>IF(D1285="","",IFERROR(INDEX('Stock pièces'!$B$5:$B$404,MATCH(D1285,'Stock pièces'!$A$5:$A$404,0)),"Réf. inconnue"))</f>
        <v/>
      </c>
      <c r="F1285" s="67" t="n"/>
      <c r="G1285" s="81">
        <f>IF(D1285="","",IFERROR(INDEX('Stock pièces'!$I$5:$I$404,MATCH(D1285,'Stock pièces'!$A$5:$A$404,0)),0))</f>
        <v/>
      </c>
      <c r="H1285" s="81">
        <f>IF(D1285="","",N(F1285)*N(G1285))</f>
        <v/>
      </c>
      <c r="I1285" s="7" t="n"/>
      <c r="J1285" s="9">
        <f>IF(I1285="","",IFERROR(INDEX('Ordres de travail'!$D$5:$D$3004,MATCH(I1285,'Ordres de travail'!$A$5:$A$3004,0)),""))</f>
        <v/>
      </c>
      <c r="K1285" s="9">
        <f>IF(D1285="","",IFERROR(INDEX('Stock pièces'!$D$5:$D$404,MATCH(D1285,'Stock pièces'!$A$5:$A$404,0)),""))</f>
        <v/>
      </c>
      <c r="L1285" s="7" t="n"/>
      <c r="M1285" s="7" t="n"/>
    </row>
    <row r="1286">
      <c r="A1286" s="7" t="n"/>
      <c r="B1286" s="75" t="n"/>
      <c r="C1286" s="7" t="n"/>
      <c r="D1286" s="7" t="n"/>
      <c r="E1286" s="9">
        <f>IF(D1286="","",IFERROR(INDEX('Stock pièces'!$B$5:$B$404,MATCH(D1286,'Stock pièces'!$A$5:$A$404,0)),"Réf. inconnue"))</f>
        <v/>
      </c>
      <c r="F1286" s="67" t="n"/>
      <c r="G1286" s="81">
        <f>IF(D1286="","",IFERROR(INDEX('Stock pièces'!$I$5:$I$404,MATCH(D1286,'Stock pièces'!$A$5:$A$404,0)),0))</f>
        <v/>
      </c>
      <c r="H1286" s="81">
        <f>IF(D1286="","",N(F1286)*N(G1286))</f>
        <v/>
      </c>
      <c r="I1286" s="7" t="n"/>
      <c r="J1286" s="9">
        <f>IF(I1286="","",IFERROR(INDEX('Ordres de travail'!$D$5:$D$3004,MATCH(I1286,'Ordres de travail'!$A$5:$A$3004,0)),""))</f>
        <v/>
      </c>
      <c r="K1286" s="9">
        <f>IF(D1286="","",IFERROR(INDEX('Stock pièces'!$D$5:$D$404,MATCH(D1286,'Stock pièces'!$A$5:$A$404,0)),""))</f>
        <v/>
      </c>
      <c r="L1286" s="7" t="n"/>
      <c r="M1286" s="7" t="n"/>
    </row>
    <row r="1287">
      <c r="A1287" s="7" t="n"/>
      <c r="B1287" s="75" t="n"/>
      <c r="C1287" s="7" t="n"/>
      <c r="D1287" s="7" t="n"/>
      <c r="E1287" s="9">
        <f>IF(D1287="","",IFERROR(INDEX('Stock pièces'!$B$5:$B$404,MATCH(D1287,'Stock pièces'!$A$5:$A$404,0)),"Réf. inconnue"))</f>
        <v/>
      </c>
      <c r="F1287" s="67" t="n"/>
      <c r="G1287" s="81">
        <f>IF(D1287="","",IFERROR(INDEX('Stock pièces'!$I$5:$I$404,MATCH(D1287,'Stock pièces'!$A$5:$A$404,0)),0))</f>
        <v/>
      </c>
      <c r="H1287" s="81">
        <f>IF(D1287="","",N(F1287)*N(G1287))</f>
        <v/>
      </c>
      <c r="I1287" s="7" t="n"/>
      <c r="J1287" s="9">
        <f>IF(I1287="","",IFERROR(INDEX('Ordres de travail'!$D$5:$D$3004,MATCH(I1287,'Ordres de travail'!$A$5:$A$3004,0)),""))</f>
        <v/>
      </c>
      <c r="K1287" s="9">
        <f>IF(D1287="","",IFERROR(INDEX('Stock pièces'!$D$5:$D$404,MATCH(D1287,'Stock pièces'!$A$5:$A$404,0)),""))</f>
        <v/>
      </c>
      <c r="L1287" s="7" t="n"/>
      <c r="M1287" s="7" t="n"/>
    </row>
    <row r="1288">
      <c r="A1288" s="7" t="n"/>
      <c r="B1288" s="75" t="n"/>
      <c r="C1288" s="7" t="n"/>
      <c r="D1288" s="7" t="n"/>
      <c r="E1288" s="9">
        <f>IF(D1288="","",IFERROR(INDEX('Stock pièces'!$B$5:$B$404,MATCH(D1288,'Stock pièces'!$A$5:$A$404,0)),"Réf. inconnue"))</f>
        <v/>
      </c>
      <c r="F1288" s="67" t="n"/>
      <c r="G1288" s="81">
        <f>IF(D1288="","",IFERROR(INDEX('Stock pièces'!$I$5:$I$404,MATCH(D1288,'Stock pièces'!$A$5:$A$404,0)),0))</f>
        <v/>
      </c>
      <c r="H1288" s="81">
        <f>IF(D1288="","",N(F1288)*N(G1288))</f>
        <v/>
      </c>
      <c r="I1288" s="7" t="n"/>
      <c r="J1288" s="9">
        <f>IF(I1288="","",IFERROR(INDEX('Ordres de travail'!$D$5:$D$3004,MATCH(I1288,'Ordres de travail'!$A$5:$A$3004,0)),""))</f>
        <v/>
      </c>
      <c r="K1288" s="9">
        <f>IF(D1288="","",IFERROR(INDEX('Stock pièces'!$D$5:$D$404,MATCH(D1288,'Stock pièces'!$A$5:$A$404,0)),""))</f>
        <v/>
      </c>
      <c r="L1288" s="7" t="n"/>
      <c r="M1288" s="7" t="n"/>
    </row>
    <row r="1289">
      <c r="A1289" s="7" t="n"/>
      <c r="B1289" s="75" t="n"/>
      <c r="C1289" s="7" t="n"/>
      <c r="D1289" s="7" t="n"/>
      <c r="E1289" s="9">
        <f>IF(D1289="","",IFERROR(INDEX('Stock pièces'!$B$5:$B$404,MATCH(D1289,'Stock pièces'!$A$5:$A$404,0)),"Réf. inconnue"))</f>
        <v/>
      </c>
      <c r="F1289" s="67" t="n"/>
      <c r="G1289" s="81">
        <f>IF(D1289="","",IFERROR(INDEX('Stock pièces'!$I$5:$I$404,MATCH(D1289,'Stock pièces'!$A$5:$A$404,0)),0))</f>
        <v/>
      </c>
      <c r="H1289" s="81">
        <f>IF(D1289="","",N(F1289)*N(G1289))</f>
        <v/>
      </c>
      <c r="I1289" s="7" t="n"/>
      <c r="J1289" s="9">
        <f>IF(I1289="","",IFERROR(INDEX('Ordres de travail'!$D$5:$D$3004,MATCH(I1289,'Ordres de travail'!$A$5:$A$3004,0)),""))</f>
        <v/>
      </c>
      <c r="K1289" s="9">
        <f>IF(D1289="","",IFERROR(INDEX('Stock pièces'!$D$5:$D$404,MATCH(D1289,'Stock pièces'!$A$5:$A$404,0)),""))</f>
        <v/>
      </c>
      <c r="L1289" s="7" t="n"/>
      <c r="M1289" s="7" t="n"/>
    </row>
    <row r="1290">
      <c r="A1290" s="7" t="n"/>
      <c r="B1290" s="75" t="n"/>
      <c r="C1290" s="7" t="n"/>
      <c r="D1290" s="7" t="n"/>
      <c r="E1290" s="9">
        <f>IF(D1290="","",IFERROR(INDEX('Stock pièces'!$B$5:$B$404,MATCH(D1290,'Stock pièces'!$A$5:$A$404,0)),"Réf. inconnue"))</f>
        <v/>
      </c>
      <c r="F1290" s="67" t="n"/>
      <c r="G1290" s="81">
        <f>IF(D1290="","",IFERROR(INDEX('Stock pièces'!$I$5:$I$404,MATCH(D1290,'Stock pièces'!$A$5:$A$404,0)),0))</f>
        <v/>
      </c>
      <c r="H1290" s="81">
        <f>IF(D1290="","",N(F1290)*N(G1290))</f>
        <v/>
      </c>
      <c r="I1290" s="7" t="n"/>
      <c r="J1290" s="9">
        <f>IF(I1290="","",IFERROR(INDEX('Ordres de travail'!$D$5:$D$3004,MATCH(I1290,'Ordres de travail'!$A$5:$A$3004,0)),""))</f>
        <v/>
      </c>
      <c r="K1290" s="9">
        <f>IF(D1290="","",IFERROR(INDEX('Stock pièces'!$D$5:$D$404,MATCH(D1290,'Stock pièces'!$A$5:$A$404,0)),""))</f>
        <v/>
      </c>
      <c r="L1290" s="7" t="n"/>
      <c r="M1290" s="7" t="n"/>
    </row>
    <row r="1291">
      <c r="A1291" s="7" t="n"/>
      <c r="B1291" s="75" t="n"/>
      <c r="C1291" s="7" t="n"/>
      <c r="D1291" s="7" t="n"/>
      <c r="E1291" s="9">
        <f>IF(D1291="","",IFERROR(INDEX('Stock pièces'!$B$5:$B$404,MATCH(D1291,'Stock pièces'!$A$5:$A$404,0)),"Réf. inconnue"))</f>
        <v/>
      </c>
      <c r="F1291" s="67" t="n"/>
      <c r="G1291" s="81">
        <f>IF(D1291="","",IFERROR(INDEX('Stock pièces'!$I$5:$I$404,MATCH(D1291,'Stock pièces'!$A$5:$A$404,0)),0))</f>
        <v/>
      </c>
      <c r="H1291" s="81">
        <f>IF(D1291="","",N(F1291)*N(G1291))</f>
        <v/>
      </c>
      <c r="I1291" s="7" t="n"/>
      <c r="J1291" s="9">
        <f>IF(I1291="","",IFERROR(INDEX('Ordres de travail'!$D$5:$D$3004,MATCH(I1291,'Ordres de travail'!$A$5:$A$3004,0)),""))</f>
        <v/>
      </c>
      <c r="K1291" s="9">
        <f>IF(D1291="","",IFERROR(INDEX('Stock pièces'!$D$5:$D$404,MATCH(D1291,'Stock pièces'!$A$5:$A$404,0)),""))</f>
        <v/>
      </c>
      <c r="L1291" s="7" t="n"/>
      <c r="M1291" s="7" t="n"/>
    </row>
    <row r="1292">
      <c r="A1292" s="7" t="n"/>
      <c r="B1292" s="75" t="n"/>
      <c r="C1292" s="7" t="n"/>
      <c r="D1292" s="7" t="n"/>
      <c r="E1292" s="9">
        <f>IF(D1292="","",IFERROR(INDEX('Stock pièces'!$B$5:$B$404,MATCH(D1292,'Stock pièces'!$A$5:$A$404,0)),"Réf. inconnue"))</f>
        <v/>
      </c>
      <c r="F1292" s="67" t="n"/>
      <c r="G1292" s="81">
        <f>IF(D1292="","",IFERROR(INDEX('Stock pièces'!$I$5:$I$404,MATCH(D1292,'Stock pièces'!$A$5:$A$404,0)),0))</f>
        <v/>
      </c>
      <c r="H1292" s="81">
        <f>IF(D1292="","",N(F1292)*N(G1292))</f>
        <v/>
      </c>
      <c r="I1292" s="7" t="n"/>
      <c r="J1292" s="9">
        <f>IF(I1292="","",IFERROR(INDEX('Ordres de travail'!$D$5:$D$3004,MATCH(I1292,'Ordres de travail'!$A$5:$A$3004,0)),""))</f>
        <v/>
      </c>
      <c r="K1292" s="9">
        <f>IF(D1292="","",IFERROR(INDEX('Stock pièces'!$D$5:$D$404,MATCH(D1292,'Stock pièces'!$A$5:$A$404,0)),""))</f>
        <v/>
      </c>
      <c r="L1292" s="7" t="n"/>
      <c r="M1292" s="7" t="n"/>
    </row>
    <row r="1293">
      <c r="A1293" s="7" t="n"/>
      <c r="B1293" s="75" t="n"/>
      <c r="C1293" s="7" t="n"/>
      <c r="D1293" s="7" t="n"/>
      <c r="E1293" s="9">
        <f>IF(D1293="","",IFERROR(INDEX('Stock pièces'!$B$5:$B$404,MATCH(D1293,'Stock pièces'!$A$5:$A$404,0)),"Réf. inconnue"))</f>
        <v/>
      </c>
      <c r="F1293" s="67" t="n"/>
      <c r="G1293" s="81">
        <f>IF(D1293="","",IFERROR(INDEX('Stock pièces'!$I$5:$I$404,MATCH(D1293,'Stock pièces'!$A$5:$A$404,0)),0))</f>
        <v/>
      </c>
      <c r="H1293" s="81">
        <f>IF(D1293="","",N(F1293)*N(G1293))</f>
        <v/>
      </c>
      <c r="I1293" s="7" t="n"/>
      <c r="J1293" s="9">
        <f>IF(I1293="","",IFERROR(INDEX('Ordres de travail'!$D$5:$D$3004,MATCH(I1293,'Ordres de travail'!$A$5:$A$3004,0)),""))</f>
        <v/>
      </c>
      <c r="K1293" s="9">
        <f>IF(D1293="","",IFERROR(INDEX('Stock pièces'!$D$5:$D$404,MATCH(D1293,'Stock pièces'!$A$5:$A$404,0)),""))</f>
        <v/>
      </c>
      <c r="L1293" s="7" t="n"/>
      <c r="M1293" s="7" t="n"/>
    </row>
    <row r="1294">
      <c r="A1294" s="7" t="n"/>
      <c r="B1294" s="75" t="n"/>
      <c r="C1294" s="7" t="n"/>
      <c r="D1294" s="7" t="n"/>
      <c r="E1294" s="9">
        <f>IF(D1294="","",IFERROR(INDEX('Stock pièces'!$B$5:$B$404,MATCH(D1294,'Stock pièces'!$A$5:$A$404,0)),"Réf. inconnue"))</f>
        <v/>
      </c>
      <c r="F1294" s="67" t="n"/>
      <c r="G1294" s="81">
        <f>IF(D1294="","",IFERROR(INDEX('Stock pièces'!$I$5:$I$404,MATCH(D1294,'Stock pièces'!$A$5:$A$404,0)),0))</f>
        <v/>
      </c>
      <c r="H1294" s="81">
        <f>IF(D1294="","",N(F1294)*N(G1294))</f>
        <v/>
      </c>
      <c r="I1294" s="7" t="n"/>
      <c r="J1294" s="9">
        <f>IF(I1294="","",IFERROR(INDEX('Ordres de travail'!$D$5:$D$3004,MATCH(I1294,'Ordres de travail'!$A$5:$A$3004,0)),""))</f>
        <v/>
      </c>
      <c r="K1294" s="9">
        <f>IF(D1294="","",IFERROR(INDEX('Stock pièces'!$D$5:$D$404,MATCH(D1294,'Stock pièces'!$A$5:$A$404,0)),""))</f>
        <v/>
      </c>
      <c r="L1294" s="7" t="n"/>
      <c r="M1294" s="7" t="n"/>
    </row>
    <row r="1295">
      <c r="A1295" s="7" t="n"/>
      <c r="B1295" s="75" t="n"/>
      <c r="C1295" s="7" t="n"/>
      <c r="D1295" s="7" t="n"/>
      <c r="E1295" s="9">
        <f>IF(D1295="","",IFERROR(INDEX('Stock pièces'!$B$5:$B$404,MATCH(D1295,'Stock pièces'!$A$5:$A$404,0)),"Réf. inconnue"))</f>
        <v/>
      </c>
      <c r="F1295" s="67" t="n"/>
      <c r="G1295" s="81">
        <f>IF(D1295="","",IFERROR(INDEX('Stock pièces'!$I$5:$I$404,MATCH(D1295,'Stock pièces'!$A$5:$A$404,0)),0))</f>
        <v/>
      </c>
      <c r="H1295" s="81">
        <f>IF(D1295="","",N(F1295)*N(G1295))</f>
        <v/>
      </c>
      <c r="I1295" s="7" t="n"/>
      <c r="J1295" s="9">
        <f>IF(I1295="","",IFERROR(INDEX('Ordres de travail'!$D$5:$D$3004,MATCH(I1295,'Ordres de travail'!$A$5:$A$3004,0)),""))</f>
        <v/>
      </c>
      <c r="K1295" s="9">
        <f>IF(D1295="","",IFERROR(INDEX('Stock pièces'!$D$5:$D$404,MATCH(D1295,'Stock pièces'!$A$5:$A$404,0)),""))</f>
        <v/>
      </c>
      <c r="L1295" s="7" t="n"/>
      <c r="M1295" s="7" t="n"/>
    </row>
    <row r="1296">
      <c r="A1296" s="7" t="n"/>
      <c r="B1296" s="75" t="n"/>
      <c r="C1296" s="7" t="n"/>
      <c r="D1296" s="7" t="n"/>
      <c r="E1296" s="9">
        <f>IF(D1296="","",IFERROR(INDEX('Stock pièces'!$B$5:$B$404,MATCH(D1296,'Stock pièces'!$A$5:$A$404,0)),"Réf. inconnue"))</f>
        <v/>
      </c>
      <c r="F1296" s="67" t="n"/>
      <c r="G1296" s="81">
        <f>IF(D1296="","",IFERROR(INDEX('Stock pièces'!$I$5:$I$404,MATCH(D1296,'Stock pièces'!$A$5:$A$404,0)),0))</f>
        <v/>
      </c>
      <c r="H1296" s="81">
        <f>IF(D1296="","",N(F1296)*N(G1296))</f>
        <v/>
      </c>
      <c r="I1296" s="7" t="n"/>
      <c r="J1296" s="9">
        <f>IF(I1296="","",IFERROR(INDEX('Ordres de travail'!$D$5:$D$3004,MATCH(I1296,'Ordres de travail'!$A$5:$A$3004,0)),""))</f>
        <v/>
      </c>
      <c r="K1296" s="9">
        <f>IF(D1296="","",IFERROR(INDEX('Stock pièces'!$D$5:$D$404,MATCH(D1296,'Stock pièces'!$A$5:$A$404,0)),""))</f>
        <v/>
      </c>
      <c r="L1296" s="7" t="n"/>
      <c r="M1296" s="7" t="n"/>
    </row>
    <row r="1297">
      <c r="A1297" s="7" t="n"/>
      <c r="B1297" s="75" t="n"/>
      <c r="C1297" s="7" t="n"/>
      <c r="D1297" s="7" t="n"/>
      <c r="E1297" s="9">
        <f>IF(D1297="","",IFERROR(INDEX('Stock pièces'!$B$5:$B$404,MATCH(D1297,'Stock pièces'!$A$5:$A$404,0)),"Réf. inconnue"))</f>
        <v/>
      </c>
      <c r="F1297" s="67" t="n"/>
      <c r="G1297" s="81">
        <f>IF(D1297="","",IFERROR(INDEX('Stock pièces'!$I$5:$I$404,MATCH(D1297,'Stock pièces'!$A$5:$A$404,0)),0))</f>
        <v/>
      </c>
      <c r="H1297" s="81">
        <f>IF(D1297="","",N(F1297)*N(G1297))</f>
        <v/>
      </c>
      <c r="I1297" s="7" t="n"/>
      <c r="J1297" s="9">
        <f>IF(I1297="","",IFERROR(INDEX('Ordres de travail'!$D$5:$D$3004,MATCH(I1297,'Ordres de travail'!$A$5:$A$3004,0)),""))</f>
        <v/>
      </c>
      <c r="K1297" s="9">
        <f>IF(D1297="","",IFERROR(INDEX('Stock pièces'!$D$5:$D$404,MATCH(D1297,'Stock pièces'!$A$5:$A$404,0)),""))</f>
        <v/>
      </c>
      <c r="L1297" s="7" t="n"/>
      <c r="M1297" s="7" t="n"/>
    </row>
    <row r="1298">
      <c r="A1298" s="7" t="n"/>
      <c r="B1298" s="75" t="n"/>
      <c r="C1298" s="7" t="n"/>
      <c r="D1298" s="7" t="n"/>
      <c r="E1298" s="9">
        <f>IF(D1298="","",IFERROR(INDEX('Stock pièces'!$B$5:$B$404,MATCH(D1298,'Stock pièces'!$A$5:$A$404,0)),"Réf. inconnue"))</f>
        <v/>
      </c>
      <c r="F1298" s="67" t="n"/>
      <c r="G1298" s="81">
        <f>IF(D1298="","",IFERROR(INDEX('Stock pièces'!$I$5:$I$404,MATCH(D1298,'Stock pièces'!$A$5:$A$404,0)),0))</f>
        <v/>
      </c>
      <c r="H1298" s="81">
        <f>IF(D1298="","",N(F1298)*N(G1298))</f>
        <v/>
      </c>
      <c r="I1298" s="7" t="n"/>
      <c r="J1298" s="9">
        <f>IF(I1298="","",IFERROR(INDEX('Ordres de travail'!$D$5:$D$3004,MATCH(I1298,'Ordres de travail'!$A$5:$A$3004,0)),""))</f>
        <v/>
      </c>
      <c r="K1298" s="9">
        <f>IF(D1298="","",IFERROR(INDEX('Stock pièces'!$D$5:$D$404,MATCH(D1298,'Stock pièces'!$A$5:$A$404,0)),""))</f>
        <v/>
      </c>
      <c r="L1298" s="7" t="n"/>
      <c r="M1298" s="7" t="n"/>
    </row>
    <row r="1299">
      <c r="A1299" s="7" t="n"/>
      <c r="B1299" s="75" t="n"/>
      <c r="C1299" s="7" t="n"/>
      <c r="D1299" s="7" t="n"/>
      <c r="E1299" s="9">
        <f>IF(D1299="","",IFERROR(INDEX('Stock pièces'!$B$5:$B$404,MATCH(D1299,'Stock pièces'!$A$5:$A$404,0)),"Réf. inconnue"))</f>
        <v/>
      </c>
      <c r="F1299" s="67" t="n"/>
      <c r="G1299" s="81">
        <f>IF(D1299="","",IFERROR(INDEX('Stock pièces'!$I$5:$I$404,MATCH(D1299,'Stock pièces'!$A$5:$A$404,0)),0))</f>
        <v/>
      </c>
      <c r="H1299" s="81">
        <f>IF(D1299="","",N(F1299)*N(G1299))</f>
        <v/>
      </c>
      <c r="I1299" s="7" t="n"/>
      <c r="J1299" s="9">
        <f>IF(I1299="","",IFERROR(INDEX('Ordres de travail'!$D$5:$D$3004,MATCH(I1299,'Ordres de travail'!$A$5:$A$3004,0)),""))</f>
        <v/>
      </c>
      <c r="K1299" s="9">
        <f>IF(D1299="","",IFERROR(INDEX('Stock pièces'!$D$5:$D$404,MATCH(D1299,'Stock pièces'!$A$5:$A$404,0)),""))</f>
        <v/>
      </c>
      <c r="L1299" s="7" t="n"/>
      <c r="M1299" s="7" t="n"/>
    </row>
    <row r="1300">
      <c r="A1300" s="7" t="n"/>
      <c r="B1300" s="75" t="n"/>
      <c r="C1300" s="7" t="n"/>
      <c r="D1300" s="7" t="n"/>
      <c r="E1300" s="9">
        <f>IF(D1300="","",IFERROR(INDEX('Stock pièces'!$B$5:$B$404,MATCH(D1300,'Stock pièces'!$A$5:$A$404,0)),"Réf. inconnue"))</f>
        <v/>
      </c>
      <c r="F1300" s="67" t="n"/>
      <c r="G1300" s="81">
        <f>IF(D1300="","",IFERROR(INDEX('Stock pièces'!$I$5:$I$404,MATCH(D1300,'Stock pièces'!$A$5:$A$404,0)),0))</f>
        <v/>
      </c>
      <c r="H1300" s="81">
        <f>IF(D1300="","",N(F1300)*N(G1300))</f>
        <v/>
      </c>
      <c r="I1300" s="7" t="n"/>
      <c r="J1300" s="9">
        <f>IF(I1300="","",IFERROR(INDEX('Ordres de travail'!$D$5:$D$3004,MATCH(I1300,'Ordres de travail'!$A$5:$A$3004,0)),""))</f>
        <v/>
      </c>
      <c r="K1300" s="9">
        <f>IF(D1300="","",IFERROR(INDEX('Stock pièces'!$D$5:$D$404,MATCH(D1300,'Stock pièces'!$A$5:$A$404,0)),""))</f>
        <v/>
      </c>
      <c r="L1300" s="7" t="n"/>
      <c r="M1300" s="7" t="n"/>
    </row>
    <row r="1301">
      <c r="A1301" s="7" t="n"/>
      <c r="B1301" s="75" t="n"/>
      <c r="C1301" s="7" t="n"/>
      <c r="D1301" s="7" t="n"/>
      <c r="E1301" s="9">
        <f>IF(D1301="","",IFERROR(INDEX('Stock pièces'!$B$5:$B$404,MATCH(D1301,'Stock pièces'!$A$5:$A$404,0)),"Réf. inconnue"))</f>
        <v/>
      </c>
      <c r="F1301" s="67" t="n"/>
      <c r="G1301" s="81">
        <f>IF(D1301="","",IFERROR(INDEX('Stock pièces'!$I$5:$I$404,MATCH(D1301,'Stock pièces'!$A$5:$A$404,0)),0))</f>
        <v/>
      </c>
      <c r="H1301" s="81">
        <f>IF(D1301="","",N(F1301)*N(G1301))</f>
        <v/>
      </c>
      <c r="I1301" s="7" t="n"/>
      <c r="J1301" s="9">
        <f>IF(I1301="","",IFERROR(INDEX('Ordres de travail'!$D$5:$D$3004,MATCH(I1301,'Ordres de travail'!$A$5:$A$3004,0)),""))</f>
        <v/>
      </c>
      <c r="K1301" s="9">
        <f>IF(D1301="","",IFERROR(INDEX('Stock pièces'!$D$5:$D$404,MATCH(D1301,'Stock pièces'!$A$5:$A$404,0)),""))</f>
        <v/>
      </c>
      <c r="L1301" s="7" t="n"/>
      <c r="M1301" s="7" t="n"/>
    </row>
    <row r="1302">
      <c r="A1302" s="7" t="n"/>
      <c r="B1302" s="75" t="n"/>
      <c r="C1302" s="7" t="n"/>
      <c r="D1302" s="7" t="n"/>
      <c r="E1302" s="9">
        <f>IF(D1302="","",IFERROR(INDEX('Stock pièces'!$B$5:$B$404,MATCH(D1302,'Stock pièces'!$A$5:$A$404,0)),"Réf. inconnue"))</f>
        <v/>
      </c>
      <c r="F1302" s="67" t="n"/>
      <c r="G1302" s="81">
        <f>IF(D1302="","",IFERROR(INDEX('Stock pièces'!$I$5:$I$404,MATCH(D1302,'Stock pièces'!$A$5:$A$404,0)),0))</f>
        <v/>
      </c>
      <c r="H1302" s="81">
        <f>IF(D1302="","",N(F1302)*N(G1302))</f>
        <v/>
      </c>
      <c r="I1302" s="7" t="n"/>
      <c r="J1302" s="9">
        <f>IF(I1302="","",IFERROR(INDEX('Ordres de travail'!$D$5:$D$3004,MATCH(I1302,'Ordres de travail'!$A$5:$A$3004,0)),""))</f>
        <v/>
      </c>
      <c r="K1302" s="9">
        <f>IF(D1302="","",IFERROR(INDEX('Stock pièces'!$D$5:$D$404,MATCH(D1302,'Stock pièces'!$A$5:$A$404,0)),""))</f>
        <v/>
      </c>
      <c r="L1302" s="7" t="n"/>
      <c r="M1302" s="7" t="n"/>
    </row>
    <row r="1303">
      <c r="A1303" s="7" t="n"/>
      <c r="B1303" s="75" t="n"/>
      <c r="C1303" s="7" t="n"/>
      <c r="D1303" s="7" t="n"/>
      <c r="E1303" s="9">
        <f>IF(D1303="","",IFERROR(INDEX('Stock pièces'!$B$5:$B$404,MATCH(D1303,'Stock pièces'!$A$5:$A$404,0)),"Réf. inconnue"))</f>
        <v/>
      </c>
      <c r="F1303" s="67" t="n"/>
      <c r="G1303" s="81">
        <f>IF(D1303="","",IFERROR(INDEX('Stock pièces'!$I$5:$I$404,MATCH(D1303,'Stock pièces'!$A$5:$A$404,0)),0))</f>
        <v/>
      </c>
      <c r="H1303" s="81">
        <f>IF(D1303="","",N(F1303)*N(G1303))</f>
        <v/>
      </c>
      <c r="I1303" s="7" t="n"/>
      <c r="J1303" s="9">
        <f>IF(I1303="","",IFERROR(INDEX('Ordres de travail'!$D$5:$D$3004,MATCH(I1303,'Ordres de travail'!$A$5:$A$3004,0)),""))</f>
        <v/>
      </c>
      <c r="K1303" s="9">
        <f>IF(D1303="","",IFERROR(INDEX('Stock pièces'!$D$5:$D$404,MATCH(D1303,'Stock pièces'!$A$5:$A$404,0)),""))</f>
        <v/>
      </c>
      <c r="L1303" s="7" t="n"/>
      <c r="M1303" s="7" t="n"/>
    </row>
    <row r="1304">
      <c r="A1304" s="7" t="n"/>
      <c r="B1304" s="75" t="n"/>
      <c r="C1304" s="7" t="n"/>
      <c r="D1304" s="7" t="n"/>
      <c r="E1304" s="9">
        <f>IF(D1304="","",IFERROR(INDEX('Stock pièces'!$B$5:$B$404,MATCH(D1304,'Stock pièces'!$A$5:$A$404,0)),"Réf. inconnue"))</f>
        <v/>
      </c>
      <c r="F1304" s="67" t="n"/>
      <c r="G1304" s="81">
        <f>IF(D1304="","",IFERROR(INDEX('Stock pièces'!$I$5:$I$404,MATCH(D1304,'Stock pièces'!$A$5:$A$404,0)),0))</f>
        <v/>
      </c>
      <c r="H1304" s="81">
        <f>IF(D1304="","",N(F1304)*N(G1304))</f>
        <v/>
      </c>
      <c r="I1304" s="7" t="n"/>
      <c r="J1304" s="9">
        <f>IF(I1304="","",IFERROR(INDEX('Ordres de travail'!$D$5:$D$3004,MATCH(I1304,'Ordres de travail'!$A$5:$A$3004,0)),""))</f>
        <v/>
      </c>
      <c r="K1304" s="9">
        <f>IF(D1304="","",IFERROR(INDEX('Stock pièces'!$D$5:$D$404,MATCH(D1304,'Stock pièces'!$A$5:$A$404,0)),""))</f>
        <v/>
      </c>
      <c r="L1304" s="7" t="n"/>
      <c r="M1304" s="7" t="n"/>
    </row>
    <row r="1305">
      <c r="A1305" s="7" t="n"/>
      <c r="B1305" s="75" t="n"/>
      <c r="C1305" s="7" t="n"/>
      <c r="D1305" s="7" t="n"/>
      <c r="E1305" s="9">
        <f>IF(D1305="","",IFERROR(INDEX('Stock pièces'!$B$5:$B$404,MATCH(D1305,'Stock pièces'!$A$5:$A$404,0)),"Réf. inconnue"))</f>
        <v/>
      </c>
      <c r="F1305" s="67" t="n"/>
      <c r="G1305" s="81">
        <f>IF(D1305="","",IFERROR(INDEX('Stock pièces'!$I$5:$I$404,MATCH(D1305,'Stock pièces'!$A$5:$A$404,0)),0))</f>
        <v/>
      </c>
      <c r="H1305" s="81">
        <f>IF(D1305="","",N(F1305)*N(G1305))</f>
        <v/>
      </c>
      <c r="I1305" s="7" t="n"/>
      <c r="J1305" s="9">
        <f>IF(I1305="","",IFERROR(INDEX('Ordres de travail'!$D$5:$D$3004,MATCH(I1305,'Ordres de travail'!$A$5:$A$3004,0)),""))</f>
        <v/>
      </c>
      <c r="K1305" s="9">
        <f>IF(D1305="","",IFERROR(INDEX('Stock pièces'!$D$5:$D$404,MATCH(D1305,'Stock pièces'!$A$5:$A$404,0)),""))</f>
        <v/>
      </c>
      <c r="L1305" s="7" t="n"/>
      <c r="M1305" s="7" t="n"/>
    </row>
    <row r="1306">
      <c r="A1306" s="7" t="n"/>
      <c r="B1306" s="75" t="n"/>
      <c r="C1306" s="7" t="n"/>
      <c r="D1306" s="7" t="n"/>
      <c r="E1306" s="9">
        <f>IF(D1306="","",IFERROR(INDEX('Stock pièces'!$B$5:$B$404,MATCH(D1306,'Stock pièces'!$A$5:$A$404,0)),"Réf. inconnue"))</f>
        <v/>
      </c>
      <c r="F1306" s="67" t="n"/>
      <c r="G1306" s="81">
        <f>IF(D1306="","",IFERROR(INDEX('Stock pièces'!$I$5:$I$404,MATCH(D1306,'Stock pièces'!$A$5:$A$404,0)),0))</f>
        <v/>
      </c>
      <c r="H1306" s="81">
        <f>IF(D1306="","",N(F1306)*N(G1306))</f>
        <v/>
      </c>
      <c r="I1306" s="7" t="n"/>
      <c r="J1306" s="9">
        <f>IF(I1306="","",IFERROR(INDEX('Ordres de travail'!$D$5:$D$3004,MATCH(I1306,'Ordres de travail'!$A$5:$A$3004,0)),""))</f>
        <v/>
      </c>
      <c r="K1306" s="9">
        <f>IF(D1306="","",IFERROR(INDEX('Stock pièces'!$D$5:$D$404,MATCH(D1306,'Stock pièces'!$A$5:$A$404,0)),""))</f>
        <v/>
      </c>
      <c r="L1306" s="7" t="n"/>
      <c r="M1306" s="7" t="n"/>
    </row>
    <row r="1307">
      <c r="A1307" s="7" t="n"/>
      <c r="B1307" s="75" t="n"/>
      <c r="C1307" s="7" t="n"/>
      <c r="D1307" s="7" t="n"/>
      <c r="E1307" s="9">
        <f>IF(D1307="","",IFERROR(INDEX('Stock pièces'!$B$5:$B$404,MATCH(D1307,'Stock pièces'!$A$5:$A$404,0)),"Réf. inconnue"))</f>
        <v/>
      </c>
      <c r="F1307" s="67" t="n"/>
      <c r="G1307" s="81">
        <f>IF(D1307="","",IFERROR(INDEX('Stock pièces'!$I$5:$I$404,MATCH(D1307,'Stock pièces'!$A$5:$A$404,0)),0))</f>
        <v/>
      </c>
      <c r="H1307" s="81">
        <f>IF(D1307="","",N(F1307)*N(G1307))</f>
        <v/>
      </c>
      <c r="I1307" s="7" t="n"/>
      <c r="J1307" s="9">
        <f>IF(I1307="","",IFERROR(INDEX('Ordres de travail'!$D$5:$D$3004,MATCH(I1307,'Ordres de travail'!$A$5:$A$3004,0)),""))</f>
        <v/>
      </c>
      <c r="K1307" s="9">
        <f>IF(D1307="","",IFERROR(INDEX('Stock pièces'!$D$5:$D$404,MATCH(D1307,'Stock pièces'!$A$5:$A$404,0)),""))</f>
        <v/>
      </c>
      <c r="L1307" s="7" t="n"/>
      <c r="M1307" s="7" t="n"/>
    </row>
    <row r="1308">
      <c r="A1308" s="7" t="n"/>
      <c r="B1308" s="75" t="n"/>
      <c r="C1308" s="7" t="n"/>
      <c r="D1308" s="7" t="n"/>
      <c r="E1308" s="9">
        <f>IF(D1308="","",IFERROR(INDEX('Stock pièces'!$B$5:$B$404,MATCH(D1308,'Stock pièces'!$A$5:$A$404,0)),"Réf. inconnue"))</f>
        <v/>
      </c>
      <c r="F1308" s="67" t="n"/>
      <c r="G1308" s="81">
        <f>IF(D1308="","",IFERROR(INDEX('Stock pièces'!$I$5:$I$404,MATCH(D1308,'Stock pièces'!$A$5:$A$404,0)),0))</f>
        <v/>
      </c>
      <c r="H1308" s="81">
        <f>IF(D1308="","",N(F1308)*N(G1308))</f>
        <v/>
      </c>
      <c r="I1308" s="7" t="n"/>
      <c r="J1308" s="9">
        <f>IF(I1308="","",IFERROR(INDEX('Ordres de travail'!$D$5:$D$3004,MATCH(I1308,'Ordres de travail'!$A$5:$A$3004,0)),""))</f>
        <v/>
      </c>
      <c r="K1308" s="9">
        <f>IF(D1308="","",IFERROR(INDEX('Stock pièces'!$D$5:$D$404,MATCH(D1308,'Stock pièces'!$A$5:$A$404,0)),""))</f>
        <v/>
      </c>
      <c r="L1308" s="7" t="n"/>
      <c r="M1308" s="7" t="n"/>
    </row>
    <row r="1309">
      <c r="A1309" s="7" t="n"/>
      <c r="B1309" s="75" t="n"/>
      <c r="C1309" s="7" t="n"/>
      <c r="D1309" s="7" t="n"/>
      <c r="E1309" s="9">
        <f>IF(D1309="","",IFERROR(INDEX('Stock pièces'!$B$5:$B$404,MATCH(D1309,'Stock pièces'!$A$5:$A$404,0)),"Réf. inconnue"))</f>
        <v/>
      </c>
      <c r="F1309" s="67" t="n"/>
      <c r="G1309" s="81">
        <f>IF(D1309="","",IFERROR(INDEX('Stock pièces'!$I$5:$I$404,MATCH(D1309,'Stock pièces'!$A$5:$A$404,0)),0))</f>
        <v/>
      </c>
      <c r="H1309" s="81">
        <f>IF(D1309="","",N(F1309)*N(G1309))</f>
        <v/>
      </c>
      <c r="I1309" s="7" t="n"/>
      <c r="J1309" s="9">
        <f>IF(I1309="","",IFERROR(INDEX('Ordres de travail'!$D$5:$D$3004,MATCH(I1309,'Ordres de travail'!$A$5:$A$3004,0)),""))</f>
        <v/>
      </c>
      <c r="K1309" s="9">
        <f>IF(D1309="","",IFERROR(INDEX('Stock pièces'!$D$5:$D$404,MATCH(D1309,'Stock pièces'!$A$5:$A$404,0)),""))</f>
        <v/>
      </c>
      <c r="L1309" s="7" t="n"/>
      <c r="M1309" s="7" t="n"/>
    </row>
    <row r="1310">
      <c r="A1310" s="7" t="n"/>
      <c r="B1310" s="75" t="n"/>
      <c r="C1310" s="7" t="n"/>
      <c r="D1310" s="7" t="n"/>
      <c r="E1310" s="9">
        <f>IF(D1310="","",IFERROR(INDEX('Stock pièces'!$B$5:$B$404,MATCH(D1310,'Stock pièces'!$A$5:$A$404,0)),"Réf. inconnue"))</f>
        <v/>
      </c>
      <c r="F1310" s="67" t="n"/>
      <c r="G1310" s="81">
        <f>IF(D1310="","",IFERROR(INDEX('Stock pièces'!$I$5:$I$404,MATCH(D1310,'Stock pièces'!$A$5:$A$404,0)),0))</f>
        <v/>
      </c>
      <c r="H1310" s="81">
        <f>IF(D1310="","",N(F1310)*N(G1310))</f>
        <v/>
      </c>
      <c r="I1310" s="7" t="n"/>
      <c r="J1310" s="9">
        <f>IF(I1310="","",IFERROR(INDEX('Ordres de travail'!$D$5:$D$3004,MATCH(I1310,'Ordres de travail'!$A$5:$A$3004,0)),""))</f>
        <v/>
      </c>
      <c r="K1310" s="9">
        <f>IF(D1310="","",IFERROR(INDEX('Stock pièces'!$D$5:$D$404,MATCH(D1310,'Stock pièces'!$A$5:$A$404,0)),""))</f>
        <v/>
      </c>
      <c r="L1310" s="7" t="n"/>
      <c r="M1310" s="7" t="n"/>
    </row>
    <row r="1311">
      <c r="A1311" s="7" t="n"/>
      <c r="B1311" s="75" t="n"/>
      <c r="C1311" s="7" t="n"/>
      <c r="D1311" s="7" t="n"/>
      <c r="E1311" s="9">
        <f>IF(D1311="","",IFERROR(INDEX('Stock pièces'!$B$5:$B$404,MATCH(D1311,'Stock pièces'!$A$5:$A$404,0)),"Réf. inconnue"))</f>
        <v/>
      </c>
      <c r="F1311" s="67" t="n"/>
      <c r="G1311" s="81">
        <f>IF(D1311="","",IFERROR(INDEX('Stock pièces'!$I$5:$I$404,MATCH(D1311,'Stock pièces'!$A$5:$A$404,0)),0))</f>
        <v/>
      </c>
      <c r="H1311" s="81">
        <f>IF(D1311="","",N(F1311)*N(G1311))</f>
        <v/>
      </c>
      <c r="I1311" s="7" t="n"/>
      <c r="J1311" s="9">
        <f>IF(I1311="","",IFERROR(INDEX('Ordres de travail'!$D$5:$D$3004,MATCH(I1311,'Ordres de travail'!$A$5:$A$3004,0)),""))</f>
        <v/>
      </c>
      <c r="K1311" s="9">
        <f>IF(D1311="","",IFERROR(INDEX('Stock pièces'!$D$5:$D$404,MATCH(D1311,'Stock pièces'!$A$5:$A$404,0)),""))</f>
        <v/>
      </c>
      <c r="L1311" s="7" t="n"/>
      <c r="M1311" s="7" t="n"/>
    </row>
    <row r="1312">
      <c r="A1312" s="7" t="n"/>
      <c r="B1312" s="75" t="n"/>
      <c r="C1312" s="7" t="n"/>
      <c r="D1312" s="7" t="n"/>
      <c r="E1312" s="9">
        <f>IF(D1312="","",IFERROR(INDEX('Stock pièces'!$B$5:$B$404,MATCH(D1312,'Stock pièces'!$A$5:$A$404,0)),"Réf. inconnue"))</f>
        <v/>
      </c>
      <c r="F1312" s="67" t="n"/>
      <c r="G1312" s="81">
        <f>IF(D1312="","",IFERROR(INDEX('Stock pièces'!$I$5:$I$404,MATCH(D1312,'Stock pièces'!$A$5:$A$404,0)),0))</f>
        <v/>
      </c>
      <c r="H1312" s="81">
        <f>IF(D1312="","",N(F1312)*N(G1312))</f>
        <v/>
      </c>
      <c r="I1312" s="7" t="n"/>
      <c r="J1312" s="9">
        <f>IF(I1312="","",IFERROR(INDEX('Ordres de travail'!$D$5:$D$3004,MATCH(I1312,'Ordres de travail'!$A$5:$A$3004,0)),""))</f>
        <v/>
      </c>
      <c r="K1312" s="9">
        <f>IF(D1312="","",IFERROR(INDEX('Stock pièces'!$D$5:$D$404,MATCH(D1312,'Stock pièces'!$A$5:$A$404,0)),""))</f>
        <v/>
      </c>
      <c r="L1312" s="7" t="n"/>
      <c r="M1312" s="7" t="n"/>
    </row>
    <row r="1313">
      <c r="A1313" s="7" t="n"/>
      <c r="B1313" s="75" t="n"/>
      <c r="C1313" s="7" t="n"/>
      <c r="D1313" s="7" t="n"/>
      <c r="E1313" s="9">
        <f>IF(D1313="","",IFERROR(INDEX('Stock pièces'!$B$5:$B$404,MATCH(D1313,'Stock pièces'!$A$5:$A$404,0)),"Réf. inconnue"))</f>
        <v/>
      </c>
      <c r="F1313" s="67" t="n"/>
      <c r="G1313" s="81">
        <f>IF(D1313="","",IFERROR(INDEX('Stock pièces'!$I$5:$I$404,MATCH(D1313,'Stock pièces'!$A$5:$A$404,0)),0))</f>
        <v/>
      </c>
      <c r="H1313" s="81">
        <f>IF(D1313="","",N(F1313)*N(G1313))</f>
        <v/>
      </c>
      <c r="I1313" s="7" t="n"/>
      <c r="J1313" s="9">
        <f>IF(I1313="","",IFERROR(INDEX('Ordres de travail'!$D$5:$D$3004,MATCH(I1313,'Ordres de travail'!$A$5:$A$3004,0)),""))</f>
        <v/>
      </c>
      <c r="K1313" s="9">
        <f>IF(D1313="","",IFERROR(INDEX('Stock pièces'!$D$5:$D$404,MATCH(D1313,'Stock pièces'!$A$5:$A$404,0)),""))</f>
        <v/>
      </c>
      <c r="L1313" s="7" t="n"/>
      <c r="M1313" s="7" t="n"/>
    </row>
    <row r="1314">
      <c r="A1314" s="7" t="n"/>
      <c r="B1314" s="75" t="n"/>
      <c r="C1314" s="7" t="n"/>
      <c r="D1314" s="7" t="n"/>
      <c r="E1314" s="9">
        <f>IF(D1314="","",IFERROR(INDEX('Stock pièces'!$B$5:$B$404,MATCH(D1314,'Stock pièces'!$A$5:$A$404,0)),"Réf. inconnue"))</f>
        <v/>
      </c>
      <c r="F1314" s="67" t="n"/>
      <c r="G1314" s="81">
        <f>IF(D1314="","",IFERROR(INDEX('Stock pièces'!$I$5:$I$404,MATCH(D1314,'Stock pièces'!$A$5:$A$404,0)),0))</f>
        <v/>
      </c>
      <c r="H1314" s="81">
        <f>IF(D1314="","",N(F1314)*N(G1314))</f>
        <v/>
      </c>
      <c r="I1314" s="7" t="n"/>
      <c r="J1314" s="9">
        <f>IF(I1314="","",IFERROR(INDEX('Ordres de travail'!$D$5:$D$3004,MATCH(I1314,'Ordres de travail'!$A$5:$A$3004,0)),""))</f>
        <v/>
      </c>
      <c r="K1314" s="9">
        <f>IF(D1314="","",IFERROR(INDEX('Stock pièces'!$D$5:$D$404,MATCH(D1314,'Stock pièces'!$A$5:$A$404,0)),""))</f>
        <v/>
      </c>
      <c r="L1314" s="7" t="n"/>
      <c r="M1314" s="7" t="n"/>
    </row>
    <row r="1315">
      <c r="A1315" s="7" t="n"/>
      <c r="B1315" s="75" t="n"/>
      <c r="C1315" s="7" t="n"/>
      <c r="D1315" s="7" t="n"/>
      <c r="E1315" s="9">
        <f>IF(D1315="","",IFERROR(INDEX('Stock pièces'!$B$5:$B$404,MATCH(D1315,'Stock pièces'!$A$5:$A$404,0)),"Réf. inconnue"))</f>
        <v/>
      </c>
      <c r="F1315" s="67" t="n"/>
      <c r="G1315" s="81">
        <f>IF(D1315="","",IFERROR(INDEX('Stock pièces'!$I$5:$I$404,MATCH(D1315,'Stock pièces'!$A$5:$A$404,0)),0))</f>
        <v/>
      </c>
      <c r="H1315" s="81">
        <f>IF(D1315="","",N(F1315)*N(G1315))</f>
        <v/>
      </c>
      <c r="I1315" s="7" t="n"/>
      <c r="J1315" s="9">
        <f>IF(I1315="","",IFERROR(INDEX('Ordres de travail'!$D$5:$D$3004,MATCH(I1315,'Ordres de travail'!$A$5:$A$3004,0)),""))</f>
        <v/>
      </c>
      <c r="K1315" s="9">
        <f>IF(D1315="","",IFERROR(INDEX('Stock pièces'!$D$5:$D$404,MATCH(D1315,'Stock pièces'!$A$5:$A$404,0)),""))</f>
        <v/>
      </c>
      <c r="L1315" s="7" t="n"/>
      <c r="M1315" s="7" t="n"/>
    </row>
    <row r="1316">
      <c r="A1316" s="7" t="n"/>
      <c r="B1316" s="75" t="n"/>
      <c r="C1316" s="7" t="n"/>
      <c r="D1316" s="7" t="n"/>
      <c r="E1316" s="9">
        <f>IF(D1316="","",IFERROR(INDEX('Stock pièces'!$B$5:$B$404,MATCH(D1316,'Stock pièces'!$A$5:$A$404,0)),"Réf. inconnue"))</f>
        <v/>
      </c>
      <c r="F1316" s="67" t="n"/>
      <c r="G1316" s="81">
        <f>IF(D1316="","",IFERROR(INDEX('Stock pièces'!$I$5:$I$404,MATCH(D1316,'Stock pièces'!$A$5:$A$404,0)),0))</f>
        <v/>
      </c>
      <c r="H1316" s="81">
        <f>IF(D1316="","",N(F1316)*N(G1316))</f>
        <v/>
      </c>
      <c r="I1316" s="7" t="n"/>
      <c r="J1316" s="9">
        <f>IF(I1316="","",IFERROR(INDEX('Ordres de travail'!$D$5:$D$3004,MATCH(I1316,'Ordres de travail'!$A$5:$A$3004,0)),""))</f>
        <v/>
      </c>
      <c r="K1316" s="9">
        <f>IF(D1316="","",IFERROR(INDEX('Stock pièces'!$D$5:$D$404,MATCH(D1316,'Stock pièces'!$A$5:$A$404,0)),""))</f>
        <v/>
      </c>
      <c r="L1316" s="7" t="n"/>
      <c r="M1316" s="7" t="n"/>
    </row>
    <row r="1317">
      <c r="A1317" s="7" t="n"/>
      <c r="B1317" s="75" t="n"/>
      <c r="C1317" s="7" t="n"/>
      <c r="D1317" s="7" t="n"/>
      <c r="E1317" s="9">
        <f>IF(D1317="","",IFERROR(INDEX('Stock pièces'!$B$5:$B$404,MATCH(D1317,'Stock pièces'!$A$5:$A$404,0)),"Réf. inconnue"))</f>
        <v/>
      </c>
      <c r="F1317" s="67" t="n"/>
      <c r="G1317" s="81">
        <f>IF(D1317="","",IFERROR(INDEX('Stock pièces'!$I$5:$I$404,MATCH(D1317,'Stock pièces'!$A$5:$A$404,0)),0))</f>
        <v/>
      </c>
      <c r="H1317" s="81">
        <f>IF(D1317="","",N(F1317)*N(G1317))</f>
        <v/>
      </c>
      <c r="I1317" s="7" t="n"/>
      <c r="J1317" s="9">
        <f>IF(I1317="","",IFERROR(INDEX('Ordres de travail'!$D$5:$D$3004,MATCH(I1317,'Ordres de travail'!$A$5:$A$3004,0)),""))</f>
        <v/>
      </c>
      <c r="K1317" s="9">
        <f>IF(D1317="","",IFERROR(INDEX('Stock pièces'!$D$5:$D$404,MATCH(D1317,'Stock pièces'!$A$5:$A$404,0)),""))</f>
        <v/>
      </c>
      <c r="L1317" s="7" t="n"/>
      <c r="M1317" s="7" t="n"/>
    </row>
    <row r="1318">
      <c r="A1318" s="7" t="n"/>
      <c r="B1318" s="75" t="n"/>
      <c r="C1318" s="7" t="n"/>
      <c r="D1318" s="7" t="n"/>
      <c r="E1318" s="9">
        <f>IF(D1318="","",IFERROR(INDEX('Stock pièces'!$B$5:$B$404,MATCH(D1318,'Stock pièces'!$A$5:$A$404,0)),"Réf. inconnue"))</f>
        <v/>
      </c>
      <c r="F1318" s="67" t="n"/>
      <c r="G1318" s="81">
        <f>IF(D1318="","",IFERROR(INDEX('Stock pièces'!$I$5:$I$404,MATCH(D1318,'Stock pièces'!$A$5:$A$404,0)),0))</f>
        <v/>
      </c>
      <c r="H1318" s="81">
        <f>IF(D1318="","",N(F1318)*N(G1318))</f>
        <v/>
      </c>
      <c r="I1318" s="7" t="n"/>
      <c r="J1318" s="9">
        <f>IF(I1318="","",IFERROR(INDEX('Ordres de travail'!$D$5:$D$3004,MATCH(I1318,'Ordres de travail'!$A$5:$A$3004,0)),""))</f>
        <v/>
      </c>
      <c r="K1318" s="9">
        <f>IF(D1318="","",IFERROR(INDEX('Stock pièces'!$D$5:$D$404,MATCH(D1318,'Stock pièces'!$A$5:$A$404,0)),""))</f>
        <v/>
      </c>
      <c r="L1318" s="7" t="n"/>
      <c r="M1318" s="7" t="n"/>
    </row>
    <row r="1319">
      <c r="A1319" s="7" t="n"/>
      <c r="B1319" s="75" t="n"/>
      <c r="C1319" s="7" t="n"/>
      <c r="D1319" s="7" t="n"/>
      <c r="E1319" s="9">
        <f>IF(D1319="","",IFERROR(INDEX('Stock pièces'!$B$5:$B$404,MATCH(D1319,'Stock pièces'!$A$5:$A$404,0)),"Réf. inconnue"))</f>
        <v/>
      </c>
      <c r="F1319" s="67" t="n"/>
      <c r="G1319" s="81">
        <f>IF(D1319="","",IFERROR(INDEX('Stock pièces'!$I$5:$I$404,MATCH(D1319,'Stock pièces'!$A$5:$A$404,0)),0))</f>
        <v/>
      </c>
      <c r="H1319" s="81">
        <f>IF(D1319="","",N(F1319)*N(G1319))</f>
        <v/>
      </c>
      <c r="I1319" s="7" t="n"/>
      <c r="J1319" s="9">
        <f>IF(I1319="","",IFERROR(INDEX('Ordres de travail'!$D$5:$D$3004,MATCH(I1319,'Ordres de travail'!$A$5:$A$3004,0)),""))</f>
        <v/>
      </c>
      <c r="K1319" s="9">
        <f>IF(D1319="","",IFERROR(INDEX('Stock pièces'!$D$5:$D$404,MATCH(D1319,'Stock pièces'!$A$5:$A$404,0)),""))</f>
        <v/>
      </c>
      <c r="L1319" s="7" t="n"/>
      <c r="M1319" s="7" t="n"/>
    </row>
    <row r="1320">
      <c r="A1320" s="7" t="n"/>
      <c r="B1320" s="75" t="n"/>
      <c r="C1320" s="7" t="n"/>
      <c r="D1320" s="7" t="n"/>
      <c r="E1320" s="9">
        <f>IF(D1320="","",IFERROR(INDEX('Stock pièces'!$B$5:$B$404,MATCH(D1320,'Stock pièces'!$A$5:$A$404,0)),"Réf. inconnue"))</f>
        <v/>
      </c>
      <c r="F1320" s="67" t="n"/>
      <c r="G1320" s="81">
        <f>IF(D1320="","",IFERROR(INDEX('Stock pièces'!$I$5:$I$404,MATCH(D1320,'Stock pièces'!$A$5:$A$404,0)),0))</f>
        <v/>
      </c>
      <c r="H1320" s="81">
        <f>IF(D1320="","",N(F1320)*N(G1320))</f>
        <v/>
      </c>
      <c r="I1320" s="7" t="n"/>
      <c r="J1320" s="9">
        <f>IF(I1320="","",IFERROR(INDEX('Ordres de travail'!$D$5:$D$3004,MATCH(I1320,'Ordres de travail'!$A$5:$A$3004,0)),""))</f>
        <v/>
      </c>
      <c r="K1320" s="9">
        <f>IF(D1320="","",IFERROR(INDEX('Stock pièces'!$D$5:$D$404,MATCH(D1320,'Stock pièces'!$A$5:$A$404,0)),""))</f>
        <v/>
      </c>
      <c r="L1320" s="7" t="n"/>
      <c r="M1320" s="7" t="n"/>
    </row>
    <row r="1321">
      <c r="A1321" s="7" t="n"/>
      <c r="B1321" s="75" t="n"/>
      <c r="C1321" s="7" t="n"/>
      <c r="D1321" s="7" t="n"/>
      <c r="E1321" s="9">
        <f>IF(D1321="","",IFERROR(INDEX('Stock pièces'!$B$5:$B$404,MATCH(D1321,'Stock pièces'!$A$5:$A$404,0)),"Réf. inconnue"))</f>
        <v/>
      </c>
      <c r="F1321" s="67" t="n"/>
      <c r="G1321" s="81">
        <f>IF(D1321="","",IFERROR(INDEX('Stock pièces'!$I$5:$I$404,MATCH(D1321,'Stock pièces'!$A$5:$A$404,0)),0))</f>
        <v/>
      </c>
      <c r="H1321" s="81">
        <f>IF(D1321="","",N(F1321)*N(G1321))</f>
        <v/>
      </c>
      <c r="I1321" s="7" t="n"/>
      <c r="J1321" s="9">
        <f>IF(I1321="","",IFERROR(INDEX('Ordres de travail'!$D$5:$D$3004,MATCH(I1321,'Ordres de travail'!$A$5:$A$3004,0)),""))</f>
        <v/>
      </c>
      <c r="K1321" s="9">
        <f>IF(D1321="","",IFERROR(INDEX('Stock pièces'!$D$5:$D$404,MATCH(D1321,'Stock pièces'!$A$5:$A$404,0)),""))</f>
        <v/>
      </c>
      <c r="L1321" s="7" t="n"/>
      <c r="M1321" s="7" t="n"/>
    </row>
    <row r="1322">
      <c r="A1322" s="7" t="n"/>
      <c r="B1322" s="75" t="n"/>
      <c r="C1322" s="7" t="n"/>
      <c r="D1322" s="7" t="n"/>
      <c r="E1322" s="9">
        <f>IF(D1322="","",IFERROR(INDEX('Stock pièces'!$B$5:$B$404,MATCH(D1322,'Stock pièces'!$A$5:$A$404,0)),"Réf. inconnue"))</f>
        <v/>
      </c>
      <c r="F1322" s="67" t="n"/>
      <c r="G1322" s="81">
        <f>IF(D1322="","",IFERROR(INDEX('Stock pièces'!$I$5:$I$404,MATCH(D1322,'Stock pièces'!$A$5:$A$404,0)),0))</f>
        <v/>
      </c>
      <c r="H1322" s="81">
        <f>IF(D1322="","",N(F1322)*N(G1322))</f>
        <v/>
      </c>
      <c r="I1322" s="7" t="n"/>
      <c r="J1322" s="9">
        <f>IF(I1322="","",IFERROR(INDEX('Ordres de travail'!$D$5:$D$3004,MATCH(I1322,'Ordres de travail'!$A$5:$A$3004,0)),""))</f>
        <v/>
      </c>
      <c r="K1322" s="9">
        <f>IF(D1322="","",IFERROR(INDEX('Stock pièces'!$D$5:$D$404,MATCH(D1322,'Stock pièces'!$A$5:$A$404,0)),""))</f>
        <v/>
      </c>
      <c r="L1322" s="7" t="n"/>
      <c r="M1322" s="7" t="n"/>
    </row>
    <row r="1323">
      <c r="A1323" s="7" t="n"/>
      <c r="B1323" s="75" t="n"/>
      <c r="C1323" s="7" t="n"/>
      <c r="D1323" s="7" t="n"/>
      <c r="E1323" s="9">
        <f>IF(D1323="","",IFERROR(INDEX('Stock pièces'!$B$5:$B$404,MATCH(D1323,'Stock pièces'!$A$5:$A$404,0)),"Réf. inconnue"))</f>
        <v/>
      </c>
      <c r="F1323" s="67" t="n"/>
      <c r="G1323" s="81">
        <f>IF(D1323="","",IFERROR(INDEX('Stock pièces'!$I$5:$I$404,MATCH(D1323,'Stock pièces'!$A$5:$A$404,0)),0))</f>
        <v/>
      </c>
      <c r="H1323" s="81">
        <f>IF(D1323="","",N(F1323)*N(G1323))</f>
        <v/>
      </c>
      <c r="I1323" s="7" t="n"/>
      <c r="J1323" s="9">
        <f>IF(I1323="","",IFERROR(INDEX('Ordres de travail'!$D$5:$D$3004,MATCH(I1323,'Ordres de travail'!$A$5:$A$3004,0)),""))</f>
        <v/>
      </c>
      <c r="K1323" s="9">
        <f>IF(D1323="","",IFERROR(INDEX('Stock pièces'!$D$5:$D$404,MATCH(D1323,'Stock pièces'!$A$5:$A$404,0)),""))</f>
        <v/>
      </c>
      <c r="L1323" s="7" t="n"/>
      <c r="M1323" s="7" t="n"/>
    </row>
    <row r="1324">
      <c r="A1324" s="7" t="n"/>
      <c r="B1324" s="75" t="n"/>
      <c r="C1324" s="7" t="n"/>
      <c r="D1324" s="7" t="n"/>
      <c r="E1324" s="9">
        <f>IF(D1324="","",IFERROR(INDEX('Stock pièces'!$B$5:$B$404,MATCH(D1324,'Stock pièces'!$A$5:$A$404,0)),"Réf. inconnue"))</f>
        <v/>
      </c>
      <c r="F1324" s="67" t="n"/>
      <c r="G1324" s="81">
        <f>IF(D1324="","",IFERROR(INDEX('Stock pièces'!$I$5:$I$404,MATCH(D1324,'Stock pièces'!$A$5:$A$404,0)),0))</f>
        <v/>
      </c>
      <c r="H1324" s="81">
        <f>IF(D1324="","",N(F1324)*N(G1324))</f>
        <v/>
      </c>
      <c r="I1324" s="7" t="n"/>
      <c r="J1324" s="9">
        <f>IF(I1324="","",IFERROR(INDEX('Ordres de travail'!$D$5:$D$3004,MATCH(I1324,'Ordres de travail'!$A$5:$A$3004,0)),""))</f>
        <v/>
      </c>
      <c r="K1324" s="9">
        <f>IF(D1324="","",IFERROR(INDEX('Stock pièces'!$D$5:$D$404,MATCH(D1324,'Stock pièces'!$A$5:$A$404,0)),""))</f>
        <v/>
      </c>
      <c r="L1324" s="7" t="n"/>
      <c r="M1324" s="7" t="n"/>
    </row>
    <row r="1325">
      <c r="A1325" s="7" t="n"/>
      <c r="B1325" s="75" t="n"/>
      <c r="C1325" s="7" t="n"/>
      <c r="D1325" s="7" t="n"/>
      <c r="E1325" s="9">
        <f>IF(D1325="","",IFERROR(INDEX('Stock pièces'!$B$5:$B$404,MATCH(D1325,'Stock pièces'!$A$5:$A$404,0)),"Réf. inconnue"))</f>
        <v/>
      </c>
      <c r="F1325" s="67" t="n"/>
      <c r="G1325" s="81">
        <f>IF(D1325="","",IFERROR(INDEX('Stock pièces'!$I$5:$I$404,MATCH(D1325,'Stock pièces'!$A$5:$A$404,0)),0))</f>
        <v/>
      </c>
      <c r="H1325" s="81">
        <f>IF(D1325="","",N(F1325)*N(G1325))</f>
        <v/>
      </c>
      <c r="I1325" s="7" t="n"/>
      <c r="J1325" s="9">
        <f>IF(I1325="","",IFERROR(INDEX('Ordres de travail'!$D$5:$D$3004,MATCH(I1325,'Ordres de travail'!$A$5:$A$3004,0)),""))</f>
        <v/>
      </c>
      <c r="K1325" s="9">
        <f>IF(D1325="","",IFERROR(INDEX('Stock pièces'!$D$5:$D$404,MATCH(D1325,'Stock pièces'!$A$5:$A$404,0)),""))</f>
        <v/>
      </c>
      <c r="L1325" s="7" t="n"/>
      <c r="M1325" s="7" t="n"/>
    </row>
    <row r="1326">
      <c r="A1326" s="7" t="n"/>
      <c r="B1326" s="75" t="n"/>
      <c r="C1326" s="7" t="n"/>
      <c r="D1326" s="7" t="n"/>
      <c r="E1326" s="9">
        <f>IF(D1326="","",IFERROR(INDEX('Stock pièces'!$B$5:$B$404,MATCH(D1326,'Stock pièces'!$A$5:$A$404,0)),"Réf. inconnue"))</f>
        <v/>
      </c>
      <c r="F1326" s="67" t="n"/>
      <c r="G1326" s="81">
        <f>IF(D1326="","",IFERROR(INDEX('Stock pièces'!$I$5:$I$404,MATCH(D1326,'Stock pièces'!$A$5:$A$404,0)),0))</f>
        <v/>
      </c>
      <c r="H1326" s="81">
        <f>IF(D1326="","",N(F1326)*N(G1326))</f>
        <v/>
      </c>
      <c r="I1326" s="7" t="n"/>
      <c r="J1326" s="9">
        <f>IF(I1326="","",IFERROR(INDEX('Ordres de travail'!$D$5:$D$3004,MATCH(I1326,'Ordres de travail'!$A$5:$A$3004,0)),""))</f>
        <v/>
      </c>
      <c r="K1326" s="9">
        <f>IF(D1326="","",IFERROR(INDEX('Stock pièces'!$D$5:$D$404,MATCH(D1326,'Stock pièces'!$A$5:$A$404,0)),""))</f>
        <v/>
      </c>
      <c r="L1326" s="7" t="n"/>
      <c r="M1326" s="7" t="n"/>
    </row>
    <row r="1327">
      <c r="A1327" s="7" t="n"/>
      <c r="B1327" s="75" t="n"/>
      <c r="C1327" s="7" t="n"/>
      <c r="D1327" s="7" t="n"/>
      <c r="E1327" s="9">
        <f>IF(D1327="","",IFERROR(INDEX('Stock pièces'!$B$5:$B$404,MATCH(D1327,'Stock pièces'!$A$5:$A$404,0)),"Réf. inconnue"))</f>
        <v/>
      </c>
      <c r="F1327" s="67" t="n"/>
      <c r="G1327" s="81">
        <f>IF(D1327="","",IFERROR(INDEX('Stock pièces'!$I$5:$I$404,MATCH(D1327,'Stock pièces'!$A$5:$A$404,0)),0))</f>
        <v/>
      </c>
      <c r="H1327" s="81">
        <f>IF(D1327="","",N(F1327)*N(G1327))</f>
        <v/>
      </c>
      <c r="I1327" s="7" t="n"/>
      <c r="J1327" s="9">
        <f>IF(I1327="","",IFERROR(INDEX('Ordres de travail'!$D$5:$D$3004,MATCH(I1327,'Ordres de travail'!$A$5:$A$3004,0)),""))</f>
        <v/>
      </c>
      <c r="K1327" s="9">
        <f>IF(D1327="","",IFERROR(INDEX('Stock pièces'!$D$5:$D$404,MATCH(D1327,'Stock pièces'!$A$5:$A$404,0)),""))</f>
        <v/>
      </c>
      <c r="L1327" s="7" t="n"/>
      <c r="M1327" s="7" t="n"/>
    </row>
    <row r="1328">
      <c r="A1328" s="7" t="n"/>
      <c r="B1328" s="75" t="n"/>
      <c r="C1328" s="7" t="n"/>
      <c r="D1328" s="7" t="n"/>
      <c r="E1328" s="9">
        <f>IF(D1328="","",IFERROR(INDEX('Stock pièces'!$B$5:$B$404,MATCH(D1328,'Stock pièces'!$A$5:$A$404,0)),"Réf. inconnue"))</f>
        <v/>
      </c>
      <c r="F1328" s="67" t="n"/>
      <c r="G1328" s="81">
        <f>IF(D1328="","",IFERROR(INDEX('Stock pièces'!$I$5:$I$404,MATCH(D1328,'Stock pièces'!$A$5:$A$404,0)),0))</f>
        <v/>
      </c>
      <c r="H1328" s="81">
        <f>IF(D1328="","",N(F1328)*N(G1328))</f>
        <v/>
      </c>
      <c r="I1328" s="7" t="n"/>
      <c r="J1328" s="9">
        <f>IF(I1328="","",IFERROR(INDEX('Ordres de travail'!$D$5:$D$3004,MATCH(I1328,'Ordres de travail'!$A$5:$A$3004,0)),""))</f>
        <v/>
      </c>
      <c r="K1328" s="9">
        <f>IF(D1328="","",IFERROR(INDEX('Stock pièces'!$D$5:$D$404,MATCH(D1328,'Stock pièces'!$A$5:$A$404,0)),""))</f>
        <v/>
      </c>
      <c r="L1328" s="7" t="n"/>
      <c r="M1328" s="7" t="n"/>
    </row>
    <row r="1329">
      <c r="A1329" s="7" t="n"/>
      <c r="B1329" s="75" t="n"/>
      <c r="C1329" s="7" t="n"/>
      <c r="D1329" s="7" t="n"/>
      <c r="E1329" s="9">
        <f>IF(D1329="","",IFERROR(INDEX('Stock pièces'!$B$5:$B$404,MATCH(D1329,'Stock pièces'!$A$5:$A$404,0)),"Réf. inconnue"))</f>
        <v/>
      </c>
      <c r="F1329" s="67" t="n"/>
      <c r="G1329" s="81">
        <f>IF(D1329="","",IFERROR(INDEX('Stock pièces'!$I$5:$I$404,MATCH(D1329,'Stock pièces'!$A$5:$A$404,0)),0))</f>
        <v/>
      </c>
      <c r="H1329" s="81">
        <f>IF(D1329="","",N(F1329)*N(G1329))</f>
        <v/>
      </c>
      <c r="I1329" s="7" t="n"/>
      <c r="J1329" s="9">
        <f>IF(I1329="","",IFERROR(INDEX('Ordres de travail'!$D$5:$D$3004,MATCH(I1329,'Ordres de travail'!$A$5:$A$3004,0)),""))</f>
        <v/>
      </c>
      <c r="K1329" s="9">
        <f>IF(D1329="","",IFERROR(INDEX('Stock pièces'!$D$5:$D$404,MATCH(D1329,'Stock pièces'!$A$5:$A$404,0)),""))</f>
        <v/>
      </c>
      <c r="L1329" s="7" t="n"/>
      <c r="M1329" s="7" t="n"/>
    </row>
    <row r="1330">
      <c r="A1330" s="7" t="n"/>
      <c r="B1330" s="75" t="n"/>
      <c r="C1330" s="7" t="n"/>
      <c r="D1330" s="7" t="n"/>
      <c r="E1330" s="9">
        <f>IF(D1330="","",IFERROR(INDEX('Stock pièces'!$B$5:$B$404,MATCH(D1330,'Stock pièces'!$A$5:$A$404,0)),"Réf. inconnue"))</f>
        <v/>
      </c>
      <c r="F1330" s="67" t="n"/>
      <c r="G1330" s="81">
        <f>IF(D1330="","",IFERROR(INDEX('Stock pièces'!$I$5:$I$404,MATCH(D1330,'Stock pièces'!$A$5:$A$404,0)),0))</f>
        <v/>
      </c>
      <c r="H1330" s="81">
        <f>IF(D1330="","",N(F1330)*N(G1330))</f>
        <v/>
      </c>
      <c r="I1330" s="7" t="n"/>
      <c r="J1330" s="9">
        <f>IF(I1330="","",IFERROR(INDEX('Ordres de travail'!$D$5:$D$3004,MATCH(I1330,'Ordres de travail'!$A$5:$A$3004,0)),""))</f>
        <v/>
      </c>
      <c r="K1330" s="9">
        <f>IF(D1330="","",IFERROR(INDEX('Stock pièces'!$D$5:$D$404,MATCH(D1330,'Stock pièces'!$A$5:$A$404,0)),""))</f>
        <v/>
      </c>
      <c r="L1330" s="7" t="n"/>
      <c r="M1330" s="7" t="n"/>
    </row>
    <row r="1331">
      <c r="A1331" s="7" t="n"/>
      <c r="B1331" s="75" t="n"/>
      <c r="C1331" s="7" t="n"/>
      <c r="D1331" s="7" t="n"/>
      <c r="E1331" s="9">
        <f>IF(D1331="","",IFERROR(INDEX('Stock pièces'!$B$5:$B$404,MATCH(D1331,'Stock pièces'!$A$5:$A$404,0)),"Réf. inconnue"))</f>
        <v/>
      </c>
      <c r="F1331" s="67" t="n"/>
      <c r="G1331" s="81">
        <f>IF(D1331="","",IFERROR(INDEX('Stock pièces'!$I$5:$I$404,MATCH(D1331,'Stock pièces'!$A$5:$A$404,0)),0))</f>
        <v/>
      </c>
      <c r="H1331" s="81">
        <f>IF(D1331="","",N(F1331)*N(G1331))</f>
        <v/>
      </c>
      <c r="I1331" s="7" t="n"/>
      <c r="J1331" s="9">
        <f>IF(I1331="","",IFERROR(INDEX('Ordres de travail'!$D$5:$D$3004,MATCH(I1331,'Ordres de travail'!$A$5:$A$3004,0)),""))</f>
        <v/>
      </c>
      <c r="K1331" s="9">
        <f>IF(D1331="","",IFERROR(INDEX('Stock pièces'!$D$5:$D$404,MATCH(D1331,'Stock pièces'!$A$5:$A$404,0)),""))</f>
        <v/>
      </c>
      <c r="L1331" s="7" t="n"/>
      <c r="M1331" s="7" t="n"/>
    </row>
    <row r="1332">
      <c r="A1332" s="7" t="n"/>
      <c r="B1332" s="75" t="n"/>
      <c r="C1332" s="7" t="n"/>
      <c r="D1332" s="7" t="n"/>
      <c r="E1332" s="9">
        <f>IF(D1332="","",IFERROR(INDEX('Stock pièces'!$B$5:$B$404,MATCH(D1332,'Stock pièces'!$A$5:$A$404,0)),"Réf. inconnue"))</f>
        <v/>
      </c>
      <c r="F1332" s="67" t="n"/>
      <c r="G1332" s="81">
        <f>IF(D1332="","",IFERROR(INDEX('Stock pièces'!$I$5:$I$404,MATCH(D1332,'Stock pièces'!$A$5:$A$404,0)),0))</f>
        <v/>
      </c>
      <c r="H1332" s="81">
        <f>IF(D1332="","",N(F1332)*N(G1332))</f>
        <v/>
      </c>
      <c r="I1332" s="7" t="n"/>
      <c r="J1332" s="9">
        <f>IF(I1332="","",IFERROR(INDEX('Ordres de travail'!$D$5:$D$3004,MATCH(I1332,'Ordres de travail'!$A$5:$A$3004,0)),""))</f>
        <v/>
      </c>
      <c r="K1332" s="9">
        <f>IF(D1332="","",IFERROR(INDEX('Stock pièces'!$D$5:$D$404,MATCH(D1332,'Stock pièces'!$A$5:$A$404,0)),""))</f>
        <v/>
      </c>
      <c r="L1332" s="7" t="n"/>
      <c r="M1332" s="7" t="n"/>
    </row>
    <row r="1333">
      <c r="A1333" s="7" t="n"/>
      <c r="B1333" s="75" t="n"/>
      <c r="C1333" s="7" t="n"/>
      <c r="D1333" s="7" t="n"/>
      <c r="E1333" s="9">
        <f>IF(D1333="","",IFERROR(INDEX('Stock pièces'!$B$5:$B$404,MATCH(D1333,'Stock pièces'!$A$5:$A$404,0)),"Réf. inconnue"))</f>
        <v/>
      </c>
      <c r="F1333" s="67" t="n"/>
      <c r="G1333" s="81">
        <f>IF(D1333="","",IFERROR(INDEX('Stock pièces'!$I$5:$I$404,MATCH(D1333,'Stock pièces'!$A$5:$A$404,0)),0))</f>
        <v/>
      </c>
      <c r="H1333" s="81">
        <f>IF(D1333="","",N(F1333)*N(G1333))</f>
        <v/>
      </c>
      <c r="I1333" s="7" t="n"/>
      <c r="J1333" s="9">
        <f>IF(I1333="","",IFERROR(INDEX('Ordres de travail'!$D$5:$D$3004,MATCH(I1333,'Ordres de travail'!$A$5:$A$3004,0)),""))</f>
        <v/>
      </c>
      <c r="K1333" s="9">
        <f>IF(D1333="","",IFERROR(INDEX('Stock pièces'!$D$5:$D$404,MATCH(D1333,'Stock pièces'!$A$5:$A$404,0)),""))</f>
        <v/>
      </c>
      <c r="L1333" s="7" t="n"/>
      <c r="M1333" s="7" t="n"/>
    </row>
    <row r="1334">
      <c r="A1334" s="7" t="n"/>
      <c r="B1334" s="75" t="n"/>
      <c r="C1334" s="7" t="n"/>
      <c r="D1334" s="7" t="n"/>
      <c r="E1334" s="9">
        <f>IF(D1334="","",IFERROR(INDEX('Stock pièces'!$B$5:$B$404,MATCH(D1334,'Stock pièces'!$A$5:$A$404,0)),"Réf. inconnue"))</f>
        <v/>
      </c>
      <c r="F1334" s="67" t="n"/>
      <c r="G1334" s="81">
        <f>IF(D1334="","",IFERROR(INDEX('Stock pièces'!$I$5:$I$404,MATCH(D1334,'Stock pièces'!$A$5:$A$404,0)),0))</f>
        <v/>
      </c>
      <c r="H1334" s="81">
        <f>IF(D1334="","",N(F1334)*N(G1334))</f>
        <v/>
      </c>
      <c r="I1334" s="7" t="n"/>
      <c r="J1334" s="9">
        <f>IF(I1334="","",IFERROR(INDEX('Ordres de travail'!$D$5:$D$3004,MATCH(I1334,'Ordres de travail'!$A$5:$A$3004,0)),""))</f>
        <v/>
      </c>
      <c r="K1334" s="9">
        <f>IF(D1334="","",IFERROR(INDEX('Stock pièces'!$D$5:$D$404,MATCH(D1334,'Stock pièces'!$A$5:$A$404,0)),""))</f>
        <v/>
      </c>
      <c r="L1334" s="7" t="n"/>
      <c r="M1334" s="7" t="n"/>
    </row>
    <row r="1335">
      <c r="A1335" s="7" t="n"/>
      <c r="B1335" s="75" t="n"/>
      <c r="C1335" s="7" t="n"/>
      <c r="D1335" s="7" t="n"/>
      <c r="E1335" s="9">
        <f>IF(D1335="","",IFERROR(INDEX('Stock pièces'!$B$5:$B$404,MATCH(D1335,'Stock pièces'!$A$5:$A$404,0)),"Réf. inconnue"))</f>
        <v/>
      </c>
      <c r="F1335" s="67" t="n"/>
      <c r="G1335" s="81">
        <f>IF(D1335="","",IFERROR(INDEX('Stock pièces'!$I$5:$I$404,MATCH(D1335,'Stock pièces'!$A$5:$A$404,0)),0))</f>
        <v/>
      </c>
      <c r="H1335" s="81">
        <f>IF(D1335="","",N(F1335)*N(G1335))</f>
        <v/>
      </c>
      <c r="I1335" s="7" t="n"/>
      <c r="J1335" s="9">
        <f>IF(I1335="","",IFERROR(INDEX('Ordres de travail'!$D$5:$D$3004,MATCH(I1335,'Ordres de travail'!$A$5:$A$3004,0)),""))</f>
        <v/>
      </c>
      <c r="K1335" s="9">
        <f>IF(D1335="","",IFERROR(INDEX('Stock pièces'!$D$5:$D$404,MATCH(D1335,'Stock pièces'!$A$5:$A$404,0)),""))</f>
        <v/>
      </c>
      <c r="L1335" s="7" t="n"/>
      <c r="M1335" s="7" t="n"/>
    </row>
    <row r="1336">
      <c r="A1336" s="7" t="n"/>
      <c r="B1336" s="75" t="n"/>
      <c r="C1336" s="7" t="n"/>
      <c r="D1336" s="7" t="n"/>
      <c r="E1336" s="9">
        <f>IF(D1336="","",IFERROR(INDEX('Stock pièces'!$B$5:$B$404,MATCH(D1336,'Stock pièces'!$A$5:$A$404,0)),"Réf. inconnue"))</f>
        <v/>
      </c>
      <c r="F1336" s="67" t="n"/>
      <c r="G1336" s="81">
        <f>IF(D1336="","",IFERROR(INDEX('Stock pièces'!$I$5:$I$404,MATCH(D1336,'Stock pièces'!$A$5:$A$404,0)),0))</f>
        <v/>
      </c>
      <c r="H1336" s="81">
        <f>IF(D1336="","",N(F1336)*N(G1336))</f>
        <v/>
      </c>
      <c r="I1336" s="7" t="n"/>
      <c r="J1336" s="9">
        <f>IF(I1336="","",IFERROR(INDEX('Ordres de travail'!$D$5:$D$3004,MATCH(I1336,'Ordres de travail'!$A$5:$A$3004,0)),""))</f>
        <v/>
      </c>
      <c r="K1336" s="9">
        <f>IF(D1336="","",IFERROR(INDEX('Stock pièces'!$D$5:$D$404,MATCH(D1336,'Stock pièces'!$A$5:$A$404,0)),""))</f>
        <v/>
      </c>
      <c r="L1336" s="7" t="n"/>
      <c r="M1336" s="7" t="n"/>
    </row>
    <row r="1337">
      <c r="A1337" s="7" t="n"/>
      <c r="B1337" s="75" t="n"/>
      <c r="C1337" s="7" t="n"/>
      <c r="D1337" s="7" t="n"/>
      <c r="E1337" s="9">
        <f>IF(D1337="","",IFERROR(INDEX('Stock pièces'!$B$5:$B$404,MATCH(D1337,'Stock pièces'!$A$5:$A$404,0)),"Réf. inconnue"))</f>
        <v/>
      </c>
      <c r="F1337" s="67" t="n"/>
      <c r="G1337" s="81">
        <f>IF(D1337="","",IFERROR(INDEX('Stock pièces'!$I$5:$I$404,MATCH(D1337,'Stock pièces'!$A$5:$A$404,0)),0))</f>
        <v/>
      </c>
      <c r="H1337" s="81">
        <f>IF(D1337="","",N(F1337)*N(G1337))</f>
        <v/>
      </c>
      <c r="I1337" s="7" t="n"/>
      <c r="J1337" s="9">
        <f>IF(I1337="","",IFERROR(INDEX('Ordres de travail'!$D$5:$D$3004,MATCH(I1337,'Ordres de travail'!$A$5:$A$3004,0)),""))</f>
        <v/>
      </c>
      <c r="K1337" s="9">
        <f>IF(D1337="","",IFERROR(INDEX('Stock pièces'!$D$5:$D$404,MATCH(D1337,'Stock pièces'!$A$5:$A$404,0)),""))</f>
        <v/>
      </c>
      <c r="L1337" s="7" t="n"/>
      <c r="M1337" s="7" t="n"/>
    </row>
    <row r="1338">
      <c r="A1338" s="7" t="n"/>
      <c r="B1338" s="75" t="n"/>
      <c r="C1338" s="7" t="n"/>
      <c r="D1338" s="7" t="n"/>
      <c r="E1338" s="9">
        <f>IF(D1338="","",IFERROR(INDEX('Stock pièces'!$B$5:$B$404,MATCH(D1338,'Stock pièces'!$A$5:$A$404,0)),"Réf. inconnue"))</f>
        <v/>
      </c>
      <c r="F1338" s="67" t="n"/>
      <c r="G1338" s="81">
        <f>IF(D1338="","",IFERROR(INDEX('Stock pièces'!$I$5:$I$404,MATCH(D1338,'Stock pièces'!$A$5:$A$404,0)),0))</f>
        <v/>
      </c>
      <c r="H1338" s="81">
        <f>IF(D1338="","",N(F1338)*N(G1338))</f>
        <v/>
      </c>
      <c r="I1338" s="7" t="n"/>
      <c r="J1338" s="9">
        <f>IF(I1338="","",IFERROR(INDEX('Ordres de travail'!$D$5:$D$3004,MATCH(I1338,'Ordres de travail'!$A$5:$A$3004,0)),""))</f>
        <v/>
      </c>
      <c r="K1338" s="9">
        <f>IF(D1338="","",IFERROR(INDEX('Stock pièces'!$D$5:$D$404,MATCH(D1338,'Stock pièces'!$A$5:$A$404,0)),""))</f>
        <v/>
      </c>
      <c r="L1338" s="7" t="n"/>
      <c r="M1338" s="7" t="n"/>
    </row>
    <row r="1339">
      <c r="A1339" s="7" t="n"/>
      <c r="B1339" s="75" t="n"/>
      <c r="C1339" s="7" t="n"/>
      <c r="D1339" s="7" t="n"/>
      <c r="E1339" s="9">
        <f>IF(D1339="","",IFERROR(INDEX('Stock pièces'!$B$5:$B$404,MATCH(D1339,'Stock pièces'!$A$5:$A$404,0)),"Réf. inconnue"))</f>
        <v/>
      </c>
      <c r="F1339" s="67" t="n"/>
      <c r="G1339" s="81">
        <f>IF(D1339="","",IFERROR(INDEX('Stock pièces'!$I$5:$I$404,MATCH(D1339,'Stock pièces'!$A$5:$A$404,0)),0))</f>
        <v/>
      </c>
      <c r="H1339" s="81">
        <f>IF(D1339="","",N(F1339)*N(G1339))</f>
        <v/>
      </c>
      <c r="I1339" s="7" t="n"/>
      <c r="J1339" s="9">
        <f>IF(I1339="","",IFERROR(INDEX('Ordres de travail'!$D$5:$D$3004,MATCH(I1339,'Ordres de travail'!$A$5:$A$3004,0)),""))</f>
        <v/>
      </c>
      <c r="K1339" s="9">
        <f>IF(D1339="","",IFERROR(INDEX('Stock pièces'!$D$5:$D$404,MATCH(D1339,'Stock pièces'!$A$5:$A$404,0)),""))</f>
        <v/>
      </c>
      <c r="L1339" s="7" t="n"/>
      <c r="M1339" s="7" t="n"/>
    </row>
    <row r="1340">
      <c r="A1340" s="7" t="n"/>
      <c r="B1340" s="75" t="n"/>
      <c r="C1340" s="7" t="n"/>
      <c r="D1340" s="7" t="n"/>
      <c r="E1340" s="9">
        <f>IF(D1340="","",IFERROR(INDEX('Stock pièces'!$B$5:$B$404,MATCH(D1340,'Stock pièces'!$A$5:$A$404,0)),"Réf. inconnue"))</f>
        <v/>
      </c>
      <c r="F1340" s="67" t="n"/>
      <c r="G1340" s="81">
        <f>IF(D1340="","",IFERROR(INDEX('Stock pièces'!$I$5:$I$404,MATCH(D1340,'Stock pièces'!$A$5:$A$404,0)),0))</f>
        <v/>
      </c>
      <c r="H1340" s="81">
        <f>IF(D1340="","",N(F1340)*N(G1340))</f>
        <v/>
      </c>
      <c r="I1340" s="7" t="n"/>
      <c r="J1340" s="9">
        <f>IF(I1340="","",IFERROR(INDEX('Ordres de travail'!$D$5:$D$3004,MATCH(I1340,'Ordres de travail'!$A$5:$A$3004,0)),""))</f>
        <v/>
      </c>
      <c r="K1340" s="9">
        <f>IF(D1340="","",IFERROR(INDEX('Stock pièces'!$D$5:$D$404,MATCH(D1340,'Stock pièces'!$A$5:$A$404,0)),""))</f>
        <v/>
      </c>
      <c r="L1340" s="7" t="n"/>
      <c r="M1340" s="7" t="n"/>
    </row>
    <row r="1341">
      <c r="A1341" s="7" t="n"/>
      <c r="B1341" s="75" t="n"/>
      <c r="C1341" s="7" t="n"/>
      <c r="D1341" s="7" t="n"/>
      <c r="E1341" s="9">
        <f>IF(D1341="","",IFERROR(INDEX('Stock pièces'!$B$5:$B$404,MATCH(D1341,'Stock pièces'!$A$5:$A$404,0)),"Réf. inconnue"))</f>
        <v/>
      </c>
      <c r="F1341" s="67" t="n"/>
      <c r="G1341" s="81">
        <f>IF(D1341="","",IFERROR(INDEX('Stock pièces'!$I$5:$I$404,MATCH(D1341,'Stock pièces'!$A$5:$A$404,0)),0))</f>
        <v/>
      </c>
      <c r="H1341" s="81">
        <f>IF(D1341="","",N(F1341)*N(G1341))</f>
        <v/>
      </c>
      <c r="I1341" s="7" t="n"/>
      <c r="J1341" s="9">
        <f>IF(I1341="","",IFERROR(INDEX('Ordres de travail'!$D$5:$D$3004,MATCH(I1341,'Ordres de travail'!$A$5:$A$3004,0)),""))</f>
        <v/>
      </c>
      <c r="K1341" s="9">
        <f>IF(D1341="","",IFERROR(INDEX('Stock pièces'!$D$5:$D$404,MATCH(D1341,'Stock pièces'!$A$5:$A$404,0)),""))</f>
        <v/>
      </c>
      <c r="L1341" s="7" t="n"/>
      <c r="M1341" s="7" t="n"/>
    </row>
    <row r="1342">
      <c r="A1342" s="7" t="n"/>
      <c r="B1342" s="75" t="n"/>
      <c r="C1342" s="7" t="n"/>
      <c r="D1342" s="7" t="n"/>
      <c r="E1342" s="9">
        <f>IF(D1342="","",IFERROR(INDEX('Stock pièces'!$B$5:$B$404,MATCH(D1342,'Stock pièces'!$A$5:$A$404,0)),"Réf. inconnue"))</f>
        <v/>
      </c>
      <c r="F1342" s="67" t="n"/>
      <c r="G1342" s="81">
        <f>IF(D1342="","",IFERROR(INDEX('Stock pièces'!$I$5:$I$404,MATCH(D1342,'Stock pièces'!$A$5:$A$404,0)),0))</f>
        <v/>
      </c>
      <c r="H1342" s="81">
        <f>IF(D1342="","",N(F1342)*N(G1342))</f>
        <v/>
      </c>
      <c r="I1342" s="7" t="n"/>
      <c r="J1342" s="9">
        <f>IF(I1342="","",IFERROR(INDEX('Ordres de travail'!$D$5:$D$3004,MATCH(I1342,'Ordres de travail'!$A$5:$A$3004,0)),""))</f>
        <v/>
      </c>
      <c r="K1342" s="9">
        <f>IF(D1342="","",IFERROR(INDEX('Stock pièces'!$D$5:$D$404,MATCH(D1342,'Stock pièces'!$A$5:$A$404,0)),""))</f>
        <v/>
      </c>
      <c r="L1342" s="7" t="n"/>
      <c r="M1342" s="7" t="n"/>
    </row>
    <row r="1343">
      <c r="A1343" s="7" t="n"/>
      <c r="B1343" s="75" t="n"/>
      <c r="C1343" s="7" t="n"/>
      <c r="D1343" s="7" t="n"/>
      <c r="E1343" s="9">
        <f>IF(D1343="","",IFERROR(INDEX('Stock pièces'!$B$5:$B$404,MATCH(D1343,'Stock pièces'!$A$5:$A$404,0)),"Réf. inconnue"))</f>
        <v/>
      </c>
      <c r="F1343" s="67" t="n"/>
      <c r="G1343" s="81">
        <f>IF(D1343="","",IFERROR(INDEX('Stock pièces'!$I$5:$I$404,MATCH(D1343,'Stock pièces'!$A$5:$A$404,0)),0))</f>
        <v/>
      </c>
      <c r="H1343" s="81">
        <f>IF(D1343="","",N(F1343)*N(G1343))</f>
        <v/>
      </c>
      <c r="I1343" s="7" t="n"/>
      <c r="J1343" s="9">
        <f>IF(I1343="","",IFERROR(INDEX('Ordres de travail'!$D$5:$D$3004,MATCH(I1343,'Ordres de travail'!$A$5:$A$3004,0)),""))</f>
        <v/>
      </c>
      <c r="K1343" s="9">
        <f>IF(D1343="","",IFERROR(INDEX('Stock pièces'!$D$5:$D$404,MATCH(D1343,'Stock pièces'!$A$5:$A$404,0)),""))</f>
        <v/>
      </c>
      <c r="L1343" s="7" t="n"/>
      <c r="M1343" s="7" t="n"/>
    </row>
    <row r="1344">
      <c r="A1344" s="7" t="n"/>
      <c r="B1344" s="75" t="n"/>
      <c r="C1344" s="7" t="n"/>
      <c r="D1344" s="7" t="n"/>
      <c r="E1344" s="9">
        <f>IF(D1344="","",IFERROR(INDEX('Stock pièces'!$B$5:$B$404,MATCH(D1344,'Stock pièces'!$A$5:$A$404,0)),"Réf. inconnue"))</f>
        <v/>
      </c>
      <c r="F1344" s="67" t="n"/>
      <c r="G1344" s="81">
        <f>IF(D1344="","",IFERROR(INDEX('Stock pièces'!$I$5:$I$404,MATCH(D1344,'Stock pièces'!$A$5:$A$404,0)),0))</f>
        <v/>
      </c>
      <c r="H1344" s="81">
        <f>IF(D1344="","",N(F1344)*N(G1344))</f>
        <v/>
      </c>
      <c r="I1344" s="7" t="n"/>
      <c r="J1344" s="9">
        <f>IF(I1344="","",IFERROR(INDEX('Ordres de travail'!$D$5:$D$3004,MATCH(I1344,'Ordres de travail'!$A$5:$A$3004,0)),""))</f>
        <v/>
      </c>
      <c r="K1344" s="9">
        <f>IF(D1344="","",IFERROR(INDEX('Stock pièces'!$D$5:$D$404,MATCH(D1344,'Stock pièces'!$A$5:$A$404,0)),""))</f>
        <v/>
      </c>
      <c r="L1344" s="7" t="n"/>
      <c r="M1344" s="7" t="n"/>
    </row>
    <row r="1345">
      <c r="A1345" s="7" t="n"/>
      <c r="B1345" s="75" t="n"/>
      <c r="C1345" s="7" t="n"/>
      <c r="D1345" s="7" t="n"/>
      <c r="E1345" s="9">
        <f>IF(D1345="","",IFERROR(INDEX('Stock pièces'!$B$5:$B$404,MATCH(D1345,'Stock pièces'!$A$5:$A$404,0)),"Réf. inconnue"))</f>
        <v/>
      </c>
      <c r="F1345" s="67" t="n"/>
      <c r="G1345" s="81">
        <f>IF(D1345="","",IFERROR(INDEX('Stock pièces'!$I$5:$I$404,MATCH(D1345,'Stock pièces'!$A$5:$A$404,0)),0))</f>
        <v/>
      </c>
      <c r="H1345" s="81">
        <f>IF(D1345="","",N(F1345)*N(G1345))</f>
        <v/>
      </c>
      <c r="I1345" s="7" t="n"/>
      <c r="J1345" s="9">
        <f>IF(I1345="","",IFERROR(INDEX('Ordres de travail'!$D$5:$D$3004,MATCH(I1345,'Ordres de travail'!$A$5:$A$3004,0)),""))</f>
        <v/>
      </c>
      <c r="K1345" s="9">
        <f>IF(D1345="","",IFERROR(INDEX('Stock pièces'!$D$5:$D$404,MATCH(D1345,'Stock pièces'!$A$5:$A$404,0)),""))</f>
        <v/>
      </c>
      <c r="L1345" s="7" t="n"/>
      <c r="M1345" s="7" t="n"/>
    </row>
    <row r="1346">
      <c r="A1346" s="7" t="n"/>
      <c r="B1346" s="75" t="n"/>
      <c r="C1346" s="7" t="n"/>
      <c r="D1346" s="7" t="n"/>
      <c r="E1346" s="9">
        <f>IF(D1346="","",IFERROR(INDEX('Stock pièces'!$B$5:$B$404,MATCH(D1346,'Stock pièces'!$A$5:$A$404,0)),"Réf. inconnue"))</f>
        <v/>
      </c>
      <c r="F1346" s="67" t="n"/>
      <c r="G1346" s="81">
        <f>IF(D1346="","",IFERROR(INDEX('Stock pièces'!$I$5:$I$404,MATCH(D1346,'Stock pièces'!$A$5:$A$404,0)),0))</f>
        <v/>
      </c>
      <c r="H1346" s="81">
        <f>IF(D1346="","",N(F1346)*N(G1346))</f>
        <v/>
      </c>
      <c r="I1346" s="7" t="n"/>
      <c r="J1346" s="9">
        <f>IF(I1346="","",IFERROR(INDEX('Ordres de travail'!$D$5:$D$3004,MATCH(I1346,'Ordres de travail'!$A$5:$A$3004,0)),""))</f>
        <v/>
      </c>
      <c r="K1346" s="9">
        <f>IF(D1346="","",IFERROR(INDEX('Stock pièces'!$D$5:$D$404,MATCH(D1346,'Stock pièces'!$A$5:$A$404,0)),""))</f>
        <v/>
      </c>
      <c r="L1346" s="7" t="n"/>
      <c r="M1346" s="7" t="n"/>
    </row>
    <row r="1347">
      <c r="A1347" s="7" t="n"/>
      <c r="B1347" s="75" t="n"/>
      <c r="C1347" s="7" t="n"/>
      <c r="D1347" s="7" t="n"/>
      <c r="E1347" s="9">
        <f>IF(D1347="","",IFERROR(INDEX('Stock pièces'!$B$5:$B$404,MATCH(D1347,'Stock pièces'!$A$5:$A$404,0)),"Réf. inconnue"))</f>
        <v/>
      </c>
      <c r="F1347" s="67" t="n"/>
      <c r="G1347" s="81">
        <f>IF(D1347="","",IFERROR(INDEX('Stock pièces'!$I$5:$I$404,MATCH(D1347,'Stock pièces'!$A$5:$A$404,0)),0))</f>
        <v/>
      </c>
      <c r="H1347" s="81">
        <f>IF(D1347="","",N(F1347)*N(G1347))</f>
        <v/>
      </c>
      <c r="I1347" s="7" t="n"/>
      <c r="J1347" s="9">
        <f>IF(I1347="","",IFERROR(INDEX('Ordres de travail'!$D$5:$D$3004,MATCH(I1347,'Ordres de travail'!$A$5:$A$3004,0)),""))</f>
        <v/>
      </c>
      <c r="K1347" s="9">
        <f>IF(D1347="","",IFERROR(INDEX('Stock pièces'!$D$5:$D$404,MATCH(D1347,'Stock pièces'!$A$5:$A$404,0)),""))</f>
        <v/>
      </c>
      <c r="L1347" s="7" t="n"/>
      <c r="M1347" s="7" t="n"/>
    </row>
    <row r="1348">
      <c r="A1348" s="7" t="n"/>
      <c r="B1348" s="75" t="n"/>
      <c r="C1348" s="7" t="n"/>
      <c r="D1348" s="7" t="n"/>
      <c r="E1348" s="9">
        <f>IF(D1348="","",IFERROR(INDEX('Stock pièces'!$B$5:$B$404,MATCH(D1348,'Stock pièces'!$A$5:$A$404,0)),"Réf. inconnue"))</f>
        <v/>
      </c>
      <c r="F1348" s="67" t="n"/>
      <c r="G1348" s="81">
        <f>IF(D1348="","",IFERROR(INDEX('Stock pièces'!$I$5:$I$404,MATCH(D1348,'Stock pièces'!$A$5:$A$404,0)),0))</f>
        <v/>
      </c>
      <c r="H1348" s="81">
        <f>IF(D1348="","",N(F1348)*N(G1348))</f>
        <v/>
      </c>
      <c r="I1348" s="7" t="n"/>
      <c r="J1348" s="9">
        <f>IF(I1348="","",IFERROR(INDEX('Ordres de travail'!$D$5:$D$3004,MATCH(I1348,'Ordres de travail'!$A$5:$A$3004,0)),""))</f>
        <v/>
      </c>
      <c r="K1348" s="9">
        <f>IF(D1348="","",IFERROR(INDEX('Stock pièces'!$D$5:$D$404,MATCH(D1348,'Stock pièces'!$A$5:$A$404,0)),""))</f>
        <v/>
      </c>
      <c r="L1348" s="7" t="n"/>
      <c r="M1348" s="7" t="n"/>
    </row>
    <row r="1349">
      <c r="A1349" s="7" t="n"/>
      <c r="B1349" s="75" t="n"/>
      <c r="C1349" s="7" t="n"/>
      <c r="D1349" s="7" t="n"/>
      <c r="E1349" s="9">
        <f>IF(D1349="","",IFERROR(INDEX('Stock pièces'!$B$5:$B$404,MATCH(D1349,'Stock pièces'!$A$5:$A$404,0)),"Réf. inconnue"))</f>
        <v/>
      </c>
      <c r="F1349" s="67" t="n"/>
      <c r="G1349" s="81">
        <f>IF(D1349="","",IFERROR(INDEX('Stock pièces'!$I$5:$I$404,MATCH(D1349,'Stock pièces'!$A$5:$A$404,0)),0))</f>
        <v/>
      </c>
      <c r="H1349" s="81">
        <f>IF(D1349="","",N(F1349)*N(G1349))</f>
        <v/>
      </c>
      <c r="I1349" s="7" t="n"/>
      <c r="J1349" s="9">
        <f>IF(I1349="","",IFERROR(INDEX('Ordres de travail'!$D$5:$D$3004,MATCH(I1349,'Ordres de travail'!$A$5:$A$3004,0)),""))</f>
        <v/>
      </c>
      <c r="K1349" s="9">
        <f>IF(D1349="","",IFERROR(INDEX('Stock pièces'!$D$5:$D$404,MATCH(D1349,'Stock pièces'!$A$5:$A$404,0)),""))</f>
        <v/>
      </c>
      <c r="L1349" s="7" t="n"/>
      <c r="M1349" s="7" t="n"/>
    </row>
    <row r="1350">
      <c r="A1350" s="7" t="n"/>
      <c r="B1350" s="75" t="n"/>
      <c r="C1350" s="7" t="n"/>
      <c r="D1350" s="7" t="n"/>
      <c r="E1350" s="9">
        <f>IF(D1350="","",IFERROR(INDEX('Stock pièces'!$B$5:$B$404,MATCH(D1350,'Stock pièces'!$A$5:$A$404,0)),"Réf. inconnue"))</f>
        <v/>
      </c>
      <c r="F1350" s="67" t="n"/>
      <c r="G1350" s="81">
        <f>IF(D1350="","",IFERROR(INDEX('Stock pièces'!$I$5:$I$404,MATCH(D1350,'Stock pièces'!$A$5:$A$404,0)),0))</f>
        <v/>
      </c>
      <c r="H1350" s="81">
        <f>IF(D1350="","",N(F1350)*N(G1350))</f>
        <v/>
      </c>
      <c r="I1350" s="7" t="n"/>
      <c r="J1350" s="9">
        <f>IF(I1350="","",IFERROR(INDEX('Ordres de travail'!$D$5:$D$3004,MATCH(I1350,'Ordres de travail'!$A$5:$A$3004,0)),""))</f>
        <v/>
      </c>
      <c r="K1350" s="9">
        <f>IF(D1350="","",IFERROR(INDEX('Stock pièces'!$D$5:$D$404,MATCH(D1350,'Stock pièces'!$A$5:$A$404,0)),""))</f>
        <v/>
      </c>
      <c r="L1350" s="7" t="n"/>
      <c r="M1350" s="7" t="n"/>
    </row>
    <row r="1351">
      <c r="A1351" s="7" t="n"/>
      <c r="B1351" s="75" t="n"/>
      <c r="C1351" s="7" t="n"/>
      <c r="D1351" s="7" t="n"/>
      <c r="E1351" s="9">
        <f>IF(D1351="","",IFERROR(INDEX('Stock pièces'!$B$5:$B$404,MATCH(D1351,'Stock pièces'!$A$5:$A$404,0)),"Réf. inconnue"))</f>
        <v/>
      </c>
      <c r="F1351" s="67" t="n"/>
      <c r="G1351" s="81">
        <f>IF(D1351="","",IFERROR(INDEX('Stock pièces'!$I$5:$I$404,MATCH(D1351,'Stock pièces'!$A$5:$A$404,0)),0))</f>
        <v/>
      </c>
      <c r="H1351" s="81">
        <f>IF(D1351="","",N(F1351)*N(G1351))</f>
        <v/>
      </c>
      <c r="I1351" s="7" t="n"/>
      <c r="J1351" s="9">
        <f>IF(I1351="","",IFERROR(INDEX('Ordres de travail'!$D$5:$D$3004,MATCH(I1351,'Ordres de travail'!$A$5:$A$3004,0)),""))</f>
        <v/>
      </c>
      <c r="K1351" s="9">
        <f>IF(D1351="","",IFERROR(INDEX('Stock pièces'!$D$5:$D$404,MATCH(D1351,'Stock pièces'!$A$5:$A$404,0)),""))</f>
        <v/>
      </c>
      <c r="L1351" s="7" t="n"/>
      <c r="M1351" s="7" t="n"/>
    </row>
    <row r="1352">
      <c r="A1352" s="7" t="n"/>
      <c r="B1352" s="75" t="n"/>
      <c r="C1352" s="7" t="n"/>
      <c r="D1352" s="7" t="n"/>
      <c r="E1352" s="9">
        <f>IF(D1352="","",IFERROR(INDEX('Stock pièces'!$B$5:$B$404,MATCH(D1352,'Stock pièces'!$A$5:$A$404,0)),"Réf. inconnue"))</f>
        <v/>
      </c>
      <c r="F1352" s="67" t="n"/>
      <c r="G1352" s="81">
        <f>IF(D1352="","",IFERROR(INDEX('Stock pièces'!$I$5:$I$404,MATCH(D1352,'Stock pièces'!$A$5:$A$404,0)),0))</f>
        <v/>
      </c>
      <c r="H1352" s="81">
        <f>IF(D1352="","",N(F1352)*N(G1352))</f>
        <v/>
      </c>
      <c r="I1352" s="7" t="n"/>
      <c r="J1352" s="9">
        <f>IF(I1352="","",IFERROR(INDEX('Ordres de travail'!$D$5:$D$3004,MATCH(I1352,'Ordres de travail'!$A$5:$A$3004,0)),""))</f>
        <v/>
      </c>
      <c r="K1352" s="9">
        <f>IF(D1352="","",IFERROR(INDEX('Stock pièces'!$D$5:$D$404,MATCH(D1352,'Stock pièces'!$A$5:$A$404,0)),""))</f>
        <v/>
      </c>
      <c r="L1352" s="7" t="n"/>
      <c r="M1352" s="7" t="n"/>
    </row>
    <row r="1353">
      <c r="A1353" s="7" t="n"/>
      <c r="B1353" s="75" t="n"/>
      <c r="C1353" s="7" t="n"/>
      <c r="D1353" s="7" t="n"/>
      <c r="E1353" s="9">
        <f>IF(D1353="","",IFERROR(INDEX('Stock pièces'!$B$5:$B$404,MATCH(D1353,'Stock pièces'!$A$5:$A$404,0)),"Réf. inconnue"))</f>
        <v/>
      </c>
      <c r="F1353" s="67" t="n"/>
      <c r="G1353" s="81">
        <f>IF(D1353="","",IFERROR(INDEX('Stock pièces'!$I$5:$I$404,MATCH(D1353,'Stock pièces'!$A$5:$A$404,0)),0))</f>
        <v/>
      </c>
      <c r="H1353" s="81">
        <f>IF(D1353="","",N(F1353)*N(G1353))</f>
        <v/>
      </c>
      <c r="I1353" s="7" t="n"/>
      <c r="J1353" s="9">
        <f>IF(I1353="","",IFERROR(INDEX('Ordres de travail'!$D$5:$D$3004,MATCH(I1353,'Ordres de travail'!$A$5:$A$3004,0)),""))</f>
        <v/>
      </c>
      <c r="K1353" s="9">
        <f>IF(D1353="","",IFERROR(INDEX('Stock pièces'!$D$5:$D$404,MATCH(D1353,'Stock pièces'!$A$5:$A$404,0)),""))</f>
        <v/>
      </c>
      <c r="L1353" s="7" t="n"/>
      <c r="M1353" s="7" t="n"/>
    </row>
    <row r="1354">
      <c r="A1354" s="7" t="n"/>
      <c r="B1354" s="75" t="n"/>
      <c r="C1354" s="7" t="n"/>
      <c r="D1354" s="7" t="n"/>
      <c r="E1354" s="9">
        <f>IF(D1354="","",IFERROR(INDEX('Stock pièces'!$B$5:$B$404,MATCH(D1354,'Stock pièces'!$A$5:$A$404,0)),"Réf. inconnue"))</f>
        <v/>
      </c>
      <c r="F1354" s="67" t="n"/>
      <c r="G1354" s="81">
        <f>IF(D1354="","",IFERROR(INDEX('Stock pièces'!$I$5:$I$404,MATCH(D1354,'Stock pièces'!$A$5:$A$404,0)),0))</f>
        <v/>
      </c>
      <c r="H1354" s="81">
        <f>IF(D1354="","",N(F1354)*N(G1354))</f>
        <v/>
      </c>
      <c r="I1354" s="7" t="n"/>
      <c r="J1354" s="9">
        <f>IF(I1354="","",IFERROR(INDEX('Ordres de travail'!$D$5:$D$3004,MATCH(I1354,'Ordres de travail'!$A$5:$A$3004,0)),""))</f>
        <v/>
      </c>
      <c r="K1354" s="9">
        <f>IF(D1354="","",IFERROR(INDEX('Stock pièces'!$D$5:$D$404,MATCH(D1354,'Stock pièces'!$A$5:$A$404,0)),""))</f>
        <v/>
      </c>
      <c r="L1354" s="7" t="n"/>
      <c r="M1354" s="7" t="n"/>
    </row>
    <row r="1355">
      <c r="A1355" s="7" t="n"/>
      <c r="B1355" s="75" t="n"/>
      <c r="C1355" s="7" t="n"/>
      <c r="D1355" s="7" t="n"/>
      <c r="E1355" s="9">
        <f>IF(D1355="","",IFERROR(INDEX('Stock pièces'!$B$5:$B$404,MATCH(D1355,'Stock pièces'!$A$5:$A$404,0)),"Réf. inconnue"))</f>
        <v/>
      </c>
      <c r="F1355" s="67" t="n"/>
      <c r="G1355" s="81">
        <f>IF(D1355="","",IFERROR(INDEX('Stock pièces'!$I$5:$I$404,MATCH(D1355,'Stock pièces'!$A$5:$A$404,0)),0))</f>
        <v/>
      </c>
      <c r="H1355" s="81">
        <f>IF(D1355="","",N(F1355)*N(G1355))</f>
        <v/>
      </c>
      <c r="I1355" s="7" t="n"/>
      <c r="J1355" s="9">
        <f>IF(I1355="","",IFERROR(INDEX('Ordres de travail'!$D$5:$D$3004,MATCH(I1355,'Ordres de travail'!$A$5:$A$3004,0)),""))</f>
        <v/>
      </c>
      <c r="K1355" s="9">
        <f>IF(D1355="","",IFERROR(INDEX('Stock pièces'!$D$5:$D$404,MATCH(D1355,'Stock pièces'!$A$5:$A$404,0)),""))</f>
        <v/>
      </c>
      <c r="L1355" s="7" t="n"/>
      <c r="M1355" s="7" t="n"/>
    </row>
    <row r="1356">
      <c r="A1356" s="7" t="n"/>
      <c r="B1356" s="75" t="n"/>
      <c r="C1356" s="7" t="n"/>
      <c r="D1356" s="7" t="n"/>
      <c r="E1356" s="9">
        <f>IF(D1356="","",IFERROR(INDEX('Stock pièces'!$B$5:$B$404,MATCH(D1356,'Stock pièces'!$A$5:$A$404,0)),"Réf. inconnue"))</f>
        <v/>
      </c>
      <c r="F1356" s="67" t="n"/>
      <c r="G1356" s="81">
        <f>IF(D1356="","",IFERROR(INDEX('Stock pièces'!$I$5:$I$404,MATCH(D1356,'Stock pièces'!$A$5:$A$404,0)),0))</f>
        <v/>
      </c>
      <c r="H1356" s="81">
        <f>IF(D1356="","",N(F1356)*N(G1356))</f>
        <v/>
      </c>
      <c r="I1356" s="7" t="n"/>
      <c r="J1356" s="9">
        <f>IF(I1356="","",IFERROR(INDEX('Ordres de travail'!$D$5:$D$3004,MATCH(I1356,'Ordres de travail'!$A$5:$A$3004,0)),""))</f>
        <v/>
      </c>
      <c r="K1356" s="9">
        <f>IF(D1356="","",IFERROR(INDEX('Stock pièces'!$D$5:$D$404,MATCH(D1356,'Stock pièces'!$A$5:$A$404,0)),""))</f>
        <v/>
      </c>
      <c r="L1356" s="7" t="n"/>
      <c r="M1356" s="7" t="n"/>
    </row>
    <row r="1357">
      <c r="A1357" s="7" t="n"/>
      <c r="B1357" s="75" t="n"/>
      <c r="C1357" s="7" t="n"/>
      <c r="D1357" s="7" t="n"/>
      <c r="E1357" s="9">
        <f>IF(D1357="","",IFERROR(INDEX('Stock pièces'!$B$5:$B$404,MATCH(D1357,'Stock pièces'!$A$5:$A$404,0)),"Réf. inconnue"))</f>
        <v/>
      </c>
      <c r="F1357" s="67" t="n"/>
      <c r="G1357" s="81">
        <f>IF(D1357="","",IFERROR(INDEX('Stock pièces'!$I$5:$I$404,MATCH(D1357,'Stock pièces'!$A$5:$A$404,0)),0))</f>
        <v/>
      </c>
      <c r="H1357" s="81">
        <f>IF(D1357="","",N(F1357)*N(G1357))</f>
        <v/>
      </c>
      <c r="I1357" s="7" t="n"/>
      <c r="J1357" s="9">
        <f>IF(I1357="","",IFERROR(INDEX('Ordres de travail'!$D$5:$D$3004,MATCH(I1357,'Ordres de travail'!$A$5:$A$3004,0)),""))</f>
        <v/>
      </c>
      <c r="K1357" s="9">
        <f>IF(D1357="","",IFERROR(INDEX('Stock pièces'!$D$5:$D$404,MATCH(D1357,'Stock pièces'!$A$5:$A$404,0)),""))</f>
        <v/>
      </c>
      <c r="L1357" s="7" t="n"/>
      <c r="M1357" s="7" t="n"/>
    </row>
    <row r="1358">
      <c r="A1358" s="7" t="n"/>
      <c r="B1358" s="75" t="n"/>
      <c r="C1358" s="7" t="n"/>
      <c r="D1358" s="7" t="n"/>
      <c r="E1358" s="9">
        <f>IF(D1358="","",IFERROR(INDEX('Stock pièces'!$B$5:$B$404,MATCH(D1358,'Stock pièces'!$A$5:$A$404,0)),"Réf. inconnue"))</f>
        <v/>
      </c>
      <c r="F1358" s="67" t="n"/>
      <c r="G1358" s="81">
        <f>IF(D1358="","",IFERROR(INDEX('Stock pièces'!$I$5:$I$404,MATCH(D1358,'Stock pièces'!$A$5:$A$404,0)),0))</f>
        <v/>
      </c>
      <c r="H1358" s="81">
        <f>IF(D1358="","",N(F1358)*N(G1358))</f>
        <v/>
      </c>
      <c r="I1358" s="7" t="n"/>
      <c r="J1358" s="9">
        <f>IF(I1358="","",IFERROR(INDEX('Ordres de travail'!$D$5:$D$3004,MATCH(I1358,'Ordres de travail'!$A$5:$A$3004,0)),""))</f>
        <v/>
      </c>
      <c r="K1358" s="9">
        <f>IF(D1358="","",IFERROR(INDEX('Stock pièces'!$D$5:$D$404,MATCH(D1358,'Stock pièces'!$A$5:$A$404,0)),""))</f>
        <v/>
      </c>
      <c r="L1358" s="7" t="n"/>
      <c r="M1358" s="7" t="n"/>
    </row>
    <row r="1359">
      <c r="A1359" s="7" t="n"/>
      <c r="B1359" s="75" t="n"/>
      <c r="C1359" s="7" t="n"/>
      <c r="D1359" s="7" t="n"/>
      <c r="E1359" s="9">
        <f>IF(D1359="","",IFERROR(INDEX('Stock pièces'!$B$5:$B$404,MATCH(D1359,'Stock pièces'!$A$5:$A$404,0)),"Réf. inconnue"))</f>
        <v/>
      </c>
      <c r="F1359" s="67" t="n"/>
      <c r="G1359" s="81">
        <f>IF(D1359="","",IFERROR(INDEX('Stock pièces'!$I$5:$I$404,MATCH(D1359,'Stock pièces'!$A$5:$A$404,0)),0))</f>
        <v/>
      </c>
      <c r="H1359" s="81">
        <f>IF(D1359="","",N(F1359)*N(G1359))</f>
        <v/>
      </c>
      <c r="I1359" s="7" t="n"/>
      <c r="J1359" s="9">
        <f>IF(I1359="","",IFERROR(INDEX('Ordres de travail'!$D$5:$D$3004,MATCH(I1359,'Ordres de travail'!$A$5:$A$3004,0)),""))</f>
        <v/>
      </c>
      <c r="K1359" s="9">
        <f>IF(D1359="","",IFERROR(INDEX('Stock pièces'!$D$5:$D$404,MATCH(D1359,'Stock pièces'!$A$5:$A$404,0)),""))</f>
        <v/>
      </c>
      <c r="L1359" s="7" t="n"/>
      <c r="M1359" s="7" t="n"/>
    </row>
    <row r="1360">
      <c r="A1360" s="7" t="n"/>
      <c r="B1360" s="75" t="n"/>
      <c r="C1360" s="7" t="n"/>
      <c r="D1360" s="7" t="n"/>
      <c r="E1360" s="9">
        <f>IF(D1360="","",IFERROR(INDEX('Stock pièces'!$B$5:$B$404,MATCH(D1360,'Stock pièces'!$A$5:$A$404,0)),"Réf. inconnue"))</f>
        <v/>
      </c>
      <c r="F1360" s="67" t="n"/>
      <c r="G1360" s="81">
        <f>IF(D1360="","",IFERROR(INDEX('Stock pièces'!$I$5:$I$404,MATCH(D1360,'Stock pièces'!$A$5:$A$404,0)),0))</f>
        <v/>
      </c>
      <c r="H1360" s="81">
        <f>IF(D1360="","",N(F1360)*N(G1360))</f>
        <v/>
      </c>
      <c r="I1360" s="7" t="n"/>
      <c r="J1360" s="9">
        <f>IF(I1360="","",IFERROR(INDEX('Ordres de travail'!$D$5:$D$3004,MATCH(I1360,'Ordres de travail'!$A$5:$A$3004,0)),""))</f>
        <v/>
      </c>
      <c r="K1360" s="9">
        <f>IF(D1360="","",IFERROR(INDEX('Stock pièces'!$D$5:$D$404,MATCH(D1360,'Stock pièces'!$A$5:$A$404,0)),""))</f>
        <v/>
      </c>
      <c r="L1360" s="7" t="n"/>
      <c r="M1360" s="7" t="n"/>
    </row>
    <row r="1361">
      <c r="A1361" s="7" t="n"/>
      <c r="B1361" s="75" t="n"/>
      <c r="C1361" s="7" t="n"/>
      <c r="D1361" s="7" t="n"/>
      <c r="E1361" s="9">
        <f>IF(D1361="","",IFERROR(INDEX('Stock pièces'!$B$5:$B$404,MATCH(D1361,'Stock pièces'!$A$5:$A$404,0)),"Réf. inconnue"))</f>
        <v/>
      </c>
      <c r="F1361" s="67" t="n"/>
      <c r="G1361" s="81">
        <f>IF(D1361="","",IFERROR(INDEX('Stock pièces'!$I$5:$I$404,MATCH(D1361,'Stock pièces'!$A$5:$A$404,0)),0))</f>
        <v/>
      </c>
      <c r="H1361" s="81">
        <f>IF(D1361="","",N(F1361)*N(G1361))</f>
        <v/>
      </c>
      <c r="I1361" s="7" t="n"/>
      <c r="J1361" s="9">
        <f>IF(I1361="","",IFERROR(INDEX('Ordres de travail'!$D$5:$D$3004,MATCH(I1361,'Ordres de travail'!$A$5:$A$3004,0)),""))</f>
        <v/>
      </c>
      <c r="K1361" s="9">
        <f>IF(D1361="","",IFERROR(INDEX('Stock pièces'!$D$5:$D$404,MATCH(D1361,'Stock pièces'!$A$5:$A$404,0)),""))</f>
        <v/>
      </c>
      <c r="L1361" s="7" t="n"/>
      <c r="M1361" s="7" t="n"/>
    </row>
    <row r="1362">
      <c r="A1362" s="7" t="n"/>
      <c r="B1362" s="75" t="n"/>
      <c r="C1362" s="7" t="n"/>
      <c r="D1362" s="7" t="n"/>
      <c r="E1362" s="9">
        <f>IF(D1362="","",IFERROR(INDEX('Stock pièces'!$B$5:$B$404,MATCH(D1362,'Stock pièces'!$A$5:$A$404,0)),"Réf. inconnue"))</f>
        <v/>
      </c>
      <c r="F1362" s="67" t="n"/>
      <c r="G1362" s="81">
        <f>IF(D1362="","",IFERROR(INDEX('Stock pièces'!$I$5:$I$404,MATCH(D1362,'Stock pièces'!$A$5:$A$404,0)),0))</f>
        <v/>
      </c>
      <c r="H1362" s="81">
        <f>IF(D1362="","",N(F1362)*N(G1362))</f>
        <v/>
      </c>
      <c r="I1362" s="7" t="n"/>
      <c r="J1362" s="9">
        <f>IF(I1362="","",IFERROR(INDEX('Ordres de travail'!$D$5:$D$3004,MATCH(I1362,'Ordres de travail'!$A$5:$A$3004,0)),""))</f>
        <v/>
      </c>
      <c r="K1362" s="9">
        <f>IF(D1362="","",IFERROR(INDEX('Stock pièces'!$D$5:$D$404,MATCH(D1362,'Stock pièces'!$A$5:$A$404,0)),""))</f>
        <v/>
      </c>
      <c r="L1362" s="7" t="n"/>
      <c r="M1362" s="7" t="n"/>
    </row>
    <row r="1363">
      <c r="A1363" s="7" t="n"/>
      <c r="B1363" s="75" t="n"/>
      <c r="C1363" s="7" t="n"/>
      <c r="D1363" s="7" t="n"/>
      <c r="E1363" s="9">
        <f>IF(D1363="","",IFERROR(INDEX('Stock pièces'!$B$5:$B$404,MATCH(D1363,'Stock pièces'!$A$5:$A$404,0)),"Réf. inconnue"))</f>
        <v/>
      </c>
      <c r="F1363" s="67" t="n"/>
      <c r="G1363" s="81">
        <f>IF(D1363="","",IFERROR(INDEX('Stock pièces'!$I$5:$I$404,MATCH(D1363,'Stock pièces'!$A$5:$A$404,0)),0))</f>
        <v/>
      </c>
      <c r="H1363" s="81">
        <f>IF(D1363="","",N(F1363)*N(G1363))</f>
        <v/>
      </c>
      <c r="I1363" s="7" t="n"/>
      <c r="J1363" s="9">
        <f>IF(I1363="","",IFERROR(INDEX('Ordres de travail'!$D$5:$D$3004,MATCH(I1363,'Ordres de travail'!$A$5:$A$3004,0)),""))</f>
        <v/>
      </c>
      <c r="K1363" s="9">
        <f>IF(D1363="","",IFERROR(INDEX('Stock pièces'!$D$5:$D$404,MATCH(D1363,'Stock pièces'!$A$5:$A$404,0)),""))</f>
        <v/>
      </c>
      <c r="L1363" s="7" t="n"/>
      <c r="M1363" s="7" t="n"/>
    </row>
    <row r="1364">
      <c r="A1364" s="7" t="n"/>
      <c r="B1364" s="75" t="n"/>
      <c r="C1364" s="7" t="n"/>
      <c r="D1364" s="7" t="n"/>
      <c r="E1364" s="9">
        <f>IF(D1364="","",IFERROR(INDEX('Stock pièces'!$B$5:$B$404,MATCH(D1364,'Stock pièces'!$A$5:$A$404,0)),"Réf. inconnue"))</f>
        <v/>
      </c>
      <c r="F1364" s="67" t="n"/>
      <c r="G1364" s="81">
        <f>IF(D1364="","",IFERROR(INDEX('Stock pièces'!$I$5:$I$404,MATCH(D1364,'Stock pièces'!$A$5:$A$404,0)),0))</f>
        <v/>
      </c>
      <c r="H1364" s="81">
        <f>IF(D1364="","",N(F1364)*N(G1364))</f>
        <v/>
      </c>
      <c r="I1364" s="7" t="n"/>
      <c r="J1364" s="9">
        <f>IF(I1364="","",IFERROR(INDEX('Ordres de travail'!$D$5:$D$3004,MATCH(I1364,'Ordres de travail'!$A$5:$A$3004,0)),""))</f>
        <v/>
      </c>
      <c r="K1364" s="9">
        <f>IF(D1364="","",IFERROR(INDEX('Stock pièces'!$D$5:$D$404,MATCH(D1364,'Stock pièces'!$A$5:$A$404,0)),""))</f>
        <v/>
      </c>
      <c r="L1364" s="7" t="n"/>
      <c r="M1364" s="7" t="n"/>
    </row>
    <row r="1365">
      <c r="A1365" s="7" t="n"/>
      <c r="B1365" s="75" t="n"/>
      <c r="C1365" s="7" t="n"/>
      <c r="D1365" s="7" t="n"/>
      <c r="E1365" s="9">
        <f>IF(D1365="","",IFERROR(INDEX('Stock pièces'!$B$5:$B$404,MATCH(D1365,'Stock pièces'!$A$5:$A$404,0)),"Réf. inconnue"))</f>
        <v/>
      </c>
      <c r="F1365" s="67" t="n"/>
      <c r="G1365" s="81">
        <f>IF(D1365="","",IFERROR(INDEX('Stock pièces'!$I$5:$I$404,MATCH(D1365,'Stock pièces'!$A$5:$A$404,0)),0))</f>
        <v/>
      </c>
      <c r="H1365" s="81">
        <f>IF(D1365="","",N(F1365)*N(G1365))</f>
        <v/>
      </c>
      <c r="I1365" s="7" t="n"/>
      <c r="J1365" s="9">
        <f>IF(I1365="","",IFERROR(INDEX('Ordres de travail'!$D$5:$D$3004,MATCH(I1365,'Ordres de travail'!$A$5:$A$3004,0)),""))</f>
        <v/>
      </c>
      <c r="K1365" s="9">
        <f>IF(D1365="","",IFERROR(INDEX('Stock pièces'!$D$5:$D$404,MATCH(D1365,'Stock pièces'!$A$5:$A$404,0)),""))</f>
        <v/>
      </c>
      <c r="L1365" s="7" t="n"/>
      <c r="M1365" s="7" t="n"/>
    </row>
    <row r="1366">
      <c r="A1366" s="7" t="n"/>
      <c r="B1366" s="75" t="n"/>
      <c r="C1366" s="7" t="n"/>
      <c r="D1366" s="7" t="n"/>
      <c r="E1366" s="9">
        <f>IF(D1366="","",IFERROR(INDEX('Stock pièces'!$B$5:$B$404,MATCH(D1366,'Stock pièces'!$A$5:$A$404,0)),"Réf. inconnue"))</f>
        <v/>
      </c>
      <c r="F1366" s="67" t="n"/>
      <c r="G1366" s="81">
        <f>IF(D1366="","",IFERROR(INDEX('Stock pièces'!$I$5:$I$404,MATCH(D1366,'Stock pièces'!$A$5:$A$404,0)),0))</f>
        <v/>
      </c>
      <c r="H1366" s="81">
        <f>IF(D1366="","",N(F1366)*N(G1366))</f>
        <v/>
      </c>
      <c r="I1366" s="7" t="n"/>
      <c r="J1366" s="9">
        <f>IF(I1366="","",IFERROR(INDEX('Ordres de travail'!$D$5:$D$3004,MATCH(I1366,'Ordres de travail'!$A$5:$A$3004,0)),""))</f>
        <v/>
      </c>
      <c r="K1366" s="9">
        <f>IF(D1366="","",IFERROR(INDEX('Stock pièces'!$D$5:$D$404,MATCH(D1366,'Stock pièces'!$A$5:$A$404,0)),""))</f>
        <v/>
      </c>
      <c r="L1366" s="7" t="n"/>
      <c r="M1366" s="7" t="n"/>
    </row>
    <row r="1367">
      <c r="A1367" s="7" t="n"/>
      <c r="B1367" s="75" t="n"/>
      <c r="C1367" s="7" t="n"/>
      <c r="D1367" s="7" t="n"/>
      <c r="E1367" s="9">
        <f>IF(D1367="","",IFERROR(INDEX('Stock pièces'!$B$5:$B$404,MATCH(D1367,'Stock pièces'!$A$5:$A$404,0)),"Réf. inconnue"))</f>
        <v/>
      </c>
      <c r="F1367" s="67" t="n"/>
      <c r="G1367" s="81">
        <f>IF(D1367="","",IFERROR(INDEX('Stock pièces'!$I$5:$I$404,MATCH(D1367,'Stock pièces'!$A$5:$A$404,0)),0))</f>
        <v/>
      </c>
      <c r="H1367" s="81">
        <f>IF(D1367="","",N(F1367)*N(G1367))</f>
        <v/>
      </c>
      <c r="I1367" s="7" t="n"/>
      <c r="J1367" s="9">
        <f>IF(I1367="","",IFERROR(INDEX('Ordres de travail'!$D$5:$D$3004,MATCH(I1367,'Ordres de travail'!$A$5:$A$3004,0)),""))</f>
        <v/>
      </c>
      <c r="K1367" s="9">
        <f>IF(D1367="","",IFERROR(INDEX('Stock pièces'!$D$5:$D$404,MATCH(D1367,'Stock pièces'!$A$5:$A$404,0)),""))</f>
        <v/>
      </c>
      <c r="L1367" s="7" t="n"/>
      <c r="M1367" s="7" t="n"/>
    </row>
    <row r="1368">
      <c r="A1368" s="7" t="n"/>
      <c r="B1368" s="75" t="n"/>
      <c r="C1368" s="7" t="n"/>
      <c r="D1368" s="7" t="n"/>
      <c r="E1368" s="9">
        <f>IF(D1368="","",IFERROR(INDEX('Stock pièces'!$B$5:$B$404,MATCH(D1368,'Stock pièces'!$A$5:$A$404,0)),"Réf. inconnue"))</f>
        <v/>
      </c>
      <c r="F1368" s="67" t="n"/>
      <c r="G1368" s="81">
        <f>IF(D1368="","",IFERROR(INDEX('Stock pièces'!$I$5:$I$404,MATCH(D1368,'Stock pièces'!$A$5:$A$404,0)),0))</f>
        <v/>
      </c>
      <c r="H1368" s="81">
        <f>IF(D1368="","",N(F1368)*N(G1368))</f>
        <v/>
      </c>
      <c r="I1368" s="7" t="n"/>
      <c r="J1368" s="9">
        <f>IF(I1368="","",IFERROR(INDEX('Ordres de travail'!$D$5:$D$3004,MATCH(I1368,'Ordres de travail'!$A$5:$A$3004,0)),""))</f>
        <v/>
      </c>
      <c r="K1368" s="9">
        <f>IF(D1368="","",IFERROR(INDEX('Stock pièces'!$D$5:$D$404,MATCH(D1368,'Stock pièces'!$A$5:$A$404,0)),""))</f>
        <v/>
      </c>
      <c r="L1368" s="7" t="n"/>
      <c r="M1368" s="7" t="n"/>
    </row>
    <row r="1369">
      <c r="A1369" s="7" t="n"/>
      <c r="B1369" s="75" t="n"/>
      <c r="C1369" s="7" t="n"/>
      <c r="D1369" s="7" t="n"/>
      <c r="E1369" s="9">
        <f>IF(D1369="","",IFERROR(INDEX('Stock pièces'!$B$5:$B$404,MATCH(D1369,'Stock pièces'!$A$5:$A$404,0)),"Réf. inconnue"))</f>
        <v/>
      </c>
      <c r="F1369" s="67" t="n"/>
      <c r="G1369" s="81">
        <f>IF(D1369="","",IFERROR(INDEX('Stock pièces'!$I$5:$I$404,MATCH(D1369,'Stock pièces'!$A$5:$A$404,0)),0))</f>
        <v/>
      </c>
      <c r="H1369" s="81">
        <f>IF(D1369="","",N(F1369)*N(G1369))</f>
        <v/>
      </c>
      <c r="I1369" s="7" t="n"/>
      <c r="J1369" s="9">
        <f>IF(I1369="","",IFERROR(INDEX('Ordres de travail'!$D$5:$D$3004,MATCH(I1369,'Ordres de travail'!$A$5:$A$3004,0)),""))</f>
        <v/>
      </c>
      <c r="K1369" s="9">
        <f>IF(D1369="","",IFERROR(INDEX('Stock pièces'!$D$5:$D$404,MATCH(D1369,'Stock pièces'!$A$5:$A$404,0)),""))</f>
        <v/>
      </c>
      <c r="L1369" s="7" t="n"/>
      <c r="M1369" s="7" t="n"/>
    </row>
    <row r="1370">
      <c r="A1370" s="7" t="n"/>
      <c r="B1370" s="75" t="n"/>
      <c r="C1370" s="7" t="n"/>
      <c r="D1370" s="7" t="n"/>
      <c r="E1370" s="9">
        <f>IF(D1370="","",IFERROR(INDEX('Stock pièces'!$B$5:$B$404,MATCH(D1370,'Stock pièces'!$A$5:$A$404,0)),"Réf. inconnue"))</f>
        <v/>
      </c>
      <c r="F1370" s="67" t="n"/>
      <c r="G1370" s="81">
        <f>IF(D1370="","",IFERROR(INDEX('Stock pièces'!$I$5:$I$404,MATCH(D1370,'Stock pièces'!$A$5:$A$404,0)),0))</f>
        <v/>
      </c>
      <c r="H1370" s="81">
        <f>IF(D1370="","",N(F1370)*N(G1370))</f>
        <v/>
      </c>
      <c r="I1370" s="7" t="n"/>
      <c r="J1370" s="9">
        <f>IF(I1370="","",IFERROR(INDEX('Ordres de travail'!$D$5:$D$3004,MATCH(I1370,'Ordres de travail'!$A$5:$A$3004,0)),""))</f>
        <v/>
      </c>
      <c r="K1370" s="9">
        <f>IF(D1370="","",IFERROR(INDEX('Stock pièces'!$D$5:$D$404,MATCH(D1370,'Stock pièces'!$A$5:$A$404,0)),""))</f>
        <v/>
      </c>
      <c r="L1370" s="7" t="n"/>
      <c r="M1370" s="7" t="n"/>
    </row>
    <row r="1371">
      <c r="A1371" s="7" t="n"/>
      <c r="B1371" s="75" t="n"/>
      <c r="C1371" s="7" t="n"/>
      <c r="D1371" s="7" t="n"/>
      <c r="E1371" s="9">
        <f>IF(D1371="","",IFERROR(INDEX('Stock pièces'!$B$5:$B$404,MATCH(D1371,'Stock pièces'!$A$5:$A$404,0)),"Réf. inconnue"))</f>
        <v/>
      </c>
      <c r="F1371" s="67" t="n"/>
      <c r="G1371" s="81">
        <f>IF(D1371="","",IFERROR(INDEX('Stock pièces'!$I$5:$I$404,MATCH(D1371,'Stock pièces'!$A$5:$A$404,0)),0))</f>
        <v/>
      </c>
      <c r="H1371" s="81">
        <f>IF(D1371="","",N(F1371)*N(G1371))</f>
        <v/>
      </c>
      <c r="I1371" s="7" t="n"/>
      <c r="J1371" s="9">
        <f>IF(I1371="","",IFERROR(INDEX('Ordres de travail'!$D$5:$D$3004,MATCH(I1371,'Ordres de travail'!$A$5:$A$3004,0)),""))</f>
        <v/>
      </c>
      <c r="K1371" s="9">
        <f>IF(D1371="","",IFERROR(INDEX('Stock pièces'!$D$5:$D$404,MATCH(D1371,'Stock pièces'!$A$5:$A$404,0)),""))</f>
        <v/>
      </c>
      <c r="L1371" s="7" t="n"/>
      <c r="M1371" s="7" t="n"/>
    </row>
    <row r="1372">
      <c r="A1372" s="7" t="n"/>
      <c r="B1372" s="75" t="n"/>
      <c r="C1372" s="7" t="n"/>
      <c r="D1372" s="7" t="n"/>
      <c r="E1372" s="9">
        <f>IF(D1372="","",IFERROR(INDEX('Stock pièces'!$B$5:$B$404,MATCH(D1372,'Stock pièces'!$A$5:$A$404,0)),"Réf. inconnue"))</f>
        <v/>
      </c>
      <c r="F1372" s="67" t="n"/>
      <c r="G1372" s="81">
        <f>IF(D1372="","",IFERROR(INDEX('Stock pièces'!$I$5:$I$404,MATCH(D1372,'Stock pièces'!$A$5:$A$404,0)),0))</f>
        <v/>
      </c>
      <c r="H1372" s="81">
        <f>IF(D1372="","",N(F1372)*N(G1372))</f>
        <v/>
      </c>
      <c r="I1372" s="7" t="n"/>
      <c r="J1372" s="9">
        <f>IF(I1372="","",IFERROR(INDEX('Ordres de travail'!$D$5:$D$3004,MATCH(I1372,'Ordres de travail'!$A$5:$A$3004,0)),""))</f>
        <v/>
      </c>
      <c r="K1372" s="9">
        <f>IF(D1372="","",IFERROR(INDEX('Stock pièces'!$D$5:$D$404,MATCH(D1372,'Stock pièces'!$A$5:$A$404,0)),""))</f>
        <v/>
      </c>
      <c r="L1372" s="7" t="n"/>
      <c r="M1372" s="7" t="n"/>
    </row>
    <row r="1373">
      <c r="A1373" s="7" t="n"/>
      <c r="B1373" s="75" t="n"/>
      <c r="C1373" s="7" t="n"/>
      <c r="D1373" s="7" t="n"/>
      <c r="E1373" s="9">
        <f>IF(D1373="","",IFERROR(INDEX('Stock pièces'!$B$5:$B$404,MATCH(D1373,'Stock pièces'!$A$5:$A$404,0)),"Réf. inconnue"))</f>
        <v/>
      </c>
      <c r="F1373" s="67" t="n"/>
      <c r="G1373" s="81">
        <f>IF(D1373="","",IFERROR(INDEX('Stock pièces'!$I$5:$I$404,MATCH(D1373,'Stock pièces'!$A$5:$A$404,0)),0))</f>
        <v/>
      </c>
      <c r="H1373" s="81">
        <f>IF(D1373="","",N(F1373)*N(G1373))</f>
        <v/>
      </c>
      <c r="I1373" s="7" t="n"/>
      <c r="J1373" s="9">
        <f>IF(I1373="","",IFERROR(INDEX('Ordres de travail'!$D$5:$D$3004,MATCH(I1373,'Ordres de travail'!$A$5:$A$3004,0)),""))</f>
        <v/>
      </c>
      <c r="K1373" s="9">
        <f>IF(D1373="","",IFERROR(INDEX('Stock pièces'!$D$5:$D$404,MATCH(D1373,'Stock pièces'!$A$5:$A$404,0)),""))</f>
        <v/>
      </c>
      <c r="L1373" s="7" t="n"/>
      <c r="M1373" s="7" t="n"/>
    </row>
    <row r="1374">
      <c r="A1374" s="7" t="n"/>
      <c r="B1374" s="75" t="n"/>
      <c r="C1374" s="7" t="n"/>
      <c r="D1374" s="7" t="n"/>
      <c r="E1374" s="9">
        <f>IF(D1374="","",IFERROR(INDEX('Stock pièces'!$B$5:$B$404,MATCH(D1374,'Stock pièces'!$A$5:$A$404,0)),"Réf. inconnue"))</f>
        <v/>
      </c>
      <c r="F1374" s="67" t="n"/>
      <c r="G1374" s="81">
        <f>IF(D1374="","",IFERROR(INDEX('Stock pièces'!$I$5:$I$404,MATCH(D1374,'Stock pièces'!$A$5:$A$404,0)),0))</f>
        <v/>
      </c>
      <c r="H1374" s="81">
        <f>IF(D1374="","",N(F1374)*N(G1374))</f>
        <v/>
      </c>
      <c r="I1374" s="7" t="n"/>
      <c r="J1374" s="9">
        <f>IF(I1374="","",IFERROR(INDEX('Ordres de travail'!$D$5:$D$3004,MATCH(I1374,'Ordres de travail'!$A$5:$A$3004,0)),""))</f>
        <v/>
      </c>
      <c r="K1374" s="9">
        <f>IF(D1374="","",IFERROR(INDEX('Stock pièces'!$D$5:$D$404,MATCH(D1374,'Stock pièces'!$A$5:$A$404,0)),""))</f>
        <v/>
      </c>
      <c r="L1374" s="7" t="n"/>
      <c r="M1374" s="7" t="n"/>
    </row>
    <row r="1375">
      <c r="A1375" s="7" t="n"/>
      <c r="B1375" s="75" t="n"/>
      <c r="C1375" s="7" t="n"/>
      <c r="D1375" s="7" t="n"/>
      <c r="E1375" s="9">
        <f>IF(D1375="","",IFERROR(INDEX('Stock pièces'!$B$5:$B$404,MATCH(D1375,'Stock pièces'!$A$5:$A$404,0)),"Réf. inconnue"))</f>
        <v/>
      </c>
      <c r="F1375" s="67" t="n"/>
      <c r="G1375" s="81">
        <f>IF(D1375="","",IFERROR(INDEX('Stock pièces'!$I$5:$I$404,MATCH(D1375,'Stock pièces'!$A$5:$A$404,0)),0))</f>
        <v/>
      </c>
      <c r="H1375" s="81">
        <f>IF(D1375="","",N(F1375)*N(G1375))</f>
        <v/>
      </c>
      <c r="I1375" s="7" t="n"/>
      <c r="J1375" s="9">
        <f>IF(I1375="","",IFERROR(INDEX('Ordres de travail'!$D$5:$D$3004,MATCH(I1375,'Ordres de travail'!$A$5:$A$3004,0)),""))</f>
        <v/>
      </c>
      <c r="K1375" s="9">
        <f>IF(D1375="","",IFERROR(INDEX('Stock pièces'!$D$5:$D$404,MATCH(D1375,'Stock pièces'!$A$5:$A$404,0)),""))</f>
        <v/>
      </c>
      <c r="L1375" s="7" t="n"/>
      <c r="M1375" s="7" t="n"/>
    </row>
    <row r="1376">
      <c r="A1376" s="7" t="n"/>
      <c r="B1376" s="75" t="n"/>
      <c r="C1376" s="7" t="n"/>
      <c r="D1376" s="7" t="n"/>
      <c r="E1376" s="9">
        <f>IF(D1376="","",IFERROR(INDEX('Stock pièces'!$B$5:$B$404,MATCH(D1376,'Stock pièces'!$A$5:$A$404,0)),"Réf. inconnue"))</f>
        <v/>
      </c>
      <c r="F1376" s="67" t="n"/>
      <c r="G1376" s="81">
        <f>IF(D1376="","",IFERROR(INDEX('Stock pièces'!$I$5:$I$404,MATCH(D1376,'Stock pièces'!$A$5:$A$404,0)),0))</f>
        <v/>
      </c>
      <c r="H1376" s="81">
        <f>IF(D1376="","",N(F1376)*N(G1376))</f>
        <v/>
      </c>
      <c r="I1376" s="7" t="n"/>
      <c r="J1376" s="9">
        <f>IF(I1376="","",IFERROR(INDEX('Ordres de travail'!$D$5:$D$3004,MATCH(I1376,'Ordres de travail'!$A$5:$A$3004,0)),""))</f>
        <v/>
      </c>
      <c r="K1376" s="9">
        <f>IF(D1376="","",IFERROR(INDEX('Stock pièces'!$D$5:$D$404,MATCH(D1376,'Stock pièces'!$A$5:$A$404,0)),""))</f>
        <v/>
      </c>
      <c r="L1376" s="7" t="n"/>
      <c r="M1376" s="7" t="n"/>
    </row>
    <row r="1377">
      <c r="A1377" s="7" t="n"/>
      <c r="B1377" s="75" t="n"/>
      <c r="C1377" s="7" t="n"/>
      <c r="D1377" s="7" t="n"/>
      <c r="E1377" s="9">
        <f>IF(D1377="","",IFERROR(INDEX('Stock pièces'!$B$5:$B$404,MATCH(D1377,'Stock pièces'!$A$5:$A$404,0)),"Réf. inconnue"))</f>
        <v/>
      </c>
      <c r="F1377" s="67" t="n"/>
      <c r="G1377" s="81">
        <f>IF(D1377="","",IFERROR(INDEX('Stock pièces'!$I$5:$I$404,MATCH(D1377,'Stock pièces'!$A$5:$A$404,0)),0))</f>
        <v/>
      </c>
      <c r="H1377" s="81">
        <f>IF(D1377="","",N(F1377)*N(G1377))</f>
        <v/>
      </c>
      <c r="I1377" s="7" t="n"/>
      <c r="J1377" s="9">
        <f>IF(I1377="","",IFERROR(INDEX('Ordres de travail'!$D$5:$D$3004,MATCH(I1377,'Ordres de travail'!$A$5:$A$3004,0)),""))</f>
        <v/>
      </c>
      <c r="K1377" s="9">
        <f>IF(D1377="","",IFERROR(INDEX('Stock pièces'!$D$5:$D$404,MATCH(D1377,'Stock pièces'!$A$5:$A$404,0)),""))</f>
        <v/>
      </c>
      <c r="L1377" s="7" t="n"/>
      <c r="M1377" s="7" t="n"/>
    </row>
    <row r="1378">
      <c r="A1378" s="7" t="n"/>
      <c r="B1378" s="75" t="n"/>
      <c r="C1378" s="7" t="n"/>
      <c r="D1378" s="7" t="n"/>
      <c r="E1378" s="9">
        <f>IF(D1378="","",IFERROR(INDEX('Stock pièces'!$B$5:$B$404,MATCH(D1378,'Stock pièces'!$A$5:$A$404,0)),"Réf. inconnue"))</f>
        <v/>
      </c>
      <c r="F1378" s="67" t="n"/>
      <c r="G1378" s="81">
        <f>IF(D1378="","",IFERROR(INDEX('Stock pièces'!$I$5:$I$404,MATCH(D1378,'Stock pièces'!$A$5:$A$404,0)),0))</f>
        <v/>
      </c>
      <c r="H1378" s="81">
        <f>IF(D1378="","",N(F1378)*N(G1378))</f>
        <v/>
      </c>
      <c r="I1378" s="7" t="n"/>
      <c r="J1378" s="9">
        <f>IF(I1378="","",IFERROR(INDEX('Ordres de travail'!$D$5:$D$3004,MATCH(I1378,'Ordres de travail'!$A$5:$A$3004,0)),""))</f>
        <v/>
      </c>
      <c r="K1378" s="9">
        <f>IF(D1378="","",IFERROR(INDEX('Stock pièces'!$D$5:$D$404,MATCH(D1378,'Stock pièces'!$A$5:$A$404,0)),""))</f>
        <v/>
      </c>
      <c r="L1378" s="7" t="n"/>
      <c r="M1378" s="7" t="n"/>
    </row>
    <row r="1379">
      <c r="A1379" s="7" t="n"/>
      <c r="B1379" s="75" t="n"/>
      <c r="C1379" s="7" t="n"/>
      <c r="D1379" s="7" t="n"/>
      <c r="E1379" s="9">
        <f>IF(D1379="","",IFERROR(INDEX('Stock pièces'!$B$5:$B$404,MATCH(D1379,'Stock pièces'!$A$5:$A$404,0)),"Réf. inconnue"))</f>
        <v/>
      </c>
      <c r="F1379" s="67" t="n"/>
      <c r="G1379" s="81">
        <f>IF(D1379="","",IFERROR(INDEX('Stock pièces'!$I$5:$I$404,MATCH(D1379,'Stock pièces'!$A$5:$A$404,0)),0))</f>
        <v/>
      </c>
      <c r="H1379" s="81">
        <f>IF(D1379="","",N(F1379)*N(G1379))</f>
        <v/>
      </c>
      <c r="I1379" s="7" t="n"/>
      <c r="J1379" s="9">
        <f>IF(I1379="","",IFERROR(INDEX('Ordres de travail'!$D$5:$D$3004,MATCH(I1379,'Ordres de travail'!$A$5:$A$3004,0)),""))</f>
        <v/>
      </c>
      <c r="K1379" s="9">
        <f>IF(D1379="","",IFERROR(INDEX('Stock pièces'!$D$5:$D$404,MATCH(D1379,'Stock pièces'!$A$5:$A$404,0)),""))</f>
        <v/>
      </c>
      <c r="L1379" s="7" t="n"/>
      <c r="M1379" s="7" t="n"/>
    </row>
    <row r="1380">
      <c r="A1380" s="7" t="n"/>
      <c r="B1380" s="75" t="n"/>
      <c r="C1380" s="7" t="n"/>
      <c r="D1380" s="7" t="n"/>
      <c r="E1380" s="9">
        <f>IF(D1380="","",IFERROR(INDEX('Stock pièces'!$B$5:$B$404,MATCH(D1380,'Stock pièces'!$A$5:$A$404,0)),"Réf. inconnue"))</f>
        <v/>
      </c>
      <c r="F1380" s="67" t="n"/>
      <c r="G1380" s="81">
        <f>IF(D1380="","",IFERROR(INDEX('Stock pièces'!$I$5:$I$404,MATCH(D1380,'Stock pièces'!$A$5:$A$404,0)),0))</f>
        <v/>
      </c>
      <c r="H1380" s="81">
        <f>IF(D1380="","",N(F1380)*N(G1380))</f>
        <v/>
      </c>
      <c r="I1380" s="7" t="n"/>
      <c r="J1380" s="9">
        <f>IF(I1380="","",IFERROR(INDEX('Ordres de travail'!$D$5:$D$3004,MATCH(I1380,'Ordres de travail'!$A$5:$A$3004,0)),""))</f>
        <v/>
      </c>
      <c r="K1380" s="9">
        <f>IF(D1380="","",IFERROR(INDEX('Stock pièces'!$D$5:$D$404,MATCH(D1380,'Stock pièces'!$A$5:$A$404,0)),""))</f>
        <v/>
      </c>
      <c r="L1380" s="7" t="n"/>
      <c r="M1380" s="7" t="n"/>
    </row>
    <row r="1381">
      <c r="A1381" s="7" t="n"/>
      <c r="B1381" s="75" t="n"/>
      <c r="C1381" s="7" t="n"/>
      <c r="D1381" s="7" t="n"/>
      <c r="E1381" s="9">
        <f>IF(D1381="","",IFERROR(INDEX('Stock pièces'!$B$5:$B$404,MATCH(D1381,'Stock pièces'!$A$5:$A$404,0)),"Réf. inconnue"))</f>
        <v/>
      </c>
      <c r="F1381" s="67" t="n"/>
      <c r="G1381" s="81">
        <f>IF(D1381="","",IFERROR(INDEX('Stock pièces'!$I$5:$I$404,MATCH(D1381,'Stock pièces'!$A$5:$A$404,0)),0))</f>
        <v/>
      </c>
      <c r="H1381" s="81">
        <f>IF(D1381="","",N(F1381)*N(G1381))</f>
        <v/>
      </c>
      <c r="I1381" s="7" t="n"/>
      <c r="J1381" s="9">
        <f>IF(I1381="","",IFERROR(INDEX('Ordres de travail'!$D$5:$D$3004,MATCH(I1381,'Ordres de travail'!$A$5:$A$3004,0)),""))</f>
        <v/>
      </c>
      <c r="K1381" s="9">
        <f>IF(D1381="","",IFERROR(INDEX('Stock pièces'!$D$5:$D$404,MATCH(D1381,'Stock pièces'!$A$5:$A$404,0)),""))</f>
        <v/>
      </c>
      <c r="L1381" s="7" t="n"/>
      <c r="M1381" s="7" t="n"/>
    </row>
    <row r="1382">
      <c r="A1382" s="7" t="n"/>
      <c r="B1382" s="75" t="n"/>
      <c r="C1382" s="7" t="n"/>
      <c r="D1382" s="7" t="n"/>
      <c r="E1382" s="9">
        <f>IF(D1382="","",IFERROR(INDEX('Stock pièces'!$B$5:$B$404,MATCH(D1382,'Stock pièces'!$A$5:$A$404,0)),"Réf. inconnue"))</f>
        <v/>
      </c>
      <c r="F1382" s="67" t="n"/>
      <c r="G1382" s="81">
        <f>IF(D1382="","",IFERROR(INDEX('Stock pièces'!$I$5:$I$404,MATCH(D1382,'Stock pièces'!$A$5:$A$404,0)),0))</f>
        <v/>
      </c>
      <c r="H1382" s="81">
        <f>IF(D1382="","",N(F1382)*N(G1382))</f>
        <v/>
      </c>
      <c r="I1382" s="7" t="n"/>
      <c r="J1382" s="9">
        <f>IF(I1382="","",IFERROR(INDEX('Ordres de travail'!$D$5:$D$3004,MATCH(I1382,'Ordres de travail'!$A$5:$A$3004,0)),""))</f>
        <v/>
      </c>
      <c r="K1382" s="9">
        <f>IF(D1382="","",IFERROR(INDEX('Stock pièces'!$D$5:$D$404,MATCH(D1382,'Stock pièces'!$A$5:$A$404,0)),""))</f>
        <v/>
      </c>
      <c r="L1382" s="7" t="n"/>
      <c r="M1382" s="7" t="n"/>
    </row>
    <row r="1383">
      <c r="A1383" s="7" t="n"/>
      <c r="B1383" s="75" t="n"/>
      <c r="C1383" s="7" t="n"/>
      <c r="D1383" s="7" t="n"/>
      <c r="E1383" s="9">
        <f>IF(D1383="","",IFERROR(INDEX('Stock pièces'!$B$5:$B$404,MATCH(D1383,'Stock pièces'!$A$5:$A$404,0)),"Réf. inconnue"))</f>
        <v/>
      </c>
      <c r="F1383" s="67" t="n"/>
      <c r="G1383" s="81">
        <f>IF(D1383="","",IFERROR(INDEX('Stock pièces'!$I$5:$I$404,MATCH(D1383,'Stock pièces'!$A$5:$A$404,0)),0))</f>
        <v/>
      </c>
      <c r="H1383" s="81">
        <f>IF(D1383="","",N(F1383)*N(G1383))</f>
        <v/>
      </c>
      <c r="I1383" s="7" t="n"/>
      <c r="J1383" s="9">
        <f>IF(I1383="","",IFERROR(INDEX('Ordres de travail'!$D$5:$D$3004,MATCH(I1383,'Ordres de travail'!$A$5:$A$3004,0)),""))</f>
        <v/>
      </c>
      <c r="K1383" s="9">
        <f>IF(D1383="","",IFERROR(INDEX('Stock pièces'!$D$5:$D$404,MATCH(D1383,'Stock pièces'!$A$5:$A$404,0)),""))</f>
        <v/>
      </c>
      <c r="L1383" s="7" t="n"/>
      <c r="M1383" s="7" t="n"/>
    </row>
    <row r="1384">
      <c r="A1384" s="7" t="n"/>
      <c r="B1384" s="75" t="n"/>
      <c r="C1384" s="7" t="n"/>
      <c r="D1384" s="7" t="n"/>
      <c r="E1384" s="9">
        <f>IF(D1384="","",IFERROR(INDEX('Stock pièces'!$B$5:$B$404,MATCH(D1384,'Stock pièces'!$A$5:$A$404,0)),"Réf. inconnue"))</f>
        <v/>
      </c>
      <c r="F1384" s="67" t="n"/>
      <c r="G1384" s="81">
        <f>IF(D1384="","",IFERROR(INDEX('Stock pièces'!$I$5:$I$404,MATCH(D1384,'Stock pièces'!$A$5:$A$404,0)),0))</f>
        <v/>
      </c>
      <c r="H1384" s="81">
        <f>IF(D1384="","",N(F1384)*N(G1384))</f>
        <v/>
      </c>
      <c r="I1384" s="7" t="n"/>
      <c r="J1384" s="9">
        <f>IF(I1384="","",IFERROR(INDEX('Ordres de travail'!$D$5:$D$3004,MATCH(I1384,'Ordres de travail'!$A$5:$A$3004,0)),""))</f>
        <v/>
      </c>
      <c r="K1384" s="9">
        <f>IF(D1384="","",IFERROR(INDEX('Stock pièces'!$D$5:$D$404,MATCH(D1384,'Stock pièces'!$A$5:$A$404,0)),""))</f>
        <v/>
      </c>
      <c r="L1384" s="7" t="n"/>
      <c r="M1384" s="7" t="n"/>
    </row>
    <row r="1385">
      <c r="A1385" s="7" t="n"/>
      <c r="B1385" s="75" t="n"/>
      <c r="C1385" s="7" t="n"/>
      <c r="D1385" s="7" t="n"/>
      <c r="E1385" s="9">
        <f>IF(D1385="","",IFERROR(INDEX('Stock pièces'!$B$5:$B$404,MATCH(D1385,'Stock pièces'!$A$5:$A$404,0)),"Réf. inconnue"))</f>
        <v/>
      </c>
      <c r="F1385" s="67" t="n"/>
      <c r="G1385" s="81">
        <f>IF(D1385="","",IFERROR(INDEX('Stock pièces'!$I$5:$I$404,MATCH(D1385,'Stock pièces'!$A$5:$A$404,0)),0))</f>
        <v/>
      </c>
      <c r="H1385" s="81">
        <f>IF(D1385="","",N(F1385)*N(G1385))</f>
        <v/>
      </c>
      <c r="I1385" s="7" t="n"/>
      <c r="J1385" s="9">
        <f>IF(I1385="","",IFERROR(INDEX('Ordres de travail'!$D$5:$D$3004,MATCH(I1385,'Ordres de travail'!$A$5:$A$3004,0)),""))</f>
        <v/>
      </c>
      <c r="K1385" s="9">
        <f>IF(D1385="","",IFERROR(INDEX('Stock pièces'!$D$5:$D$404,MATCH(D1385,'Stock pièces'!$A$5:$A$404,0)),""))</f>
        <v/>
      </c>
      <c r="L1385" s="7" t="n"/>
      <c r="M1385" s="7" t="n"/>
    </row>
    <row r="1386">
      <c r="A1386" s="7" t="n"/>
      <c r="B1386" s="75" t="n"/>
      <c r="C1386" s="7" t="n"/>
      <c r="D1386" s="7" t="n"/>
      <c r="E1386" s="9">
        <f>IF(D1386="","",IFERROR(INDEX('Stock pièces'!$B$5:$B$404,MATCH(D1386,'Stock pièces'!$A$5:$A$404,0)),"Réf. inconnue"))</f>
        <v/>
      </c>
      <c r="F1386" s="67" t="n"/>
      <c r="G1386" s="81">
        <f>IF(D1386="","",IFERROR(INDEX('Stock pièces'!$I$5:$I$404,MATCH(D1386,'Stock pièces'!$A$5:$A$404,0)),0))</f>
        <v/>
      </c>
      <c r="H1386" s="81">
        <f>IF(D1386="","",N(F1386)*N(G1386))</f>
        <v/>
      </c>
      <c r="I1386" s="7" t="n"/>
      <c r="J1386" s="9">
        <f>IF(I1386="","",IFERROR(INDEX('Ordres de travail'!$D$5:$D$3004,MATCH(I1386,'Ordres de travail'!$A$5:$A$3004,0)),""))</f>
        <v/>
      </c>
      <c r="K1386" s="9">
        <f>IF(D1386="","",IFERROR(INDEX('Stock pièces'!$D$5:$D$404,MATCH(D1386,'Stock pièces'!$A$5:$A$404,0)),""))</f>
        <v/>
      </c>
      <c r="L1386" s="7" t="n"/>
      <c r="M1386" s="7" t="n"/>
    </row>
    <row r="1387">
      <c r="A1387" s="7" t="n"/>
      <c r="B1387" s="75" t="n"/>
      <c r="C1387" s="7" t="n"/>
      <c r="D1387" s="7" t="n"/>
      <c r="E1387" s="9">
        <f>IF(D1387="","",IFERROR(INDEX('Stock pièces'!$B$5:$B$404,MATCH(D1387,'Stock pièces'!$A$5:$A$404,0)),"Réf. inconnue"))</f>
        <v/>
      </c>
      <c r="F1387" s="67" t="n"/>
      <c r="G1387" s="81">
        <f>IF(D1387="","",IFERROR(INDEX('Stock pièces'!$I$5:$I$404,MATCH(D1387,'Stock pièces'!$A$5:$A$404,0)),0))</f>
        <v/>
      </c>
      <c r="H1387" s="81">
        <f>IF(D1387="","",N(F1387)*N(G1387))</f>
        <v/>
      </c>
      <c r="I1387" s="7" t="n"/>
      <c r="J1387" s="9">
        <f>IF(I1387="","",IFERROR(INDEX('Ordres de travail'!$D$5:$D$3004,MATCH(I1387,'Ordres de travail'!$A$5:$A$3004,0)),""))</f>
        <v/>
      </c>
      <c r="K1387" s="9">
        <f>IF(D1387="","",IFERROR(INDEX('Stock pièces'!$D$5:$D$404,MATCH(D1387,'Stock pièces'!$A$5:$A$404,0)),""))</f>
        <v/>
      </c>
      <c r="L1387" s="7" t="n"/>
      <c r="M1387" s="7" t="n"/>
    </row>
    <row r="1388">
      <c r="A1388" s="7" t="n"/>
      <c r="B1388" s="75" t="n"/>
      <c r="C1388" s="7" t="n"/>
      <c r="D1388" s="7" t="n"/>
      <c r="E1388" s="9">
        <f>IF(D1388="","",IFERROR(INDEX('Stock pièces'!$B$5:$B$404,MATCH(D1388,'Stock pièces'!$A$5:$A$404,0)),"Réf. inconnue"))</f>
        <v/>
      </c>
      <c r="F1388" s="67" t="n"/>
      <c r="G1388" s="81">
        <f>IF(D1388="","",IFERROR(INDEX('Stock pièces'!$I$5:$I$404,MATCH(D1388,'Stock pièces'!$A$5:$A$404,0)),0))</f>
        <v/>
      </c>
      <c r="H1388" s="81">
        <f>IF(D1388="","",N(F1388)*N(G1388))</f>
        <v/>
      </c>
      <c r="I1388" s="7" t="n"/>
      <c r="J1388" s="9">
        <f>IF(I1388="","",IFERROR(INDEX('Ordres de travail'!$D$5:$D$3004,MATCH(I1388,'Ordres de travail'!$A$5:$A$3004,0)),""))</f>
        <v/>
      </c>
      <c r="K1388" s="9">
        <f>IF(D1388="","",IFERROR(INDEX('Stock pièces'!$D$5:$D$404,MATCH(D1388,'Stock pièces'!$A$5:$A$404,0)),""))</f>
        <v/>
      </c>
      <c r="L1388" s="7" t="n"/>
      <c r="M1388" s="7" t="n"/>
    </row>
    <row r="1389">
      <c r="A1389" s="7" t="n"/>
      <c r="B1389" s="75" t="n"/>
      <c r="C1389" s="7" t="n"/>
      <c r="D1389" s="7" t="n"/>
      <c r="E1389" s="9">
        <f>IF(D1389="","",IFERROR(INDEX('Stock pièces'!$B$5:$B$404,MATCH(D1389,'Stock pièces'!$A$5:$A$404,0)),"Réf. inconnue"))</f>
        <v/>
      </c>
      <c r="F1389" s="67" t="n"/>
      <c r="G1389" s="81">
        <f>IF(D1389="","",IFERROR(INDEX('Stock pièces'!$I$5:$I$404,MATCH(D1389,'Stock pièces'!$A$5:$A$404,0)),0))</f>
        <v/>
      </c>
      <c r="H1389" s="81">
        <f>IF(D1389="","",N(F1389)*N(G1389))</f>
        <v/>
      </c>
      <c r="I1389" s="7" t="n"/>
      <c r="J1389" s="9">
        <f>IF(I1389="","",IFERROR(INDEX('Ordres de travail'!$D$5:$D$3004,MATCH(I1389,'Ordres de travail'!$A$5:$A$3004,0)),""))</f>
        <v/>
      </c>
      <c r="K1389" s="9">
        <f>IF(D1389="","",IFERROR(INDEX('Stock pièces'!$D$5:$D$404,MATCH(D1389,'Stock pièces'!$A$5:$A$404,0)),""))</f>
        <v/>
      </c>
      <c r="L1389" s="7" t="n"/>
      <c r="M1389" s="7" t="n"/>
    </row>
    <row r="1390">
      <c r="A1390" s="7" t="n"/>
      <c r="B1390" s="75" t="n"/>
      <c r="C1390" s="7" t="n"/>
      <c r="D1390" s="7" t="n"/>
      <c r="E1390" s="9">
        <f>IF(D1390="","",IFERROR(INDEX('Stock pièces'!$B$5:$B$404,MATCH(D1390,'Stock pièces'!$A$5:$A$404,0)),"Réf. inconnue"))</f>
        <v/>
      </c>
      <c r="F1390" s="67" t="n"/>
      <c r="G1390" s="81">
        <f>IF(D1390="","",IFERROR(INDEX('Stock pièces'!$I$5:$I$404,MATCH(D1390,'Stock pièces'!$A$5:$A$404,0)),0))</f>
        <v/>
      </c>
      <c r="H1390" s="81">
        <f>IF(D1390="","",N(F1390)*N(G1390))</f>
        <v/>
      </c>
      <c r="I1390" s="7" t="n"/>
      <c r="J1390" s="9">
        <f>IF(I1390="","",IFERROR(INDEX('Ordres de travail'!$D$5:$D$3004,MATCH(I1390,'Ordres de travail'!$A$5:$A$3004,0)),""))</f>
        <v/>
      </c>
      <c r="K1390" s="9">
        <f>IF(D1390="","",IFERROR(INDEX('Stock pièces'!$D$5:$D$404,MATCH(D1390,'Stock pièces'!$A$5:$A$404,0)),""))</f>
        <v/>
      </c>
      <c r="L1390" s="7" t="n"/>
      <c r="M1390" s="7" t="n"/>
    </row>
    <row r="1391">
      <c r="A1391" s="7" t="n"/>
      <c r="B1391" s="75" t="n"/>
      <c r="C1391" s="7" t="n"/>
      <c r="D1391" s="7" t="n"/>
      <c r="E1391" s="9">
        <f>IF(D1391="","",IFERROR(INDEX('Stock pièces'!$B$5:$B$404,MATCH(D1391,'Stock pièces'!$A$5:$A$404,0)),"Réf. inconnue"))</f>
        <v/>
      </c>
      <c r="F1391" s="67" t="n"/>
      <c r="G1391" s="81">
        <f>IF(D1391="","",IFERROR(INDEX('Stock pièces'!$I$5:$I$404,MATCH(D1391,'Stock pièces'!$A$5:$A$404,0)),0))</f>
        <v/>
      </c>
      <c r="H1391" s="81">
        <f>IF(D1391="","",N(F1391)*N(G1391))</f>
        <v/>
      </c>
      <c r="I1391" s="7" t="n"/>
      <c r="J1391" s="9">
        <f>IF(I1391="","",IFERROR(INDEX('Ordres de travail'!$D$5:$D$3004,MATCH(I1391,'Ordres de travail'!$A$5:$A$3004,0)),""))</f>
        <v/>
      </c>
      <c r="K1391" s="9">
        <f>IF(D1391="","",IFERROR(INDEX('Stock pièces'!$D$5:$D$404,MATCH(D1391,'Stock pièces'!$A$5:$A$404,0)),""))</f>
        <v/>
      </c>
      <c r="L1391" s="7" t="n"/>
      <c r="M1391" s="7" t="n"/>
    </row>
    <row r="1392">
      <c r="A1392" s="7" t="n"/>
      <c r="B1392" s="75" t="n"/>
      <c r="C1392" s="7" t="n"/>
      <c r="D1392" s="7" t="n"/>
      <c r="E1392" s="9">
        <f>IF(D1392="","",IFERROR(INDEX('Stock pièces'!$B$5:$B$404,MATCH(D1392,'Stock pièces'!$A$5:$A$404,0)),"Réf. inconnue"))</f>
        <v/>
      </c>
      <c r="F1392" s="67" t="n"/>
      <c r="G1392" s="81">
        <f>IF(D1392="","",IFERROR(INDEX('Stock pièces'!$I$5:$I$404,MATCH(D1392,'Stock pièces'!$A$5:$A$404,0)),0))</f>
        <v/>
      </c>
      <c r="H1392" s="81">
        <f>IF(D1392="","",N(F1392)*N(G1392))</f>
        <v/>
      </c>
      <c r="I1392" s="7" t="n"/>
      <c r="J1392" s="9">
        <f>IF(I1392="","",IFERROR(INDEX('Ordres de travail'!$D$5:$D$3004,MATCH(I1392,'Ordres de travail'!$A$5:$A$3004,0)),""))</f>
        <v/>
      </c>
      <c r="K1392" s="9">
        <f>IF(D1392="","",IFERROR(INDEX('Stock pièces'!$D$5:$D$404,MATCH(D1392,'Stock pièces'!$A$5:$A$404,0)),""))</f>
        <v/>
      </c>
      <c r="L1392" s="7" t="n"/>
      <c r="M1392" s="7" t="n"/>
    </row>
    <row r="1393">
      <c r="A1393" s="7" t="n"/>
      <c r="B1393" s="75" t="n"/>
      <c r="C1393" s="7" t="n"/>
      <c r="D1393" s="7" t="n"/>
      <c r="E1393" s="9">
        <f>IF(D1393="","",IFERROR(INDEX('Stock pièces'!$B$5:$B$404,MATCH(D1393,'Stock pièces'!$A$5:$A$404,0)),"Réf. inconnue"))</f>
        <v/>
      </c>
      <c r="F1393" s="67" t="n"/>
      <c r="G1393" s="81">
        <f>IF(D1393="","",IFERROR(INDEX('Stock pièces'!$I$5:$I$404,MATCH(D1393,'Stock pièces'!$A$5:$A$404,0)),0))</f>
        <v/>
      </c>
      <c r="H1393" s="81">
        <f>IF(D1393="","",N(F1393)*N(G1393))</f>
        <v/>
      </c>
      <c r="I1393" s="7" t="n"/>
      <c r="J1393" s="9">
        <f>IF(I1393="","",IFERROR(INDEX('Ordres de travail'!$D$5:$D$3004,MATCH(I1393,'Ordres de travail'!$A$5:$A$3004,0)),""))</f>
        <v/>
      </c>
      <c r="K1393" s="9">
        <f>IF(D1393="","",IFERROR(INDEX('Stock pièces'!$D$5:$D$404,MATCH(D1393,'Stock pièces'!$A$5:$A$404,0)),""))</f>
        <v/>
      </c>
      <c r="L1393" s="7" t="n"/>
      <c r="M1393" s="7" t="n"/>
    </row>
    <row r="1394">
      <c r="A1394" s="7" t="n"/>
      <c r="B1394" s="75" t="n"/>
      <c r="C1394" s="7" t="n"/>
      <c r="D1394" s="7" t="n"/>
      <c r="E1394" s="9">
        <f>IF(D1394="","",IFERROR(INDEX('Stock pièces'!$B$5:$B$404,MATCH(D1394,'Stock pièces'!$A$5:$A$404,0)),"Réf. inconnue"))</f>
        <v/>
      </c>
      <c r="F1394" s="67" t="n"/>
      <c r="G1394" s="81">
        <f>IF(D1394="","",IFERROR(INDEX('Stock pièces'!$I$5:$I$404,MATCH(D1394,'Stock pièces'!$A$5:$A$404,0)),0))</f>
        <v/>
      </c>
      <c r="H1394" s="81">
        <f>IF(D1394="","",N(F1394)*N(G1394))</f>
        <v/>
      </c>
      <c r="I1394" s="7" t="n"/>
      <c r="J1394" s="9">
        <f>IF(I1394="","",IFERROR(INDEX('Ordres de travail'!$D$5:$D$3004,MATCH(I1394,'Ordres de travail'!$A$5:$A$3004,0)),""))</f>
        <v/>
      </c>
      <c r="K1394" s="9">
        <f>IF(D1394="","",IFERROR(INDEX('Stock pièces'!$D$5:$D$404,MATCH(D1394,'Stock pièces'!$A$5:$A$404,0)),""))</f>
        <v/>
      </c>
      <c r="L1394" s="7" t="n"/>
      <c r="M1394" s="7" t="n"/>
    </row>
    <row r="1395">
      <c r="A1395" s="7" t="n"/>
      <c r="B1395" s="75" t="n"/>
      <c r="C1395" s="7" t="n"/>
      <c r="D1395" s="7" t="n"/>
      <c r="E1395" s="9">
        <f>IF(D1395="","",IFERROR(INDEX('Stock pièces'!$B$5:$B$404,MATCH(D1395,'Stock pièces'!$A$5:$A$404,0)),"Réf. inconnue"))</f>
        <v/>
      </c>
      <c r="F1395" s="67" t="n"/>
      <c r="G1395" s="81">
        <f>IF(D1395="","",IFERROR(INDEX('Stock pièces'!$I$5:$I$404,MATCH(D1395,'Stock pièces'!$A$5:$A$404,0)),0))</f>
        <v/>
      </c>
      <c r="H1395" s="81">
        <f>IF(D1395="","",N(F1395)*N(G1395))</f>
        <v/>
      </c>
      <c r="I1395" s="7" t="n"/>
      <c r="J1395" s="9">
        <f>IF(I1395="","",IFERROR(INDEX('Ordres de travail'!$D$5:$D$3004,MATCH(I1395,'Ordres de travail'!$A$5:$A$3004,0)),""))</f>
        <v/>
      </c>
      <c r="K1395" s="9">
        <f>IF(D1395="","",IFERROR(INDEX('Stock pièces'!$D$5:$D$404,MATCH(D1395,'Stock pièces'!$A$5:$A$404,0)),""))</f>
        <v/>
      </c>
      <c r="L1395" s="7" t="n"/>
      <c r="M1395" s="7" t="n"/>
    </row>
    <row r="1396">
      <c r="A1396" s="7" t="n"/>
      <c r="B1396" s="75" t="n"/>
      <c r="C1396" s="7" t="n"/>
      <c r="D1396" s="7" t="n"/>
      <c r="E1396" s="9">
        <f>IF(D1396="","",IFERROR(INDEX('Stock pièces'!$B$5:$B$404,MATCH(D1396,'Stock pièces'!$A$5:$A$404,0)),"Réf. inconnue"))</f>
        <v/>
      </c>
      <c r="F1396" s="67" t="n"/>
      <c r="G1396" s="81">
        <f>IF(D1396="","",IFERROR(INDEX('Stock pièces'!$I$5:$I$404,MATCH(D1396,'Stock pièces'!$A$5:$A$404,0)),0))</f>
        <v/>
      </c>
      <c r="H1396" s="81">
        <f>IF(D1396="","",N(F1396)*N(G1396))</f>
        <v/>
      </c>
      <c r="I1396" s="7" t="n"/>
      <c r="J1396" s="9">
        <f>IF(I1396="","",IFERROR(INDEX('Ordres de travail'!$D$5:$D$3004,MATCH(I1396,'Ordres de travail'!$A$5:$A$3004,0)),""))</f>
        <v/>
      </c>
      <c r="K1396" s="9">
        <f>IF(D1396="","",IFERROR(INDEX('Stock pièces'!$D$5:$D$404,MATCH(D1396,'Stock pièces'!$A$5:$A$404,0)),""))</f>
        <v/>
      </c>
      <c r="L1396" s="7" t="n"/>
      <c r="M1396" s="7" t="n"/>
    </row>
    <row r="1397">
      <c r="A1397" s="7" t="n"/>
      <c r="B1397" s="75" t="n"/>
      <c r="C1397" s="7" t="n"/>
      <c r="D1397" s="7" t="n"/>
      <c r="E1397" s="9">
        <f>IF(D1397="","",IFERROR(INDEX('Stock pièces'!$B$5:$B$404,MATCH(D1397,'Stock pièces'!$A$5:$A$404,0)),"Réf. inconnue"))</f>
        <v/>
      </c>
      <c r="F1397" s="67" t="n"/>
      <c r="G1397" s="81">
        <f>IF(D1397="","",IFERROR(INDEX('Stock pièces'!$I$5:$I$404,MATCH(D1397,'Stock pièces'!$A$5:$A$404,0)),0))</f>
        <v/>
      </c>
      <c r="H1397" s="81">
        <f>IF(D1397="","",N(F1397)*N(G1397))</f>
        <v/>
      </c>
      <c r="I1397" s="7" t="n"/>
      <c r="J1397" s="9">
        <f>IF(I1397="","",IFERROR(INDEX('Ordres de travail'!$D$5:$D$3004,MATCH(I1397,'Ordres de travail'!$A$5:$A$3004,0)),""))</f>
        <v/>
      </c>
      <c r="K1397" s="9">
        <f>IF(D1397="","",IFERROR(INDEX('Stock pièces'!$D$5:$D$404,MATCH(D1397,'Stock pièces'!$A$5:$A$404,0)),""))</f>
        <v/>
      </c>
      <c r="L1397" s="7" t="n"/>
      <c r="M1397" s="7" t="n"/>
    </row>
    <row r="1398">
      <c r="A1398" s="7" t="n"/>
      <c r="B1398" s="75" t="n"/>
      <c r="C1398" s="7" t="n"/>
      <c r="D1398" s="7" t="n"/>
      <c r="E1398" s="9">
        <f>IF(D1398="","",IFERROR(INDEX('Stock pièces'!$B$5:$B$404,MATCH(D1398,'Stock pièces'!$A$5:$A$404,0)),"Réf. inconnue"))</f>
        <v/>
      </c>
      <c r="F1398" s="67" t="n"/>
      <c r="G1398" s="81">
        <f>IF(D1398="","",IFERROR(INDEX('Stock pièces'!$I$5:$I$404,MATCH(D1398,'Stock pièces'!$A$5:$A$404,0)),0))</f>
        <v/>
      </c>
      <c r="H1398" s="81">
        <f>IF(D1398="","",N(F1398)*N(G1398))</f>
        <v/>
      </c>
      <c r="I1398" s="7" t="n"/>
      <c r="J1398" s="9">
        <f>IF(I1398="","",IFERROR(INDEX('Ordres de travail'!$D$5:$D$3004,MATCH(I1398,'Ordres de travail'!$A$5:$A$3004,0)),""))</f>
        <v/>
      </c>
      <c r="K1398" s="9">
        <f>IF(D1398="","",IFERROR(INDEX('Stock pièces'!$D$5:$D$404,MATCH(D1398,'Stock pièces'!$A$5:$A$404,0)),""))</f>
        <v/>
      </c>
      <c r="L1398" s="7" t="n"/>
      <c r="M1398" s="7" t="n"/>
    </row>
    <row r="1399">
      <c r="A1399" s="7" t="n"/>
      <c r="B1399" s="75" t="n"/>
      <c r="C1399" s="7" t="n"/>
      <c r="D1399" s="7" t="n"/>
      <c r="E1399" s="9">
        <f>IF(D1399="","",IFERROR(INDEX('Stock pièces'!$B$5:$B$404,MATCH(D1399,'Stock pièces'!$A$5:$A$404,0)),"Réf. inconnue"))</f>
        <v/>
      </c>
      <c r="F1399" s="67" t="n"/>
      <c r="G1399" s="81">
        <f>IF(D1399="","",IFERROR(INDEX('Stock pièces'!$I$5:$I$404,MATCH(D1399,'Stock pièces'!$A$5:$A$404,0)),0))</f>
        <v/>
      </c>
      <c r="H1399" s="81">
        <f>IF(D1399="","",N(F1399)*N(G1399))</f>
        <v/>
      </c>
      <c r="I1399" s="7" t="n"/>
      <c r="J1399" s="9">
        <f>IF(I1399="","",IFERROR(INDEX('Ordres de travail'!$D$5:$D$3004,MATCH(I1399,'Ordres de travail'!$A$5:$A$3004,0)),""))</f>
        <v/>
      </c>
      <c r="K1399" s="9">
        <f>IF(D1399="","",IFERROR(INDEX('Stock pièces'!$D$5:$D$404,MATCH(D1399,'Stock pièces'!$A$5:$A$404,0)),""))</f>
        <v/>
      </c>
      <c r="L1399" s="7" t="n"/>
      <c r="M1399" s="7" t="n"/>
    </row>
    <row r="1400">
      <c r="A1400" s="7" t="n"/>
      <c r="B1400" s="75" t="n"/>
      <c r="C1400" s="7" t="n"/>
      <c r="D1400" s="7" t="n"/>
      <c r="E1400" s="9">
        <f>IF(D1400="","",IFERROR(INDEX('Stock pièces'!$B$5:$B$404,MATCH(D1400,'Stock pièces'!$A$5:$A$404,0)),"Réf. inconnue"))</f>
        <v/>
      </c>
      <c r="F1400" s="67" t="n"/>
      <c r="G1400" s="81">
        <f>IF(D1400="","",IFERROR(INDEX('Stock pièces'!$I$5:$I$404,MATCH(D1400,'Stock pièces'!$A$5:$A$404,0)),0))</f>
        <v/>
      </c>
      <c r="H1400" s="81">
        <f>IF(D1400="","",N(F1400)*N(G1400))</f>
        <v/>
      </c>
      <c r="I1400" s="7" t="n"/>
      <c r="J1400" s="9">
        <f>IF(I1400="","",IFERROR(INDEX('Ordres de travail'!$D$5:$D$3004,MATCH(I1400,'Ordres de travail'!$A$5:$A$3004,0)),""))</f>
        <v/>
      </c>
      <c r="K1400" s="9">
        <f>IF(D1400="","",IFERROR(INDEX('Stock pièces'!$D$5:$D$404,MATCH(D1400,'Stock pièces'!$A$5:$A$404,0)),""))</f>
        <v/>
      </c>
      <c r="L1400" s="7" t="n"/>
      <c r="M1400" s="7" t="n"/>
    </row>
    <row r="1401">
      <c r="A1401" s="7" t="n"/>
      <c r="B1401" s="75" t="n"/>
      <c r="C1401" s="7" t="n"/>
      <c r="D1401" s="7" t="n"/>
      <c r="E1401" s="9">
        <f>IF(D1401="","",IFERROR(INDEX('Stock pièces'!$B$5:$B$404,MATCH(D1401,'Stock pièces'!$A$5:$A$404,0)),"Réf. inconnue"))</f>
        <v/>
      </c>
      <c r="F1401" s="67" t="n"/>
      <c r="G1401" s="81">
        <f>IF(D1401="","",IFERROR(INDEX('Stock pièces'!$I$5:$I$404,MATCH(D1401,'Stock pièces'!$A$5:$A$404,0)),0))</f>
        <v/>
      </c>
      <c r="H1401" s="81">
        <f>IF(D1401="","",N(F1401)*N(G1401))</f>
        <v/>
      </c>
      <c r="I1401" s="7" t="n"/>
      <c r="J1401" s="9">
        <f>IF(I1401="","",IFERROR(INDEX('Ordres de travail'!$D$5:$D$3004,MATCH(I1401,'Ordres de travail'!$A$5:$A$3004,0)),""))</f>
        <v/>
      </c>
      <c r="K1401" s="9">
        <f>IF(D1401="","",IFERROR(INDEX('Stock pièces'!$D$5:$D$404,MATCH(D1401,'Stock pièces'!$A$5:$A$404,0)),""))</f>
        <v/>
      </c>
      <c r="L1401" s="7" t="n"/>
      <c r="M1401" s="7" t="n"/>
    </row>
    <row r="1402">
      <c r="A1402" s="7" t="n"/>
      <c r="B1402" s="75" t="n"/>
      <c r="C1402" s="7" t="n"/>
      <c r="D1402" s="7" t="n"/>
      <c r="E1402" s="9">
        <f>IF(D1402="","",IFERROR(INDEX('Stock pièces'!$B$5:$B$404,MATCH(D1402,'Stock pièces'!$A$5:$A$404,0)),"Réf. inconnue"))</f>
        <v/>
      </c>
      <c r="F1402" s="67" t="n"/>
      <c r="G1402" s="81">
        <f>IF(D1402="","",IFERROR(INDEX('Stock pièces'!$I$5:$I$404,MATCH(D1402,'Stock pièces'!$A$5:$A$404,0)),0))</f>
        <v/>
      </c>
      <c r="H1402" s="81">
        <f>IF(D1402="","",N(F1402)*N(G1402))</f>
        <v/>
      </c>
      <c r="I1402" s="7" t="n"/>
      <c r="J1402" s="9">
        <f>IF(I1402="","",IFERROR(INDEX('Ordres de travail'!$D$5:$D$3004,MATCH(I1402,'Ordres de travail'!$A$5:$A$3004,0)),""))</f>
        <v/>
      </c>
      <c r="K1402" s="9">
        <f>IF(D1402="","",IFERROR(INDEX('Stock pièces'!$D$5:$D$404,MATCH(D1402,'Stock pièces'!$A$5:$A$404,0)),""))</f>
        <v/>
      </c>
      <c r="L1402" s="7" t="n"/>
      <c r="M1402" s="7" t="n"/>
    </row>
    <row r="1403">
      <c r="A1403" s="7" t="n"/>
      <c r="B1403" s="75" t="n"/>
      <c r="C1403" s="7" t="n"/>
      <c r="D1403" s="7" t="n"/>
      <c r="E1403" s="9">
        <f>IF(D1403="","",IFERROR(INDEX('Stock pièces'!$B$5:$B$404,MATCH(D1403,'Stock pièces'!$A$5:$A$404,0)),"Réf. inconnue"))</f>
        <v/>
      </c>
      <c r="F1403" s="67" t="n"/>
      <c r="G1403" s="81">
        <f>IF(D1403="","",IFERROR(INDEX('Stock pièces'!$I$5:$I$404,MATCH(D1403,'Stock pièces'!$A$5:$A$404,0)),0))</f>
        <v/>
      </c>
      <c r="H1403" s="81">
        <f>IF(D1403="","",N(F1403)*N(G1403))</f>
        <v/>
      </c>
      <c r="I1403" s="7" t="n"/>
      <c r="J1403" s="9">
        <f>IF(I1403="","",IFERROR(INDEX('Ordres de travail'!$D$5:$D$3004,MATCH(I1403,'Ordres de travail'!$A$5:$A$3004,0)),""))</f>
        <v/>
      </c>
      <c r="K1403" s="9">
        <f>IF(D1403="","",IFERROR(INDEX('Stock pièces'!$D$5:$D$404,MATCH(D1403,'Stock pièces'!$A$5:$A$404,0)),""))</f>
        <v/>
      </c>
      <c r="L1403" s="7" t="n"/>
      <c r="M1403" s="7" t="n"/>
    </row>
    <row r="1404">
      <c r="A1404" s="7" t="n"/>
      <c r="B1404" s="75" t="n"/>
      <c r="C1404" s="7" t="n"/>
      <c r="D1404" s="7" t="n"/>
      <c r="E1404" s="9">
        <f>IF(D1404="","",IFERROR(INDEX('Stock pièces'!$B$5:$B$404,MATCH(D1404,'Stock pièces'!$A$5:$A$404,0)),"Réf. inconnue"))</f>
        <v/>
      </c>
      <c r="F1404" s="67" t="n"/>
      <c r="G1404" s="81">
        <f>IF(D1404="","",IFERROR(INDEX('Stock pièces'!$I$5:$I$404,MATCH(D1404,'Stock pièces'!$A$5:$A$404,0)),0))</f>
        <v/>
      </c>
      <c r="H1404" s="81">
        <f>IF(D1404="","",N(F1404)*N(G1404))</f>
        <v/>
      </c>
      <c r="I1404" s="7" t="n"/>
      <c r="J1404" s="9">
        <f>IF(I1404="","",IFERROR(INDEX('Ordres de travail'!$D$5:$D$3004,MATCH(I1404,'Ordres de travail'!$A$5:$A$3004,0)),""))</f>
        <v/>
      </c>
      <c r="K1404" s="9">
        <f>IF(D1404="","",IFERROR(INDEX('Stock pièces'!$D$5:$D$404,MATCH(D1404,'Stock pièces'!$A$5:$A$404,0)),""))</f>
        <v/>
      </c>
      <c r="L1404" s="7" t="n"/>
      <c r="M1404" s="7" t="n"/>
    </row>
    <row r="1405">
      <c r="A1405" s="7" t="n"/>
      <c r="B1405" s="75" t="n"/>
      <c r="C1405" s="7" t="n"/>
      <c r="D1405" s="7" t="n"/>
      <c r="E1405" s="9">
        <f>IF(D1405="","",IFERROR(INDEX('Stock pièces'!$B$5:$B$404,MATCH(D1405,'Stock pièces'!$A$5:$A$404,0)),"Réf. inconnue"))</f>
        <v/>
      </c>
      <c r="F1405" s="67" t="n"/>
      <c r="G1405" s="81">
        <f>IF(D1405="","",IFERROR(INDEX('Stock pièces'!$I$5:$I$404,MATCH(D1405,'Stock pièces'!$A$5:$A$404,0)),0))</f>
        <v/>
      </c>
      <c r="H1405" s="81">
        <f>IF(D1405="","",N(F1405)*N(G1405))</f>
        <v/>
      </c>
      <c r="I1405" s="7" t="n"/>
      <c r="J1405" s="9">
        <f>IF(I1405="","",IFERROR(INDEX('Ordres de travail'!$D$5:$D$3004,MATCH(I1405,'Ordres de travail'!$A$5:$A$3004,0)),""))</f>
        <v/>
      </c>
      <c r="K1405" s="9">
        <f>IF(D1405="","",IFERROR(INDEX('Stock pièces'!$D$5:$D$404,MATCH(D1405,'Stock pièces'!$A$5:$A$404,0)),""))</f>
        <v/>
      </c>
      <c r="L1405" s="7" t="n"/>
      <c r="M1405" s="7" t="n"/>
    </row>
    <row r="1406">
      <c r="A1406" s="7" t="n"/>
      <c r="B1406" s="75" t="n"/>
      <c r="C1406" s="7" t="n"/>
      <c r="D1406" s="7" t="n"/>
      <c r="E1406" s="9">
        <f>IF(D1406="","",IFERROR(INDEX('Stock pièces'!$B$5:$B$404,MATCH(D1406,'Stock pièces'!$A$5:$A$404,0)),"Réf. inconnue"))</f>
        <v/>
      </c>
      <c r="F1406" s="67" t="n"/>
      <c r="G1406" s="81">
        <f>IF(D1406="","",IFERROR(INDEX('Stock pièces'!$I$5:$I$404,MATCH(D1406,'Stock pièces'!$A$5:$A$404,0)),0))</f>
        <v/>
      </c>
      <c r="H1406" s="81">
        <f>IF(D1406="","",N(F1406)*N(G1406))</f>
        <v/>
      </c>
      <c r="I1406" s="7" t="n"/>
      <c r="J1406" s="9">
        <f>IF(I1406="","",IFERROR(INDEX('Ordres de travail'!$D$5:$D$3004,MATCH(I1406,'Ordres de travail'!$A$5:$A$3004,0)),""))</f>
        <v/>
      </c>
      <c r="K1406" s="9">
        <f>IF(D1406="","",IFERROR(INDEX('Stock pièces'!$D$5:$D$404,MATCH(D1406,'Stock pièces'!$A$5:$A$404,0)),""))</f>
        <v/>
      </c>
      <c r="L1406" s="7" t="n"/>
      <c r="M1406" s="7" t="n"/>
    </row>
    <row r="1407">
      <c r="A1407" s="7" t="n"/>
      <c r="B1407" s="75" t="n"/>
      <c r="C1407" s="7" t="n"/>
      <c r="D1407" s="7" t="n"/>
      <c r="E1407" s="9">
        <f>IF(D1407="","",IFERROR(INDEX('Stock pièces'!$B$5:$B$404,MATCH(D1407,'Stock pièces'!$A$5:$A$404,0)),"Réf. inconnue"))</f>
        <v/>
      </c>
      <c r="F1407" s="67" t="n"/>
      <c r="G1407" s="81">
        <f>IF(D1407="","",IFERROR(INDEX('Stock pièces'!$I$5:$I$404,MATCH(D1407,'Stock pièces'!$A$5:$A$404,0)),0))</f>
        <v/>
      </c>
      <c r="H1407" s="81">
        <f>IF(D1407="","",N(F1407)*N(G1407))</f>
        <v/>
      </c>
      <c r="I1407" s="7" t="n"/>
      <c r="J1407" s="9">
        <f>IF(I1407="","",IFERROR(INDEX('Ordres de travail'!$D$5:$D$3004,MATCH(I1407,'Ordres de travail'!$A$5:$A$3004,0)),""))</f>
        <v/>
      </c>
      <c r="K1407" s="9">
        <f>IF(D1407="","",IFERROR(INDEX('Stock pièces'!$D$5:$D$404,MATCH(D1407,'Stock pièces'!$A$5:$A$404,0)),""))</f>
        <v/>
      </c>
      <c r="L1407" s="7" t="n"/>
      <c r="M1407" s="7" t="n"/>
    </row>
    <row r="1408">
      <c r="A1408" s="7" t="n"/>
      <c r="B1408" s="75" t="n"/>
      <c r="C1408" s="7" t="n"/>
      <c r="D1408" s="7" t="n"/>
      <c r="E1408" s="9">
        <f>IF(D1408="","",IFERROR(INDEX('Stock pièces'!$B$5:$B$404,MATCH(D1408,'Stock pièces'!$A$5:$A$404,0)),"Réf. inconnue"))</f>
        <v/>
      </c>
      <c r="F1408" s="67" t="n"/>
      <c r="G1408" s="81">
        <f>IF(D1408="","",IFERROR(INDEX('Stock pièces'!$I$5:$I$404,MATCH(D1408,'Stock pièces'!$A$5:$A$404,0)),0))</f>
        <v/>
      </c>
      <c r="H1408" s="81">
        <f>IF(D1408="","",N(F1408)*N(G1408))</f>
        <v/>
      </c>
      <c r="I1408" s="7" t="n"/>
      <c r="J1408" s="9">
        <f>IF(I1408="","",IFERROR(INDEX('Ordres de travail'!$D$5:$D$3004,MATCH(I1408,'Ordres de travail'!$A$5:$A$3004,0)),""))</f>
        <v/>
      </c>
      <c r="K1408" s="9">
        <f>IF(D1408="","",IFERROR(INDEX('Stock pièces'!$D$5:$D$404,MATCH(D1408,'Stock pièces'!$A$5:$A$404,0)),""))</f>
        <v/>
      </c>
      <c r="L1408" s="7" t="n"/>
      <c r="M1408" s="7" t="n"/>
    </row>
    <row r="1409">
      <c r="A1409" s="7" t="n"/>
      <c r="B1409" s="75" t="n"/>
      <c r="C1409" s="7" t="n"/>
      <c r="D1409" s="7" t="n"/>
      <c r="E1409" s="9">
        <f>IF(D1409="","",IFERROR(INDEX('Stock pièces'!$B$5:$B$404,MATCH(D1409,'Stock pièces'!$A$5:$A$404,0)),"Réf. inconnue"))</f>
        <v/>
      </c>
      <c r="F1409" s="67" t="n"/>
      <c r="G1409" s="81">
        <f>IF(D1409="","",IFERROR(INDEX('Stock pièces'!$I$5:$I$404,MATCH(D1409,'Stock pièces'!$A$5:$A$404,0)),0))</f>
        <v/>
      </c>
      <c r="H1409" s="81">
        <f>IF(D1409="","",N(F1409)*N(G1409))</f>
        <v/>
      </c>
      <c r="I1409" s="7" t="n"/>
      <c r="J1409" s="9">
        <f>IF(I1409="","",IFERROR(INDEX('Ordres de travail'!$D$5:$D$3004,MATCH(I1409,'Ordres de travail'!$A$5:$A$3004,0)),""))</f>
        <v/>
      </c>
      <c r="K1409" s="9">
        <f>IF(D1409="","",IFERROR(INDEX('Stock pièces'!$D$5:$D$404,MATCH(D1409,'Stock pièces'!$A$5:$A$404,0)),""))</f>
        <v/>
      </c>
      <c r="L1409" s="7" t="n"/>
      <c r="M1409" s="7" t="n"/>
    </row>
    <row r="1410">
      <c r="A1410" s="7" t="n"/>
      <c r="B1410" s="75" t="n"/>
      <c r="C1410" s="7" t="n"/>
      <c r="D1410" s="7" t="n"/>
      <c r="E1410" s="9">
        <f>IF(D1410="","",IFERROR(INDEX('Stock pièces'!$B$5:$B$404,MATCH(D1410,'Stock pièces'!$A$5:$A$404,0)),"Réf. inconnue"))</f>
        <v/>
      </c>
      <c r="F1410" s="67" t="n"/>
      <c r="G1410" s="81">
        <f>IF(D1410="","",IFERROR(INDEX('Stock pièces'!$I$5:$I$404,MATCH(D1410,'Stock pièces'!$A$5:$A$404,0)),0))</f>
        <v/>
      </c>
      <c r="H1410" s="81">
        <f>IF(D1410="","",N(F1410)*N(G1410))</f>
        <v/>
      </c>
      <c r="I1410" s="7" t="n"/>
      <c r="J1410" s="9">
        <f>IF(I1410="","",IFERROR(INDEX('Ordres de travail'!$D$5:$D$3004,MATCH(I1410,'Ordres de travail'!$A$5:$A$3004,0)),""))</f>
        <v/>
      </c>
      <c r="K1410" s="9">
        <f>IF(D1410="","",IFERROR(INDEX('Stock pièces'!$D$5:$D$404,MATCH(D1410,'Stock pièces'!$A$5:$A$404,0)),""))</f>
        <v/>
      </c>
      <c r="L1410" s="7" t="n"/>
      <c r="M1410" s="7" t="n"/>
    </row>
    <row r="1411">
      <c r="A1411" s="7" t="n"/>
      <c r="B1411" s="75" t="n"/>
      <c r="C1411" s="7" t="n"/>
      <c r="D1411" s="7" t="n"/>
      <c r="E1411" s="9">
        <f>IF(D1411="","",IFERROR(INDEX('Stock pièces'!$B$5:$B$404,MATCH(D1411,'Stock pièces'!$A$5:$A$404,0)),"Réf. inconnue"))</f>
        <v/>
      </c>
      <c r="F1411" s="67" t="n"/>
      <c r="G1411" s="81">
        <f>IF(D1411="","",IFERROR(INDEX('Stock pièces'!$I$5:$I$404,MATCH(D1411,'Stock pièces'!$A$5:$A$404,0)),0))</f>
        <v/>
      </c>
      <c r="H1411" s="81">
        <f>IF(D1411="","",N(F1411)*N(G1411))</f>
        <v/>
      </c>
      <c r="I1411" s="7" t="n"/>
      <c r="J1411" s="9">
        <f>IF(I1411="","",IFERROR(INDEX('Ordres de travail'!$D$5:$D$3004,MATCH(I1411,'Ordres de travail'!$A$5:$A$3004,0)),""))</f>
        <v/>
      </c>
      <c r="K1411" s="9">
        <f>IF(D1411="","",IFERROR(INDEX('Stock pièces'!$D$5:$D$404,MATCH(D1411,'Stock pièces'!$A$5:$A$404,0)),""))</f>
        <v/>
      </c>
      <c r="L1411" s="7" t="n"/>
      <c r="M1411" s="7" t="n"/>
    </row>
    <row r="1412">
      <c r="A1412" s="7" t="n"/>
      <c r="B1412" s="75" t="n"/>
      <c r="C1412" s="7" t="n"/>
      <c r="D1412" s="7" t="n"/>
      <c r="E1412" s="9">
        <f>IF(D1412="","",IFERROR(INDEX('Stock pièces'!$B$5:$B$404,MATCH(D1412,'Stock pièces'!$A$5:$A$404,0)),"Réf. inconnue"))</f>
        <v/>
      </c>
      <c r="F1412" s="67" t="n"/>
      <c r="G1412" s="81">
        <f>IF(D1412="","",IFERROR(INDEX('Stock pièces'!$I$5:$I$404,MATCH(D1412,'Stock pièces'!$A$5:$A$404,0)),0))</f>
        <v/>
      </c>
      <c r="H1412" s="81">
        <f>IF(D1412="","",N(F1412)*N(G1412))</f>
        <v/>
      </c>
      <c r="I1412" s="7" t="n"/>
      <c r="J1412" s="9">
        <f>IF(I1412="","",IFERROR(INDEX('Ordres de travail'!$D$5:$D$3004,MATCH(I1412,'Ordres de travail'!$A$5:$A$3004,0)),""))</f>
        <v/>
      </c>
      <c r="K1412" s="9">
        <f>IF(D1412="","",IFERROR(INDEX('Stock pièces'!$D$5:$D$404,MATCH(D1412,'Stock pièces'!$A$5:$A$404,0)),""))</f>
        <v/>
      </c>
      <c r="L1412" s="7" t="n"/>
      <c r="M1412" s="7" t="n"/>
    </row>
    <row r="1413">
      <c r="A1413" s="7" t="n"/>
      <c r="B1413" s="75" t="n"/>
      <c r="C1413" s="7" t="n"/>
      <c r="D1413" s="7" t="n"/>
      <c r="E1413" s="9">
        <f>IF(D1413="","",IFERROR(INDEX('Stock pièces'!$B$5:$B$404,MATCH(D1413,'Stock pièces'!$A$5:$A$404,0)),"Réf. inconnue"))</f>
        <v/>
      </c>
      <c r="F1413" s="67" t="n"/>
      <c r="G1413" s="81">
        <f>IF(D1413="","",IFERROR(INDEX('Stock pièces'!$I$5:$I$404,MATCH(D1413,'Stock pièces'!$A$5:$A$404,0)),0))</f>
        <v/>
      </c>
      <c r="H1413" s="81">
        <f>IF(D1413="","",N(F1413)*N(G1413))</f>
        <v/>
      </c>
      <c r="I1413" s="7" t="n"/>
      <c r="J1413" s="9">
        <f>IF(I1413="","",IFERROR(INDEX('Ordres de travail'!$D$5:$D$3004,MATCH(I1413,'Ordres de travail'!$A$5:$A$3004,0)),""))</f>
        <v/>
      </c>
      <c r="K1413" s="9">
        <f>IF(D1413="","",IFERROR(INDEX('Stock pièces'!$D$5:$D$404,MATCH(D1413,'Stock pièces'!$A$5:$A$404,0)),""))</f>
        <v/>
      </c>
      <c r="L1413" s="7" t="n"/>
      <c r="M1413" s="7" t="n"/>
    </row>
    <row r="1414">
      <c r="A1414" s="7" t="n"/>
      <c r="B1414" s="75" t="n"/>
      <c r="C1414" s="7" t="n"/>
      <c r="D1414" s="7" t="n"/>
      <c r="E1414" s="9">
        <f>IF(D1414="","",IFERROR(INDEX('Stock pièces'!$B$5:$B$404,MATCH(D1414,'Stock pièces'!$A$5:$A$404,0)),"Réf. inconnue"))</f>
        <v/>
      </c>
      <c r="F1414" s="67" t="n"/>
      <c r="G1414" s="81">
        <f>IF(D1414="","",IFERROR(INDEX('Stock pièces'!$I$5:$I$404,MATCH(D1414,'Stock pièces'!$A$5:$A$404,0)),0))</f>
        <v/>
      </c>
      <c r="H1414" s="81">
        <f>IF(D1414="","",N(F1414)*N(G1414))</f>
        <v/>
      </c>
      <c r="I1414" s="7" t="n"/>
      <c r="J1414" s="9">
        <f>IF(I1414="","",IFERROR(INDEX('Ordres de travail'!$D$5:$D$3004,MATCH(I1414,'Ordres de travail'!$A$5:$A$3004,0)),""))</f>
        <v/>
      </c>
      <c r="K1414" s="9">
        <f>IF(D1414="","",IFERROR(INDEX('Stock pièces'!$D$5:$D$404,MATCH(D1414,'Stock pièces'!$A$5:$A$404,0)),""))</f>
        <v/>
      </c>
      <c r="L1414" s="7" t="n"/>
      <c r="M1414" s="7" t="n"/>
    </row>
    <row r="1415">
      <c r="A1415" s="7" t="n"/>
      <c r="B1415" s="75" t="n"/>
      <c r="C1415" s="7" t="n"/>
      <c r="D1415" s="7" t="n"/>
      <c r="E1415" s="9">
        <f>IF(D1415="","",IFERROR(INDEX('Stock pièces'!$B$5:$B$404,MATCH(D1415,'Stock pièces'!$A$5:$A$404,0)),"Réf. inconnue"))</f>
        <v/>
      </c>
      <c r="F1415" s="67" t="n"/>
      <c r="G1415" s="81">
        <f>IF(D1415="","",IFERROR(INDEX('Stock pièces'!$I$5:$I$404,MATCH(D1415,'Stock pièces'!$A$5:$A$404,0)),0))</f>
        <v/>
      </c>
      <c r="H1415" s="81">
        <f>IF(D1415="","",N(F1415)*N(G1415))</f>
        <v/>
      </c>
      <c r="I1415" s="7" t="n"/>
      <c r="J1415" s="9">
        <f>IF(I1415="","",IFERROR(INDEX('Ordres de travail'!$D$5:$D$3004,MATCH(I1415,'Ordres de travail'!$A$5:$A$3004,0)),""))</f>
        <v/>
      </c>
      <c r="K1415" s="9">
        <f>IF(D1415="","",IFERROR(INDEX('Stock pièces'!$D$5:$D$404,MATCH(D1415,'Stock pièces'!$A$5:$A$404,0)),""))</f>
        <v/>
      </c>
      <c r="L1415" s="7" t="n"/>
      <c r="M1415" s="7" t="n"/>
    </row>
    <row r="1416">
      <c r="A1416" s="7" t="n"/>
      <c r="B1416" s="75" t="n"/>
      <c r="C1416" s="7" t="n"/>
      <c r="D1416" s="7" t="n"/>
      <c r="E1416" s="9">
        <f>IF(D1416="","",IFERROR(INDEX('Stock pièces'!$B$5:$B$404,MATCH(D1416,'Stock pièces'!$A$5:$A$404,0)),"Réf. inconnue"))</f>
        <v/>
      </c>
      <c r="F1416" s="67" t="n"/>
      <c r="G1416" s="81">
        <f>IF(D1416="","",IFERROR(INDEX('Stock pièces'!$I$5:$I$404,MATCH(D1416,'Stock pièces'!$A$5:$A$404,0)),0))</f>
        <v/>
      </c>
      <c r="H1416" s="81">
        <f>IF(D1416="","",N(F1416)*N(G1416))</f>
        <v/>
      </c>
      <c r="I1416" s="7" t="n"/>
      <c r="J1416" s="9">
        <f>IF(I1416="","",IFERROR(INDEX('Ordres de travail'!$D$5:$D$3004,MATCH(I1416,'Ordres de travail'!$A$5:$A$3004,0)),""))</f>
        <v/>
      </c>
      <c r="K1416" s="9">
        <f>IF(D1416="","",IFERROR(INDEX('Stock pièces'!$D$5:$D$404,MATCH(D1416,'Stock pièces'!$A$5:$A$404,0)),""))</f>
        <v/>
      </c>
      <c r="L1416" s="7" t="n"/>
      <c r="M1416" s="7" t="n"/>
    </row>
    <row r="1417">
      <c r="A1417" s="7" t="n"/>
      <c r="B1417" s="75" t="n"/>
      <c r="C1417" s="7" t="n"/>
      <c r="D1417" s="7" t="n"/>
      <c r="E1417" s="9">
        <f>IF(D1417="","",IFERROR(INDEX('Stock pièces'!$B$5:$B$404,MATCH(D1417,'Stock pièces'!$A$5:$A$404,0)),"Réf. inconnue"))</f>
        <v/>
      </c>
      <c r="F1417" s="67" t="n"/>
      <c r="G1417" s="81">
        <f>IF(D1417="","",IFERROR(INDEX('Stock pièces'!$I$5:$I$404,MATCH(D1417,'Stock pièces'!$A$5:$A$404,0)),0))</f>
        <v/>
      </c>
      <c r="H1417" s="81">
        <f>IF(D1417="","",N(F1417)*N(G1417))</f>
        <v/>
      </c>
      <c r="I1417" s="7" t="n"/>
      <c r="J1417" s="9">
        <f>IF(I1417="","",IFERROR(INDEX('Ordres de travail'!$D$5:$D$3004,MATCH(I1417,'Ordres de travail'!$A$5:$A$3004,0)),""))</f>
        <v/>
      </c>
      <c r="K1417" s="9">
        <f>IF(D1417="","",IFERROR(INDEX('Stock pièces'!$D$5:$D$404,MATCH(D1417,'Stock pièces'!$A$5:$A$404,0)),""))</f>
        <v/>
      </c>
      <c r="L1417" s="7" t="n"/>
      <c r="M1417" s="7" t="n"/>
    </row>
    <row r="1418">
      <c r="A1418" s="7" t="n"/>
      <c r="B1418" s="75" t="n"/>
      <c r="C1418" s="7" t="n"/>
      <c r="D1418" s="7" t="n"/>
      <c r="E1418" s="9">
        <f>IF(D1418="","",IFERROR(INDEX('Stock pièces'!$B$5:$B$404,MATCH(D1418,'Stock pièces'!$A$5:$A$404,0)),"Réf. inconnue"))</f>
        <v/>
      </c>
      <c r="F1418" s="67" t="n"/>
      <c r="G1418" s="81">
        <f>IF(D1418="","",IFERROR(INDEX('Stock pièces'!$I$5:$I$404,MATCH(D1418,'Stock pièces'!$A$5:$A$404,0)),0))</f>
        <v/>
      </c>
      <c r="H1418" s="81">
        <f>IF(D1418="","",N(F1418)*N(G1418))</f>
        <v/>
      </c>
      <c r="I1418" s="7" t="n"/>
      <c r="J1418" s="9">
        <f>IF(I1418="","",IFERROR(INDEX('Ordres de travail'!$D$5:$D$3004,MATCH(I1418,'Ordres de travail'!$A$5:$A$3004,0)),""))</f>
        <v/>
      </c>
      <c r="K1418" s="9">
        <f>IF(D1418="","",IFERROR(INDEX('Stock pièces'!$D$5:$D$404,MATCH(D1418,'Stock pièces'!$A$5:$A$404,0)),""))</f>
        <v/>
      </c>
      <c r="L1418" s="7" t="n"/>
      <c r="M1418" s="7" t="n"/>
    </row>
    <row r="1419">
      <c r="A1419" s="7" t="n"/>
      <c r="B1419" s="75" t="n"/>
      <c r="C1419" s="7" t="n"/>
      <c r="D1419" s="7" t="n"/>
      <c r="E1419" s="9">
        <f>IF(D1419="","",IFERROR(INDEX('Stock pièces'!$B$5:$B$404,MATCH(D1419,'Stock pièces'!$A$5:$A$404,0)),"Réf. inconnue"))</f>
        <v/>
      </c>
      <c r="F1419" s="67" t="n"/>
      <c r="G1419" s="81">
        <f>IF(D1419="","",IFERROR(INDEX('Stock pièces'!$I$5:$I$404,MATCH(D1419,'Stock pièces'!$A$5:$A$404,0)),0))</f>
        <v/>
      </c>
      <c r="H1419" s="81">
        <f>IF(D1419="","",N(F1419)*N(G1419))</f>
        <v/>
      </c>
      <c r="I1419" s="7" t="n"/>
      <c r="J1419" s="9">
        <f>IF(I1419="","",IFERROR(INDEX('Ordres de travail'!$D$5:$D$3004,MATCH(I1419,'Ordres de travail'!$A$5:$A$3004,0)),""))</f>
        <v/>
      </c>
      <c r="K1419" s="9">
        <f>IF(D1419="","",IFERROR(INDEX('Stock pièces'!$D$5:$D$404,MATCH(D1419,'Stock pièces'!$A$5:$A$404,0)),""))</f>
        <v/>
      </c>
      <c r="L1419" s="7" t="n"/>
      <c r="M1419" s="7" t="n"/>
    </row>
    <row r="1420">
      <c r="A1420" s="7" t="n"/>
      <c r="B1420" s="75" t="n"/>
      <c r="C1420" s="7" t="n"/>
      <c r="D1420" s="7" t="n"/>
      <c r="E1420" s="9">
        <f>IF(D1420="","",IFERROR(INDEX('Stock pièces'!$B$5:$B$404,MATCH(D1420,'Stock pièces'!$A$5:$A$404,0)),"Réf. inconnue"))</f>
        <v/>
      </c>
      <c r="F1420" s="67" t="n"/>
      <c r="G1420" s="81">
        <f>IF(D1420="","",IFERROR(INDEX('Stock pièces'!$I$5:$I$404,MATCH(D1420,'Stock pièces'!$A$5:$A$404,0)),0))</f>
        <v/>
      </c>
      <c r="H1420" s="81">
        <f>IF(D1420="","",N(F1420)*N(G1420))</f>
        <v/>
      </c>
      <c r="I1420" s="7" t="n"/>
      <c r="J1420" s="9">
        <f>IF(I1420="","",IFERROR(INDEX('Ordres de travail'!$D$5:$D$3004,MATCH(I1420,'Ordres de travail'!$A$5:$A$3004,0)),""))</f>
        <v/>
      </c>
      <c r="K1420" s="9">
        <f>IF(D1420="","",IFERROR(INDEX('Stock pièces'!$D$5:$D$404,MATCH(D1420,'Stock pièces'!$A$5:$A$404,0)),""))</f>
        <v/>
      </c>
      <c r="L1420" s="7" t="n"/>
      <c r="M1420" s="7" t="n"/>
    </row>
    <row r="1421">
      <c r="A1421" s="7" t="n"/>
      <c r="B1421" s="75" t="n"/>
      <c r="C1421" s="7" t="n"/>
      <c r="D1421" s="7" t="n"/>
      <c r="E1421" s="9">
        <f>IF(D1421="","",IFERROR(INDEX('Stock pièces'!$B$5:$B$404,MATCH(D1421,'Stock pièces'!$A$5:$A$404,0)),"Réf. inconnue"))</f>
        <v/>
      </c>
      <c r="F1421" s="67" t="n"/>
      <c r="G1421" s="81">
        <f>IF(D1421="","",IFERROR(INDEX('Stock pièces'!$I$5:$I$404,MATCH(D1421,'Stock pièces'!$A$5:$A$404,0)),0))</f>
        <v/>
      </c>
      <c r="H1421" s="81">
        <f>IF(D1421="","",N(F1421)*N(G1421))</f>
        <v/>
      </c>
      <c r="I1421" s="7" t="n"/>
      <c r="J1421" s="9">
        <f>IF(I1421="","",IFERROR(INDEX('Ordres de travail'!$D$5:$D$3004,MATCH(I1421,'Ordres de travail'!$A$5:$A$3004,0)),""))</f>
        <v/>
      </c>
      <c r="K1421" s="9">
        <f>IF(D1421="","",IFERROR(INDEX('Stock pièces'!$D$5:$D$404,MATCH(D1421,'Stock pièces'!$A$5:$A$404,0)),""))</f>
        <v/>
      </c>
      <c r="L1421" s="7" t="n"/>
      <c r="M1421" s="7" t="n"/>
    </row>
    <row r="1422">
      <c r="A1422" s="7" t="n"/>
      <c r="B1422" s="75" t="n"/>
      <c r="C1422" s="7" t="n"/>
      <c r="D1422" s="7" t="n"/>
      <c r="E1422" s="9">
        <f>IF(D1422="","",IFERROR(INDEX('Stock pièces'!$B$5:$B$404,MATCH(D1422,'Stock pièces'!$A$5:$A$404,0)),"Réf. inconnue"))</f>
        <v/>
      </c>
      <c r="F1422" s="67" t="n"/>
      <c r="G1422" s="81">
        <f>IF(D1422="","",IFERROR(INDEX('Stock pièces'!$I$5:$I$404,MATCH(D1422,'Stock pièces'!$A$5:$A$404,0)),0))</f>
        <v/>
      </c>
      <c r="H1422" s="81">
        <f>IF(D1422="","",N(F1422)*N(G1422))</f>
        <v/>
      </c>
      <c r="I1422" s="7" t="n"/>
      <c r="J1422" s="9">
        <f>IF(I1422="","",IFERROR(INDEX('Ordres de travail'!$D$5:$D$3004,MATCH(I1422,'Ordres de travail'!$A$5:$A$3004,0)),""))</f>
        <v/>
      </c>
      <c r="K1422" s="9">
        <f>IF(D1422="","",IFERROR(INDEX('Stock pièces'!$D$5:$D$404,MATCH(D1422,'Stock pièces'!$A$5:$A$404,0)),""))</f>
        <v/>
      </c>
      <c r="L1422" s="7" t="n"/>
      <c r="M1422" s="7" t="n"/>
    </row>
    <row r="1423">
      <c r="A1423" s="7" t="n"/>
      <c r="B1423" s="75" t="n"/>
      <c r="C1423" s="7" t="n"/>
      <c r="D1423" s="7" t="n"/>
      <c r="E1423" s="9">
        <f>IF(D1423="","",IFERROR(INDEX('Stock pièces'!$B$5:$B$404,MATCH(D1423,'Stock pièces'!$A$5:$A$404,0)),"Réf. inconnue"))</f>
        <v/>
      </c>
      <c r="F1423" s="67" t="n"/>
      <c r="G1423" s="81">
        <f>IF(D1423="","",IFERROR(INDEX('Stock pièces'!$I$5:$I$404,MATCH(D1423,'Stock pièces'!$A$5:$A$404,0)),0))</f>
        <v/>
      </c>
      <c r="H1423" s="81">
        <f>IF(D1423="","",N(F1423)*N(G1423))</f>
        <v/>
      </c>
      <c r="I1423" s="7" t="n"/>
      <c r="J1423" s="9">
        <f>IF(I1423="","",IFERROR(INDEX('Ordres de travail'!$D$5:$D$3004,MATCH(I1423,'Ordres de travail'!$A$5:$A$3004,0)),""))</f>
        <v/>
      </c>
      <c r="K1423" s="9">
        <f>IF(D1423="","",IFERROR(INDEX('Stock pièces'!$D$5:$D$404,MATCH(D1423,'Stock pièces'!$A$5:$A$404,0)),""))</f>
        <v/>
      </c>
      <c r="L1423" s="7" t="n"/>
      <c r="M1423" s="7" t="n"/>
    </row>
    <row r="1424">
      <c r="A1424" s="7" t="n"/>
      <c r="B1424" s="75" t="n"/>
      <c r="C1424" s="7" t="n"/>
      <c r="D1424" s="7" t="n"/>
      <c r="E1424" s="9">
        <f>IF(D1424="","",IFERROR(INDEX('Stock pièces'!$B$5:$B$404,MATCH(D1424,'Stock pièces'!$A$5:$A$404,0)),"Réf. inconnue"))</f>
        <v/>
      </c>
      <c r="F1424" s="67" t="n"/>
      <c r="G1424" s="81">
        <f>IF(D1424="","",IFERROR(INDEX('Stock pièces'!$I$5:$I$404,MATCH(D1424,'Stock pièces'!$A$5:$A$404,0)),0))</f>
        <v/>
      </c>
      <c r="H1424" s="81">
        <f>IF(D1424="","",N(F1424)*N(G1424))</f>
        <v/>
      </c>
      <c r="I1424" s="7" t="n"/>
      <c r="J1424" s="9">
        <f>IF(I1424="","",IFERROR(INDEX('Ordres de travail'!$D$5:$D$3004,MATCH(I1424,'Ordres de travail'!$A$5:$A$3004,0)),""))</f>
        <v/>
      </c>
      <c r="K1424" s="9">
        <f>IF(D1424="","",IFERROR(INDEX('Stock pièces'!$D$5:$D$404,MATCH(D1424,'Stock pièces'!$A$5:$A$404,0)),""))</f>
        <v/>
      </c>
      <c r="L1424" s="7" t="n"/>
      <c r="M1424" s="7" t="n"/>
    </row>
    <row r="1425">
      <c r="A1425" s="7" t="n"/>
      <c r="B1425" s="75" t="n"/>
      <c r="C1425" s="7" t="n"/>
      <c r="D1425" s="7" t="n"/>
      <c r="E1425" s="9">
        <f>IF(D1425="","",IFERROR(INDEX('Stock pièces'!$B$5:$B$404,MATCH(D1425,'Stock pièces'!$A$5:$A$404,0)),"Réf. inconnue"))</f>
        <v/>
      </c>
      <c r="F1425" s="67" t="n"/>
      <c r="G1425" s="81">
        <f>IF(D1425="","",IFERROR(INDEX('Stock pièces'!$I$5:$I$404,MATCH(D1425,'Stock pièces'!$A$5:$A$404,0)),0))</f>
        <v/>
      </c>
      <c r="H1425" s="81">
        <f>IF(D1425="","",N(F1425)*N(G1425))</f>
        <v/>
      </c>
      <c r="I1425" s="7" t="n"/>
      <c r="J1425" s="9">
        <f>IF(I1425="","",IFERROR(INDEX('Ordres de travail'!$D$5:$D$3004,MATCH(I1425,'Ordres de travail'!$A$5:$A$3004,0)),""))</f>
        <v/>
      </c>
      <c r="K1425" s="9">
        <f>IF(D1425="","",IFERROR(INDEX('Stock pièces'!$D$5:$D$404,MATCH(D1425,'Stock pièces'!$A$5:$A$404,0)),""))</f>
        <v/>
      </c>
      <c r="L1425" s="7" t="n"/>
      <c r="M1425" s="7" t="n"/>
    </row>
    <row r="1426">
      <c r="A1426" s="7" t="n"/>
      <c r="B1426" s="75" t="n"/>
      <c r="C1426" s="7" t="n"/>
      <c r="D1426" s="7" t="n"/>
      <c r="E1426" s="9">
        <f>IF(D1426="","",IFERROR(INDEX('Stock pièces'!$B$5:$B$404,MATCH(D1426,'Stock pièces'!$A$5:$A$404,0)),"Réf. inconnue"))</f>
        <v/>
      </c>
      <c r="F1426" s="67" t="n"/>
      <c r="G1426" s="81">
        <f>IF(D1426="","",IFERROR(INDEX('Stock pièces'!$I$5:$I$404,MATCH(D1426,'Stock pièces'!$A$5:$A$404,0)),0))</f>
        <v/>
      </c>
      <c r="H1426" s="81">
        <f>IF(D1426="","",N(F1426)*N(G1426))</f>
        <v/>
      </c>
      <c r="I1426" s="7" t="n"/>
      <c r="J1426" s="9">
        <f>IF(I1426="","",IFERROR(INDEX('Ordres de travail'!$D$5:$D$3004,MATCH(I1426,'Ordres de travail'!$A$5:$A$3004,0)),""))</f>
        <v/>
      </c>
      <c r="K1426" s="9">
        <f>IF(D1426="","",IFERROR(INDEX('Stock pièces'!$D$5:$D$404,MATCH(D1426,'Stock pièces'!$A$5:$A$404,0)),""))</f>
        <v/>
      </c>
      <c r="L1426" s="7" t="n"/>
      <c r="M1426" s="7" t="n"/>
    </row>
    <row r="1427">
      <c r="A1427" s="7" t="n"/>
      <c r="B1427" s="75" t="n"/>
      <c r="C1427" s="7" t="n"/>
      <c r="D1427" s="7" t="n"/>
      <c r="E1427" s="9">
        <f>IF(D1427="","",IFERROR(INDEX('Stock pièces'!$B$5:$B$404,MATCH(D1427,'Stock pièces'!$A$5:$A$404,0)),"Réf. inconnue"))</f>
        <v/>
      </c>
      <c r="F1427" s="67" t="n"/>
      <c r="G1427" s="81">
        <f>IF(D1427="","",IFERROR(INDEX('Stock pièces'!$I$5:$I$404,MATCH(D1427,'Stock pièces'!$A$5:$A$404,0)),0))</f>
        <v/>
      </c>
      <c r="H1427" s="81">
        <f>IF(D1427="","",N(F1427)*N(G1427))</f>
        <v/>
      </c>
      <c r="I1427" s="7" t="n"/>
      <c r="J1427" s="9">
        <f>IF(I1427="","",IFERROR(INDEX('Ordres de travail'!$D$5:$D$3004,MATCH(I1427,'Ordres de travail'!$A$5:$A$3004,0)),""))</f>
        <v/>
      </c>
      <c r="K1427" s="9">
        <f>IF(D1427="","",IFERROR(INDEX('Stock pièces'!$D$5:$D$404,MATCH(D1427,'Stock pièces'!$A$5:$A$404,0)),""))</f>
        <v/>
      </c>
      <c r="L1427" s="7" t="n"/>
      <c r="M1427" s="7" t="n"/>
    </row>
    <row r="1428">
      <c r="A1428" s="7" t="n"/>
      <c r="B1428" s="75" t="n"/>
      <c r="C1428" s="7" t="n"/>
      <c r="D1428" s="7" t="n"/>
      <c r="E1428" s="9">
        <f>IF(D1428="","",IFERROR(INDEX('Stock pièces'!$B$5:$B$404,MATCH(D1428,'Stock pièces'!$A$5:$A$404,0)),"Réf. inconnue"))</f>
        <v/>
      </c>
      <c r="F1428" s="67" t="n"/>
      <c r="G1428" s="81">
        <f>IF(D1428="","",IFERROR(INDEX('Stock pièces'!$I$5:$I$404,MATCH(D1428,'Stock pièces'!$A$5:$A$404,0)),0))</f>
        <v/>
      </c>
      <c r="H1428" s="81">
        <f>IF(D1428="","",N(F1428)*N(G1428))</f>
        <v/>
      </c>
      <c r="I1428" s="7" t="n"/>
      <c r="J1428" s="9">
        <f>IF(I1428="","",IFERROR(INDEX('Ordres de travail'!$D$5:$D$3004,MATCH(I1428,'Ordres de travail'!$A$5:$A$3004,0)),""))</f>
        <v/>
      </c>
      <c r="K1428" s="9">
        <f>IF(D1428="","",IFERROR(INDEX('Stock pièces'!$D$5:$D$404,MATCH(D1428,'Stock pièces'!$A$5:$A$404,0)),""))</f>
        <v/>
      </c>
      <c r="L1428" s="7" t="n"/>
      <c r="M1428" s="7" t="n"/>
    </row>
    <row r="1429">
      <c r="A1429" s="7" t="n"/>
      <c r="B1429" s="75" t="n"/>
      <c r="C1429" s="7" t="n"/>
      <c r="D1429" s="7" t="n"/>
      <c r="E1429" s="9">
        <f>IF(D1429="","",IFERROR(INDEX('Stock pièces'!$B$5:$B$404,MATCH(D1429,'Stock pièces'!$A$5:$A$404,0)),"Réf. inconnue"))</f>
        <v/>
      </c>
      <c r="F1429" s="67" t="n"/>
      <c r="G1429" s="81">
        <f>IF(D1429="","",IFERROR(INDEX('Stock pièces'!$I$5:$I$404,MATCH(D1429,'Stock pièces'!$A$5:$A$404,0)),0))</f>
        <v/>
      </c>
      <c r="H1429" s="81">
        <f>IF(D1429="","",N(F1429)*N(G1429))</f>
        <v/>
      </c>
      <c r="I1429" s="7" t="n"/>
      <c r="J1429" s="9">
        <f>IF(I1429="","",IFERROR(INDEX('Ordres de travail'!$D$5:$D$3004,MATCH(I1429,'Ordres de travail'!$A$5:$A$3004,0)),""))</f>
        <v/>
      </c>
      <c r="K1429" s="9">
        <f>IF(D1429="","",IFERROR(INDEX('Stock pièces'!$D$5:$D$404,MATCH(D1429,'Stock pièces'!$A$5:$A$404,0)),""))</f>
        <v/>
      </c>
      <c r="L1429" s="7" t="n"/>
      <c r="M1429" s="7" t="n"/>
    </row>
    <row r="1430">
      <c r="A1430" s="7" t="n"/>
      <c r="B1430" s="75" t="n"/>
      <c r="C1430" s="7" t="n"/>
      <c r="D1430" s="7" t="n"/>
      <c r="E1430" s="9">
        <f>IF(D1430="","",IFERROR(INDEX('Stock pièces'!$B$5:$B$404,MATCH(D1430,'Stock pièces'!$A$5:$A$404,0)),"Réf. inconnue"))</f>
        <v/>
      </c>
      <c r="F1430" s="67" t="n"/>
      <c r="G1430" s="81">
        <f>IF(D1430="","",IFERROR(INDEX('Stock pièces'!$I$5:$I$404,MATCH(D1430,'Stock pièces'!$A$5:$A$404,0)),0))</f>
        <v/>
      </c>
      <c r="H1430" s="81">
        <f>IF(D1430="","",N(F1430)*N(G1430))</f>
        <v/>
      </c>
      <c r="I1430" s="7" t="n"/>
      <c r="J1430" s="9">
        <f>IF(I1430="","",IFERROR(INDEX('Ordres de travail'!$D$5:$D$3004,MATCH(I1430,'Ordres de travail'!$A$5:$A$3004,0)),""))</f>
        <v/>
      </c>
      <c r="K1430" s="9">
        <f>IF(D1430="","",IFERROR(INDEX('Stock pièces'!$D$5:$D$404,MATCH(D1430,'Stock pièces'!$A$5:$A$404,0)),""))</f>
        <v/>
      </c>
      <c r="L1430" s="7" t="n"/>
      <c r="M1430" s="7" t="n"/>
    </row>
    <row r="1431">
      <c r="A1431" s="7" t="n"/>
      <c r="B1431" s="75" t="n"/>
      <c r="C1431" s="7" t="n"/>
      <c r="D1431" s="7" t="n"/>
      <c r="E1431" s="9">
        <f>IF(D1431="","",IFERROR(INDEX('Stock pièces'!$B$5:$B$404,MATCH(D1431,'Stock pièces'!$A$5:$A$404,0)),"Réf. inconnue"))</f>
        <v/>
      </c>
      <c r="F1431" s="67" t="n"/>
      <c r="G1431" s="81">
        <f>IF(D1431="","",IFERROR(INDEX('Stock pièces'!$I$5:$I$404,MATCH(D1431,'Stock pièces'!$A$5:$A$404,0)),0))</f>
        <v/>
      </c>
      <c r="H1431" s="81">
        <f>IF(D1431="","",N(F1431)*N(G1431))</f>
        <v/>
      </c>
      <c r="I1431" s="7" t="n"/>
      <c r="J1431" s="9">
        <f>IF(I1431="","",IFERROR(INDEX('Ordres de travail'!$D$5:$D$3004,MATCH(I1431,'Ordres de travail'!$A$5:$A$3004,0)),""))</f>
        <v/>
      </c>
      <c r="K1431" s="9">
        <f>IF(D1431="","",IFERROR(INDEX('Stock pièces'!$D$5:$D$404,MATCH(D1431,'Stock pièces'!$A$5:$A$404,0)),""))</f>
        <v/>
      </c>
      <c r="L1431" s="7" t="n"/>
      <c r="M1431" s="7" t="n"/>
    </row>
    <row r="1432">
      <c r="A1432" s="7" t="n"/>
      <c r="B1432" s="75" t="n"/>
      <c r="C1432" s="7" t="n"/>
      <c r="D1432" s="7" t="n"/>
      <c r="E1432" s="9">
        <f>IF(D1432="","",IFERROR(INDEX('Stock pièces'!$B$5:$B$404,MATCH(D1432,'Stock pièces'!$A$5:$A$404,0)),"Réf. inconnue"))</f>
        <v/>
      </c>
      <c r="F1432" s="67" t="n"/>
      <c r="G1432" s="81">
        <f>IF(D1432="","",IFERROR(INDEX('Stock pièces'!$I$5:$I$404,MATCH(D1432,'Stock pièces'!$A$5:$A$404,0)),0))</f>
        <v/>
      </c>
      <c r="H1432" s="81">
        <f>IF(D1432="","",N(F1432)*N(G1432))</f>
        <v/>
      </c>
      <c r="I1432" s="7" t="n"/>
      <c r="J1432" s="9">
        <f>IF(I1432="","",IFERROR(INDEX('Ordres de travail'!$D$5:$D$3004,MATCH(I1432,'Ordres de travail'!$A$5:$A$3004,0)),""))</f>
        <v/>
      </c>
      <c r="K1432" s="9">
        <f>IF(D1432="","",IFERROR(INDEX('Stock pièces'!$D$5:$D$404,MATCH(D1432,'Stock pièces'!$A$5:$A$404,0)),""))</f>
        <v/>
      </c>
      <c r="L1432" s="7" t="n"/>
      <c r="M1432" s="7" t="n"/>
    </row>
    <row r="1433">
      <c r="A1433" s="7" t="n"/>
      <c r="B1433" s="75" t="n"/>
      <c r="C1433" s="7" t="n"/>
      <c r="D1433" s="7" t="n"/>
      <c r="E1433" s="9">
        <f>IF(D1433="","",IFERROR(INDEX('Stock pièces'!$B$5:$B$404,MATCH(D1433,'Stock pièces'!$A$5:$A$404,0)),"Réf. inconnue"))</f>
        <v/>
      </c>
      <c r="F1433" s="67" t="n"/>
      <c r="G1433" s="81">
        <f>IF(D1433="","",IFERROR(INDEX('Stock pièces'!$I$5:$I$404,MATCH(D1433,'Stock pièces'!$A$5:$A$404,0)),0))</f>
        <v/>
      </c>
      <c r="H1433" s="81">
        <f>IF(D1433="","",N(F1433)*N(G1433))</f>
        <v/>
      </c>
      <c r="I1433" s="7" t="n"/>
      <c r="J1433" s="9">
        <f>IF(I1433="","",IFERROR(INDEX('Ordres de travail'!$D$5:$D$3004,MATCH(I1433,'Ordres de travail'!$A$5:$A$3004,0)),""))</f>
        <v/>
      </c>
      <c r="K1433" s="9">
        <f>IF(D1433="","",IFERROR(INDEX('Stock pièces'!$D$5:$D$404,MATCH(D1433,'Stock pièces'!$A$5:$A$404,0)),""))</f>
        <v/>
      </c>
      <c r="L1433" s="7" t="n"/>
      <c r="M1433" s="7" t="n"/>
    </row>
    <row r="1434">
      <c r="A1434" s="7" t="n"/>
      <c r="B1434" s="75" t="n"/>
      <c r="C1434" s="7" t="n"/>
      <c r="D1434" s="7" t="n"/>
      <c r="E1434" s="9">
        <f>IF(D1434="","",IFERROR(INDEX('Stock pièces'!$B$5:$B$404,MATCH(D1434,'Stock pièces'!$A$5:$A$404,0)),"Réf. inconnue"))</f>
        <v/>
      </c>
      <c r="F1434" s="67" t="n"/>
      <c r="G1434" s="81">
        <f>IF(D1434="","",IFERROR(INDEX('Stock pièces'!$I$5:$I$404,MATCH(D1434,'Stock pièces'!$A$5:$A$404,0)),0))</f>
        <v/>
      </c>
      <c r="H1434" s="81">
        <f>IF(D1434="","",N(F1434)*N(G1434))</f>
        <v/>
      </c>
      <c r="I1434" s="7" t="n"/>
      <c r="J1434" s="9">
        <f>IF(I1434="","",IFERROR(INDEX('Ordres de travail'!$D$5:$D$3004,MATCH(I1434,'Ordres de travail'!$A$5:$A$3004,0)),""))</f>
        <v/>
      </c>
      <c r="K1434" s="9">
        <f>IF(D1434="","",IFERROR(INDEX('Stock pièces'!$D$5:$D$404,MATCH(D1434,'Stock pièces'!$A$5:$A$404,0)),""))</f>
        <v/>
      </c>
      <c r="L1434" s="7" t="n"/>
      <c r="M1434" s="7" t="n"/>
    </row>
    <row r="1435">
      <c r="A1435" s="7" t="n"/>
      <c r="B1435" s="75" t="n"/>
      <c r="C1435" s="7" t="n"/>
      <c r="D1435" s="7" t="n"/>
      <c r="E1435" s="9">
        <f>IF(D1435="","",IFERROR(INDEX('Stock pièces'!$B$5:$B$404,MATCH(D1435,'Stock pièces'!$A$5:$A$404,0)),"Réf. inconnue"))</f>
        <v/>
      </c>
      <c r="F1435" s="67" t="n"/>
      <c r="G1435" s="81">
        <f>IF(D1435="","",IFERROR(INDEX('Stock pièces'!$I$5:$I$404,MATCH(D1435,'Stock pièces'!$A$5:$A$404,0)),0))</f>
        <v/>
      </c>
      <c r="H1435" s="81">
        <f>IF(D1435="","",N(F1435)*N(G1435))</f>
        <v/>
      </c>
      <c r="I1435" s="7" t="n"/>
      <c r="J1435" s="9">
        <f>IF(I1435="","",IFERROR(INDEX('Ordres de travail'!$D$5:$D$3004,MATCH(I1435,'Ordres de travail'!$A$5:$A$3004,0)),""))</f>
        <v/>
      </c>
      <c r="K1435" s="9">
        <f>IF(D1435="","",IFERROR(INDEX('Stock pièces'!$D$5:$D$404,MATCH(D1435,'Stock pièces'!$A$5:$A$404,0)),""))</f>
        <v/>
      </c>
      <c r="L1435" s="7" t="n"/>
      <c r="M1435" s="7" t="n"/>
    </row>
    <row r="1436">
      <c r="A1436" s="7" t="n"/>
      <c r="B1436" s="75" t="n"/>
      <c r="C1436" s="7" t="n"/>
      <c r="D1436" s="7" t="n"/>
      <c r="E1436" s="9">
        <f>IF(D1436="","",IFERROR(INDEX('Stock pièces'!$B$5:$B$404,MATCH(D1436,'Stock pièces'!$A$5:$A$404,0)),"Réf. inconnue"))</f>
        <v/>
      </c>
      <c r="F1436" s="67" t="n"/>
      <c r="G1436" s="81">
        <f>IF(D1436="","",IFERROR(INDEX('Stock pièces'!$I$5:$I$404,MATCH(D1436,'Stock pièces'!$A$5:$A$404,0)),0))</f>
        <v/>
      </c>
      <c r="H1436" s="81">
        <f>IF(D1436="","",N(F1436)*N(G1436))</f>
        <v/>
      </c>
      <c r="I1436" s="7" t="n"/>
      <c r="J1436" s="9">
        <f>IF(I1436="","",IFERROR(INDEX('Ordres de travail'!$D$5:$D$3004,MATCH(I1436,'Ordres de travail'!$A$5:$A$3004,0)),""))</f>
        <v/>
      </c>
      <c r="K1436" s="9">
        <f>IF(D1436="","",IFERROR(INDEX('Stock pièces'!$D$5:$D$404,MATCH(D1436,'Stock pièces'!$A$5:$A$404,0)),""))</f>
        <v/>
      </c>
      <c r="L1436" s="7" t="n"/>
      <c r="M1436" s="7" t="n"/>
    </row>
    <row r="1437">
      <c r="A1437" s="7" t="n"/>
      <c r="B1437" s="75" t="n"/>
      <c r="C1437" s="7" t="n"/>
      <c r="D1437" s="7" t="n"/>
      <c r="E1437" s="9">
        <f>IF(D1437="","",IFERROR(INDEX('Stock pièces'!$B$5:$B$404,MATCH(D1437,'Stock pièces'!$A$5:$A$404,0)),"Réf. inconnue"))</f>
        <v/>
      </c>
      <c r="F1437" s="67" t="n"/>
      <c r="G1437" s="81">
        <f>IF(D1437="","",IFERROR(INDEX('Stock pièces'!$I$5:$I$404,MATCH(D1437,'Stock pièces'!$A$5:$A$404,0)),0))</f>
        <v/>
      </c>
      <c r="H1437" s="81">
        <f>IF(D1437="","",N(F1437)*N(G1437))</f>
        <v/>
      </c>
      <c r="I1437" s="7" t="n"/>
      <c r="J1437" s="9">
        <f>IF(I1437="","",IFERROR(INDEX('Ordres de travail'!$D$5:$D$3004,MATCH(I1437,'Ordres de travail'!$A$5:$A$3004,0)),""))</f>
        <v/>
      </c>
      <c r="K1437" s="9">
        <f>IF(D1437="","",IFERROR(INDEX('Stock pièces'!$D$5:$D$404,MATCH(D1437,'Stock pièces'!$A$5:$A$404,0)),""))</f>
        <v/>
      </c>
      <c r="L1437" s="7" t="n"/>
      <c r="M1437" s="7" t="n"/>
    </row>
    <row r="1438">
      <c r="A1438" s="7" t="n"/>
      <c r="B1438" s="75" t="n"/>
      <c r="C1438" s="7" t="n"/>
      <c r="D1438" s="7" t="n"/>
      <c r="E1438" s="9">
        <f>IF(D1438="","",IFERROR(INDEX('Stock pièces'!$B$5:$B$404,MATCH(D1438,'Stock pièces'!$A$5:$A$404,0)),"Réf. inconnue"))</f>
        <v/>
      </c>
      <c r="F1438" s="67" t="n"/>
      <c r="G1438" s="81">
        <f>IF(D1438="","",IFERROR(INDEX('Stock pièces'!$I$5:$I$404,MATCH(D1438,'Stock pièces'!$A$5:$A$404,0)),0))</f>
        <v/>
      </c>
      <c r="H1438" s="81">
        <f>IF(D1438="","",N(F1438)*N(G1438))</f>
        <v/>
      </c>
      <c r="I1438" s="7" t="n"/>
      <c r="J1438" s="9">
        <f>IF(I1438="","",IFERROR(INDEX('Ordres de travail'!$D$5:$D$3004,MATCH(I1438,'Ordres de travail'!$A$5:$A$3004,0)),""))</f>
        <v/>
      </c>
      <c r="K1438" s="9">
        <f>IF(D1438="","",IFERROR(INDEX('Stock pièces'!$D$5:$D$404,MATCH(D1438,'Stock pièces'!$A$5:$A$404,0)),""))</f>
        <v/>
      </c>
      <c r="L1438" s="7" t="n"/>
      <c r="M1438" s="7" t="n"/>
    </row>
    <row r="1439">
      <c r="A1439" s="7" t="n"/>
      <c r="B1439" s="75" t="n"/>
      <c r="C1439" s="7" t="n"/>
      <c r="D1439" s="7" t="n"/>
      <c r="E1439" s="9">
        <f>IF(D1439="","",IFERROR(INDEX('Stock pièces'!$B$5:$B$404,MATCH(D1439,'Stock pièces'!$A$5:$A$404,0)),"Réf. inconnue"))</f>
        <v/>
      </c>
      <c r="F1439" s="67" t="n"/>
      <c r="G1439" s="81">
        <f>IF(D1439="","",IFERROR(INDEX('Stock pièces'!$I$5:$I$404,MATCH(D1439,'Stock pièces'!$A$5:$A$404,0)),0))</f>
        <v/>
      </c>
      <c r="H1439" s="81">
        <f>IF(D1439="","",N(F1439)*N(G1439))</f>
        <v/>
      </c>
      <c r="I1439" s="7" t="n"/>
      <c r="J1439" s="9">
        <f>IF(I1439="","",IFERROR(INDEX('Ordres de travail'!$D$5:$D$3004,MATCH(I1439,'Ordres de travail'!$A$5:$A$3004,0)),""))</f>
        <v/>
      </c>
      <c r="K1439" s="9">
        <f>IF(D1439="","",IFERROR(INDEX('Stock pièces'!$D$5:$D$404,MATCH(D1439,'Stock pièces'!$A$5:$A$404,0)),""))</f>
        <v/>
      </c>
      <c r="L1439" s="7" t="n"/>
      <c r="M1439" s="7" t="n"/>
    </row>
    <row r="1440">
      <c r="A1440" s="7" t="n"/>
      <c r="B1440" s="75" t="n"/>
      <c r="C1440" s="7" t="n"/>
      <c r="D1440" s="7" t="n"/>
      <c r="E1440" s="9">
        <f>IF(D1440="","",IFERROR(INDEX('Stock pièces'!$B$5:$B$404,MATCH(D1440,'Stock pièces'!$A$5:$A$404,0)),"Réf. inconnue"))</f>
        <v/>
      </c>
      <c r="F1440" s="67" t="n"/>
      <c r="G1440" s="81">
        <f>IF(D1440="","",IFERROR(INDEX('Stock pièces'!$I$5:$I$404,MATCH(D1440,'Stock pièces'!$A$5:$A$404,0)),0))</f>
        <v/>
      </c>
      <c r="H1440" s="81">
        <f>IF(D1440="","",N(F1440)*N(G1440))</f>
        <v/>
      </c>
      <c r="I1440" s="7" t="n"/>
      <c r="J1440" s="9">
        <f>IF(I1440="","",IFERROR(INDEX('Ordres de travail'!$D$5:$D$3004,MATCH(I1440,'Ordres de travail'!$A$5:$A$3004,0)),""))</f>
        <v/>
      </c>
      <c r="K1440" s="9">
        <f>IF(D1440="","",IFERROR(INDEX('Stock pièces'!$D$5:$D$404,MATCH(D1440,'Stock pièces'!$A$5:$A$404,0)),""))</f>
        <v/>
      </c>
      <c r="L1440" s="7" t="n"/>
      <c r="M1440" s="7" t="n"/>
    </row>
    <row r="1441">
      <c r="A1441" s="7" t="n"/>
      <c r="B1441" s="75" t="n"/>
      <c r="C1441" s="7" t="n"/>
      <c r="D1441" s="7" t="n"/>
      <c r="E1441" s="9">
        <f>IF(D1441="","",IFERROR(INDEX('Stock pièces'!$B$5:$B$404,MATCH(D1441,'Stock pièces'!$A$5:$A$404,0)),"Réf. inconnue"))</f>
        <v/>
      </c>
      <c r="F1441" s="67" t="n"/>
      <c r="G1441" s="81">
        <f>IF(D1441="","",IFERROR(INDEX('Stock pièces'!$I$5:$I$404,MATCH(D1441,'Stock pièces'!$A$5:$A$404,0)),0))</f>
        <v/>
      </c>
      <c r="H1441" s="81">
        <f>IF(D1441="","",N(F1441)*N(G1441))</f>
        <v/>
      </c>
      <c r="I1441" s="7" t="n"/>
      <c r="J1441" s="9">
        <f>IF(I1441="","",IFERROR(INDEX('Ordres de travail'!$D$5:$D$3004,MATCH(I1441,'Ordres de travail'!$A$5:$A$3004,0)),""))</f>
        <v/>
      </c>
      <c r="K1441" s="9">
        <f>IF(D1441="","",IFERROR(INDEX('Stock pièces'!$D$5:$D$404,MATCH(D1441,'Stock pièces'!$A$5:$A$404,0)),""))</f>
        <v/>
      </c>
      <c r="L1441" s="7" t="n"/>
      <c r="M1441" s="7" t="n"/>
    </row>
    <row r="1442">
      <c r="A1442" s="7" t="n"/>
      <c r="B1442" s="75" t="n"/>
      <c r="C1442" s="7" t="n"/>
      <c r="D1442" s="7" t="n"/>
      <c r="E1442" s="9">
        <f>IF(D1442="","",IFERROR(INDEX('Stock pièces'!$B$5:$B$404,MATCH(D1442,'Stock pièces'!$A$5:$A$404,0)),"Réf. inconnue"))</f>
        <v/>
      </c>
      <c r="F1442" s="67" t="n"/>
      <c r="G1442" s="81">
        <f>IF(D1442="","",IFERROR(INDEX('Stock pièces'!$I$5:$I$404,MATCH(D1442,'Stock pièces'!$A$5:$A$404,0)),0))</f>
        <v/>
      </c>
      <c r="H1442" s="81">
        <f>IF(D1442="","",N(F1442)*N(G1442))</f>
        <v/>
      </c>
      <c r="I1442" s="7" t="n"/>
      <c r="J1442" s="9">
        <f>IF(I1442="","",IFERROR(INDEX('Ordres de travail'!$D$5:$D$3004,MATCH(I1442,'Ordres de travail'!$A$5:$A$3004,0)),""))</f>
        <v/>
      </c>
      <c r="K1442" s="9">
        <f>IF(D1442="","",IFERROR(INDEX('Stock pièces'!$D$5:$D$404,MATCH(D1442,'Stock pièces'!$A$5:$A$404,0)),""))</f>
        <v/>
      </c>
      <c r="L1442" s="7" t="n"/>
      <c r="M1442" s="7" t="n"/>
    </row>
    <row r="1443">
      <c r="A1443" s="7" t="n"/>
      <c r="B1443" s="75" t="n"/>
      <c r="C1443" s="7" t="n"/>
      <c r="D1443" s="7" t="n"/>
      <c r="E1443" s="9">
        <f>IF(D1443="","",IFERROR(INDEX('Stock pièces'!$B$5:$B$404,MATCH(D1443,'Stock pièces'!$A$5:$A$404,0)),"Réf. inconnue"))</f>
        <v/>
      </c>
      <c r="F1443" s="67" t="n"/>
      <c r="G1443" s="81">
        <f>IF(D1443="","",IFERROR(INDEX('Stock pièces'!$I$5:$I$404,MATCH(D1443,'Stock pièces'!$A$5:$A$404,0)),0))</f>
        <v/>
      </c>
      <c r="H1443" s="81">
        <f>IF(D1443="","",N(F1443)*N(G1443))</f>
        <v/>
      </c>
      <c r="I1443" s="7" t="n"/>
      <c r="J1443" s="9">
        <f>IF(I1443="","",IFERROR(INDEX('Ordres de travail'!$D$5:$D$3004,MATCH(I1443,'Ordres de travail'!$A$5:$A$3004,0)),""))</f>
        <v/>
      </c>
      <c r="K1443" s="9">
        <f>IF(D1443="","",IFERROR(INDEX('Stock pièces'!$D$5:$D$404,MATCH(D1443,'Stock pièces'!$A$5:$A$404,0)),""))</f>
        <v/>
      </c>
      <c r="L1443" s="7" t="n"/>
      <c r="M1443" s="7" t="n"/>
    </row>
    <row r="1444">
      <c r="A1444" s="7" t="n"/>
      <c r="B1444" s="75" t="n"/>
      <c r="C1444" s="7" t="n"/>
      <c r="D1444" s="7" t="n"/>
      <c r="E1444" s="9">
        <f>IF(D1444="","",IFERROR(INDEX('Stock pièces'!$B$5:$B$404,MATCH(D1444,'Stock pièces'!$A$5:$A$404,0)),"Réf. inconnue"))</f>
        <v/>
      </c>
      <c r="F1444" s="67" t="n"/>
      <c r="G1444" s="81">
        <f>IF(D1444="","",IFERROR(INDEX('Stock pièces'!$I$5:$I$404,MATCH(D1444,'Stock pièces'!$A$5:$A$404,0)),0))</f>
        <v/>
      </c>
      <c r="H1444" s="81">
        <f>IF(D1444="","",N(F1444)*N(G1444))</f>
        <v/>
      </c>
      <c r="I1444" s="7" t="n"/>
      <c r="J1444" s="9">
        <f>IF(I1444="","",IFERROR(INDEX('Ordres de travail'!$D$5:$D$3004,MATCH(I1444,'Ordres de travail'!$A$5:$A$3004,0)),""))</f>
        <v/>
      </c>
      <c r="K1444" s="9">
        <f>IF(D1444="","",IFERROR(INDEX('Stock pièces'!$D$5:$D$404,MATCH(D1444,'Stock pièces'!$A$5:$A$404,0)),""))</f>
        <v/>
      </c>
      <c r="L1444" s="7" t="n"/>
      <c r="M1444" s="7" t="n"/>
    </row>
    <row r="1445">
      <c r="A1445" s="7" t="n"/>
      <c r="B1445" s="75" t="n"/>
      <c r="C1445" s="7" t="n"/>
      <c r="D1445" s="7" t="n"/>
      <c r="E1445" s="9">
        <f>IF(D1445="","",IFERROR(INDEX('Stock pièces'!$B$5:$B$404,MATCH(D1445,'Stock pièces'!$A$5:$A$404,0)),"Réf. inconnue"))</f>
        <v/>
      </c>
      <c r="F1445" s="67" t="n"/>
      <c r="G1445" s="81">
        <f>IF(D1445="","",IFERROR(INDEX('Stock pièces'!$I$5:$I$404,MATCH(D1445,'Stock pièces'!$A$5:$A$404,0)),0))</f>
        <v/>
      </c>
      <c r="H1445" s="81">
        <f>IF(D1445="","",N(F1445)*N(G1445))</f>
        <v/>
      </c>
      <c r="I1445" s="7" t="n"/>
      <c r="J1445" s="9">
        <f>IF(I1445="","",IFERROR(INDEX('Ordres de travail'!$D$5:$D$3004,MATCH(I1445,'Ordres de travail'!$A$5:$A$3004,0)),""))</f>
        <v/>
      </c>
      <c r="K1445" s="9">
        <f>IF(D1445="","",IFERROR(INDEX('Stock pièces'!$D$5:$D$404,MATCH(D1445,'Stock pièces'!$A$5:$A$404,0)),""))</f>
        <v/>
      </c>
      <c r="L1445" s="7" t="n"/>
      <c r="M1445" s="7" t="n"/>
    </row>
    <row r="1446">
      <c r="A1446" s="7" t="n"/>
      <c r="B1446" s="75" t="n"/>
      <c r="C1446" s="7" t="n"/>
      <c r="D1446" s="7" t="n"/>
      <c r="E1446" s="9">
        <f>IF(D1446="","",IFERROR(INDEX('Stock pièces'!$B$5:$B$404,MATCH(D1446,'Stock pièces'!$A$5:$A$404,0)),"Réf. inconnue"))</f>
        <v/>
      </c>
      <c r="F1446" s="67" t="n"/>
      <c r="G1446" s="81">
        <f>IF(D1446="","",IFERROR(INDEX('Stock pièces'!$I$5:$I$404,MATCH(D1446,'Stock pièces'!$A$5:$A$404,0)),0))</f>
        <v/>
      </c>
      <c r="H1446" s="81">
        <f>IF(D1446="","",N(F1446)*N(G1446))</f>
        <v/>
      </c>
      <c r="I1446" s="7" t="n"/>
      <c r="J1446" s="9">
        <f>IF(I1446="","",IFERROR(INDEX('Ordres de travail'!$D$5:$D$3004,MATCH(I1446,'Ordres de travail'!$A$5:$A$3004,0)),""))</f>
        <v/>
      </c>
      <c r="K1446" s="9">
        <f>IF(D1446="","",IFERROR(INDEX('Stock pièces'!$D$5:$D$404,MATCH(D1446,'Stock pièces'!$A$5:$A$404,0)),""))</f>
        <v/>
      </c>
      <c r="L1446" s="7" t="n"/>
      <c r="M1446" s="7" t="n"/>
    </row>
    <row r="1447">
      <c r="A1447" s="7" t="n"/>
      <c r="B1447" s="75" t="n"/>
      <c r="C1447" s="7" t="n"/>
      <c r="D1447" s="7" t="n"/>
      <c r="E1447" s="9">
        <f>IF(D1447="","",IFERROR(INDEX('Stock pièces'!$B$5:$B$404,MATCH(D1447,'Stock pièces'!$A$5:$A$404,0)),"Réf. inconnue"))</f>
        <v/>
      </c>
      <c r="F1447" s="67" t="n"/>
      <c r="G1447" s="81">
        <f>IF(D1447="","",IFERROR(INDEX('Stock pièces'!$I$5:$I$404,MATCH(D1447,'Stock pièces'!$A$5:$A$404,0)),0))</f>
        <v/>
      </c>
      <c r="H1447" s="81">
        <f>IF(D1447="","",N(F1447)*N(G1447))</f>
        <v/>
      </c>
      <c r="I1447" s="7" t="n"/>
      <c r="J1447" s="9">
        <f>IF(I1447="","",IFERROR(INDEX('Ordres de travail'!$D$5:$D$3004,MATCH(I1447,'Ordres de travail'!$A$5:$A$3004,0)),""))</f>
        <v/>
      </c>
      <c r="K1447" s="9">
        <f>IF(D1447="","",IFERROR(INDEX('Stock pièces'!$D$5:$D$404,MATCH(D1447,'Stock pièces'!$A$5:$A$404,0)),""))</f>
        <v/>
      </c>
      <c r="L1447" s="7" t="n"/>
      <c r="M1447" s="7" t="n"/>
    </row>
    <row r="1448">
      <c r="A1448" s="7" t="n"/>
      <c r="B1448" s="75" t="n"/>
      <c r="C1448" s="7" t="n"/>
      <c r="D1448" s="7" t="n"/>
      <c r="E1448" s="9">
        <f>IF(D1448="","",IFERROR(INDEX('Stock pièces'!$B$5:$B$404,MATCH(D1448,'Stock pièces'!$A$5:$A$404,0)),"Réf. inconnue"))</f>
        <v/>
      </c>
      <c r="F1448" s="67" t="n"/>
      <c r="G1448" s="81">
        <f>IF(D1448="","",IFERROR(INDEX('Stock pièces'!$I$5:$I$404,MATCH(D1448,'Stock pièces'!$A$5:$A$404,0)),0))</f>
        <v/>
      </c>
      <c r="H1448" s="81">
        <f>IF(D1448="","",N(F1448)*N(G1448))</f>
        <v/>
      </c>
      <c r="I1448" s="7" t="n"/>
      <c r="J1448" s="9">
        <f>IF(I1448="","",IFERROR(INDEX('Ordres de travail'!$D$5:$D$3004,MATCH(I1448,'Ordres de travail'!$A$5:$A$3004,0)),""))</f>
        <v/>
      </c>
      <c r="K1448" s="9">
        <f>IF(D1448="","",IFERROR(INDEX('Stock pièces'!$D$5:$D$404,MATCH(D1448,'Stock pièces'!$A$5:$A$404,0)),""))</f>
        <v/>
      </c>
      <c r="L1448" s="7" t="n"/>
      <c r="M1448" s="7" t="n"/>
    </row>
    <row r="1449">
      <c r="A1449" s="7" t="n"/>
      <c r="B1449" s="75" t="n"/>
      <c r="C1449" s="7" t="n"/>
      <c r="D1449" s="7" t="n"/>
      <c r="E1449" s="9">
        <f>IF(D1449="","",IFERROR(INDEX('Stock pièces'!$B$5:$B$404,MATCH(D1449,'Stock pièces'!$A$5:$A$404,0)),"Réf. inconnue"))</f>
        <v/>
      </c>
      <c r="F1449" s="67" t="n"/>
      <c r="G1449" s="81">
        <f>IF(D1449="","",IFERROR(INDEX('Stock pièces'!$I$5:$I$404,MATCH(D1449,'Stock pièces'!$A$5:$A$404,0)),0))</f>
        <v/>
      </c>
      <c r="H1449" s="81">
        <f>IF(D1449="","",N(F1449)*N(G1449))</f>
        <v/>
      </c>
      <c r="I1449" s="7" t="n"/>
      <c r="J1449" s="9">
        <f>IF(I1449="","",IFERROR(INDEX('Ordres de travail'!$D$5:$D$3004,MATCH(I1449,'Ordres de travail'!$A$5:$A$3004,0)),""))</f>
        <v/>
      </c>
      <c r="K1449" s="9">
        <f>IF(D1449="","",IFERROR(INDEX('Stock pièces'!$D$5:$D$404,MATCH(D1449,'Stock pièces'!$A$5:$A$404,0)),""))</f>
        <v/>
      </c>
      <c r="L1449" s="7" t="n"/>
      <c r="M1449" s="7" t="n"/>
    </row>
    <row r="1450">
      <c r="A1450" s="7" t="n"/>
      <c r="B1450" s="75" t="n"/>
      <c r="C1450" s="7" t="n"/>
      <c r="D1450" s="7" t="n"/>
      <c r="E1450" s="9">
        <f>IF(D1450="","",IFERROR(INDEX('Stock pièces'!$B$5:$B$404,MATCH(D1450,'Stock pièces'!$A$5:$A$404,0)),"Réf. inconnue"))</f>
        <v/>
      </c>
      <c r="F1450" s="67" t="n"/>
      <c r="G1450" s="81">
        <f>IF(D1450="","",IFERROR(INDEX('Stock pièces'!$I$5:$I$404,MATCH(D1450,'Stock pièces'!$A$5:$A$404,0)),0))</f>
        <v/>
      </c>
      <c r="H1450" s="81">
        <f>IF(D1450="","",N(F1450)*N(G1450))</f>
        <v/>
      </c>
      <c r="I1450" s="7" t="n"/>
      <c r="J1450" s="9">
        <f>IF(I1450="","",IFERROR(INDEX('Ordres de travail'!$D$5:$D$3004,MATCH(I1450,'Ordres de travail'!$A$5:$A$3004,0)),""))</f>
        <v/>
      </c>
      <c r="K1450" s="9">
        <f>IF(D1450="","",IFERROR(INDEX('Stock pièces'!$D$5:$D$404,MATCH(D1450,'Stock pièces'!$A$5:$A$404,0)),""))</f>
        <v/>
      </c>
      <c r="L1450" s="7" t="n"/>
      <c r="M1450" s="7" t="n"/>
    </row>
    <row r="1451">
      <c r="A1451" s="7" t="n"/>
      <c r="B1451" s="75" t="n"/>
      <c r="C1451" s="7" t="n"/>
      <c r="D1451" s="7" t="n"/>
      <c r="E1451" s="9">
        <f>IF(D1451="","",IFERROR(INDEX('Stock pièces'!$B$5:$B$404,MATCH(D1451,'Stock pièces'!$A$5:$A$404,0)),"Réf. inconnue"))</f>
        <v/>
      </c>
      <c r="F1451" s="67" t="n"/>
      <c r="G1451" s="81">
        <f>IF(D1451="","",IFERROR(INDEX('Stock pièces'!$I$5:$I$404,MATCH(D1451,'Stock pièces'!$A$5:$A$404,0)),0))</f>
        <v/>
      </c>
      <c r="H1451" s="81">
        <f>IF(D1451="","",N(F1451)*N(G1451))</f>
        <v/>
      </c>
      <c r="I1451" s="7" t="n"/>
      <c r="J1451" s="9">
        <f>IF(I1451="","",IFERROR(INDEX('Ordres de travail'!$D$5:$D$3004,MATCH(I1451,'Ordres de travail'!$A$5:$A$3004,0)),""))</f>
        <v/>
      </c>
      <c r="K1451" s="9">
        <f>IF(D1451="","",IFERROR(INDEX('Stock pièces'!$D$5:$D$404,MATCH(D1451,'Stock pièces'!$A$5:$A$404,0)),""))</f>
        <v/>
      </c>
      <c r="L1451" s="7" t="n"/>
      <c r="M1451" s="7" t="n"/>
    </row>
    <row r="1452">
      <c r="A1452" s="7" t="n"/>
      <c r="B1452" s="75" t="n"/>
      <c r="C1452" s="7" t="n"/>
      <c r="D1452" s="7" t="n"/>
      <c r="E1452" s="9">
        <f>IF(D1452="","",IFERROR(INDEX('Stock pièces'!$B$5:$B$404,MATCH(D1452,'Stock pièces'!$A$5:$A$404,0)),"Réf. inconnue"))</f>
        <v/>
      </c>
      <c r="F1452" s="67" t="n"/>
      <c r="G1452" s="81">
        <f>IF(D1452="","",IFERROR(INDEX('Stock pièces'!$I$5:$I$404,MATCH(D1452,'Stock pièces'!$A$5:$A$404,0)),0))</f>
        <v/>
      </c>
      <c r="H1452" s="81">
        <f>IF(D1452="","",N(F1452)*N(G1452))</f>
        <v/>
      </c>
      <c r="I1452" s="7" t="n"/>
      <c r="J1452" s="9">
        <f>IF(I1452="","",IFERROR(INDEX('Ordres de travail'!$D$5:$D$3004,MATCH(I1452,'Ordres de travail'!$A$5:$A$3004,0)),""))</f>
        <v/>
      </c>
      <c r="K1452" s="9">
        <f>IF(D1452="","",IFERROR(INDEX('Stock pièces'!$D$5:$D$404,MATCH(D1452,'Stock pièces'!$A$5:$A$404,0)),""))</f>
        <v/>
      </c>
      <c r="L1452" s="7" t="n"/>
      <c r="M1452" s="7" t="n"/>
    </row>
    <row r="1453">
      <c r="A1453" s="7" t="n"/>
      <c r="B1453" s="75" t="n"/>
      <c r="C1453" s="7" t="n"/>
      <c r="D1453" s="7" t="n"/>
      <c r="E1453" s="9">
        <f>IF(D1453="","",IFERROR(INDEX('Stock pièces'!$B$5:$B$404,MATCH(D1453,'Stock pièces'!$A$5:$A$404,0)),"Réf. inconnue"))</f>
        <v/>
      </c>
      <c r="F1453" s="67" t="n"/>
      <c r="G1453" s="81">
        <f>IF(D1453="","",IFERROR(INDEX('Stock pièces'!$I$5:$I$404,MATCH(D1453,'Stock pièces'!$A$5:$A$404,0)),0))</f>
        <v/>
      </c>
      <c r="H1453" s="81">
        <f>IF(D1453="","",N(F1453)*N(G1453))</f>
        <v/>
      </c>
      <c r="I1453" s="7" t="n"/>
      <c r="J1453" s="9">
        <f>IF(I1453="","",IFERROR(INDEX('Ordres de travail'!$D$5:$D$3004,MATCH(I1453,'Ordres de travail'!$A$5:$A$3004,0)),""))</f>
        <v/>
      </c>
      <c r="K1453" s="9">
        <f>IF(D1453="","",IFERROR(INDEX('Stock pièces'!$D$5:$D$404,MATCH(D1453,'Stock pièces'!$A$5:$A$404,0)),""))</f>
        <v/>
      </c>
      <c r="L1453" s="7" t="n"/>
      <c r="M1453" s="7" t="n"/>
    </row>
    <row r="1454">
      <c r="A1454" s="7" t="n"/>
      <c r="B1454" s="75" t="n"/>
      <c r="C1454" s="7" t="n"/>
      <c r="D1454" s="7" t="n"/>
      <c r="E1454" s="9">
        <f>IF(D1454="","",IFERROR(INDEX('Stock pièces'!$B$5:$B$404,MATCH(D1454,'Stock pièces'!$A$5:$A$404,0)),"Réf. inconnue"))</f>
        <v/>
      </c>
      <c r="F1454" s="67" t="n"/>
      <c r="G1454" s="81">
        <f>IF(D1454="","",IFERROR(INDEX('Stock pièces'!$I$5:$I$404,MATCH(D1454,'Stock pièces'!$A$5:$A$404,0)),0))</f>
        <v/>
      </c>
      <c r="H1454" s="81">
        <f>IF(D1454="","",N(F1454)*N(G1454))</f>
        <v/>
      </c>
      <c r="I1454" s="7" t="n"/>
      <c r="J1454" s="9">
        <f>IF(I1454="","",IFERROR(INDEX('Ordres de travail'!$D$5:$D$3004,MATCH(I1454,'Ordres de travail'!$A$5:$A$3004,0)),""))</f>
        <v/>
      </c>
      <c r="K1454" s="9">
        <f>IF(D1454="","",IFERROR(INDEX('Stock pièces'!$D$5:$D$404,MATCH(D1454,'Stock pièces'!$A$5:$A$404,0)),""))</f>
        <v/>
      </c>
      <c r="L1454" s="7" t="n"/>
      <c r="M1454" s="7" t="n"/>
    </row>
    <row r="1455">
      <c r="A1455" s="7" t="n"/>
      <c r="B1455" s="75" t="n"/>
      <c r="C1455" s="7" t="n"/>
      <c r="D1455" s="7" t="n"/>
      <c r="E1455" s="9">
        <f>IF(D1455="","",IFERROR(INDEX('Stock pièces'!$B$5:$B$404,MATCH(D1455,'Stock pièces'!$A$5:$A$404,0)),"Réf. inconnue"))</f>
        <v/>
      </c>
      <c r="F1455" s="67" t="n"/>
      <c r="G1455" s="81">
        <f>IF(D1455="","",IFERROR(INDEX('Stock pièces'!$I$5:$I$404,MATCH(D1455,'Stock pièces'!$A$5:$A$404,0)),0))</f>
        <v/>
      </c>
      <c r="H1455" s="81">
        <f>IF(D1455="","",N(F1455)*N(G1455))</f>
        <v/>
      </c>
      <c r="I1455" s="7" t="n"/>
      <c r="J1455" s="9">
        <f>IF(I1455="","",IFERROR(INDEX('Ordres de travail'!$D$5:$D$3004,MATCH(I1455,'Ordres de travail'!$A$5:$A$3004,0)),""))</f>
        <v/>
      </c>
      <c r="K1455" s="9">
        <f>IF(D1455="","",IFERROR(INDEX('Stock pièces'!$D$5:$D$404,MATCH(D1455,'Stock pièces'!$A$5:$A$404,0)),""))</f>
        <v/>
      </c>
      <c r="L1455" s="7" t="n"/>
      <c r="M1455" s="7" t="n"/>
    </row>
    <row r="1456">
      <c r="A1456" s="7" t="n"/>
      <c r="B1456" s="75" t="n"/>
      <c r="C1456" s="7" t="n"/>
      <c r="D1456" s="7" t="n"/>
      <c r="E1456" s="9">
        <f>IF(D1456="","",IFERROR(INDEX('Stock pièces'!$B$5:$B$404,MATCH(D1456,'Stock pièces'!$A$5:$A$404,0)),"Réf. inconnue"))</f>
        <v/>
      </c>
      <c r="F1456" s="67" t="n"/>
      <c r="G1456" s="81">
        <f>IF(D1456="","",IFERROR(INDEX('Stock pièces'!$I$5:$I$404,MATCH(D1456,'Stock pièces'!$A$5:$A$404,0)),0))</f>
        <v/>
      </c>
      <c r="H1456" s="81">
        <f>IF(D1456="","",N(F1456)*N(G1456))</f>
        <v/>
      </c>
      <c r="I1456" s="7" t="n"/>
      <c r="J1456" s="9">
        <f>IF(I1456="","",IFERROR(INDEX('Ordres de travail'!$D$5:$D$3004,MATCH(I1456,'Ordres de travail'!$A$5:$A$3004,0)),""))</f>
        <v/>
      </c>
      <c r="K1456" s="9">
        <f>IF(D1456="","",IFERROR(INDEX('Stock pièces'!$D$5:$D$404,MATCH(D1456,'Stock pièces'!$A$5:$A$404,0)),""))</f>
        <v/>
      </c>
      <c r="L1456" s="7" t="n"/>
      <c r="M1456" s="7" t="n"/>
    </row>
    <row r="1457">
      <c r="A1457" s="7" t="n"/>
      <c r="B1457" s="75" t="n"/>
      <c r="C1457" s="7" t="n"/>
      <c r="D1457" s="7" t="n"/>
      <c r="E1457" s="9">
        <f>IF(D1457="","",IFERROR(INDEX('Stock pièces'!$B$5:$B$404,MATCH(D1457,'Stock pièces'!$A$5:$A$404,0)),"Réf. inconnue"))</f>
        <v/>
      </c>
      <c r="F1457" s="67" t="n"/>
      <c r="G1457" s="81">
        <f>IF(D1457="","",IFERROR(INDEX('Stock pièces'!$I$5:$I$404,MATCH(D1457,'Stock pièces'!$A$5:$A$404,0)),0))</f>
        <v/>
      </c>
      <c r="H1457" s="81">
        <f>IF(D1457="","",N(F1457)*N(G1457))</f>
        <v/>
      </c>
      <c r="I1457" s="7" t="n"/>
      <c r="J1457" s="9">
        <f>IF(I1457="","",IFERROR(INDEX('Ordres de travail'!$D$5:$D$3004,MATCH(I1457,'Ordres de travail'!$A$5:$A$3004,0)),""))</f>
        <v/>
      </c>
      <c r="K1457" s="9">
        <f>IF(D1457="","",IFERROR(INDEX('Stock pièces'!$D$5:$D$404,MATCH(D1457,'Stock pièces'!$A$5:$A$404,0)),""))</f>
        <v/>
      </c>
      <c r="L1457" s="7" t="n"/>
      <c r="M1457" s="7" t="n"/>
    </row>
    <row r="1458">
      <c r="A1458" s="7" t="n"/>
      <c r="B1458" s="75" t="n"/>
      <c r="C1458" s="7" t="n"/>
      <c r="D1458" s="7" t="n"/>
      <c r="E1458" s="9">
        <f>IF(D1458="","",IFERROR(INDEX('Stock pièces'!$B$5:$B$404,MATCH(D1458,'Stock pièces'!$A$5:$A$404,0)),"Réf. inconnue"))</f>
        <v/>
      </c>
      <c r="F1458" s="67" t="n"/>
      <c r="G1458" s="81">
        <f>IF(D1458="","",IFERROR(INDEX('Stock pièces'!$I$5:$I$404,MATCH(D1458,'Stock pièces'!$A$5:$A$404,0)),0))</f>
        <v/>
      </c>
      <c r="H1458" s="81">
        <f>IF(D1458="","",N(F1458)*N(G1458))</f>
        <v/>
      </c>
      <c r="I1458" s="7" t="n"/>
      <c r="J1458" s="9">
        <f>IF(I1458="","",IFERROR(INDEX('Ordres de travail'!$D$5:$D$3004,MATCH(I1458,'Ordres de travail'!$A$5:$A$3004,0)),""))</f>
        <v/>
      </c>
      <c r="K1458" s="9">
        <f>IF(D1458="","",IFERROR(INDEX('Stock pièces'!$D$5:$D$404,MATCH(D1458,'Stock pièces'!$A$5:$A$404,0)),""))</f>
        <v/>
      </c>
      <c r="L1458" s="7" t="n"/>
      <c r="M1458" s="7" t="n"/>
    </row>
    <row r="1459">
      <c r="A1459" s="7" t="n"/>
      <c r="B1459" s="75" t="n"/>
      <c r="C1459" s="7" t="n"/>
      <c r="D1459" s="7" t="n"/>
      <c r="E1459" s="9">
        <f>IF(D1459="","",IFERROR(INDEX('Stock pièces'!$B$5:$B$404,MATCH(D1459,'Stock pièces'!$A$5:$A$404,0)),"Réf. inconnue"))</f>
        <v/>
      </c>
      <c r="F1459" s="67" t="n"/>
      <c r="G1459" s="81">
        <f>IF(D1459="","",IFERROR(INDEX('Stock pièces'!$I$5:$I$404,MATCH(D1459,'Stock pièces'!$A$5:$A$404,0)),0))</f>
        <v/>
      </c>
      <c r="H1459" s="81">
        <f>IF(D1459="","",N(F1459)*N(G1459))</f>
        <v/>
      </c>
      <c r="I1459" s="7" t="n"/>
      <c r="J1459" s="9">
        <f>IF(I1459="","",IFERROR(INDEX('Ordres de travail'!$D$5:$D$3004,MATCH(I1459,'Ordres de travail'!$A$5:$A$3004,0)),""))</f>
        <v/>
      </c>
      <c r="K1459" s="9">
        <f>IF(D1459="","",IFERROR(INDEX('Stock pièces'!$D$5:$D$404,MATCH(D1459,'Stock pièces'!$A$5:$A$404,0)),""))</f>
        <v/>
      </c>
      <c r="L1459" s="7" t="n"/>
      <c r="M1459" s="7" t="n"/>
    </row>
    <row r="1460">
      <c r="A1460" s="7" t="n"/>
      <c r="B1460" s="75" t="n"/>
      <c r="C1460" s="7" t="n"/>
      <c r="D1460" s="7" t="n"/>
      <c r="E1460" s="9">
        <f>IF(D1460="","",IFERROR(INDEX('Stock pièces'!$B$5:$B$404,MATCH(D1460,'Stock pièces'!$A$5:$A$404,0)),"Réf. inconnue"))</f>
        <v/>
      </c>
      <c r="F1460" s="67" t="n"/>
      <c r="G1460" s="81">
        <f>IF(D1460="","",IFERROR(INDEX('Stock pièces'!$I$5:$I$404,MATCH(D1460,'Stock pièces'!$A$5:$A$404,0)),0))</f>
        <v/>
      </c>
      <c r="H1460" s="81">
        <f>IF(D1460="","",N(F1460)*N(G1460))</f>
        <v/>
      </c>
      <c r="I1460" s="7" t="n"/>
      <c r="J1460" s="9">
        <f>IF(I1460="","",IFERROR(INDEX('Ordres de travail'!$D$5:$D$3004,MATCH(I1460,'Ordres de travail'!$A$5:$A$3004,0)),""))</f>
        <v/>
      </c>
      <c r="K1460" s="9">
        <f>IF(D1460="","",IFERROR(INDEX('Stock pièces'!$D$5:$D$404,MATCH(D1460,'Stock pièces'!$A$5:$A$404,0)),""))</f>
        <v/>
      </c>
      <c r="L1460" s="7" t="n"/>
      <c r="M1460" s="7" t="n"/>
    </row>
    <row r="1461">
      <c r="A1461" s="7" t="n"/>
      <c r="B1461" s="75" t="n"/>
      <c r="C1461" s="7" t="n"/>
      <c r="D1461" s="7" t="n"/>
      <c r="E1461" s="9">
        <f>IF(D1461="","",IFERROR(INDEX('Stock pièces'!$B$5:$B$404,MATCH(D1461,'Stock pièces'!$A$5:$A$404,0)),"Réf. inconnue"))</f>
        <v/>
      </c>
      <c r="F1461" s="67" t="n"/>
      <c r="G1461" s="81">
        <f>IF(D1461="","",IFERROR(INDEX('Stock pièces'!$I$5:$I$404,MATCH(D1461,'Stock pièces'!$A$5:$A$404,0)),0))</f>
        <v/>
      </c>
      <c r="H1461" s="81">
        <f>IF(D1461="","",N(F1461)*N(G1461))</f>
        <v/>
      </c>
      <c r="I1461" s="7" t="n"/>
      <c r="J1461" s="9">
        <f>IF(I1461="","",IFERROR(INDEX('Ordres de travail'!$D$5:$D$3004,MATCH(I1461,'Ordres de travail'!$A$5:$A$3004,0)),""))</f>
        <v/>
      </c>
      <c r="K1461" s="9">
        <f>IF(D1461="","",IFERROR(INDEX('Stock pièces'!$D$5:$D$404,MATCH(D1461,'Stock pièces'!$A$5:$A$404,0)),""))</f>
        <v/>
      </c>
      <c r="L1461" s="7" t="n"/>
      <c r="M1461" s="7" t="n"/>
    </row>
    <row r="1462">
      <c r="A1462" s="7" t="n"/>
      <c r="B1462" s="75" t="n"/>
      <c r="C1462" s="7" t="n"/>
      <c r="D1462" s="7" t="n"/>
      <c r="E1462" s="9">
        <f>IF(D1462="","",IFERROR(INDEX('Stock pièces'!$B$5:$B$404,MATCH(D1462,'Stock pièces'!$A$5:$A$404,0)),"Réf. inconnue"))</f>
        <v/>
      </c>
      <c r="F1462" s="67" t="n"/>
      <c r="G1462" s="81">
        <f>IF(D1462="","",IFERROR(INDEX('Stock pièces'!$I$5:$I$404,MATCH(D1462,'Stock pièces'!$A$5:$A$404,0)),0))</f>
        <v/>
      </c>
      <c r="H1462" s="81">
        <f>IF(D1462="","",N(F1462)*N(G1462))</f>
        <v/>
      </c>
      <c r="I1462" s="7" t="n"/>
      <c r="J1462" s="9">
        <f>IF(I1462="","",IFERROR(INDEX('Ordres de travail'!$D$5:$D$3004,MATCH(I1462,'Ordres de travail'!$A$5:$A$3004,0)),""))</f>
        <v/>
      </c>
      <c r="K1462" s="9">
        <f>IF(D1462="","",IFERROR(INDEX('Stock pièces'!$D$5:$D$404,MATCH(D1462,'Stock pièces'!$A$5:$A$404,0)),""))</f>
        <v/>
      </c>
      <c r="L1462" s="7" t="n"/>
      <c r="M1462" s="7" t="n"/>
    </row>
    <row r="1463">
      <c r="A1463" s="7" t="n"/>
      <c r="B1463" s="75" t="n"/>
      <c r="C1463" s="7" t="n"/>
      <c r="D1463" s="7" t="n"/>
      <c r="E1463" s="9">
        <f>IF(D1463="","",IFERROR(INDEX('Stock pièces'!$B$5:$B$404,MATCH(D1463,'Stock pièces'!$A$5:$A$404,0)),"Réf. inconnue"))</f>
        <v/>
      </c>
      <c r="F1463" s="67" t="n"/>
      <c r="G1463" s="81">
        <f>IF(D1463="","",IFERROR(INDEX('Stock pièces'!$I$5:$I$404,MATCH(D1463,'Stock pièces'!$A$5:$A$404,0)),0))</f>
        <v/>
      </c>
      <c r="H1463" s="81">
        <f>IF(D1463="","",N(F1463)*N(G1463))</f>
        <v/>
      </c>
      <c r="I1463" s="7" t="n"/>
      <c r="J1463" s="9">
        <f>IF(I1463="","",IFERROR(INDEX('Ordres de travail'!$D$5:$D$3004,MATCH(I1463,'Ordres de travail'!$A$5:$A$3004,0)),""))</f>
        <v/>
      </c>
      <c r="K1463" s="9">
        <f>IF(D1463="","",IFERROR(INDEX('Stock pièces'!$D$5:$D$404,MATCH(D1463,'Stock pièces'!$A$5:$A$404,0)),""))</f>
        <v/>
      </c>
      <c r="L1463" s="7" t="n"/>
      <c r="M1463" s="7" t="n"/>
    </row>
    <row r="1464">
      <c r="A1464" s="7" t="n"/>
      <c r="B1464" s="75" t="n"/>
      <c r="C1464" s="7" t="n"/>
      <c r="D1464" s="7" t="n"/>
      <c r="E1464" s="9">
        <f>IF(D1464="","",IFERROR(INDEX('Stock pièces'!$B$5:$B$404,MATCH(D1464,'Stock pièces'!$A$5:$A$404,0)),"Réf. inconnue"))</f>
        <v/>
      </c>
      <c r="F1464" s="67" t="n"/>
      <c r="G1464" s="81">
        <f>IF(D1464="","",IFERROR(INDEX('Stock pièces'!$I$5:$I$404,MATCH(D1464,'Stock pièces'!$A$5:$A$404,0)),0))</f>
        <v/>
      </c>
      <c r="H1464" s="81">
        <f>IF(D1464="","",N(F1464)*N(G1464))</f>
        <v/>
      </c>
      <c r="I1464" s="7" t="n"/>
      <c r="J1464" s="9">
        <f>IF(I1464="","",IFERROR(INDEX('Ordres de travail'!$D$5:$D$3004,MATCH(I1464,'Ordres de travail'!$A$5:$A$3004,0)),""))</f>
        <v/>
      </c>
      <c r="K1464" s="9">
        <f>IF(D1464="","",IFERROR(INDEX('Stock pièces'!$D$5:$D$404,MATCH(D1464,'Stock pièces'!$A$5:$A$404,0)),""))</f>
        <v/>
      </c>
      <c r="L1464" s="7" t="n"/>
      <c r="M1464" s="7" t="n"/>
    </row>
    <row r="1465">
      <c r="A1465" s="7" t="n"/>
      <c r="B1465" s="75" t="n"/>
      <c r="C1465" s="7" t="n"/>
      <c r="D1465" s="7" t="n"/>
      <c r="E1465" s="9">
        <f>IF(D1465="","",IFERROR(INDEX('Stock pièces'!$B$5:$B$404,MATCH(D1465,'Stock pièces'!$A$5:$A$404,0)),"Réf. inconnue"))</f>
        <v/>
      </c>
      <c r="F1465" s="67" t="n"/>
      <c r="G1465" s="81">
        <f>IF(D1465="","",IFERROR(INDEX('Stock pièces'!$I$5:$I$404,MATCH(D1465,'Stock pièces'!$A$5:$A$404,0)),0))</f>
        <v/>
      </c>
      <c r="H1465" s="81">
        <f>IF(D1465="","",N(F1465)*N(G1465))</f>
        <v/>
      </c>
      <c r="I1465" s="7" t="n"/>
      <c r="J1465" s="9">
        <f>IF(I1465="","",IFERROR(INDEX('Ordres de travail'!$D$5:$D$3004,MATCH(I1465,'Ordres de travail'!$A$5:$A$3004,0)),""))</f>
        <v/>
      </c>
      <c r="K1465" s="9">
        <f>IF(D1465="","",IFERROR(INDEX('Stock pièces'!$D$5:$D$404,MATCH(D1465,'Stock pièces'!$A$5:$A$404,0)),""))</f>
        <v/>
      </c>
      <c r="L1465" s="7" t="n"/>
      <c r="M1465" s="7" t="n"/>
    </row>
    <row r="1466">
      <c r="A1466" s="7" t="n"/>
      <c r="B1466" s="75" t="n"/>
      <c r="C1466" s="7" t="n"/>
      <c r="D1466" s="7" t="n"/>
      <c r="E1466" s="9">
        <f>IF(D1466="","",IFERROR(INDEX('Stock pièces'!$B$5:$B$404,MATCH(D1466,'Stock pièces'!$A$5:$A$404,0)),"Réf. inconnue"))</f>
        <v/>
      </c>
      <c r="F1466" s="67" t="n"/>
      <c r="G1466" s="81">
        <f>IF(D1466="","",IFERROR(INDEX('Stock pièces'!$I$5:$I$404,MATCH(D1466,'Stock pièces'!$A$5:$A$404,0)),0))</f>
        <v/>
      </c>
      <c r="H1466" s="81">
        <f>IF(D1466="","",N(F1466)*N(G1466))</f>
        <v/>
      </c>
      <c r="I1466" s="7" t="n"/>
      <c r="J1466" s="9">
        <f>IF(I1466="","",IFERROR(INDEX('Ordres de travail'!$D$5:$D$3004,MATCH(I1466,'Ordres de travail'!$A$5:$A$3004,0)),""))</f>
        <v/>
      </c>
      <c r="K1466" s="9">
        <f>IF(D1466="","",IFERROR(INDEX('Stock pièces'!$D$5:$D$404,MATCH(D1466,'Stock pièces'!$A$5:$A$404,0)),""))</f>
        <v/>
      </c>
      <c r="L1466" s="7" t="n"/>
      <c r="M1466" s="7" t="n"/>
    </row>
    <row r="1467">
      <c r="A1467" s="7" t="n"/>
      <c r="B1467" s="75" t="n"/>
      <c r="C1467" s="7" t="n"/>
      <c r="D1467" s="7" t="n"/>
      <c r="E1467" s="9">
        <f>IF(D1467="","",IFERROR(INDEX('Stock pièces'!$B$5:$B$404,MATCH(D1467,'Stock pièces'!$A$5:$A$404,0)),"Réf. inconnue"))</f>
        <v/>
      </c>
      <c r="F1467" s="67" t="n"/>
      <c r="G1467" s="81">
        <f>IF(D1467="","",IFERROR(INDEX('Stock pièces'!$I$5:$I$404,MATCH(D1467,'Stock pièces'!$A$5:$A$404,0)),0))</f>
        <v/>
      </c>
      <c r="H1467" s="81">
        <f>IF(D1467="","",N(F1467)*N(G1467))</f>
        <v/>
      </c>
      <c r="I1467" s="7" t="n"/>
      <c r="J1467" s="9">
        <f>IF(I1467="","",IFERROR(INDEX('Ordres de travail'!$D$5:$D$3004,MATCH(I1467,'Ordres de travail'!$A$5:$A$3004,0)),""))</f>
        <v/>
      </c>
      <c r="K1467" s="9">
        <f>IF(D1467="","",IFERROR(INDEX('Stock pièces'!$D$5:$D$404,MATCH(D1467,'Stock pièces'!$A$5:$A$404,0)),""))</f>
        <v/>
      </c>
      <c r="L1467" s="7" t="n"/>
      <c r="M1467" s="7" t="n"/>
    </row>
    <row r="1468">
      <c r="A1468" s="7" t="n"/>
      <c r="B1468" s="75" t="n"/>
      <c r="C1468" s="7" t="n"/>
      <c r="D1468" s="7" t="n"/>
      <c r="E1468" s="9">
        <f>IF(D1468="","",IFERROR(INDEX('Stock pièces'!$B$5:$B$404,MATCH(D1468,'Stock pièces'!$A$5:$A$404,0)),"Réf. inconnue"))</f>
        <v/>
      </c>
      <c r="F1468" s="67" t="n"/>
      <c r="G1468" s="81">
        <f>IF(D1468="","",IFERROR(INDEX('Stock pièces'!$I$5:$I$404,MATCH(D1468,'Stock pièces'!$A$5:$A$404,0)),0))</f>
        <v/>
      </c>
      <c r="H1468" s="81">
        <f>IF(D1468="","",N(F1468)*N(G1468))</f>
        <v/>
      </c>
      <c r="I1468" s="7" t="n"/>
      <c r="J1468" s="9">
        <f>IF(I1468="","",IFERROR(INDEX('Ordres de travail'!$D$5:$D$3004,MATCH(I1468,'Ordres de travail'!$A$5:$A$3004,0)),""))</f>
        <v/>
      </c>
      <c r="K1468" s="9">
        <f>IF(D1468="","",IFERROR(INDEX('Stock pièces'!$D$5:$D$404,MATCH(D1468,'Stock pièces'!$A$5:$A$404,0)),""))</f>
        <v/>
      </c>
      <c r="L1468" s="7" t="n"/>
      <c r="M1468" s="7" t="n"/>
    </row>
    <row r="1469">
      <c r="A1469" s="7" t="n"/>
      <c r="B1469" s="75" t="n"/>
      <c r="C1469" s="7" t="n"/>
      <c r="D1469" s="7" t="n"/>
      <c r="E1469" s="9">
        <f>IF(D1469="","",IFERROR(INDEX('Stock pièces'!$B$5:$B$404,MATCH(D1469,'Stock pièces'!$A$5:$A$404,0)),"Réf. inconnue"))</f>
        <v/>
      </c>
      <c r="F1469" s="67" t="n"/>
      <c r="G1469" s="81">
        <f>IF(D1469="","",IFERROR(INDEX('Stock pièces'!$I$5:$I$404,MATCH(D1469,'Stock pièces'!$A$5:$A$404,0)),0))</f>
        <v/>
      </c>
      <c r="H1469" s="81">
        <f>IF(D1469="","",N(F1469)*N(G1469))</f>
        <v/>
      </c>
      <c r="I1469" s="7" t="n"/>
      <c r="J1469" s="9">
        <f>IF(I1469="","",IFERROR(INDEX('Ordres de travail'!$D$5:$D$3004,MATCH(I1469,'Ordres de travail'!$A$5:$A$3004,0)),""))</f>
        <v/>
      </c>
      <c r="K1469" s="9">
        <f>IF(D1469="","",IFERROR(INDEX('Stock pièces'!$D$5:$D$404,MATCH(D1469,'Stock pièces'!$A$5:$A$404,0)),""))</f>
        <v/>
      </c>
      <c r="L1469" s="7" t="n"/>
      <c r="M1469" s="7" t="n"/>
    </row>
    <row r="1470">
      <c r="A1470" s="7" t="n"/>
      <c r="B1470" s="75" t="n"/>
      <c r="C1470" s="7" t="n"/>
      <c r="D1470" s="7" t="n"/>
      <c r="E1470" s="9">
        <f>IF(D1470="","",IFERROR(INDEX('Stock pièces'!$B$5:$B$404,MATCH(D1470,'Stock pièces'!$A$5:$A$404,0)),"Réf. inconnue"))</f>
        <v/>
      </c>
      <c r="F1470" s="67" t="n"/>
      <c r="G1470" s="81">
        <f>IF(D1470="","",IFERROR(INDEX('Stock pièces'!$I$5:$I$404,MATCH(D1470,'Stock pièces'!$A$5:$A$404,0)),0))</f>
        <v/>
      </c>
      <c r="H1470" s="81">
        <f>IF(D1470="","",N(F1470)*N(G1470))</f>
        <v/>
      </c>
      <c r="I1470" s="7" t="n"/>
      <c r="J1470" s="9">
        <f>IF(I1470="","",IFERROR(INDEX('Ordres de travail'!$D$5:$D$3004,MATCH(I1470,'Ordres de travail'!$A$5:$A$3004,0)),""))</f>
        <v/>
      </c>
      <c r="K1470" s="9">
        <f>IF(D1470="","",IFERROR(INDEX('Stock pièces'!$D$5:$D$404,MATCH(D1470,'Stock pièces'!$A$5:$A$404,0)),""))</f>
        <v/>
      </c>
      <c r="L1470" s="7" t="n"/>
      <c r="M1470" s="7" t="n"/>
    </row>
    <row r="1471">
      <c r="A1471" s="7" t="n"/>
      <c r="B1471" s="75" t="n"/>
      <c r="C1471" s="7" t="n"/>
      <c r="D1471" s="7" t="n"/>
      <c r="E1471" s="9">
        <f>IF(D1471="","",IFERROR(INDEX('Stock pièces'!$B$5:$B$404,MATCH(D1471,'Stock pièces'!$A$5:$A$404,0)),"Réf. inconnue"))</f>
        <v/>
      </c>
      <c r="F1471" s="67" t="n"/>
      <c r="G1471" s="81">
        <f>IF(D1471="","",IFERROR(INDEX('Stock pièces'!$I$5:$I$404,MATCH(D1471,'Stock pièces'!$A$5:$A$404,0)),0))</f>
        <v/>
      </c>
      <c r="H1471" s="81">
        <f>IF(D1471="","",N(F1471)*N(G1471))</f>
        <v/>
      </c>
      <c r="I1471" s="7" t="n"/>
      <c r="J1471" s="9">
        <f>IF(I1471="","",IFERROR(INDEX('Ordres de travail'!$D$5:$D$3004,MATCH(I1471,'Ordres de travail'!$A$5:$A$3004,0)),""))</f>
        <v/>
      </c>
      <c r="K1471" s="9">
        <f>IF(D1471="","",IFERROR(INDEX('Stock pièces'!$D$5:$D$404,MATCH(D1471,'Stock pièces'!$A$5:$A$404,0)),""))</f>
        <v/>
      </c>
      <c r="L1471" s="7" t="n"/>
      <c r="M1471" s="7" t="n"/>
    </row>
    <row r="1472">
      <c r="A1472" s="7" t="n"/>
      <c r="B1472" s="75" t="n"/>
      <c r="C1472" s="7" t="n"/>
      <c r="D1472" s="7" t="n"/>
      <c r="E1472" s="9">
        <f>IF(D1472="","",IFERROR(INDEX('Stock pièces'!$B$5:$B$404,MATCH(D1472,'Stock pièces'!$A$5:$A$404,0)),"Réf. inconnue"))</f>
        <v/>
      </c>
      <c r="F1472" s="67" t="n"/>
      <c r="G1472" s="81">
        <f>IF(D1472="","",IFERROR(INDEX('Stock pièces'!$I$5:$I$404,MATCH(D1472,'Stock pièces'!$A$5:$A$404,0)),0))</f>
        <v/>
      </c>
      <c r="H1472" s="81">
        <f>IF(D1472="","",N(F1472)*N(G1472))</f>
        <v/>
      </c>
      <c r="I1472" s="7" t="n"/>
      <c r="J1472" s="9">
        <f>IF(I1472="","",IFERROR(INDEX('Ordres de travail'!$D$5:$D$3004,MATCH(I1472,'Ordres de travail'!$A$5:$A$3004,0)),""))</f>
        <v/>
      </c>
      <c r="K1472" s="9">
        <f>IF(D1472="","",IFERROR(INDEX('Stock pièces'!$D$5:$D$404,MATCH(D1472,'Stock pièces'!$A$5:$A$404,0)),""))</f>
        <v/>
      </c>
      <c r="L1472" s="7" t="n"/>
      <c r="M1472" s="7" t="n"/>
    </row>
    <row r="1473">
      <c r="A1473" s="7" t="n"/>
      <c r="B1473" s="75" t="n"/>
      <c r="C1473" s="7" t="n"/>
      <c r="D1473" s="7" t="n"/>
      <c r="E1473" s="9">
        <f>IF(D1473="","",IFERROR(INDEX('Stock pièces'!$B$5:$B$404,MATCH(D1473,'Stock pièces'!$A$5:$A$404,0)),"Réf. inconnue"))</f>
        <v/>
      </c>
      <c r="F1473" s="67" t="n"/>
      <c r="G1473" s="81">
        <f>IF(D1473="","",IFERROR(INDEX('Stock pièces'!$I$5:$I$404,MATCH(D1473,'Stock pièces'!$A$5:$A$404,0)),0))</f>
        <v/>
      </c>
      <c r="H1473" s="81">
        <f>IF(D1473="","",N(F1473)*N(G1473))</f>
        <v/>
      </c>
      <c r="I1473" s="7" t="n"/>
      <c r="J1473" s="9">
        <f>IF(I1473="","",IFERROR(INDEX('Ordres de travail'!$D$5:$D$3004,MATCH(I1473,'Ordres de travail'!$A$5:$A$3004,0)),""))</f>
        <v/>
      </c>
      <c r="K1473" s="9">
        <f>IF(D1473="","",IFERROR(INDEX('Stock pièces'!$D$5:$D$404,MATCH(D1473,'Stock pièces'!$A$5:$A$404,0)),""))</f>
        <v/>
      </c>
      <c r="L1473" s="7" t="n"/>
      <c r="M1473" s="7" t="n"/>
    </row>
    <row r="1474">
      <c r="A1474" s="7" t="n"/>
      <c r="B1474" s="75" t="n"/>
      <c r="C1474" s="7" t="n"/>
      <c r="D1474" s="7" t="n"/>
      <c r="E1474" s="9">
        <f>IF(D1474="","",IFERROR(INDEX('Stock pièces'!$B$5:$B$404,MATCH(D1474,'Stock pièces'!$A$5:$A$404,0)),"Réf. inconnue"))</f>
        <v/>
      </c>
      <c r="F1474" s="67" t="n"/>
      <c r="G1474" s="81">
        <f>IF(D1474="","",IFERROR(INDEX('Stock pièces'!$I$5:$I$404,MATCH(D1474,'Stock pièces'!$A$5:$A$404,0)),0))</f>
        <v/>
      </c>
      <c r="H1474" s="81">
        <f>IF(D1474="","",N(F1474)*N(G1474))</f>
        <v/>
      </c>
      <c r="I1474" s="7" t="n"/>
      <c r="J1474" s="9">
        <f>IF(I1474="","",IFERROR(INDEX('Ordres de travail'!$D$5:$D$3004,MATCH(I1474,'Ordres de travail'!$A$5:$A$3004,0)),""))</f>
        <v/>
      </c>
      <c r="K1474" s="9">
        <f>IF(D1474="","",IFERROR(INDEX('Stock pièces'!$D$5:$D$404,MATCH(D1474,'Stock pièces'!$A$5:$A$404,0)),""))</f>
        <v/>
      </c>
      <c r="L1474" s="7" t="n"/>
      <c r="M1474" s="7" t="n"/>
    </row>
    <row r="1475">
      <c r="A1475" s="7" t="n"/>
      <c r="B1475" s="75" t="n"/>
      <c r="C1475" s="7" t="n"/>
      <c r="D1475" s="7" t="n"/>
      <c r="E1475" s="9">
        <f>IF(D1475="","",IFERROR(INDEX('Stock pièces'!$B$5:$B$404,MATCH(D1475,'Stock pièces'!$A$5:$A$404,0)),"Réf. inconnue"))</f>
        <v/>
      </c>
      <c r="F1475" s="67" t="n"/>
      <c r="G1475" s="81">
        <f>IF(D1475="","",IFERROR(INDEX('Stock pièces'!$I$5:$I$404,MATCH(D1475,'Stock pièces'!$A$5:$A$404,0)),0))</f>
        <v/>
      </c>
      <c r="H1475" s="81">
        <f>IF(D1475="","",N(F1475)*N(G1475))</f>
        <v/>
      </c>
      <c r="I1475" s="7" t="n"/>
      <c r="J1475" s="9">
        <f>IF(I1475="","",IFERROR(INDEX('Ordres de travail'!$D$5:$D$3004,MATCH(I1475,'Ordres de travail'!$A$5:$A$3004,0)),""))</f>
        <v/>
      </c>
      <c r="K1475" s="9">
        <f>IF(D1475="","",IFERROR(INDEX('Stock pièces'!$D$5:$D$404,MATCH(D1475,'Stock pièces'!$A$5:$A$404,0)),""))</f>
        <v/>
      </c>
      <c r="L1475" s="7" t="n"/>
      <c r="M1475" s="7" t="n"/>
    </row>
    <row r="1476">
      <c r="A1476" s="7" t="n"/>
      <c r="B1476" s="75" t="n"/>
      <c r="C1476" s="7" t="n"/>
      <c r="D1476" s="7" t="n"/>
      <c r="E1476" s="9">
        <f>IF(D1476="","",IFERROR(INDEX('Stock pièces'!$B$5:$B$404,MATCH(D1476,'Stock pièces'!$A$5:$A$404,0)),"Réf. inconnue"))</f>
        <v/>
      </c>
      <c r="F1476" s="67" t="n"/>
      <c r="G1476" s="81">
        <f>IF(D1476="","",IFERROR(INDEX('Stock pièces'!$I$5:$I$404,MATCH(D1476,'Stock pièces'!$A$5:$A$404,0)),0))</f>
        <v/>
      </c>
      <c r="H1476" s="81">
        <f>IF(D1476="","",N(F1476)*N(G1476))</f>
        <v/>
      </c>
      <c r="I1476" s="7" t="n"/>
      <c r="J1476" s="9">
        <f>IF(I1476="","",IFERROR(INDEX('Ordres de travail'!$D$5:$D$3004,MATCH(I1476,'Ordres de travail'!$A$5:$A$3004,0)),""))</f>
        <v/>
      </c>
      <c r="K1476" s="9">
        <f>IF(D1476="","",IFERROR(INDEX('Stock pièces'!$D$5:$D$404,MATCH(D1476,'Stock pièces'!$A$5:$A$404,0)),""))</f>
        <v/>
      </c>
      <c r="L1476" s="7" t="n"/>
      <c r="M1476" s="7" t="n"/>
    </row>
    <row r="1477">
      <c r="A1477" s="7" t="n"/>
      <c r="B1477" s="75" t="n"/>
      <c r="C1477" s="7" t="n"/>
      <c r="D1477" s="7" t="n"/>
      <c r="E1477" s="9">
        <f>IF(D1477="","",IFERROR(INDEX('Stock pièces'!$B$5:$B$404,MATCH(D1477,'Stock pièces'!$A$5:$A$404,0)),"Réf. inconnue"))</f>
        <v/>
      </c>
      <c r="F1477" s="67" t="n"/>
      <c r="G1477" s="81">
        <f>IF(D1477="","",IFERROR(INDEX('Stock pièces'!$I$5:$I$404,MATCH(D1477,'Stock pièces'!$A$5:$A$404,0)),0))</f>
        <v/>
      </c>
      <c r="H1477" s="81">
        <f>IF(D1477="","",N(F1477)*N(G1477))</f>
        <v/>
      </c>
      <c r="I1477" s="7" t="n"/>
      <c r="J1477" s="9">
        <f>IF(I1477="","",IFERROR(INDEX('Ordres de travail'!$D$5:$D$3004,MATCH(I1477,'Ordres de travail'!$A$5:$A$3004,0)),""))</f>
        <v/>
      </c>
      <c r="K1477" s="9">
        <f>IF(D1477="","",IFERROR(INDEX('Stock pièces'!$D$5:$D$404,MATCH(D1477,'Stock pièces'!$A$5:$A$404,0)),""))</f>
        <v/>
      </c>
      <c r="L1477" s="7" t="n"/>
      <c r="M1477" s="7" t="n"/>
    </row>
    <row r="1478">
      <c r="A1478" s="7" t="n"/>
      <c r="B1478" s="75" t="n"/>
      <c r="C1478" s="7" t="n"/>
      <c r="D1478" s="7" t="n"/>
      <c r="E1478" s="9">
        <f>IF(D1478="","",IFERROR(INDEX('Stock pièces'!$B$5:$B$404,MATCH(D1478,'Stock pièces'!$A$5:$A$404,0)),"Réf. inconnue"))</f>
        <v/>
      </c>
      <c r="F1478" s="67" t="n"/>
      <c r="G1478" s="81">
        <f>IF(D1478="","",IFERROR(INDEX('Stock pièces'!$I$5:$I$404,MATCH(D1478,'Stock pièces'!$A$5:$A$404,0)),0))</f>
        <v/>
      </c>
      <c r="H1478" s="81">
        <f>IF(D1478="","",N(F1478)*N(G1478))</f>
        <v/>
      </c>
      <c r="I1478" s="7" t="n"/>
      <c r="J1478" s="9">
        <f>IF(I1478="","",IFERROR(INDEX('Ordres de travail'!$D$5:$D$3004,MATCH(I1478,'Ordres de travail'!$A$5:$A$3004,0)),""))</f>
        <v/>
      </c>
      <c r="K1478" s="9">
        <f>IF(D1478="","",IFERROR(INDEX('Stock pièces'!$D$5:$D$404,MATCH(D1478,'Stock pièces'!$A$5:$A$404,0)),""))</f>
        <v/>
      </c>
      <c r="L1478" s="7" t="n"/>
      <c r="M1478" s="7" t="n"/>
    </row>
    <row r="1479">
      <c r="A1479" s="7" t="n"/>
      <c r="B1479" s="75" t="n"/>
      <c r="C1479" s="7" t="n"/>
      <c r="D1479" s="7" t="n"/>
      <c r="E1479" s="9">
        <f>IF(D1479="","",IFERROR(INDEX('Stock pièces'!$B$5:$B$404,MATCH(D1479,'Stock pièces'!$A$5:$A$404,0)),"Réf. inconnue"))</f>
        <v/>
      </c>
      <c r="F1479" s="67" t="n"/>
      <c r="G1479" s="81">
        <f>IF(D1479="","",IFERROR(INDEX('Stock pièces'!$I$5:$I$404,MATCH(D1479,'Stock pièces'!$A$5:$A$404,0)),0))</f>
        <v/>
      </c>
      <c r="H1479" s="81">
        <f>IF(D1479="","",N(F1479)*N(G1479))</f>
        <v/>
      </c>
      <c r="I1479" s="7" t="n"/>
      <c r="J1479" s="9">
        <f>IF(I1479="","",IFERROR(INDEX('Ordres de travail'!$D$5:$D$3004,MATCH(I1479,'Ordres de travail'!$A$5:$A$3004,0)),""))</f>
        <v/>
      </c>
      <c r="K1479" s="9">
        <f>IF(D1479="","",IFERROR(INDEX('Stock pièces'!$D$5:$D$404,MATCH(D1479,'Stock pièces'!$A$5:$A$404,0)),""))</f>
        <v/>
      </c>
      <c r="L1479" s="7" t="n"/>
      <c r="M1479" s="7" t="n"/>
    </row>
    <row r="1480">
      <c r="A1480" s="7" t="n"/>
      <c r="B1480" s="75" t="n"/>
      <c r="C1480" s="7" t="n"/>
      <c r="D1480" s="7" t="n"/>
      <c r="E1480" s="9">
        <f>IF(D1480="","",IFERROR(INDEX('Stock pièces'!$B$5:$B$404,MATCH(D1480,'Stock pièces'!$A$5:$A$404,0)),"Réf. inconnue"))</f>
        <v/>
      </c>
      <c r="F1480" s="67" t="n"/>
      <c r="G1480" s="81">
        <f>IF(D1480="","",IFERROR(INDEX('Stock pièces'!$I$5:$I$404,MATCH(D1480,'Stock pièces'!$A$5:$A$404,0)),0))</f>
        <v/>
      </c>
      <c r="H1480" s="81">
        <f>IF(D1480="","",N(F1480)*N(G1480))</f>
        <v/>
      </c>
      <c r="I1480" s="7" t="n"/>
      <c r="J1480" s="9">
        <f>IF(I1480="","",IFERROR(INDEX('Ordres de travail'!$D$5:$D$3004,MATCH(I1480,'Ordres de travail'!$A$5:$A$3004,0)),""))</f>
        <v/>
      </c>
      <c r="K1480" s="9">
        <f>IF(D1480="","",IFERROR(INDEX('Stock pièces'!$D$5:$D$404,MATCH(D1480,'Stock pièces'!$A$5:$A$404,0)),""))</f>
        <v/>
      </c>
      <c r="L1480" s="7" t="n"/>
      <c r="M1480" s="7" t="n"/>
    </row>
    <row r="1481">
      <c r="A1481" s="7" t="n"/>
      <c r="B1481" s="75" t="n"/>
      <c r="C1481" s="7" t="n"/>
      <c r="D1481" s="7" t="n"/>
      <c r="E1481" s="9">
        <f>IF(D1481="","",IFERROR(INDEX('Stock pièces'!$B$5:$B$404,MATCH(D1481,'Stock pièces'!$A$5:$A$404,0)),"Réf. inconnue"))</f>
        <v/>
      </c>
      <c r="F1481" s="67" t="n"/>
      <c r="G1481" s="81">
        <f>IF(D1481="","",IFERROR(INDEX('Stock pièces'!$I$5:$I$404,MATCH(D1481,'Stock pièces'!$A$5:$A$404,0)),0))</f>
        <v/>
      </c>
      <c r="H1481" s="81">
        <f>IF(D1481="","",N(F1481)*N(G1481))</f>
        <v/>
      </c>
      <c r="I1481" s="7" t="n"/>
      <c r="J1481" s="9">
        <f>IF(I1481="","",IFERROR(INDEX('Ordres de travail'!$D$5:$D$3004,MATCH(I1481,'Ordres de travail'!$A$5:$A$3004,0)),""))</f>
        <v/>
      </c>
      <c r="K1481" s="9">
        <f>IF(D1481="","",IFERROR(INDEX('Stock pièces'!$D$5:$D$404,MATCH(D1481,'Stock pièces'!$A$5:$A$404,0)),""))</f>
        <v/>
      </c>
      <c r="L1481" s="7" t="n"/>
      <c r="M1481" s="7" t="n"/>
    </row>
    <row r="1482">
      <c r="A1482" s="7" t="n"/>
      <c r="B1482" s="75" t="n"/>
      <c r="C1482" s="7" t="n"/>
      <c r="D1482" s="7" t="n"/>
      <c r="E1482" s="9">
        <f>IF(D1482="","",IFERROR(INDEX('Stock pièces'!$B$5:$B$404,MATCH(D1482,'Stock pièces'!$A$5:$A$404,0)),"Réf. inconnue"))</f>
        <v/>
      </c>
      <c r="F1482" s="67" t="n"/>
      <c r="G1482" s="81">
        <f>IF(D1482="","",IFERROR(INDEX('Stock pièces'!$I$5:$I$404,MATCH(D1482,'Stock pièces'!$A$5:$A$404,0)),0))</f>
        <v/>
      </c>
      <c r="H1482" s="81">
        <f>IF(D1482="","",N(F1482)*N(G1482))</f>
        <v/>
      </c>
      <c r="I1482" s="7" t="n"/>
      <c r="J1482" s="9">
        <f>IF(I1482="","",IFERROR(INDEX('Ordres de travail'!$D$5:$D$3004,MATCH(I1482,'Ordres de travail'!$A$5:$A$3004,0)),""))</f>
        <v/>
      </c>
      <c r="K1482" s="9">
        <f>IF(D1482="","",IFERROR(INDEX('Stock pièces'!$D$5:$D$404,MATCH(D1482,'Stock pièces'!$A$5:$A$404,0)),""))</f>
        <v/>
      </c>
      <c r="L1482" s="7" t="n"/>
      <c r="M1482" s="7" t="n"/>
    </row>
    <row r="1483">
      <c r="A1483" s="7" t="n"/>
      <c r="B1483" s="75" t="n"/>
      <c r="C1483" s="7" t="n"/>
      <c r="D1483" s="7" t="n"/>
      <c r="E1483" s="9">
        <f>IF(D1483="","",IFERROR(INDEX('Stock pièces'!$B$5:$B$404,MATCH(D1483,'Stock pièces'!$A$5:$A$404,0)),"Réf. inconnue"))</f>
        <v/>
      </c>
      <c r="F1483" s="67" t="n"/>
      <c r="G1483" s="81">
        <f>IF(D1483="","",IFERROR(INDEX('Stock pièces'!$I$5:$I$404,MATCH(D1483,'Stock pièces'!$A$5:$A$404,0)),0))</f>
        <v/>
      </c>
      <c r="H1483" s="81">
        <f>IF(D1483="","",N(F1483)*N(G1483))</f>
        <v/>
      </c>
      <c r="I1483" s="7" t="n"/>
      <c r="J1483" s="9">
        <f>IF(I1483="","",IFERROR(INDEX('Ordres de travail'!$D$5:$D$3004,MATCH(I1483,'Ordres de travail'!$A$5:$A$3004,0)),""))</f>
        <v/>
      </c>
      <c r="K1483" s="9">
        <f>IF(D1483="","",IFERROR(INDEX('Stock pièces'!$D$5:$D$404,MATCH(D1483,'Stock pièces'!$A$5:$A$404,0)),""))</f>
        <v/>
      </c>
      <c r="L1483" s="7" t="n"/>
      <c r="M1483" s="7" t="n"/>
    </row>
    <row r="1484">
      <c r="A1484" s="7" t="n"/>
      <c r="B1484" s="75" t="n"/>
      <c r="C1484" s="7" t="n"/>
      <c r="D1484" s="7" t="n"/>
      <c r="E1484" s="9">
        <f>IF(D1484="","",IFERROR(INDEX('Stock pièces'!$B$5:$B$404,MATCH(D1484,'Stock pièces'!$A$5:$A$404,0)),"Réf. inconnue"))</f>
        <v/>
      </c>
      <c r="F1484" s="67" t="n"/>
      <c r="G1484" s="81">
        <f>IF(D1484="","",IFERROR(INDEX('Stock pièces'!$I$5:$I$404,MATCH(D1484,'Stock pièces'!$A$5:$A$404,0)),0))</f>
        <v/>
      </c>
      <c r="H1484" s="81">
        <f>IF(D1484="","",N(F1484)*N(G1484))</f>
        <v/>
      </c>
      <c r="I1484" s="7" t="n"/>
      <c r="J1484" s="9">
        <f>IF(I1484="","",IFERROR(INDEX('Ordres de travail'!$D$5:$D$3004,MATCH(I1484,'Ordres de travail'!$A$5:$A$3004,0)),""))</f>
        <v/>
      </c>
      <c r="K1484" s="9">
        <f>IF(D1484="","",IFERROR(INDEX('Stock pièces'!$D$5:$D$404,MATCH(D1484,'Stock pièces'!$A$5:$A$404,0)),""))</f>
        <v/>
      </c>
      <c r="L1484" s="7" t="n"/>
      <c r="M1484" s="7" t="n"/>
    </row>
    <row r="1485">
      <c r="A1485" s="7" t="n"/>
      <c r="B1485" s="75" t="n"/>
      <c r="C1485" s="7" t="n"/>
      <c r="D1485" s="7" t="n"/>
      <c r="E1485" s="9">
        <f>IF(D1485="","",IFERROR(INDEX('Stock pièces'!$B$5:$B$404,MATCH(D1485,'Stock pièces'!$A$5:$A$404,0)),"Réf. inconnue"))</f>
        <v/>
      </c>
      <c r="F1485" s="67" t="n"/>
      <c r="G1485" s="81">
        <f>IF(D1485="","",IFERROR(INDEX('Stock pièces'!$I$5:$I$404,MATCH(D1485,'Stock pièces'!$A$5:$A$404,0)),0))</f>
        <v/>
      </c>
      <c r="H1485" s="81">
        <f>IF(D1485="","",N(F1485)*N(G1485))</f>
        <v/>
      </c>
      <c r="I1485" s="7" t="n"/>
      <c r="J1485" s="9">
        <f>IF(I1485="","",IFERROR(INDEX('Ordres de travail'!$D$5:$D$3004,MATCH(I1485,'Ordres de travail'!$A$5:$A$3004,0)),""))</f>
        <v/>
      </c>
      <c r="K1485" s="9">
        <f>IF(D1485="","",IFERROR(INDEX('Stock pièces'!$D$5:$D$404,MATCH(D1485,'Stock pièces'!$A$5:$A$404,0)),""))</f>
        <v/>
      </c>
      <c r="L1485" s="7" t="n"/>
      <c r="M1485" s="7" t="n"/>
    </row>
    <row r="1486">
      <c r="A1486" s="7" t="n"/>
      <c r="B1486" s="75" t="n"/>
      <c r="C1486" s="7" t="n"/>
      <c r="D1486" s="7" t="n"/>
      <c r="E1486" s="9">
        <f>IF(D1486="","",IFERROR(INDEX('Stock pièces'!$B$5:$B$404,MATCH(D1486,'Stock pièces'!$A$5:$A$404,0)),"Réf. inconnue"))</f>
        <v/>
      </c>
      <c r="F1486" s="67" t="n"/>
      <c r="G1486" s="81">
        <f>IF(D1486="","",IFERROR(INDEX('Stock pièces'!$I$5:$I$404,MATCH(D1486,'Stock pièces'!$A$5:$A$404,0)),0))</f>
        <v/>
      </c>
      <c r="H1486" s="81">
        <f>IF(D1486="","",N(F1486)*N(G1486))</f>
        <v/>
      </c>
      <c r="I1486" s="7" t="n"/>
      <c r="J1486" s="9">
        <f>IF(I1486="","",IFERROR(INDEX('Ordres de travail'!$D$5:$D$3004,MATCH(I1486,'Ordres de travail'!$A$5:$A$3004,0)),""))</f>
        <v/>
      </c>
      <c r="K1486" s="9">
        <f>IF(D1486="","",IFERROR(INDEX('Stock pièces'!$D$5:$D$404,MATCH(D1486,'Stock pièces'!$A$5:$A$404,0)),""))</f>
        <v/>
      </c>
      <c r="L1486" s="7" t="n"/>
      <c r="M1486" s="7" t="n"/>
    </row>
    <row r="1487">
      <c r="A1487" s="7" t="n"/>
      <c r="B1487" s="75" t="n"/>
      <c r="C1487" s="7" t="n"/>
      <c r="D1487" s="7" t="n"/>
      <c r="E1487" s="9">
        <f>IF(D1487="","",IFERROR(INDEX('Stock pièces'!$B$5:$B$404,MATCH(D1487,'Stock pièces'!$A$5:$A$404,0)),"Réf. inconnue"))</f>
        <v/>
      </c>
      <c r="F1487" s="67" t="n"/>
      <c r="G1487" s="81">
        <f>IF(D1487="","",IFERROR(INDEX('Stock pièces'!$I$5:$I$404,MATCH(D1487,'Stock pièces'!$A$5:$A$404,0)),0))</f>
        <v/>
      </c>
      <c r="H1487" s="81">
        <f>IF(D1487="","",N(F1487)*N(G1487))</f>
        <v/>
      </c>
      <c r="I1487" s="7" t="n"/>
      <c r="J1487" s="9">
        <f>IF(I1487="","",IFERROR(INDEX('Ordres de travail'!$D$5:$D$3004,MATCH(I1487,'Ordres de travail'!$A$5:$A$3004,0)),""))</f>
        <v/>
      </c>
      <c r="K1487" s="9">
        <f>IF(D1487="","",IFERROR(INDEX('Stock pièces'!$D$5:$D$404,MATCH(D1487,'Stock pièces'!$A$5:$A$404,0)),""))</f>
        <v/>
      </c>
      <c r="L1487" s="7" t="n"/>
      <c r="M1487" s="7" t="n"/>
    </row>
    <row r="1488">
      <c r="A1488" s="7" t="n"/>
      <c r="B1488" s="75" t="n"/>
      <c r="C1488" s="7" t="n"/>
      <c r="D1488" s="7" t="n"/>
      <c r="E1488" s="9">
        <f>IF(D1488="","",IFERROR(INDEX('Stock pièces'!$B$5:$B$404,MATCH(D1488,'Stock pièces'!$A$5:$A$404,0)),"Réf. inconnue"))</f>
        <v/>
      </c>
      <c r="F1488" s="67" t="n"/>
      <c r="G1488" s="81">
        <f>IF(D1488="","",IFERROR(INDEX('Stock pièces'!$I$5:$I$404,MATCH(D1488,'Stock pièces'!$A$5:$A$404,0)),0))</f>
        <v/>
      </c>
      <c r="H1488" s="81">
        <f>IF(D1488="","",N(F1488)*N(G1488))</f>
        <v/>
      </c>
      <c r="I1488" s="7" t="n"/>
      <c r="J1488" s="9">
        <f>IF(I1488="","",IFERROR(INDEX('Ordres de travail'!$D$5:$D$3004,MATCH(I1488,'Ordres de travail'!$A$5:$A$3004,0)),""))</f>
        <v/>
      </c>
      <c r="K1488" s="9">
        <f>IF(D1488="","",IFERROR(INDEX('Stock pièces'!$D$5:$D$404,MATCH(D1488,'Stock pièces'!$A$5:$A$404,0)),""))</f>
        <v/>
      </c>
      <c r="L1488" s="7" t="n"/>
      <c r="M1488" s="7" t="n"/>
    </row>
    <row r="1489">
      <c r="A1489" s="7" t="n"/>
      <c r="B1489" s="75" t="n"/>
      <c r="C1489" s="7" t="n"/>
      <c r="D1489" s="7" t="n"/>
      <c r="E1489" s="9">
        <f>IF(D1489="","",IFERROR(INDEX('Stock pièces'!$B$5:$B$404,MATCH(D1489,'Stock pièces'!$A$5:$A$404,0)),"Réf. inconnue"))</f>
        <v/>
      </c>
      <c r="F1489" s="67" t="n"/>
      <c r="G1489" s="81">
        <f>IF(D1489="","",IFERROR(INDEX('Stock pièces'!$I$5:$I$404,MATCH(D1489,'Stock pièces'!$A$5:$A$404,0)),0))</f>
        <v/>
      </c>
      <c r="H1489" s="81">
        <f>IF(D1489="","",N(F1489)*N(G1489))</f>
        <v/>
      </c>
      <c r="I1489" s="7" t="n"/>
      <c r="J1489" s="9">
        <f>IF(I1489="","",IFERROR(INDEX('Ordres de travail'!$D$5:$D$3004,MATCH(I1489,'Ordres de travail'!$A$5:$A$3004,0)),""))</f>
        <v/>
      </c>
      <c r="K1489" s="9">
        <f>IF(D1489="","",IFERROR(INDEX('Stock pièces'!$D$5:$D$404,MATCH(D1489,'Stock pièces'!$A$5:$A$404,0)),""))</f>
        <v/>
      </c>
      <c r="L1489" s="7" t="n"/>
      <c r="M1489" s="7" t="n"/>
    </row>
    <row r="1490">
      <c r="A1490" s="7" t="n"/>
      <c r="B1490" s="75" t="n"/>
      <c r="C1490" s="7" t="n"/>
      <c r="D1490" s="7" t="n"/>
      <c r="E1490" s="9">
        <f>IF(D1490="","",IFERROR(INDEX('Stock pièces'!$B$5:$B$404,MATCH(D1490,'Stock pièces'!$A$5:$A$404,0)),"Réf. inconnue"))</f>
        <v/>
      </c>
      <c r="F1490" s="67" t="n"/>
      <c r="G1490" s="81">
        <f>IF(D1490="","",IFERROR(INDEX('Stock pièces'!$I$5:$I$404,MATCH(D1490,'Stock pièces'!$A$5:$A$404,0)),0))</f>
        <v/>
      </c>
      <c r="H1490" s="81">
        <f>IF(D1490="","",N(F1490)*N(G1490))</f>
        <v/>
      </c>
      <c r="I1490" s="7" t="n"/>
      <c r="J1490" s="9">
        <f>IF(I1490="","",IFERROR(INDEX('Ordres de travail'!$D$5:$D$3004,MATCH(I1490,'Ordres de travail'!$A$5:$A$3004,0)),""))</f>
        <v/>
      </c>
      <c r="K1490" s="9">
        <f>IF(D1490="","",IFERROR(INDEX('Stock pièces'!$D$5:$D$404,MATCH(D1490,'Stock pièces'!$A$5:$A$404,0)),""))</f>
        <v/>
      </c>
      <c r="L1490" s="7" t="n"/>
      <c r="M1490" s="7" t="n"/>
    </row>
    <row r="1491">
      <c r="A1491" s="7" t="n"/>
      <c r="B1491" s="75" t="n"/>
      <c r="C1491" s="7" t="n"/>
      <c r="D1491" s="7" t="n"/>
      <c r="E1491" s="9">
        <f>IF(D1491="","",IFERROR(INDEX('Stock pièces'!$B$5:$B$404,MATCH(D1491,'Stock pièces'!$A$5:$A$404,0)),"Réf. inconnue"))</f>
        <v/>
      </c>
      <c r="F1491" s="67" t="n"/>
      <c r="G1491" s="81">
        <f>IF(D1491="","",IFERROR(INDEX('Stock pièces'!$I$5:$I$404,MATCH(D1491,'Stock pièces'!$A$5:$A$404,0)),0))</f>
        <v/>
      </c>
      <c r="H1491" s="81">
        <f>IF(D1491="","",N(F1491)*N(G1491))</f>
        <v/>
      </c>
      <c r="I1491" s="7" t="n"/>
      <c r="J1491" s="9">
        <f>IF(I1491="","",IFERROR(INDEX('Ordres de travail'!$D$5:$D$3004,MATCH(I1491,'Ordres de travail'!$A$5:$A$3004,0)),""))</f>
        <v/>
      </c>
      <c r="K1491" s="9">
        <f>IF(D1491="","",IFERROR(INDEX('Stock pièces'!$D$5:$D$404,MATCH(D1491,'Stock pièces'!$A$5:$A$404,0)),""))</f>
        <v/>
      </c>
      <c r="L1491" s="7" t="n"/>
      <c r="M1491" s="7" t="n"/>
    </row>
    <row r="1492">
      <c r="A1492" s="7" t="n"/>
      <c r="B1492" s="75" t="n"/>
      <c r="C1492" s="7" t="n"/>
      <c r="D1492" s="7" t="n"/>
      <c r="E1492" s="9">
        <f>IF(D1492="","",IFERROR(INDEX('Stock pièces'!$B$5:$B$404,MATCH(D1492,'Stock pièces'!$A$5:$A$404,0)),"Réf. inconnue"))</f>
        <v/>
      </c>
      <c r="F1492" s="67" t="n"/>
      <c r="G1492" s="81">
        <f>IF(D1492="","",IFERROR(INDEX('Stock pièces'!$I$5:$I$404,MATCH(D1492,'Stock pièces'!$A$5:$A$404,0)),0))</f>
        <v/>
      </c>
      <c r="H1492" s="81">
        <f>IF(D1492="","",N(F1492)*N(G1492))</f>
        <v/>
      </c>
      <c r="I1492" s="7" t="n"/>
      <c r="J1492" s="9">
        <f>IF(I1492="","",IFERROR(INDEX('Ordres de travail'!$D$5:$D$3004,MATCH(I1492,'Ordres de travail'!$A$5:$A$3004,0)),""))</f>
        <v/>
      </c>
      <c r="K1492" s="9">
        <f>IF(D1492="","",IFERROR(INDEX('Stock pièces'!$D$5:$D$404,MATCH(D1492,'Stock pièces'!$A$5:$A$404,0)),""))</f>
        <v/>
      </c>
      <c r="L1492" s="7" t="n"/>
      <c r="M1492" s="7" t="n"/>
    </row>
    <row r="1493">
      <c r="A1493" s="7" t="n"/>
      <c r="B1493" s="75" t="n"/>
      <c r="C1493" s="7" t="n"/>
      <c r="D1493" s="7" t="n"/>
      <c r="E1493" s="9">
        <f>IF(D1493="","",IFERROR(INDEX('Stock pièces'!$B$5:$B$404,MATCH(D1493,'Stock pièces'!$A$5:$A$404,0)),"Réf. inconnue"))</f>
        <v/>
      </c>
      <c r="F1493" s="67" t="n"/>
      <c r="G1493" s="81">
        <f>IF(D1493="","",IFERROR(INDEX('Stock pièces'!$I$5:$I$404,MATCH(D1493,'Stock pièces'!$A$5:$A$404,0)),0))</f>
        <v/>
      </c>
      <c r="H1493" s="81">
        <f>IF(D1493="","",N(F1493)*N(G1493))</f>
        <v/>
      </c>
      <c r="I1493" s="7" t="n"/>
      <c r="J1493" s="9">
        <f>IF(I1493="","",IFERROR(INDEX('Ordres de travail'!$D$5:$D$3004,MATCH(I1493,'Ordres de travail'!$A$5:$A$3004,0)),""))</f>
        <v/>
      </c>
      <c r="K1493" s="9">
        <f>IF(D1493="","",IFERROR(INDEX('Stock pièces'!$D$5:$D$404,MATCH(D1493,'Stock pièces'!$A$5:$A$404,0)),""))</f>
        <v/>
      </c>
      <c r="L1493" s="7" t="n"/>
      <c r="M1493" s="7" t="n"/>
    </row>
    <row r="1494">
      <c r="A1494" s="7" t="n"/>
      <c r="B1494" s="75" t="n"/>
      <c r="C1494" s="7" t="n"/>
      <c r="D1494" s="7" t="n"/>
      <c r="E1494" s="9">
        <f>IF(D1494="","",IFERROR(INDEX('Stock pièces'!$B$5:$B$404,MATCH(D1494,'Stock pièces'!$A$5:$A$404,0)),"Réf. inconnue"))</f>
        <v/>
      </c>
      <c r="F1494" s="67" t="n"/>
      <c r="G1494" s="81">
        <f>IF(D1494="","",IFERROR(INDEX('Stock pièces'!$I$5:$I$404,MATCH(D1494,'Stock pièces'!$A$5:$A$404,0)),0))</f>
        <v/>
      </c>
      <c r="H1494" s="81">
        <f>IF(D1494="","",N(F1494)*N(G1494))</f>
        <v/>
      </c>
      <c r="I1494" s="7" t="n"/>
      <c r="J1494" s="9">
        <f>IF(I1494="","",IFERROR(INDEX('Ordres de travail'!$D$5:$D$3004,MATCH(I1494,'Ordres de travail'!$A$5:$A$3004,0)),""))</f>
        <v/>
      </c>
      <c r="K1494" s="9">
        <f>IF(D1494="","",IFERROR(INDEX('Stock pièces'!$D$5:$D$404,MATCH(D1494,'Stock pièces'!$A$5:$A$404,0)),""))</f>
        <v/>
      </c>
      <c r="L1494" s="7" t="n"/>
      <c r="M1494" s="7" t="n"/>
    </row>
    <row r="1495">
      <c r="A1495" s="7" t="n"/>
      <c r="B1495" s="75" t="n"/>
      <c r="C1495" s="7" t="n"/>
      <c r="D1495" s="7" t="n"/>
      <c r="E1495" s="9">
        <f>IF(D1495="","",IFERROR(INDEX('Stock pièces'!$B$5:$B$404,MATCH(D1495,'Stock pièces'!$A$5:$A$404,0)),"Réf. inconnue"))</f>
        <v/>
      </c>
      <c r="F1495" s="67" t="n"/>
      <c r="G1495" s="81">
        <f>IF(D1495="","",IFERROR(INDEX('Stock pièces'!$I$5:$I$404,MATCH(D1495,'Stock pièces'!$A$5:$A$404,0)),0))</f>
        <v/>
      </c>
      <c r="H1495" s="81">
        <f>IF(D1495="","",N(F1495)*N(G1495))</f>
        <v/>
      </c>
      <c r="I1495" s="7" t="n"/>
      <c r="J1495" s="9">
        <f>IF(I1495="","",IFERROR(INDEX('Ordres de travail'!$D$5:$D$3004,MATCH(I1495,'Ordres de travail'!$A$5:$A$3004,0)),""))</f>
        <v/>
      </c>
      <c r="K1495" s="9">
        <f>IF(D1495="","",IFERROR(INDEX('Stock pièces'!$D$5:$D$404,MATCH(D1495,'Stock pièces'!$A$5:$A$404,0)),""))</f>
        <v/>
      </c>
      <c r="L1495" s="7" t="n"/>
      <c r="M1495" s="7" t="n"/>
    </row>
    <row r="1496">
      <c r="A1496" s="7" t="n"/>
      <c r="B1496" s="75" t="n"/>
      <c r="C1496" s="7" t="n"/>
      <c r="D1496" s="7" t="n"/>
      <c r="E1496" s="9">
        <f>IF(D1496="","",IFERROR(INDEX('Stock pièces'!$B$5:$B$404,MATCH(D1496,'Stock pièces'!$A$5:$A$404,0)),"Réf. inconnue"))</f>
        <v/>
      </c>
      <c r="F1496" s="67" t="n"/>
      <c r="G1496" s="81">
        <f>IF(D1496="","",IFERROR(INDEX('Stock pièces'!$I$5:$I$404,MATCH(D1496,'Stock pièces'!$A$5:$A$404,0)),0))</f>
        <v/>
      </c>
      <c r="H1496" s="81">
        <f>IF(D1496="","",N(F1496)*N(G1496))</f>
        <v/>
      </c>
      <c r="I1496" s="7" t="n"/>
      <c r="J1496" s="9">
        <f>IF(I1496="","",IFERROR(INDEX('Ordres de travail'!$D$5:$D$3004,MATCH(I1496,'Ordres de travail'!$A$5:$A$3004,0)),""))</f>
        <v/>
      </c>
      <c r="K1496" s="9">
        <f>IF(D1496="","",IFERROR(INDEX('Stock pièces'!$D$5:$D$404,MATCH(D1496,'Stock pièces'!$A$5:$A$404,0)),""))</f>
        <v/>
      </c>
      <c r="L1496" s="7" t="n"/>
      <c r="M1496" s="7" t="n"/>
    </row>
    <row r="1497">
      <c r="A1497" s="7" t="n"/>
      <c r="B1497" s="75" t="n"/>
      <c r="C1497" s="7" t="n"/>
      <c r="D1497" s="7" t="n"/>
      <c r="E1497" s="9">
        <f>IF(D1497="","",IFERROR(INDEX('Stock pièces'!$B$5:$B$404,MATCH(D1497,'Stock pièces'!$A$5:$A$404,0)),"Réf. inconnue"))</f>
        <v/>
      </c>
      <c r="F1497" s="67" t="n"/>
      <c r="G1497" s="81">
        <f>IF(D1497="","",IFERROR(INDEX('Stock pièces'!$I$5:$I$404,MATCH(D1497,'Stock pièces'!$A$5:$A$404,0)),0))</f>
        <v/>
      </c>
      <c r="H1497" s="81">
        <f>IF(D1497="","",N(F1497)*N(G1497))</f>
        <v/>
      </c>
      <c r="I1497" s="7" t="n"/>
      <c r="J1497" s="9">
        <f>IF(I1497="","",IFERROR(INDEX('Ordres de travail'!$D$5:$D$3004,MATCH(I1497,'Ordres de travail'!$A$5:$A$3004,0)),""))</f>
        <v/>
      </c>
      <c r="K1497" s="9">
        <f>IF(D1497="","",IFERROR(INDEX('Stock pièces'!$D$5:$D$404,MATCH(D1497,'Stock pièces'!$A$5:$A$404,0)),""))</f>
        <v/>
      </c>
      <c r="L1497" s="7" t="n"/>
      <c r="M1497" s="7" t="n"/>
    </row>
    <row r="1498">
      <c r="A1498" s="7" t="n"/>
      <c r="B1498" s="75" t="n"/>
      <c r="C1498" s="7" t="n"/>
      <c r="D1498" s="7" t="n"/>
      <c r="E1498" s="9">
        <f>IF(D1498="","",IFERROR(INDEX('Stock pièces'!$B$5:$B$404,MATCH(D1498,'Stock pièces'!$A$5:$A$404,0)),"Réf. inconnue"))</f>
        <v/>
      </c>
      <c r="F1498" s="67" t="n"/>
      <c r="G1498" s="81">
        <f>IF(D1498="","",IFERROR(INDEX('Stock pièces'!$I$5:$I$404,MATCH(D1498,'Stock pièces'!$A$5:$A$404,0)),0))</f>
        <v/>
      </c>
      <c r="H1498" s="81">
        <f>IF(D1498="","",N(F1498)*N(G1498))</f>
        <v/>
      </c>
      <c r="I1498" s="7" t="n"/>
      <c r="J1498" s="9">
        <f>IF(I1498="","",IFERROR(INDEX('Ordres de travail'!$D$5:$D$3004,MATCH(I1498,'Ordres de travail'!$A$5:$A$3004,0)),""))</f>
        <v/>
      </c>
      <c r="K1498" s="9">
        <f>IF(D1498="","",IFERROR(INDEX('Stock pièces'!$D$5:$D$404,MATCH(D1498,'Stock pièces'!$A$5:$A$404,0)),""))</f>
        <v/>
      </c>
      <c r="L1498" s="7" t="n"/>
      <c r="M1498" s="7" t="n"/>
    </row>
    <row r="1499">
      <c r="A1499" s="7" t="n"/>
      <c r="B1499" s="75" t="n"/>
      <c r="C1499" s="7" t="n"/>
      <c r="D1499" s="7" t="n"/>
      <c r="E1499" s="9">
        <f>IF(D1499="","",IFERROR(INDEX('Stock pièces'!$B$5:$B$404,MATCH(D1499,'Stock pièces'!$A$5:$A$404,0)),"Réf. inconnue"))</f>
        <v/>
      </c>
      <c r="F1499" s="67" t="n"/>
      <c r="G1499" s="81">
        <f>IF(D1499="","",IFERROR(INDEX('Stock pièces'!$I$5:$I$404,MATCH(D1499,'Stock pièces'!$A$5:$A$404,0)),0))</f>
        <v/>
      </c>
      <c r="H1499" s="81">
        <f>IF(D1499="","",N(F1499)*N(G1499))</f>
        <v/>
      </c>
      <c r="I1499" s="7" t="n"/>
      <c r="J1499" s="9">
        <f>IF(I1499="","",IFERROR(INDEX('Ordres de travail'!$D$5:$D$3004,MATCH(I1499,'Ordres de travail'!$A$5:$A$3004,0)),""))</f>
        <v/>
      </c>
      <c r="K1499" s="9">
        <f>IF(D1499="","",IFERROR(INDEX('Stock pièces'!$D$5:$D$404,MATCH(D1499,'Stock pièces'!$A$5:$A$404,0)),""))</f>
        <v/>
      </c>
      <c r="L1499" s="7" t="n"/>
      <c r="M1499" s="7" t="n"/>
    </row>
    <row r="1500">
      <c r="A1500" s="7" t="n"/>
      <c r="B1500" s="75" t="n"/>
      <c r="C1500" s="7" t="n"/>
      <c r="D1500" s="7" t="n"/>
      <c r="E1500" s="9">
        <f>IF(D1500="","",IFERROR(INDEX('Stock pièces'!$B$5:$B$404,MATCH(D1500,'Stock pièces'!$A$5:$A$404,0)),"Réf. inconnue"))</f>
        <v/>
      </c>
      <c r="F1500" s="67" t="n"/>
      <c r="G1500" s="81">
        <f>IF(D1500="","",IFERROR(INDEX('Stock pièces'!$I$5:$I$404,MATCH(D1500,'Stock pièces'!$A$5:$A$404,0)),0))</f>
        <v/>
      </c>
      <c r="H1500" s="81">
        <f>IF(D1500="","",N(F1500)*N(G1500))</f>
        <v/>
      </c>
      <c r="I1500" s="7" t="n"/>
      <c r="J1500" s="9">
        <f>IF(I1500="","",IFERROR(INDEX('Ordres de travail'!$D$5:$D$3004,MATCH(I1500,'Ordres de travail'!$A$5:$A$3004,0)),""))</f>
        <v/>
      </c>
      <c r="K1500" s="9">
        <f>IF(D1500="","",IFERROR(INDEX('Stock pièces'!$D$5:$D$404,MATCH(D1500,'Stock pièces'!$A$5:$A$404,0)),""))</f>
        <v/>
      </c>
      <c r="L1500" s="7" t="n"/>
      <c r="M1500" s="7" t="n"/>
    </row>
    <row r="1501">
      <c r="A1501" s="7" t="n"/>
      <c r="B1501" s="75" t="n"/>
      <c r="C1501" s="7" t="n"/>
      <c r="D1501" s="7" t="n"/>
      <c r="E1501" s="9">
        <f>IF(D1501="","",IFERROR(INDEX('Stock pièces'!$B$5:$B$404,MATCH(D1501,'Stock pièces'!$A$5:$A$404,0)),"Réf. inconnue"))</f>
        <v/>
      </c>
      <c r="F1501" s="67" t="n"/>
      <c r="G1501" s="81">
        <f>IF(D1501="","",IFERROR(INDEX('Stock pièces'!$I$5:$I$404,MATCH(D1501,'Stock pièces'!$A$5:$A$404,0)),0))</f>
        <v/>
      </c>
      <c r="H1501" s="81">
        <f>IF(D1501="","",N(F1501)*N(G1501))</f>
        <v/>
      </c>
      <c r="I1501" s="7" t="n"/>
      <c r="J1501" s="9">
        <f>IF(I1501="","",IFERROR(INDEX('Ordres de travail'!$D$5:$D$3004,MATCH(I1501,'Ordres de travail'!$A$5:$A$3004,0)),""))</f>
        <v/>
      </c>
      <c r="K1501" s="9">
        <f>IF(D1501="","",IFERROR(INDEX('Stock pièces'!$D$5:$D$404,MATCH(D1501,'Stock pièces'!$A$5:$A$404,0)),""))</f>
        <v/>
      </c>
      <c r="L1501" s="7" t="n"/>
      <c r="M1501" s="7" t="n"/>
    </row>
    <row r="1502">
      <c r="A1502" s="7" t="n"/>
      <c r="B1502" s="75" t="n"/>
      <c r="C1502" s="7" t="n"/>
      <c r="D1502" s="7" t="n"/>
      <c r="E1502" s="9">
        <f>IF(D1502="","",IFERROR(INDEX('Stock pièces'!$B$5:$B$404,MATCH(D1502,'Stock pièces'!$A$5:$A$404,0)),"Réf. inconnue"))</f>
        <v/>
      </c>
      <c r="F1502" s="67" t="n"/>
      <c r="G1502" s="81">
        <f>IF(D1502="","",IFERROR(INDEX('Stock pièces'!$I$5:$I$404,MATCH(D1502,'Stock pièces'!$A$5:$A$404,0)),0))</f>
        <v/>
      </c>
      <c r="H1502" s="81">
        <f>IF(D1502="","",N(F1502)*N(G1502))</f>
        <v/>
      </c>
      <c r="I1502" s="7" t="n"/>
      <c r="J1502" s="9">
        <f>IF(I1502="","",IFERROR(INDEX('Ordres de travail'!$D$5:$D$3004,MATCH(I1502,'Ordres de travail'!$A$5:$A$3004,0)),""))</f>
        <v/>
      </c>
      <c r="K1502" s="9">
        <f>IF(D1502="","",IFERROR(INDEX('Stock pièces'!$D$5:$D$404,MATCH(D1502,'Stock pièces'!$A$5:$A$404,0)),""))</f>
        <v/>
      </c>
      <c r="L1502" s="7" t="n"/>
      <c r="M1502" s="7" t="n"/>
    </row>
    <row r="1503">
      <c r="A1503" s="7" t="n"/>
      <c r="B1503" s="75" t="n"/>
      <c r="C1503" s="7" t="n"/>
      <c r="D1503" s="7" t="n"/>
      <c r="E1503" s="9">
        <f>IF(D1503="","",IFERROR(INDEX('Stock pièces'!$B$5:$B$404,MATCH(D1503,'Stock pièces'!$A$5:$A$404,0)),"Réf. inconnue"))</f>
        <v/>
      </c>
      <c r="F1503" s="67" t="n"/>
      <c r="G1503" s="81">
        <f>IF(D1503="","",IFERROR(INDEX('Stock pièces'!$I$5:$I$404,MATCH(D1503,'Stock pièces'!$A$5:$A$404,0)),0))</f>
        <v/>
      </c>
      <c r="H1503" s="81">
        <f>IF(D1503="","",N(F1503)*N(G1503))</f>
        <v/>
      </c>
      <c r="I1503" s="7" t="n"/>
      <c r="J1503" s="9">
        <f>IF(I1503="","",IFERROR(INDEX('Ordres de travail'!$D$5:$D$3004,MATCH(I1503,'Ordres de travail'!$A$5:$A$3004,0)),""))</f>
        <v/>
      </c>
      <c r="K1503" s="9">
        <f>IF(D1503="","",IFERROR(INDEX('Stock pièces'!$D$5:$D$404,MATCH(D1503,'Stock pièces'!$A$5:$A$404,0)),""))</f>
        <v/>
      </c>
      <c r="L1503" s="7" t="n"/>
      <c r="M1503" s="7" t="n"/>
    </row>
    <row r="1504">
      <c r="A1504" s="7" t="n"/>
      <c r="B1504" s="75" t="n"/>
      <c r="C1504" s="7" t="n"/>
      <c r="D1504" s="7" t="n"/>
      <c r="E1504" s="9">
        <f>IF(D1504="","",IFERROR(INDEX('Stock pièces'!$B$5:$B$404,MATCH(D1504,'Stock pièces'!$A$5:$A$404,0)),"Réf. inconnue"))</f>
        <v/>
      </c>
      <c r="F1504" s="67" t="n"/>
      <c r="G1504" s="81">
        <f>IF(D1504="","",IFERROR(INDEX('Stock pièces'!$I$5:$I$404,MATCH(D1504,'Stock pièces'!$A$5:$A$404,0)),0))</f>
        <v/>
      </c>
      <c r="H1504" s="81">
        <f>IF(D1504="","",N(F1504)*N(G1504))</f>
        <v/>
      </c>
      <c r="I1504" s="7" t="n"/>
      <c r="J1504" s="9">
        <f>IF(I1504="","",IFERROR(INDEX('Ordres de travail'!$D$5:$D$3004,MATCH(I1504,'Ordres de travail'!$A$5:$A$3004,0)),""))</f>
        <v/>
      </c>
      <c r="K1504" s="9">
        <f>IF(D1504="","",IFERROR(INDEX('Stock pièces'!$D$5:$D$404,MATCH(D1504,'Stock pièces'!$A$5:$A$404,0)),""))</f>
        <v/>
      </c>
      <c r="L1504" s="7" t="n"/>
      <c r="M1504" s="7" t="n"/>
    </row>
    <row r="1505">
      <c r="A1505" s="7" t="n"/>
      <c r="B1505" s="75" t="n"/>
      <c r="C1505" s="7" t="n"/>
      <c r="D1505" s="7" t="n"/>
      <c r="E1505" s="9">
        <f>IF(D1505="","",IFERROR(INDEX('Stock pièces'!$B$5:$B$404,MATCH(D1505,'Stock pièces'!$A$5:$A$404,0)),"Réf. inconnue"))</f>
        <v/>
      </c>
      <c r="F1505" s="67" t="n"/>
      <c r="G1505" s="81">
        <f>IF(D1505="","",IFERROR(INDEX('Stock pièces'!$I$5:$I$404,MATCH(D1505,'Stock pièces'!$A$5:$A$404,0)),0))</f>
        <v/>
      </c>
      <c r="H1505" s="81">
        <f>IF(D1505="","",N(F1505)*N(G1505))</f>
        <v/>
      </c>
      <c r="I1505" s="7" t="n"/>
      <c r="J1505" s="9">
        <f>IF(I1505="","",IFERROR(INDEX('Ordres de travail'!$D$5:$D$3004,MATCH(I1505,'Ordres de travail'!$A$5:$A$3004,0)),""))</f>
        <v/>
      </c>
      <c r="K1505" s="9">
        <f>IF(D1505="","",IFERROR(INDEX('Stock pièces'!$D$5:$D$404,MATCH(D1505,'Stock pièces'!$A$5:$A$404,0)),""))</f>
        <v/>
      </c>
      <c r="L1505" s="7" t="n"/>
      <c r="M1505" s="7" t="n"/>
    </row>
    <row r="1506">
      <c r="A1506" s="7" t="n"/>
      <c r="B1506" s="75" t="n"/>
      <c r="C1506" s="7" t="n"/>
      <c r="D1506" s="7" t="n"/>
      <c r="E1506" s="9">
        <f>IF(D1506="","",IFERROR(INDEX('Stock pièces'!$B$5:$B$404,MATCH(D1506,'Stock pièces'!$A$5:$A$404,0)),"Réf. inconnue"))</f>
        <v/>
      </c>
      <c r="F1506" s="67" t="n"/>
      <c r="G1506" s="81">
        <f>IF(D1506="","",IFERROR(INDEX('Stock pièces'!$I$5:$I$404,MATCH(D1506,'Stock pièces'!$A$5:$A$404,0)),0))</f>
        <v/>
      </c>
      <c r="H1506" s="81">
        <f>IF(D1506="","",N(F1506)*N(G1506))</f>
        <v/>
      </c>
      <c r="I1506" s="7" t="n"/>
      <c r="J1506" s="9">
        <f>IF(I1506="","",IFERROR(INDEX('Ordres de travail'!$D$5:$D$3004,MATCH(I1506,'Ordres de travail'!$A$5:$A$3004,0)),""))</f>
        <v/>
      </c>
      <c r="K1506" s="9">
        <f>IF(D1506="","",IFERROR(INDEX('Stock pièces'!$D$5:$D$404,MATCH(D1506,'Stock pièces'!$A$5:$A$404,0)),""))</f>
        <v/>
      </c>
      <c r="L1506" s="7" t="n"/>
      <c r="M1506" s="7" t="n"/>
    </row>
    <row r="1507">
      <c r="A1507" s="7" t="n"/>
      <c r="B1507" s="75" t="n"/>
      <c r="C1507" s="7" t="n"/>
      <c r="D1507" s="7" t="n"/>
      <c r="E1507" s="9">
        <f>IF(D1507="","",IFERROR(INDEX('Stock pièces'!$B$5:$B$404,MATCH(D1507,'Stock pièces'!$A$5:$A$404,0)),"Réf. inconnue"))</f>
        <v/>
      </c>
      <c r="F1507" s="67" t="n"/>
      <c r="G1507" s="81">
        <f>IF(D1507="","",IFERROR(INDEX('Stock pièces'!$I$5:$I$404,MATCH(D1507,'Stock pièces'!$A$5:$A$404,0)),0))</f>
        <v/>
      </c>
      <c r="H1507" s="81">
        <f>IF(D1507="","",N(F1507)*N(G1507))</f>
        <v/>
      </c>
      <c r="I1507" s="7" t="n"/>
      <c r="J1507" s="9">
        <f>IF(I1507="","",IFERROR(INDEX('Ordres de travail'!$D$5:$D$3004,MATCH(I1507,'Ordres de travail'!$A$5:$A$3004,0)),""))</f>
        <v/>
      </c>
      <c r="K1507" s="9">
        <f>IF(D1507="","",IFERROR(INDEX('Stock pièces'!$D$5:$D$404,MATCH(D1507,'Stock pièces'!$A$5:$A$404,0)),""))</f>
        <v/>
      </c>
      <c r="L1507" s="7" t="n"/>
      <c r="M1507" s="7" t="n"/>
    </row>
    <row r="1508">
      <c r="A1508" s="7" t="n"/>
      <c r="B1508" s="75" t="n"/>
      <c r="C1508" s="7" t="n"/>
      <c r="D1508" s="7" t="n"/>
      <c r="E1508" s="9">
        <f>IF(D1508="","",IFERROR(INDEX('Stock pièces'!$B$5:$B$404,MATCH(D1508,'Stock pièces'!$A$5:$A$404,0)),"Réf. inconnue"))</f>
        <v/>
      </c>
      <c r="F1508" s="67" t="n"/>
      <c r="G1508" s="81">
        <f>IF(D1508="","",IFERROR(INDEX('Stock pièces'!$I$5:$I$404,MATCH(D1508,'Stock pièces'!$A$5:$A$404,0)),0))</f>
        <v/>
      </c>
      <c r="H1508" s="81">
        <f>IF(D1508="","",N(F1508)*N(G1508))</f>
        <v/>
      </c>
      <c r="I1508" s="7" t="n"/>
      <c r="J1508" s="9">
        <f>IF(I1508="","",IFERROR(INDEX('Ordres de travail'!$D$5:$D$3004,MATCH(I1508,'Ordres de travail'!$A$5:$A$3004,0)),""))</f>
        <v/>
      </c>
      <c r="K1508" s="9">
        <f>IF(D1508="","",IFERROR(INDEX('Stock pièces'!$D$5:$D$404,MATCH(D1508,'Stock pièces'!$A$5:$A$404,0)),""))</f>
        <v/>
      </c>
      <c r="L1508" s="7" t="n"/>
      <c r="M1508" s="7" t="n"/>
    </row>
    <row r="1509">
      <c r="A1509" s="7" t="n"/>
      <c r="B1509" s="75" t="n"/>
      <c r="C1509" s="7" t="n"/>
      <c r="D1509" s="7" t="n"/>
      <c r="E1509" s="9">
        <f>IF(D1509="","",IFERROR(INDEX('Stock pièces'!$B$5:$B$404,MATCH(D1509,'Stock pièces'!$A$5:$A$404,0)),"Réf. inconnue"))</f>
        <v/>
      </c>
      <c r="F1509" s="67" t="n"/>
      <c r="G1509" s="81">
        <f>IF(D1509="","",IFERROR(INDEX('Stock pièces'!$I$5:$I$404,MATCH(D1509,'Stock pièces'!$A$5:$A$404,0)),0))</f>
        <v/>
      </c>
      <c r="H1509" s="81">
        <f>IF(D1509="","",N(F1509)*N(G1509))</f>
        <v/>
      </c>
      <c r="I1509" s="7" t="n"/>
      <c r="J1509" s="9">
        <f>IF(I1509="","",IFERROR(INDEX('Ordres de travail'!$D$5:$D$3004,MATCH(I1509,'Ordres de travail'!$A$5:$A$3004,0)),""))</f>
        <v/>
      </c>
      <c r="K1509" s="9">
        <f>IF(D1509="","",IFERROR(INDEX('Stock pièces'!$D$5:$D$404,MATCH(D1509,'Stock pièces'!$A$5:$A$404,0)),""))</f>
        <v/>
      </c>
      <c r="L1509" s="7" t="n"/>
      <c r="M1509" s="7" t="n"/>
    </row>
    <row r="1510">
      <c r="A1510" s="7" t="n"/>
      <c r="B1510" s="75" t="n"/>
      <c r="C1510" s="7" t="n"/>
      <c r="D1510" s="7" t="n"/>
      <c r="E1510" s="9">
        <f>IF(D1510="","",IFERROR(INDEX('Stock pièces'!$B$5:$B$404,MATCH(D1510,'Stock pièces'!$A$5:$A$404,0)),"Réf. inconnue"))</f>
        <v/>
      </c>
      <c r="F1510" s="67" t="n"/>
      <c r="G1510" s="81">
        <f>IF(D1510="","",IFERROR(INDEX('Stock pièces'!$I$5:$I$404,MATCH(D1510,'Stock pièces'!$A$5:$A$404,0)),0))</f>
        <v/>
      </c>
      <c r="H1510" s="81">
        <f>IF(D1510="","",N(F1510)*N(G1510))</f>
        <v/>
      </c>
      <c r="I1510" s="7" t="n"/>
      <c r="J1510" s="9">
        <f>IF(I1510="","",IFERROR(INDEX('Ordres de travail'!$D$5:$D$3004,MATCH(I1510,'Ordres de travail'!$A$5:$A$3004,0)),""))</f>
        <v/>
      </c>
      <c r="K1510" s="9">
        <f>IF(D1510="","",IFERROR(INDEX('Stock pièces'!$D$5:$D$404,MATCH(D1510,'Stock pièces'!$A$5:$A$404,0)),""))</f>
        <v/>
      </c>
      <c r="L1510" s="7" t="n"/>
      <c r="M1510" s="7" t="n"/>
    </row>
    <row r="1511">
      <c r="A1511" s="7" t="n"/>
      <c r="B1511" s="75" t="n"/>
      <c r="C1511" s="7" t="n"/>
      <c r="D1511" s="7" t="n"/>
      <c r="E1511" s="9">
        <f>IF(D1511="","",IFERROR(INDEX('Stock pièces'!$B$5:$B$404,MATCH(D1511,'Stock pièces'!$A$5:$A$404,0)),"Réf. inconnue"))</f>
        <v/>
      </c>
      <c r="F1511" s="67" t="n"/>
      <c r="G1511" s="81">
        <f>IF(D1511="","",IFERROR(INDEX('Stock pièces'!$I$5:$I$404,MATCH(D1511,'Stock pièces'!$A$5:$A$404,0)),0))</f>
        <v/>
      </c>
      <c r="H1511" s="81">
        <f>IF(D1511="","",N(F1511)*N(G1511))</f>
        <v/>
      </c>
      <c r="I1511" s="7" t="n"/>
      <c r="J1511" s="9">
        <f>IF(I1511="","",IFERROR(INDEX('Ordres de travail'!$D$5:$D$3004,MATCH(I1511,'Ordres de travail'!$A$5:$A$3004,0)),""))</f>
        <v/>
      </c>
      <c r="K1511" s="9">
        <f>IF(D1511="","",IFERROR(INDEX('Stock pièces'!$D$5:$D$404,MATCH(D1511,'Stock pièces'!$A$5:$A$404,0)),""))</f>
        <v/>
      </c>
      <c r="L1511" s="7" t="n"/>
      <c r="M1511" s="7" t="n"/>
    </row>
    <row r="1512">
      <c r="A1512" s="7" t="n"/>
      <c r="B1512" s="75" t="n"/>
      <c r="C1512" s="7" t="n"/>
      <c r="D1512" s="7" t="n"/>
      <c r="E1512" s="9">
        <f>IF(D1512="","",IFERROR(INDEX('Stock pièces'!$B$5:$B$404,MATCH(D1512,'Stock pièces'!$A$5:$A$404,0)),"Réf. inconnue"))</f>
        <v/>
      </c>
      <c r="F1512" s="67" t="n"/>
      <c r="G1512" s="81">
        <f>IF(D1512="","",IFERROR(INDEX('Stock pièces'!$I$5:$I$404,MATCH(D1512,'Stock pièces'!$A$5:$A$404,0)),0))</f>
        <v/>
      </c>
      <c r="H1512" s="81">
        <f>IF(D1512="","",N(F1512)*N(G1512))</f>
        <v/>
      </c>
      <c r="I1512" s="7" t="n"/>
      <c r="J1512" s="9">
        <f>IF(I1512="","",IFERROR(INDEX('Ordres de travail'!$D$5:$D$3004,MATCH(I1512,'Ordres de travail'!$A$5:$A$3004,0)),""))</f>
        <v/>
      </c>
      <c r="K1512" s="9">
        <f>IF(D1512="","",IFERROR(INDEX('Stock pièces'!$D$5:$D$404,MATCH(D1512,'Stock pièces'!$A$5:$A$404,0)),""))</f>
        <v/>
      </c>
      <c r="L1512" s="7" t="n"/>
      <c r="M1512" s="7" t="n"/>
    </row>
    <row r="1513">
      <c r="A1513" s="7" t="n"/>
      <c r="B1513" s="75" t="n"/>
      <c r="C1513" s="7" t="n"/>
      <c r="D1513" s="7" t="n"/>
      <c r="E1513" s="9">
        <f>IF(D1513="","",IFERROR(INDEX('Stock pièces'!$B$5:$B$404,MATCH(D1513,'Stock pièces'!$A$5:$A$404,0)),"Réf. inconnue"))</f>
        <v/>
      </c>
      <c r="F1513" s="67" t="n"/>
      <c r="G1513" s="81">
        <f>IF(D1513="","",IFERROR(INDEX('Stock pièces'!$I$5:$I$404,MATCH(D1513,'Stock pièces'!$A$5:$A$404,0)),0))</f>
        <v/>
      </c>
      <c r="H1513" s="81">
        <f>IF(D1513="","",N(F1513)*N(G1513))</f>
        <v/>
      </c>
      <c r="I1513" s="7" t="n"/>
      <c r="J1513" s="9">
        <f>IF(I1513="","",IFERROR(INDEX('Ordres de travail'!$D$5:$D$3004,MATCH(I1513,'Ordres de travail'!$A$5:$A$3004,0)),""))</f>
        <v/>
      </c>
      <c r="K1513" s="9">
        <f>IF(D1513="","",IFERROR(INDEX('Stock pièces'!$D$5:$D$404,MATCH(D1513,'Stock pièces'!$A$5:$A$404,0)),""))</f>
        <v/>
      </c>
      <c r="L1513" s="7" t="n"/>
      <c r="M1513" s="7" t="n"/>
    </row>
    <row r="1514">
      <c r="A1514" s="7" t="n"/>
      <c r="B1514" s="75" t="n"/>
      <c r="C1514" s="7" t="n"/>
      <c r="D1514" s="7" t="n"/>
      <c r="E1514" s="9">
        <f>IF(D1514="","",IFERROR(INDEX('Stock pièces'!$B$5:$B$404,MATCH(D1514,'Stock pièces'!$A$5:$A$404,0)),"Réf. inconnue"))</f>
        <v/>
      </c>
      <c r="F1514" s="67" t="n"/>
      <c r="G1514" s="81">
        <f>IF(D1514="","",IFERROR(INDEX('Stock pièces'!$I$5:$I$404,MATCH(D1514,'Stock pièces'!$A$5:$A$404,0)),0))</f>
        <v/>
      </c>
      <c r="H1514" s="81">
        <f>IF(D1514="","",N(F1514)*N(G1514))</f>
        <v/>
      </c>
      <c r="I1514" s="7" t="n"/>
      <c r="J1514" s="9">
        <f>IF(I1514="","",IFERROR(INDEX('Ordres de travail'!$D$5:$D$3004,MATCH(I1514,'Ordres de travail'!$A$5:$A$3004,0)),""))</f>
        <v/>
      </c>
      <c r="K1514" s="9">
        <f>IF(D1514="","",IFERROR(INDEX('Stock pièces'!$D$5:$D$404,MATCH(D1514,'Stock pièces'!$A$5:$A$404,0)),""))</f>
        <v/>
      </c>
      <c r="L1514" s="7" t="n"/>
      <c r="M1514" s="7" t="n"/>
    </row>
    <row r="1515">
      <c r="A1515" s="7" t="n"/>
      <c r="B1515" s="75" t="n"/>
      <c r="C1515" s="7" t="n"/>
      <c r="D1515" s="7" t="n"/>
      <c r="E1515" s="9">
        <f>IF(D1515="","",IFERROR(INDEX('Stock pièces'!$B$5:$B$404,MATCH(D1515,'Stock pièces'!$A$5:$A$404,0)),"Réf. inconnue"))</f>
        <v/>
      </c>
      <c r="F1515" s="67" t="n"/>
      <c r="G1515" s="81">
        <f>IF(D1515="","",IFERROR(INDEX('Stock pièces'!$I$5:$I$404,MATCH(D1515,'Stock pièces'!$A$5:$A$404,0)),0))</f>
        <v/>
      </c>
      <c r="H1515" s="81">
        <f>IF(D1515="","",N(F1515)*N(G1515))</f>
        <v/>
      </c>
      <c r="I1515" s="7" t="n"/>
      <c r="J1515" s="9">
        <f>IF(I1515="","",IFERROR(INDEX('Ordres de travail'!$D$5:$D$3004,MATCH(I1515,'Ordres de travail'!$A$5:$A$3004,0)),""))</f>
        <v/>
      </c>
      <c r="K1515" s="9">
        <f>IF(D1515="","",IFERROR(INDEX('Stock pièces'!$D$5:$D$404,MATCH(D1515,'Stock pièces'!$A$5:$A$404,0)),""))</f>
        <v/>
      </c>
      <c r="L1515" s="7" t="n"/>
      <c r="M1515" s="7" t="n"/>
    </row>
    <row r="1516">
      <c r="A1516" s="7" t="n"/>
      <c r="B1516" s="75" t="n"/>
      <c r="C1516" s="7" t="n"/>
      <c r="D1516" s="7" t="n"/>
      <c r="E1516" s="9">
        <f>IF(D1516="","",IFERROR(INDEX('Stock pièces'!$B$5:$B$404,MATCH(D1516,'Stock pièces'!$A$5:$A$404,0)),"Réf. inconnue"))</f>
        <v/>
      </c>
      <c r="F1516" s="67" t="n"/>
      <c r="G1516" s="81">
        <f>IF(D1516="","",IFERROR(INDEX('Stock pièces'!$I$5:$I$404,MATCH(D1516,'Stock pièces'!$A$5:$A$404,0)),0))</f>
        <v/>
      </c>
      <c r="H1516" s="81">
        <f>IF(D1516="","",N(F1516)*N(G1516))</f>
        <v/>
      </c>
      <c r="I1516" s="7" t="n"/>
      <c r="J1516" s="9">
        <f>IF(I1516="","",IFERROR(INDEX('Ordres de travail'!$D$5:$D$3004,MATCH(I1516,'Ordres de travail'!$A$5:$A$3004,0)),""))</f>
        <v/>
      </c>
      <c r="K1516" s="9">
        <f>IF(D1516="","",IFERROR(INDEX('Stock pièces'!$D$5:$D$404,MATCH(D1516,'Stock pièces'!$A$5:$A$404,0)),""))</f>
        <v/>
      </c>
      <c r="L1516" s="7" t="n"/>
      <c r="M1516" s="7" t="n"/>
    </row>
    <row r="1517">
      <c r="A1517" s="7" t="n"/>
      <c r="B1517" s="75" t="n"/>
      <c r="C1517" s="7" t="n"/>
      <c r="D1517" s="7" t="n"/>
      <c r="E1517" s="9">
        <f>IF(D1517="","",IFERROR(INDEX('Stock pièces'!$B$5:$B$404,MATCH(D1517,'Stock pièces'!$A$5:$A$404,0)),"Réf. inconnue"))</f>
        <v/>
      </c>
      <c r="F1517" s="67" t="n"/>
      <c r="G1517" s="81">
        <f>IF(D1517="","",IFERROR(INDEX('Stock pièces'!$I$5:$I$404,MATCH(D1517,'Stock pièces'!$A$5:$A$404,0)),0))</f>
        <v/>
      </c>
      <c r="H1517" s="81">
        <f>IF(D1517="","",N(F1517)*N(G1517))</f>
        <v/>
      </c>
      <c r="I1517" s="7" t="n"/>
      <c r="J1517" s="9">
        <f>IF(I1517="","",IFERROR(INDEX('Ordres de travail'!$D$5:$D$3004,MATCH(I1517,'Ordres de travail'!$A$5:$A$3004,0)),""))</f>
        <v/>
      </c>
      <c r="K1517" s="9">
        <f>IF(D1517="","",IFERROR(INDEX('Stock pièces'!$D$5:$D$404,MATCH(D1517,'Stock pièces'!$A$5:$A$404,0)),""))</f>
        <v/>
      </c>
      <c r="L1517" s="7" t="n"/>
      <c r="M1517" s="7" t="n"/>
    </row>
    <row r="1518">
      <c r="A1518" s="7" t="n"/>
      <c r="B1518" s="75" t="n"/>
      <c r="C1518" s="7" t="n"/>
      <c r="D1518" s="7" t="n"/>
      <c r="E1518" s="9">
        <f>IF(D1518="","",IFERROR(INDEX('Stock pièces'!$B$5:$B$404,MATCH(D1518,'Stock pièces'!$A$5:$A$404,0)),"Réf. inconnue"))</f>
        <v/>
      </c>
      <c r="F1518" s="67" t="n"/>
      <c r="G1518" s="81">
        <f>IF(D1518="","",IFERROR(INDEX('Stock pièces'!$I$5:$I$404,MATCH(D1518,'Stock pièces'!$A$5:$A$404,0)),0))</f>
        <v/>
      </c>
      <c r="H1518" s="81">
        <f>IF(D1518="","",N(F1518)*N(G1518))</f>
        <v/>
      </c>
      <c r="I1518" s="7" t="n"/>
      <c r="J1518" s="9">
        <f>IF(I1518="","",IFERROR(INDEX('Ordres de travail'!$D$5:$D$3004,MATCH(I1518,'Ordres de travail'!$A$5:$A$3004,0)),""))</f>
        <v/>
      </c>
      <c r="K1518" s="9">
        <f>IF(D1518="","",IFERROR(INDEX('Stock pièces'!$D$5:$D$404,MATCH(D1518,'Stock pièces'!$A$5:$A$404,0)),""))</f>
        <v/>
      </c>
      <c r="L1518" s="7" t="n"/>
      <c r="M1518" s="7" t="n"/>
    </row>
    <row r="1519">
      <c r="A1519" s="7" t="n"/>
      <c r="B1519" s="75" t="n"/>
      <c r="C1519" s="7" t="n"/>
      <c r="D1519" s="7" t="n"/>
      <c r="E1519" s="9">
        <f>IF(D1519="","",IFERROR(INDEX('Stock pièces'!$B$5:$B$404,MATCH(D1519,'Stock pièces'!$A$5:$A$404,0)),"Réf. inconnue"))</f>
        <v/>
      </c>
      <c r="F1519" s="67" t="n"/>
      <c r="G1519" s="81">
        <f>IF(D1519="","",IFERROR(INDEX('Stock pièces'!$I$5:$I$404,MATCH(D1519,'Stock pièces'!$A$5:$A$404,0)),0))</f>
        <v/>
      </c>
      <c r="H1519" s="81">
        <f>IF(D1519="","",N(F1519)*N(G1519))</f>
        <v/>
      </c>
      <c r="I1519" s="7" t="n"/>
      <c r="J1519" s="9">
        <f>IF(I1519="","",IFERROR(INDEX('Ordres de travail'!$D$5:$D$3004,MATCH(I1519,'Ordres de travail'!$A$5:$A$3004,0)),""))</f>
        <v/>
      </c>
      <c r="K1519" s="9">
        <f>IF(D1519="","",IFERROR(INDEX('Stock pièces'!$D$5:$D$404,MATCH(D1519,'Stock pièces'!$A$5:$A$404,0)),""))</f>
        <v/>
      </c>
      <c r="L1519" s="7" t="n"/>
      <c r="M1519" s="7" t="n"/>
    </row>
    <row r="1520">
      <c r="A1520" s="7" t="n"/>
      <c r="B1520" s="75" t="n"/>
      <c r="C1520" s="7" t="n"/>
      <c r="D1520" s="7" t="n"/>
      <c r="E1520" s="9">
        <f>IF(D1520="","",IFERROR(INDEX('Stock pièces'!$B$5:$B$404,MATCH(D1520,'Stock pièces'!$A$5:$A$404,0)),"Réf. inconnue"))</f>
        <v/>
      </c>
      <c r="F1520" s="67" t="n"/>
      <c r="G1520" s="81">
        <f>IF(D1520="","",IFERROR(INDEX('Stock pièces'!$I$5:$I$404,MATCH(D1520,'Stock pièces'!$A$5:$A$404,0)),0))</f>
        <v/>
      </c>
      <c r="H1520" s="81">
        <f>IF(D1520="","",N(F1520)*N(G1520))</f>
        <v/>
      </c>
      <c r="I1520" s="7" t="n"/>
      <c r="J1520" s="9">
        <f>IF(I1520="","",IFERROR(INDEX('Ordres de travail'!$D$5:$D$3004,MATCH(I1520,'Ordres de travail'!$A$5:$A$3004,0)),""))</f>
        <v/>
      </c>
      <c r="K1520" s="9">
        <f>IF(D1520="","",IFERROR(INDEX('Stock pièces'!$D$5:$D$404,MATCH(D1520,'Stock pièces'!$A$5:$A$404,0)),""))</f>
        <v/>
      </c>
      <c r="L1520" s="7" t="n"/>
      <c r="M1520" s="7" t="n"/>
    </row>
    <row r="1521">
      <c r="A1521" s="7" t="n"/>
      <c r="B1521" s="75" t="n"/>
      <c r="C1521" s="7" t="n"/>
      <c r="D1521" s="7" t="n"/>
      <c r="E1521" s="9">
        <f>IF(D1521="","",IFERROR(INDEX('Stock pièces'!$B$5:$B$404,MATCH(D1521,'Stock pièces'!$A$5:$A$404,0)),"Réf. inconnue"))</f>
        <v/>
      </c>
      <c r="F1521" s="67" t="n"/>
      <c r="G1521" s="81">
        <f>IF(D1521="","",IFERROR(INDEX('Stock pièces'!$I$5:$I$404,MATCH(D1521,'Stock pièces'!$A$5:$A$404,0)),0))</f>
        <v/>
      </c>
      <c r="H1521" s="81">
        <f>IF(D1521="","",N(F1521)*N(G1521))</f>
        <v/>
      </c>
      <c r="I1521" s="7" t="n"/>
      <c r="J1521" s="9">
        <f>IF(I1521="","",IFERROR(INDEX('Ordres de travail'!$D$5:$D$3004,MATCH(I1521,'Ordres de travail'!$A$5:$A$3004,0)),""))</f>
        <v/>
      </c>
      <c r="K1521" s="9">
        <f>IF(D1521="","",IFERROR(INDEX('Stock pièces'!$D$5:$D$404,MATCH(D1521,'Stock pièces'!$A$5:$A$404,0)),""))</f>
        <v/>
      </c>
      <c r="L1521" s="7" t="n"/>
      <c r="M1521" s="7" t="n"/>
    </row>
    <row r="1522">
      <c r="A1522" s="7" t="n"/>
      <c r="B1522" s="75" t="n"/>
      <c r="C1522" s="7" t="n"/>
      <c r="D1522" s="7" t="n"/>
      <c r="E1522" s="9">
        <f>IF(D1522="","",IFERROR(INDEX('Stock pièces'!$B$5:$B$404,MATCH(D1522,'Stock pièces'!$A$5:$A$404,0)),"Réf. inconnue"))</f>
        <v/>
      </c>
      <c r="F1522" s="67" t="n"/>
      <c r="G1522" s="81">
        <f>IF(D1522="","",IFERROR(INDEX('Stock pièces'!$I$5:$I$404,MATCH(D1522,'Stock pièces'!$A$5:$A$404,0)),0))</f>
        <v/>
      </c>
      <c r="H1522" s="81">
        <f>IF(D1522="","",N(F1522)*N(G1522))</f>
        <v/>
      </c>
      <c r="I1522" s="7" t="n"/>
      <c r="J1522" s="9">
        <f>IF(I1522="","",IFERROR(INDEX('Ordres de travail'!$D$5:$D$3004,MATCH(I1522,'Ordres de travail'!$A$5:$A$3004,0)),""))</f>
        <v/>
      </c>
      <c r="K1522" s="9">
        <f>IF(D1522="","",IFERROR(INDEX('Stock pièces'!$D$5:$D$404,MATCH(D1522,'Stock pièces'!$A$5:$A$404,0)),""))</f>
        <v/>
      </c>
      <c r="L1522" s="7" t="n"/>
      <c r="M1522" s="7" t="n"/>
    </row>
    <row r="1523">
      <c r="A1523" s="7" t="n"/>
      <c r="B1523" s="75" t="n"/>
      <c r="C1523" s="7" t="n"/>
      <c r="D1523" s="7" t="n"/>
      <c r="E1523" s="9">
        <f>IF(D1523="","",IFERROR(INDEX('Stock pièces'!$B$5:$B$404,MATCH(D1523,'Stock pièces'!$A$5:$A$404,0)),"Réf. inconnue"))</f>
        <v/>
      </c>
      <c r="F1523" s="67" t="n"/>
      <c r="G1523" s="81">
        <f>IF(D1523="","",IFERROR(INDEX('Stock pièces'!$I$5:$I$404,MATCH(D1523,'Stock pièces'!$A$5:$A$404,0)),0))</f>
        <v/>
      </c>
      <c r="H1523" s="81">
        <f>IF(D1523="","",N(F1523)*N(G1523))</f>
        <v/>
      </c>
      <c r="I1523" s="7" t="n"/>
      <c r="J1523" s="9">
        <f>IF(I1523="","",IFERROR(INDEX('Ordres de travail'!$D$5:$D$3004,MATCH(I1523,'Ordres de travail'!$A$5:$A$3004,0)),""))</f>
        <v/>
      </c>
      <c r="K1523" s="9">
        <f>IF(D1523="","",IFERROR(INDEX('Stock pièces'!$D$5:$D$404,MATCH(D1523,'Stock pièces'!$A$5:$A$404,0)),""))</f>
        <v/>
      </c>
      <c r="L1523" s="7" t="n"/>
      <c r="M1523" s="7" t="n"/>
    </row>
    <row r="1524">
      <c r="A1524" s="7" t="n"/>
      <c r="B1524" s="75" t="n"/>
      <c r="C1524" s="7" t="n"/>
      <c r="D1524" s="7" t="n"/>
      <c r="E1524" s="9">
        <f>IF(D1524="","",IFERROR(INDEX('Stock pièces'!$B$5:$B$404,MATCH(D1524,'Stock pièces'!$A$5:$A$404,0)),"Réf. inconnue"))</f>
        <v/>
      </c>
      <c r="F1524" s="67" t="n"/>
      <c r="G1524" s="81">
        <f>IF(D1524="","",IFERROR(INDEX('Stock pièces'!$I$5:$I$404,MATCH(D1524,'Stock pièces'!$A$5:$A$404,0)),0))</f>
        <v/>
      </c>
      <c r="H1524" s="81">
        <f>IF(D1524="","",N(F1524)*N(G1524))</f>
        <v/>
      </c>
      <c r="I1524" s="7" t="n"/>
      <c r="J1524" s="9">
        <f>IF(I1524="","",IFERROR(INDEX('Ordres de travail'!$D$5:$D$3004,MATCH(I1524,'Ordres de travail'!$A$5:$A$3004,0)),""))</f>
        <v/>
      </c>
      <c r="K1524" s="9">
        <f>IF(D1524="","",IFERROR(INDEX('Stock pièces'!$D$5:$D$404,MATCH(D1524,'Stock pièces'!$A$5:$A$404,0)),""))</f>
        <v/>
      </c>
      <c r="L1524" s="7" t="n"/>
      <c r="M1524" s="7" t="n"/>
    </row>
    <row r="1525">
      <c r="A1525" s="7" t="n"/>
      <c r="B1525" s="75" t="n"/>
      <c r="C1525" s="7" t="n"/>
      <c r="D1525" s="7" t="n"/>
      <c r="E1525" s="9">
        <f>IF(D1525="","",IFERROR(INDEX('Stock pièces'!$B$5:$B$404,MATCH(D1525,'Stock pièces'!$A$5:$A$404,0)),"Réf. inconnue"))</f>
        <v/>
      </c>
      <c r="F1525" s="67" t="n"/>
      <c r="G1525" s="81">
        <f>IF(D1525="","",IFERROR(INDEX('Stock pièces'!$I$5:$I$404,MATCH(D1525,'Stock pièces'!$A$5:$A$404,0)),0))</f>
        <v/>
      </c>
      <c r="H1525" s="81">
        <f>IF(D1525="","",N(F1525)*N(G1525))</f>
        <v/>
      </c>
      <c r="I1525" s="7" t="n"/>
      <c r="J1525" s="9">
        <f>IF(I1525="","",IFERROR(INDEX('Ordres de travail'!$D$5:$D$3004,MATCH(I1525,'Ordres de travail'!$A$5:$A$3004,0)),""))</f>
        <v/>
      </c>
      <c r="K1525" s="9">
        <f>IF(D1525="","",IFERROR(INDEX('Stock pièces'!$D$5:$D$404,MATCH(D1525,'Stock pièces'!$A$5:$A$404,0)),""))</f>
        <v/>
      </c>
      <c r="L1525" s="7" t="n"/>
      <c r="M1525" s="7" t="n"/>
    </row>
    <row r="1526">
      <c r="A1526" s="7" t="n"/>
      <c r="B1526" s="75" t="n"/>
      <c r="C1526" s="7" t="n"/>
      <c r="D1526" s="7" t="n"/>
      <c r="E1526" s="9">
        <f>IF(D1526="","",IFERROR(INDEX('Stock pièces'!$B$5:$B$404,MATCH(D1526,'Stock pièces'!$A$5:$A$404,0)),"Réf. inconnue"))</f>
        <v/>
      </c>
      <c r="F1526" s="67" t="n"/>
      <c r="G1526" s="81">
        <f>IF(D1526="","",IFERROR(INDEX('Stock pièces'!$I$5:$I$404,MATCH(D1526,'Stock pièces'!$A$5:$A$404,0)),0))</f>
        <v/>
      </c>
      <c r="H1526" s="81">
        <f>IF(D1526="","",N(F1526)*N(G1526))</f>
        <v/>
      </c>
      <c r="I1526" s="7" t="n"/>
      <c r="J1526" s="9">
        <f>IF(I1526="","",IFERROR(INDEX('Ordres de travail'!$D$5:$D$3004,MATCH(I1526,'Ordres de travail'!$A$5:$A$3004,0)),""))</f>
        <v/>
      </c>
      <c r="K1526" s="9">
        <f>IF(D1526="","",IFERROR(INDEX('Stock pièces'!$D$5:$D$404,MATCH(D1526,'Stock pièces'!$A$5:$A$404,0)),""))</f>
        <v/>
      </c>
      <c r="L1526" s="7" t="n"/>
      <c r="M1526" s="7" t="n"/>
    </row>
    <row r="1527">
      <c r="A1527" s="7" t="n"/>
      <c r="B1527" s="75" t="n"/>
      <c r="C1527" s="7" t="n"/>
      <c r="D1527" s="7" t="n"/>
      <c r="E1527" s="9">
        <f>IF(D1527="","",IFERROR(INDEX('Stock pièces'!$B$5:$B$404,MATCH(D1527,'Stock pièces'!$A$5:$A$404,0)),"Réf. inconnue"))</f>
        <v/>
      </c>
      <c r="F1527" s="67" t="n"/>
      <c r="G1527" s="81">
        <f>IF(D1527="","",IFERROR(INDEX('Stock pièces'!$I$5:$I$404,MATCH(D1527,'Stock pièces'!$A$5:$A$404,0)),0))</f>
        <v/>
      </c>
      <c r="H1527" s="81">
        <f>IF(D1527="","",N(F1527)*N(G1527))</f>
        <v/>
      </c>
      <c r="I1527" s="7" t="n"/>
      <c r="J1527" s="9">
        <f>IF(I1527="","",IFERROR(INDEX('Ordres de travail'!$D$5:$D$3004,MATCH(I1527,'Ordres de travail'!$A$5:$A$3004,0)),""))</f>
        <v/>
      </c>
      <c r="K1527" s="9">
        <f>IF(D1527="","",IFERROR(INDEX('Stock pièces'!$D$5:$D$404,MATCH(D1527,'Stock pièces'!$A$5:$A$404,0)),""))</f>
        <v/>
      </c>
      <c r="L1527" s="7" t="n"/>
      <c r="M1527" s="7" t="n"/>
    </row>
    <row r="1528">
      <c r="A1528" s="7" t="n"/>
      <c r="B1528" s="75" t="n"/>
      <c r="C1528" s="7" t="n"/>
      <c r="D1528" s="7" t="n"/>
      <c r="E1528" s="9">
        <f>IF(D1528="","",IFERROR(INDEX('Stock pièces'!$B$5:$B$404,MATCH(D1528,'Stock pièces'!$A$5:$A$404,0)),"Réf. inconnue"))</f>
        <v/>
      </c>
      <c r="F1528" s="67" t="n"/>
      <c r="G1528" s="81">
        <f>IF(D1528="","",IFERROR(INDEX('Stock pièces'!$I$5:$I$404,MATCH(D1528,'Stock pièces'!$A$5:$A$404,0)),0))</f>
        <v/>
      </c>
      <c r="H1528" s="81">
        <f>IF(D1528="","",N(F1528)*N(G1528))</f>
        <v/>
      </c>
      <c r="I1528" s="7" t="n"/>
      <c r="J1528" s="9">
        <f>IF(I1528="","",IFERROR(INDEX('Ordres de travail'!$D$5:$D$3004,MATCH(I1528,'Ordres de travail'!$A$5:$A$3004,0)),""))</f>
        <v/>
      </c>
      <c r="K1528" s="9">
        <f>IF(D1528="","",IFERROR(INDEX('Stock pièces'!$D$5:$D$404,MATCH(D1528,'Stock pièces'!$A$5:$A$404,0)),""))</f>
        <v/>
      </c>
      <c r="L1528" s="7" t="n"/>
      <c r="M1528" s="7" t="n"/>
    </row>
    <row r="1529">
      <c r="A1529" s="7" t="n"/>
      <c r="B1529" s="75" t="n"/>
      <c r="C1529" s="7" t="n"/>
      <c r="D1529" s="7" t="n"/>
      <c r="E1529" s="9">
        <f>IF(D1529="","",IFERROR(INDEX('Stock pièces'!$B$5:$B$404,MATCH(D1529,'Stock pièces'!$A$5:$A$404,0)),"Réf. inconnue"))</f>
        <v/>
      </c>
      <c r="F1529" s="67" t="n"/>
      <c r="G1529" s="81">
        <f>IF(D1529="","",IFERROR(INDEX('Stock pièces'!$I$5:$I$404,MATCH(D1529,'Stock pièces'!$A$5:$A$404,0)),0))</f>
        <v/>
      </c>
      <c r="H1529" s="81">
        <f>IF(D1529="","",N(F1529)*N(G1529))</f>
        <v/>
      </c>
      <c r="I1529" s="7" t="n"/>
      <c r="J1529" s="9">
        <f>IF(I1529="","",IFERROR(INDEX('Ordres de travail'!$D$5:$D$3004,MATCH(I1529,'Ordres de travail'!$A$5:$A$3004,0)),""))</f>
        <v/>
      </c>
      <c r="K1529" s="9">
        <f>IF(D1529="","",IFERROR(INDEX('Stock pièces'!$D$5:$D$404,MATCH(D1529,'Stock pièces'!$A$5:$A$404,0)),""))</f>
        <v/>
      </c>
      <c r="L1529" s="7" t="n"/>
      <c r="M1529" s="7" t="n"/>
    </row>
    <row r="1530">
      <c r="A1530" s="7" t="n"/>
      <c r="B1530" s="75" t="n"/>
      <c r="C1530" s="7" t="n"/>
      <c r="D1530" s="7" t="n"/>
      <c r="E1530" s="9">
        <f>IF(D1530="","",IFERROR(INDEX('Stock pièces'!$B$5:$B$404,MATCH(D1530,'Stock pièces'!$A$5:$A$404,0)),"Réf. inconnue"))</f>
        <v/>
      </c>
      <c r="F1530" s="67" t="n"/>
      <c r="G1530" s="81">
        <f>IF(D1530="","",IFERROR(INDEX('Stock pièces'!$I$5:$I$404,MATCH(D1530,'Stock pièces'!$A$5:$A$404,0)),0))</f>
        <v/>
      </c>
      <c r="H1530" s="81">
        <f>IF(D1530="","",N(F1530)*N(G1530))</f>
        <v/>
      </c>
      <c r="I1530" s="7" t="n"/>
      <c r="J1530" s="9">
        <f>IF(I1530="","",IFERROR(INDEX('Ordres de travail'!$D$5:$D$3004,MATCH(I1530,'Ordres de travail'!$A$5:$A$3004,0)),""))</f>
        <v/>
      </c>
      <c r="K1530" s="9">
        <f>IF(D1530="","",IFERROR(INDEX('Stock pièces'!$D$5:$D$404,MATCH(D1530,'Stock pièces'!$A$5:$A$404,0)),""))</f>
        <v/>
      </c>
      <c r="L1530" s="7" t="n"/>
      <c r="M1530" s="7" t="n"/>
    </row>
    <row r="1531">
      <c r="A1531" s="7" t="n"/>
      <c r="B1531" s="75" t="n"/>
      <c r="C1531" s="7" t="n"/>
      <c r="D1531" s="7" t="n"/>
      <c r="E1531" s="9">
        <f>IF(D1531="","",IFERROR(INDEX('Stock pièces'!$B$5:$B$404,MATCH(D1531,'Stock pièces'!$A$5:$A$404,0)),"Réf. inconnue"))</f>
        <v/>
      </c>
      <c r="F1531" s="67" t="n"/>
      <c r="G1531" s="81">
        <f>IF(D1531="","",IFERROR(INDEX('Stock pièces'!$I$5:$I$404,MATCH(D1531,'Stock pièces'!$A$5:$A$404,0)),0))</f>
        <v/>
      </c>
      <c r="H1531" s="81">
        <f>IF(D1531="","",N(F1531)*N(G1531))</f>
        <v/>
      </c>
      <c r="I1531" s="7" t="n"/>
      <c r="J1531" s="9">
        <f>IF(I1531="","",IFERROR(INDEX('Ordres de travail'!$D$5:$D$3004,MATCH(I1531,'Ordres de travail'!$A$5:$A$3004,0)),""))</f>
        <v/>
      </c>
      <c r="K1531" s="9">
        <f>IF(D1531="","",IFERROR(INDEX('Stock pièces'!$D$5:$D$404,MATCH(D1531,'Stock pièces'!$A$5:$A$404,0)),""))</f>
        <v/>
      </c>
      <c r="L1531" s="7" t="n"/>
      <c r="M1531" s="7" t="n"/>
    </row>
    <row r="1532">
      <c r="A1532" s="7" t="n"/>
      <c r="B1532" s="75" t="n"/>
      <c r="C1532" s="7" t="n"/>
      <c r="D1532" s="7" t="n"/>
      <c r="E1532" s="9">
        <f>IF(D1532="","",IFERROR(INDEX('Stock pièces'!$B$5:$B$404,MATCH(D1532,'Stock pièces'!$A$5:$A$404,0)),"Réf. inconnue"))</f>
        <v/>
      </c>
      <c r="F1532" s="67" t="n"/>
      <c r="G1532" s="81">
        <f>IF(D1532="","",IFERROR(INDEX('Stock pièces'!$I$5:$I$404,MATCH(D1532,'Stock pièces'!$A$5:$A$404,0)),0))</f>
        <v/>
      </c>
      <c r="H1532" s="81">
        <f>IF(D1532="","",N(F1532)*N(G1532))</f>
        <v/>
      </c>
      <c r="I1532" s="7" t="n"/>
      <c r="J1532" s="9">
        <f>IF(I1532="","",IFERROR(INDEX('Ordres de travail'!$D$5:$D$3004,MATCH(I1532,'Ordres de travail'!$A$5:$A$3004,0)),""))</f>
        <v/>
      </c>
      <c r="K1532" s="9">
        <f>IF(D1532="","",IFERROR(INDEX('Stock pièces'!$D$5:$D$404,MATCH(D1532,'Stock pièces'!$A$5:$A$404,0)),""))</f>
        <v/>
      </c>
      <c r="L1532" s="7" t="n"/>
      <c r="M1532" s="7" t="n"/>
    </row>
    <row r="1533">
      <c r="A1533" s="7" t="n"/>
      <c r="B1533" s="75" t="n"/>
      <c r="C1533" s="7" t="n"/>
      <c r="D1533" s="7" t="n"/>
      <c r="E1533" s="9">
        <f>IF(D1533="","",IFERROR(INDEX('Stock pièces'!$B$5:$B$404,MATCH(D1533,'Stock pièces'!$A$5:$A$404,0)),"Réf. inconnue"))</f>
        <v/>
      </c>
      <c r="F1533" s="67" t="n"/>
      <c r="G1533" s="81">
        <f>IF(D1533="","",IFERROR(INDEX('Stock pièces'!$I$5:$I$404,MATCH(D1533,'Stock pièces'!$A$5:$A$404,0)),0))</f>
        <v/>
      </c>
      <c r="H1533" s="81">
        <f>IF(D1533="","",N(F1533)*N(G1533))</f>
        <v/>
      </c>
      <c r="I1533" s="7" t="n"/>
      <c r="J1533" s="9">
        <f>IF(I1533="","",IFERROR(INDEX('Ordres de travail'!$D$5:$D$3004,MATCH(I1533,'Ordres de travail'!$A$5:$A$3004,0)),""))</f>
        <v/>
      </c>
      <c r="K1533" s="9">
        <f>IF(D1533="","",IFERROR(INDEX('Stock pièces'!$D$5:$D$404,MATCH(D1533,'Stock pièces'!$A$5:$A$404,0)),""))</f>
        <v/>
      </c>
      <c r="L1533" s="7" t="n"/>
      <c r="M1533" s="7" t="n"/>
    </row>
    <row r="1534">
      <c r="A1534" s="7" t="n"/>
      <c r="B1534" s="75" t="n"/>
      <c r="C1534" s="7" t="n"/>
      <c r="D1534" s="7" t="n"/>
      <c r="E1534" s="9">
        <f>IF(D1534="","",IFERROR(INDEX('Stock pièces'!$B$5:$B$404,MATCH(D1534,'Stock pièces'!$A$5:$A$404,0)),"Réf. inconnue"))</f>
        <v/>
      </c>
      <c r="F1534" s="67" t="n"/>
      <c r="G1534" s="81">
        <f>IF(D1534="","",IFERROR(INDEX('Stock pièces'!$I$5:$I$404,MATCH(D1534,'Stock pièces'!$A$5:$A$404,0)),0))</f>
        <v/>
      </c>
      <c r="H1534" s="81">
        <f>IF(D1534="","",N(F1534)*N(G1534))</f>
        <v/>
      </c>
      <c r="I1534" s="7" t="n"/>
      <c r="J1534" s="9">
        <f>IF(I1534="","",IFERROR(INDEX('Ordres de travail'!$D$5:$D$3004,MATCH(I1534,'Ordres de travail'!$A$5:$A$3004,0)),""))</f>
        <v/>
      </c>
      <c r="K1534" s="9">
        <f>IF(D1534="","",IFERROR(INDEX('Stock pièces'!$D$5:$D$404,MATCH(D1534,'Stock pièces'!$A$5:$A$404,0)),""))</f>
        <v/>
      </c>
      <c r="L1534" s="7" t="n"/>
      <c r="M1534" s="7" t="n"/>
    </row>
    <row r="1535">
      <c r="A1535" s="7" t="n"/>
      <c r="B1535" s="75" t="n"/>
      <c r="C1535" s="7" t="n"/>
      <c r="D1535" s="7" t="n"/>
      <c r="E1535" s="9">
        <f>IF(D1535="","",IFERROR(INDEX('Stock pièces'!$B$5:$B$404,MATCH(D1535,'Stock pièces'!$A$5:$A$404,0)),"Réf. inconnue"))</f>
        <v/>
      </c>
      <c r="F1535" s="67" t="n"/>
      <c r="G1535" s="81">
        <f>IF(D1535="","",IFERROR(INDEX('Stock pièces'!$I$5:$I$404,MATCH(D1535,'Stock pièces'!$A$5:$A$404,0)),0))</f>
        <v/>
      </c>
      <c r="H1535" s="81">
        <f>IF(D1535="","",N(F1535)*N(G1535))</f>
        <v/>
      </c>
      <c r="I1535" s="7" t="n"/>
      <c r="J1535" s="9">
        <f>IF(I1535="","",IFERROR(INDEX('Ordres de travail'!$D$5:$D$3004,MATCH(I1535,'Ordres de travail'!$A$5:$A$3004,0)),""))</f>
        <v/>
      </c>
      <c r="K1535" s="9">
        <f>IF(D1535="","",IFERROR(INDEX('Stock pièces'!$D$5:$D$404,MATCH(D1535,'Stock pièces'!$A$5:$A$404,0)),""))</f>
        <v/>
      </c>
      <c r="L1535" s="7" t="n"/>
      <c r="M1535" s="7" t="n"/>
    </row>
    <row r="1536">
      <c r="A1536" s="7" t="n"/>
      <c r="B1536" s="75" t="n"/>
      <c r="C1536" s="7" t="n"/>
      <c r="D1536" s="7" t="n"/>
      <c r="E1536" s="9">
        <f>IF(D1536="","",IFERROR(INDEX('Stock pièces'!$B$5:$B$404,MATCH(D1536,'Stock pièces'!$A$5:$A$404,0)),"Réf. inconnue"))</f>
        <v/>
      </c>
      <c r="F1536" s="67" t="n"/>
      <c r="G1536" s="81">
        <f>IF(D1536="","",IFERROR(INDEX('Stock pièces'!$I$5:$I$404,MATCH(D1536,'Stock pièces'!$A$5:$A$404,0)),0))</f>
        <v/>
      </c>
      <c r="H1536" s="81">
        <f>IF(D1536="","",N(F1536)*N(G1536))</f>
        <v/>
      </c>
      <c r="I1536" s="7" t="n"/>
      <c r="J1536" s="9">
        <f>IF(I1536="","",IFERROR(INDEX('Ordres de travail'!$D$5:$D$3004,MATCH(I1536,'Ordres de travail'!$A$5:$A$3004,0)),""))</f>
        <v/>
      </c>
      <c r="K1536" s="9">
        <f>IF(D1536="","",IFERROR(INDEX('Stock pièces'!$D$5:$D$404,MATCH(D1536,'Stock pièces'!$A$5:$A$404,0)),""))</f>
        <v/>
      </c>
      <c r="L1536" s="7" t="n"/>
      <c r="M1536" s="7" t="n"/>
    </row>
    <row r="1537">
      <c r="A1537" s="7" t="n"/>
      <c r="B1537" s="75" t="n"/>
      <c r="C1537" s="7" t="n"/>
      <c r="D1537" s="7" t="n"/>
      <c r="E1537" s="9">
        <f>IF(D1537="","",IFERROR(INDEX('Stock pièces'!$B$5:$B$404,MATCH(D1537,'Stock pièces'!$A$5:$A$404,0)),"Réf. inconnue"))</f>
        <v/>
      </c>
      <c r="F1537" s="67" t="n"/>
      <c r="G1537" s="81">
        <f>IF(D1537="","",IFERROR(INDEX('Stock pièces'!$I$5:$I$404,MATCH(D1537,'Stock pièces'!$A$5:$A$404,0)),0))</f>
        <v/>
      </c>
      <c r="H1537" s="81">
        <f>IF(D1537="","",N(F1537)*N(G1537))</f>
        <v/>
      </c>
      <c r="I1537" s="7" t="n"/>
      <c r="J1537" s="9">
        <f>IF(I1537="","",IFERROR(INDEX('Ordres de travail'!$D$5:$D$3004,MATCH(I1537,'Ordres de travail'!$A$5:$A$3004,0)),""))</f>
        <v/>
      </c>
      <c r="K1537" s="9">
        <f>IF(D1537="","",IFERROR(INDEX('Stock pièces'!$D$5:$D$404,MATCH(D1537,'Stock pièces'!$A$5:$A$404,0)),""))</f>
        <v/>
      </c>
      <c r="L1537" s="7" t="n"/>
      <c r="M1537" s="7" t="n"/>
    </row>
    <row r="1538">
      <c r="A1538" s="7" t="n"/>
      <c r="B1538" s="75" t="n"/>
      <c r="C1538" s="7" t="n"/>
      <c r="D1538" s="7" t="n"/>
      <c r="E1538" s="9">
        <f>IF(D1538="","",IFERROR(INDEX('Stock pièces'!$B$5:$B$404,MATCH(D1538,'Stock pièces'!$A$5:$A$404,0)),"Réf. inconnue"))</f>
        <v/>
      </c>
      <c r="F1538" s="67" t="n"/>
      <c r="G1538" s="81">
        <f>IF(D1538="","",IFERROR(INDEX('Stock pièces'!$I$5:$I$404,MATCH(D1538,'Stock pièces'!$A$5:$A$404,0)),0))</f>
        <v/>
      </c>
      <c r="H1538" s="81">
        <f>IF(D1538="","",N(F1538)*N(G1538))</f>
        <v/>
      </c>
      <c r="I1538" s="7" t="n"/>
      <c r="J1538" s="9">
        <f>IF(I1538="","",IFERROR(INDEX('Ordres de travail'!$D$5:$D$3004,MATCH(I1538,'Ordres de travail'!$A$5:$A$3004,0)),""))</f>
        <v/>
      </c>
      <c r="K1538" s="9">
        <f>IF(D1538="","",IFERROR(INDEX('Stock pièces'!$D$5:$D$404,MATCH(D1538,'Stock pièces'!$A$5:$A$404,0)),""))</f>
        <v/>
      </c>
      <c r="L1538" s="7" t="n"/>
      <c r="M1538" s="7" t="n"/>
    </row>
    <row r="1539">
      <c r="A1539" s="7" t="n"/>
      <c r="B1539" s="75" t="n"/>
      <c r="C1539" s="7" t="n"/>
      <c r="D1539" s="7" t="n"/>
      <c r="E1539" s="9">
        <f>IF(D1539="","",IFERROR(INDEX('Stock pièces'!$B$5:$B$404,MATCH(D1539,'Stock pièces'!$A$5:$A$404,0)),"Réf. inconnue"))</f>
        <v/>
      </c>
      <c r="F1539" s="67" t="n"/>
      <c r="G1539" s="81">
        <f>IF(D1539="","",IFERROR(INDEX('Stock pièces'!$I$5:$I$404,MATCH(D1539,'Stock pièces'!$A$5:$A$404,0)),0))</f>
        <v/>
      </c>
      <c r="H1539" s="81">
        <f>IF(D1539="","",N(F1539)*N(G1539))</f>
        <v/>
      </c>
      <c r="I1539" s="7" t="n"/>
      <c r="J1539" s="9">
        <f>IF(I1539="","",IFERROR(INDEX('Ordres de travail'!$D$5:$D$3004,MATCH(I1539,'Ordres de travail'!$A$5:$A$3004,0)),""))</f>
        <v/>
      </c>
      <c r="K1539" s="9">
        <f>IF(D1539="","",IFERROR(INDEX('Stock pièces'!$D$5:$D$404,MATCH(D1539,'Stock pièces'!$A$5:$A$404,0)),""))</f>
        <v/>
      </c>
      <c r="L1539" s="7" t="n"/>
      <c r="M1539" s="7" t="n"/>
    </row>
    <row r="1540">
      <c r="A1540" s="7" t="n"/>
      <c r="B1540" s="75" t="n"/>
      <c r="C1540" s="7" t="n"/>
      <c r="D1540" s="7" t="n"/>
      <c r="E1540" s="9">
        <f>IF(D1540="","",IFERROR(INDEX('Stock pièces'!$B$5:$B$404,MATCH(D1540,'Stock pièces'!$A$5:$A$404,0)),"Réf. inconnue"))</f>
        <v/>
      </c>
      <c r="F1540" s="67" t="n"/>
      <c r="G1540" s="81">
        <f>IF(D1540="","",IFERROR(INDEX('Stock pièces'!$I$5:$I$404,MATCH(D1540,'Stock pièces'!$A$5:$A$404,0)),0))</f>
        <v/>
      </c>
      <c r="H1540" s="81">
        <f>IF(D1540="","",N(F1540)*N(G1540))</f>
        <v/>
      </c>
      <c r="I1540" s="7" t="n"/>
      <c r="J1540" s="9">
        <f>IF(I1540="","",IFERROR(INDEX('Ordres de travail'!$D$5:$D$3004,MATCH(I1540,'Ordres de travail'!$A$5:$A$3004,0)),""))</f>
        <v/>
      </c>
      <c r="K1540" s="9">
        <f>IF(D1540="","",IFERROR(INDEX('Stock pièces'!$D$5:$D$404,MATCH(D1540,'Stock pièces'!$A$5:$A$404,0)),""))</f>
        <v/>
      </c>
      <c r="L1540" s="7" t="n"/>
      <c r="M1540" s="7" t="n"/>
    </row>
    <row r="1541">
      <c r="A1541" s="7" t="n"/>
      <c r="B1541" s="75" t="n"/>
      <c r="C1541" s="7" t="n"/>
      <c r="D1541" s="7" t="n"/>
      <c r="E1541" s="9">
        <f>IF(D1541="","",IFERROR(INDEX('Stock pièces'!$B$5:$B$404,MATCH(D1541,'Stock pièces'!$A$5:$A$404,0)),"Réf. inconnue"))</f>
        <v/>
      </c>
      <c r="F1541" s="67" t="n"/>
      <c r="G1541" s="81">
        <f>IF(D1541="","",IFERROR(INDEX('Stock pièces'!$I$5:$I$404,MATCH(D1541,'Stock pièces'!$A$5:$A$404,0)),0))</f>
        <v/>
      </c>
      <c r="H1541" s="81">
        <f>IF(D1541="","",N(F1541)*N(G1541))</f>
        <v/>
      </c>
      <c r="I1541" s="7" t="n"/>
      <c r="J1541" s="9">
        <f>IF(I1541="","",IFERROR(INDEX('Ordres de travail'!$D$5:$D$3004,MATCH(I1541,'Ordres de travail'!$A$5:$A$3004,0)),""))</f>
        <v/>
      </c>
      <c r="K1541" s="9">
        <f>IF(D1541="","",IFERROR(INDEX('Stock pièces'!$D$5:$D$404,MATCH(D1541,'Stock pièces'!$A$5:$A$404,0)),""))</f>
        <v/>
      </c>
      <c r="L1541" s="7" t="n"/>
      <c r="M1541" s="7" t="n"/>
    </row>
    <row r="1542">
      <c r="A1542" s="7" t="n"/>
      <c r="B1542" s="75" t="n"/>
      <c r="C1542" s="7" t="n"/>
      <c r="D1542" s="7" t="n"/>
      <c r="E1542" s="9">
        <f>IF(D1542="","",IFERROR(INDEX('Stock pièces'!$B$5:$B$404,MATCH(D1542,'Stock pièces'!$A$5:$A$404,0)),"Réf. inconnue"))</f>
        <v/>
      </c>
      <c r="F1542" s="67" t="n"/>
      <c r="G1542" s="81">
        <f>IF(D1542="","",IFERROR(INDEX('Stock pièces'!$I$5:$I$404,MATCH(D1542,'Stock pièces'!$A$5:$A$404,0)),0))</f>
        <v/>
      </c>
      <c r="H1542" s="81">
        <f>IF(D1542="","",N(F1542)*N(G1542))</f>
        <v/>
      </c>
      <c r="I1542" s="7" t="n"/>
      <c r="J1542" s="9">
        <f>IF(I1542="","",IFERROR(INDEX('Ordres de travail'!$D$5:$D$3004,MATCH(I1542,'Ordres de travail'!$A$5:$A$3004,0)),""))</f>
        <v/>
      </c>
      <c r="K1542" s="9">
        <f>IF(D1542="","",IFERROR(INDEX('Stock pièces'!$D$5:$D$404,MATCH(D1542,'Stock pièces'!$A$5:$A$404,0)),""))</f>
        <v/>
      </c>
      <c r="L1542" s="7" t="n"/>
      <c r="M1542" s="7" t="n"/>
    </row>
    <row r="1543">
      <c r="A1543" s="7" t="n"/>
      <c r="B1543" s="75" t="n"/>
      <c r="C1543" s="7" t="n"/>
      <c r="D1543" s="7" t="n"/>
      <c r="E1543" s="9">
        <f>IF(D1543="","",IFERROR(INDEX('Stock pièces'!$B$5:$B$404,MATCH(D1543,'Stock pièces'!$A$5:$A$404,0)),"Réf. inconnue"))</f>
        <v/>
      </c>
      <c r="F1543" s="67" t="n"/>
      <c r="G1543" s="81">
        <f>IF(D1543="","",IFERROR(INDEX('Stock pièces'!$I$5:$I$404,MATCH(D1543,'Stock pièces'!$A$5:$A$404,0)),0))</f>
        <v/>
      </c>
      <c r="H1543" s="81">
        <f>IF(D1543="","",N(F1543)*N(G1543))</f>
        <v/>
      </c>
      <c r="I1543" s="7" t="n"/>
      <c r="J1543" s="9">
        <f>IF(I1543="","",IFERROR(INDEX('Ordres de travail'!$D$5:$D$3004,MATCH(I1543,'Ordres de travail'!$A$5:$A$3004,0)),""))</f>
        <v/>
      </c>
      <c r="K1543" s="9">
        <f>IF(D1543="","",IFERROR(INDEX('Stock pièces'!$D$5:$D$404,MATCH(D1543,'Stock pièces'!$A$5:$A$404,0)),""))</f>
        <v/>
      </c>
      <c r="L1543" s="7" t="n"/>
      <c r="M1543" s="7" t="n"/>
    </row>
    <row r="1544">
      <c r="A1544" s="7" t="n"/>
      <c r="B1544" s="75" t="n"/>
      <c r="C1544" s="7" t="n"/>
      <c r="D1544" s="7" t="n"/>
      <c r="E1544" s="9">
        <f>IF(D1544="","",IFERROR(INDEX('Stock pièces'!$B$5:$B$404,MATCH(D1544,'Stock pièces'!$A$5:$A$404,0)),"Réf. inconnue"))</f>
        <v/>
      </c>
      <c r="F1544" s="67" t="n"/>
      <c r="G1544" s="81">
        <f>IF(D1544="","",IFERROR(INDEX('Stock pièces'!$I$5:$I$404,MATCH(D1544,'Stock pièces'!$A$5:$A$404,0)),0))</f>
        <v/>
      </c>
      <c r="H1544" s="81">
        <f>IF(D1544="","",N(F1544)*N(G1544))</f>
        <v/>
      </c>
      <c r="I1544" s="7" t="n"/>
      <c r="J1544" s="9">
        <f>IF(I1544="","",IFERROR(INDEX('Ordres de travail'!$D$5:$D$3004,MATCH(I1544,'Ordres de travail'!$A$5:$A$3004,0)),""))</f>
        <v/>
      </c>
      <c r="K1544" s="9">
        <f>IF(D1544="","",IFERROR(INDEX('Stock pièces'!$D$5:$D$404,MATCH(D1544,'Stock pièces'!$A$5:$A$404,0)),""))</f>
        <v/>
      </c>
      <c r="L1544" s="7" t="n"/>
      <c r="M1544" s="7" t="n"/>
    </row>
    <row r="1545">
      <c r="A1545" s="7" t="n"/>
      <c r="B1545" s="75" t="n"/>
      <c r="C1545" s="7" t="n"/>
      <c r="D1545" s="7" t="n"/>
      <c r="E1545" s="9">
        <f>IF(D1545="","",IFERROR(INDEX('Stock pièces'!$B$5:$B$404,MATCH(D1545,'Stock pièces'!$A$5:$A$404,0)),"Réf. inconnue"))</f>
        <v/>
      </c>
      <c r="F1545" s="67" t="n"/>
      <c r="G1545" s="81">
        <f>IF(D1545="","",IFERROR(INDEX('Stock pièces'!$I$5:$I$404,MATCH(D1545,'Stock pièces'!$A$5:$A$404,0)),0))</f>
        <v/>
      </c>
      <c r="H1545" s="81">
        <f>IF(D1545="","",N(F1545)*N(G1545))</f>
        <v/>
      </c>
      <c r="I1545" s="7" t="n"/>
      <c r="J1545" s="9">
        <f>IF(I1545="","",IFERROR(INDEX('Ordres de travail'!$D$5:$D$3004,MATCH(I1545,'Ordres de travail'!$A$5:$A$3004,0)),""))</f>
        <v/>
      </c>
      <c r="K1545" s="9">
        <f>IF(D1545="","",IFERROR(INDEX('Stock pièces'!$D$5:$D$404,MATCH(D1545,'Stock pièces'!$A$5:$A$404,0)),""))</f>
        <v/>
      </c>
      <c r="L1545" s="7" t="n"/>
      <c r="M1545" s="7" t="n"/>
    </row>
    <row r="1546">
      <c r="A1546" s="7" t="n"/>
      <c r="B1546" s="75" t="n"/>
      <c r="C1546" s="7" t="n"/>
      <c r="D1546" s="7" t="n"/>
      <c r="E1546" s="9">
        <f>IF(D1546="","",IFERROR(INDEX('Stock pièces'!$B$5:$B$404,MATCH(D1546,'Stock pièces'!$A$5:$A$404,0)),"Réf. inconnue"))</f>
        <v/>
      </c>
      <c r="F1546" s="67" t="n"/>
      <c r="G1546" s="81">
        <f>IF(D1546="","",IFERROR(INDEX('Stock pièces'!$I$5:$I$404,MATCH(D1546,'Stock pièces'!$A$5:$A$404,0)),0))</f>
        <v/>
      </c>
      <c r="H1546" s="81">
        <f>IF(D1546="","",N(F1546)*N(G1546))</f>
        <v/>
      </c>
      <c r="I1546" s="7" t="n"/>
      <c r="J1546" s="9">
        <f>IF(I1546="","",IFERROR(INDEX('Ordres de travail'!$D$5:$D$3004,MATCH(I1546,'Ordres de travail'!$A$5:$A$3004,0)),""))</f>
        <v/>
      </c>
      <c r="K1546" s="9">
        <f>IF(D1546="","",IFERROR(INDEX('Stock pièces'!$D$5:$D$404,MATCH(D1546,'Stock pièces'!$A$5:$A$404,0)),""))</f>
        <v/>
      </c>
      <c r="L1546" s="7" t="n"/>
      <c r="M1546" s="7" t="n"/>
    </row>
    <row r="1547">
      <c r="A1547" s="7" t="n"/>
      <c r="B1547" s="75" t="n"/>
      <c r="C1547" s="7" t="n"/>
      <c r="D1547" s="7" t="n"/>
      <c r="E1547" s="9">
        <f>IF(D1547="","",IFERROR(INDEX('Stock pièces'!$B$5:$B$404,MATCH(D1547,'Stock pièces'!$A$5:$A$404,0)),"Réf. inconnue"))</f>
        <v/>
      </c>
      <c r="F1547" s="67" t="n"/>
      <c r="G1547" s="81">
        <f>IF(D1547="","",IFERROR(INDEX('Stock pièces'!$I$5:$I$404,MATCH(D1547,'Stock pièces'!$A$5:$A$404,0)),0))</f>
        <v/>
      </c>
      <c r="H1547" s="81">
        <f>IF(D1547="","",N(F1547)*N(G1547))</f>
        <v/>
      </c>
      <c r="I1547" s="7" t="n"/>
      <c r="J1547" s="9">
        <f>IF(I1547="","",IFERROR(INDEX('Ordres de travail'!$D$5:$D$3004,MATCH(I1547,'Ordres de travail'!$A$5:$A$3004,0)),""))</f>
        <v/>
      </c>
      <c r="K1547" s="9">
        <f>IF(D1547="","",IFERROR(INDEX('Stock pièces'!$D$5:$D$404,MATCH(D1547,'Stock pièces'!$A$5:$A$404,0)),""))</f>
        <v/>
      </c>
      <c r="L1547" s="7" t="n"/>
      <c r="M1547" s="7" t="n"/>
    </row>
    <row r="1548">
      <c r="A1548" s="7" t="n"/>
      <c r="B1548" s="75" t="n"/>
      <c r="C1548" s="7" t="n"/>
      <c r="D1548" s="7" t="n"/>
      <c r="E1548" s="9">
        <f>IF(D1548="","",IFERROR(INDEX('Stock pièces'!$B$5:$B$404,MATCH(D1548,'Stock pièces'!$A$5:$A$404,0)),"Réf. inconnue"))</f>
        <v/>
      </c>
      <c r="F1548" s="67" t="n"/>
      <c r="G1548" s="81">
        <f>IF(D1548="","",IFERROR(INDEX('Stock pièces'!$I$5:$I$404,MATCH(D1548,'Stock pièces'!$A$5:$A$404,0)),0))</f>
        <v/>
      </c>
      <c r="H1548" s="81">
        <f>IF(D1548="","",N(F1548)*N(G1548))</f>
        <v/>
      </c>
      <c r="I1548" s="7" t="n"/>
      <c r="J1548" s="9">
        <f>IF(I1548="","",IFERROR(INDEX('Ordres de travail'!$D$5:$D$3004,MATCH(I1548,'Ordres de travail'!$A$5:$A$3004,0)),""))</f>
        <v/>
      </c>
      <c r="K1548" s="9">
        <f>IF(D1548="","",IFERROR(INDEX('Stock pièces'!$D$5:$D$404,MATCH(D1548,'Stock pièces'!$A$5:$A$404,0)),""))</f>
        <v/>
      </c>
      <c r="L1548" s="7" t="n"/>
      <c r="M1548" s="7" t="n"/>
    </row>
    <row r="1549">
      <c r="A1549" s="7" t="n"/>
      <c r="B1549" s="75" t="n"/>
      <c r="C1549" s="7" t="n"/>
      <c r="D1549" s="7" t="n"/>
      <c r="E1549" s="9">
        <f>IF(D1549="","",IFERROR(INDEX('Stock pièces'!$B$5:$B$404,MATCH(D1549,'Stock pièces'!$A$5:$A$404,0)),"Réf. inconnue"))</f>
        <v/>
      </c>
      <c r="F1549" s="67" t="n"/>
      <c r="G1549" s="81">
        <f>IF(D1549="","",IFERROR(INDEX('Stock pièces'!$I$5:$I$404,MATCH(D1549,'Stock pièces'!$A$5:$A$404,0)),0))</f>
        <v/>
      </c>
      <c r="H1549" s="81">
        <f>IF(D1549="","",N(F1549)*N(G1549))</f>
        <v/>
      </c>
      <c r="I1549" s="7" t="n"/>
      <c r="J1549" s="9">
        <f>IF(I1549="","",IFERROR(INDEX('Ordres de travail'!$D$5:$D$3004,MATCH(I1549,'Ordres de travail'!$A$5:$A$3004,0)),""))</f>
        <v/>
      </c>
      <c r="K1549" s="9">
        <f>IF(D1549="","",IFERROR(INDEX('Stock pièces'!$D$5:$D$404,MATCH(D1549,'Stock pièces'!$A$5:$A$404,0)),""))</f>
        <v/>
      </c>
      <c r="L1549" s="7" t="n"/>
      <c r="M1549" s="7" t="n"/>
    </row>
    <row r="1550">
      <c r="A1550" s="7" t="n"/>
      <c r="B1550" s="75" t="n"/>
      <c r="C1550" s="7" t="n"/>
      <c r="D1550" s="7" t="n"/>
      <c r="E1550" s="9">
        <f>IF(D1550="","",IFERROR(INDEX('Stock pièces'!$B$5:$B$404,MATCH(D1550,'Stock pièces'!$A$5:$A$404,0)),"Réf. inconnue"))</f>
        <v/>
      </c>
      <c r="F1550" s="67" t="n"/>
      <c r="G1550" s="81">
        <f>IF(D1550="","",IFERROR(INDEX('Stock pièces'!$I$5:$I$404,MATCH(D1550,'Stock pièces'!$A$5:$A$404,0)),0))</f>
        <v/>
      </c>
      <c r="H1550" s="81">
        <f>IF(D1550="","",N(F1550)*N(G1550))</f>
        <v/>
      </c>
      <c r="I1550" s="7" t="n"/>
      <c r="J1550" s="9">
        <f>IF(I1550="","",IFERROR(INDEX('Ordres de travail'!$D$5:$D$3004,MATCH(I1550,'Ordres de travail'!$A$5:$A$3004,0)),""))</f>
        <v/>
      </c>
      <c r="K1550" s="9">
        <f>IF(D1550="","",IFERROR(INDEX('Stock pièces'!$D$5:$D$404,MATCH(D1550,'Stock pièces'!$A$5:$A$404,0)),""))</f>
        <v/>
      </c>
      <c r="L1550" s="7" t="n"/>
      <c r="M1550" s="7" t="n"/>
    </row>
    <row r="1551">
      <c r="A1551" s="7" t="n"/>
      <c r="B1551" s="75" t="n"/>
      <c r="C1551" s="7" t="n"/>
      <c r="D1551" s="7" t="n"/>
      <c r="E1551" s="9">
        <f>IF(D1551="","",IFERROR(INDEX('Stock pièces'!$B$5:$B$404,MATCH(D1551,'Stock pièces'!$A$5:$A$404,0)),"Réf. inconnue"))</f>
        <v/>
      </c>
      <c r="F1551" s="67" t="n"/>
      <c r="G1551" s="81">
        <f>IF(D1551="","",IFERROR(INDEX('Stock pièces'!$I$5:$I$404,MATCH(D1551,'Stock pièces'!$A$5:$A$404,0)),0))</f>
        <v/>
      </c>
      <c r="H1551" s="81">
        <f>IF(D1551="","",N(F1551)*N(G1551))</f>
        <v/>
      </c>
      <c r="I1551" s="7" t="n"/>
      <c r="J1551" s="9">
        <f>IF(I1551="","",IFERROR(INDEX('Ordres de travail'!$D$5:$D$3004,MATCH(I1551,'Ordres de travail'!$A$5:$A$3004,0)),""))</f>
        <v/>
      </c>
      <c r="K1551" s="9">
        <f>IF(D1551="","",IFERROR(INDEX('Stock pièces'!$D$5:$D$404,MATCH(D1551,'Stock pièces'!$A$5:$A$404,0)),""))</f>
        <v/>
      </c>
      <c r="L1551" s="7" t="n"/>
      <c r="M1551" s="7" t="n"/>
    </row>
    <row r="1552">
      <c r="A1552" s="7" t="n"/>
      <c r="B1552" s="75" t="n"/>
      <c r="C1552" s="7" t="n"/>
      <c r="D1552" s="7" t="n"/>
      <c r="E1552" s="9">
        <f>IF(D1552="","",IFERROR(INDEX('Stock pièces'!$B$5:$B$404,MATCH(D1552,'Stock pièces'!$A$5:$A$404,0)),"Réf. inconnue"))</f>
        <v/>
      </c>
      <c r="F1552" s="67" t="n"/>
      <c r="G1552" s="81">
        <f>IF(D1552="","",IFERROR(INDEX('Stock pièces'!$I$5:$I$404,MATCH(D1552,'Stock pièces'!$A$5:$A$404,0)),0))</f>
        <v/>
      </c>
      <c r="H1552" s="81">
        <f>IF(D1552="","",N(F1552)*N(G1552))</f>
        <v/>
      </c>
      <c r="I1552" s="7" t="n"/>
      <c r="J1552" s="9">
        <f>IF(I1552="","",IFERROR(INDEX('Ordres de travail'!$D$5:$D$3004,MATCH(I1552,'Ordres de travail'!$A$5:$A$3004,0)),""))</f>
        <v/>
      </c>
      <c r="K1552" s="9">
        <f>IF(D1552="","",IFERROR(INDEX('Stock pièces'!$D$5:$D$404,MATCH(D1552,'Stock pièces'!$A$5:$A$404,0)),""))</f>
        <v/>
      </c>
      <c r="L1552" s="7" t="n"/>
      <c r="M1552" s="7" t="n"/>
    </row>
    <row r="1553">
      <c r="A1553" s="7" t="n"/>
      <c r="B1553" s="75" t="n"/>
      <c r="C1553" s="7" t="n"/>
      <c r="D1553" s="7" t="n"/>
      <c r="E1553" s="9">
        <f>IF(D1553="","",IFERROR(INDEX('Stock pièces'!$B$5:$B$404,MATCH(D1553,'Stock pièces'!$A$5:$A$404,0)),"Réf. inconnue"))</f>
        <v/>
      </c>
      <c r="F1553" s="67" t="n"/>
      <c r="G1553" s="81">
        <f>IF(D1553="","",IFERROR(INDEX('Stock pièces'!$I$5:$I$404,MATCH(D1553,'Stock pièces'!$A$5:$A$404,0)),0))</f>
        <v/>
      </c>
      <c r="H1553" s="81">
        <f>IF(D1553="","",N(F1553)*N(G1553))</f>
        <v/>
      </c>
      <c r="I1553" s="7" t="n"/>
      <c r="J1553" s="9">
        <f>IF(I1553="","",IFERROR(INDEX('Ordres de travail'!$D$5:$D$3004,MATCH(I1553,'Ordres de travail'!$A$5:$A$3004,0)),""))</f>
        <v/>
      </c>
      <c r="K1553" s="9">
        <f>IF(D1553="","",IFERROR(INDEX('Stock pièces'!$D$5:$D$404,MATCH(D1553,'Stock pièces'!$A$5:$A$404,0)),""))</f>
        <v/>
      </c>
      <c r="L1553" s="7" t="n"/>
      <c r="M1553" s="7" t="n"/>
    </row>
    <row r="1554">
      <c r="A1554" s="7" t="n"/>
      <c r="B1554" s="75" t="n"/>
      <c r="C1554" s="7" t="n"/>
      <c r="D1554" s="7" t="n"/>
      <c r="E1554" s="9">
        <f>IF(D1554="","",IFERROR(INDEX('Stock pièces'!$B$5:$B$404,MATCH(D1554,'Stock pièces'!$A$5:$A$404,0)),"Réf. inconnue"))</f>
        <v/>
      </c>
      <c r="F1554" s="67" t="n"/>
      <c r="G1554" s="81">
        <f>IF(D1554="","",IFERROR(INDEX('Stock pièces'!$I$5:$I$404,MATCH(D1554,'Stock pièces'!$A$5:$A$404,0)),0))</f>
        <v/>
      </c>
      <c r="H1554" s="81">
        <f>IF(D1554="","",N(F1554)*N(G1554))</f>
        <v/>
      </c>
      <c r="I1554" s="7" t="n"/>
      <c r="J1554" s="9">
        <f>IF(I1554="","",IFERROR(INDEX('Ordres de travail'!$D$5:$D$3004,MATCH(I1554,'Ordres de travail'!$A$5:$A$3004,0)),""))</f>
        <v/>
      </c>
      <c r="K1554" s="9">
        <f>IF(D1554="","",IFERROR(INDEX('Stock pièces'!$D$5:$D$404,MATCH(D1554,'Stock pièces'!$A$5:$A$404,0)),""))</f>
        <v/>
      </c>
      <c r="L1554" s="7" t="n"/>
      <c r="M1554" s="7" t="n"/>
    </row>
    <row r="1555">
      <c r="A1555" s="7" t="n"/>
      <c r="B1555" s="75" t="n"/>
      <c r="C1555" s="7" t="n"/>
      <c r="D1555" s="7" t="n"/>
      <c r="E1555" s="9">
        <f>IF(D1555="","",IFERROR(INDEX('Stock pièces'!$B$5:$B$404,MATCH(D1555,'Stock pièces'!$A$5:$A$404,0)),"Réf. inconnue"))</f>
        <v/>
      </c>
      <c r="F1555" s="67" t="n"/>
      <c r="G1555" s="81">
        <f>IF(D1555="","",IFERROR(INDEX('Stock pièces'!$I$5:$I$404,MATCH(D1555,'Stock pièces'!$A$5:$A$404,0)),0))</f>
        <v/>
      </c>
      <c r="H1555" s="81">
        <f>IF(D1555="","",N(F1555)*N(G1555))</f>
        <v/>
      </c>
      <c r="I1555" s="7" t="n"/>
      <c r="J1555" s="9">
        <f>IF(I1555="","",IFERROR(INDEX('Ordres de travail'!$D$5:$D$3004,MATCH(I1555,'Ordres de travail'!$A$5:$A$3004,0)),""))</f>
        <v/>
      </c>
      <c r="K1555" s="9">
        <f>IF(D1555="","",IFERROR(INDEX('Stock pièces'!$D$5:$D$404,MATCH(D1555,'Stock pièces'!$A$5:$A$404,0)),""))</f>
        <v/>
      </c>
      <c r="L1555" s="7" t="n"/>
      <c r="M1555" s="7" t="n"/>
    </row>
    <row r="1556">
      <c r="A1556" s="7" t="n"/>
      <c r="B1556" s="75" t="n"/>
      <c r="C1556" s="7" t="n"/>
      <c r="D1556" s="7" t="n"/>
      <c r="E1556" s="9">
        <f>IF(D1556="","",IFERROR(INDEX('Stock pièces'!$B$5:$B$404,MATCH(D1556,'Stock pièces'!$A$5:$A$404,0)),"Réf. inconnue"))</f>
        <v/>
      </c>
      <c r="F1556" s="67" t="n"/>
      <c r="G1556" s="81">
        <f>IF(D1556="","",IFERROR(INDEX('Stock pièces'!$I$5:$I$404,MATCH(D1556,'Stock pièces'!$A$5:$A$404,0)),0))</f>
        <v/>
      </c>
      <c r="H1556" s="81">
        <f>IF(D1556="","",N(F1556)*N(G1556))</f>
        <v/>
      </c>
      <c r="I1556" s="7" t="n"/>
      <c r="J1556" s="9">
        <f>IF(I1556="","",IFERROR(INDEX('Ordres de travail'!$D$5:$D$3004,MATCH(I1556,'Ordres de travail'!$A$5:$A$3004,0)),""))</f>
        <v/>
      </c>
      <c r="K1556" s="9">
        <f>IF(D1556="","",IFERROR(INDEX('Stock pièces'!$D$5:$D$404,MATCH(D1556,'Stock pièces'!$A$5:$A$404,0)),""))</f>
        <v/>
      </c>
      <c r="L1556" s="7" t="n"/>
      <c r="M1556" s="7" t="n"/>
    </row>
    <row r="1557">
      <c r="A1557" s="7" t="n"/>
      <c r="B1557" s="75" t="n"/>
      <c r="C1557" s="7" t="n"/>
      <c r="D1557" s="7" t="n"/>
      <c r="E1557" s="9">
        <f>IF(D1557="","",IFERROR(INDEX('Stock pièces'!$B$5:$B$404,MATCH(D1557,'Stock pièces'!$A$5:$A$404,0)),"Réf. inconnue"))</f>
        <v/>
      </c>
      <c r="F1557" s="67" t="n"/>
      <c r="G1557" s="81">
        <f>IF(D1557="","",IFERROR(INDEX('Stock pièces'!$I$5:$I$404,MATCH(D1557,'Stock pièces'!$A$5:$A$404,0)),0))</f>
        <v/>
      </c>
      <c r="H1557" s="81">
        <f>IF(D1557="","",N(F1557)*N(G1557))</f>
        <v/>
      </c>
      <c r="I1557" s="7" t="n"/>
      <c r="J1557" s="9">
        <f>IF(I1557="","",IFERROR(INDEX('Ordres de travail'!$D$5:$D$3004,MATCH(I1557,'Ordres de travail'!$A$5:$A$3004,0)),""))</f>
        <v/>
      </c>
      <c r="K1557" s="9">
        <f>IF(D1557="","",IFERROR(INDEX('Stock pièces'!$D$5:$D$404,MATCH(D1557,'Stock pièces'!$A$5:$A$404,0)),""))</f>
        <v/>
      </c>
      <c r="L1557" s="7" t="n"/>
      <c r="M1557" s="7" t="n"/>
    </row>
    <row r="1558">
      <c r="A1558" s="7" t="n"/>
      <c r="B1558" s="75" t="n"/>
      <c r="C1558" s="7" t="n"/>
      <c r="D1558" s="7" t="n"/>
      <c r="E1558" s="9">
        <f>IF(D1558="","",IFERROR(INDEX('Stock pièces'!$B$5:$B$404,MATCH(D1558,'Stock pièces'!$A$5:$A$404,0)),"Réf. inconnue"))</f>
        <v/>
      </c>
      <c r="F1558" s="67" t="n"/>
      <c r="G1558" s="81">
        <f>IF(D1558="","",IFERROR(INDEX('Stock pièces'!$I$5:$I$404,MATCH(D1558,'Stock pièces'!$A$5:$A$404,0)),0))</f>
        <v/>
      </c>
      <c r="H1558" s="81">
        <f>IF(D1558="","",N(F1558)*N(G1558))</f>
        <v/>
      </c>
      <c r="I1558" s="7" t="n"/>
      <c r="J1558" s="9">
        <f>IF(I1558="","",IFERROR(INDEX('Ordres de travail'!$D$5:$D$3004,MATCH(I1558,'Ordres de travail'!$A$5:$A$3004,0)),""))</f>
        <v/>
      </c>
      <c r="K1558" s="9">
        <f>IF(D1558="","",IFERROR(INDEX('Stock pièces'!$D$5:$D$404,MATCH(D1558,'Stock pièces'!$A$5:$A$404,0)),""))</f>
        <v/>
      </c>
      <c r="L1558" s="7" t="n"/>
      <c r="M1558" s="7" t="n"/>
    </row>
    <row r="1559">
      <c r="A1559" s="7" t="n"/>
      <c r="B1559" s="75" t="n"/>
      <c r="C1559" s="7" t="n"/>
      <c r="D1559" s="7" t="n"/>
      <c r="E1559" s="9">
        <f>IF(D1559="","",IFERROR(INDEX('Stock pièces'!$B$5:$B$404,MATCH(D1559,'Stock pièces'!$A$5:$A$404,0)),"Réf. inconnue"))</f>
        <v/>
      </c>
      <c r="F1559" s="67" t="n"/>
      <c r="G1559" s="81">
        <f>IF(D1559="","",IFERROR(INDEX('Stock pièces'!$I$5:$I$404,MATCH(D1559,'Stock pièces'!$A$5:$A$404,0)),0))</f>
        <v/>
      </c>
      <c r="H1559" s="81">
        <f>IF(D1559="","",N(F1559)*N(G1559))</f>
        <v/>
      </c>
      <c r="I1559" s="7" t="n"/>
      <c r="J1559" s="9">
        <f>IF(I1559="","",IFERROR(INDEX('Ordres de travail'!$D$5:$D$3004,MATCH(I1559,'Ordres de travail'!$A$5:$A$3004,0)),""))</f>
        <v/>
      </c>
      <c r="K1559" s="9">
        <f>IF(D1559="","",IFERROR(INDEX('Stock pièces'!$D$5:$D$404,MATCH(D1559,'Stock pièces'!$A$5:$A$404,0)),""))</f>
        <v/>
      </c>
      <c r="L1559" s="7" t="n"/>
      <c r="M1559" s="7" t="n"/>
    </row>
    <row r="1560">
      <c r="A1560" s="7" t="n"/>
      <c r="B1560" s="75" t="n"/>
      <c r="C1560" s="7" t="n"/>
      <c r="D1560" s="7" t="n"/>
      <c r="E1560" s="9">
        <f>IF(D1560="","",IFERROR(INDEX('Stock pièces'!$B$5:$B$404,MATCH(D1560,'Stock pièces'!$A$5:$A$404,0)),"Réf. inconnue"))</f>
        <v/>
      </c>
      <c r="F1560" s="67" t="n"/>
      <c r="G1560" s="81">
        <f>IF(D1560="","",IFERROR(INDEX('Stock pièces'!$I$5:$I$404,MATCH(D1560,'Stock pièces'!$A$5:$A$404,0)),0))</f>
        <v/>
      </c>
      <c r="H1560" s="81">
        <f>IF(D1560="","",N(F1560)*N(G1560))</f>
        <v/>
      </c>
      <c r="I1560" s="7" t="n"/>
      <c r="J1560" s="9">
        <f>IF(I1560="","",IFERROR(INDEX('Ordres de travail'!$D$5:$D$3004,MATCH(I1560,'Ordres de travail'!$A$5:$A$3004,0)),""))</f>
        <v/>
      </c>
      <c r="K1560" s="9">
        <f>IF(D1560="","",IFERROR(INDEX('Stock pièces'!$D$5:$D$404,MATCH(D1560,'Stock pièces'!$A$5:$A$404,0)),""))</f>
        <v/>
      </c>
      <c r="L1560" s="7" t="n"/>
      <c r="M1560" s="7" t="n"/>
    </row>
    <row r="1561">
      <c r="A1561" s="7" t="n"/>
      <c r="B1561" s="75" t="n"/>
      <c r="C1561" s="7" t="n"/>
      <c r="D1561" s="7" t="n"/>
      <c r="E1561" s="9">
        <f>IF(D1561="","",IFERROR(INDEX('Stock pièces'!$B$5:$B$404,MATCH(D1561,'Stock pièces'!$A$5:$A$404,0)),"Réf. inconnue"))</f>
        <v/>
      </c>
      <c r="F1561" s="67" t="n"/>
      <c r="G1561" s="81">
        <f>IF(D1561="","",IFERROR(INDEX('Stock pièces'!$I$5:$I$404,MATCH(D1561,'Stock pièces'!$A$5:$A$404,0)),0))</f>
        <v/>
      </c>
      <c r="H1561" s="81">
        <f>IF(D1561="","",N(F1561)*N(G1561))</f>
        <v/>
      </c>
      <c r="I1561" s="7" t="n"/>
      <c r="J1561" s="9">
        <f>IF(I1561="","",IFERROR(INDEX('Ordres de travail'!$D$5:$D$3004,MATCH(I1561,'Ordres de travail'!$A$5:$A$3004,0)),""))</f>
        <v/>
      </c>
      <c r="K1561" s="9">
        <f>IF(D1561="","",IFERROR(INDEX('Stock pièces'!$D$5:$D$404,MATCH(D1561,'Stock pièces'!$A$5:$A$404,0)),""))</f>
        <v/>
      </c>
      <c r="L1561" s="7" t="n"/>
      <c r="M1561" s="7" t="n"/>
    </row>
    <row r="1562">
      <c r="A1562" s="7" t="n"/>
      <c r="B1562" s="75" t="n"/>
      <c r="C1562" s="7" t="n"/>
      <c r="D1562" s="7" t="n"/>
      <c r="E1562" s="9">
        <f>IF(D1562="","",IFERROR(INDEX('Stock pièces'!$B$5:$B$404,MATCH(D1562,'Stock pièces'!$A$5:$A$404,0)),"Réf. inconnue"))</f>
        <v/>
      </c>
      <c r="F1562" s="67" t="n"/>
      <c r="G1562" s="81">
        <f>IF(D1562="","",IFERROR(INDEX('Stock pièces'!$I$5:$I$404,MATCH(D1562,'Stock pièces'!$A$5:$A$404,0)),0))</f>
        <v/>
      </c>
      <c r="H1562" s="81">
        <f>IF(D1562="","",N(F1562)*N(G1562))</f>
        <v/>
      </c>
      <c r="I1562" s="7" t="n"/>
      <c r="J1562" s="9">
        <f>IF(I1562="","",IFERROR(INDEX('Ordres de travail'!$D$5:$D$3004,MATCH(I1562,'Ordres de travail'!$A$5:$A$3004,0)),""))</f>
        <v/>
      </c>
      <c r="K1562" s="9">
        <f>IF(D1562="","",IFERROR(INDEX('Stock pièces'!$D$5:$D$404,MATCH(D1562,'Stock pièces'!$A$5:$A$404,0)),""))</f>
        <v/>
      </c>
      <c r="L1562" s="7" t="n"/>
      <c r="M1562" s="7" t="n"/>
    </row>
    <row r="1563">
      <c r="A1563" s="7" t="n"/>
      <c r="B1563" s="75" t="n"/>
      <c r="C1563" s="7" t="n"/>
      <c r="D1563" s="7" t="n"/>
      <c r="E1563" s="9">
        <f>IF(D1563="","",IFERROR(INDEX('Stock pièces'!$B$5:$B$404,MATCH(D1563,'Stock pièces'!$A$5:$A$404,0)),"Réf. inconnue"))</f>
        <v/>
      </c>
      <c r="F1563" s="67" t="n"/>
      <c r="G1563" s="81">
        <f>IF(D1563="","",IFERROR(INDEX('Stock pièces'!$I$5:$I$404,MATCH(D1563,'Stock pièces'!$A$5:$A$404,0)),0))</f>
        <v/>
      </c>
      <c r="H1563" s="81">
        <f>IF(D1563="","",N(F1563)*N(G1563))</f>
        <v/>
      </c>
      <c r="I1563" s="7" t="n"/>
      <c r="J1563" s="9">
        <f>IF(I1563="","",IFERROR(INDEX('Ordres de travail'!$D$5:$D$3004,MATCH(I1563,'Ordres de travail'!$A$5:$A$3004,0)),""))</f>
        <v/>
      </c>
      <c r="K1563" s="9">
        <f>IF(D1563="","",IFERROR(INDEX('Stock pièces'!$D$5:$D$404,MATCH(D1563,'Stock pièces'!$A$5:$A$404,0)),""))</f>
        <v/>
      </c>
      <c r="L1563" s="7" t="n"/>
      <c r="M1563" s="7" t="n"/>
    </row>
    <row r="1564">
      <c r="A1564" s="7" t="n"/>
      <c r="B1564" s="75" t="n"/>
      <c r="C1564" s="7" t="n"/>
      <c r="D1564" s="7" t="n"/>
      <c r="E1564" s="9">
        <f>IF(D1564="","",IFERROR(INDEX('Stock pièces'!$B$5:$B$404,MATCH(D1564,'Stock pièces'!$A$5:$A$404,0)),"Réf. inconnue"))</f>
        <v/>
      </c>
      <c r="F1564" s="67" t="n"/>
      <c r="G1564" s="81">
        <f>IF(D1564="","",IFERROR(INDEX('Stock pièces'!$I$5:$I$404,MATCH(D1564,'Stock pièces'!$A$5:$A$404,0)),0))</f>
        <v/>
      </c>
      <c r="H1564" s="81">
        <f>IF(D1564="","",N(F1564)*N(G1564))</f>
        <v/>
      </c>
      <c r="I1564" s="7" t="n"/>
      <c r="J1564" s="9">
        <f>IF(I1564="","",IFERROR(INDEX('Ordres de travail'!$D$5:$D$3004,MATCH(I1564,'Ordres de travail'!$A$5:$A$3004,0)),""))</f>
        <v/>
      </c>
      <c r="K1564" s="9">
        <f>IF(D1564="","",IFERROR(INDEX('Stock pièces'!$D$5:$D$404,MATCH(D1564,'Stock pièces'!$A$5:$A$404,0)),""))</f>
        <v/>
      </c>
      <c r="L1564" s="7" t="n"/>
      <c r="M1564" s="7" t="n"/>
    </row>
    <row r="1565">
      <c r="A1565" s="7" t="n"/>
      <c r="B1565" s="75" t="n"/>
      <c r="C1565" s="7" t="n"/>
      <c r="D1565" s="7" t="n"/>
      <c r="E1565" s="9">
        <f>IF(D1565="","",IFERROR(INDEX('Stock pièces'!$B$5:$B$404,MATCH(D1565,'Stock pièces'!$A$5:$A$404,0)),"Réf. inconnue"))</f>
        <v/>
      </c>
      <c r="F1565" s="67" t="n"/>
      <c r="G1565" s="81">
        <f>IF(D1565="","",IFERROR(INDEX('Stock pièces'!$I$5:$I$404,MATCH(D1565,'Stock pièces'!$A$5:$A$404,0)),0))</f>
        <v/>
      </c>
      <c r="H1565" s="81">
        <f>IF(D1565="","",N(F1565)*N(G1565))</f>
        <v/>
      </c>
      <c r="I1565" s="7" t="n"/>
      <c r="J1565" s="9">
        <f>IF(I1565="","",IFERROR(INDEX('Ordres de travail'!$D$5:$D$3004,MATCH(I1565,'Ordres de travail'!$A$5:$A$3004,0)),""))</f>
        <v/>
      </c>
      <c r="K1565" s="9">
        <f>IF(D1565="","",IFERROR(INDEX('Stock pièces'!$D$5:$D$404,MATCH(D1565,'Stock pièces'!$A$5:$A$404,0)),""))</f>
        <v/>
      </c>
      <c r="L1565" s="7" t="n"/>
      <c r="M1565" s="7" t="n"/>
    </row>
    <row r="1566">
      <c r="A1566" s="7" t="n"/>
      <c r="B1566" s="75" t="n"/>
      <c r="C1566" s="7" t="n"/>
      <c r="D1566" s="7" t="n"/>
      <c r="E1566" s="9">
        <f>IF(D1566="","",IFERROR(INDEX('Stock pièces'!$B$5:$B$404,MATCH(D1566,'Stock pièces'!$A$5:$A$404,0)),"Réf. inconnue"))</f>
        <v/>
      </c>
      <c r="F1566" s="67" t="n"/>
      <c r="G1566" s="81">
        <f>IF(D1566="","",IFERROR(INDEX('Stock pièces'!$I$5:$I$404,MATCH(D1566,'Stock pièces'!$A$5:$A$404,0)),0))</f>
        <v/>
      </c>
      <c r="H1566" s="81">
        <f>IF(D1566="","",N(F1566)*N(G1566))</f>
        <v/>
      </c>
      <c r="I1566" s="7" t="n"/>
      <c r="J1566" s="9">
        <f>IF(I1566="","",IFERROR(INDEX('Ordres de travail'!$D$5:$D$3004,MATCH(I1566,'Ordres de travail'!$A$5:$A$3004,0)),""))</f>
        <v/>
      </c>
      <c r="K1566" s="9">
        <f>IF(D1566="","",IFERROR(INDEX('Stock pièces'!$D$5:$D$404,MATCH(D1566,'Stock pièces'!$A$5:$A$404,0)),""))</f>
        <v/>
      </c>
      <c r="L1566" s="7" t="n"/>
      <c r="M1566" s="7" t="n"/>
    </row>
    <row r="1567">
      <c r="A1567" s="7" t="n"/>
      <c r="B1567" s="75" t="n"/>
      <c r="C1567" s="7" t="n"/>
      <c r="D1567" s="7" t="n"/>
      <c r="E1567" s="9">
        <f>IF(D1567="","",IFERROR(INDEX('Stock pièces'!$B$5:$B$404,MATCH(D1567,'Stock pièces'!$A$5:$A$404,0)),"Réf. inconnue"))</f>
        <v/>
      </c>
      <c r="F1567" s="67" t="n"/>
      <c r="G1567" s="81">
        <f>IF(D1567="","",IFERROR(INDEX('Stock pièces'!$I$5:$I$404,MATCH(D1567,'Stock pièces'!$A$5:$A$404,0)),0))</f>
        <v/>
      </c>
      <c r="H1567" s="81">
        <f>IF(D1567="","",N(F1567)*N(G1567))</f>
        <v/>
      </c>
      <c r="I1567" s="7" t="n"/>
      <c r="J1567" s="9">
        <f>IF(I1567="","",IFERROR(INDEX('Ordres de travail'!$D$5:$D$3004,MATCH(I1567,'Ordres de travail'!$A$5:$A$3004,0)),""))</f>
        <v/>
      </c>
      <c r="K1567" s="9">
        <f>IF(D1567="","",IFERROR(INDEX('Stock pièces'!$D$5:$D$404,MATCH(D1567,'Stock pièces'!$A$5:$A$404,0)),""))</f>
        <v/>
      </c>
      <c r="L1567" s="7" t="n"/>
      <c r="M1567" s="7" t="n"/>
    </row>
    <row r="1568">
      <c r="A1568" s="7" t="n"/>
      <c r="B1568" s="75" t="n"/>
      <c r="C1568" s="7" t="n"/>
      <c r="D1568" s="7" t="n"/>
      <c r="E1568" s="9">
        <f>IF(D1568="","",IFERROR(INDEX('Stock pièces'!$B$5:$B$404,MATCH(D1568,'Stock pièces'!$A$5:$A$404,0)),"Réf. inconnue"))</f>
        <v/>
      </c>
      <c r="F1568" s="67" t="n"/>
      <c r="G1568" s="81">
        <f>IF(D1568="","",IFERROR(INDEX('Stock pièces'!$I$5:$I$404,MATCH(D1568,'Stock pièces'!$A$5:$A$404,0)),0))</f>
        <v/>
      </c>
      <c r="H1568" s="81">
        <f>IF(D1568="","",N(F1568)*N(G1568))</f>
        <v/>
      </c>
      <c r="I1568" s="7" t="n"/>
      <c r="J1568" s="9">
        <f>IF(I1568="","",IFERROR(INDEX('Ordres de travail'!$D$5:$D$3004,MATCH(I1568,'Ordres de travail'!$A$5:$A$3004,0)),""))</f>
        <v/>
      </c>
      <c r="K1568" s="9">
        <f>IF(D1568="","",IFERROR(INDEX('Stock pièces'!$D$5:$D$404,MATCH(D1568,'Stock pièces'!$A$5:$A$404,0)),""))</f>
        <v/>
      </c>
      <c r="L1568" s="7" t="n"/>
      <c r="M1568" s="7" t="n"/>
    </row>
    <row r="1569">
      <c r="A1569" s="7" t="n"/>
      <c r="B1569" s="75" t="n"/>
      <c r="C1569" s="7" t="n"/>
      <c r="D1569" s="7" t="n"/>
      <c r="E1569" s="9">
        <f>IF(D1569="","",IFERROR(INDEX('Stock pièces'!$B$5:$B$404,MATCH(D1569,'Stock pièces'!$A$5:$A$404,0)),"Réf. inconnue"))</f>
        <v/>
      </c>
      <c r="F1569" s="67" t="n"/>
      <c r="G1569" s="81">
        <f>IF(D1569="","",IFERROR(INDEX('Stock pièces'!$I$5:$I$404,MATCH(D1569,'Stock pièces'!$A$5:$A$404,0)),0))</f>
        <v/>
      </c>
      <c r="H1569" s="81">
        <f>IF(D1569="","",N(F1569)*N(G1569))</f>
        <v/>
      </c>
      <c r="I1569" s="7" t="n"/>
      <c r="J1569" s="9">
        <f>IF(I1569="","",IFERROR(INDEX('Ordres de travail'!$D$5:$D$3004,MATCH(I1569,'Ordres de travail'!$A$5:$A$3004,0)),""))</f>
        <v/>
      </c>
      <c r="K1569" s="9">
        <f>IF(D1569="","",IFERROR(INDEX('Stock pièces'!$D$5:$D$404,MATCH(D1569,'Stock pièces'!$A$5:$A$404,0)),""))</f>
        <v/>
      </c>
      <c r="L1569" s="7" t="n"/>
      <c r="M1569" s="7" t="n"/>
    </row>
    <row r="1570">
      <c r="A1570" s="7" t="n"/>
      <c r="B1570" s="75" t="n"/>
      <c r="C1570" s="7" t="n"/>
      <c r="D1570" s="7" t="n"/>
      <c r="E1570" s="9">
        <f>IF(D1570="","",IFERROR(INDEX('Stock pièces'!$B$5:$B$404,MATCH(D1570,'Stock pièces'!$A$5:$A$404,0)),"Réf. inconnue"))</f>
        <v/>
      </c>
      <c r="F1570" s="67" t="n"/>
      <c r="G1570" s="81">
        <f>IF(D1570="","",IFERROR(INDEX('Stock pièces'!$I$5:$I$404,MATCH(D1570,'Stock pièces'!$A$5:$A$404,0)),0))</f>
        <v/>
      </c>
      <c r="H1570" s="81">
        <f>IF(D1570="","",N(F1570)*N(G1570))</f>
        <v/>
      </c>
      <c r="I1570" s="7" t="n"/>
      <c r="J1570" s="9">
        <f>IF(I1570="","",IFERROR(INDEX('Ordres de travail'!$D$5:$D$3004,MATCH(I1570,'Ordres de travail'!$A$5:$A$3004,0)),""))</f>
        <v/>
      </c>
      <c r="K1570" s="9">
        <f>IF(D1570="","",IFERROR(INDEX('Stock pièces'!$D$5:$D$404,MATCH(D1570,'Stock pièces'!$A$5:$A$404,0)),""))</f>
        <v/>
      </c>
      <c r="L1570" s="7" t="n"/>
      <c r="M1570" s="7" t="n"/>
    </row>
    <row r="1571">
      <c r="A1571" s="7" t="n"/>
      <c r="B1571" s="75" t="n"/>
      <c r="C1571" s="7" t="n"/>
      <c r="D1571" s="7" t="n"/>
      <c r="E1571" s="9">
        <f>IF(D1571="","",IFERROR(INDEX('Stock pièces'!$B$5:$B$404,MATCH(D1571,'Stock pièces'!$A$5:$A$404,0)),"Réf. inconnue"))</f>
        <v/>
      </c>
      <c r="F1571" s="67" t="n"/>
      <c r="G1571" s="81">
        <f>IF(D1571="","",IFERROR(INDEX('Stock pièces'!$I$5:$I$404,MATCH(D1571,'Stock pièces'!$A$5:$A$404,0)),0))</f>
        <v/>
      </c>
      <c r="H1571" s="81">
        <f>IF(D1571="","",N(F1571)*N(G1571))</f>
        <v/>
      </c>
      <c r="I1571" s="7" t="n"/>
      <c r="J1571" s="9">
        <f>IF(I1571="","",IFERROR(INDEX('Ordres de travail'!$D$5:$D$3004,MATCH(I1571,'Ordres de travail'!$A$5:$A$3004,0)),""))</f>
        <v/>
      </c>
      <c r="K1571" s="9">
        <f>IF(D1571="","",IFERROR(INDEX('Stock pièces'!$D$5:$D$404,MATCH(D1571,'Stock pièces'!$A$5:$A$404,0)),""))</f>
        <v/>
      </c>
      <c r="L1571" s="7" t="n"/>
      <c r="M1571" s="7" t="n"/>
    </row>
    <row r="1572">
      <c r="A1572" s="7" t="n"/>
      <c r="B1572" s="75" t="n"/>
      <c r="C1572" s="7" t="n"/>
      <c r="D1572" s="7" t="n"/>
      <c r="E1572" s="9">
        <f>IF(D1572="","",IFERROR(INDEX('Stock pièces'!$B$5:$B$404,MATCH(D1572,'Stock pièces'!$A$5:$A$404,0)),"Réf. inconnue"))</f>
        <v/>
      </c>
      <c r="F1572" s="67" t="n"/>
      <c r="G1572" s="81">
        <f>IF(D1572="","",IFERROR(INDEX('Stock pièces'!$I$5:$I$404,MATCH(D1572,'Stock pièces'!$A$5:$A$404,0)),0))</f>
        <v/>
      </c>
      <c r="H1572" s="81">
        <f>IF(D1572="","",N(F1572)*N(G1572))</f>
        <v/>
      </c>
      <c r="I1572" s="7" t="n"/>
      <c r="J1572" s="9">
        <f>IF(I1572="","",IFERROR(INDEX('Ordres de travail'!$D$5:$D$3004,MATCH(I1572,'Ordres de travail'!$A$5:$A$3004,0)),""))</f>
        <v/>
      </c>
      <c r="K1572" s="9">
        <f>IF(D1572="","",IFERROR(INDEX('Stock pièces'!$D$5:$D$404,MATCH(D1572,'Stock pièces'!$A$5:$A$404,0)),""))</f>
        <v/>
      </c>
      <c r="L1572" s="7" t="n"/>
      <c r="M1572" s="7" t="n"/>
    </row>
    <row r="1573">
      <c r="A1573" s="7" t="n"/>
      <c r="B1573" s="75" t="n"/>
      <c r="C1573" s="7" t="n"/>
      <c r="D1573" s="7" t="n"/>
      <c r="E1573" s="9">
        <f>IF(D1573="","",IFERROR(INDEX('Stock pièces'!$B$5:$B$404,MATCH(D1573,'Stock pièces'!$A$5:$A$404,0)),"Réf. inconnue"))</f>
        <v/>
      </c>
      <c r="F1573" s="67" t="n"/>
      <c r="G1573" s="81">
        <f>IF(D1573="","",IFERROR(INDEX('Stock pièces'!$I$5:$I$404,MATCH(D1573,'Stock pièces'!$A$5:$A$404,0)),0))</f>
        <v/>
      </c>
      <c r="H1573" s="81">
        <f>IF(D1573="","",N(F1573)*N(G1573))</f>
        <v/>
      </c>
      <c r="I1573" s="7" t="n"/>
      <c r="J1573" s="9">
        <f>IF(I1573="","",IFERROR(INDEX('Ordres de travail'!$D$5:$D$3004,MATCH(I1573,'Ordres de travail'!$A$5:$A$3004,0)),""))</f>
        <v/>
      </c>
      <c r="K1573" s="9">
        <f>IF(D1573="","",IFERROR(INDEX('Stock pièces'!$D$5:$D$404,MATCH(D1573,'Stock pièces'!$A$5:$A$404,0)),""))</f>
        <v/>
      </c>
      <c r="L1573" s="7" t="n"/>
      <c r="M1573" s="7" t="n"/>
    </row>
    <row r="1574">
      <c r="A1574" s="7" t="n"/>
      <c r="B1574" s="75" t="n"/>
      <c r="C1574" s="7" t="n"/>
      <c r="D1574" s="7" t="n"/>
      <c r="E1574" s="9">
        <f>IF(D1574="","",IFERROR(INDEX('Stock pièces'!$B$5:$B$404,MATCH(D1574,'Stock pièces'!$A$5:$A$404,0)),"Réf. inconnue"))</f>
        <v/>
      </c>
      <c r="F1574" s="67" t="n"/>
      <c r="G1574" s="81">
        <f>IF(D1574="","",IFERROR(INDEX('Stock pièces'!$I$5:$I$404,MATCH(D1574,'Stock pièces'!$A$5:$A$404,0)),0))</f>
        <v/>
      </c>
      <c r="H1574" s="81">
        <f>IF(D1574="","",N(F1574)*N(G1574))</f>
        <v/>
      </c>
      <c r="I1574" s="7" t="n"/>
      <c r="J1574" s="9">
        <f>IF(I1574="","",IFERROR(INDEX('Ordres de travail'!$D$5:$D$3004,MATCH(I1574,'Ordres de travail'!$A$5:$A$3004,0)),""))</f>
        <v/>
      </c>
      <c r="K1574" s="9">
        <f>IF(D1574="","",IFERROR(INDEX('Stock pièces'!$D$5:$D$404,MATCH(D1574,'Stock pièces'!$A$5:$A$404,0)),""))</f>
        <v/>
      </c>
      <c r="L1574" s="7" t="n"/>
      <c r="M1574" s="7" t="n"/>
    </row>
    <row r="1575">
      <c r="A1575" s="7" t="n"/>
      <c r="B1575" s="75" t="n"/>
      <c r="C1575" s="7" t="n"/>
      <c r="D1575" s="7" t="n"/>
      <c r="E1575" s="9">
        <f>IF(D1575="","",IFERROR(INDEX('Stock pièces'!$B$5:$B$404,MATCH(D1575,'Stock pièces'!$A$5:$A$404,0)),"Réf. inconnue"))</f>
        <v/>
      </c>
      <c r="F1575" s="67" t="n"/>
      <c r="G1575" s="81">
        <f>IF(D1575="","",IFERROR(INDEX('Stock pièces'!$I$5:$I$404,MATCH(D1575,'Stock pièces'!$A$5:$A$404,0)),0))</f>
        <v/>
      </c>
      <c r="H1575" s="81">
        <f>IF(D1575="","",N(F1575)*N(G1575))</f>
        <v/>
      </c>
      <c r="I1575" s="7" t="n"/>
      <c r="J1575" s="9">
        <f>IF(I1575="","",IFERROR(INDEX('Ordres de travail'!$D$5:$D$3004,MATCH(I1575,'Ordres de travail'!$A$5:$A$3004,0)),""))</f>
        <v/>
      </c>
      <c r="K1575" s="9">
        <f>IF(D1575="","",IFERROR(INDEX('Stock pièces'!$D$5:$D$404,MATCH(D1575,'Stock pièces'!$A$5:$A$404,0)),""))</f>
        <v/>
      </c>
      <c r="L1575" s="7" t="n"/>
      <c r="M1575" s="7" t="n"/>
    </row>
    <row r="1576">
      <c r="A1576" s="7" t="n"/>
      <c r="B1576" s="75" t="n"/>
      <c r="C1576" s="7" t="n"/>
      <c r="D1576" s="7" t="n"/>
      <c r="E1576" s="9">
        <f>IF(D1576="","",IFERROR(INDEX('Stock pièces'!$B$5:$B$404,MATCH(D1576,'Stock pièces'!$A$5:$A$404,0)),"Réf. inconnue"))</f>
        <v/>
      </c>
      <c r="F1576" s="67" t="n"/>
      <c r="G1576" s="81">
        <f>IF(D1576="","",IFERROR(INDEX('Stock pièces'!$I$5:$I$404,MATCH(D1576,'Stock pièces'!$A$5:$A$404,0)),0))</f>
        <v/>
      </c>
      <c r="H1576" s="81">
        <f>IF(D1576="","",N(F1576)*N(G1576))</f>
        <v/>
      </c>
      <c r="I1576" s="7" t="n"/>
      <c r="J1576" s="9">
        <f>IF(I1576="","",IFERROR(INDEX('Ordres de travail'!$D$5:$D$3004,MATCH(I1576,'Ordres de travail'!$A$5:$A$3004,0)),""))</f>
        <v/>
      </c>
      <c r="K1576" s="9">
        <f>IF(D1576="","",IFERROR(INDEX('Stock pièces'!$D$5:$D$404,MATCH(D1576,'Stock pièces'!$A$5:$A$404,0)),""))</f>
        <v/>
      </c>
      <c r="L1576" s="7" t="n"/>
      <c r="M1576" s="7" t="n"/>
    </row>
    <row r="1577">
      <c r="A1577" s="7" t="n"/>
      <c r="B1577" s="75" t="n"/>
      <c r="C1577" s="7" t="n"/>
      <c r="D1577" s="7" t="n"/>
      <c r="E1577" s="9">
        <f>IF(D1577="","",IFERROR(INDEX('Stock pièces'!$B$5:$B$404,MATCH(D1577,'Stock pièces'!$A$5:$A$404,0)),"Réf. inconnue"))</f>
        <v/>
      </c>
      <c r="F1577" s="67" t="n"/>
      <c r="G1577" s="81">
        <f>IF(D1577="","",IFERROR(INDEX('Stock pièces'!$I$5:$I$404,MATCH(D1577,'Stock pièces'!$A$5:$A$404,0)),0))</f>
        <v/>
      </c>
      <c r="H1577" s="81">
        <f>IF(D1577="","",N(F1577)*N(G1577))</f>
        <v/>
      </c>
      <c r="I1577" s="7" t="n"/>
      <c r="J1577" s="9">
        <f>IF(I1577="","",IFERROR(INDEX('Ordres de travail'!$D$5:$D$3004,MATCH(I1577,'Ordres de travail'!$A$5:$A$3004,0)),""))</f>
        <v/>
      </c>
      <c r="K1577" s="9">
        <f>IF(D1577="","",IFERROR(INDEX('Stock pièces'!$D$5:$D$404,MATCH(D1577,'Stock pièces'!$A$5:$A$404,0)),""))</f>
        <v/>
      </c>
      <c r="L1577" s="7" t="n"/>
      <c r="M1577" s="7" t="n"/>
    </row>
    <row r="1578">
      <c r="A1578" s="7" t="n"/>
      <c r="B1578" s="75" t="n"/>
      <c r="C1578" s="7" t="n"/>
      <c r="D1578" s="7" t="n"/>
      <c r="E1578" s="9">
        <f>IF(D1578="","",IFERROR(INDEX('Stock pièces'!$B$5:$B$404,MATCH(D1578,'Stock pièces'!$A$5:$A$404,0)),"Réf. inconnue"))</f>
        <v/>
      </c>
      <c r="F1578" s="67" t="n"/>
      <c r="G1578" s="81">
        <f>IF(D1578="","",IFERROR(INDEX('Stock pièces'!$I$5:$I$404,MATCH(D1578,'Stock pièces'!$A$5:$A$404,0)),0))</f>
        <v/>
      </c>
      <c r="H1578" s="81">
        <f>IF(D1578="","",N(F1578)*N(G1578))</f>
        <v/>
      </c>
      <c r="I1578" s="7" t="n"/>
      <c r="J1578" s="9">
        <f>IF(I1578="","",IFERROR(INDEX('Ordres de travail'!$D$5:$D$3004,MATCH(I1578,'Ordres de travail'!$A$5:$A$3004,0)),""))</f>
        <v/>
      </c>
      <c r="K1578" s="9">
        <f>IF(D1578="","",IFERROR(INDEX('Stock pièces'!$D$5:$D$404,MATCH(D1578,'Stock pièces'!$A$5:$A$404,0)),""))</f>
        <v/>
      </c>
      <c r="L1578" s="7" t="n"/>
      <c r="M1578" s="7" t="n"/>
    </row>
    <row r="1579">
      <c r="A1579" s="7" t="n"/>
      <c r="B1579" s="75" t="n"/>
      <c r="C1579" s="7" t="n"/>
      <c r="D1579" s="7" t="n"/>
      <c r="E1579" s="9">
        <f>IF(D1579="","",IFERROR(INDEX('Stock pièces'!$B$5:$B$404,MATCH(D1579,'Stock pièces'!$A$5:$A$404,0)),"Réf. inconnue"))</f>
        <v/>
      </c>
      <c r="F1579" s="67" t="n"/>
      <c r="G1579" s="81">
        <f>IF(D1579="","",IFERROR(INDEX('Stock pièces'!$I$5:$I$404,MATCH(D1579,'Stock pièces'!$A$5:$A$404,0)),0))</f>
        <v/>
      </c>
      <c r="H1579" s="81">
        <f>IF(D1579="","",N(F1579)*N(G1579))</f>
        <v/>
      </c>
      <c r="I1579" s="7" t="n"/>
      <c r="J1579" s="9">
        <f>IF(I1579="","",IFERROR(INDEX('Ordres de travail'!$D$5:$D$3004,MATCH(I1579,'Ordres de travail'!$A$5:$A$3004,0)),""))</f>
        <v/>
      </c>
      <c r="K1579" s="9">
        <f>IF(D1579="","",IFERROR(INDEX('Stock pièces'!$D$5:$D$404,MATCH(D1579,'Stock pièces'!$A$5:$A$404,0)),""))</f>
        <v/>
      </c>
      <c r="L1579" s="7" t="n"/>
      <c r="M1579" s="7" t="n"/>
    </row>
    <row r="1580">
      <c r="A1580" s="7" t="n"/>
      <c r="B1580" s="75" t="n"/>
      <c r="C1580" s="7" t="n"/>
      <c r="D1580" s="7" t="n"/>
      <c r="E1580" s="9">
        <f>IF(D1580="","",IFERROR(INDEX('Stock pièces'!$B$5:$B$404,MATCH(D1580,'Stock pièces'!$A$5:$A$404,0)),"Réf. inconnue"))</f>
        <v/>
      </c>
      <c r="F1580" s="67" t="n"/>
      <c r="G1580" s="81">
        <f>IF(D1580="","",IFERROR(INDEX('Stock pièces'!$I$5:$I$404,MATCH(D1580,'Stock pièces'!$A$5:$A$404,0)),0))</f>
        <v/>
      </c>
      <c r="H1580" s="81">
        <f>IF(D1580="","",N(F1580)*N(G1580))</f>
        <v/>
      </c>
      <c r="I1580" s="7" t="n"/>
      <c r="J1580" s="9">
        <f>IF(I1580="","",IFERROR(INDEX('Ordres de travail'!$D$5:$D$3004,MATCH(I1580,'Ordres de travail'!$A$5:$A$3004,0)),""))</f>
        <v/>
      </c>
      <c r="K1580" s="9">
        <f>IF(D1580="","",IFERROR(INDEX('Stock pièces'!$D$5:$D$404,MATCH(D1580,'Stock pièces'!$A$5:$A$404,0)),""))</f>
        <v/>
      </c>
      <c r="L1580" s="7" t="n"/>
      <c r="M1580" s="7" t="n"/>
    </row>
    <row r="1581">
      <c r="A1581" s="7" t="n"/>
      <c r="B1581" s="75" t="n"/>
      <c r="C1581" s="7" t="n"/>
      <c r="D1581" s="7" t="n"/>
      <c r="E1581" s="9">
        <f>IF(D1581="","",IFERROR(INDEX('Stock pièces'!$B$5:$B$404,MATCH(D1581,'Stock pièces'!$A$5:$A$404,0)),"Réf. inconnue"))</f>
        <v/>
      </c>
      <c r="F1581" s="67" t="n"/>
      <c r="G1581" s="81">
        <f>IF(D1581="","",IFERROR(INDEX('Stock pièces'!$I$5:$I$404,MATCH(D1581,'Stock pièces'!$A$5:$A$404,0)),0))</f>
        <v/>
      </c>
      <c r="H1581" s="81">
        <f>IF(D1581="","",N(F1581)*N(G1581))</f>
        <v/>
      </c>
      <c r="I1581" s="7" t="n"/>
      <c r="J1581" s="9">
        <f>IF(I1581="","",IFERROR(INDEX('Ordres de travail'!$D$5:$D$3004,MATCH(I1581,'Ordres de travail'!$A$5:$A$3004,0)),""))</f>
        <v/>
      </c>
      <c r="K1581" s="9">
        <f>IF(D1581="","",IFERROR(INDEX('Stock pièces'!$D$5:$D$404,MATCH(D1581,'Stock pièces'!$A$5:$A$404,0)),""))</f>
        <v/>
      </c>
      <c r="L1581" s="7" t="n"/>
      <c r="M1581" s="7" t="n"/>
    </row>
    <row r="1582">
      <c r="A1582" s="7" t="n"/>
      <c r="B1582" s="75" t="n"/>
      <c r="C1582" s="7" t="n"/>
      <c r="D1582" s="7" t="n"/>
      <c r="E1582" s="9">
        <f>IF(D1582="","",IFERROR(INDEX('Stock pièces'!$B$5:$B$404,MATCH(D1582,'Stock pièces'!$A$5:$A$404,0)),"Réf. inconnue"))</f>
        <v/>
      </c>
      <c r="F1582" s="67" t="n"/>
      <c r="G1582" s="81">
        <f>IF(D1582="","",IFERROR(INDEX('Stock pièces'!$I$5:$I$404,MATCH(D1582,'Stock pièces'!$A$5:$A$404,0)),0))</f>
        <v/>
      </c>
      <c r="H1582" s="81">
        <f>IF(D1582="","",N(F1582)*N(G1582))</f>
        <v/>
      </c>
      <c r="I1582" s="7" t="n"/>
      <c r="J1582" s="9">
        <f>IF(I1582="","",IFERROR(INDEX('Ordres de travail'!$D$5:$D$3004,MATCH(I1582,'Ordres de travail'!$A$5:$A$3004,0)),""))</f>
        <v/>
      </c>
      <c r="K1582" s="9">
        <f>IF(D1582="","",IFERROR(INDEX('Stock pièces'!$D$5:$D$404,MATCH(D1582,'Stock pièces'!$A$5:$A$404,0)),""))</f>
        <v/>
      </c>
      <c r="L1582" s="7" t="n"/>
      <c r="M1582" s="7" t="n"/>
    </row>
    <row r="1583">
      <c r="A1583" s="7" t="n"/>
      <c r="B1583" s="75" t="n"/>
      <c r="C1583" s="7" t="n"/>
      <c r="D1583" s="7" t="n"/>
      <c r="E1583" s="9">
        <f>IF(D1583="","",IFERROR(INDEX('Stock pièces'!$B$5:$B$404,MATCH(D1583,'Stock pièces'!$A$5:$A$404,0)),"Réf. inconnue"))</f>
        <v/>
      </c>
      <c r="F1583" s="67" t="n"/>
      <c r="G1583" s="81">
        <f>IF(D1583="","",IFERROR(INDEX('Stock pièces'!$I$5:$I$404,MATCH(D1583,'Stock pièces'!$A$5:$A$404,0)),0))</f>
        <v/>
      </c>
      <c r="H1583" s="81">
        <f>IF(D1583="","",N(F1583)*N(G1583))</f>
        <v/>
      </c>
      <c r="I1583" s="7" t="n"/>
      <c r="J1583" s="9">
        <f>IF(I1583="","",IFERROR(INDEX('Ordres de travail'!$D$5:$D$3004,MATCH(I1583,'Ordres de travail'!$A$5:$A$3004,0)),""))</f>
        <v/>
      </c>
      <c r="K1583" s="9">
        <f>IF(D1583="","",IFERROR(INDEX('Stock pièces'!$D$5:$D$404,MATCH(D1583,'Stock pièces'!$A$5:$A$404,0)),""))</f>
        <v/>
      </c>
      <c r="L1583" s="7" t="n"/>
      <c r="M1583" s="7" t="n"/>
    </row>
    <row r="1584">
      <c r="A1584" s="7" t="n"/>
      <c r="B1584" s="75" t="n"/>
      <c r="C1584" s="7" t="n"/>
      <c r="D1584" s="7" t="n"/>
      <c r="E1584" s="9">
        <f>IF(D1584="","",IFERROR(INDEX('Stock pièces'!$B$5:$B$404,MATCH(D1584,'Stock pièces'!$A$5:$A$404,0)),"Réf. inconnue"))</f>
        <v/>
      </c>
      <c r="F1584" s="67" t="n"/>
      <c r="G1584" s="81">
        <f>IF(D1584="","",IFERROR(INDEX('Stock pièces'!$I$5:$I$404,MATCH(D1584,'Stock pièces'!$A$5:$A$404,0)),0))</f>
        <v/>
      </c>
      <c r="H1584" s="81">
        <f>IF(D1584="","",N(F1584)*N(G1584))</f>
        <v/>
      </c>
      <c r="I1584" s="7" t="n"/>
      <c r="J1584" s="9">
        <f>IF(I1584="","",IFERROR(INDEX('Ordres de travail'!$D$5:$D$3004,MATCH(I1584,'Ordres de travail'!$A$5:$A$3004,0)),""))</f>
        <v/>
      </c>
      <c r="K1584" s="9">
        <f>IF(D1584="","",IFERROR(INDEX('Stock pièces'!$D$5:$D$404,MATCH(D1584,'Stock pièces'!$A$5:$A$404,0)),""))</f>
        <v/>
      </c>
      <c r="L1584" s="7" t="n"/>
      <c r="M1584" s="7" t="n"/>
    </row>
    <row r="1585">
      <c r="A1585" s="7" t="n"/>
      <c r="B1585" s="75" t="n"/>
      <c r="C1585" s="7" t="n"/>
      <c r="D1585" s="7" t="n"/>
      <c r="E1585" s="9">
        <f>IF(D1585="","",IFERROR(INDEX('Stock pièces'!$B$5:$B$404,MATCH(D1585,'Stock pièces'!$A$5:$A$404,0)),"Réf. inconnue"))</f>
        <v/>
      </c>
      <c r="F1585" s="67" t="n"/>
      <c r="G1585" s="81">
        <f>IF(D1585="","",IFERROR(INDEX('Stock pièces'!$I$5:$I$404,MATCH(D1585,'Stock pièces'!$A$5:$A$404,0)),0))</f>
        <v/>
      </c>
      <c r="H1585" s="81">
        <f>IF(D1585="","",N(F1585)*N(G1585))</f>
        <v/>
      </c>
      <c r="I1585" s="7" t="n"/>
      <c r="J1585" s="9">
        <f>IF(I1585="","",IFERROR(INDEX('Ordres de travail'!$D$5:$D$3004,MATCH(I1585,'Ordres de travail'!$A$5:$A$3004,0)),""))</f>
        <v/>
      </c>
      <c r="K1585" s="9">
        <f>IF(D1585="","",IFERROR(INDEX('Stock pièces'!$D$5:$D$404,MATCH(D1585,'Stock pièces'!$A$5:$A$404,0)),""))</f>
        <v/>
      </c>
      <c r="L1585" s="7" t="n"/>
      <c r="M1585" s="7" t="n"/>
    </row>
    <row r="1586">
      <c r="A1586" s="7" t="n"/>
      <c r="B1586" s="75" t="n"/>
      <c r="C1586" s="7" t="n"/>
      <c r="D1586" s="7" t="n"/>
      <c r="E1586" s="9">
        <f>IF(D1586="","",IFERROR(INDEX('Stock pièces'!$B$5:$B$404,MATCH(D1586,'Stock pièces'!$A$5:$A$404,0)),"Réf. inconnue"))</f>
        <v/>
      </c>
      <c r="F1586" s="67" t="n"/>
      <c r="G1586" s="81">
        <f>IF(D1586="","",IFERROR(INDEX('Stock pièces'!$I$5:$I$404,MATCH(D1586,'Stock pièces'!$A$5:$A$404,0)),0))</f>
        <v/>
      </c>
      <c r="H1586" s="81">
        <f>IF(D1586="","",N(F1586)*N(G1586))</f>
        <v/>
      </c>
      <c r="I1586" s="7" t="n"/>
      <c r="J1586" s="9">
        <f>IF(I1586="","",IFERROR(INDEX('Ordres de travail'!$D$5:$D$3004,MATCH(I1586,'Ordres de travail'!$A$5:$A$3004,0)),""))</f>
        <v/>
      </c>
      <c r="K1586" s="9">
        <f>IF(D1586="","",IFERROR(INDEX('Stock pièces'!$D$5:$D$404,MATCH(D1586,'Stock pièces'!$A$5:$A$404,0)),""))</f>
        <v/>
      </c>
      <c r="L1586" s="7" t="n"/>
      <c r="M1586" s="7" t="n"/>
    </row>
    <row r="1587">
      <c r="A1587" s="7" t="n"/>
      <c r="B1587" s="75" t="n"/>
      <c r="C1587" s="7" t="n"/>
      <c r="D1587" s="7" t="n"/>
      <c r="E1587" s="9">
        <f>IF(D1587="","",IFERROR(INDEX('Stock pièces'!$B$5:$B$404,MATCH(D1587,'Stock pièces'!$A$5:$A$404,0)),"Réf. inconnue"))</f>
        <v/>
      </c>
      <c r="F1587" s="67" t="n"/>
      <c r="G1587" s="81">
        <f>IF(D1587="","",IFERROR(INDEX('Stock pièces'!$I$5:$I$404,MATCH(D1587,'Stock pièces'!$A$5:$A$404,0)),0))</f>
        <v/>
      </c>
      <c r="H1587" s="81">
        <f>IF(D1587="","",N(F1587)*N(G1587))</f>
        <v/>
      </c>
      <c r="I1587" s="7" t="n"/>
      <c r="J1587" s="9">
        <f>IF(I1587="","",IFERROR(INDEX('Ordres de travail'!$D$5:$D$3004,MATCH(I1587,'Ordres de travail'!$A$5:$A$3004,0)),""))</f>
        <v/>
      </c>
      <c r="K1587" s="9">
        <f>IF(D1587="","",IFERROR(INDEX('Stock pièces'!$D$5:$D$404,MATCH(D1587,'Stock pièces'!$A$5:$A$404,0)),""))</f>
        <v/>
      </c>
      <c r="L1587" s="7" t="n"/>
      <c r="M1587" s="7" t="n"/>
    </row>
    <row r="1588">
      <c r="A1588" s="7" t="n"/>
      <c r="B1588" s="75" t="n"/>
      <c r="C1588" s="7" t="n"/>
      <c r="D1588" s="7" t="n"/>
      <c r="E1588" s="9">
        <f>IF(D1588="","",IFERROR(INDEX('Stock pièces'!$B$5:$B$404,MATCH(D1588,'Stock pièces'!$A$5:$A$404,0)),"Réf. inconnue"))</f>
        <v/>
      </c>
      <c r="F1588" s="67" t="n"/>
      <c r="G1588" s="81">
        <f>IF(D1588="","",IFERROR(INDEX('Stock pièces'!$I$5:$I$404,MATCH(D1588,'Stock pièces'!$A$5:$A$404,0)),0))</f>
        <v/>
      </c>
      <c r="H1588" s="81">
        <f>IF(D1588="","",N(F1588)*N(G1588))</f>
        <v/>
      </c>
      <c r="I1588" s="7" t="n"/>
      <c r="J1588" s="9">
        <f>IF(I1588="","",IFERROR(INDEX('Ordres de travail'!$D$5:$D$3004,MATCH(I1588,'Ordres de travail'!$A$5:$A$3004,0)),""))</f>
        <v/>
      </c>
      <c r="K1588" s="9">
        <f>IF(D1588="","",IFERROR(INDEX('Stock pièces'!$D$5:$D$404,MATCH(D1588,'Stock pièces'!$A$5:$A$404,0)),""))</f>
        <v/>
      </c>
      <c r="L1588" s="7" t="n"/>
      <c r="M1588" s="7" t="n"/>
    </row>
    <row r="1589">
      <c r="A1589" s="7" t="n"/>
      <c r="B1589" s="75" t="n"/>
      <c r="C1589" s="7" t="n"/>
      <c r="D1589" s="7" t="n"/>
      <c r="E1589" s="9">
        <f>IF(D1589="","",IFERROR(INDEX('Stock pièces'!$B$5:$B$404,MATCH(D1589,'Stock pièces'!$A$5:$A$404,0)),"Réf. inconnue"))</f>
        <v/>
      </c>
      <c r="F1589" s="67" t="n"/>
      <c r="G1589" s="81">
        <f>IF(D1589="","",IFERROR(INDEX('Stock pièces'!$I$5:$I$404,MATCH(D1589,'Stock pièces'!$A$5:$A$404,0)),0))</f>
        <v/>
      </c>
      <c r="H1589" s="81">
        <f>IF(D1589="","",N(F1589)*N(G1589))</f>
        <v/>
      </c>
      <c r="I1589" s="7" t="n"/>
      <c r="J1589" s="9">
        <f>IF(I1589="","",IFERROR(INDEX('Ordres de travail'!$D$5:$D$3004,MATCH(I1589,'Ordres de travail'!$A$5:$A$3004,0)),""))</f>
        <v/>
      </c>
      <c r="K1589" s="9">
        <f>IF(D1589="","",IFERROR(INDEX('Stock pièces'!$D$5:$D$404,MATCH(D1589,'Stock pièces'!$A$5:$A$404,0)),""))</f>
        <v/>
      </c>
      <c r="L1589" s="7" t="n"/>
      <c r="M1589" s="7" t="n"/>
    </row>
    <row r="1590">
      <c r="A1590" s="7" t="n"/>
      <c r="B1590" s="75" t="n"/>
      <c r="C1590" s="7" t="n"/>
      <c r="D1590" s="7" t="n"/>
      <c r="E1590" s="9">
        <f>IF(D1590="","",IFERROR(INDEX('Stock pièces'!$B$5:$B$404,MATCH(D1590,'Stock pièces'!$A$5:$A$404,0)),"Réf. inconnue"))</f>
        <v/>
      </c>
      <c r="F1590" s="67" t="n"/>
      <c r="G1590" s="81">
        <f>IF(D1590="","",IFERROR(INDEX('Stock pièces'!$I$5:$I$404,MATCH(D1590,'Stock pièces'!$A$5:$A$404,0)),0))</f>
        <v/>
      </c>
      <c r="H1590" s="81">
        <f>IF(D1590="","",N(F1590)*N(G1590))</f>
        <v/>
      </c>
      <c r="I1590" s="7" t="n"/>
      <c r="J1590" s="9">
        <f>IF(I1590="","",IFERROR(INDEX('Ordres de travail'!$D$5:$D$3004,MATCH(I1590,'Ordres de travail'!$A$5:$A$3004,0)),""))</f>
        <v/>
      </c>
      <c r="K1590" s="9">
        <f>IF(D1590="","",IFERROR(INDEX('Stock pièces'!$D$5:$D$404,MATCH(D1590,'Stock pièces'!$A$5:$A$404,0)),""))</f>
        <v/>
      </c>
      <c r="L1590" s="7" t="n"/>
      <c r="M1590" s="7" t="n"/>
    </row>
    <row r="1591">
      <c r="A1591" s="7" t="n"/>
      <c r="B1591" s="75" t="n"/>
      <c r="C1591" s="7" t="n"/>
      <c r="D1591" s="7" t="n"/>
      <c r="E1591" s="9">
        <f>IF(D1591="","",IFERROR(INDEX('Stock pièces'!$B$5:$B$404,MATCH(D1591,'Stock pièces'!$A$5:$A$404,0)),"Réf. inconnue"))</f>
        <v/>
      </c>
      <c r="F1591" s="67" t="n"/>
      <c r="G1591" s="81">
        <f>IF(D1591="","",IFERROR(INDEX('Stock pièces'!$I$5:$I$404,MATCH(D1591,'Stock pièces'!$A$5:$A$404,0)),0))</f>
        <v/>
      </c>
      <c r="H1591" s="81">
        <f>IF(D1591="","",N(F1591)*N(G1591))</f>
        <v/>
      </c>
      <c r="I1591" s="7" t="n"/>
      <c r="J1591" s="9">
        <f>IF(I1591="","",IFERROR(INDEX('Ordres de travail'!$D$5:$D$3004,MATCH(I1591,'Ordres de travail'!$A$5:$A$3004,0)),""))</f>
        <v/>
      </c>
      <c r="K1591" s="9">
        <f>IF(D1591="","",IFERROR(INDEX('Stock pièces'!$D$5:$D$404,MATCH(D1591,'Stock pièces'!$A$5:$A$404,0)),""))</f>
        <v/>
      </c>
      <c r="L1591" s="7" t="n"/>
      <c r="M1591" s="7" t="n"/>
    </row>
    <row r="1592">
      <c r="A1592" s="7" t="n"/>
      <c r="B1592" s="75" t="n"/>
      <c r="C1592" s="7" t="n"/>
      <c r="D1592" s="7" t="n"/>
      <c r="E1592" s="9">
        <f>IF(D1592="","",IFERROR(INDEX('Stock pièces'!$B$5:$B$404,MATCH(D1592,'Stock pièces'!$A$5:$A$404,0)),"Réf. inconnue"))</f>
        <v/>
      </c>
      <c r="F1592" s="67" t="n"/>
      <c r="G1592" s="81">
        <f>IF(D1592="","",IFERROR(INDEX('Stock pièces'!$I$5:$I$404,MATCH(D1592,'Stock pièces'!$A$5:$A$404,0)),0))</f>
        <v/>
      </c>
      <c r="H1592" s="81">
        <f>IF(D1592="","",N(F1592)*N(G1592))</f>
        <v/>
      </c>
      <c r="I1592" s="7" t="n"/>
      <c r="J1592" s="9">
        <f>IF(I1592="","",IFERROR(INDEX('Ordres de travail'!$D$5:$D$3004,MATCH(I1592,'Ordres de travail'!$A$5:$A$3004,0)),""))</f>
        <v/>
      </c>
      <c r="K1592" s="9">
        <f>IF(D1592="","",IFERROR(INDEX('Stock pièces'!$D$5:$D$404,MATCH(D1592,'Stock pièces'!$A$5:$A$404,0)),""))</f>
        <v/>
      </c>
      <c r="L1592" s="7" t="n"/>
      <c r="M1592" s="7" t="n"/>
    </row>
    <row r="1593">
      <c r="A1593" s="7" t="n"/>
      <c r="B1593" s="75" t="n"/>
      <c r="C1593" s="7" t="n"/>
      <c r="D1593" s="7" t="n"/>
      <c r="E1593" s="9">
        <f>IF(D1593="","",IFERROR(INDEX('Stock pièces'!$B$5:$B$404,MATCH(D1593,'Stock pièces'!$A$5:$A$404,0)),"Réf. inconnue"))</f>
        <v/>
      </c>
      <c r="F1593" s="67" t="n"/>
      <c r="G1593" s="81">
        <f>IF(D1593="","",IFERROR(INDEX('Stock pièces'!$I$5:$I$404,MATCH(D1593,'Stock pièces'!$A$5:$A$404,0)),0))</f>
        <v/>
      </c>
      <c r="H1593" s="81">
        <f>IF(D1593="","",N(F1593)*N(G1593))</f>
        <v/>
      </c>
      <c r="I1593" s="7" t="n"/>
      <c r="J1593" s="9">
        <f>IF(I1593="","",IFERROR(INDEX('Ordres de travail'!$D$5:$D$3004,MATCH(I1593,'Ordres de travail'!$A$5:$A$3004,0)),""))</f>
        <v/>
      </c>
      <c r="K1593" s="9">
        <f>IF(D1593="","",IFERROR(INDEX('Stock pièces'!$D$5:$D$404,MATCH(D1593,'Stock pièces'!$A$5:$A$404,0)),""))</f>
        <v/>
      </c>
      <c r="L1593" s="7" t="n"/>
      <c r="M1593" s="7" t="n"/>
    </row>
    <row r="1594">
      <c r="A1594" s="7" t="n"/>
      <c r="B1594" s="75" t="n"/>
      <c r="C1594" s="7" t="n"/>
      <c r="D1594" s="7" t="n"/>
      <c r="E1594" s="9">
        <f>IF(D1594="","",IFERROR(INDEX('Stock pièces'!$B$5:$B$404,MATCH(D1594,'Stock pièces'!$A$5:$A$404,0)),"Réf. inconnue"))</f>
        <v/>
      </c>
      <c r="F1594" s="67" t="n"/>
      <c r="G1594" s="81">
        <f>IF(D1594="","",IFERROR(INDEX('Stock pièces'!$I$5:$I$404,MATCH(D1594,'Stock pièces'!$A$5:$A$404,0)),0))</f>
        <v/>
      </c>
      <c r="H1594" s="81">
        <f>IF(D1594="","",N(F1594)*N(G1594))</f>
        <v/>
      </c>
      <c r="I1594" s="7" t="n"/>
      <c r="J1594" s="9">
        <f>IF(I1594="","",IFERROR(INDEX('Ordres de travail'!$D$5:$D$3004,MATCH(I1594,'Ordres de travail'!$A$5:$A$3004,0)),""))</f>
        <v/>
      </c>
      <c r="K1594" s="9">
        <f>IF(D1594="","",IFERROR(INDEX('Stock pièces'!$D$5:$D$404,MATCH(D1594,'Stock pièces'!$A$5:$A$404,0)),""))</f>
        <v/>
      </c>
      <c r="L1594" s="7" t="n"/>
      <c r="M1594" s="7" t="n"/>
    </row>
    <row r="1595">
      <c r="A1595" s="7" t="n"/>
      <c r="B1595" s="75" t="n"/>
      <c r="C1595" s="7" t="n"/>
      <c r="D1595" s="7" t="n"/>
      <c r="E1595" s="9">
        <f>IF(D1595="","",IFERROR(INDEX('Stock pièces'!$B$5:$B$404,MATCH(D1595,'Stock pièces'!$A$5:$A$404,0)),"Réf. inconnue"))</f>
        <v/>
      </c>
      <c r="F1595" s="67" t="n"/>
      <c r="G1595" s="81">
        <f>IF(D1595="","",IFERROR(INDEX('Stock pièces'!$I$5:$I$404,MATCH(D1595,'Stock pièces'!$A$5:$A$404,0)),0))</f>
        <v/>
      </c>
      <c r="H1595" s="81">
        <f>IF(D1595="","",N(F1595)*N(G1595))</f>
        <v/>
      </c>
      <c r="I1595" s="7" t="n"/>
      <c r="J1595" s="9">
        <f>IF(I1595="","",IFERROR(INDEX('Ordres de travail'!$D$5:$D$3004,MATCH(I1595,'Ordres de travail'!$A$5:$A$3004,0)),""))</f>
        <v/>
      </c>
      <c r="K1595" s="9">
        <f>IF(D1595="","",IFERROR(INDEX('Stock pièces'!$D$5:$D$404,MATCH(D1595,'Stock pièces'!$A$5:$A$404,0)),""))</f>
        <v/>
      </c>
      <c r="L1595" s="7" t="n"/>
      <c r="M1595" s="7" t="n"/>
    </row>
    <row r="1596">
      <c r="A1596" s="7" t="n"/>
      <c r="B1596" s="75" t="n"/>
      <c r="C1596" s="7" t="n"/>
      <c r="D1596" s="7" t="n"/>
      <c r="E1596" s="9">
        <f>IF(D1596="","",IFERROR(INDEX('Stock pièces'!$B$5:$B$404,MATCH(D1596,'Stock pièces'!$A$5:$A$404,0)),"Réf. inconnue"))</f>
        <v/>
      </c>
      <c r="F1596" s="67" t="n"/>
      <c r="G1596" s="81">
        <f>IF(D1596="","",IFERROR(INDEX('Stock pièces'!$I$5:$I$404,MATCH(D1596,'Stock pièces'!$A$5:$A$404,0)),0))</f>
        <v/>
      </c>
      <c r="H1596" s="81">
        <f>IF(D1596="","",N(F1596)*N(G1596))</f>
        <v/>
      </c>
      <c r="I1596" s="7" t="n"/>
      <c r="J1596" s="9">
        <f>IF(I1596="","",IFERROR(INDEX('Ordres de travail'!$D$5:$D$3004,MATCH(I1596,'Ordres de travail'!$A$5:$A$3004,0)),""))</f>
        <v/>
      </c>
      <c r="K1596" s="9">
        <f>IF(D1596="","",IFERROR(INDEX('Stock pièces'!$D$5:$D$404,MATCH(D1596,'Stock pièces'!$A$5:$A$404,0)),""))</f>
        <v/>
      </c>
      <c r="L1596" s="7" t="n"/>
      <c r="M1596" s="7" t="n"/>
    </row>
    <row r="1597">
      <c r="A1597" s="7" t="n"/>
      <c r="B1597" s="75" t="n"/>
      <c r="C1597" s="7" t="n"/>
      <c r="D1597" s="7" t="n"/>
      <c r="E1597" s="9">
        <f>IF(D1597="","",IFERROR(INDEX('Stock pièces'!$B$5:$B$404,MATCH(D1597,'Stock pièces'!$A$5:$A$404,0)),"Réf. inconnue"))</f>
        <v/>
      </c>
      <c r="F1597" s="67" t="n"/>
      <c r="G1597" s="81">
        <f>IF(D1597="","",IFERROR(INDEX('Stock pièces'!$I$5:$I$404,MATCH(D1597,'Stock pièces'!$A$5:$A$404,0)),0))</f>
        <v/>
      </c>
      <c r="H1597" s="81">
        <f>IF(D1597="","",N(F1597)*N(G1597))</f>
        <v/>
      </c>
      <c r="I1597" s="7" t="n"/>
      <c r="J1597" s="9">
        <f>IF(I1597="","",IFERROR(INDEX('Ordres de travail'!$D$5:$D$3004,MATCH(I1597,'Ordres de travail'!$A$5:$A$3004,0)),""))</f>
        <v/>
      </c>
      <c r="K1597" s="9">
        <f>IF(D1597="","",IFERROR(INDEX('Stock pièces'!$D$5:$D$404,MATCH(D1597,'Stock pièces'!$A$5:$A$404,0)),""))</f>
        <v/>
      </c>
      <c r="L1597" s="7" t="n"/>
      <c r="M1597" s="7" t="n"/>
    </row>
    <row r="1598">
      <c r="A1598" s="7" t="n"/>
      <c r="B1598" s="75" t="n"/>
      <c r="C1598" s="7" t="n"/>
      <c r="D1598" s="7" t="n"/>
      <c r="E1598" s="9">
        <f>IF(D1598="","",IFERROR(INDEX('Stock pièces'!$B$5:$B$404,MATCH(D1598,'Stock pièces'!$A$5:$A$404,0)),"Réf. inconnue"))</f>
        <v/>
      </c>
      <c r="F1598" s="67" t="n"/>
      <c r="G1598" s="81">
        <f>IF(D1598="","",IFERROR(INDEX('Stock pièces'!$I$5:$I$404,MATCH(D1598,'Stock pièces'!$A$5:$A$404,0)),0))</f>
        <v/>
      </c>
      <c r="H1598" s="81">
        <f>IF(D1598="","",N(F1598)*N(G1598))</f>
        <v/>
      </c>
      <c r="I1598" s="7" t="n"/>
      <c r="J1598" s="9">
        <f>IF(I1598="","",IFERROR(INDEX('Ordres de travail'!$D$5:$D$3004,MATCH(I1598,'Ordres de travail'!$A$5:$A$3004,0)),""))</f>
        <v/>
      </c>
      <c r="K1598" s="9">
        <f>IF(D1598="","",IFERROR(INDEX('Stock pièces'!$D$5:$D$404,MATCH(D1598,'Stock pièces'!$A$5:$A$404,0)),""))</f>
        <v/>
      </c>
      <c r="L1598" s="7" t="n"/>
      <c r="M1598" s="7" t="n"/>
    </row>
    <row r="1599">
      <c r="A1599" s="7" t="n"/>
      <c r="B1599" s="75" t="n"/>
      <c r="C1599" s="7" t="n"/>
      <c r="D1599" s="7" t="n"/>
      <c r="E1599" s="9">
        <f>IF(D1599="","",IFERROR(INDEX('Stock pièces'!$B$5:$B$404,MATCH(D1599,'Stock pièces'!$A$5:$A$404,0)),"Réf. inconnue"))</f>
        <v/>
      </c>
      <c r="F1599" s="67" t="n"/>
      <c r="G1599" s="81">
        <f>IF(D1599="","",IFERROR(INDEX('Stock pièces'!$I$5:$I$404,MATCH(D1599,'Stock pièces'!$A$5:$A$404,0)),0))</f>
        <v/>
      </c>
      <c r="H1599" s="81">
        <f>IF(D1599="","",N(F1599)*N(G1599))</f>
        <v/>
      </c>
      <c r="I1599" s="7" t="n"/>
      <c r="J1599" s="9">
        <f>IF(I1599="","",IFERROR(INDEX('Ordres de travail'!$D$5:$D$3004,MATCH(I1599,'Ordres de travail'!$A$5:$A$3004,0)),""))</f>
        <v/>
      </c>
      <c r="K1599" s="9">
        <f>IF(D1599="","",IFERROR(INDEX('Stock pièces'!$D$5:$D$404,MATCH(D1599,'Stock pièces'!$A$5:$A$404,0)),""))</f>
        <v/>
      </c>
      <c r="L1599" s="7" t="n"/>
      <c r="M1599" s="7" t="n"/>
    </row>
    <row r="1600">
      <c r="A1600" s="7" t="n"/>
      <c r="B1600" s="75" t="n"/>
      <c r="C1600" s="7" t="n"/>
      <c r="D1600" s="7" t="n"/>
      <c r="E1600" s="9">
        <f>IF(D1600="","",IFERROR(INDEX('Stock pièces'!$B$5:$B$404,MATCH(D1600,'Stock pièces'!$A$5:$A$404,0)),"Réf. inconnue"))</f>
        <v/>
      </c>
      <c r="F1600" s="67" t="n"/>
      <c r="G1600" s="81">
        <f>IF(D1600="","",IFERROR(INDEX('Stock pièces'!$I$5:$I$404,MATCH(D1600,'Stock pièces'!$A$5:$A$404,0)),0))</f>
        <v/>
      </c>
      <c r="H1600" s="81">
        <f>IF(D1600="","",N(F1600)*N(G1600))</f>
        <v/>
      </c>
      <c r="I1600" s="7" t="n"/>
      <c r="J1600" s="9">
        <f>IF(I1600="","",IFERROR(INDEX('Ordres de travail'!$D$5:$D$3004,MATCH(I1600,'Ordres de travail'!$A$5:$A$3004,0)),""))</f>
        <v/>
      </c>
      <c r="K1600" s="9">
        <f>IF(D1600="","",IFERROR(INDEX('Stock pièces'!$D$5:$D$404,MATCH(D1600,'Stock pièces'!$A$5:$A$404,0)),""))</f>
        <v/>
      </c>
      <c r="L1600" s="7" t="n"/>
      <c r="M1600" s="7" t="n"/>
    </row>
    <row r="1601">
      <c r="A1601" s="7" t="n"/>
      <c r="B1601" s="75" t="n"/>
      <c r="C1601" s="7" t="n"/>
      <c r="D1601" s="7" t="n"/>
      <c r="E1601" s="9">
        <f>IF(D1601="","",IFERROR(INDEX('Stock pièces'!$B$5:$B$404,MATCH(D1601,'Stock pièces'!$A$5:$A$404,0)),"Réf. inconnue"))</f>
        <v/>
      </c>
      <c r="F1601" s="67" t="n"/>
      <c r="G1601" s="81">
        <f>IF(D1601="","",IFERROR(INDEX('Stock pièces'!$I$5:$I$404,MATCH(D1601,'Stock pièces'!$A$5:$A$404,0)),0))</f>
        <v/>
      </c>
      <c r="H1601" s="81">
        <f>IF(D1601="","",N(F1601)*N(G1601))</f>
        <v/>
      </c>
      <c r="I1601" s="7" t="n"/>
      <c r="J1601" s="9">
        <f>IF(I1601="","",IFERROR(INDEX('Ordres de travail'!$D$5:$D$3004,MATCH(I1601,'Ordres de travail'!$A$5:$A$3004,0)),""))</f>
        <v/>
      </c>
      <c r="K1601" s="9">
        <f>IF(D1601="","",IFERROR(INDEX('Stock pièces'!$D$5:$D$404,MATCH(D1601,'Stock pièces'!$A$5:$A$404,0)),""))</f>
        <v/>
      </c>
      <c r="L1601" s="7" t="n"/>
      <c r="M1601" s="7" t="n"/>
    </row>
    <row r="1602">
      <c r="A1602" s="7" t="n"/>
      <c r="B1602" s="75" t="n"/>
      <c r="C1602" s="7" t="n"/>
      <c r="D1602" s="7" t="n"/>
      <c r="E1602" s="9">
        <f>IF(D1602="","",IFERROR(INDEX('Stock pièces'!$B$5:$B$404,MATCH(D1602,'Stock pièces'!$A$5:$A$404,0)),"Réf. inconnue"))</f>
        <v/>
      </c>
      <c r="F1602" s="67" t="n"/>
      <c r="G1602" s="81">
        <f>IF(D1602="","",IFERROR(INDEX('Stock pièces'!$I$5:$I$404,MATCH(D1602,'Stock pièces'!$A$5:$A$404,0)),0))</f>
        <v/>
      </c>
      <c r="H1602" s="81">
        <f>IF(D1602="","",N(F1602)*N(G1602))</f>
        <v/>
      </c>
      <c r="I1602" s="7" t="n"/>
      <c r="J1602" s="9">
        <f>IF(I1602="","",IFERROR(INDEX('Ordres de travail'!$D$5:$D$3004,MATCH(I1602,'Ordres de travail'!$A$5:$A$3004,0)),""))</f>
        <v/>
      </c>
      <c r="K1602" s="9">
        <f>IF(D1602="","",IFERROR(INDEX('Stock pièces'!$D$5:$D$404,MATCH(D1602,'Stock pièces'!$A$5:$A$404,0)),""))</f>
        <v/>
      </c>
      <c r="L1602" s="7" t="n"/>
      <c r="M1602" s="7" t="n"/>
    </row>
    <row r="1603">
      <c r="A1603" s="7" t="n"/>
      <c r="B1603" s="75" t="n"/>
      <c r="C1603" s="7" t="n"/>
      <c r="D1603" s="7" t="n"/>
      <c r="E1603" s="9">
        <f>IF(D1603="","",IFERROR(INDEX('Stock pièces'!$B$5:$B$404,MATCH(D1603,'Stock pièces'!$A$5:$A$404,0)),"Réf. inconnue"))</f>
        <v/>
      </c>
      <c r="F1603" s="67" t="n"/>
      <c r="G1603" s="81">
        <f>IF(D1603="","",IFERROR(INDEX('Stock pièces'!$I$5:$I$404,MATCH(D1603,'Stock pièces'!$A$5:$A$404,0)),0))</f>
        <v/>
      </c>
      <c r="H1603" s="81">
        <f>IF(D1603="","",N(F1603)*N(G1603))</f>
        <v/>
      </c>
      <c r="I1603" s="7" t="n"/>
      <c r="J1603" s="9">
        <f>IF(I1603="","",IFERROR(INDEX('Ordres de travail'!$D$5:$D$3004,MATCH(I1603,'Ordres de travail'!$A$5:$A$3004,0)),""))</f>
        <v/>
      </c>
      <c r="K1603" s="9">
        <f>IF(D1603="","",IFERROR(INDEX('Stock pièces'!$D$5:$D$404,MATCH(D1603,'Stock pièces'!$A$5:$A$404,0)),""))</f>
        <v/>
      </c>
      <c r="L1603" s="7" t="n"/>
      <c r="M1603" s="7" t="n"/>
    </row>
    <row r="1604">
      <c r="A1604" s="7" t="n"/>
      <c r="B1604" s="75" t="n"/>
      <c r="C1604" s="7" t="n"/>
      <c r="D1604" s="7" t="n"/>
      <c r="E1604" s="9">
        <f>IF(D1604="","",IFERROR(INDEX('Stock pièces'!$B$5:$B$404,MATCH(D1604,'Stock pièces'!$A$5:$A$404,0)),"Réf. inconnue"))</f>
        <v/>
      </c>
      <c r="F1604" s="67" t="n"/>
      <c r="G1604" s="81">
        <f>IF(D1604="","",IFERROR(INDEX('Stock pièces'!$I$5:$I$404,MATCH(D1604,'Stock pièces'!$A$5:$A$404,0)),0))</f>
        <v/>
      </c>
      <c r="H1604" s="81">
        <f>IF(D1604="","",N(F1604)*N(G1604))</f>
        <v/>
      </c>
      <c r="I1604" s="7" t="n"/>
      <c r="J1604" s="9">
        <f>IF(I1604="","",IFERROR(INDEX('Ordres de travail'!$D$5:$D$3004,MATCH(I1604,'Ordres de travail'!$A$5:$A$3004,0)),""))</f>
        <v/>
      </c>
      <c r="K1604" s="9">
        <f>IF(D1604="","",IFERROR(INDEX('Stock pièces'!$D$5:$D$404,MATCH(D1604,'Stock pièces'!$A$5:$A$404,0)),""))</f>
        <v/>
      </c>
      <c r="L1604" s="7" t="n"/>
      <c r="M1604" s="7" t="n"/>
    </row>
    <row r="1605">
      <c r="A1605" s="7" t="n"/>
      <c r="B1605" s="75" t="n"/>
      <c r="C1605" s="7" t="n"/>
      <c r="D1605" s="7" t="n"/>
      <c r="E1605" s="9">
        <f>IF(D1605="","",IFERROR(INDEX('Stock pièces'!$B$5:$B$404,MATCH(D1605,'Stock pièces'!$A$5:$A$404,0)),"Réf. inconnue"))</f>
        <v/>
      </c>
      <c r="F1605" s="67" t="n"/>
      <c r="G1605" s="81">
        <f>IF(D1605="","",IFERROR(INDEX('Stock pièces'!$I$5:$I$404,MATCH(D1605,'Stock pièces'!$A$5:$A$404,0)),0))</f>
        <v/>
      </c>
      <c r="H1605" s="81">
        <f>IF(D1605="","",N(F1605)*N(G1605))</f>
        <v/>
      </c>
      <c r="I1605" s="7" t="n"/>
      <c r="J1605" s="9">
        <f>IF(I1605="","",IFERROR(INDEX('Ordres de travail'!$D$5:$D$3004,MATCH(I1605,'Ordres de travail'!$A$5:$A$3004,0)),""))</f>
        <v/>
      </c>
      <c r="K1605" s="9">
        <f>IF(D1605="","",IFERROR(INDEX('Stock pièces'!$D$5:$D$404,MATCH(D1605,'Stock pièces'!$A$5:$A$404,0)),""))</f>
        <v/>
      </c>
      <c r="L1605" s="7" t="n"/>
      <c r="M1605" s="7" t="n"/>
    </row>
    <row r="1606">
      <c r="A1606" s="7" t="n"/>
      <c r="B1606" s="75" t="n"/>
      <c r="C1606" s="7" t="n"/>
      <c r="D1606" s="7" t="n"/>
      <c r="E1606" s="9">
        <f>IF(D1606="","",IFERROR(INDEX('Stock pièces'!$B$5:$B$404,MATCH(D1606,'Stock pièces'!$A$5:$A$404,0)),"Réf. inconnue"))</f>
        <v/>
      </c>
      <c r="F1606" s="67" t="n"/>
      <c r="G1606" s="81">
        <f>IF(D1606="","",IFERROR(INDEX('Stock pièces'!$I$5:$I$404,MATCH(D1606,'Stock pièces'!$A$5:$A$404,0)),0))</f>
        <v/>
      </c>
      <c r="H1606" s="81">
        <f>IF(D1606="","",N(F1606)*N(G1606))</f>
        <v/>
      </c>
      <c r="I1606" s="7" t="n"/>
      <c r="J1606" s="9">
        <f>IF(I1606="","",IFERROR(INDEX('Ordres de travail'!$D$5:$D$3004,MATCH(I1606,'Ordres de travail'!$A$5:$A$3004,0)),""))</f>
        <v/>
      </c>
      <c r="K1606" s="9">
        <f>IF(D1606="","",IFERROR(INDEX('Stock pièces'!$D$5:$D$404,MATCH(D1606,'Stock pièces'!$A$5:$A$404,0)),""))</f>
        <v/>
      </c>
      <c r="L1606" s="7" t="n"/>
      <c r="M1606" s="7" t="n"/>
    </row>
    <row r="1607">
      <c r="A1607" s="7" t="n"/>
      <c r="B1607" s="75" t="n"/>
      <c r="C1607" s="7" t="n"/>
      <c r="D1607" s="7" t="n"/>
      <c r="E1607" s="9">
        <f>IF(D1607="","",IFERROR(INDEX('Stock pièces'!$B$5:$B$404,MATCH(D1607,'Stock pièces'!$A$5:$A$404,0)),"Réf. inconnue"))</f>
        <v/>
      </c>
      <c r="F1607" s="67" t="n"/>
      <c r="G1607" s="81">
        <f>IF(D1607="","",IFERROR(INDEX('Stock pièces'!$I$5:$I$404,MATCH(D1607,'Stock pièces'!$A$5:$A$404,0)),0))</f>
        <v/>
      </c>
      <c r="H1607" s="81">
        <f>IF(D1607="","",N(F1607)*N(G1607))</f>
        <v/>
      </c>
      <c r="I1607" s="7" t="n"/>
      <c r="J1607" s="9">
        <f>IF(I1607="","",IFERROR(INDEX('Ordres de travail'!$D$5:$D$3004,MATCH(I1607,'Ordres de travail'!$A$5:$A$3004,0)),""))</f>
        <v/>
      </c>
      <c r="K1607" s="9">
        <f>IF(D1607="","",IFERROR(INDEX('Stock pièces'!$D$5:$D$404,MATCH(D1607,'Stock pièces'!$A$5:$A$404,0)),""))</f>
        <v/>
      </c>
      <c r="L1607" s="7" t="n"/>
      <c r="M1607" s="7" t="n"/>
    </row>
    <row r="1608">
      <c r="A1608" s="7" t="n"/>
      <c r="B1608" s="75" t="n"/>
      <c r="C1608" s="7" t="n"/>
      <c r="D1608" s="7" t="n"/>
      <c r="E1608" s="9">
        <f>IF(D1608="","",IFERROR(INDEX('Stock pièces'!$B$5:$B$404,MATCH(D1608,'Stock pièces'!$A$5:$A$404,0)),"Réf. inconnue"))</f>
        <v/>
      </c>
      <c r="F1608" s="67" t="n"/>
      <c r="G1608" s="81">
        <f>IF(D1608="","",IFERROR(INDEX('Stock pièces'!$I$5:$I$404,MATCH(D1608,'Stock pièces'!$A$5:$A$404,0)),0))</f>
        <v/>
      </c>
      <c r="H1608" s="81">
        <f>IF(D1608="","",N(F1608)*N(G1608))</f>
        <v/>
      </c>
      <c r="I1608" s="7" t="n"/>
      <c r="J1608" s="9">
        <f>IF(I1608="","",IFERROR(INDEX('Ordres de travail'!$D$5:$D$3004,MATCH(I1608,'Ordres de travail'!$A$5:$A$3004,0)),""))</f>
        <v/>
      </c>
      <c r="K1608" s="9">
        <f>IF(D1608="","",IFERROR(INDEX('Stock pièces'!$D$5:$D$404,MATCH(D1608,'Stock pièces'!$A$5:$A$404,0)),""))</f>
        <v/>
      </c>
      <c r="L1608" s="7" t="n"/>
      <c r="M1608" s="7" t="n"/>
    </row>
    <row r="1609">
      <c r="A1609" s="7" t="n"/>
      <c r="B1609" s="75" t="n"/>
      <c r="C1609" s="7" t="n"/>
      <c r="D1609" s="7" t="n"/>
      <c r="E1609" s="9">
        <f>IF(D1609="","",IFERROR(INDEX('Stock pièces'!$B$5:$B$404,MATCH(D1609,'Stock pièces'!$A$5:$A$404,0)),"Réf. inconnue"))</f>
        <v/>
      </c>
      <c r="F1609" s="67" t="n"/>
      <c r="G1609" s="81">
        <f>IF(D1609="","",IFERROR(INDEX('Stock pièces'!$I$5:$I$404,MATCH(D1609,'Stock pièces'!$A$5:$A$404,0)),0))</f>
        <v/>
      </c>
      <c r="H1609" s="81">
        <f>IF(D1609="","",N(F1609)*N(G1609))</f>
        <v/>
      </c>
      <c r="I1609" s="7" t="n"/>
      <c r="J1609" s="9">
        <f>IF(I1609="","",IFERROR(INDEX('Ordres de travail'!$D$5:$D$3004,MATCH(I1609,'Ordres de travail'!$A$5:$A$3004,0)),""))</f>
        <v/>
      </c>
      <c r="K1609" s="9">
        <f>IF(D1609="","",IFERROR(INDEX('Stock pièces'!$D$5:$D$404,MATCH(D1609,'Stock pièces'!$A$5:$A$404,0)),""))</f>
        <v/>
      </c>
      <c r="L1609" s="7" t="n"/>
      <c r="M1609" s="7" t="n"/>
    </row>
    <row r="1610">
      <c r="A1610" s="7" t="n"/>
      <c r="B1610" s="75" t="n"/>
      <c r="C1610" s="7" t="n"/>
      <c r="D1610" s="7" t="n"/>
      <c r="E1610" s="9">
        <f>IF(D1610="","",IFERROR(INDEX('Stock pièces'!$B$5:$B$404,MATCH(D1610,'Stock pièces'!$A$5:$A$404,0)),"Réf. inconnue"))</f>
        <v/>
      </c>
      <c r="F1610" s="67" t="n"/>
      <c r="G1610" s="81">
        <f>IF(D1610="","",IFERROR(INDEX('Stock pièces'!$I$5:$I$404,MATCH(D1610,'Stock pièces'!$A$5:$A$404,0)),0))</f>
        <v/>
      </c>
      <c r="H1610" s="81">
        <f>IF(D1610="","",N(F1610)*N(G1610))</f>
        <v/>
      </c>
      <c r="I1610" s="7" t="n"/>
      <c r="J1610" s="9">
        <f>IF(I1610="","",IFERROR(INDEX('Ordres de travail'!$D$5:$D$3004,MATCH(I1610,'Ordres de travail'!$A$5:$A$3004,0)),""))</f>
        <v/>
      </c>
      <c r="K1610" s="9">
        <f>IF(D1610="","",IFERROR(INDEX('Stock pièces'!$D$5:$D$404,MATCH(D1610,'Stock pièces'!$A$5:$A$404,0)),""))</f>
        <v/>
      </c>
      <c r="L1610" s="7" t="n"/>
      <c r="M1610" s="7" t="n"/>
    </row>
    <row r="1611">
      <c r="A1611" s="7" t="n"/>
      <c r="B1611" s="75" t="n"/>
      <c r="C1611" s="7" t="n"/>
      <c r="D1611" s="7" t="n"/>
      <c r="E1611" s="9">
        <f>IF(D1611="","",IFERROR(INDEX('Stock pièces'!$B$5:$B$404,MATCH(D1611,'Stock pièces'!$A$5:$A$404,0)),"Réf. inconnue"))</f>
        <v/>
      </c>
      <c r="F1611" s="67" t="n"/>
      <c r="G1611" s="81">
        <f>IF(D1611="","",IFERROR(INDEX('Stock pièces'!$I$5:$I$404,MATCH(D1611,'Stock pièces'!$A$5:$A$404,0)),0))</f>
        <v/>
      </c>
      <c r="H1611" s="81">
        <f>IF(D1611="","",N(F1611)*N(G1611))</f>
        <v/>
      </c>
      <c r="I1611" s="7" t="n"/>
      <c r="J1611" s="9">
        <f>IF(I1611="","",IFERROR(INDEX('Ordres de travail'!$D$5:$D$3004,MATCH(I1611,'Ordres de travail'!$A$5:$A$3004,0)),""))</f>
        <v/>
      </c>
      <c r="K1611" s="9">
        <f>IF(D1611="","",IFERROR(INDEX('Stock pièces'!$D$5:$D$404,MATCH(D1611,'Stock pièces'!$A$5:$A$404,0)),""))</f>
        <v/>
      </c>
      <c r="L1611" s="7" t="n"/>
      <c r="M1611" s="7" t="n"/>
    </row>
    <row r="1612">
      <c r="A1612" s="7" t="n"/>
      <c r="B1612" s="75" t="n"/>
      <c r="C1612" s="7" t="n"/>
      <c r="D1612" s="7" t="n"/>
      <c r="E1612" s="9">
        <f>IF(D1612="","",IFERROR(INDEX('Stock pièces'!$B$5:$B$404,MATCH(D1612,'Stock pièces'!$A$5:$A$404,0)),"Réf. inconnue"))</f>
        <v/>
      </c>
      <c r="F1612" s="67" t="n"/>
      <c r="G1612" s="81">
        <f>IF(D1612="","",IFERROR(INDEX('Stock pièces'!$I$5:$I$404,MATCH(D1612,'Stock pièces'!$A$5:$A$404,0)),0))</f>
        <v/>
      </c>
      <c r="H1612" s="81">
        <f>IF(D1612="","",N(F1612)*N(G1612))</f>
        <v/>
      </c>
      <c r="I1612" s="7" t="n"/>
      <c r="J1612" s="9">
        <f>IF(I1612="","",IFERROR(INDEX('Ordres de travail'!$D$5:$D$3004,MATCH(I1612,'Ordres de travail'!$A$5:$A$3004,0)),""))</f>
        <v/>
      </c>
      <c r="K1612" s="9">
        <f>IF(D1612="","",IFERROR(INDEX('Stock pièces'!$D$5:$D$404,MATCH(D1612,'Stock pièces'!$A$5:$A$404,0)),""))</f>
        <v/>
      </c>
      <c r="L1612" s="7" t="n"/>
      <c r="M1612" s="7" t="n"/>
    </row>
    <row r="1613">
      <c r="A1613" s="7" t="n"/>
      <c r="B1613" s="75" t="n"/>
      <c r="C1613" s="7" t="n"/>
      <c r="D1613" s="7" t="n"/>
      <c r="E1613" s="9">
        <f>IF(D1613="","",IFERROR(INDEX('Stock pièces'!$B$5:$B$404,MATCH(D1613,'Stock pièces'!$A$5:$A$404,0)),"Réf. inconnue"))</f>
        <v/>
      </c>
      <c r="F1613" s="67" t="n"/>
      <c r="G1613" s="81">
        <f>IF(D1613="","",IFERROR(INDEX('Stock pièces'!$I$5:$I$404,MATCH(D1613,'Stock pièces'!$A$5:$A$404,0)),0))</f>
        <v/>
      </c>
      <c r="H1613" s="81">
        <f>IF(D1613="","",N(F1613)*N(G1613))</f>
        <v/>
      </c>
      <c r="I1613" s="7" t="n"/>
      <c r="J1613" s="9">
        <f>IF(I1613="","",IFERROR(INDEX('Ordres de travail'!$D$5:$D$3004,MATCH(I1613,'Ordres de travail'!$A$5:$A$3004,0)),""))</f>
        <v/>
      </c>
      <c r="K1613" s="9">
        <f>IF(D1613="","",IFERROR(INDEX('Stock pièces'!$D$5:$D$404,MATCH(D1613,'Stock pièces'!$A$5:$A$404,0)),""))</f>
        <v/>
      </c>
      <c r="L1613" s="7" t="n"/>
      <c r="M1613" s="7" t="n"/>
    </row>
    <row r="1614">
      <c r="A1614" s="7" t="n"/>
      <c r="B1614" s="75" t="n"/>
      <c r="C1614" s="7" t="n"/>
      <c r="D1614" s="7" t="n"/>
      <c r="E1614" s="9">
        <f>IF(D1614="","",IFERROR(INDEX('Stock pièces'!$B$5:$B$404,MATCH(D1614,'Stock pièces'!$A$5:$A$404,0)),"Réf. inconnue"))</f>
        <v/>
      </c>
      <c r="F1614" s="67" t="n"/>
      <c r="G1614" s="81">
        <f>IF(D1614="","",IFERROR(INDEX('Stock pièces'!$I$5:$I$404,MATCH(D1614,'Stock pièces'!$A$5:$A$404,0)),0))</f>
        <v/>
      </c>
      <c r="H1614" s="81">
        <f>IF(D1614="","",N(F1614)*N(G1614))</f>
        <v/>
      </c>
      <c r="I1614" s="7" t="n"/>
      <c r="J1614" s="9">
        <f>IF(I1614="","",IFERROR(INDEX('Ordres de travail'!$D$5:$D$3004,MATCH(I1614,'Ordres de travail'!$A$5:$A$3004,0)),""))</f>
        <v/>
      </c>
      <c r="K1614" s="9">
        <f>IF(D1614="","",IFERROR(INDEX('Stock pièces'!$D$5:$D$404,MATCH(D1614,'Stock pièces'!$A$5:$A$404,0)),""))</f>
        <v/>
      </c>
      <c r="L1614" s="7" t="n"/>
      <c r="M1614" s="7" t="n"/>
    </row>
    <row r="1615">
      <c r="A1615" s="7" t="n"/>
      <c r="B1615" s="75" t="n"/>
      <c r="C1615" s="7" t="n"/>
      <c r="D1615" s="7" t="n"/>
      <c r="E1615" s="9">
        <f>IF(D1615="","",IFERROR(INDEX('Stock pièces'!$B$5:$B$404,MATCH(D1615,'Stock pièces'!$A$5:$A$404,0)),"Réf. inconnue"))</f>
        <v/>
      </c>
      <c r="F1615" s="67" t="n"/>
      <c r="G1615" s="81">
        <f>IF(D1615="","",IFERROR(INDEX('Stock pièces'!$I$5:$I$404,MATCH(D1615,'Stock pièces'!$A$5:$A$404,0)),0))</f>
        <v/>
      </c>
      <c r="H1615" s="81">
        <f>IF(D1615="","",N(F1615)*N(G1615))</f>
        <v/>
      </c>
      <c r="I1615" s="7" t="n"/>
      <c r="J1615" s="9">
        <f>IF(I1615="","",IFERROR(INDEX('Ordres de travail'!$D$5:$D$3004,MATCH(I1615,'Ordres de travail'!$A$5:$A$3004,0)),""))</f>
        <v/>
      </c>
      <c r="K1615" s="9">
        <f>IF(D1615="","",IFERROR(INDEX('Stock pièces'!$D$5:$D$404,MATCH(D1615,'Stock pièces'!$A$5:$A$404,0)),""))</f>
        <v/>
      </c>
      <c r="L1615" s="7" t="n"/>
      <c r="M1615" s="7" t="n"/>
    </row>
    <row r="1616">
      <c r="A1616" s="7" t="n"/>
      <c r="B1616" s="75" t="n"/>
      <c r="C1616" s="7" t="n"/>
      <c r="D1616" s="7" t="n"/>
      <c r="E1616" s="9">
        <f>IF(D1616="","",IFERROR(INDEX('Stock pièces'!$B$5:$B$404,MATCH(D1616,'Stock pièces'!$A$5:$A$404,0)),"Réf. inconnue"))</f>
        <v/>
      </c>
      <c r="F1616" s="67" t="n"/>
      <c r="G1616" s="81">
        <f>IF(D1616="","",IFERROR(INDEX('Stock pièces'!$I$5:$I$404,MATCH(D1616,'Stock pièces'!$A$5:$A$404,0)),0))</f>
        <v/>
      </c>
      <c r="H1616" s="81">
        <f>IF(D1616="","",N(F1616)*N(G1616))</f>
        <v/>
      </c>
      <c r="I1616" s="7" t="n"/>
      <c r="J1616" s="9">
        <f>IF(I1616="","",IFERROR(INDEX('Ordres de travail'!$D$5:$D$3004,MATCH(I1616,'Ordres de travail'!$A$5:$A$3004,0)),""))</f>
        <v/>
      </c>
      <c r="K1616" s="9">
        <f>IF(D1616="","",IFERROR(INDEX('Stock pièces'!$D$5:$D$404,MATCH(D1616,'Stock pièces'!$A$5:$A$404,0)),""))</f>
        <v/>
      </c>
      <c r="L1616" s="7" t="n"/>
      <c r="M1616" s="7" t="n"/>
    </row>
    <row r="1617">
      <c r="A1617" s="7" t="n"/>
      <c r="B1617" s="75" t="n"/>
      <c r="C1617" s="7" t="n"/>
      <c r="D1617" s="7" t="n"/>
      <c r="E1617" s="9">
        <f>IF(D1617="","",IFERROR(INDEX('Stock pièces'!$B$5:$B$404,MATCH(D1617,'Stock pièces'!$A$5:$A$404,0)),"Réf. inconnue"))</f>
        <v/>
      </c>
      <c r="F1617" s="67" t="n"/>
      <c r="G1617" s="81">
        <f>IF(D1617="","",IFERROR(INDEX('Stock pièces'!$I$5:$I$404,MATCH(D1617,'Stock pièces'!$A$5:$A$404,0)),0))</f>
        <v/>
      </c>
      <c r="H1617" s="81">
        <f>IF(D1617="","",N(F1617)*N(G1617))</f>
        <v/>
      </c>
      <c r="I1617" s="7" t="n"/>
      <c r="J1617" s="9">
        <f>IF(I1617="","",IFERROR(INDEX('Ordres de travail'!$D$5:$D$3004,MATCH(I1617,'Ordres de travail'!$A$5:$A$3004,0)),""))</f>
        <v/>
      </c>
      <c r="K1617" s="9">
        <f>IF(D1617="","",IFERROR(INDEX('Stock pièces'!$D$5:$D$404,MATCH(D1617,'Stock pièces'!$A$5:$A$404,0)),""))</f>
        <v/>
      </c>
      <c r="L1617" s="7" t="n"/>
      <c r="M1617" s="7" t="n"/>
    </row>
    <row r="1618">
      <c r="A1618" s="7" t="n"/>
      <c r="B1618" s="75" t="n"/>
      <c r="C1618" s="7" t="n"/>
      <c r="D1618" s="7" t="n"/>
      <c r="E1618" s="9">
        <f>IF(D1618="","",IFERROR(INDEX('Stock pièces'!$B$5:$B$404,MATCH(D1618,'Stock pièces'!$A$5:$A$404,0)),"Réf. inconnue"))</f>
        <v/>
      </c>
      <c r="F1618" s="67" t="n"/>
      <c r="G1618" s="81">
        <f>IF(D1618="","",IFERROR(INDEX('Stock pièces'!$I$5:$I$404,MATCH(D1618,'Stock pièces'!$A$5:$A$404,0)),0))</f>
        <v/>
      </c>
      <c r="H1618" s="81">
        <f>IF(D1618="","",N(F1618)*N(G1618))</f>
        <v/>
      </c>
      <c r="I1618" s="7" t="n"/>
      <c r="J1618" s="9">
        <f>IF(I1618="","",IFERROR(INDEX('Ordres de travail'!$D$5:$D$3004,MATCH(I1618,'Ordres de travail'!$A$5:$A$3004,0)),""))</f>
        <v/>
      </c>
      <c r="K1618" s="9">
        <f>IF(D1618="","",IFERROR(INDEX('Stock pièces'!$D$5:$D$404,MATCH(D1618,'Stock pièces'!$A$5:$A$404,0)),""))</f>
        <v/>
      </c>
      <c r="L1618" s="7" t="n"/>
      <c r="M1618" s="7" t="n"/>
    </row>
    <row r="1619">
      <c r="A1619" s="7" t="n"/>
      <c r="B1619" s="75" t="n"/>
      <c r="C1619" s="7" t="n"/>
      <c r="D1619" s="7" t="n"/>
      <c r="E1619" s="9">
        <f>IF(D1619="","",IFERROR(INDEX('Stock pièces'!$B$5:$B$404,MATCH(D1619,'Stock pièces'!$A$5:$A$404,0)),"Réf. inconnue"))</f>
        <v/>
      </c>
      <c r="F1619" s="67" t="n"/>
      <c r="G1619" s="81">
        <f>IF(D1619="","",IFERROR(INDEX('Stock pièces'!$I$5:$I$404,MATCH(D1619,'Stock pièces'!$A$5:$A$404,0)),0))</f>
        <v/>
      </c>
      <c r="H1619" s="81">
        <f>IF(D1619="","",N(F1619)*N(G1619))</f>
        <v/>
      </c>
      <c r="I1619" s="7" t="n"/>
      <c r="J1619" s="9">
        <f>IF(I1619="","",IFERROR(INDEX('Ordres de travail'!$D$5:$D$3004,MATCH(I1619,'Ordres de travail'!$A$5:$A$3004,0)),""))</f>
        <v/>
      </c>
      <c r="K1619" s="9">
        <f>IF(D1619="","",IFERROR(INDEX('Stock pièces'!$D$5:$D$404,MATCH(D1619,'Stock pièces'!$A$5:$A$404,0)),""))</f>
        <v/>
      </c>
      <c r="L1619" s="7" t="n"/>
      <c r="M1619" s="7" t="n"/>
    </row>
    <row r="1620">
      <c r="A1620" s="7" t="n"/>
      <c r="B1620" s="75" t="n"/>
      <c r="C1620" s="7" t="n"/>
      <c r="D1620" s="7" t="n"/>
      <c r="E1620" s="9">
        <f>IF(D1620="","",IFERROR(INDEX('Stock pièces'!$B$5:$B$404,MATCH(D1620,'Stock pièces'!$A$5:$A$404,0)),"Réf. inconnue"))</f>
        <v/>
      </c>
      <c r="F1620" s="67" t="n"/>
      <c r="G1620" s="81">
        <f>IF(D1620="","",IFERROR(INDEX('Stock pièces'!$I$5:$I$404,MATCH(D1620,'Stock pièces'!$A$5:$A$404,0)),0))</f>
        <v/>
      </c>
      <c r="H1620" s="81">
        <f>IF(D1620="","",N(F1620)*N(G1620))</f>
        <v/>
      </c>
      <c r="I1620" s="7" t="n"/>
      <c r="J1620" s="9">
        <f>IF(I1620="","",IFERROR(INDEX('Ordres de travail'!$D$5:$D$3004,MATCH(I1620,'Ordres de travail'!$A$5:$A$3004,0)),""))</f>
        <v/>
      </c>
      <c r="K1620" s="9">
        <f>IF(D1620="","",IFERROR(INDEX('Stock pièces'!$D$5:$D$404,MATCH(D1620,'Stock pièces'!$A$5:$A$404,0)),""))</f>
        <v/>
      </c>
      <c r="L1620" s="7" t="n"/>
      <c r="M1620" s="7" t="n"/>
    </row>
    <row r="1621">
      <c r="A1621" s="7" t="n"/>
      <c r="B1621" s="75" t="n"/>
      <c r="C1621" s="7" t="n"/>
      <c r="D1621" s="7" t="n"/>
      <c r="E1621" s="9">
        <f>IF(D1621="","",IFERROR(INDEX('Stock pièces'!$B$5:$B$404,MATCH(D1621,'Stock pièces'!$A$5:$A$404,0)),"Réf. inconnue"))</f>
        <v/>
      </c>
      <c r="F1621" s="67" t="n"/>
      <c r="G1621" s="81">
        <f>IF(D1621="","",IFERROR(INDEX('Stock pièces'!$I$5:$I$404,MATCH(D1621,'Stock pièces'!$A$5:$A$404,0)),0))</f>
        <v/>
      </c>
      <c r="H1621" s="81">
        <f>IF(D1621="","",N(F1621)*N(G1621))</f>
        <v/>
      </c>
      <c r="I1621" s="7" t="n"/>
      <c r="J1621" s="9">
        <f>IF(I1621="","",IFERROR(INDEX('Ordres de travail'!$D$5:$D$3004,MATCH(I1621,'Ordres de travail'!$A$5:$A$3004,0)),""))</f>
        <v/>
      </c>
      <c r="K1621" s="9">
        <f>IF(D1621="","",IFERROR(INDEX('Stock pièces'!$D$5:$D$404,MATCH(D1621,'Stock pièces'!$A$5:$A$404,0)),""))</f>
        <v/>
      </c>
      <c r="L1621" s="7" t="n"/>
      <c r="M1621" s="7" t="n"/>
    </row>
    <row r="1622">
      <c r="A1622" s="7" t="n"/>
      <c r="B1622" s="75" t="n"/>
      <c r="C1622" s="7" t="n"/>
      <c r="D1622" s="7" t="n"/>
      <c r="E1622" s="9">
        <f>IF(D1622="","",IFERROR(INDEX('Stock pièces'!$B$5:$B$404,MATCH(D1622,'Stock pièces'!$A$5:$A$404,0)),"Réf. inconnue"))</f>
        <v/>
      </c>
      <c r="F1622" s="67" t="n"/>
      <c r="G1622" s="81">
        <f>IF(D1622="","",IFERROR(INDEX('Stock pièces'!$I$5:$I$404,MATCH(D1622,'Stock pièces'!$A$5:$A$404,0)),0))</f>
        <v/>
      </c>
      <c r="H1622" s="81">
        <f>IF(D1622="","",N(F1622)*N(G1622))</f>
        <v/>
      </c>
      <c r="I1622" s="7" t="n"/>
      <c r="J1622" s="9">
        <f>IF(I1622="","",IFERROR(INDEX('Ordres de travail'!$D$5:$D$3004,MATCH(I1622,'Ordres de travail'!$A$5:$A$3004,0)),""))</f>
        <v/>
      </c>
      <c r="K1622" s="9">
        <f>IF(D1622="","",IFERROR(INDEX('Stock pièces'!$D$5:$D$404,MATCH(D1622,'Stock pièces'!$A$5:$A$404,0)),""))</f>
        <v/>
      </c>
      <c r="L1622" s="7" t="n"/>
      <c r="M1622" s="7" t="n"/>
    </row>
    <row r="1623">
      <c r="A1623" s="7" t="n"/>
      <c r="B1623" s="75" t="n"/>
      <c r="C1623" s="7" t="n"/>
      <c r="D1623" s="7" t="n"/>
      <c r="E1623" s="9">
        <f>IF(D1623="","",IFERROR(INDEX('Stock pièces'!$B$5:$B$404,MATCH(D1623,'Stock pièces'!$A$5:$A$404,0)),"Réf. inconnue"))</f>
        <v/>
      </c>
      <c r="F1623" s="67" t="n"/>
      <c r="G1623" s="81">
        <f>IF(D1623="","",IFERROR(INDEX('Stock pièces'!$I$5:$I$404,MATCH(D1623,'Stock pièces'!$A$5:$A$404,0)),0))</f>
        <v/>
      </c>
      <c r="H1623" s="81">
        <f>IF(D1623="","",N(F1623)*N(G1623))</f>
        <v/>
      </c>
      <c r="I1623" s="7" t="n"/>
      <c r="J1623" s="9">
        <f>IF(I1623="","",IFERROR(INDEX('Ordres de travail'!$D$5:$D$3004,MATCH(I1623,'Ordres de travail'!$A$5:$A$3004,0)),""))</f>
        <v/>
      </c>
      <c r="K1623" s="9">
        <f>IF(D1623="","",IFERROR(INDEX('Stock pièces'!$D$5:$D$404,MATCH(D1623,'Stock pièces'!$A$5:$A$404,0)),""))</f>
        <v/>
      </c>
      <c r="L1623" s="7" t="n"/>
      <c r="M1623" s="7" t="n"/>
    </row>
    <row r="1624">
      <c r="A1624" s="7" t="n"/>
      <c r="B1624" s="75" t="n"/>
      <c r="C1624" s="7" t="n"/>
      <c r="D1624" s="7" t="n"/>
      <c r="E1624" s="9">
        <f>IF(D1624="","",IFERROR(INDEX('Stock pièces'!$B$5:$B$404,MATCH(D1624,'Stock pièces'!$A$5:$A$404,0)),"Réf. inconnue"))</f>
        <v/>
      </c>
      <c r="F1624" s="67" t="n"/>
      <c r="G1624" s="81">
        <f>IF(D1624="","",IFERROR(INDEX('Stock pièces'!$I$5:$I$404,MATCH(D1624,'Stock pièces'!$A$5:$A$404,0)),0))</f>
        <v/>
      </c>
      <c r="H1624" s="81">
        <f>IF(D1624="","",N(F1624)*N(G1624))</f>
        <v/>
      </c>
      <c r="I1624" s="7" t="n"/>
      <c r="J1624" s="9">
        <f>IF(I1624="","",IFERROR(INDEX('Ordres de travail'!$D$5:$D$3004,MATCH(I1624,'Ordres de travail'!$A$5:$A$3004,0)),""))</f>
        <v/>
      </c>
      <c r="K1624" s="9">
        <f>IF(D1624="","",IFERROR(INDEX('Stock pièces'!$D$5:$D$404,MATCH(D1624,'Stock pièces'!$A$5:$A$404,0)),""))</f>
        <v/>
      </c>
      <c r="L1624" s="7" t="n"/>
      <c r="M1624" s="7" t="n"/>
    </row>
    <row r="1625">
      <c r="A1625" s="7" t="n"/>
      <c r="B1625" s="75" t="n"/>
      <c r="C1625" s="7" t="n"/>
      <c r="D1625" s="7" t="n"/>
      <c r="E1625" s="9">
        <f>IF(D1625="","",IFERROR(INDEX('Stock pièces'!$B$5:$B$404,MATCH(D1625,'Stock pièces'!$A$5:$A$404,0)),"Réf. inconnue"))</f>
        <v/>
      </c>
      <c r="F1625" s="67" t="n"/>
      <c r="G1625" s="81">
        <f>IF(D1625="","",IFERROR(INDEX('Stock pièces'!$I$5:$I$404,MATCH(D1625,'Stock pièces'!$A$5:$A$404,0)),0))</f>
        <v/>
      </c>
      <c r="H1625" s="81">
        <f>IF(D1625="","",N(F1625)*N(G1625))</f>
        <v/>
      </c>
      <c r="I1625" s="7" t="n"/>
      <c r="J1625" s="9">
        <f>IF(I1625="","",IFERROR(INDEX('Ordres de travail'!$D$5:$D$3004,MATCH(I1625,'Ordres de travail'!$A$5:$A$3004,0)),""))</f>
        <v/>
      </c>
      <c r="K1625" s="9">
        <f>IF(D1625="","",IFERROR(INDEX('Stock pièces'!$D$5:$D$404,MATCH(D1625,'Stock pièces'!$A$5:$A$404,0)),""))</f>
        <v/>
      </c>
      <c r="L1625" s="7" t="n"/>
      <c r="M1625" s="7" t="n"/>
    </row>
    <row r="1626">
      <c r="A1626" s="7" t="n"/>
      <c r="B1626" s="75" t="n"/>
      <c r="C1626" s="7" t="n"/>
      <c r="D1626" s="7" t="n"/>
      <c r="E1626" s="9">
        <f>IF(D1626="","",IFERROR(INDEX('Stock pièces'!$B$5:$B$404,MATCH(D1626,'Stock pièces'!$A$5:$A$404,0)),"Réf. inconnue"))</f>
        <v/>
      </c>
      <c r="F1626" s="67" t="n"/>
      <c r="G1626" s="81">
        <f>IF(D1626="","",IFERROR(INDEX('Stock pièces'!$I$5:$I$404,MATCH(D1626,'Stock pièces'!$A$5:$A$404,0)),0))</f>
        <v/>
      </c>
      <c r="H1626" s="81">
        <f>IF(D1626="","",N(F1626)*N(G1626))</f>
        <v/>
      </c>
      <c r="I1626" s="7" t="n"/>
      <c r="J1626" s="9">
        <f>IF(I1626="","",IFERROR(INDEX('Ordres de travail'!$D$5:$D$3004,MATCH(I1626,'Ordres de travail'!$A$5:$A$3004,0)),""))</f>
        <v/>
      </c>
      <c r="K1626" s="9">
        <f>IF(D1626="","",IFERROR(INDEX('Stock pièces'!$D$5:$D$404,MATCH(D1626,'Stock pièces'!$A$5:$A$404,0)),""))</f>
        <v/>
      </c>
      <c r="L1626" s="7" t="n"/>
      <c r="M1626" s="7" t="n"/>
    </row>
    <row r="1627">
      <c r="A1627" s="7" t="n"/>
      <c r="B1627" s="75" t="n"/>
      <c r="C1627" s="7" t="n"/>
      <c r="D1627" s="7" t="n"/>
      <c r="E1627" s="9">
        <f>IF(D1627="","",IFERROR(INDEX('Stock pièces'!$B$5:$B$404,MATCH(D1627,'Stock pièces'!$A$5:$A$404,0)),"Réf. inconnue"))</f>
        <v/>
      </c>
      <c r="F1627" s="67" t="n"/>
      <c r="G1627" s="81">
        <f>IF(D1627="","",IFERROR(INDEX('Stock pièces'!$I$5:$I$404,MATCH(D1627,'Stock pièces'!$A$5:$A$404,0)),0))</f>
        <v/>
      </c>
      <c r="H1627" s="81">
        <f>IF(D1627="","",N(F1627)*N(G1627))</f>
        <v/>
      </c>
      <c r="I1627" s="7" t="n"/>
      <c r="J1627" s="9">
        <f>IF(I1627="","",IFERROR(INDEX('Ordres de travail'!$D$5:$D$3004,MATCH(I1627,'Ordres de travail'!$A$5:$A$3004,0)),""))</f>
        <v/>
      </c>
      <c r="K1627" s="9">
        <f>IF(D1627="","",IFERROR(INDEX('Stock pièces'!$D$5:$D$404,MATCH(D1627,'Stock pièces'!$A$5:$A$404,0)),""))</f>
        <v/>
      </c>
      <c r="L1627" s="7" t="n"/>
      <c r="M1627" s="7" t="n"/>
    </row>
    <row r="1628">
      <c r="A1628" s="7" t="n"/>
      <c r="B1628" s="75" t="n"/>
      <c r="C1628" s="7" t="n"/>
      <c r="D1628" s="7" t="n"/>
      <c r="E1628" s="9">
        <f>IF(D1628="","",IFERROR(INDEX('Stock pièces'!$B$5:$B$404,MATCH(D1628,'Stock pièces'!$A$5:$A$404,0)),"Réf. inconnue"))</f>
        <v/>
      </c>
      <c r="F1628" s="67" t="n"/>
      <c r="G1628" s="81">
        <f>IF(D1628="","",IFERROR(INDEX('Stock pièces'!$I$5:$I$404,MATCH(D1628,'Stock pièces'!$A$5:$A$404,0)),0))</f>
        <v/>
      </c>
      <c r="H1628" s="81">
        <f>IF(D1628="","",N(F1628)*N(G1628))</f>
        <v/>
      </c>
      <c r="I1628" s="7" t="n"/>
      <c r="J1628" s="9">
        <f>IF(I1628="","",IFERROR(INDEX('Ordres de travail'!$D$5:$D$3004,MATCH(I1628,'Ordres de travail'!$A$5:$A$3004,0)),""))</f>
        <v/>
      </c>
      <c r="K1628" s="9">
        <f>IF(D1628="","",IFERROR(INDEX('Stock pièces'!$D$5:$D$404,MATCH(D1628,'Stock pièces'!$A$5:$A$404,0)),""))</f>
        <v/>
      </c>
      <c r="L1628" s="7" t="n"/>
      <c r="M1628" s="7" t="n"/>
    </row>
    <row r="1629">
      <c r="A1629" s="7" t="n"/>
      <c r="B1629" s="75" t="n"/>
      <c r="C1629" s="7" t="n"/>
      <c r="D1629" s="7" t="n"/>
      <c r="E1629" s="9">
        <f>IF(D1629="","",IFERROR(INDEX('Stock pièces'!$B$5:$B$404,MATCH(D1629,'Stock pièces'!$A$5:$A$404,0)),"Réf. inconnue"))</f>
        <v/>
      </c>
      <c r="F1629" s="67" t="n"/>
      <c r="G1629" s="81">
        <f>IF(D1629="","",IFERROR(INDEX('Stock pièces'!$I$5:$I$404,MATCH(D1629,'Stock pièces'!$A$5:$A$404,0)),0))</f>
        <v/>
      </c>
      <c r="H1629" s="81">
        <f>IF(D1629="","",N(F1629)*N(G1629))</f>
        <v/>
      </c>
      <c r="I1629" s="7" t="n"/>
      <c r="J1629" s="9">
        <f>IF(I1629="","",IFERROR(INDEX('Ordres de travail'!$D$5:$D$3004,MATCH(I1629,'Ordres de travail'!$A$5:$A$3004,0)),""))</f>
        <v/>
      </c>
      <c r="K1629" s="9">
        <f>IF(D1629="","",IFERROR(INDEX('Stock pièces'!$D$5:$D$404,MATCH(D1629,'Stock pièces'!$A$5:$A$404,0)),""))</f>
        <v/>
      </c>
      <c r="L1629" s="7" t="n"/>
      <c r="M1629" s="7" t="n"/>
    </row>
    <row r="1630">
      <c r="A1630" s="7" t="n"/>
      <c r="B1630" s="75" t="n"/>
      <c r="C1630" s="7" t="n"/>
      <c r="D1630" s="7" t="n"/>
      <c r="E1630" s="9">
        <f>IF(D1630="","",IFERROR(INDEX('Stock pièces'!$B$5:$B$404,MATCH(D1630,'Stock pièces'!$A$5:$A$404,0)),"Réf. inconnue"))</f>
        <v/>
      </c>
      <c r="F1630" s="67" t="n"/>
      <c r="G1630" s="81">
        <f>IF(D1630="","",IFERROR(INDEX('Stock pièces'!$I$5:$I$404,MATCH(D1630,'Stock pièces'!$A$5:$A$404,0)),0))</f>
        <v/>
      </c>
      <c r="H1630" s="81">
        <f>IF(D1630="","",N(F1630)*N(G1630))</f>
        <v/>
      </c>
      <c r="I1630" s="7" t="n"/>
      <c r="J1630" s="9">
        <f>IF(I1630="","",IFERROR(INDEX('Ordres de travail'!$D$5:$D$3004,MATCH(I1630,'Ordres de travail'!$A$5:$A$3004,0)),""))</f>
        <v/>
      </c>
      <c r="K1630" s="9">
        <f>IF(D1630="","",IFERROR(INDEX('Stock pièces'!$D$5:$D$404,MATCH(D1630,'Stock pièces'!$A$5:$A$404,0)),""))</f>
        <v/>
      </c>
      <c r="L1630" s="7" t="n"/>
      <c r="M1630" s="7" t="n"/>
    </row>
    <row r="1631">
      <c r="A1631" s="7" t="n"/>
      <c r="B1631" s="75" t="n"/>
      <c r="C1631" s="7" t="n"/>
      <c r="D1631" s="7" t="n"/>
      <c r="E1631" s="9">
        <f>IF(D1631="","",IFERROR(INDEX('Stock pièces'!$B$5:$B$404,MATCH(D1631,'Stock pièces'!$A$5:$A$404,0)),"Réf. inconnue"))</f>
        <v/>
      </c>
      <c r="F1631" s="67" t="n"/>
      <c r="G1631" s="81">
        <f>IF(D1631="","",IFERROR(INDEX('Stock pièces'!$I$5:$I$404,MATCH(D1631,'Stock pièces'!$A$5:$A$404,0)),0))</f>
        <v/>
      </c>
      <c r="H1631" s="81">
        <f>IF(D1631="","",N(F1631)*N(G1631))</f>
        <v/>
      </c>
      <c r="I1631" s="7" t="n"/>
      <c r="J1631" s="9">
        <f>IF(I1631="","",IFERROR(INDEX('Ordres de travail'!$D$5:$D$3004,MATCH(I1631,'Ordres de travail'!$A$5:$A$3004,0)),""))</f>
        <v/>
      </c>
      <c r="K1631" s="9">
        <f>IF(D1631="","",IFERROR(INDEX('Stock pièces'!$D$5:$D$404,MATCH(D1631,'Stock pièces'!$A$5:$A$404,0)),""))</f>
        <v/>
      </c>
      <c r="L1631" s="7" t="n"/>
      <c r="M1631" s="7" t="n"/>
    </row>
    <row r="1632">
      <c r="A1632" s="7" t="n"/>
      <c r="B1632" s="75" t="n"/>
      <c r="C1632" s="7" t="n"/>
      <c r="D1632" s="7" t="n"/>
      <c r="E1632" s="9">
        <f>IF(D1632="","",IFERROR(INDEX('Stock pièces'!$B$5:$B$404,MATCH(D1632,'Stock pièces'!$A$5:$A$404,0)),"Réf. inconnue"))</f>
        <v/>
      </c>
      <c r="F1632" s="67" t="n"/>
      <c r="G1632" s="81">
        <f>IF(D1632="","",IFERROR(INDEX('Stock pièces'!$I$5:$I$404,MATCH(D1632,'Stock pièces'!$A$5:$A$404,0)),0))</f>
        <v/>
      </c>
      <c r="H1632" s="81">
        <f>IF(D1632="","",N(F1632)*N(G1632))</f>
        <v/>
      </c>
      <c r="I1632" s="7" t="n"/>
      <c r="J1632" s="9">
        <f>IF(I1632="","",IFERROR(INDEX('Ordres de travail'!$D$5:$D$3004,MATCH(I1632,'Ordres de travail'!$A$5:$A$3004,0)),""))</f>
        <v/>
      </c>
      <c r="K1632" s="9">
        <f>IF(D1632="","",IFERROR(INDEX('Stock pièces'!$D$5:$D$404,MATCH(D1632,'Stock pièces'!$A$5:$A$404,0)),""))</f>
        <v/>
      </c>
      <c r="L1632" s="7" t="n"/>
      <c r="M1632" s="7" t="n"/>
    </row>
    <row r="1633">
      <c r="A1633" s="7" t="n"/>
      <c r="B1633" s="75" t="n"/>
      <c r="C1633" s="7" t="n"/>
      <c r="D1633" s="7" t="n"/>
      <c r="E1633" s="9">
        <f>IF(D1633="","",IFERROR(INDEX('Stock pièces'!$B$5:$B$404,MATCH(D1633,'Stock pièces'!$A$5:$A$404,0)),"Réf. inconnue"))</f>
        <v/>
      </c>
      <c r="F1633" s="67" t="n"/>
      <c r="G1633" s="81">
        <f>IF(D1633="","",IFERROR(INDEX('Stock pièces'!$I$5:$I$404,MATCH(D1633,'Stock pièces'!$A$5:$A$404,0)),0))</f>
        <v/>
      </c>
      <c r="H1633" s="81">
        <f>IF(D1633="","",N(F1633)*N(G1633))</f>
        <v/>
      </c>
      <c r="I1633" s="7" t="n"/>
      <c r="J1633" s="9">
        <f>IF(I1633="","",IFERROR(INDEX('Ordres de travail'!$D$5:$D$3004,MATCH(I1633,'Ordres de travail'!$A$5:$A$3004,0)),""))</f>
        <v/>
      </c>
      <c r="K1633" s="9">
        <f>IF(D1633="","",IFERROR(INDEX('Stock pièces'!$D$5:$D$404,MATCH(D1633,'Stock pièces'!$A$5:$A$404,0)),""))</f>
        <v/>
      </c>
      <c r="L1633" s="7" t="n"/>
      <c r="M1633" s="7" t="n"/>
    </row>
    <row r="1634">
      <c r="A1634" s="7" t="n"/>
      <c r="B1634" s="75" t="n"/>
      <c r="C1634" s="7" t="n"/>
      <c r="D1634" s="7" t="n"/>
      <c r="E1634" s="9">
        <f>IF(D1634="","",IFERROR(INDEX('Stock pièces'!$B$5:$B$404,MATCH(D1634,'Stock pièces'!$A$5:$A$404,0)),"Réf. inconnue"))</f>
        <v/>
      </c>
      <c r="F1634" s="67" t="n"/>
      <c r="G1634" s="81">
        <f>IF(D1634="","",IFERROR(INDEX('Stock pièces'!$I$5:$I$404,MATCH(D1634,'Stock pièces'!$A$5:$A$404,0)),0))</f>
        <v/>
      </c>
      <c r="H1634" s="81">
        <f>IF(D1634="","",N(F1634)*N(G1634))</f>
        <v/>
      </c>
      <c r="I1634" s="7" t="n"/>
      <c r="J1634" s="9">
        <f>IF(I1634="","",IFERROR(INDEX('Ordres de travail'!$D$5:$D$3004,MATCH(I1634,'Ordres de travail'!$A$5:$A$3004,0)),""))</f>
        <v/>
      </c>
      <c r="K1634" s="9">
        <f>IF(D1634="","",IFERROR(INDEX('Stock pièces'!$D$5:$D$404,MATCH(D1634,'Stock pièces'!$A$5:$A$404,0)),""))</f>
        <v/>
      </c>
      <c r="L1634" s="7" t="n"/>
      <c r="M1634" s="7" t="n"/>
    </row>
    <row r="1635">
      <c r="A1635" s="7" t="n"/>
      <c r="B1635" s="75" t="n"/>
      <c r="C1635" s="7" t="n"/>
      <c r="D1635" s="7" t="n"/>
      <c r="E1635" s="9">
        <f>IF(D1635="","",IFERROR(INDEX('Stock pièces'!$B$5:$B$404,MATCH(D1635,'Stock pièces'!$A$5:$A$404,0)),"Réf. inconnue"))</f>
        <v/>
      </c>
      <c r="F1635" s="67" t="n"/>
      <c r="G1635" s="81">
        <f>IF(D1635="","",IFERROR(INDEX('Stock pièces'!$I$5:$I$404,MATCH(D1635,'Stock pièces'!$A$5:$A$404,0)),0))</f>
        <v/>
      </c>
      <c r="H1635" s="81">
        <f>IF(D1635="","",N(F1635)*N(G1635))</f>
        <v/>
      </c>
      <c r="I1635" s="7" t="n"/>
      <c r="J1635" s="9">
        <f>IF(I1635="","",IFERROR(INDEX('Ordres de travail'!$D$5:$D$3004,MATCH(I1635,'Ordres de travail'!$A$5:$A$3004,0)),""))</f>
        <v/>
      </c>
      <c r="K1635" s="9">
        <f>IF(D1635="","",IFERROR(INDEX('Stock pièces'!$D$5:$D$404,MATCH(D1635,'Stock pièces'!$A$5:$A$404,0)),""))</f>
        <v/>
      </c>
      <c r="L1635" s="7" t="n"/>
      <c r="M1635" s="7" t="n"/>
    </row>
    <row r="1636">
      <c r="A1636" s="7" t="n"/>
      <c r="B1636" s="75" t="n"/>
      <c r="C1636" s="7" t="n"/>
      <c r="D1636" s="7" t="n"/>
      <c r="E1636" s="9">
        <f>IF(D1636="","",IFERROR(INDEX('Stock pièces'!$B$5:$B$404,MATCH(D1636,'Stock pièces'!$A$5:$A$404,0)),"Réf. inconnue"))</f>
        <v/>
      </c>
      <c r="F1636" s="67" t="n"/>
      <c r="G1636" s="81">
        <f>IF(D1636="","",IFERROR(INDEX('Stock pièces'!$I$5:$I$404,MATCH(D1636,'Stock pièces'!$A$5:$A$404,0)),0))</f>
        <v/>
      </c>
      <c r="H1636" s="81">
        <f>IF(D1636="","",N(F1636)*N(G1636))</f>
        <v/>
      </c>
      <c r="I1636" s="7" t="n"/>
      <c r="J1636" s="9">
        <f>IF(I1636="","",IFERROR(INDEX('Ordres de travail'!$D$5:$D$3004,MATCH(I1636,'Ordres de travail'!$A$5:$A$3004,0)),""))</f>
        <v/>
      </c>
      <c r="K1636" s="9">
        <f>IF(D1636="","",IFERROR(INDEX('Stock pièces'!$D$5:$D$404,MATCH(D1636,'Stock pièces'!$A$5:$A$404,0)),""))</f>
        <v/>
      </c>
      <c r="L1636" s="7" t="n"/>
      <c r="M1636" s="7" t="n"/>
    </row>
    <row r="1637">
      <c r="A1637" s="7" t="n"/>
      <c r="B1637" s="75" t="n"/>
      <c r="C1637" s="7" t="n"/>
      <c r="D1637" s="7" t="n"/>
      <c r="E1637" s="9">
        <f>IF(D1637="","",IFERROR(INDEX('Stock pièces'!$B$5:$B$404,MATCH(D1637,'Stock pièces'!$A$5:$A$404,0)),"Réf. inconnue"))</f>
        <v/>
      </c>
      <c r="F1637" s="67" t="n"/>
      <c r="G1637" s="81">
        <f>IF(D1637="","",IFERROR(INDEX('Stock pièces'!$I$5:$I$404,MATCH(D1637,'Stock pièces'!$A$5:$A$404,0)),0))</f>
        <v/>
      </c>
      <c r="H1637" s="81">
        <f>IF(D1637="","",N(F1637)*N(G1637))</f>
        <v/>
      </c>
      <c r="I1637" s="7" t="n"/>
      <c r="J1637" s="9">
        <f>IF(I1637="","",IFERROR(INDEX('Ordres de travail'!$D$5:$D$3004,MATCH(I1637,'Ordres de travail'!$A$5:$A$3004,0)),""))</f>
        <v/>
      </c>
      <c r="K1637" s="9">
        <f>IF(D1637="","",IFERROR(INDEX('Stock pièces'!$D$5:$D$404,MATCH(D1637,'Stock pièces'!$A$5:$A$404,0)),""))</f>
        <v/>
      </c>
      <c r="L1637" s="7" t="n"/>
      <c r="M1637" s="7" t="n"/>
    </row>
    <row r="1638">
      <c r="A1638" s="7" t="n"/>
      <c r="B1638" s="75" t="n"/>
      <c r="C1638" s="7" t="n"/>
      <c r="D1638" s="7" t="n"/>
      <c r="E1638" s="9">
        <f>IF(D1638="","",IFERROR(INDEX('Stock pièces'!$B$5:$B$404,MATCH(D1638,'Stock pièces'!$A$5:$A$404,0)),"Réf. inconnue"))</f>
        <v/>
      </c>
      <c r="F1638" s="67" t="n"/>
      <c r="G1638" s="81">
        <f>IF(D1638="","",IFERROR(INDEX('Stock pièces'!$I$5:$I$404,MATCH(D1638,'Stock pièces'!$A$5:$A$404,0)),0))</f>
        <v/>
      </c>
      <c r="H1638" s="81">
        <f>IF(D1638="","",N(F1638)*N(G1638))</f>
        <v/>
      </c>
      <c r="I1638" s="7" t="n"/>
      <c r="J1638" s="9">
        <f>IF(I1638="","",IFERROR(INDEX('Ordres de travail'!$D$5:$D$3004,MATCH(I1638,'Ordres de travail'!$A$5:$A$3004,0)),""))</f>
        <v/>
      </c>
      <c r="K1638" s="9">
        <f>IF(D1638="","",IFERROR(INDEX('Stock pièces'!$D$5:$D$404,MATCH(D1638,'Stock pièces'!$A$5:$A$404,0)),""))</f>
        <v/>
      </c>
      <c r="L1638" s="7" t="n"/>
      <c r="M1638" s="7" t="n"/>
    </row>
    <row r="1639">
      <c r="A1639" s="7" t="n"/>
      <c r="B1639" s="75" t="n"/>
      <c r="C1639" s="7" t="n"/>
      <c r="D1639" s="7" t="n"/>
      <c r="E1639" s="9">
        <f>IF(D1639="","",IFERROR(INDEX('Stock pièces'!$B$5:$B$404,MATCH(D1639,'Stock pièces'!$A$5:$A$404,0)),"Réf. inconnue"))</f>
        <v/>
      </c>
      <c r="F1639" s="67" t="n"/>
      <c r="G1639" s="81">
        <f>IF(D1639="","",IFERROR(INDEX('Stock pièces'!$I$5:$I$404,MATCH(D1639,'Stock pièces'!$A$5:$A$404,0)),0))</f>
        <v/>
      </c>
      <c r="H1639" s="81">
        <f>IF(D1639="","",N(F1639)*N(G1639))</f>
        <v/>
      </c>
      <c r="I1639" s="7" t="n"/>
      <c r="J1639" s="9">
        <f>IF(I1639="","",IFERROR(INDEX('Ordres de travail'!$D$5:$D$3004,MATCH(I1639,'Ordres de travail'!$A$5:$A$3004,0)),""))</f>
        <v/>
      </c>
      <c r="K1639" s="9">
        <f>IF(D1639="","",IFERROR(INDEX('Stock pièces'!$D$5:$D$404,MATCH(D1639,'Stock pièces'!$A$5:$A$404,0)),""))</f>
        <v/>
      </c>
      <c r="L1639" s="7" t="n"/>
      <c r="M1639" s="7" t="n"/>
    </row>
    <row r="1640">
      <c r="A1640" s="7" t="n"/>
      <c r="B1640" s="75" t="n"/>
      <c r="C1640" s="7" t="n"/>
      <c r="D1640" s="7" t="n"/>
      <c r="E1640" s="9">
        <f>IF(D1640="","",IFERROR(INDEX('Stock pièces'!$B$5:$B$404,MATCH(D1640,'Stock pièces'!$A$5:$A$404,0)),"Réf. inconnue"))</f>
        <v/>
      </c>
      <c r="F1640" s="67" t="n"/>
      <c r="G1640" s="81">
        <f>IF(D1640="","",IFERROR(INDEX('Stock pièces'!$I$5:$I$404,MATCH(D1640,'Stock pièces'!$A$5:$A$404,0)),0))</f>
        <v/>
      </c>
      <c r="H1640" s="81">
        <f>IF(D1640="","",N(F1640)*N(G1640))</f>
        <v/>
      </c>
      <c r="I1640" s="7" t="n"/>
      <c r="J1640" s="9">
        <f>IF(I1640="","",IFERROR(INDEX('Ordres de travail'!$D$5:$D$3004,MATCH(I1640,'Ordres de travail'!$A$5:$A$3004,0)),""))</f>
        <v/>
      </c>
      <c r="K1640" s="9">
        <f>IF(D1640="","",IFERROR(INDEX('Stock pièces'!$D$5:$D$404,MATCH(D1640,'Stock pièces'!$A$5:$A$404,0)),""))</f>
        <v/>
      </c>
      <c r="L1640" s="7" t="n"/>
      <c r="M1640" s="7" t="n"/>
    </row>
    <row r="1641">
      <c r="A1641" s="7" t="n"/>
      <c r="B1641" s="75" t="n"/>
      <c r="C1641" s="7" t="n"/>
      <c r="D1641" s="7" t="n"/>
      <c r="E1641" s="9">
        <f>IF(D1641="","",IFERROR(INDEX('Stock pièces'!$B$5:$B$404,MATCH(D1641,'Stock pièces'!$A$5:$A$404,0)),"Réf. inconnue"))</f>
        <v/>
      </c>
      <c r="F1641" s="67" t="n"/>
      <c r="G1641" s="81">
        <f>IF(D1641="","",IFERROR(INDEX('Stock pièces'!$I$5:$I$404,MATCH(D1641,'Stock pièces'!$A$5:$A$404,0)),0))</f>
        <v/>
      </c>
      <c r="H1641" s="81">
        <f>IF(D1641="","",N(F1641)*N(G1641))</f>
        <v/>
      </c>
      <c r="I1641" s="7" t="n"/>
      <c r="J1641" s="9">
        <f>IF(I1641="","",IFERROR(INDEX('Ordres de travail'!$D$5:$D$3004,MATCH(I1641,'Ordres de travail'!$A$5:$A$3004,0)),""))</f>
        <v/>
      </c>
      <c r="K1641" s="9">
        <f>IF(D1641="","",IFERROR(INDEX('Stock pièces'!$D$5:$D$404,MATCH(D1641,'Stock pièces'!$A$5:$A$404,0)),""))</f>
        <v/>
      </c>
      <c r="L1641" s="7" t="n"/>
      <c r="M1641" s="7" t="n"/>
    </row>
    <row r="1642">
      <c r="A1642" s="7" t="n"/>
      <c r="B1642" s="75" t="n"/>
      <c r="C1642" s="7" t="n"/>
      <c r="D1642" s="7" t="n"/>
      <c r="E1642" s="9">
        <f>IF(D1642="","",IFERROR(INDEX('Stock pièces'!$B$5:$B$404,MATCH(D1642,'Stock pièces'!$A$5:$A$404,0)),"Réf. inconnue"))</f>
        <v/>
      </c>
      <c r="F1642" s="67" t="n"/>
      <c r="G1642" s="81">
        <f>IF(D1642="","",IFERROR(INDEX('Stock pièces'!$I$5:$I$404,MATCH(D1642,'Stock pièces'!$A$5:$A$404,0)),0))</f>
        <v/>
      </c>
      <c r="H1642" s="81">
        <f>IF(D1642="","",N(F1642)*N(G1642))</f>
        <v/>
      </c>
      <c r="I1642" s="7" t="n"/>
      <c r="J1642" s="9">
        <f>IF(I1642="","",IFERROR(INDEX('Ordres de travail'!$D$5:$D$3004,MATCH(I1642,'Ordres de travail'!$A$5:$A$3004,0)),""))</f>
        <v/>
      </c>
      <c r="K1642" s="9">
        <f>IF(D1642="","",IFERROR(INDEX('Stock pièces'!$D$5:$D$404,MATCH(D1642,'Stock pièces'!$A$5:$A$404,0)),""))</f>
        <v/>
      </c>
      <c r="L1642" s="7" t="n"/>
      <c r="M1642" s="7" t="n"/>
    </row>
    <row r="1643">
      <c r="A1643" s="7" t="n"/>
      <c r="B1643" s="75" t="n"/>
      <c r="C1643" s="7" t="n"/>
      <c r="D1643" s="7" t="n"/>
      <c r="E1643" s="9">
        <f>IF(D1643="","",IFERROR(INDEX('Stock pièces'!$B$5:$B$404,MATCH(D1643,'Stock pièces'!$A$5:$A$404,0)),"Réf. inconnue"))</f>
        <v/>
      </c>
      <c r="F1643" s="67" t="n"/>
      <c r="G1643" s="81">
        <f>IF(D1643="","",IFERROR(INDEX('Stock pièces'!$I$5:$I$404,MATCH(D1643,'Stock pièces'!$A$5:$A$404,0)),0))</f>
        <v/>
      </c>
      <c r="H1643" s="81">
        <f>IF(D1643="","",N(F1643)*N(G1643))</f>
        <v/>
      </c>
      <c r="I1643" s="7" t="n"/>
      <c r="J1643" s="9">
        <f>IF(I1643="","",IFERROR(INDEX('Ordres de travail'!$D$5:$D$3004,MATCH(I1643,'Ordres de travail'!$A$5:$A$3004,0)),""))</f>
        <v/>
      </c>
      <c r="K1643" s="9">
        <f>IF(D1643="","",IFERROR(INDEX('Stock pièces'!$D$5:$D$404,MATCH(D1643,'Stock pièces'!$A$5:$A$404,0)),""))</f>
        <v/>
      </c>
      <c r="L1643" s="7" t="n"/>
      <c r="M1643" s="7" t="n"/>
    </row>
    <row r="1644">
      <c r="A1644" s="7" t="n"/>
      <c r="B1644" s="75" t="n"/>
      <c r="C1644" s="7" t="n"/>
      <c r="D1644" s="7" t="n"/>
      <c r="E1644" s="9">
        <f>IF(D1644="","",IFERROR(INDEX('Stock pièces'!$B$5:$B$404,MATCH(D1644,'Stock pièces'!$A$5:$A$404,0)),"Réf. inconnue"))</f>
        <v/>
      </c>
      <c r="F1644" s="67" t="n"/>
      <c r="G1644" s="81">
        <f>IF(D1644="","",IFERROR(INDEX('Stock pièces'!$I$5:$I$404,MATCH(D1644,'Stock pièces'!$A$5:$A$404,0)),0))</f>
        <v/>
      </c>
      <c r="H1644" s="81">
        <f>IF(D1644="","",N(F1644)*N(G1644))</f>
        <v/>
      </c>
      <c r="I1644" s="7" t="n"/>
      <c r="J1644" s="9">
        <f>IF(I1644="","",IFERROR(INDEX('Ordres de travail'!$D$5:$D$3004,MATCH(I1644,'Ordres de travail'!$A$5:$A$3004,0)),""))</f>
        <v/>
      </c>
      <c r="K1644" s="9">
        <f>IF(D1644="","",IFERROR(INDEX('Stock pièces'!$D$5:$D$404,MATCH(D1644,'Stock pièces'!$A$5:$A$404,0)),""))</f>
        <v/>
      </c>
      <c r="L1644" s="7" t="n"/>
      <c r="M1644" s="7" t="n"/>
    </row>
    <row r="1645">
      <c r="A1645" s="7" t="n"/>
      <c r="B1645" s="75" t="n"/>
      <c r="C1645" s="7" t="n"/>
      <c r="D1645" s="7" t="n"/>
      <c r="E1645" s="9">
        <f>IF(D1645="","",IFERROR(INDEX('Stock pièces'!$B$5:$B$404,MATCH(D1645,'Stock pièces'!$A$5:$A$404,0)),"Réf. inconnue"))</f>
        <v/>
      </c>
      <c r="F1645" s="67" t="n"/>
      <c r="G1645" s="81">
        <f>IF(D1645="","",IFERROR(INDEX('Stock pièces'!$I$5:$I$404,MATCH(D1645,'Stock pièces'!$A$5:$A$404,0)),0))</f>
        <v/>
      </c>
      <c r="H1645" s="81">
        <f>IF(D1645="","",N(F1645)*N(G1645))</f>
        <v/>
      </c>
      <c r="I1645" s="7" t="n"/>
      <c r="J1645" s="9">
        <f>IF(I1645="","",IFERROR(INDEX('Ordres de travail'!$D$5:$D$3004,MATCH(I1645,'Ordres de travail'!$A$5:$A$3004,0)),""))</f>
        <v/>
      </c>
      <c r="K1645" s="9">
        <f>IF(D1645="","",IFERROR(INDEX('Stock pièces'!$D$5:$D$404,MATCH(D1645,'Stock pièces'!$A$5:$A$404,0)),""))</f>
        <v/>
      </c>
      <c r="L1645" s="7" t="n"/>
      <c r="M1645" s="7" t="n"/>
    </row>
    <row r="1646">
      <c r="A1646" s="7" t="n"/>
      <c r="B1646" s="75" t="n"/>
      <c r="C1646" s="7" t="n"/>
      <c r="D1646" s="7" t="n"/>
      <c r="E1646" s="9">
        <f>IF(D1646="","",IFERROR(INDEX('Stock pièces'!$B$5:$B$404,MATCH(D1646,'Stock pièces'!$A$5:$A$404,0)),"Réf. inconnue"))</f>
        <v/>
      </c>
      <c r="F1646" s="67" t="n"/>
      <c r="G1646" s="81">
        <f>IF(D1646="","",IFERROR(INDEX('Stock pièces'!$I$5:$I$404,MATCH(D1646,'Stock pièces'!$A$5:$A$404,0)),0))</f>
        <v/>
      </c>
      <c r="H1646" s="81">
        <f>IF(D1646="","",N(F1646)*N(G1646))</f>
        <v/>
      </c>
      <c r="I1646" s="7" t="n"/>
      <c r="J1646" s="9">
        <f>IF(I1646="","",IFERROR(INDEX('Ordres de travail'!$D$5:$D$3004,MATCH(I1646,'Ordres de travail'!$A$5:$A$3004,0)),""))</f>
        <v/>
      </c>
      <c r="K1646" s="9">
        <f>IF(D1646="","",IFERROR(INDEX('Stock pièces'!$D$5:$D$404,MATCH(D1646,'Stock pièces'!$A$5:$A$404,0)),""))</f>
        <v/>
      </c>
      <c r="L1646" s="7" t="n"/>
      <c r="M1646" s="7" t="n"/>
    </row>
    <row r="1647">
      <c r="A1647" s="7" t="n"/>
      <c r="B1647" s="75" t="n"/>
      <c r="C1647" s="7" t="n"/>
      <c r="D1647" s="7" t="n"/>
      <c r="E1647" s="9">
        <f>IF(D1647="","",IFERROR(INDEX('Stock pièces'!$B$5:$B$404,MATCH(D1647,'Stock pièces'!$A$5:$A$404,0)),"Réf. inconnue"))</f>
        <v/>
      </c>
      <c r="F1647" s="67" t="n"/>
      <c r="G1647" s="81">
        <f>IF(D1647="","",IFERROR(INDEX('Stock pièces'!$I$5:$I$404,MATCH(D1647,'Stock pièces'!$A$5:$A$404,0)),0))</f>
        <v/>
      </c>
      <c r="H1647" s="81">
        <f>IF(D1647="","",N(F1647)*N(G1647))</f>
        <v/>
      </c>
      <c r="I1647" s="7" t="n"/>
      <c r="J1647" s="9">
        <f>IF(I1647="","",IFERROR(INDEX('Ordres de travail'!$D$5:$D$3004,MATCH(I1647,'Ordres de travail'!$A$5:$A$3004,0)),""))</f>
        <v/>
      </c>
      <c r="K1647" s="9">
        <f>IF(D1647="","",IFERROR(INDEX('Stock pièces'!$D$5:$D$404,MATCH(D1647,'Stock pièces'!$A$5:$A$404,0)),""))</f>
        <v/>
      </c>
      <c r="L1647" s="7" t="n"/>
      <c r="M1647" s="7" t="n"/>
    </row>
    <row r="1648">
      <c r="A1648" s="7" t="n"/>
      <c r="B1648" s="75" t="n"/>
      <c r="C1648" s="7" t="n"/>
      <c r="D1648" s="7" t="n"/>
      <c r="E1648" s="9">
        <f>IF(D1648="","",IFERROR(INDEX('Stock pièces'!$B$5:$B$404,MATCH(D1648,'Stock pièces'!$A$5:$A$404,0)),"Réf. inconnue"))</f>
        <v/>
      </c>
      <c r="F1648" s="67" t="n"/>
      <c r="G1648" s="81">
        <f>IF(D1648="","",IFERROR(INDEX('Stock pièces'!$I$5:$I$404,MATCH(D1648,'Stock pièces'!$A$5:$A$404,0)),0))</f>
        <v/>
      </c>
      <c r="H1648" s="81">
        <f>IF(D1648="","",N(F1648)*N(G1648))</f>
        <v/>
      </c>
      <c r="I1648" s="7" t="n"/>
      <c r="J1648" s="9">
        <f>IF(I1648="","",IFERROR(INDEX('Ordres de travail'!$D$5:$D$3004,MATCH(I1648,'Ordres de travail'!$A$5:$A$3004,0)),""))</f>
        <v/>
      </c>
      <c r="K1648" s="9">
        <f>IF(D1648="","",IFERROR(INDEX('Stock pièces'!$D$5:$D$404,MATCH(D1648,'Stock pièces'!$A$5:$A$404,0)),""))</f>
        <v/>
      </c>
      <c r="L1648" s="7" t="n"/>
      <c r="M1648" s="7" t="n"/>
    </row>
    <row r="1649">
      <c r="A1649" s="7" t="n"/>
      <c r="B1649" s="75" t="n"/>
      <c r="C1649" s="7" t="n"/>
      <c r="D1649" s="7" t="n"/>
      <c r="E1649" s="9">
        <f>IF(D1649="","",IFERROR(INDEX('Stock pièces'!$B$5:$B$404,MATCH(D1649,'Stock pièces'!$A$5:$A$404,0)),"Réf. inconnue"))</f>
        <v/>
      </c>
      <c r="F1649" s="67" t="n"/>
      <c r="G1649" s="81">
        <f>IF(D1649="","",IFERROR(INDEX('Stock pièces'!$I$5:$I$404,MATCH(D1649,'Stock pièces'!$A$5:$A$404,0)),0))</f>
        <v/>
      </c>
      <c r="H1649" s="81">
        <f>IF(D1649="","",N(F1649)*N(G1649))</f>
        <v/>
      </c>
      <c r="I1649" s="7" t="n"/>
      <c r="J1649" s="9">
        <f>IF(I1649="","",IFERROR(INDEX('Ordres de travail'!$D$5:$D$3004,MATCH(I1649,'Ordres de travail'!$A$5:$A$3004,0)),""))</f>
        <v/>
      </c>
      <c r="K1649" s="9">
        <f>IF(D1649="","",IFERROR(INDEX('Stock pièces'!$D$5:$D$404,MATCH(D1649,'Stock pièces'!$A$5:$A$404,0)),""))</f>
        <v/>
      </c>
      <c r="L1649" s="7" t="n"/>
      <c r="M1649" s="7" t="n"/>
    </row>
    <row r="1650">
      <c r="A1650" s="7" t="n"/>
      <c r="B1650" s="75" t="n"/>
      <c r="C1650" s="7" t="n"/>
      <c r="D1650" s="7" t="n"/>
      <c r="E1650" s="9">
        <f>IF(D1650="","",IFERROR(INDEX('Stock pièces'!$B$5:$B$404,MATCH(D1650,'Stock pièces'!$A$5:$A$404,0)),"Réf. inconnue"))</f>
        <v/>
      </c>
      <c r="F1650" s="67" t="n"/>
      <c r="G1650" s="81">
        <f>IF(D1650="","",IFERROR(INDEX('Stock pièces'!$I$5:$I$404,MATCH(D1650,'Stock pièces'!$A$5:$A$404,0)),0))</f>
        <v/>
      </c>
      <c r="H1650" s="81">
        <f>IF(D1650="","",N(F1650)*N(G1650))</f>
        <v/>
      </c>
      <c r="I1650" s="7" t="n"/>
      <c r="J1650" s="9">
        <f>IF(I1650="","",IFERROR(INDEX('Ordres de travail'!$D$5:$D$3004,MATCH(I1650,'Ordres de travail'!$A$5:$A$3004,0)),""))</f>
        <v/>
      </c>
      <c r="K1650" s="9">
        <f>IF(D1650="","",IFERROR(INDEX('Stock pièces'!$D$5:$D$404,MATCH(D1650,'Stock pièces'!$A$5:$A$404,0)),""))</f>
        <v/>
      </c>
      <c r="L1650" s="7" t="n"/>
      <c r="M1650" s="7" t="n"/>
    </row>
    <row r="1651">
      <c r="A1651" s="7" t="n"/>
      <c r="B1651" s="75" t="n"/>
      <c r="C1651" s="7" t="n"/>
      <c r="D1651" s="7" t="n"/>
      <c r="E1651" s="9">
        <f>IF(D1651="","",IFERROR(INDEX('Stock pièces'!$B$5:$B$404,MATCH(D1651,'Stock pièces'!$A$5:$A$404,0)),"Réf. inconnue"))</f>
        <v/>
      </c>
      <c r="F1651" s="67" t="n"/>
      <c r="G1651" s="81">
        <f>IF(D1651="","",IFERROR(INDEX('Stock pièces'!$I$5:$I$404,MATCH(D1651,'Stock pièces'!$A$5:$A$404,0)),0))</f>
        <v/>
      </c>
      <c r="H1651" s="81">
        <f>IF(D1651="","",N(F1651)*N(G1651))</f>
        <v/>
      </c>
      <c r="I1651" s="7" t="n"/>
      <c r="J1651" s="9">
        <f>IF(I1651="","",IFERROR(INDEX('Ordres de travail'!$D$5:$D$3004,MATCH(I1651,'Ordres de travail'!$A$5:$A$3004,0)),""))</f>
        <v/>
      </c>
      <c r="K1651" s="9">
        <f>IF(D1651="","",IFERROR(INDEX('Stock pièces'!$D$5:$D$404,MATCH(D1651,'Stock pièces'!$A$5:$A$404,0)),""))</f>
        <v/>
      </c>
      <c r="L1651" s="7" t="n"/>
      <c r="M1651" s="7" t="n"/>
    </row>
    <row r="1652">
      <c r="A1652" s="7" t="n"/>
      <c r="B1652" s="75" t="n"/>
      <c r="C1652" s="7" t="n"/>
      <c r="D1652" s="7" t="n"/>
      <c r="E1652" s="9">
        <f>IF(D1652="","",IFERROR(INDEX('Stock pièces'!$B$5:$B$404,MATCH(D1652,'Stock pièces'!$A$5:$A$404,0)),"Réf. inconnue"))</f>
        <v/>
      </c>
      <c r="F1652" s="67" t="n"/>
      <c r="G1652" s="81">
        <f>IF(D1652="","",IFERROR(INDEX('Stock pièces'!$I$5:$I$404,MATCH(D1652,'Stock pièces'!$A$5:$A$404,0)),0))</f>
        <v/>
      </c>
      <c r="H1652" s="81">
        <f>IF(D1652="","",N(F1652)*N(G1652))</f>
        <v/>
      </c>
      <c r="I1652" s="7" t="n"/>
      <c r="J1652" s="9">
        <f>IF(I1652="","",IFERROR(INDEX('Ordres de travail'!$D$5:$D$3004,MATCH(I1652,'Ordres de travail'!$A$5:$A$3004,0)),""))</f>
        <v/>
      </c>
      <c r="K1652" s="9">
        <f>IF(D1652="","",IFERROR(INDEX('Stock pièces'!$D$5:$D$404,MATCH(D1652,'Stock pièces'!$A$5:$A$404,0)),""))</f>
        <v/>
      </c>
      <c r="L1652" s="7" t="n"/>
      <c r="M1652" s="7" t="n"/>
    </row>
    <row r="1653">
      <c r="A1653" s="7" t="n"/>
      <c r="B1653" s="75" t="n"/>
      <c r="C1653" s="7" t="n"/>
      <c r="D1653" s="7" t="n"/>
      <c r="E1653" s="9">
        <f>IF(D1653="","",IFERROR(INDEX('Stock pièces'!$B$5:$B$404,MATCH(D1653,'Stock pièces'!$A$5:$A$404,0)),"Réf. inconnue"))</f>
        <v/>
      </c>
      <c r="F1653" s="67" t="n"/>
      <c r="G1653" s="81">
        <f>IF(D1653="","",IFERROR(INDEX('Stock pièces'!$I$5:$I$404,MATCH(D1653,'Stock pièces'!$A$5:$A$404,0)),0))</f>
        <v/>
      </c>
      <c r="H1653" s="81">
        <f>IF(D1653="","",N(F1653)*N(G1653))</f>
        <v/>
      </c>
      <c r="I1653" s="7" t="n"/>
      <c r="J1653" s="9">
        <f>IF(I1653="","",IFERROR(INDEX('Ordres de travail'!$D$5:$D$3004,MATCH(I1653,'Ordres de travail'!$A$5:$A$3004,0)),""))</f>
        <v/>
      </c>
      <c r="K1653" s="9">
        <f>IF(D1653="","",IFERROR(INDEX('Stock pièces'!$D$5:$D$404,MATCH(D1653,'Stock pièces'!$A$5:$A$404,0)),""))</f>
        <v/>
      </c>
      <c r="L1653" s="7" t="n"/>
      <c r="M1653" s="7" t="n"/>
    </row>
    <row r="1654">
      <c r="A1654" s="7" t="n"/>
      <c r="B1654" s="75" t="n"/>
      <c r="C1654" s="7" t="n"/>
      <c r="D1654" s="7" t="n"/>
      <c r="E1654" s="9">
        <f>IF(D1654="","",IFERROR(INDEX('Stock pièces'!$B$5:$B$404,MATCH(D1654,'Stock pièces'!$A$5:$A$404,0)),"Réf. inconnue"))</f>
        <v/>
      </c>
      <c r="F1654" s="67" t="n"/>
      <c r="G1654" s="81">
        <f>IF(D1654="","",IFERROR(INDEX('Stock pièces'!$I$5:$I$404,MATCH(D1654,'Stock pièces'!$A$5:$A$404,0)),0))</f>
        <v/>
      </c>
      <c r="H1654" s="81">
        <f>IF(D1654="","",N(F1654)*N(G1654))</f>
        <v/>
      </c>
      <c r="I1654" s="7" t="n"/>
      <c r="J1654" s="9">
        <f>IF(I1654="","",IFERROR(INDEX('Ordres de travail'!$D$5:$D$3004,MATCH(I1654,'Ordres de travail'!$A$5:$A$3004,0)),""))</f>
        <v/>
      </c>
      <c r="K1654" s="9">
        <f>IF(D1654="","",IFERROR(INDEX('Stock pièces'!$D$5:$D$404,MATCH(D1654,'Stock pièces'!$A$5:$A$404,0)),""))</f>
        <v/>
      </c>
      <c r="L1654" s="7" t="n"/>
      <c r="M1654" s="7" t="n"/>
    </row>
    <row r="1655">
      <c r="A1655" s="7" t="n"/>
      <c r="B1655" s="75" t="n"/>
      <c r="C1655" s="7" t="n"/>
      <c r="D1655" s="7" t="n"/>
      <c r="E1655" s="9">
        <f>IF(D1655="","",IFERROR(INDEX('Stock pièces'!$B$5:$B$404,MATCH(D1655,'Stock pièces'!$A$5:$A$404,0)),"Réf. inconnue"))</f>
        <v/>
      </c>
      <c r="F1655" s="67" t="n"/>
      <c r="G1655" s="81">
        <f>IF(D1655="","",IFERROR(INDEX('Stock pièces'!$I$5:$I$404,MATCH(D1655,'Stock pièces'!$A$5:$A$404,0)),0))</f>
        <v/>
      </c>
      <c r="H1655" s="81">
        <f>IF(D1655="","",N(F1655)*N(G1655))</f>
        <v/>
      </c>
      <c r="I1655" s="7" t="n"/>
      <c r="J1655" s="9">
        <f>IF(I1655="","",IFERROR(INDEX('Ordres de travail'!$D$5:$D$3004,MATCH(I1655,'Ordres de travail'!$A$5:$A$3004,0)),""))</f>
        <v/>
      </c>
      <c r="K1655" s="9">
        <f>IF(D1655="","",IFERROR(INDEX('Stock pièces'!$D$5:$D$404,MATCH(D1655,'Stock pièces'!$A$5:$A$404,0)),""))</f>
        <v/>
      </c>
      <c r="L1655" s="7" t="n"/>
      <c r="M1655" s="7" t="n"/>
    </row>
    <row r="1656">
      <c r="A1656" s="7" t="n"/>
      <c r="B1656" s="75" t="n"/>
      <c r="C1656" s="7" t="n"/>
      <c r="D1656" s="7" t="n"/>
      <c r="E1656" s="9">
        <f>IF(D1656="","",IFERROR(INDEX('Stock pièces'!$B$5:$B$404,MATCH(D1656,'Stock pièces'!$A$5:$A$404,0)),"Réf. inconnue"))</f>
        <v/>
      </c>
      <c r="F1656" s="67" t="n"/>
      <c r="G1656" s="81">
        <f>IF(D1656="","",IFERROR(INDEX('Stock pièces'!$I$5:$I$404,MATCH(D1656,'Stock pièces'!$A$5:$A$404,0)),0))</f>
        <v/>
      </c>
      <c r="H1656" s="81">
        <f>IF(D1656="","",N(F1656)*N(G1656))</f>
        <v/>
      </c>
      <c r="I1656" s="7" t="n"/>
      <c r="J1656" s="9">
        <f>IF(I1656="","",IFERROR(INDEX('Ordres de travail'!$D$5:$D$3004,MATCH(I1656,'Ordres de travail'!$A$5:$A$3004,0)),""))</f>
        <v/>
      </c>
      <c r="K1656" s="9">
        <f>IF(D1656="","",IFERROR(INDEX('Stock pièces'!$D$5:$D$404,MATCH(D1656,'Stock pièces'!$A$5:$A$404,0)),""))</f>
        <v/>
      </c>
      <c r="L1656" s="7" t="n"/>
      <c r="M1656" s="7" t="n"/>
    </row>
    <row r="1657">
      <c r="A1657" s="7" t="n"/>
      <c r="B1657" s="75" t="n"/>
      <c r="C1657" s="7" t="n"/>
      <c r="D1657" s="7" t="n"/>
      <c r="E1657" s="9">
        <f>IF(D1657="","",IFERROR(INDEX('Stock pièces'!$B$5:$B$404,MATCH(D1657,'Stock pièces'!$A$5:$A$404,0)),"Réf. inconnue"))</f>
        <v/>
      </c>
      <c r="F1657" s="67" t="n"/>
      <c r="G1657" s="81">
        <f>IF(D1657="","",IFERROR(INDEX('Stock pièces'!$I$5:$I$404,MATCH(D1657,'Stock pièces'!$A$5:$A$404,0)),0))</f>
        <v/>
      </c>
      <c r="H1657" s="81">
        <f>IF(D1657="","",N(F1657)*N(G1657))</f>
        <v/>
      </c>
      <c r="I1657" s="7" t="n"/>
      <c r="J1657" s="9">
        <f>IF(I1657="","",IFERROR(INDEX('Ordres de travail'!$D$5:$D$3004,MATCH(I1657,'Ordres de travail'!$A$5:$A$3004,0)),""))</f>
        <v/>
      </c>
      <c r="K1657" s="9">
        <f>IF(D1657="","",IFERROR(INDEX('Stock pièces'!$D$5:$D$404,MATCH(D1657,'Stock pièces'!$A$5:$A$404,0)),""))</f>
        <v/>
      </c>
      <c r="L1657" s="7" t="n"/>
      <c r="M1657" s="7" t="n"/>
    </row>
    <row r="1658">
      <c r="A1658" s="7" t="n"/>
      <c r="B1658" s="75" t="n"/>
      <c r="C1658" s="7" t="n"/>
      <c r="D1658" s="7" t="n"/>
      <c r="E1658" s="9">
        <f>IF(D1658="","",IFERROR(INDEX('Stock pièces'!$B$5:$B$404,MATCH(D1658,'Stock pièces'!$A$5:$A$404,0)),"Réf. inconnue"))</f>
        <v/>
      </c>
      <c r="F1658" s="67" t="n"/>
      <c r="G1658" s="81">
        <f>IF(D1658="","",IFERROR(INDEX('Stock pièces'!$I$5:$I$404,MATCH(D1658,'Stock pièces'!$A$5:$A$404,0)),0))</f>
        <v/>
      </c>
      <c r="H1658" s="81">
        <f>IF(D1658="","",N(F1658)*N(G1658))</f>
        <v/>
      </c>
      <c r="I1658" s="7" t="n"/>
      <c r="J1658" s="9">
        <f>IF(I1658="","",IFERROR(INDEX('Ordres de travail'!$D$5:$D$3004,MATCH(I1658,'Ordres de travail'!$A$5:$A$3004,0)),""))</f>
        <v/>
      </c>
      <c r="K1658" s="9">
        <f>IF(D1658="","",IFERROR(INDEX('Stock pièces'!$D$5:$D$404,MATCH(D1658,'Stock pièces'!$A$5:$A$404,0)),""))</f>
        <v/>
      </c>
      <c r="L1658" s="7" t="n"/>
      <c r="M1658" s="7" t="n"/>
    </row>
    <row r="1659">
      <c r="A1659" s="7" t="n"/>
      <c r="B1659" s="75" t="n"/>
      <c r="C1659" s="7" t="n"/>
      <c r="D1659" s="7" t="n"/>
      <c r="E1659" s="9">
        <f>IF(D1659="","",IFERROR(INDEX('Stock pièces'!$B$5:$B$404,MATCH(D1659,'Stock pièces'!$A$5:$A$404,0)),"Réf. inconnue"))</f>
        <v/>
      </c>
      <c r="F1659" s="67" t="n"/>
      <c r="G1659" s="81">
        <f>IF(D1659="","",IFERROR(INDEX('Stock pièces'!$I$5:$I$404,MATCH(D1659,'Stock pièces'!$A$5:$A$404,0)),0))</f>
        <v/>
      </c>
      <c r="H1659" s="81">
        <f>IF(D1659="","",N(F1659)*N(G1659))</f>
        <v/>
      </c>
      <c r="I1659" s="7" t="n"/>
      <c r="J1659" s="9">
        <f>IF(I1659="","",IFERROR(INDEX('Ordres de travail'!$D$5:$D$3004,MATCH(I1659,'Ordres de travail'!$A$5:$A$3004,0)),""))</f>
        <v/>
      </c>
      <c r="K1659" s="9">
        <f>IF(D1659="","",IFERROR(INDEX('Stock pièces'!$D$5:$D$404,MATCH(D1659,'Stock pièces'!$A$5:$A$404,0)),""))</f>
        <v/>
      </c>
      <c r="L1659" s="7" t="n"/>
      <c r="M1659" s="7" t="n"/>
    </row>
    <row r="1660">
      <c r="A1660" s="7" t="n"/>
      <c r="B1660" s="75" t="n"/>
      <c r="C1660" s="7" t="n"/>
      <c r="D1660" s="7" t="n"/>
      <c r="E1660" s="9">
        <f>IF(D1660="","",IFERROR(INDEX('Stock pièces'!$B$5:$B$404,MATCH(D1660,'Stock pièces'!$A$5:$A$404,0)),"Réf. inconnue"))</f>
        <v/>
      </c>
      <c r="F1660" s="67" t="n"/>
      <c r="G1660" s="81">
        <f>IF(D1660="","",IFERROR(INDEX('Stock pièces'!$I$5:$I$404,MATCH(D1660,'Stock pièces'!$A$5:$A$404,0)),0))</f>
        <v/>
      </c>
      <c r="H1660" s="81">
        <f>IF(D1660="","",N(F1660)*N(G1660))</f>
        <v/>
      </c>
      <c r="I1660" s="7" t="n"/>
      <c r="J1660" s="9">
        <f>IF(I1660="","",IFERROR(INDEX('Ordres de travail'!$D$5:$D$3004,MATCH(I1660,'Ordres de travail'!$A$5:$A$3004,0)),""))</f>
        <v/>
      </c>
      <c r="K1660" s="9">
        <f>IF(D1660="","",IFERROR(INDEX('Stock pièces'!$D$5:$D$404,MATCH(D1660,'Stock pièces'!$A$5:$A$404,0)),""))</f>
        <v/>
      </c>
      <c r="L1660" s="7" t="n"/>
      <c r="M1660" s="7" t="n"/>
    </row>
    <row r="1661">
      <c r="A1661" s="7" t="n"/>
      <c r="B1661" s="75" t="n"/>
      <c r="C1661" s="7" t="n"/>
      <c r="D1661" s="7" t="n"/>
      <c r="E1661" s="9">
        <f>IF(D1661="","",IFERROR(INDEX('Stock pièces'!$B$5:$B$404,MATCH(D1661,'Stock pièces'!$A$5:$A$404,0)),"Réf. inconnue"))</f>
        <v/>
      </c>
      <c r="F1661" s="67" t="n"/>
      <c r="G1661" s="81">
        <f>IF(D1661="","",IFERROR(INDEX('Stock pièces'!$I$5:$I$404,MATCH(D1661,'Stock pièces'!$A$5:$A$404,0)),0))</f>
        <v/>
      </c>
      <c r="H1661" s="81">
        <f>IF(D1661="","",N(F1661)*N(G1661))</f>
        <v/>
      </c>
      <c r="I1661" s="7" t="n"/>
      <c r="J1661" s="9">
        <f>IF(I1661="","",IFERROR(INDEX('Ordres de travail'!$D$5:$D$3004,MATCH(I1661,'Ordres de travail'!$A$5:$A$3004,0)),""))</f>
        <v/>
      </c>
      <c r="K1661" s="9">
        <f>IF(D1661="","",IFERROR(INDEX('Stock pièces'!$D$5:$D$404,MATCH(D1661,'Stock pièces'!$A$5:$A$404,0)),""))</f>
        <v/>
      </c>
      <c r="L1661" s="7" t="n"/>
      <c r="M1661" s="7" t="n"/>
    </row>
    <row r="1662">
      <c r="A1662" s="7" t="n"/>
      <c r="B1662" s="75" t="n"/>
      <c r="C1662" s="7" t="n"/>
      <c r="D1662" s="7" t="n"/>
      <c r="E1662" s="9">
        <f>IF(D1662="","",IFERROR(INDEX('Stock pièces'!$B$5:$B$404,MATCH(D1662,'Stock pièces'!$A$5:$A$404,0)),"Réf. inconnue"))</f>
        <v/>
      </c>
      <c r="F1662" s="67" t="n"/>
      <c r="G1662" s="81">
        <f>IF(D1662="","",IFERROR(INDEX('Stock pièces'!$I$5:$I$404,MATCH(D1662,'Stock pièces'!$A$5:$A$404,0)),0))</f>
        <v/>
      </c>
      <c r="H1662" s="81">
        <f>IF(D1662="","",N(F1662)*N(G1662))</f>
        <v/>
      </c>
      <c r="I1662" s="7" t="n"/>
      <c r="J1662" s="9">
        <f>IF(I1662="","",IFERROR(INDEX('Ordres de travail'!$D$5:$D$3004,MATCH(I1662,'Ordres de travail'!$A$5:$A$3004,0)),""))</f>
        <v/>
      </c>
      <c r="K1662" s="9">
        <f>IF(D1662="","",IFERROR(INDEX('Stock pièces'!$D$5:$D$404,MATCH(D1662,'Stock pièces'!$A$5:$A$404,0)),""))</f>
        <v/>
      </c>
      <c r="L1662" s="7" t="n"/>
      <c r="M1662" s="7" t="n"/>
    </row>
    <row r="1663">
      <c r="A1663" s="7" t="n"/>
      <c r="B1663" s="75" t="n"/>
      <c r="C1663" s="7" t="n"/>
      <c r="D1663" s="7" t="n"/>
      <c r="E1663" s="9">
        <f>IF(D1663="","",IFERROR(INDEX('Stock pièces'!$B$5:$B$404,MATCH(D1663,'Stock pièces'!$A$5:$A$404,0)),"Réf. inconnue"))</f>
        <v/>
      </c>
      <c r="F1663" s="67" t="n"/>
      <c r="G1663" s="81">
        <f>IF(D1663="","",IFERROR(INDEX('Stock pièces'!$I$5:$I$404,MATCH(D1663,'Stock pièces'!$A$5:$A$404,0)),0))</f>
        <v/>
      </c>
      <c r="H1663" s="81">
        <f>IF(D1663="","",N(F1663)*N(G1663))</f>
        <v/>
      </c>
      <c r="I1663" s="7" t="n"/>
      <c r="J1663" s="9">
        <f>IF(I1663="","",IFERROR(INDEX('Ordres de travail'!$D$5:$D$3004,MATCH(I1663,'Ordres de travail'!$A$5:$A$3004,0)),""))</f>
        <v/>
      </c>
      <c r="K1663" s="9">
        <f>IF(D1663="","",IFERROR(INDEX('Stock pièces'!$D$5:$D$404,MATCH(D1663,'Stock pièces'!$A$5:$A$404,0)),""))</f>
        <v/>
      </c>
      <c r="L1663" s="7" t="n"/>
      <c r="M1663" s="7" t="n"/>
    </row>
    <row r="1664">
      <c r="A1664" s="7" t="n"/>
      <c r="B1664" s="75" t="n"/>
      <c r="C1664" s="7" t="n"/>
      <c r="D1664" s="7" t="n"/>
      <c r="E1664" s="9">
        <f>IF(D1664="","",IFERROR(INDEX('Stock pièces'!$B$5:$B$404,MATCH(D1664,'Stock pièces'!$A$5:$A$404,0)),"Réf. inconnue"))</f>
        <v/>
      </c>
      <c r="F1664" s="67" t="n"/>
      <c r="G1664" s="81">
        <f>IF(D1664="","",IFERROR(INDEX('Stock pièces'!$I$5:$I$404,MATCH(D1664,'Stock pièces'!$A$5:$A$404,0)),0))</f>
        <v/>
      </c>
      <c r="H1664" s="81">
        <f>IF(D1664="","",N(F1664)*N(G1664))</f>
        <v/>
      </c>
      <c r="I1664" s="7" t="n"/>
      <c r="J1664" s="9">
        <f>IF(I1664="","",IFERROR(INDEX('Ordres de travail'!$D$5:$D$3004,MATCH(I1664,'Ordres de travail'!$A$5:$A$3004,0)),""))</f>
        <v/>
      </c>
      <c r="K1664" s="9">
        <f>IF(D1664="","",IFERROR(INDEX('Stock pièces'!$D$5:$D$404,MATCH(D1664,'Stock pièces'!$A$5:$A$404,0)),""))</f>
        <v/>
      </c>
      <c r="L1664" s="7" t="n"/>
      <c r="M1664" s="7" t="n"/>
    </row>
    <row r="1665">
      <c r="A1665" s="7" t="n"/>
      <c r="B1665" s="75" t="n"/>
      <c r="C1665" s="7" t="n"/>
      <c r="D1665" s="7" t="n"/>
      <c r="E1665" s="9">
        <f>IF(D1665="","",IFERROR(INDEX('Stock pièces'!$B$5:$B$404,MATCH(D1665,'Stock pièces'!$A$5:$A$404,0)),"Réf. inconnue"))</f>
        <v/>
      </c>
      <c r="F1665" s="67" t="n"/>
      <c r="G1665" s="81">
        <f>IF(D1665="","",IFERROR(INDEX('Stock pièces'!$I$5:$I$404,MATCH(D1665,'Stock pièces'!$A$5:$A$404,0)),0))</f>
        <v/>
      </c>
      <c r="H1665" s="81">
        <f>IF(D1665="","",N(F1665)*N(G1665))</f>
        <v/>
      </c>
      <c r="I1665" s="7" t="n"/>
      <c r="J1665" s="9">
        <f>IF(I1665="","",IFERROR(INDEX('Ordres de travail'!$D$5:$D$3004,MATCH(I1665,'Ordres de travail'!$A$5:$A$3004,0)),""))</f>
        <v/>
      </c>
      <c r="K1665" s="9">
        <f>IF(D1665="","",IFERROR(INDEX('Stock pièces'!$D$5:$D$404,MATCH(D1665,'Stock pièces'!$A$5:$A$404,0)),""))</f>
        <v/>
      </c>
      <c r="L1665" s="7" t="n"/>
      <c r="M1665" s="7" t="n"/>
    </row>
    <row r="1666">
      <c r="A1666" s="7" t="n"/>
      <c r="B1666" s="75" t="n"/>
      <c r="C1666" s="7" t="n"/>
      <c r="D1666" s="7" t="n"/>
      <c r="E1666" s="9">
        <f>IF(D1666="","",IFERROR(INDEX('Stock pièces'!$B$5:$B$404,MATCH(D1666,'Stock pièces'!$A$5:$A$404,0)),"Réf. inconnue"))</f>
        <v/>
      </c>
      <c r="F1666" s="67" t="n"/>
      <c r="G1666" s="81">
        <f>IF(D1666="","",IFERROR(INDEX('Stock pièces'!$I$5:$I$404,MATCH(D1666,'Stock pièces'!$A$5:$A$404,0)),0))</f>
        <v/>
      </c>
      <c r="H1666" s="81">
        <f>IF(D1666="","",N(F1666)*N(G1666))</f>
        <v/>
      </c>
      <c r="I1666" s="7" t="n"/>
      <c r="J1666" s="9">
        <f>IF(I1666="","",IFERROR(INDEX('Ordres de travail'!$D$5:$D$3004,MATCH(I1666,'Ordres de travail'!$A$5:$A$3004,0)),""))</f>
        <v/>
      </c>
      <c r="K1666" s="9">
        <f>IF(D1666="","",IFERROR(INDEX('Stock pièces'!$D$5:$D$404,MATCH(D1666,'Stock pièces'!$A$5:$A$404,0)),""))</f>
        <v/>
      </c>
      <c r="L1666" s="7" t="n"/>
      <c r="M1666" s="7" t="n"/>
    </row>
    <row r="1667">
      <c r="A1667" s="7" t="n"/>
      <c r="B1667" s="75" t="n"/>
      <c r="C1667" s="7" t="n"/>
      <c r="D1667" s="7" t="n"/>
      <c r="E1667" s="9">
        <f>IF(D1667="","",IFERROR(INDEX('Stock pièces'!$B$5:$B$404,MATCH(D1667,'Stock pièces'!$A$5:$A$404,0)),"Réf. inconnue"))</f>
        <v/>
      </c>
      <c r="F1667" s="67" t="n"/>
      <c r="G1667" s="81">
        <f>IF(D1667="","",IFERROR(INDEX('Stock pièces'!$I$5:$I$404,MATCH(D1667,'Stock pièces'!$A$5:$A$404,0)),0))</f>
        <v/>
      </c>
      <c r="H1667" s="81">
        <f>IF(D1667="","",N(F1667)*N(G1667))</f>
        <v/>
      </c>
      <c r="I1667" s="7" t="n"/>
      <c r="J1667" s="9">
        <f>IF(I1667="","",IFERROR(INDEX('Ordres de travail'!$D$5:$D$3004,MATCH(I1667,'Ordres de travail'!$A$5:$A$3004,0)),""))</f>
        <v/>
      </c>
      <c r="K1667" s="9">
        <f>IF(D1667="","",IFERROR(INDEX('Stock pièces'!$D$5:$D$404,MATCH(D1667,'Stock pièces'!$A$5:$A$404,0)),""))</f>
        <v/>
      </c>
      <c r="L1667" s="7" t="n"/>
      <c r="M1667" s="7" t="n"/>
    </row>
    <row r="1668">
      <c r="A1668" s="7" t="n"/>
      <c r="B1668" s="75" t="n"/>
      <c r="C1668" s="7" t="n"/>
      <c r="D1668" s="7" t="n"/>
      <c r="E1668" s="9">
        <f>IF(D1668="","",IFERROR(INDEX('Stock pièces'!$B$5:$B$404,MATCH(D1668,'Stock pièces'!$A$5:$A$404,0)),"Réf. inconnue"))</f>
        <v/>
      </c>
      <c r="F1668" s="67" t="n"/>
      <c r="G1668" s="81">
        <f>IF(D1668="","",IFERROR(INDEX('Stock pièces'!$I$5:$I$404,MATCH(D1668,'Stock pièces'!$A$5:$A$404,0)),0))</f>
        <v/>
      </c>
      <c r="H1668" s="81">
        <f>IF(D1668="","",N(F1668)*N(G1668))</f>
        <v/>
      </c>
      <c r="I1668" s="7" t="n"/>
      <c r="J1668" s="9">
        <f>IF(I1668="","",IFERROR(INDEX('Ordres de travail'!$D$5:$D$3004,MATCH(I1668,'Ordres de travail'!$A$5:$A$3004,0)),""))</f>
        <v/>
      </c>
      <c r="K1668" s="9">
        <f>IF(D1668="","",IFERROR(INDEX('Stock pièces'!$D$5:$D$404,MATCH(D1668,'Stock pièces'!$A$5:$A$404,0)),""))</f>
        <v/>
      </c>
      <c r="L1668" s="7" t="n"/>
      <c r="M1668" s="7" t="n"/>
    </row>
    <row r="1669">
      <c r="A1669" s="7" t="n"/>
      <c r="B1669" s="75" t="n"/>
      <c r="C1669" s="7" t="n"/>
      <c r="D1669" s="7" t="n"/>
      <c r="E1669" s="9">
        <f>IF(D1669="","",IFERROR(INDEX('Stock pièces'!$B$5:$B$404,MATCH(D1669,'Stock pièces'!$A$5:$A$404,0)),"Réf. inconnue"))</f>
        <v/>
      </c>
      <c r="F1669" s="67" t="n"/>
      <c r="G1669" s="81">
        <f>IF(D1669="","",IFERROR(INDEX('Stock pièces'!$I$5:$I$404,MATCH(D1669,'Stock pièces'!$A$5:$A$404,0)),0))</f>
        <v/>
      </c>
      <c r="H1669" s="81">
        <f>IF(D1669="","",N(F1669)*N(G1669))</f>
        <v/>
      </c>
      <c r="I1669" s="7" t="n"/>
      <c r="J1669" s="9">
        <f>IF(I1669="","",IFERROR(INDEX('Ordres de travail'!$D$5:$D$3004,MATCH(I1669,'Ordres de travail'!$A$5:$A$3004,0)),""))</f>
        <v/>
      </c>
      <c r="K1669" s="9">
        <f>IF(D1669="","",IFERROR(INDEX('Stock pièces'!$D$5:$D$404,MATCH(D1669,'Stock pièces'!$A$5:$A$404,0)),""))</f>
        <v/>
      </c>
      <c r="L1669" s="7" t="n"/>
      <c r="M1669" s="7" t="n"/>
    </row>
    <row r="1670">
      <c r="A1670" s="7" t="n"/>
      <c r="B1670" s="75" t="n"/>
      <c r="C1670" s="7" t="n"/>
      <c r="D1670" s="7" t="n"/>
      <c r="E1670" s="9">
        <f>IF(D1670="","",IFERROR(INDEX('Stock pièces'!$B$5:$B$404,MATCH(D1670,'Stock pièces'!$A$5:$A$404,0)),"Réf. inconnue"))</f>
        <v/>
      </c>
      <c r="F1670" s="67" t="n"/>
      <c r="G1670" s="81">
        <f>IF(D1670="","",IFERROR(INDEX('Stock pièces'!$I$5:$I$404,MATCH(D1670,'Stock pièces'!$A$5:$A$404,0)),0))</f>
        <v/>
      </c>
      <c r="H1670" s="81">
        <f>IF(D1670="","",N(F1670)*N(G1670))</f>
        <v/>
      </c>
      <c r="I1670" s="7" t="n"/>
      <c r="J1670" s="9">
        <f>IF(I1670="","",IFERROR(INDEX('Ordres de travail'!$D$5:$D$3004,MATCH(I1670,'Ordres de travail'!$A$5:$A$3004,0)),""))</f>
        <v/>
      </c>
      <c r="K1670" s="9">
        <f>IF(D1670="","",IFERROR(INDEX('Stock pièces'!$D$5:$D$404,MATCH(D1670,'Stock pièces'!$A$5:$A$404,0)),""))</f>
        <v/>
      </c>
      <c r="L1670" s="7" t="n"/>
      <c r="M1670" s="7" t="n"/>
    </row>
    <row r="1671">
      <c r="A1671" s="7" t="n"/>
      <c r="B1671" s="75" t="n"/>
      <c r="C1671" s="7" t="n"/>
      <c r="D1671" s="7" t="n"/>
      <c r="E1671" s="9">
        <f>IF(D1671="","",IFERROR(INDEX('Stock pièces'!$B$5:$B$404,MATCH(D1671,'Stock pièces'!$A$5:$A$404,0)),"Réf. inconnue"))</f>
        <v/>
      </c>
      <c r="F1671" s="67" t="n"/>
      <c r="G1671" s="81">
        <f>IF(D1671="","",IFERROR(INDEX('Stock pièces'!$I$5:$I$404,MATCH(D1671,'Stock pièces'!$A$5:$A$404,0)),0))</f>
        <v/>
      </c>
      <c r="H1671" s="81">
        <f>IF(D1671="","",N(F1671)*N(G1671))</f>
        <v/>
      </c>
      <c r="I1671" s="7" t="n"/>
      <c r="J1671" s="9">
        <f>IF(I1671="","",IFERROR(INDEX('Ordres de travail'!$D$5:$D$3004,MATCH(I1671,'Ordres de travail'!$A$5:$A$3004,0)),""))</f>
        <v/>
      </c>
      <c r="K1671" s="9">
        <f>IF(D1671="","",IFERROR(INDEX('Stock pièces'!$D$5:$D$404,MATCH(D1671,'Stock pièces'!$A$5:$A$404,0)),""))</f>
        <v/>
      </c>
      <c r="L1671" s="7" t="n"/>
      <c r="M1671" s="7" t="n"/>
    </row>
    <row r="1672">
      <c r="A1672" s="7" t="n"/>
      <c r="B1672" s="75" t="n"/>
      <c r="C1672" s="7" t="n"/>
      <c r="D1672" s="7" t="n"/>
      <c r="E1672" s="9">
        <f>IF(D1672="","",IFERROR(INDEX('Stock pièces'!$B$5:$B$404,MATCH(D1672,'Stock pièces'!$A$5:$A$404,0)),"Réf. inconnue"))</f>
        <v/>
      </c>
      <c r="F1672" s="67" t="n"/>
      <c r="G1672" s="81">
        <f>IF(D1672="","",IFERROR(INDEX('Stock pièces'!$I$5:$I$404,MATCH(D1672,'Stock pièces'!$A$5:$A$404,0)),0))</f>
        <v/>
      </c>
      <c r="H1672" s="81">
        <f>IF(D1672="","",N(F1672)*N(G1672))</f>
        <v/>
      </c>
      <c r="I1672" s="7" t="n"/>
      <c r="J1672" s="9">
        <f>IF(I1672="","",IFERROR(INDEX('Ordres de travail'!$D$5:$D$3004,MATCH(I1672,'Ordres de travail'!$A$5:$A$3004,0)),""))</f>
        <v/>
      </c>
      <c r="K1672" s="9">
        <f>IF(D1672="","",IFERROR(INDEX('Stock pièces'!$D$5:$D$404,MATCH(D1672,'Stock pièces'!$A$5:$A$404,0)),""))</f>
        <v/>
      </c>
      <c r="L1672" s="7" t="n"/>
      <c r="M1672" s="7" t="n"/>
    </row>
    <row r="1673">
      <c r="A1673" s="7" t="n"/>
      <c r="B1673" s="75" t="n"/>
      <c r="C1673" s="7" t="n"/>
      <c r="D1673" s="7" t="n"/>
      <c r="E1673" s="9">
        <f>IF(D1673="","",IFERROR(INDEX('Stock pièces'!$B$5:$B$404,MATCH(D1673,'Stock pièces'!$A$5:$A$404,0)),"Réf. inconnue"))</f>
        <v/>
      </c>
      <c r="F1673" s="67" t="n"/>
      <c r="G1673" s="81">
        <f>IF(D1673="","",IFERROR(INDEX('Stock pièces'!$I$5:$I$404,MATCH(D1673,'Stock pièces'!$A$5:$A$404,0)),0))</f>
        <v/>
      </c>
      <c r="H1673" s="81">
        <f>IF(D1673="","",N(F1673)*N(G1673))</f>
        <v/>
      </c>
      <c r="I1673" s="7" t="n"/>
      <c r="J1673" s="9">
        <f>IF(I1673="","",IFERROR(INDEX('Ordres de travail'!$D$5:$D$3004,MATCH(I1673,'Ordres de travail'!$A$5:$A$3004,0)),""))</f>
        <v/>
      </c>
      <c r="K1673" s="9">
        <f>IF(D1673="","",IFERROR(INDEX('Stock pièces'!$D$5:$D$404,MATCH(D1673,'Stock pièces'!$A$5:$A$404,0)),""))</f>
        <v/>
      </c>
      <c r="L1673" s="7" t="n"/>
      <c r="M1673" s="7" t="n"/>
    </row>
    <row r="1674">
      <c r="A1674" s="7" t="n"/>
      <c r="B1674" s="75" t="n"/>
      <c r="C1674" s="7" t="n"/>
      <c r="D1674" s="7" t="n"/>
      <c r="E1674" s="9">
        <f>IF(D1674="","",IFERROR(INDEX('Stock pièces'!$B$5:$B$404,MATCH(D1674,'Stock pièces'!$A$5:$A$404,0)),"Réf. inconnue"))</f>
        <v/>
      </c>
      <c r="F1674" s="67" t="n"/>
      <c r="G1674" s="81">
        <f>IF(D1674="","",IFERROR(INDEX('Stock pièces'!$I$5:$I$404,MATCH(D1674,'Stock pièces'!$A$5:$A$404,0)),0))</f>
        <v/>
      </c>
      <c r="H1674" s="81">
        <f>IF(D1674="","",N(F1674)*N(G1674))</f>
        <v/>
      </c>
      <c r="I1674" s="7" t="n"/>
      <c r="J1674" s="9">
        <f>IF(I1674="","",IFERROR(INDEX('Ordres de travail'!$D$5:$D$3004,MATCH(I1674,'Ordres de travail'!$A$5:$A$3004,0)),""))</f>
        <v/>
      </c>
      <c r="K1674" s="9">
        <f>IF(D1674="","",IFERROR(INDEX('Stock pièces'!$D$5:$D$404,MATCH(D1674,'Stock pièces'!$A$5:$A$404,0)),""))</f>
        <v/>
      </c>
      <c r="L1674" s="7" t="n"/>
      <c r="M1674" s="7" t="n"/>
    </row>
    <row r="1675">
      <c r="A1675" s="7" t="n"/>
      <c r="B1675" s="75" t="n"/>
      <c r="C1675" s="7" t="n"/>
      <c r="D1675" s="7" t="n"/>
      <c r="E1675" s="9">
        <f>IF(D1675="","",IFERROR(INDEX('Stock pièces'!$B$5:$B$404,MATCH(D1675,'Stock pièces'!$A$5:$A$404,0)),"Réf. inconnue"))</f>
        <v/>
      </c>
      <c r="F1675" s="67" t="n"/>
      <c r="G1675" s="81">
        <f>IF(D1675="","",IFERROR(INDEX('Stock pièces'!$I$5:$I$404,MATCH(D1675,'Stock pièces'!$A$5:$A$404,0)),0))</f>
        <v/>
      </c>
      <c r="H1675" s="81">
        <f>IF(D1675="","",N(F1675)*N(G1675))</f>
        <v/>
      </c>
      <c r="I1675" s="7" t="n"/>
      <c r="J1675" s="9">
        <f>IF(I1675="","",IFERROR(INDEX('Ordres de travail'!$D$5:$D$3004,MATCH(I1675,'Ordres de travail'!$A$5:$A$3004,0)),""))</f>
        <v/>
      </c>
      <c r="K1675" s="9">
        <f>IF(D1675="","",IFERROR(INDEX('Stock pièces'!$D$5:$D$404,MATCH(D1675,'Stock pièces'!$A$5:$A$404,0)),""))</f>
        <v/>
      </c>
      <c r="L1675" s="7" t="n"/>
      <c r="M1675" s="7" t="n"/>
    </row>
    <row r="1676">
      <c r="A1676" s="7" t="n"/>
      <c r="B1676" s="75" t="n"/>
      <c r="C1676" s="7" t="n"/>
      <c r="D1676" s="7" t="n"/>
      <c r="E1676" s="9">
        <f>IF(D1676="","",IFERROR(INDEX('Stock pièces'!$B$5:$B$404,MATCH(D1676,'Stock pièces'!$A$5:$A$404,0)),"Réf. inconnue"))</f>
        <v/>
      </c>
      <c r="F1676" s="67" t="n"/>
      <c r="G1676" s="81">
        <f>IF(D1676="","",IFERROR(INDEX('Stock pièces'!$I$5:$I$404,MATCH(D1676,'Stock pièces'!$A$5:$A$404,0)),0))</f>
        <v/>
      </c>
      <c r="H1676" s="81">
        <f>IF(D1676="","",N(F1676)*N(G1676))</f>
        <v/>
      </c>
      <c r="I1676" s="7" t="n"/>
      <c r="J1676" s="9">
        <f>IF(I1676="","",IFERROR(INDEX('Ordres de travail'!$D$5:$D$3004,MATCH(I1676,'Ordres de travail'!$A$5:$A$3004,0)),""))</f>
        <v/>
      </c>
      <c r="K1676" s="9">
        <f>IF(D1676="","",IFERROR(INDEX('Stock pièces'!$D$5:$D$404,MATCH(D1676,'Stock pièces'!$A$5:$A$404,0)),""))</f>
        <v/>
      </c>
      <c r="L1676" s="7" t="n"/>
      <c r="M1676" s="7" t="n"/>
    </row>
    <row r="1677">
      <c r="A1677" s="7" t="n"/>
      <c r="B1677" s="75" t="n"/>
      <c r="C1677" s="7" t="n"/>
      <c r="D1677" s="7" t="n"/>
      <c r="E1677" s="9">
        <f>IF(D1677="","",IFERROR(INDEX('Stock pièces'!$B$5:$B$404,MATCH(D1677,'Stock pièces'!$A$5:$A$404,0)),"Réf. inconnue"))</f>
        <v/>
      </c>
      <c r="F1677" s="67" t="n"/>
      <c r="G1677" s="81">
        <f>IF(D1677="","",IFERROR(INDEX('Stock pièces'!$I$5:$I$404,MATCH(D1677,'Stock pièces'!$A$5:$A$404,0)),0))</f>
        <v/>
      </c>
      <c r="H1677" s="81">
        <f>IF(D1677="","",N(F1677)*N(G1677))</f>
        <v/>
      </c>
      <c r="I1677" s="7" t="n"/>
      <c r="J1677" s="9">
        <f>IF(I1677="","",IFERROR(INDEX('Ordres de travail'!$D$5:$D$3004,MATCH(I1677,'Ordres de travail'!$A$5:$A$3004,0)),""))</f>
        <v/>
      </c>
      <c r="K1677" s="9">
        <f>IF(D1677="","",IFERROR(INDEX('Stock pièces'!$D$5:$D$404,MATCH(D1677,'Stock pièces'!$A$5:$A$404,0)),""))</f>
        <v/>
      </c>
      <c r="L1677" s="7" t="n"/>
      <c r="M1677" s="7" t="n"/>
    </row>
    <row r="1678">
      <c r="A1678" s="7" t="n"/>
      <c r="B1678" s="75" t="n"/>
      <c r="C1678" s="7" t="n"/>
      <c r="D1678" s="7" t="n"/>
      <c r="E1678" s="9">
        <f>IF(D1678="","",IFERROR(INDEX('Stock pièces'!$B$5:$B$404,MATCH(D1678,'Stock pièces'!$A$5:$A$404,0)),"Réf. inconnue"))</f>
        <v/>
      </c>
      <c r="F1678" s="67" t="n"/>
      <c r="G1678" s="81">
        <f>IF(D1678="","",IFERROR(INDEX('Stock pièces'!$I$5:$I$404,MATCH(D1678,'Stock pièces'!$A$5:$A$404,0)),0))</f>
        <v/>
      </c>
      <c r="H1678" s="81">
        <f>IF(D1678="","",N(F1678)*N(G1678))</f>
        <v/>
      </c>
      <c r="I1678" s="7" t="n"/>
      <c r="J1678" s="9">
        <f>IF(I1678="","",IFERROR(INDEX('Ordres de travail'!$D$5:$D$3004,MATCH(I1678,'Ordres de travail'!$A$5:$A$3004,0)),""))</f>
        <v/>
      </c>
      <c r="K1678" s="9">
        <f>IF(D1678="","",IFERROR(INDEX('Stock pièces'!$D$5:$D$404,MATCH(D1678,'Stock pièces'!$A$5:$A$404,0)),""))</f>
        <v/>
      </c>
      <c r="L1678" s="7" t="n"/>
      <c r="M1678" s="7" t="n"/>
    </row>
    <row r="1679">
      <c r="A1679" s="7" t="n"/>
      <c r="B1679" s="75" t="n"/>
      <c r="C1679" s="7" t="n"/>
      <c r="D1679" s="7" t="n"/>
      <c r="E1679" s="9">
        <f>IF(D1679="","",IFERROR(INDEX('Stock pièces'!$B$5:$B$404,MATCH(D1679,'Stock pièces'!$A$5:$A$404,0)),"Réf. inconnue"))</f>
        <v/>
      </c>
      <c r="F1679" s="67" t="n"/>
      <c r="G1679" s="81">
        <f>IF(D1679="","",IFERROR(INDEX('Stock pièces'!$I$5:$I$404,MATCH(D1679,'Stock pièces'!$A$5:$A$404,0)),0))</f>
        <v/>
      </c>
      <c r="H1679" s="81">
        <f>IF(D1679="","",N(F1679)*N(G1679))</f>
        <v/>
      </c>
      <c r="I1679" s="7" t="n"/>
      <c r="J1679" s="9">
        <f>IF(I1679="","",IFERROR(INDEX('Ordres de travail'!$D$5:$D$3004,MATCH(I1679,'Ordres de travail'!$A$5:$A$3004,0)),""))</f>
        <v/>
      </c>
      <c r="K1679" s="9">
        <f>IF(D1679="","",IFERROR(INDEX('Stock pièces'!$D$5:$D$404,MATCH(D1679,'Stock pièces'!$A$5:$A$404,0)),""))</f>
        <v/>
      </c>
      <c r="L1679" s="7" t="n"/>
      <c r="M1679" s="7" t="n"/>
    </row>
    <row r="1680">
      <c r="A1680" s="7" t="n"/>
      <c r="B1680" s="75" t="n"/>
      <c r="C1680" s="7" t="n"/>
      <c r="D1680" s="7" t="n"/>
      <c r="E1680" s="9">
        <f>IF(D1680="","",IFERROR(INDEX('Stock pièces'!$B$5:$B$404,MATCH(D1680,'Stock pièces'!$A$5:$A$404,0)),"Réf. inconnue"))</f>
        <v/>
      </c>
      <c r="F1680" s="67" t="n"/>
      <c r="G1680" s="81">
        <f>IF(D1680="","",IFERROR(INDEX('Stock pièces'!$I$5:$I$404,MATCH(D1680,'Stock pièces'!$A$5:$A$404,0)),0))</f>
        <v/>
      </c>
      <c r="H1680" s="81">
        <f>IF(D1680="","",N(F1680)*N(G1680))</f>
        <v/>
      </c>
      <c r="I1680" s="7" t="n"/>
      <c r="J1680" s="9">
        <f>IF(I1680="","",IFERROR(INDEX('Ordres de travail'!$D$5:$D$3004,MATCH(I1680,'Ordres de travail'!$A$5:$A$3004,0)),""))</f>
        <v/>
      </c>
      <c r="K1680" s="9">
        <f>IF(D1680="","",IFERROR(INDEX('Stock pièces'!$D$5:$D$404,MATCH(D1680,'Stock pièces'!$A$5:$A$404,0)),""))</f>
        <v/>
      </c>
      <c r="L1680" s="7" t="n"/>
      <c r="M1680" s="7" t="n"/>
    </row>
    <row r="1681">
      <c r="A1681" s="7" t="n"/>
      <c r="B1681" s="75" t="n"/>
      <c r="C1681" s="7" t="n"/>
      <c r="D1681" s="7" t="n"/>
      <c r="E1681" s="9">
        <f>IF(D1681="","",IFERROR(INDEX('Stock pièces'!$B$5:$B$404,MATCH(D1681,'Stock pièces'!$A$5:$A$404,0)),"Réf. inconnue"))</f>
        <v/>
      </c>
      <c r="F1681" s="67" t="n"/>
      <c r="G1681" s="81">
        <f>IF(D1681="","",IFERROR(INDEX('Stock pièces'!$I$5:$I$404,MATCH(D1681,'Stock pièces'!$A$5:$A$404,0)),0))</f>
        <v/>
      </c>
      <c r="H1681" s="81">
        <f>IF(D1681="","",N(F1681)*N(G1681))</f>
        <v/>
      </c>
      <c r="I1681" s="7" t="n"/>
      <c r="J1681" s="9">
        <f>IF(I1681="","",IFERROR(INDEX('Ordres de travail'!$D$5:$D$3004,MATCH(I1681,'Ordres de travail'!$A$5:$A$3004,0)),""))</f>
        <v/>
      </c>
      <c r="K1681" s="9">
        <f>IF(D1681="","",IFERROR(INDEX('Stock pièces'!$D$5:$D$404,MATCH(D1681,'Stock pièces'!$A$5:$A$404,0)),""))</f>
        <v/>
      </c>
      <c r="L1681" s="7" t="n"/>
      <c r="M1681" s="7" t="n"/>
    </row>
    <row r="1682">
      <c r="A1682" s="7" t="n"/>
      <c r="B1682" s="75" t="n"/>
      <c r="C1682" s="7" t="n"/>
      <c r="D1682" s="7" t="n"/>
      <c r="E1682" s="9">
        <f>IF(D1682="","",IFERROR(INDEX('Stock pièces'!$B$5:$B$404,MATCH(D1682,'Stock pièces'!$A$5:$A$404,0)),"Réf. inconnue"))</f>
        <v/>
      </c>
      <c r="F1682" s="67" t="n"/>
      <c r="G1682" s="81">
        <f>IF(D1682="","",IFERROR(INDEX('Stock pièces'!$I$5:$I$404,MATCH(D1682,'Stock pièces'!$A$5:$A$404,0)),0))</f>
        <v/>
      </c>
      <c r="H1682" s="81">
        <f>IF(D1682="","",N(F1682)*N(G1682))</f>
        <v/>
      </c>
      <c r="I1682" s="7" t="n"/>
      <c r="J1682" s="9">
        <f>IF(I1682="","",IFERROR(INDEX('Ordres de travail'!$D$5:$D$3004,MATCH(I1682,'Ordres de travail'!$A$5:$A$3004,0)),""))</f>
        <v/>
      </c>
      <c r="K1682" s="9">
        <f>IF(D1682="","",IFERROR(INDEX('Stock pièces'!$D$5:$D$404,MATCH(D1682,'Stock pièces'!$A$5:$A$404,0)),""))</f>
        <v/>
      </c>
      <c r="L1682" s="7" t="n"/>
      <c r="M1682" s="7" t="n"/>
    </row>
    <row r="1683">
      <c r="A1683" s="7" t="n"/>
      <c r="B1683" s="75" t="n"/>
      <c r="C1683" s="7" t="n"/>
      <c r="D1683" s="7" t="n"/>
      <c r="E1683" s="9">
        <f>IF(D1683="","",IFERROR(INDEX('Stock pièces'!$B$5:$B$404,MATCH(D1683,'Stock pièces'!$A$5:$A$404,0)),"Réf. inconnue"))</f>
        <v/>
      </c>
      <c r="F1683" s="67" t="n"/>
      <c r="G1683" s="81">
        <f>IF(D1683="","",IFERROR(INDEX('Stock pièces'!$I$5:$I$404,MATCH(D1683,'Stock pièces'!$A$5:$A$404,0)),0))</f>
        <v/>
      </c>
      <c r="H1683" s="81">
        <f>IF(D1683="","",N(F1683)*N(G1683))</f>
        <v/>
      </c>
      <c r="I1683" s="7" t="n"/>
      <c r="J1683" s="9">
        <f>IF(I1683="","",IFERROR(INDEX('Ordres de travail'!$D$5:$D$3004,MATCH(I1683,'Ordres de travail'!$A$5:$A$3004,0)),""))</f>
        <v/>
      </c>
      <c r="K1683" s="9">
        <f>IF(D1683="","",IFERROR(INDEX('Stock pièces'!$D$5:$D$404,MATCH(D1683,'Stock pièces'!$A$5:$A$404,0)),""))</f>
        <v/>
      </c>
      <c r="L1683" s="7" t="n"/>
      <c r="M1683" s="7" t="n"/>
    </row>
    <row r="1684">
      <c r="A1684" s="7" t="n"/>
      <c r="B1684" s="75" t="n"/>
      <c r="C1684" s="7" t="n"/>
      <c r="D1684" s="7" t="n"/>
      <c r="E1684" s="9">
        <f>IF(D1684="","",IFERROR(INDEX('Stock pièces'!$B$5:$B$404,MATCH(D1684,'Stock pièces'!$A$5:$A$404,0)),"Réf. inconnue"))</f>
        <v/>
      </c>
      <c r="F1684" s="67" t="n"/>
      <c r="G1684" s="81">
        <f>IF(D1684="","",IFERROR(INDEX('Stock pièces'!$I$5:$I$404,MATCH(D1684,'Stock pièces'!$A$5:$A$404,0)),0))</f>
        <v/>
      </c>
      <c r="H1684" s="81">
        <f>IF(D1684="","",N(F1684)*N(G1684))</f>
        <v/>
      </c>
      <c r="I1684" s="7" t="n"/>
      <c r="J1684" s="9">
        <f>IF(I1684="","",IFERROR(INDEX('Ordres de travail'!$D$5:$D$3004,MATCH(I1684,'Ordres de travail'!$A$5:$A$3004,0)),""))</f>
        <v/>
      </c>
      <c r="K1684" s="9">
        <f>IF(D1684="","",IFERROR(INDEX('Stock pièces'!$D$5:$D$404,MATCH(D1684,'Stock pièces'!$A$5:$A$404,0)),""))</f>
        <v/>
      </c>
      <c r="L1684" s="7" t="n"/>
      <c r="M1684" s="7" t="n"/>
    </row>
    <row r="1685">
      <c r="A1685" s="7" t="n"/>
      <c r="B1685" s="75" t="n"/>
      <c r="C1685" s="7" t="n"/>
      <c r="D1685" s="7" t="n"/>
      <c r="E1685" s="9">
        <f>IF(D1685="","",IFERROR(INDEX('Stock pièces'!$B$5:$B$404,MATCH(D1685,'Stock pièces'!$A$5:$A$404,0)),"Réf. inconnue"))</f>
        <v/>
      </c>
      <c r="F1685" s="67" t="n"/>
      <c r="G1685" s="81">
        <f>IF(D1685="","",IFERROR(INDEX('Stock pièces'!$I$5:$I$404,MATCH(D1685,'Stock pièces'!$A$5:$A$404,0)),0))</f>
        <v/>
      </c>
      <c r="H1685" s="81">
        <f>IF(D1685="","",N(F1685)*N(G1685))</f>
        <v/>
      </c>
      <c r="I1685" s="7" t="n"/>
      <c r="J1685" s="9">
        <f>IF(I1685="","",IFERROR(INDEX('Ordres de travail'!$D$5:$D$3004,MATCH(I1685,'Ordres de travail'!$A$5:$A$3004,0)),""))</f>
        <v/>
      </c>
      <c r="K1685" s="9">
        <f>IF(D1685="","",IFERROR(INDEX('Stock pièces'!$D$5:$D$404,MATCH(D1685,'Stock pièces'!$A$5:$A$404,0)),""))</f>
        <v/>
      </c>
      <c r="L1685" s="7" t="n"/>
      <c r="M1685" s="7" t="n"/>
    </row>
    <row r="1686">
      <c r="A1686" s="7" t="n"/>
      <c r="B1686" s="75" t="n"/>
      <c r="C1686" s="7" t="n"/>
      <c r="D1686" s="7" t="n"/>
      <c r="E1686" s="9">
        <f>IF(D1686="","",IFERROR(INDEX('Stock pièces'!$B$5:$B$404,MATCH(D1686,'Stock pièces'!$A$5:$A$404,0)),"Réf. inconnue"))</f>
        <v/>
      </c>
      <c r="F1686" s="67" t="n"/>
      <c r="G1686" s="81">
        <f>IF(D1686="","",IFERROR(INDEX('Stock pièces'!$I$5:$I$404,MATCH(D1686,'Stock pièces'!$A$5:$A$404,0)),0))</f>
        <v/>
      </c>
      <c r="H1686" s="81">
        <f>IF(D1686="","",N(F1686)*N(G1686))</f>
        <v/>
      </c>
      <c r="I1686" s="7" t="n"/>
      <c r="J1686" s="9">
        <f>IF(I1686="","",IFERROR(INDEX('Ordres de travail'!$D$5:$D$3004,MATCH(I1686,'Ordres de travail'!$A$5:$A$3004,0)),""))</f>
        <v/>
      </c>
      <c r="K1686" s="9">
        <f>IF(D1686="","",IFERROR(INDEX('Stock pièces'!$D$5:$D$404,MATCH(D1686,'Stock pièces'!$A$5:$A$404,0)),""))</f>
        <v/>
      </c>
      <c r="L1686" s="7" t="n"/>
      <c r="M1686" s="7" t="n"/>
    </row>
    <row r="1687">
      <c r="A1687" s="7" t="n"/>
      <c r="B1687" s="75" t="n"/>
      <c r="C1687" s="7" t="n"/>
      <c r="D1687" s="7" t="n"/>
      <c r="E1687" s="9">
        <f>IF(D1687="","",IFERROR(INDEX('Stock pièces'!$B$5:$B$404,MATCH(D1687,'Stock pièces'!$A$5:$A$404,0)),"Réf. inconnue"))</f>
        <v/>
      </c>
      <c r="F1687" s="67" t="n"/>
      <c r="G1687" s="81">
        <f>IF(D1687="","",IFERROR(INDEX('Stock pièces'!$I$5:$I$404,MATCH(D1687,'Stock pièces'!$A$5:$A$404,0)),0))</f>
        <v/>
      </c>
      <c r="H1687" s="81">
        <f>IF(D1687="","",N(F1687)*N(G1687))</f>
        <v/>
      </c>
      <c r="I1687" s="7" t="n"/>
      <c r="J1687" s="9">
        <f>IF(I1687="","",IFERROR(INDEX('Ordres de travail'!$D$5:$D$3004,MATCH(I1687,'Ordres de travail'!$A$5:$A$3004,0)),""))</f>
        <v/>
      </c>
      <c r="K1687" s="9">
        <f>IF(D1687="","",IFERROR(INDEX('Stock pièces'!$D$5:$D$404,MATCH(D1687,'Stock pièces'!$A$5:$A$404,0)),""))</f>
        <v/>
      </c>
      <c r="L1687" s="7" t="n"/>
      <c r="M1687" s="7" t="n"/>
    </row>
    <row r="1688">
      <c r="A1688" s="7" t="n"/>
      <c r="B1688" s="75" t="n"/>
      <c r="C1688" s="7" t="n"/>
      <c r="D1688" s="7" t="n"/>
      <c r="E1688" s="9">
        <f>IF(D1688="","",IFERROR(INDEX('Stock pièces'!$B$5:$B$404,MATCH(D1688,'Stock pièces'!$A$5:$A$404,0)),"Réf. inconnue"))</f>
        <v/>
      </c>
      <c r="F1688" s="67" t="n"/>
      <c r="G1688" s="81">
        <f>IF(D1688="","",IFERROR(INDEX('Stock pièces'!$I$5:$I$404,MATCH(D1688,'Stock pièces'!$A$5:$A$404,0)),0))</f>
        <v/>
      </c>
      <c r="H1688" s="81">
        <f>IF(D1688="","",N(F1688)*N(G1688))</f>
        <v/>
      </c>
      <c r="I1688" s="7" t="n"/>
      <c r="J1688" s="9">
        <f>IF(I1688="","",IFERROR(INDEX('Ordres de travail'!$D$5:$D$3004,MATCH(I1688,'Ordres de travail'!$A$5:$A$3004,0)),""))</f>
        <v/>
      </c>
      <c r="K1688" s="9">
        <f>IF(D1688="","",IFERROR(INDEX('Stock pièces'!$D$5:$D$404,MATCH(D1688,'Stock pièces'!$A$5:$A$404,0)),""))</f>
        <v/>
      </c>
      <c r="L1688" s="7" t="n"/>
      <c r="M1688" s="7" t="n"/>
    </row>
    <row r="1689">
      <c r="A1689" s="7" t="n"/>
      <c r="B1689" s="75" t="n"/>
      <c r="C1689" s="7" t="n"/>
      <c r="D1689" s="7" t="n"/>
      <c r="E1689" s="9">
        <f>IF(D1689="","",IFERROR(INDEX('Stock pièces'!$B$5:$B$404,MATCH(D1689,'Stock pièces'!$A$5:$A$404,0)),"Réf. inconnue"))</f>
        <v/>
      </c>
      <c r="F1689" s="67" t="n"/>
      <c r="G1689" s="81">
        <f>IF(D1689="","",IFERROR(INDEX('Stock pièces'!$I$5:$I$404,MATCH(D1689,'Stock pièces'!$A$5:$A$404,0)),0))</f>
        <v/>
      </c>
      <c r="H1689" s="81">
        <f>IF(D1689="","",N(F1689)*N(G1689))</f>
        <v/>
      </c>
      <c r="I1689" s="7" t="n"/>
      <c r="J1689" s="9">
        <f>IF(I1689="","",IFERROR(INDEX('Ordres de travail'!$D$5:$D$3004,MATCH(I1689,'Ordres de travail'!$A$5:$A$3004,0)),""))</f>
        <v/>
      </c>
      <c r="K1689" s="9">
        <f>IF(D1689="","",IFERROR(INDEX('Stock pièces'!$D$5:$D$404,MATCH(D1689,'Stock pièces'!$A$5:$A$404,0)),""))</f>
        <v/>
      </c>
      <c r="L1689" s="7" t="n"/>
      <c r="M1689" s="7" t="n"/>
    </row>
    <row r="1690">
      <c r="A1690" s="7" t="n"/>
      <c r="B1690" s="75" t="n"/>
      <c r="C1690" s="7" t="n"/>
      <c r="D1690" s="7" t="n"/>
      <c r="E1690" s="9">
        <f>IF(D1690="","",IFERROR(INDEX('Stock pièces'!$B$5:$B$404,MATCH(D1690,'Stock pièces'!$A$5:$A$404,0)),"Réf. inconnue"))</f>
        <v/>
      </c>
      <c r="F1690" s="67" t="n"/>
      <c r="G1690" s="81">
        <f>IF(D1690="","",IFERROR(INDEX('Stock pièces'!$I$5:$I$404,MATCH(D1690,'Stock pièces'!$A$5:$A$404,0)),0))</f>
        <v/>
      </c>
      <c r="H1690" s="81">
        <f>IF(D1690="","",N(F1690)*N(G1690))</f>
        <v/>
      </c>
      <c r="I1690" s="7" t="n"/>
      <c r="J1690" s="9">
        <f>IF(I1690="","",IFERROR(INDEX('Ordres de travail'!$D$5:$D$3004,MATCH(I1690,'Ordres de travail'!$A$5:$A$3004,0)),""))</f>
        <v/>
      </c>
      <c r="K1690" s="9">
        <f>IF(D1690="","",IFERROR(INDEX('Stock pièces'!$D$5:$D$404,MATCH(D1690,'Stock pièces'!$A$5:$A$404,0)),""))</f>
        <v/>
      </c>
      <c r="L1690" s="7" t="n"/>
      <c r="M1690" s="7" t="n"/>
    </row>
    <row r="1691">
      <c r="A1691" s="7" t="n"/>
      <c r="B1691" s="75" t="n"/>
      <c r="C1691" s="7" t="n"/>
      <c r="D1691" s="7" t="n"/>
      <c r="E1691" s="9">
        <f>IF(D1691="","",IFERROR(INDEX('Stock pièces'!$B$5:$B$404,MATCH(D1691,'Stock pièces'!$A$5:$A$404,0)),"Réf. inconnue"))</f>
        <v/>
      </c>
      <c r="F1691" s="67" t="n"/>
      <c r="G1691" s="81">
        <f>IF(D1691="","",IFERROR(INDEX('Stock pièces'!$I$5:$I$404,MATCH(D1691,'Stock pièces'!$A$5:$A$404,0)),0))</f>
        <v/>
      </c>
      <c r="H1691" s="81">
        <f>IF(D1691="","",N(F1691)*N(G1691))</f>
        <v/>
      </c>
      <c r="I1691" s="7" t="n"/>
      <c r="J1691" s="9">
        <f>IF(I1691="","",IFERROR(INDEX('Ordres de travail'!$D$5:$D$3004,MATCH(I1691,'Ordres de travail'!$A$5:$A$3004,0)),""))</f>
        <v/>
      </c>
      <c r="K1691" s="9">
        <f>IF(D1691="","",IFERROR(INDEX('Stock pièces'!$D$5:$D$404,MATCH(D1691,'Stock pièces'!$A$5:$A$404,0)),""))</f>
        <v/>
      </c>
      <c r="L1691" s="7" t="n"/>
      <c r="M1691" s="7" t="n"/>
    </row>
    <row r="1692">
      <c r="A1692" s="7" t="n"/>
      <c r="B1692" s="75" t="n"/>
      <c r="C1692" s="7" t="n"/>
      <c r="D1692" s="7" t="n"/>
      <c r="E1692" s="9">
        <f>IF(D1692="","",IFERROR(INDEX('Stock pièces'!$B$5:$B$404,MATCH(D1692,'Stock pièces'!$A$5:$A$404,0)),"Réf. inconnue"))</f>
        <v/>
      </c>
      <c r="F1692" s="67" t="n"/>
      <c r="G1692" s="81">
        <f>IF(D1692="","",IFERROR(INDEX('Stock pièces'!$I$5:$I$404,MATCH(D1692,'Stock pièces'!$A$5:$A$404,0)),0))</f>
        <v/>
      </c>
      <c r="H1692" s="81">
        <f>IF(D1692="","",N(F1692)*N(G1692))</f>
        <v/>
      </c>
      <c r="I1692" s="7" t="n"/>
      <c r="J1692" s="9">
        <f>IF(I1692="","",IFERROR(INDEX('Ordres de travail'!$D$5:$D$3004,MATCH(I1692,'Ordres de travail'!$A$5:$A$3004,0)),""))</f>
        <v/>
      </c>
      <c r="K1692" s="9">
        <f>IF(D1692="","",IFERROR(INDEX('Stock pièces'!$D$5:$D$404,MATCH(D1692,'Stock pièces'!$A$5:$A$404,0)),""))</f>
        <v/>
      </c>
      <c r="L1692" s="7" t="n"/>
      <c r="M1692" s="7" t="n"/>
    </row>
    <row r="1693">
      <c r="A1693" s="7" t="n"/>
      <c r="B1693" s="75" t="n"/>
      <c r="C1693" s="7" t="n"/>
      <c r="D1693" s="7" t="n"/>
      <c r="E1693" s="9">
        <f>IF(D1693="","",IFERROR(INDEX('Stock pièces'!$B$5:$B$404,MATCH(D1693,'Stock pièces'!$A$5:$A$404,0)),"Réf. inconnue"))</f>
        <v/>
      </c>
      <c r="F1693" s="67" t="n"/>
      <c r="G1693" s="81">
        <f>IF(D1693="","",IFERROR(INDEX('Stock pièces'!$I$5:$I$404,MATCH(D1693,'Stock pièces'!$A$5:$A$404,0)),0))</f>
        <v/>
      </c>
      <c r="H1693" s="81">
        <f>IF(D1693="","",N(F1693)*N(G1693))</f>
        <v/>
      </c>
      <c r="I1693" s="7" t="n"/>
      <c r="J1693" s="9">
        <f>IF(I1693="","",IFERROR(INDEX('Ordres de travail'!$D$5:$D$3004,MATCH(I1693,'Ordres de travail'!$A$5:$A$3004,0)),""))</f>
        <v/>
      </c>
      <c r="K1693" s="9">
        <f>IF(D1693="","",IFERROR(INDEX('Stock pièces'!$D$5:$D$404,MATCH(D1693,'Stock pièces'!$A$5:$A$404,0)),""))</f>
        <v/>
      </c>
      <c r="L1693" s="7" t="n"/>
      <c r="M1693" s="7" t="n"/>
    </row>
    <row r="1694">
      <c r="A1694" s="7" t="n"/>
      <c r="B1694" s="75" t="n"/>
      <c r="C1694" s="7" t="n"/>
      <c r="D1694" s="7" t="n"/>
      <c r="E1694" s="9">
        <f>IF(D1694="","",IFERROR(INDEX('Stock pièces'!$B$5:$B$404,MATCH(D1694,'Stock pièces'!$A$5:$A$404,0)),"Réf. inconnue"))</f>
        <v/>
      </c>
      <c r="F1694" s="67" t="n"/>
      <c r="G1694" s="81">
        <f>IF(D1694="","",IFERROR(INDEX('Stock pièces'!$I$5:$I$404,MATCH(D1694,'Stock pièces'!$A$5:$A$404,0)),0))</f>
        <v/>
      </c>
      <c r="H1694" s="81">
        <f>IF(D1694="","",N(F1694)*N(G1694))</f>
        <v/>
      </c>
      <c r="I1694" s="7" t="n"/>
      <c r="J1694" s="9">
        <f>IF(I1694="","",IFERROR(INDEX('Ordres de travail'!$D$5:$D$3004,MATCH(I1694,'Ordres de travail'!$A$5:$A$3004,0)),""))</f>
        <v/>
      </c>
      <c r="K1694" s="9">
        <f>IF(D1694="","",IFERROR(INDEX('Stock pièces'!$D$5:$D$404,MATCH(D1694,'Stock pièces'!$A$5:$A$404,0)),""))</f>
        <v/>
      </c>
      <c r="L1694" s="7" t="n"/>
      <c r="M1694" s="7" t="n"/>
    </row>
    <row r="1695">
      <c r="A1695" s="7" t="n"/>
      <c r="B1695" s="75" t="n"/>
      <c r="C1695" s="7" t="n"/>
      <c r="D1695" s="7" t="n"/>
      <c r="E1695" s="9">
        <f>IF(D1695="","",IFERROR(INDEX('Stock pièces'!$B$5:$B$404,MATCH(D1695,'Stock pièces'!$A$5:$A$404,0)),"Réf. inconnue"))</f>
        <v/>
      </c>
      <c r="F1695" s="67" t="n"/>
      <c r="G1695" s="81">
        <f>IF(D1695="","",IFERROR(INDEX('Stock pièces'!$I$5:$I$404,MATCH(D1695,'Stock pièces'!$A$5:$A$404,0)),0))</f>
        <v/>
      </c>
      <c r="H1695" s="81">
        <f>IF(D1695="","",N(F1695)*N(G1695))</f>
        <v/>
      </c>
      <c r="I1695" s="7" t="n"/>
      <c r="J1695" s="9">
        <f>IF(I1695="","",IFERROR(INDEX('Ordres de travail'!$D$5:$D$3004,MATCH(I1695,'Ordres de travail'!$A$5:$A$3004,0)),""))</f>
        <v/>
      </c>
      <c r="K1695" s="9">
        <f>IF(D1695="","",IFERROR(INDEX('Stock pièces'!$D$5:$D$404,MATCH(D1695,'Stock pièces'!$A$5:$A$404,0)),""))</f>
        <v/>
      </c>
      <c r="L1695" s="7" t="n"/>
      <c r="M1695" s="7" t="n"/>
    </row>
    <row r="1696">
      <c r="A1696" s="7" t="n"/>
      <c r="B1696" s="75" t="n"/>
      <c r="C1696" s="7" t="n"/>
      <c r="D1696" s="7" t="n"/>
      <c r="E1696" s="9">
        <f>IF(D1696="","",IFERROR(INDEX('Stock pièces'!$B$5:$B$404,MATCH(D1696,'Stock pièces'!$A$5:$A$404,0)),"Réf. inconnue"))</f>
        <v/>
      </c>
      <c r="F1696" s="67" t="n"/>
      <c r="G1696" s="81">
        <f>IF(D1696="","",IFERROR(INDEX('Stock pièces'!$I$5:$I$404,MATCH(D1696,'Stock pièces'!$A$5:$A$404,0)),0))</f>
        <v/>
      </c>
      <c r="H1696" s="81">
        <f>IF(D1696="","",N(F1696)*N(G1696))</f>
        <v/>
      </c>
      <c r="I1696" s="7" t="n"/>
      <c r="J1696" s="9">
        <f>IF(I1696="","",IFERROR(INDEX('Ordres de travail'!$D$5:$D$3004,MATCH(I1696,'Ordres de travail'!$A$5:$A$3004,0)),""))</f>
        <v/>
      </c>
      <c r="K1696" s="9">
        <f>IF(D1696="","",IFERROR(INDEX('Stock pièces'!$D$5:$D$404,MATCH(D1696,'Stock pièces'!$A$5:$A$404,0)),""))</f>
        <v/>
      </c>
      <c r="L1696" s="7" t="n"/>
      <c r="M1696" s="7" t="n"/>
    </row>
    <row r="1697">
      <c r="A1697" s="7" t="n"/>
      <c r="B1697" s="75" t="n"/>
      <c r="C1697" s="7" t="n"/>
      <c r="D1697" s="7" t="n"/>
      <c r="E1697" s="9">
        <f>IF(D1697="","",IFERROR(INDEX('Stock pièces'!$B$5:$B$404,MATCH(D1697,'Stock pièces'!$A$5:$A$404,0)),"Réf. inconnue"))</f>
        <v/>
      </c>
      <c r="F1697" s="67" t="n"/>
      <c r="G1697" s="81">
        <f>IF(D1697="","",IFERROR(INDEX('Stock pièces'!$I$5:$I$404,MATCH(D1697,'Stock pièces'!$A$5:$A$404,0)),0))</f>
        <v/>
      </c>
      <c r="H1697" s="81">
        <f>IF(D1697="","",N(F1697)*N(G1697))</f>
        <v/>
      </c>
      <c r="I1697" s="7" t="n"/>
      <c r="J1697" s="9">
        <f>IF(I1697="","",IFERROR(INDEX('Ordres de travail'!$D$5:$D$3004,MATCH(I1697,'Ordres de travail'!$A$5:$A$3004,0)),""))</f>
        <v/>
      </c>
      <c r="K1697" s="9">
        <f>IF(D1697="","",IFERROR(INDEX('Stock pièces'!$D$5:$D$404,MATCH(D1697,'Stock pièces'!$A$5:$A$404,0)),""))</f>
        <v/>
      </c>
      <c r="L1697" s="7" t="n"/>
      <c r="M1697" s="7" t="n"/>
    </row>
    <row r="1698">
      <c r="A1698" s="7" t="n"/>
      <c r="B1698" s="75" t="n"/>
      <c r="C1698" s="7" t="n"/>
      <c r="D1698" s="7" t="n"/>
      <c r="E1698" s="9">
        <f>IF(D1698="","",IFERROR(INDEX('Stock pièces'!$B$5:$B$404,MATCH(D1698,'Stock pièces'!$A$5:$A$404,0)),"Réf. inconnue"))</f>
        <v/>
      </c>
      <c r="F1698" s="67" t="n"/>
      <c r="G1698" s="81">
        <f>IF(D1698="","",IFERROR(INDEX('Stock pièces'!$I$5:$I$404,MATCH(D1698,'Stock pièces'!$A$5:$A$404,0)),0))</f>
        <v/>
      </c>
      <c r="H1698" s="81">
        <f>IF(D1698="","",N(F1698)*N(G1698))</f>
        <v/>
      </c>
      <c r="I1698" s="7" t="n"/>
      <c r="J1698" s="9">
        <f>IF(I1698="","",IFERROR(INDEX('Ordres de travail'!$D$5:$D$3004,MATCH(I1698,'Ordres de travail'!$A$5:$A$3004,0)),""))</f>
        <v/>
      </c>
      <c r="K1698" s="9">
        <f>IF(D1698="","",IFERROR(INDEX('Stock pièces'!$D$5:$D$404,MATCH(D1698,'Stock pièces'!$A$5:$A$404,0)),""))</f>
        <v/>
      </c>
      <c r="L1698" s="7" t="n"/>
      <c r="M1698" s="7" t="n"/>
    </row>
    <row r="1699">
      <c r="A1699" s="7" t="n"/>
      <c r="B1699" s="75" t="n"/>
      <c r="C1699" s="7" t="n"/>
      <c r="D1699" s="7" t="n"/>
      <c r="E1699" s="9">
        <f>IF(D1699="","",IFERROR(INDEX('Stock pièces'!$B$5:$B$404,MATCH(D1699,'Stock pièces'!$A$5:$A$404,0)),"Réf. inconnue"))</f>
        <v/>
      </c>
      <c r="F1699" s="67" t="n"/>
      <c r="G1699" s="81">
        <f>IF(D1699="","",IFERROR(INDEX('Stock pièces'!$I$5:$I$404,MATCH(D1699,'Stock pièces'!$A$5:$A$404,0)),0))</f>
        <v/>
      </c>
      <c r="H1699" s="81">
        <f>IF(D1699="","",N(F1699)*N(G1699))</f>
        <v/>
      </c>
      <c r="I1699" s="7" t="n"/>
      <c r="J1699" s="9">
        <f>IF(I1699="","",IFERROR(INDEX('Ordres de travail'!$D$5:$D$3004,MATCH(I1699,'Ordres de travail'!$A$5:$A$3004,0)),""))</f>
        <v/>
      </c>
      <c r="K1699" s="9">
        <f>IF(D1699="","",IFERROR(INDEX('Stock pièces'!$D$5:$D$404,MATCH(D1699,'Stock pièces'!$A$5:$A$404,0)),""))</f>
        <v/>
      </c>
      <c r="L1699" s="7" t="n"/>
      <c r="M1699" s="7" t="n"/>
    </row>
    <row r="1700">
      <c r="A1700" s="7" t="n"/>
      <c r="B1700" s="75" t="n"/>
      <c r="C1700" s="7" t="n"/>
      <c r="D1700" s="7" t="n"/>
      <c r="E1700" s="9">
        <f>IF(D1700="","",IFERROR(INDEX('Stock pièces'!$B$5:$B$404,MATCH(D1700,'Stock pièces'!$A$5:$A$404,0)),"Réf. inconnue"))</f>
        <v/>
      </c>
      <c r="F1700" s="67" t="n"/>
      <c r="G1700" s="81">
        <f>IF(D1700="","",IFERROR(INDEX('Stock pièces'!$I$5:$I$404,MATCH(D1700,'Stock pièces'!$A$5:$A$404,0)),0))</f>
        <v/>
      </c>
      <c r="H1700" s="81">
        <f>IF(D1700="","",N(F1700)*N(G1700))</f>
        <v/>
      </c>
      <c r="I1700" s="7" t="n"/>
      <c r="J1700" s="9">
        <f>IF(I1700="","",IFERROR(INDEX('Ordres de travail'!$D$5:$D$3004,MATCH(I1700,'Ordres de travail'!$A$5:$A$3004,0)),""))</f>
        <v/>
      </c>
      <c r="K1700" s="9">
        <f>IF(D1700="","",IFERROR(INDEX('Stock pièces'!$D$5:$D$404,MATCH(D1700,'Stock pièces'!$A$5:$A$404,0)),""))</f>
        <v/>
      </c>
      <c r="L1700" s="7" t="n"/>
      <c r="M1700" s="7" t="n"/>
    </row>
    <row r="1701">
      <c r="A1701" s="7" t="n"/>
      <c r="B1701" s="75" t="n"/>
      <c r="C1701" s="7" t="n"/>
      <c r="D1701" s="7" t="n"/>
      <c r="E1701" s="9">
        <f>IF(D1701="","",IFERROR(INDEX('Stock pièces'!$B$5:$B$404,MATCH(D1701,'Stock pièces'!$A$5:$A$404,0)),"Réf. inconnue"))</f>
        <v/>
      </c>
      <c r="F1701" s="67" t="n"/>
      <c r="G1701" s="81">
        <f>IF(D1701="","",IFERROR(INDEX('Stock pièces'!$I$5:$I$404,MATCH(D1701,'Stock pièces'!$A$5:$A$404,0)),0))</f>
        <v/>
      </c>
      <c r="H1701" s="81">
        <f>IF(D1701="","",N(F1701)*N(G1701))</f>
        <v/>
      </c>
      <c r="I1701" s="7" t="n"/>
      <c r="J1701" s="9">
        <f>IF(I1701="","",IFERROR(INDEX('Ordres de travail'!$D$5:$D$3004,MATCH(I1701,'Ordres de travail'!$A$5:$A$3004,0)),""))</f>
        <v/>
      </c>
      <c r="K1701" s="9">
        <f>IF(D1701="","",IFERROR(INDEX('Stock pièces'!$D$5:$D$404,MATCH(D1701,'Stock pièces'!$A$5:$A$404,0)),""))</f>
        <v/>
      </c>
      <c r="L1701" s="7" t="n"/>
      <c r="M1701" s="7" t="n"/>
    </row>
    <row r="1702">
      <c r="A1702" s="7" t="n"/>
      <c r="B1702" s="75" t="n"/>
      <c r="C1702" s="7" t="n"/>
      <c r="D1702" s="7" t="n"/>
      <c r="E1702" s="9">
        <f>IF(D1702="","",IFERROR(INDEX('Stock pièces'!$B$5:$B$404,MATCH(D1702,'Stock pièces'!$A$5:$A$404,0)),"Réf. inconnue"))</f>
        <v/>
      </c>
      <c r="F1702" s="67" t="n"/>
      <c r="G1702" s="81">
        <f>IF(D1702="","",IFERROR(INDEX('Stock pièces'!$I$5:$I$404,MATCH(D1702,'Stock pièces'!$A$5:$A$404,0)),0))</f>
        <v/>
      </c>
      <c r="H1702" s="81">
        <f>IF(D1702="","",N(F1702)*N(G1702))</f>
        <v/>
      </c>
      <c r="I1702" s="7" t="n"/>
      <c r="J1702" s="9">
        <f>IF(I1702="","",IFERROR(INDEX('Ordres de travail'!$D$5:$D$3004,MATCH(I1702,'Ordres de travail'!$A$5:$A$3004,0)),""))</f>
        <v/>
      </c>
      <c r="K1702" s="9">
        <f>IF(D1702="","",IFERROR(INDEX('Stock pièces'!$D$5:$D$404,MATCH(D1702,'Stock pièces'!$A$5:$A$404,0)),""))</f>
        <v/>
      </c>
      <c r="L1702" s="7" t="n"/>
      <c r="M1702" s="7" t="n"/>
    </row>
    <row r="1703">
      <c r="A1703" s="7" t="n"/>
      <c r="B1703" s="75" t="n"/>
      <c r="C1703" s="7" t="n"/>
      <c r="D1703" s="7" t="n"/>
      <c r="E1703" s="9">
        <f>IF(D1703="","",IFERROR(INDEX('Stock pièces'!$B$5:$B$404,MATCH(D1703,'Stock pièces'!$A$5:$A$404,0)),"Réf. inconnue"))</f>
        <v/>
      </c>
      <c r="F1703" s="67" t="n"/>
      <c r="G1703" s="81">
        <f>IF(D1703="","",IFERROR(INDEX('Stock pièces'!$I$5:$I$404,MATCH(D1703,'Stock pièces'!$A$5:$A$404,0)),0))</f>
        <v/>
      </c>
      <c r="H1703" s="81">
        <f>IF(D1703="","",N(F1703)*N(G1703))</f>
        <v/>
      </c>
      <c r="I1703" s="7" t="n"/>
      <c r="J1703" s="9">
        <f>IF(I1703="","",IFERROR(INDEX('Ordres de travail'!$D$5:$D$3004,MATCH(I1703,'Ordres de travail'!$A$5:$A$3004,0)),""))</f>
        <v/>
      </c>
      <c r="K1703" s="9">
        <f>IF(D1703="","",IFERROR(INDEX('Stock pièces'!$D$5:$D$404,MATCH(D1703,'Stock pièces'!$A$5:$A$404,0)),""))</f>
        <v/>
      </c>
      <c r="L1703" s="7" t="n"/>
      <c r="M1703" s="7" t="n"/>
    </row>
    <row r="1704">
      <c r="A1704" s="7" t="n"/>
      <c r="B1704" s="75" t="n"/>
      <c r="C1704" s="7" t="n"/>
      <c r="D1704" s="7" t="n"/>
      <c r="E1704" s="9">
        <f>IF(D1704="","",IFERROR(INDEX('Stock pièces'!$B$5:$B$404,MATCH(D1704,'Stock pièces'!$A$5:$A$404,0)),"Réf. inconnue"))</f>
        <v/>
      </c>
      <c r="F1704" s="67" t="n"/>
      <c r="G1704" s="81">
        <f>IF(D1704="","",IFERROR(INDEX('Stock pièces'!$I$5:$I$404,MATCH(D1704,'Stock pièces'!$A$5:$A$404,0)),0))</f>
        <v/>
      </c>
      <c r="H1704" s="81">
        <f>IF(D1704="","",N(F1704)*N(G1704))</f>
        <v/>
      </c>
      <c r="I1704" s="7" t="n"/>
      <c r="J1704" s="9">
        <f>IF(I1704="","",IFERROR(INDEX('Ordres de travail'!$D$5:$D$3004,MATCH(I1704,'Ordres de travail'!$A$5:$A$3004,0)),""))</f>
        <v/>
      </c>
      <c r="K1704" s="9">
        <f>IF(D1704="","",IFERROR(INDEX('Stock pièces'!$D$5:$D$404,MATCH(D1704,'Stock pièces'!$A$5:$A$404,0)),""))</f>
        <v/>
      </c>
      <c r="L1704" s="7" t="n"/>
      <c r="M1704" s="7" t="n"/>
    </row>
    <row r="1705">
      <c r="A1705" s="7" t="n"/>
      <c r="B1705" s="75" t="n"/>
      <c r="C1705" s="7" t="n"/>
      <c r="D1705" s="7" t="n"/>
      <c r="E1705" s="9">
        <f>IF(D1705="","",IFERROR(INDEX('Stock pièces'!$B$5:$B$404,MATCH(D1705,'Stock pièces'!$A$5:$A$404,0)),"Réf. inconnue"))</f>
        <v/>
      </c>
      <c r="F1705" s="67" t="n"/>
      <c r="G1705" s="81">
        <f>IF(D1705="","",IFERROR(INDEX('Stock pièces'!$I$5:$I$404,MATCH(D1705,'Stock pièces'!$A$5:$A$404,0)),0))</f>
        <v/>
      </c>
      <c r="H1705" s="81">
        <f>IF(D1705="","",N(F1705)*N(G1705))</f>
        <v/>
      </c>
      <c r="I1705" s="7" t="n"/>
      <c r="J1705" s="9">
        <f>IF(I1705="","",IFERROR(INDEX('Ordres de travail'!$D$5:$D$3004,MATCH(I1705,'Ordres de travail'!$A$5:$A$3004,0)),""))</f>
        <v/>
      </c>
      <c r="K1705" s="9">
        <f>IF(D1705="","",IFERROR(INDEX('Stock pièces'!$D$5:$D$404,MATCH(D1705,'Stock pièces'!$A$5:$A$404,0)),""))</f>
        <v/>
      </c>
      <c r="L1705" s="7" t="n"/>
      <c r="M1705" s="7" t="n"/>
    </row>
    <row r="1706">
      <c r="A1706" s="7" t="n"/>
      <c r="B1706" s="75" t="n"/>
      <c r="C1706" s="7" t="n"/>
      <c r="D1706" s="7" t="n"/>
      <c r="E1706" s="9">
        <f>IF(D1706="","",IFERROR(INDEX('Stock pièces'!$B$5:$B$404,MATCH(D1706,'Stock pièces'!$A$5:$A$404,0)),"Réf. inconnue"))</f>
        <v/>
      </c>
      <c r="F1706" s="67" t="n"/>
      <c r="G1706" s="81">
        <f>IF(D1706="","",IFERROR(INDEX('Stock pièces'!$I$5:$I$404,MATCH(D1706,'Stock pièces'!$A$5:$A$404,0)),0))</f>
        <v/>
      </c>
      <c r="H1706" s="81">
        <f>IF(D1706="","",N(F1706)*N(G1706))</f>
        <v/>
      </c>
      <c r="I1706" s="7" t="n"/>
      <c r="J1706" s="9">
        <f>IF(I1706="","",IFERROR(INDEX('Ordres de travail'!$D$5:$D$3004,MATCH(I1706,'Ordres de travail'!$A$5:$A$3004,0)),""))</f>
        <v/>
      </c>
      <c r="K1706" s="9">
        <f>IF(D1706="","",IFERROR(INDEX('Stock pièces'!$D$5:$D$404,MATCH(D1706,'Stock pièces'!$A$5:$A$404,0)),""))</f>
        <v/>
      </c>
      <c r="L1706" s="7" t="n"/>
      <c r="M1706" s="7" t="n"/>
    </row>
    <row r="1707">
      <c r="A1707" s="7" t="n"/>
      <c r="B1707" s="75" t="n"/>
      <c r="C1707" s="7" t="n"/>
      <c r="D1707" s="7" t="n"/>
      <c r="E1707" s="9">
        <f>IF(D1707="","",IFERROR(INDEX('Stock pièces'!$B$5:$B$404,MATCH(D1707,'Stock pièces'!$A$5:$A$404,0)),"Réf. inconnue"))</f>
        <v/>
      </c>
      <c r="F1707" s="67" t="n"/>
      <c r="G1707" s="81">
        <f>IF(D1707="","",IFERROR(INDEX('Stock pièces'!$I$5:$I$404,MATCH(D1707,'Stock pièces'!$A$5:$A$404,0)),0))</f>
        <v/>
      </c>
      <c r="H1707" s="81">
        <f>IF(D1707="","",N(F1707)*N(G1707))</f>
        <v/>
      </c>
      <c r="I1707" s="7" t="n"/>
      <c r="J1707" s="9">
        <f>IF(I1707="","",IFERROR(INDEX('Ordres de travail'!$D$5:$D$3004,MATCH(I1707,'Ordres de travail'!$A$5:$A$3004,0)),""))</f>
        <v/>
      </c>
      <c r="K1707" s="9">
        <f>IF(D1707="","",IFERROR(INDEX('Stock pièces'!$D$5:$D$404,MATCH(D1707,'Stock pièces'!$A$5:$A$404,0)),""))</f>
        <v/>
      </c>
      <c r="L1707" s="7" t="n"/>
      <c r="M1707" s="7" t="n"/>
    </row>
    <row r="1708">
      <c r="A1708" s="7" t="n"/>
      <c r="B1708" s="75" t="n"/>
      <c r="C1708" s="7" t="n"/>
      <c r="D1708" s="7" t="n"/>
      <c r="E1708" s="9">
        <f>IF(D1708="","",IFERROR(INDEX('Stock pièces'!$B$5:$B$404,MATCH(D1708,'Stock pièces'!$A$5:$A$404,0)),"Réf. inconnue"))</f>
        <v/>
      </c>
      <c r="F1708" s="67" t="n"/>
      <c r="G1708" s="81">
        <f>IF(D1708="","",IFERROR(INDEX('Stock pièces'!$I$5:$I$404,MATCH(D1708,'Stock pièces'!$A$5:$A$404,0)),0))</f>
        <v/>
      </c>
      <c r="H1708" s="81">
        <f>IF(D1708="","",N(F1708)*N(G1708))</f>
        <v/>
      </c>
      <c r="I1708" s="7" t="n"/>
      <c r="J1708" s="9">
        <f>IF(I1708="","",IFERROR(INDEX('Ordres de travail'!$D$5:$D$3004,MATCH(I1708,'Ordres de travail'!$A$5:$A$3004,0)),""))</f>
        <v/>
      </c>
      <c r="K1708" s="9">
        <f>IF(D1708="","",IFERROR(INDEX('Stock pièces'!$D$5:$D$404,MATCH(D1708,'Stock pièces'!$A$5:$A$404,0)),""))</f>
        <v/>
      </c>
      <c r="L1708" s="7" t="n"/>
      <c r="M1708" s="7" t="n"/>
    </row>
    <row r="1709">
      <c r="A1709" s="7" t="n"/>
      <c r="B1709" s="75" t="n"/>
      <c r="C1709" s="7" t="n"/>
      <c r="D1709" s="7" t="n"/>
      <c r="E1709" s="9">
        <f>IF(D1709="","",IFERROR(INDEX('Stock pièces'!$B$5:$B$404,MATCH(D1709,'Stock pièces'!$A$5:$A$404,0)),"Réf. inconnue"))</f>
        <v/>
      </c>
      <c r="F1709" s="67" t="n"/>
      <c r="G1709" s="81">
        <f>IF(D1709="","",IFERROR(INDEX('Stock pièces'!$I$5:$I$404,MATCH(D1709,'Stock pièces'!$A$5:$A$404,0)),0))</f>
        <v/>
      </c>
      <c r="H1709" s="81">
        <f>IF(D1709="","",N(F1709)*N(G1709))</f>
        <v/>
      </c>
      <c r="I1709" s="7" t="n"/>
      <c r="J1709" s="9">
        <f>IF(I1709="","",IFERROR(INDEX('Ordres de travail'!$D$5:$D$3004,MATCH(I1709,'Ordres de travail'!$A$5:$A$3004,0)),""))</f>
        <v/>
      </c>
      <c r="K1709" s="9">
        <f>IF(D1709="","",IFERROR(INDEX('Stock pièces'!$D$5:$D$404,MATCH(D1709,'Stock pièces'!$A$5:$A$404,0)),""))</f>
        <v/>
      </c>
      <c r="L1709" s="7" t="n"/>
      <c r="M1709" s="7" t="n"/>
    </row>
    <row r="1710">
      <c r="A1710" s="7" t="n"/>
      <c r="B1710" s="75" t="n"/>
      <c r="C1710" s="7" t="n"/>
      <c r="D1710" s="7" t="n"/>
      <c r="E1710" s="9">
        <f>IF(D1710="","",IFERROR(INDEX('Stock pièces'!$B$5:$B$404,MATCH(D1710,'Stock pièces'!$A$5:$A$404,0)),"Réf. inconnue"))</f>
        <v/>
      </c>
      <c r="F1710" s="67" t="n"/>
      <c r="G1710" s="81">
        <f>IF(D1710="","",IFERROR(INDEX('Stock pièces'!$I$5:$I$404,MATCH(D1710,'Stock pièces'!$A$5:$A$404,0)),0))</f>
        <v/>
      </c>
      <c r="H1710" s="81">
        <f>IF(D1710="","",N(F1710)*N(G1710))</f>
        <v/>
      </c>
      <c r="I1710" s="7" t="n"/>
      <c r="J1710" s="9">
        <f>IF(I1710="","",IFERROR(INDEX('Ordres de travail'!$D$5:$D$3004,MATCH(I1710,'Ordres de travail'!$A$5:$A$3004,0)),""))</f>
        <v/>
      </c>
      <c r="K1710" s="9">
        <f>IF(D1710="","",IFERROR(INDEX('Stock pièces'!$D$5:$D$404,MATCH(D1710,'Stock pièces'!$A$5:$A$404,0)),""))</f>
        <v/>
      </c>
      <c r="L1710" s="7" t="n"/>
      <c r="M1710" s="7" t="n"/>
    </row>
    <row r="1711">
      <c r="A1711" s="7" t="n"/>
      <c r="B1711" s="75" t="n"/>
      <c r="C1711" s="7" t="n"/>
      <c r="D1711" s="7" t="n"/>
      <c r="E1711" s="9">
        <f>IF(D1711="","",IFERROR(INDEX('Stock pièces'!$B$5:$B$404,MATCH(D1711,'Stock pièces'!$A$5:$A$404,0)),"Réf. inconnue"))</f>
        <v/>
      </c>
      <c r="F1711" s="67" t="n"/>
      <c r="G1711" s="81">
        <f>IF(D1711="","",IFERROR(INDEX('Stock pièces'!$I$5:$I$404,MATCH(D1711,'Stock pièces'!$A$5:$A$404,0)),0))</f>
        <v/>
      </c>
      <c r="H1711" s="81">
        <f>IF(D1711="","",N(F1711)*N(G1711))</f>
        <v/>
      </c>
      <c r="I1711" s="7" t="n"/>
      <c r="J1711" s="9">
        <f>IF(I1711="","",IFERROR(INDEX('Ordres de travail'!$D$5:$D$3004,MATCH(I1711,'Ordres de travail'!$A$5:$A$3004,0)),""))</f>
        <v/>
      </c>
      <c r="K1711" s="9">
        <f>IF(D1711="","",IFERROR(INDEX('Stock pièces'!$D$5:$D$404,MATCH(D1711,'Stock pièces'!$A$5:$A$404,0)),""))</f>
        <v/>
      </c>
      <c r="L1711" s="7" t="n"/>
      <c r="M1711" s="7" t="n"/>
    </row>
    <row r="1712">
      <c r="A1712" s="7" t="n"/>
      <c r="B1712" s="75" t="n"/>
      <c r="C1712" s="7" t="n"/>
      <c r="D1712" s="7" t="n"/>
      <c r="E1712" s="9">
        <f>IF(D1712="","",IFERROR(INDEX('Stock pièces'!$B$5:$B$404,MATCH(D1712,'Stock pièces'!$A$5:$A$404,0)),"Réf. inconnue"))</f>
        <v/>
      </c>
      <c r="F1712" s="67" t="n"/>
      <c r="G1712" s="81">
        <f>IF(D1712="","",IFERROR(INDEX('Stock pièces'!$I$5:$I$404,MATCH(D1712,'Stock pièces'!$A$5:$A$404,0)),0))</f>
        <v/>
      </c>
      <c r="H1712" s="81">
        <f>IF(D1712="","",N(F1712)*N(G1712))</f>
        <v/>
      </c>
      <c r="I1712" s="7" t="n"/>
      <c r="J1712" s="9">
        <f>IF(I1712="","",IFERROR(INDEX('Ordres de travail'!$D$5:$D$3004,MATCH(I1712,'Ordres de travail'!$A$5:$A$3004,0)),""))</f>
        <v/>
      </c>
      <c r="K1712" s="9">
        <f>IF(D1712="","",IFERROR(INDEX('Stock pièces'!$D$5:$D$404,MATCH(D1712,'Stock pièces'!$A$5:$A$404,0)),""))</f>
        <v/>
      </c>
      <c r="L1712" s="7" t="n"/>
      <c r="M1712" s="7" t="n"/>
    </row>
    <row r="1713">
      <c r="A1713" s="7" t="n"/>
      <c r="B1713" s="75" t="n"/>
      <c r="C1713" s="7" t="n"/>
      <c r="D1713" s="7" t="n"/>
      <c r="E1713" s="9">
        <f>IF(D1713="","",IFERROR(INDEX('Stock pièces'!$B$5:$B$404,MATCH(D1713,'Stock pièces'!$A$5:$A$404,0)),"Réf. inconnue"))</f>
        <v/>
      </c>
      <c r="F1713" s="67" t="n"/>
      <c r="G1713" s="81">
        <f>IF(D1713="","",IFERROR(INDEX('Stock pièces'!$I$5:$I$404,MATCH(D1713,'Stock pièces'!$A$5:$A$404,0)),0))</f>
        <v/>
      </c>
      <c r="H1713" s="81">
        <f>IF(D1713="","",N(F1713)*N(G1713))</f>
        <v/>
      </c>
      <c r="I1713" s="7" t="n"/>
      <c r="J1713" s="9">
        <f>IF(I1713="","",IFERROR(INDEX('Ordres de travail'!$D$5:$D$3004,MATCH(I1713,'Ordres de travail'!$A$5:$A$3004,0)),""))</f>
        <v/>
      </c>
      <c r="K1713" s="9">
        <f>IF(D1713="","",IFERROR(INDEX('Stock pièces'!$D$5:$D$404,MATCH(D1713,'Stock pièces'!$A$5:$A$404,0)),""))</f>
        <v/>
      </c>
      <c r="L1713" s="7" t="n"/>
      <c r="M1713" s="7" t="n"/>
    </row>
    <row r="1714">
      <c r="A1714" s="7" t="n"/>
      <c r="B1714" s="75" t="n"/>
      <c r="C1714" s="7" t="n"/>
      <c r="D1714" s="7" t="n"/>
      <c r="E1714" s="9">
        <f>IF(D1714="","",IFERROR(INDEX('Stock pièces'!$B$5:$B$404,MATCH(D1714,'Stock pièces'!$A$5:$A$404,0)),"Réf. inconnue"))</f>
        <v/>
      </c>
      <c r="F1714" s="67" t="n"/>
      <c r="G1714" s="81">
        <f>IF(D1714="","",IFERROR(INDEX('Stock pièces'!$I$5:$I$404,MATCH(D1714,'Stock pièces'!$A$5:$A$404,0)),0))</f>
        <v/>
      </c>
      <c r="H1714" s="81">
        <f>IF(D1714="","",N(F1714)*N(G1714))</f>
        <v/>
      </c>
      <c r="I1714" s="7" t="n"/>
      <c r="J1714" s="9">
        <f>IF(I1714="","",IFERROR(INDEX('Ordres de travail'!$D$5:$D$3004,MATCH(I1714,'Ordres de travail'!$A$5:$A$3004,0)),""))</f>
        <v/>
      </c>
      <c r="K1714" s="9">
        <f>IF(D1714="","",IFERROR(INDEX('Stock pièces'!$D$5:$D$404,MATCH(D1714,'Stock pièces'!$A$5:$A$404,0)),""))</f>
        <v/>
      </c>
      <c r="L1714" s="7" t="n"/>
      <c r="M1714" s="7" t="n"/>
    </row>
    <row r="1715">
      <c r="A1715" s="7" t="n"/>
      <c r="B1715" s="75" t="n"/>
      <c r="C1715" s="7" t="n"/>
      <c r="D1715" s="7" t="n"/>
      <c r="E1715" s="9">
        <f>IF(D1715="","",IFERROR(INDEX('Stock pièces'!$B$5:$B$404,MATCH(D1715,'Stock pièces'!$A$5:$A$404,0)),"Réf. inconnue"))</f>
        <v/>
      </c>
      <c r="F1715" s="67" t="n"/>
      <c r="G1715" s="81">
        <f>IF(D1715="","",IFERROR(INDEX('Stock pièces'!$I$5:$I$404,MATCH(D1715,'Stock pièces'!$A$5:$A$404,0)),0))</f>
        <v/>
      </c>
      <c r="H1715" s="81">
        <f>IF(D1715="","",N(F1715)*N(G1715))</f>
        <v/>
      </c>
      <c r="I1715" s="7" t="n"/>
      <c r="J1715" s="9">
        <f>IF(I1715="","",IFERROR(INDEX('Ordres de travail'!$D$5:$D$3004,MATCH(I1715,'Ordres de travail'!$A$5:$A$3004,0)),""))</f>
        <v/>
      </c>
      <c r="K1715" s="9">
        <f>IF(D1715="","",IFERROR(INDEX('Stock pièces'!$D$5:$D$404,MATCH(D1715,'Stock pièces'!$A$5:$A$404,0)),""))</f>
        <v/>
      </c>
      <c r="L1715" s="7" t="n"/>
      <c r="M1715" s="7" t="n"/>
    </row>
    <row r="1716">
      <c r="A1716" s="7" t="n"/>
      <c r="B1716" s="75" t="n"/>
      <c r="C1716" s="7" t="n"/>
      <c r="D1716" s="7" t="n"/>
      <c r="E1716" s="9">
        <f>IF(D1716="","",IFERROR(INDEX('Stock pièces'!$B$5:$B$404,MATCH(D1716,'Stock pièces'!$A$5:$A$404,0)),"Réf. inconnue"))</f>
        <v/>
      </c>
      <c r="F1716" s="67" t="n"/>
      <c r="G1716" s="81">
        <f>IF(D1716="","",IFERROR(INDEX('Stock pièces'!$I$5:$I$404,MATCH(D1716,'Stock pièces'!$A$5:$A$404,0)),0))</f>
        <v/>
      </c>
      <c r="H1716" s="81">
        <f>IF(D1716="","",N(F1716)*N(G1716))</f>
        <v/>
      </c>
      <c r="I1716" s="7" t="n"/>
      <c r="J1716" s="9">
        <f>IF(I1716="","",IFERROR(INDEX('Ordres de travail'!$D$5:$D$3004,MATCH(I1716,'Ordres de travail'!$A$5:$A$3004,0)),""))</f>
        <v/>
      </c>
      <c r="K1716" s="9">
        <f>IF(D1716="","",IFERROR(INDEX('Stock pièces'!$D$5:$D$404,MATCH(D1716,'Stock pièces'!$A$5:$A$404,0)),""))</f>
        <v/>
      </c>
      <c r="L1716" s="7" t="n"/>
      <c r="M1716" s="7" t="n"/>
    </row>
    <row r="1717">
      <c r="A1717" s="7" t="n"/>
      <c r="B1717" s="75" t="n"/>
      <c r="C1717" s="7" t="n"/>
      <c r="D1717" s="7" t="n"/>
      <c r="E1717" s="9">
        <f>IF(D1717="","",IFERROR(INDEX('Stock pièces'!$B$5:$B$404,MATCH(D1717,'Stock pièces'!$A$5:$A$404,0)),"Réf. inconnue"))</f>
        <v/>
      </c>
      <c r="F1717" s="67" t="n"/>
      <c r="G1717" s="81">
        <f>IF(D1717="","",IFERROR(INDEX('Stock pièces'!$I$5:$I$404,MATCH(D1717,'Stock pièces'!$A$5:$A$404,0)),0))</f>
        <v/>
      </c>
      <c r="H1717" s="81">
        <f>IF(D1717="","",N(F1717)*N(G1717))</f>
        <v/>
      </c>
      <c r="I1717" s="7" t="n"/>
      <c r="J1717" s="9">
        <f>IF(I1717="","",IFERROR(INDEX('Ordres de travail'!$D$5:$D$3004,MATCH(I1717,'Ordres de travail'!$A$5:$A$3004,0)),""))</f>
        <v/>
      </c>
      <c r="K1717" s="9">
        <f>IF(D1717="","",IFERROR(INDEX('Stock pièces'!$D$5:$D$404,MATCH(D1717,'Stock pièces'!$A$5:$A$404,0)),""))</f>
        <v/>
      </c>
      <c r="L1717" s="7" t="n"/>
      <c r="M1717" s="7" t="n"/>
    </row>
    <row r="1718">
      <c r="A1718" s="7" t="n"/>
      <c r="B1718" s="75" t="n"/>
      <c r="C1718" s="7" t="n"/>
      <c r="D1718" s="7" t="n"/>
      <c r="E1718" s="9">
        <f>IF(D1718="","",IFERROR(INDEX('Stock pièces'!$B$5:$B$404,MATCH(D1718,'Stock pièces'!$A$5:$A$404,0)),"Réf. inconnue"))</f>
        <v/>
      </c>
      <c r="F1718" s="67" t="n"/>
      <c r="G1718" s="81">
        <f>IF(D1718="","",IFERROR(INDEX('Stock pièces'!$I$5:$I$404,MATCH(D1718,'Stock pièces'!$A$5:$A$404,0)),0))</f>
        <v/>
      </c>
      <c r="H1718" s="81">
        <f>IF(D1718="","",N(F1718)*N(G1718))</f>
        <v/>
      </c>
      <c r="I1718" s="7" t="n"/>
      <c r="J1718" s="9">
        <f>IF(I1718="","",IFERROR(INDEX('Ordres de travail'!$D$5:$D$3004,MATCH(I1718,'Ordres de travail'!$A$5:$A$3004,0)),""))</f>
        <v/>
      </c>
      <c r="K1718" s="9">
        <f>IF(D1718="","",IFERROR(INDEX('Stock pièces'!$D$5:$D$404,MATCH(D1718,'Stock pièces'!$A$5:$A$404,0)),""))</f>
        <v/>
      </c>
      <c r="L1718" s="7" t="n"/>
      <c r="M1718" s="7" t="n"/>
    </row>
    <row r="1719">
      <c r="A1719" s="7" t="n"/>
      <c r="B1719" s="75" t="n"/>
      <c r="C1719" s="7" t="n"/>
      <c r="D1719" s="7" t="n"/>
      <c r="E1719" s="9">
        <f>IF(D1719="","",IFERROR(INDEX('Stock pièces'!$B$5:$B$404,MATCH(D1719,'Stock pièces'!$A$5:$A$404,0)),"Réf. inconnue"))</f>
        <v/>
      </c>
      <c r="F1719" s="67" t="n"/>
      <c r="G1719" s="81">
        <f>IF(D1719="","",IFERROR(INDEX('Stock pièces'!$I$5:$I$404,MATCH(D1719,'Stock pièces'!$A$5:$A$404,0)),0))</f>
        <v/>
      </c>
      <c r="H1719" s="81">
        <f>IF(D1719="","",N(F1719)*N(G1719))</f>
        <v/>
      </c>
      <c r="I1719" s="7" t="n"/>
      <c r="J1719" s="9">
        <f>IF(I1719="","",IFERROR(INDEX('Ordres de travail'!$D$5:$D$3004,MATCH(I1719,'Ordres de travail'!$A$5:$A$3004,0)),""))</f>
        <v/>
      </c>
      <c r="K1719" s="9">
        <f>IF(D1719="","",IFERROR(INDEX('Stock pièces'!$D$5:$D$404,MATCH(D1719,'Stock pièces'!$A$5:$A$404,0)),""))</f>
        <v/>
      </c>
      <c r="L1719" s="7" t="n"/>
      <c r="M1719" s="7" t="n"/>
    </row>
    <row r="1720">
      <c r="A1720" s="7" t="n"/>
      <c r="B1720" s="75" t="n"/>
      <c r="C1720" s="7" t="n"/>
      <c r="D1720" s="7" t="n"/>
      <c r="E1720" s="9">
        <f>IF(D1720="","",IFERROR(INDEX('Stock pièces'!$B$5:$B$404,MATCH(D1720,'Stock pièces'!$A$5:$A$404,0)),"Réf. inconnue"))</f>
        <v/>
      </c>
      <c r="F1720" s="67" t="n"/>
      <c r="G1720" s="81">
        <f>IF(D1720="","",IFERROR(INDEX('Stock pièces'!$I$5:$I$404,MATCH(D1720,'Stock pièces'!$A$5:$A$404,0)),0))</f>
        <v/>
      </c>
      <c r="H1720" s="81">
        <f>IF(D1720="","",N(F1720)*N(G1720))</f>
        <v/>
      </c>
      <c r="I1720" s="7" t="n"/>
      <c r="J1720" s="9">
        <f>IF(I1720="","",IFERROR(INDEX('Ordres de travail'!$D$5:$D$3004,MATCH(I1720,'Ordres de travail'!$A$5:$A$3004,0)),""))</f>
        <v/>
      </c>
      <c r="K1720" s="9">
        <f>IF(D1720="","",IFERROR(INDEX('Stock pièces'!$D$5:$D$404,MATCH(D1720,'Stock pièces'!$A$5:$A$404,0)),""))</f>
        <v/>
      </c>
      <c r="L1720" s="7" t="n"/>
      <c r="M1720" s="7" t="n"/>
    </row>
    <row r="1721">
      <c r="A1721" s="7" t="n"/>
      <c r="B1721" s="75" t="n"/>
      <c r="C1721" s="7" t="n"/>
      <c r="D1721" s="7" t="n"/>
      <c r="E1721" s="9">
        <f>IF(D1721="","",IFERROR(INDEX('Stock pièces'!$B$5:$B$404,MATCH(D1721,'Stock pièces'!$A$5:$A$404,0)),"Réf. inconnue"))</f>
        <v/>
      </c>
      <c r="F1721" s="67" t="n"/>
      <c r="G1721" s="81">
        <f>IF(D1721="","",IFERROR(INDEX('Stock pièces'!$I$5:$I$404,MATCH(D1721,'Stock pièces'!$A$5:$A$404,0)),0))</f>
        <v/>
      </c>
      <c r="H1721" s="81">
        <f>IF(D1721="","",N(F1721)*N(G1721))</f>
        <v/>
      </c>
      <c r="I1721" s="7" t="n"/>
      <c r="J1721" s="9">
        <f>IF(I1721="","",IFERROR(INDEX('Ordres de travail'!$D$5:$D$3004,MATCH(I1721,'Ordres de travail'!$A$5:$A$3004,0)),""))</f>
        <v/>
      </c>
      <c r="K1721" s="9">
        <f>IF(D1721="","",IFERROR(INDEX('Stock pièces'!$D$5:$D$404,MATCH(D1721,'Stock pièces'!$A$5:$A$404,0)),""))</f>
        <v/>
      </c>
      <c r="L1721" s="7" t="n"/>
      <c r="M1721" s="7" t="n"/>
    </row>
    <row r="1722">
      <c r="A1722" s="7" t="n"/>
      <c r="B1722" s="75" t="n"/>
      <c r="C1722" s="7" t="n"/>
      <c r="D1722" s="7" t="n"/>
      <c r="E1722" s="9">
        <f>IF(D1722="","",IFERROR(INDEX('Stock pièces'!$B$5:$B$404,MATCH(D1722,'Stock pièces'!$A$5:$A$404,0)),"Réf. inconnue"))</f>
        <v/>
      </c>
      <c r="F1722" s="67" t="n"/>
      <c r="G1722" s="81">
        <f>IF(D1722="","",IFERROR(INDEX('Stock pièces'!$I$5:$I$404,MATCH(D1722,'Stock pièces'!$A$5:$A$404,0)),0))</f>
        <v/>
      </c>
      <c r="H1722" s="81">
        <f>IF(D1722="","",N(F1722)*N(G1722))</f>
        <v/>
      </c>
      <c r="I1722" s="7" t="n"/>
      <c r="J1722" s="9">
        <f>IF(I1722="","",IFERROR(INDEX('Ordres de travail'!$D$5:$D$3004,MATCH(I1722,'Ordres de travail'!$A$5:$A$3004,0)),""))</f>
        <v/>
      </c>
      <c r="K1722" s="9">
        <f>IF(D1722="","",IFERROR(INDEX('Stock pièces'!$D$5:$D$404,MATCH(D1722,'Stock pièces'!$A$5:$A$404,0)),""))</f>
        <v/>
      </c>
      <c r="L1722" s="7" t="n"/>
      <c r="M1722" s="7" t="n"/>
    </row>
    <row r="1723">
      <c r="A1723" s="7" t="n"/>
      <c r="B1723" s="75" t="n"/>
      <c r="C1723" s="7" t="n"/>
      <c r="D1723" s="7" t="n"/>
      <c r="E1723" s="9">
        <f>IF(D1723="","",IFERROR(INDEX('Stock pièces'!$B$5:$B$404,MATCH(D1723,'Stock pièces'!$A$5:$A$404,0)),"Réf. inconnue"))</f>
        <v/>
      </c>
      <c r="F1723" s="67" t="n"/>
      <c r="G1723" s="81">
        <f>IF(D1723="","",IFERROR(INDEX('Stock pièces'!$I$5:$I$404,MATCH(D1723,'Stock pièces'!$A$5:$A$404,0)),0))</f>
        <v/>
      </c>
      <c r="H1723" s="81">
        <f>IF(D1723="","",N(F1723)*N(G1723))</f>
        <v/>
      </c>
      <c r="I1723" s="7" t="n"/>
      <c r="J1723" s="9">
        <f>IF(I1723="","",IFERROR(INDEX('Ordres de travail'!$D$5:$D$3004,MATCH(I1723,'Ordres de travail'!$A$5:$A$3004,0)),""))</f>
        <v/>
      </c>
      <c r="K1723" s="9">
        <f>IF(D1723="","",IFERROR(INDEX('Stock pièces'!$D$5:$D$404,MATCH(D1723,'Stock pièces'!$A$5:$A$404,0)),""))</f>
        <v/>
      </c>
      <c r="L1723" s="7" t="n"/>
      <c r="M1723" s="7" t="n"/>
    </row>
    <row r="1724">
      <c r="A1724" s="7" t="n"/>
      <c r="B1724" s="75" t="n"/>
      <c r="C1724" s="7" t="n"/>
      <c r="D1724" s="7" t="n"/>
      <c r="E1724" s="9">
        <f>IF(D1724="","",IFERROR(INDEX('Stock pièces'!$B$5:$B$404,MATCH(D1724,'Stock pièces'!$A$5:$A$404,0)),"Réf. inconnue"))</f>
        <v/>
      </c>
      <c r="F1724" s="67" t="n"/>
      <c r="G1724" s="81">
        <f>IF(D1724="","",IFERROR(INDEX('Stock pièces'!$I$5:$I$404,MATCH(D1724,'Stock pièces'!$A$5:$A$404,0)),0))</f>
        <v/>
      </c>
      <c r="H1724" s="81">
        <f>IF(D1724="","",N(F1724)*N(G1724))</f>
        <v/>
      </c>
      <c r="I1724" s="7" t="n"/>
      <c r="J1724" s="9">
        <f>IF(I1724="","",IFERROR(INDEX('Ordres de travail'!$D$5:$D$3004,MATCH(I1724,'Ordres de travail'!$A$5:$A$3004,0)),""))</f>
        <v/>
      </c>
      <c r="K1724" s="9">
        <f>IF(D1724="","",IFERROR(INDEX('Stock pièces'!$D$5:$D$404,MATCH(D1724,'Stock pièces'!$A$5:$A$404,0)),""))</f>
        <v/>
      </c>
      <c r="L1724" s="7" t="n"/>
      <c r="M1724" s="7" t="n"/>
    </row>
    <row r="1725">
      <c r="A1725" s="7" t="n"/>
      <c r="B1725" s="75" t="n"/>
      <c r="C1725" s="7" t="n"/>
      <c r="D1725" s="7" t="n"/>
      <c r="E1725" s="9">
        <f>IF(D1725="","",IFERROR(INDEX('Stock pièces'!$B$5:$B$404,MATCH(D1725,'Stock pièces'!$A$5:$A$404,0)),"Réf. inconnue"))</f>
        <v/>
      </c>
      <c r="F1725" s="67" t="n"/>
      <c r="G1725" s="81">
        <f>IF(D1725="","",IFERROR(INDEX('Stock pièces'!$I$5:$I$404,MATCH(D1725,'Stock pièces'!$A$5:$A$404,0)),0))</f>
        <v/>
      </c>
      <c r="H1725" s="81">
        <f>IF(D1725="","",N(F1725)*N(G1725))</f>
        <v/>
      </c>
      <c r="I1725" s="7" t="n"/>
      <c r="J1725" s="9">
        <f>IF(I1725="","",IFERROR(INDEX('Ordres de travail'!$D$5:$D$3004,MATCH(I1725,'Ordres de travail'!$A$5:$A$3004,0)),""))</f>
        <v/>
      </c>
      <c r="K1725" s="9">
        <f>IF(D1725="","",IFERROR(INDEX('Stock pièces'!$D$5:$D$404,MATCH(D1725,'Stock pièces'!$A$5:$A$404,0)),""))</f>
        <v/>
      </c>
      <c r="L1725" s="7" t="n"/>
      <c r="M1725" s="7" t="n"/>
    </row>
    <row r="1726">
      <c r="A1726" s="7" t="n"/>
      <c r="B1726" s="75" t="n"/>
      <c r="C1726" s="7" t="n"/>
      <c r="D1726" s="7" t="n"/>
      <c r="E1726" s="9">
        <f>IF(D1726="","",IFERROR(INDEX('Stock pièces'!$B$5:$B$404,MATCH(D1726,'Stock pièces'!$A$5:$A$404,0)),"Réf. inconnue"))</f>
        <v/>
      </c>
      <c r="F1726" s="67" t="n"/>
      <c r="G1726" s="81">
        <f>IF(D1726="","",IFERROR(INDEX('Stock pièces'!$I$5:$I$404,MATCH(D1726,'Stock pièces'!$A$5:$A$404,0)),0))</f>
        <v/>
      </c>
      <c r="H1726" s="81">
        <f>IF(D1726="","",N(F1726)*N(G1726))</f>
        <v/>
      </c>
      <c r="I1726" s="7" t="n"/>
      <c r="J1726" s="9">
        <f>IF(I1726="","",IFERROR(INDEX('Ordres de travail'!$D$5:$D$3004,MATCH(I1726,'Ordres de travail'!$A$5:$A$3004,0)),""))</f>
        <v/>
      </c>
      <c r="K1726" s="9">
        <f>IF(D1726="","",IFERROR(INDEX('Stock pièces'!$D$5:$D$404,MATCH(D1726,'Stock pièces'!$A$5:$A$404,0)),""))</f>
        <v/>
      </c>
      <c r="L1726" s="7" t="n"/>
      <c r="M1726" s="7" t="n"/>
    </row>
    <row r="1727">
      <c r="A1727" s="7" t="n"/>
      <c r="B1727" s="75" t="n"/>
      <c r="C1727" s="7" t="n"/>
      <c r="D1727" s="7" t="n"/>
      <c r="E1727" s="9">
        <f>IF(D1727="","",IFERROR(INDEX('Stock pièces'!$B$5:$B$404,MATCH(D1727,'Stock pièces'!$A$5:$A$404,0)),"Réf. inconnue"))</f>
        <v/>
      </c>
      <c r="F1727" s="67" t="n"/>
      <c r="G1727" s="81">
        <f>IF(D1727="","",IFERROR(INDEX('Stock pièces'!$I$5:$I$404,MATCH(D1727,'Stock pièces'!$A$5:$A$404,0)),0))</f>
        <v/>
      </c>
      <c r="H1727" s="81">
        <f>IF(D1727="","",N(F1727)*N(G1727))</f>
        <v/>
      </c>
      <c r="I1727" s="7" t="n"/>
      <c r="J1727" s="9">
        <f>IF(I1727="","",IFERROR(INDEX('Ordres de travail'!$D$5:$D$3004,MATCH(I1727,'Ordres de travail'!$A$5:$A$3004,0)),""))</f>
        <v/>
      </c>
      <c r="K1727" s="9">
        <f>IF(D1727="","",IFERROR(INDEX('Stock pièces'!$D$5:$D$404,MATCH(D1727,'Stock pièces'!$A$5:$A$404,0)),""))</f>
        <v/>
      </c>
      <c r="L1727" s="7" t="n"/>
      <c r="M1727" s="7" t="n"/>
    </row>
    <row r="1728">
      <c r="A1728" s="7" t="n"/>
      <c r="B1728" s="75" t="n"/>
      <c r="C1728" s="7" t="n"/>
      <c r="D1728" s="7" t="n"/>
      <c r="E1728" s="9">
        <f>IF(D1728="","",IFERROR(INDEX('Stock pièces'!$B$5:$B$404,MATCH(D1728,'Stock pièces'!$A$5:$A$404,0)),"Réf. inconnue"))</f>
        <v/>
      </c>
      <c r="F1728" s="67" t="n"/>
      <c r="G1728" s="81">
        <f>IF(D1728="","",IFERROR(INDEX('Stock pièces'!$I$5:$I$404,MATCH(D1728,'Stock pièces'!$A$5:$A$404,0)),0))</f>
        <v/>
      </c>
      <c r="H1728" s="81">
        <f>IF(D1728="","",N(F1728)*N(G1728))</f>
        <v/>
      </c>
      <c r="I1728" s="7" t="n"/>
      <c r="J1728" s="9">
        <f>IF(I1728="","",IFERROR(INDEX('Ordres de travail'!$D$5:$D$3004,MATCH(I1728,'Ordres de travail'!$A$5:$A$3004,0)),""))</f>
        <v/>
      </c>
      <c r="K1728" s="9">
        <f>IF(D1728="","",IFERROR(INDEX('Stock pièces'!$D$5:$D$404,MATCH(D1728,'Stock pièces'!$A$5:$A$404,0)),""))</f>
        <v/>
      </c>
      <c r="L1728" s="7" t="n"/>
      <c r="M1728" s="7" t="n"/>
    </row>
    <row r="1729">
      <c r="A1729" s="7" t="n"/>
      <c r="B1729" s="75" t="n"/>
      <c r="C1729" s="7" t="n"/>
      <c r="D1729" s="7" t="n"/>
      <c r="E1729" s="9">
        <f>IF(D1729="","",IFERROR(INDEX('Stock pièces'!$B$5:$B$404,MATCH(D1729,'Stock pièces'!$A$5:$A$404,0)),"Réf. inconnue"))</f>
        <v/>
      </c>
      <c r="F1729" s="67" t="n"/>
      <c r="G1729" s="81">
        <f>IF(D1729="","",IFERROR(INDEX('Stock pièces'!$I$5:$I$404,MATCH(D1729,'Stock pièces'!$A$5:$A$404,0)),0))</f>
        <v/>
      </c>
      <c r="H1729" s="81">
        <f>IF(D1729="","",N(F1729)*N(G1729))</f>
        <v/>
      </c>
      <c r="I1729" s="7" t="n"/>
      <c r="J1729" s="9">
        <f>IF(I1729="","",IFERROR(INDEX('Ordres de travail'!$D$5:$D$3004,MATCH(I1729,'Ordres de travail'!$A$5:$A$3004,0)),""))</f>
        <v/>
      </c>
      <c r="K1729" s="9">
        <f>IF(D1729="","",IFERROR(INDEX('Stock pièces'!$D$5:$D$404,MATCH(D1729,'Stock pièces'!$A$5:$A$404,0)),""))</f>
        <v/>
      </c>
      <c r="L1729" s="7" t="n"/>
      <c r="M1729" s="7" t="n"/>
    </row>
    <row r="1730">
      <c r="A1730" s="7" t="n"/>
      <c r="B1730" s="75" t="n"/>
      <c r="C1730" s="7" t="n"/>
      <c r="D1730" s="7" t="n"/>
      <c r="E1730" s="9">
        <f>IF(D1730="","",IFERROR(INDEX('Stock pièces'!$B$5:$B$404,MATCH(D1730,'Stock pièces'!$A$5:$A$404,0)),"Réf. inconnue"))</f>
        <v/>
      </c>
      <c r="F1730" s="67" t="n"/>
      <c r="G1730" s="81">
        <f>IF(D1730="","",IFERROR(INDEX('Stock pièces'!$I$5:$I$404,MATCH(D1730,'Stock pièces'!$A$5:$A$404,0)),0))</f>
        <v/>
      </c>
      <c r="H1730" s="81">
        <f>IF(D1730="","",N(F1730)*N(G1730))</f>
        <v/>
      </c>
      <c r="I1730" s="7" t="n"/>
      <c r="J1730" s="9">
        <f>IF(I1730="","",IFERROR(INDEX('Ordres de travail'!$D$5:$D$3004,MATCH(I1730,'Ordres de travail'!$A$5:$A$3004,0)),""))</f>
        <v/>
      </c>
      <c r="K1730" s="9">
        <f>IF(D1730="","",IFERROR(INDEX('Stock pièces'!$D$5:$D$404,MATCH(D1730,'Stock pièces'!$A$5:$A$404,0)),""))</f>
        <v/>
      </c>
      <c r="L1730" s="7" t="n"/>
      <c r="M1730" s="7" t="n"/>
    </row>
    <row r="1731">
      <c r="A1731" s="7" t="n"/>
      <c r="B1731" s="75" t="n"/>
      <c r="C1731" s="7" t="n"/>
      <c r="D1731" s="7" t="n"/>
      <c r="E1731" s="9">
        <f>IF(D1731="","",IFERROR(INDEX('Stock pièces'!$B$5:$B$404,MATCH(D1731,'Stock pièces'!$A$5:$A$404,0)),"Réf. inconnue"))</f>
        <v/>
      </c>
      <c r="F1731" s="67" t="n"/>
      <c r="G1731" s="81">
        <f>IF(D1731="","",IFERROR(INDEX('Stock pièces'!$I$5:$I$404,MATCH(D1731,'Stock pièces'!$A$5:$A$404,0)),0))</f>
        <v/>
      </c>
      <c r="H1731" s="81">
        <f>IF(D1731="","",N(F1731)*N(G1731))</f>
        <v/>
      </c>
      <c r="I1731" s="7" t="n"/>
      <c r="J1731" s="9">
        <f>IF(I1731="","",IFERROR(INDEX('Ordres de travail'!$D$5:$D$3004,MATCH(I1731,'Ordres de travail'!$A$5:$A$3004,0)),""))</f>
        <v/>
      </c>
      <c r="K1731" s="9">
        <f>IF(D1731="","",IFERROR(INDEX('Stock pièces'!$D$5:$D$404,MATCH(D1731,'Stock pièces'!$A$5:$A$404,0)),""))</f>
        <v/>
      </c>
      <c r="L1731" s="7" t="n"/>
      <c r="M1731" s="7" t="n"/>
    </row>
    <row r="1732">
      <c r="A1732" s="7" t="n"/>
      <c r="B1732" s="75" t="n"/>
      <c r="C1732" s="7" t="n"/>
      <c r="D1732" s="7" t="n"/>
      <c r="E1732" s="9">
        <f>IF(D1732="","",IFERROR(INDEX('Stock pièces'!$B$5:$B$404,MATCH(D1732,'Stock pièces'!$A$5:$A$404,0)),"Réf. inconnue"))</f>
        <v/>
      </c>
      <c r="F1732" s="67" t="n"/>
      <c r="G1732" s="81">
        <f>IF(D1732="","",IFERROR(INDEX('Stock pièces'!$I$5:$I$404,MATCH(D1732,'Stock pièces'!$A$5:$A$404,0)),0))</f>
        <v/>
      </c>
      <c r="H1732" s="81">
        <f>IF(D1732="","",N(F1732)*N(G1732))</f>
        <v/>
      </c>
      <c r="I1732" s="7" t="n"/>
      <c r="J1732" s="9">
        <f>IF(I1732="","",IFERROR(INDEX('Ordres de travail'!$D$5:$D$3004,MATCH(I1732,'Ordres de travail'!$A$5:$A$3004,0)),""))</f>
        <v/>
      </c>
      <c r="K1732" s="9">
        <f>IF(D1732="","",IFERROR(INDEX('Stock pièces'!$D$5:$D$404,MATCH(D1732,'Stock pièces'!$A$5:$A$404,0)),""))</f>
        <v/>
      </c>
      <c r="L1732" s="7" t="n"/>
      <c r="M1732" s="7" t="n"/>
    </row>
    <row r="1733">
      <c r="A1733" s="7" t="n"/>
      <c r="B1733" s="75" t="n"/>
      <c r="C1733" s="7" t="n"/>
      <c r="D1733" s="7" t="n"/>
      <c r="E1733" s="9">
        <f>IF(D1733="","",IFERROR(INDEX('Stock pièces'!$B$5:$B$404,MATCH(D1733,'Stock pièces'!$A$5:$A$404,0)),"Réf. inconnue"))</f>
        <v/>
      </c>
      <c r="F1733" s="67" t="n"/>
      <c r="G1733" s="81">
        <f>IF(D1733="","",IFERROR(INDEX('Stock pièces'!$I$5:$I$404,MATCH(D1733,'Stock pièces'!$A$5:$A$404,0)),0))</f>
        <v/>
      </c>
      <c r="H1733" s="81">
        <f>IF(D1733="","",N(F1733)*N(G1733))</f>
        <v/>
      </c>
      <c r="I1733" s="7" t="n"/>
      <c r="J1733" s="9">
        <f>IF(I1733="","",IFERROR(INDEX('Ordres de travail'!$D$5:$D$3004,MATCH(I1733,'Ordres de travail'!$A$5:$A$3004,0)),""))</f>
        <v/>
      </c>
      <c r="K1733" s="9">
        <f>IF(D1733="","",IFERROR(INDEX('Stock pièces'!$D$5:$D$404,MATCH(D1733,'Stock pièces'!$A$5:$A$404,0)),""))</f>
        <v/>
      </c>
      <c r="L1733" s="7" t="n"/>
      <c r="M1733" s="7" t="n"/>
    </row>
    <row r="1734">
      <c r="A1734" s="7" t="n"/>
      <c r="B1734" s="75" t="n"/>
      <c r="C1734" s="7" t="n"/>
      <c r="D1734" s="7" t="n"/>
      <c r="E1734" s="9">
        <f>IF(D1734="","",IFERROR(INDEX('Stock pièces'!$B$5:$B$404,MATCH(D1734,'Stock pièces'!$A$5:$A$404,0)),"Réf. inconnue"))</f>
        <v/>
      </c>
      <c r="F1734" s="67" t="n"/>
      <c r="G1734" s="81">
        <f>IF(D1734="","",IFERROR(INDEX('Stock pièces'!$I$5:$I$404,MATCH(D1734,'Stock pièces'!$A$5:$A$404,0)),0))</f>
        <v/>
      </c>
      <c r="H1734" s="81">
        <f>IF(D1734="","",N(F1734)*N(G1734))</f>
        <v/>
      </c>
      <c r="I1734" s="7" t="n"/>
      <c r="J1734" s="9">
        <f>IF(I1734="","",IFERROR(INDEX('Ordres de travail'!$D$5:$D$3004,MATCH(I1734,'Ordres de travail'!$A$5:$A$3004,0)),""))</f>
        <v/>
      </c>
      <c r="K1734" s="9">
        <f>IF(D1734="","",IFERROR(INDEX('Stock pièces'!$D$5:$D$404,MATCH(D1734,'Stock pièces'!$A$5:$A$404,0)),""))</f>
        <v/>
      </c>
      <c r="L1734" s="7" t="n"/>
      <c r="M1734" s="7" t="n"/>
    </row>
    <row r="1735">
      <c r="A1735" s="7" t="n"/>
      <c r="B1735" s="75" t="n"/>
      <c r="C1735" s="7" t="n"/>
      <c r="D1735" s="7" t="n"/>
      <c r="E1735" s="9">
        <f>IF(D1735="","",IFERROR(INDEX('Stock pièces'!$B$5:$B$404,MATCH(D1735,'Stock pièces'!$A$5:$A$404,0)),"Réf. inconnue"))</f>
        <v/>
      </c>
      <c r="F1735" s="67" t="n"/>
      <c r="G1735" s="81">
        <f>IF(D1735="","",IFERROR(INDEX('Stock pièces'!$I$5:$I$404,MATCH(D1735,'Stock pièces'!$A$5:$A$404,0)),0))</f>
        <v/>
      </c>
      <c r="H1735" s="81">
        <f>IF(D1735="","",N(F1735)*N(G1735))</f>
        <v/>
      </c>
      <c r="I1735" s="7" t="n"/>
      <c r="J1735" s="9">
        <f>IF(I1735="","",IFERROR(INDEX('Ordres de travail'!$D$5:$D$3004,MATCH(I1735,'Ordres de travail'!$A$5:$A$3004,0)),""))</f>
        <v/>
      </c>
      <c r="K1735" s="9">
        <f>IF(D1735="","",IFERROR(INDEX('Stock pièces'!$D$5:$D$404,MATCH(D1735,'Stock pièces'!$A$5:$A$404,0)),""))</f>
        <v/>
      </c>
      <c r="L1735" s="7" t="n"/>
      <c r="M1735" s="7" t="n"/>
    </row>
    <row r="1736">
      <c r="A1736" s="7" t="n"/>
      <c r="B1736" s="75" t="n"/>
      <c r="C1736" s="7" t="n"/>
      <c r="D1736" s="7" t="n"/>
      <c r="E1736" s="9">
        <f>IF(D1736="","",IFERROR(INDEX('Stock pièces'!$B$5:$B$404,MATCH(D1736,'Stock pièces'!$A$5:$A$404,0)),"Réf. inconnue"))</f>
        <v/>
      </c>
      <c r="F1736" s="67" t="n"/>
      <c r="G1736" s="81">
        <f>IF(D1736="","",IFERROR(INDEX('Stock pièces'!$I$5:$I$404,MATCH(D1736,'Stock pièces'!$A$5:$A$404,0)),0))</f>
        <v/>
      </c>
      <c r="H1736" s="81">
        <f>IF(D1736="","",N(F1736)*N(G1736))</f>
        <v/>
      </c>
      <c r="I1736" s="7" t="n"/>
      <c r="J1736" s="9">
        <f>IF(I1736="","",IFERROR(INDEX('Ordres de travail'!$D$5:$D$3004,MATCH(I1736,'Ordres de travail'!$A$5:$A$3004,0)),""))</f>
        <v/>
      </c>
      <c r="K1736" s="9">
        <f>IF(D1736="","",IFERROR(INDEX('Stock pièces'!$D$5:$D$404,MATCH(D1736,'Stock pièces'!$A$5:$A$404,0)),""))</f>
        <v/>
      </c>
      <c r="L1736" s="7" t="n"/>
      <c r="M1736" s="7" t="n"/>
    </row>
    <row r="1737">
      <c r="A1737" s="7" t="n"/>
      <c r="B1737" s="75" t="n"/>
      <c r="C1737" s="7" t="n"/>
      <c r="D1737" s="7" t="n"/>
      <c r="E1737" s="9">
        <f>IF(D1737="","",IFERROR(INDEX('Stock pièces'!$B$5:$B$404,MATCH(D1737,'Stock pièces'!$A$5:$A$404,0)),"Réf. inconnue"))</f>
        <v/>
      </c>
      <c r="F1737" s="67" t="n"/>
      <c r="G1737" s="81">
        <f>IF(D1737="","",IFERROR(INDEX('Stock pièces'!$I$5:$I$404,MATCH(D1737,'Stock pièces'!$A$5:$A$404,0)),0))</f>
        <v/>
      </c>
      <c r="H1737" s="81">
        <f>IF(D1737="","",N(F1737)*N(G1737))</f>
        <v/>
      </c>
      <c r="I1737" s="7" t="n"/>
      <c r="J1737" s="9">
        <f>IF(I1737="","",IFERROR(INDEX('Ordres de travail'!$D$5:$D$3004,MATCH(I1737,'Ordres de travail'!$A$5:$A$3004,0)),""))</f>
        <v/>
      </c>
      <c r="K1737" s="9">
        <f>IF(D1737="","",IFERROR(INDEX('Stock pièces'!$D$5:$D$404,MATCH(D1737,'Stock pièces'!$A$5:$A$404,0)),""))</f>
        <v/>
      </c>
      <c r="L1737" s="7" t="n"/>
      <c r="M1737" s="7" t="n"/>
    </row>
    <row r="1738">
      <c r="A1738" s="7" t="n"/>
      <c r="B1738" s="75" t="n"/>
      <c r="C1738" s="7" t="n"/>
      <c r="D1738" s="7" t="n"/>
      <c r="E1738" s="9">
        <f>IF(D1738="","",IFERROR(INDEX('Stock pièces'!$B$5:$B$404,MATCH(D1738,'Stock pièces'!$A$5:$A$404,0)),"Réf. inconnue"))</f>
        <v/>
      </c>
      <c r="F1738" s="67" t="n"/>
      <c r="G1738" s="81">
        <f>IF(D1738="","",IFERROR(INDEX('Stock pièces'!$I$5:$I$404,MATCH(D1738,'Stock pièces'!$A$5:$A$404,0)),0))</f>
        <v/>
      </c>
      <c r="H1738" s="81">
        <f>IF(D1738="","",N(F1738)*N(G1738))</f>
        <v/>
      </c>
      <c r="I1738" s="7" t="n"/>
      <c r="J1738" s="9">
        <f>IF(I1738="","",IFERROR(INDEX('Ordres de travail'!$D$5:$D$3004,MATCH(I1738,'Ordres de travail'!$A$5:$A$3004,0)),""))</f>
        <v/>
      </c>
      <c r="K1738" s="9">
        <f>IF(D1738="","",IFERROR(INDEX('Stock pièces'!$D$5:$D$404,MATCH(D1738,'Stock pièces'!$A$5:$A$404,0)),""))</f>
        <v/>
      </c>
      <c r="L1738" s="7" t="n"/>
      <c r="M1738" s="7" t="n"/>
    </row>
    <row r="1739">
      <c r="A1739" s="7" t="n"/>
      <c r="B1739" s="75" t="n"/>
      <c r="C1739" s="7" t="n"/>
      <c r="D1739" s="7" t="n"/>
      <c r="E1739" s="9">
        <f>IF(D1739="","",IFERROR(INDEX('Stock pièces'!$B$5:$B$404,MATCH(D1739,'Stock pièces'!$A$5:$A$404,0)),"Réf. inconnue"))</f>
        <v/>
      </c>
      <c r="F1739" s="67" t="n"/>
      <c r="G1739" s="81">
        <f>IF(D1739="","",IFERROR(INDEX('Stock pièces'!$I$5:$I$404,MATCH(D1739,'Stock pièces'!$A$5:$A$404,0)),0))</f>
        <v/>
      </c>
      <c r="H1739" s="81">
        <f>IF(D1739="","",N(F1739)*N(G1739))</f>
        <v/>
      </c>
      <c r="I1739" s="7" t="n"/>
      <c r="J1739" s="9">
        <f>IF(I1739="","",IFERROR(INDEX('Ordres de travail'!$D$5:$D$3004,MATCH(I1739,'Ordres de travail'!$A$5:$A$3004,0)),""))</f>
        <v/>
      </c>
      <c r="K1739" s="9">
        <f>IF(D1739="","",IFERROR(INDEX('Stock pièces'!$D$5:$D$404,MATCH(D1739,'Stock pièces'!$A$5:$A$404,0)),""))</f>
        <v/>
      </c>
      <c r="L1739" s="7" t="n"/>
      <c r="M1739" s="7" t="n"/>
    </row>
    <row r="1740">
      <c r="A1740" s="7" t="n"/>
      <c r="B1740" s="75" t="n"/>
      <c r="C1740" s="7" t="n"/>
      <c r="D1740" s="7" t="n"/>
      <c r="E1740" s="9">
        <f>IF(D1740="","",IFERROR(INDEX('Stock pièces'!$B$5:$B$404,MATCH(D1740,'Stock pièces'!$A$5:$A$404,0)),"Réf. inconnue"))</f>
        <v/>
      </c>
      <c r="F1740" s="67" t="n"/>
      <c r="G1740" s="81">
        <f>IF(D1740="","",IFERROR(INDEX('Stock pièces'!$I$5:$I$404,MATCH(D1740,'Stock pièces'!$A$5:$A$404,0)),0))</f>
        <v/>
      </c>
      <c r="H1740" s="81">
        <f>IF(D1740="","",N(F1740)*N(G1740))</f>
        <v/>
      </c>
      <c r="I1740" s="7" t="n"/>
      <c r="J1740" s="9">
        <f>IF(I1740="","",IFERROR(INDEX('Ordres de travail'!$D$5:$D$3004,MATCH(I1740,'Ordres de travail'!$A$5:$A$3004,0)),""))</f>
        <v/>
      </c>
      <c r="K1740" s="9">
        <f>IF(D1740="","",IFERROR(INDEX('Stock pièces'!$D$5:$D$404,MATCH(D1740,'Stock pièces'!$A$5:$A$404,0)),""))</f>
        <v/>
      </c>
      <c r="L1740" s="7" t="n"/>
      <c r="M1740" s="7" t="n"/>
    </row>
    <row r="1741">
      <c r="A1741" s="7" t="n"/>
      <c r="B1741" s="75" t="n"/>
      <c r="C1741" s="7" t="n"/>
      <c r="D1741" s="7" t="n"/>
      <c r="E1741" s="9">
        <f>IF(D1741="","",IFERROR(INDEX('Stock pièces'!$B$5:$B$404,MATCH(D1741,'Stock pièces'!$A$5:$A$404,0)),"Réf. inconnue"))</f>
        <v/>
      </c>
      <c r="F1741" s="67" t="n"/>
      <c r="G1741" s="81">
        <f>IF(D1741="","",IFERROR(INDEX('Stock pièces'!$I$5:$I$404,MATCH(D1741,'Stock pièces'!$A$5:$A$404,0)),0))</f>
        <v/>
      </c>
      <c r="H1741" s="81">
        <f>IF(D1741="","",N(F1741)*N(G1741))</f>
        <v/>
      </c>
      <c r="I1741" s="7" t="n"/>
      <c r="J1741" s="9">
        <f>IF(I1741="","",IFERROR(INDEX('Ordres de travail'!$D$5:$D$3004,MATCH(I1741,'Ordres de travail'!$A$5:$A$3004,0)),""))</f>
        <v/>
      </c>
      <c r="K1741" s="9">
        <f>IF(D1741="","",IFERROR(INDEX('Stock pièces'!$D$5:$D$404,MATCH(D1741,'Stock pièces'!$A$5:$A$404,0)),""))</f>
        <v/>
      </c>
      <c r="L1741" s="7" t="n"/>
      <c r="M1741" s="7" t="n"/>
    </row>
    <row r="1742">
      <c r="A1742" s="7" t="n"/>
      <c r="B1742" s="75" t="n"/>
      <c r="C1742" s="7" t="n"/>
      <c r="D1742" s="7" t="n"/>
      <c r="E1742" s="9">
        <f>IF(D1742="","",IFERROR(INDEX('Stock pièces'!$B$5:$B$404,MATCH(D1742,'Stock pièces'!$A$5:$A$404,0)),"Réf. inconnue"))</f>
        <v/>
      </c>
      <c r="F1742" s="67" t="n"/>
      <c r="G1742" s="81">
        <f>IF(D1742="","",IFERROR(INDEX('Stock pièces'!$I$5:$I$404,MATCH(D1742,'Stock pièces'!$A$5:$A$404,0)),0))</f>
        <v/>
      </c>
      <c r="H1742" s="81">
        <f>IF(D1742="","",N(F1742)*N(G1742))</f>
        <v/>
      </c>
      <c r="I1742" s="7" t="n"/>
      <c r="J1742" s="9">
        <f>IF(I1742="","",IFERROR(INDEX('Ordres de travail'!$D$5:$D$3004,MATCH(I1742,'Ordres de travail'!$A$5:$A$3004,0)),""))</f>
        <v/>
      </c>
      <c r="K1742" s="9">
        <f>IF(D1742="","",IFERROR(INDEX('Stock pièces'!$D$5:$D$404,MATCH(D1742,'Stock pièces'!$A$5:$A$404,0)),""))</f>
        <v/>
      </c>
      <c r="L1742" s="7" t="n"/>
      <c r="M1742" s="7" t="n"/>
    </row>
    <row r="1743">
      <c r="A1743" s="7" t="n"/>
      <c r="B1743" s="75" t="n"/>
      <c r="C1743" s="7" t="n"/>
      <c r="D1743" s="7" t="n"/>
      <c r="E1743" s="9">
        <f>IF(D1743="","",IFERROR(INDEX('Stock pièces'!$B$5:$B$404,MATCH(D1743,'Stock pièces'!$A$5:$A$404,0)),"Réf. inconnue"))</f>
        <v/>
      </c>
      <c r="F1743" s="67" t="n"/>
      <c r="G1743" s="81">
        <f>IF(D1743="","",IFERROR(INDEX('Stock pièces'!$I$5:$I$404,MATCH(D1743,'Stock pièces'!$A$5:$A$404,0)),0))</f>
        <v/>
      </c>
      <c r="H1743" s="81">
        <f>IF(D1743="","",N(F1743)*N(G1743))</f>
        <v/>
      </c>
      <c r="I1743" s="7" t="n"/>
      <c r="J1743" s="9">
        <f>IF(I1743="","",IFERROR(INDEX('Ordres de travail'!$D$5:$D$3004,MATCH(I1743,'Ordres de travail'!$A$5:$A$3004,0)),""))</f>
        <v/>
      </c>
      <c r="K1743" s="9">
        <f>IF(D1743="","",IFERROR(INDEX('Stock pièces'!$D$5:$D$404,MATCH(D1743,'Stock pièces'!$A$5:$A$404,0)),""))</f>
        <v/>
      </c>
      <c r="L1743" s="7" t="n"/>
      <c r="M1743" s="7" t="n"/>
    </row>
    <row r="1744">
      <c r="A1744" s="7" t="n"/>
      <c r="B1744" s="75" t="n"/>
      <c r="C1744" s="7" t="n"/>
      <c r="D1744" s="7" t="n"/>
      <c r="E1744" s="9">
        <f>IF(D1744="","",IFERROR(INDEX('Stock pièces'!$B$5:$B$404,MATCH(D1744,'Stock pièces'!$A$5:$A$404,0)),"Réf. inconnue"))</f>
        <v/>
      </c>
      <c r="F1744" s="67" t="n"/>
      <c r="G1744" s="81">
        <f>IF(D1744="","",IFERROR(INDEX('Stock pièces'!$I$5:$I$404,MATCH(D1744,'Stock pièces'!$A$5:$A$404,0)),0))</f>
        <v/>
      </c>
      <c r="H1744" s="81">
        <f>IF(D1744="","",N(F1744)*N(G1744))</f>
        <v/>
      </c>
      <c r="I1744" s="7" t="n"/>
      <c r="J1744" s="9">
        <f>IF(I1744="","",IFERROR(INDEX('Ordres de travail'!$D$5:$D$3004,MATCH(I1744,'Ordres de travail'!$A$5:$A$3004,0)),""))</f>
        <v/>
      </c>
      <c r="K1744" s="9">
        <f>IF(D1744="","",IFERROR(INDEX('Stock pièces'!$D$5:$D$404,MATCH(D1744,'Stock pièces'!$A$5:$A$404,0)),""))</f>
        <v/>
      </c>
      <c r="L1744" s="7" t="n"/>
      <c r="M1744" s="7" t="n"/>
    </row>
    <row r="1745">
      <c r="A1745" s="7" t="n"/>
      <c r="B1745" s="75" t="n"/>
      <c r="C1745" s="7" t="n"/>
      <c r="D1745" s="7" t="n"/>
      <c r="E1745" s="9">
        <f>IF(D1745="","",IFERROR(INDEX('Stock pièces'!$B$5:$B$404,MATCH(D1745,'Stock pièces'!$A$5:$A$404,0)),"Réf. inconnue"))</f>
        <v/>
      </c>
      <c r="F1745" s="67" t="n"/>
      <c r="G1745" s="81">
        <f>IF(D1745="","",IFERROR(INDEX('Stock pièces'!$I$5:$I$404,MATCH(D1745,'Stock pièces'!$A$5:$A$404,0)),0))</f>
        <v/>
      </c>
      <c r="H1745" s="81">
        <f>IF(D1745="","",N(F1745)*N(G1745))</f>
        <v/>
      </c>
      <c r="I1745" s="7" t="n"/>
      <c r="J1745" s="9">
        <f>IF(I1745="","",IFERROR(INDEX('Ordres de travail'!$D$5:$D$3004,MATCH(I1745,'Ordres de travail'!$A$5:$A$3004,0)),""))</f>
        <v/>
      </c>
      <c r="K1745" s="9">
        <f>IF(D1745="","",IFERROR(INDEX('Stock pièces'!$D$5:$D$404,MATCH(D1745,'Stock pièces'!$A$5:$A$404,0)),""))</f>
        <v/>
      </c>
      <c r="L1745" s="7" t="n"/>
      <c r="M1745" s="7" t="n"/>
    </row>
    <row r="1746">
      <c r="A1746" s="7" t="n"/>
      <c r="B1746" s="75" t="n"/>
      <c r="C1746" s="7" t="n"/>
      <c r="D1746" s="7" t="n"/>
      <c r="E1746" s="9">
        <f>IF(D1746="","",IFERROR(INDEX('Stock pièces'!$B$5:$B$404,MATCH(D1746,'Stock pièces'!$A$5:$A$404,0)),"Réf. inconnue"))</f>
        <v/>
      </c>
      <c r="F1746" s="67" t="n"/>
      <c r="G1746" s="81">
        <f>IF(D1746="","",IFERROR(INDEX('Stock pièces'!$I$5:$I$404,MATCH(D1746,'Stock pièces'!$A$5:$A$404,0)),0))</f>
        <v/>
      </c>
      <c r="H1746" s="81">
        <f>IF(D1746="","",N(F1746)*N(G1746))</f>
        <v/>
      </c>
      <c r="I1746" s="7" t="n"/>
      <c r="J1746" s="9">
        <f>IF(I1746="","",IFERROR(INDEX('Ordres de travail'!$D$5:$D$3004,MATCH(I1746,'Ordres de travail'!$A$5:$A$3004,0)),""))</f>
        <v/>
      </c>
      <c r="K1746" s="9">
        <f>IF(D1746="","",IFERROR(INDEX('Stock pièces'!$D$5:$D$404,MATCH(D1746,'Stock pièces'!$A$5:$A$404,0)),""))</f>
        <v/>
      </c>
      <c r="L1746" s="7" t="n"/>
      <c r="M1746" s="7" t="n"/>
    </row>
    <row r="1747">
      <c r="A1747" s="7" t="n"/>
      <c r="B1747" s="75" t="n"/>
      <c r="C1747" s="7" t="n"/>
      <c r="D1747" s="7" t="n"/>
      <c r="E1747" s="9">
        <f>IF(D1747="","",IFERROR(INDEX('Stock pièces'!$B$5:$B$404,MATCH(D1747,'Stock pièces'!$A$5:$A$404,0)),"Réf. inconnue"))</f>
        <v/>
      </c>
      <c r="F1747" s="67" t="n"/>
      <c r="G1747" s="81">
        <f>IF(D1747="","",IFERROR(INDEX('Stock pièces'!$I$5:$I$404,MATCH(D1747,'Stock pièces'!$A$5:$A$404,0)),0))</f>
        <v/>
      </c>
      <c r="H1747" s="81">
        <f>IF(D1747="","",N(F1747)*N(G1747))</f>
        <v/>
      </c>
      <c r="I1747" s="7" t="n"/>
      <c r="J1747" s="9">
        <f>IF(I1747="","",IFERROR(INDEX('Ordres de travail'!$D$5:$D$3004,MATCH(I1747,'Ordres de travail'!$A$5:$A$3004,0)),""))</f>
        <v/>
      </c>
      <c r="K1747" s="9">
        <f>IF(D1747="","",IFERROR(INDEX('Stock pièces'!$D$5:$D$404,MATCH(D1747,'Stock pièces'!$A$5:$A$404,0)),""))</f>
        <v/>
      </c>
      <c r="L1747" s="7" t="n"/>
      <c r="M1747" s="7" t="n"/>
    </row>
    <row r="1748">
      <c r="A1748" s="7" t="n"/>
      <c r="B1748" s="75" t="n"/>
      <c r="C1748" s="7" t="n"/>
      <c r="D1748" s="7" t="n"/>
      <c r="E1748" s="9">
        <f>IF(D1748="","",IFERROR(INDEX('Stock pièces'!$B$5:$B$404,MATCH(D1748,'Stock pièces'!$A$5:$A$404,0)),"Réf. inconnue"))</f>
        <v/>
      </c>
      <c r="F1748" s="67" t="n"/>
      <c r="G1748" s="81">
        <f>IF(D1748="","",IFERROR(INDEX('Stock pièces'!$I$5:$I$404,MATCH(D1748,'Stock pièces'!$A$5:$A$404,0)),0))</f>
        <v/>
      </c>
      <c r="H1748" s="81">
        <f>IF(D1748="","",N(F1748)*N(G1748))</f>
        <v/>
      </c>
      <c r="I1748" s="7" t="n"/>
      <c r="J1748" s="9">
        <f>IF(I1748="","",IFERROR(INDEX('Ordres de travail'!$D$5:$D$3004,MATCH(I1748,'Ordres de travail'!$A$5:$A$3004,0)),""))</f>
        <v/>
      </c>
      <c r="K1748" s="9">
        <f>IF(D1748="","",IFERROR(INDEX('Stock pièces'!$D$5:$D$404,MATCH(D1748,'Stock pièces'!$A$5:$A$404,0)),""))</f>
        <v/>
      </c>
      <c r="L1748" s="7" t="n"/>
      <c r="M1748" s="7" t="n"/>
    </row>
    <row r="1749">
      <c r="A1749" s="7" t="n"/>
      <c r="B1749" s="75" t="n"/>
      <c r="C1749" s="7" t="n"/>
      <c r="D1749" s="7" t="n"/>
      <c r="E1749" s="9">
        <f>IF(D1749="","",IFERROR(INDEX('Stock pièces'!$B$5:$B$404,MATCH(D1749,'Stock pièces'!$A$5:$A$404,0)),"Réf. inconnue"))</f>
        <v/>
      </c>
      <c r="F1749" s="67" t="n"/>
      <c r="G1749" s="81">
        <f>IF(D1749="","",IFERROR(INDEX('Stock pièces'!$I$5:$I$404,MATCH(D1749,'Stock pièces'!$A$5:$A$404,0)),0))</f>
        <v/>
      </c>
      <c r="H1749" s="81">
        <f>IF(D1749="","",N(F1749)*N(G1749))</f>
        <v/>
      </c>
      <c r="I1749" s="7" t="n"/>
      <c r="J1749" s="9">
        <f>IF(I1749="","",IFERROR(INDEX('Ordres de travail'!$D$5:$D$3004,MATCH(I1749,'Ordres de travail'!$A$5:$A$3004,0)),""))</f>
        <v/>
      </c>
      <c r="K1749" s="9">
        <f>IF(D1749="","",IFERROR(INDEX('Stock pièces'!$D$5:$D$404,MATCH(D1749,'Stock pièces'!$A$5:$A$404,0)),""))</f>
        <v/>
      </c>
      <c r="L1749" s="7" t="n"/>
      <c r="M1749" s="7" t="n"/>
    </row>
    <row r="1750">
      <c r="A1750" s="7" t="n"/>
      <c r="B1750" s="75" t="n"/>
      <c r="C1750" s="7" t="n"/>
      <c r="D1750" s="7" t="n"/>
      <c r="E1750" s="9">
        <f>IF(D1750="","",IFERROR(INDEX('Stock pièces'!$B$5:$B$404,MATCH(D1750,'Stock pièces'!$A$5:$A$404,0)),"Réf. inconnue"))</f>
        <v/>
      </c>
      <c r="F1750" s="67" t="n"/>
      <c r="G1750" s="81">
        <f>IF(D1750="","",IFERROR(INDEX('Stock pièces'!$I$5:$I$404,MATCH(D1750,'Stock pièces'!$A$5:$A$404,0)),0))</f>
        <v/>
      </c>
      <c r="H1750" s="81">
        <f>IF(D1750="","",N(F1750)*N(G1750))</f>
        <v/>
      </c>
      <c r="I1750" s="7" t="n"/>
      <c r="J1750" s="9">
        <f>IF(I1750="","",IFERROR(INDEX('Ordres de travail'!$D$5:$D$3004,MATCH(I1750,'Ordres de travail'!$A$5:$A$3004,0)),""))</f>
        <v/>
      </c>
      <c r="K1750" s="9">
        <f>IF(D1750="","",IFERROR(INDEX('Stock pièces'!$D$5:$D$404,MATCH(D1750,'Stock pièces'!$A$5:$A$404,0)),""))</f>
        <v/>
      </c>
      <c r="L1750" s="7" t="n"/>
      <c r="M1750" s="7" t="n"/>
    </row>
    <row r="1751">
      <c r="A1751" s="7" t="n"/>
      <c r="B1751" s="75" t="n"/>
      <c r="C1751" s="7" t="n"/>
      <c r="D1751" s="7" t="n"/>
      <c r="E1751" s="9">
        <f>IF(D1751="","",IFERROR(INDEX('Stock pièces'!$B$5:$B$404,MATCH(D1751,'Stock pièces'!$A$5:$A$404,0)),"Réf. inconnue"))</f>
        <v/>
      </c>
      <c r="F1751" s="67" t="n"/>
      <c r="G1751" s="81">
        <f>IF(D1751="","",IFERROR(INDEX('Stock pièces'!$I$5:$I$404,MATCH(D1751,'Stock pièces'!$A$5:$A$404,0)),0))</f>
        <v/>
      </c>
      <c r="H1751" s="81">
        <f>IF(D1751="","",N(F1751)*N(G1751))</f>
        <v/>
      </c>
      <c r="I1751" s="7" t="n"/>
      <c r="J1751" s="9">
        <f>IF(I1751="","",IFERROR(INDEX('Ordres de travail'!$D$5:$D$3004,MATCH(I1751,'Ordres de travail'!$A$5:$A$3004,0)),""))</f>
        <v/>
      </c>
      <c r="K1751" s="9">
        <f>IF(D1751="","",IFERROR(INDEX('Stock pièces'!$D$5:$D$404,MATCH(D1751,'Stock pièces'!$A$5:$A$404,0)),""))</f>
        <v/>
      </c>
      <c r="L1751" s="7" t="n"/>
      <c r="M1751" s="7" t="n"/>
    </row>
    <row r="1752">
      <c r="A1752" s="7" t="n"/>
      <c r="B1752" s="75" t="n"/>
      <c r="C1752" s="7" t="n"/>
      <c r="D1752" s="7" t="n"/>
      <c r="E1752" s="9">
        <f>IF(D1752="","",IFERROR(INDEX('Stock pièces'!$B$5:$B$404,MATCH(D1752,'Stock pièces'!$A$5:$A$404,0)),"Réf. inconnue"))</f>
        <v/>
      </c>
      <c r="F1752" s="67" t="n"/>
      <c r="G1752" s="81">
        <f>IF(D1752="","",IFERROR(INDEX('Stock pièces'!$I$5:$I$404,MATCH(D1752,'Stock pièces'!$A$5:$A$404,0)),0))</f>
        <v/>
      </c>
      <c r="H1752" s="81">
        <f>IF(D1752="","",N(F1752)*N(G1752))</f>
        <v/>
      </c>
      <c r="I1752" s="7" t="n"/>
      <c r="J1752" s="9">
        <f>IF(I1752="","",IFERROR(INDEX('Ordres de travail'!$D$5:$D$3004,MATCH(I1752,'Ordres de travail'!$A$5:$A$3004,0)),""))</f>
        <v/>
      </c>
      <c r="K1752" s="9">
        <f>IF(D1752="","",IFERROR(INDEX('Stock pièces'!$D$5:$D$404,MATCH(D1752,'Stock pièces'!$A$5:$A$404,0)),""))</f>
        <v/>
      </c>
      <c r="L1752" s="7" t="n"/>
      <c r="M1752" s="7" t="n"/>
    </row>
    <row r="1753">
      <c r="A1753" s="7" t="n"/>
      <c r="B1753" s="75" t="n"/>
      <c r="C1753" s="7" t="n"/>
      <c r="D1753" s="7" t="n"/>
      <c r="E1753" s="9">
        <f>IF(D1753="","",IFERROR(INDEX('Stock pièces'!$B$5:$B$404,MATCH(D1753,'Stock pièces'!$A$5:$A$404,0)),"Réf. inconnue"))</f>
        <v/>
      </c>
      <c r="F1753" s="67" t="n"/>
      <c r="G1753" s="81">
        <f>IF(D1753="","",IFERROR(INDEX('Stock pièces'!$I$5:$I$404,MATCH(D1753,'Stock pièces'!$A$5:$A$404,0)),0))</f>
        <v/>
      </c>
      <c r="H1753" s="81">
        <f>IF(D1753="","",N(F1753)*N(G1753))</f>
        <v/>
      </c>
      <c r="I1753" s="7" t="n"/>
      <c r="J1753" s="9">
        <f>IF(I1753="","",IFERROR(INDEX('Ordres de travail'!$D$5:$D$3004,MATCH(I1753,'Ordres de travail'!$A$5:$A$3004,0)),""))</f>
        <v/>
      </c>
      <c r="K1753" s="9">
        <f>IF(D1753="","",IFERROR(INDEX('Stock pièces'!$D$5:$D$404,MATCH(D1753,'Stock pièces'!$A$5:$A$404,0)),""))</f>
        <v/>
      </c>
      <c r="L1753" s="7" t="n"/>
      <c r="M1753" s="7" t="n"/>
    </row>
    <row r="1754">
      <c r="A1754" s="7" t="n"/>
      <c r="B1754" s="75" t="n"/>
      <c r="C1754" s="7" t="n"/>
      <c r="D1754" s="7" t="n"/>
      <c r="E1754" s="9">
        <f>IF(D1754="","",IFERROR(INDEX('Stock pièces'!$B$5:$B$404,MATCH(D1754,'Stock pièces'!$A$5:$A$404,0)),"Réf. inconnue"))</f>
        <v/>
      </c>
      <c r="F1754" s="67" t="n"/>
      <c r="G1754" s="81">
        <f>IF(D1754="","",IFERROR(INDEX('Stock pièces'!$I$5:$I$404,MATCH(D1754,'Stock pièces'!$A$5:$A$404,0)),0))</f>
        <v/>
      </c>
      <c r="H1754" s="81">
        <f>IF(D1754="","",N(F1754)*N(G1754))</f>
        <v/>
      </c>
      <c r="I1754" s="7" t="n"/>
      <c r="J1754" s="9">
        <f>IF(I1754="","",IFERROR(INDEX('Ordres de travail'!$D$5:$D$3004,MATCH(I1754,'Ordres de travail'!$A$5:$A$3004,0)),""))</f>
        <v/>
      </c>
      <c r="K1754" s="9">
        <f>IF(D1754="","",IFERROR(INDEX('Stock pièces'!$D$5:$D$404,MATCH(D1754,'Stock pièces'!$A$5:$A$404,0)),""))</f>
        <v/>
      </c>
      <c r="L1754" s="7" t="n"/>
      <c r="M1754" s="7" t="n"/>
    </row>
    <row r="1755">
      <c r="A1755" s="7" t="n"/>
      <c r="B1755" s="75" t="n"/>
      <c r="C1755" s="7" t="n"/>
      <c r="D1755" s="7" t="n"/>
      <c r="E1755" s="9">
        <f>IF(D1755="","",IFERROR(INDEX('Stock pièces'!$B$5:$B$404,MATCH(D1755,'Stock pièces'!$A$5:$A$404,0)),"Réf. inconnue"))</f>
        <v/>
      </c>
      <c r="F1755" s="67" t="n"/>
      <c r="G1755" s="81">
        <f>IF(D1755="","",IFERROR(INDEX('Stock pièces'!$I$5:$I$404,MATCH(D1755,'Stock pièces'!$A$5:$A$404,0)),0))</f>
        <v/>
      </c>
      <c r="H1755" s="81">
        <f>IF(D1755="","",N(F1755)*N(G1755))</f>
        <v/>
      </c>
      <c r="I1755" s="7" t="n"/>
      <c r="J1755" s="9">
        <f>IF(I1755="","",IFERROR(INDEX('Ordres de travail'!$D$5:$D$3004,MATCH(I1755,'Ordres de travail'!$A$5:$A$3004,0)),""))</f>
        <v/>
      </c>
      <c r="K1755" s="9">
        <f>IF(D1755="","",IFERROR(INDEX('Stock pièces'!$D$5:$D$404,MATCH(D1755,'Stock pièces'!$A$5:$A$404,0)),""))</f>
        <v/>
      </c>
      <c r="L1755" s="7" t="n"/>
      <c r="M1755" s="7" t="n"/>
    </row>
    <row r="1756">
      <c r="A1756" s="7" t="n"/>
      <c r="B1756" s="75" t="n"/>
      <c r="C1756" s="7" t="n"/>
      <c r="D1756" s="7" t="n"/>
      <c r="E1756" s="9">
        <f>IF(D1756="","",IFERROR(INDEX('Stock pièces'!$B$5:$B$404,MATCH(D1756,'Stock pièces'!$A$5:$A$404,0)),"Réf. inconnue"))</f>
        <v/>
      </c>
      <c r="F1756" s="67" t="n"/>
      <c r="G1756" s="81">
        <f>IF(D1756="","",IFERROR(INDEX('Stock pièces'!$I$5:$I$404,MATCH(D1756,'Stock pièces'!$A$5:$A$404,0)),0))</f>
        <v/>
      </c>
      <c r="H1756" s="81">
        <f>IF(D1756="","",N(F1756)*N(G1756))</f>
        <v/>
      </c>
      <c r="I1756" s="7" t="n"/>
      <c r="J1756" s="9">
        <f>IF(I1756="","",IFERROR(INDEX('Ordres de travail'!$D$5:$D$3004,MATCH(I1756,'Ordres de travail'!$A$5:$A$3004,0)),""))</f>
        <v/>
      </c>
      <c r="K1756" s="9">
        <f>IF(D1756="","",IFERROR(INDEX('Stock pièces'!$D$5:$D$404,MATCH(D1756,'Stock pièces'!$A$5:$A$404,0)),""))</f>
        <v/>
      </c>
      <c r="L1756" s="7" t="n"/>
      <c r="M1756" s="7" t="n"/>
    </row>
    <row r="1757">
      <c r="A1757" s="7" t="n"/>
      <c r="B1757" s="75" t="n"/>
      <c r="C1757" s="7" t="n"/>
      <c r="D1757" s="7" t="n"/>
      <c r="E1757" s="9">
        <f>IF(D1757="","",IFERROR(INDEX('Stock pièces'!$B$5:$B$404,MATCH(D1757,'Stock pièces'!$A$5:$A$404,0)),"Réf. inconnue"))</f>
        <v/>
      </c>
      <c r="F1757" s="67" t="n"/>
      <c r="G1757" s="81">
        <f>IF(D1757="","",IFERROR(INDEX('Stock pièces'!$I$5:$I$404,MATCH(D1757,'Stock pièces'!$A$5:$A$404,0)),0))</f>
        <v/>
      </c>
      <c r="H1757" s="81">
        <f>IF(D1757="","",N(F1757)*N(G1757))</f>
        <v/>
      </c>
      <c r="I1757" s="7" t="n"/>
      <c r="J1757" s="9">
        <f>IF(I1757="","",IFERROR(INDEX('Ordres de travail'!$D$5:$D$3004,MATCH(I1757,'Ordres de travail'!$A$5:$A$3004,0)),""))</f>
        <v/>
      </c>
      <c r="K1757" s="9">
        <f>IF(D1757="","",IFERROR(INDEX('Stock pièces'!$D$5:$D$404,MATCH(D1757,'Stock pièces'!$A$5:$A$404,0)),""))</f>
        <v/>
      </c>
      <c r="L1757" s="7" t="n"/>
      <c r="M1757" s="7" t="n"/>
    </row>
    <row r="1758">
      <c r="A1758" s="7" t="n"/>
      <c r="B1758" s="75" t="n"/>
      <c r="C1758" s="7" t="n"/>
      <c r="D1758" s="7" t="n"/>
      <c r="E1758" s="9">
        <f>IF(D1758="","",IFERROR(INDEX('Stock pièces'!$B$5:$B$404,MATCH(D1758,'Stock pièces'!$A$5:$A$404,0)),"Réf. inconnue"))</f>
        <v/>
      </c>
      <c r="F1758" s="67" t="n"/>
      <c r="G1758" s="81">
        <f>IF(D1758="","",IFERROR(INDEX('Stock pièces'!$I$5:$I$404,MATCH(D1758,'Stock pièces'!$A$5:$A$404,0)),0))</f>
        <v/>
      </c>
      <c r="H1758" s="81">
        <f>IF(D1758="","",N(F1758)*N(G1758))</f>
        <v/>
      </c>
      <c r="I1758" s="7" t="n"/>
      <c r="J1758" s="9">
        <f>IF(I1758="","",IFERROR(INDEX('Ordres de travail'!$D$5:$D$3004,MATCH(I1758,'Ordres de travail'!$A$5:$A$3004,0)),""))</f>
        <v/>
      </c>
      <c r="K1758" s="9">
        <f>IF(D1758="","",IFERROR(INDEX('Stock pièces'!$D$5:$D$404,MATCH(D1758,'Stock pièces'!$A$5:$A$404,0)),""))</f>
        <v/>
      </c>
      <c r="L1758" s="7" t="n"/>
      <c r="M1758" s="7" t="n"/>
    </row>
    <row r="1759">
      <c r="A1759" s="7" t="n"/>
      <c r="B1759" s="75" t="n"/>
      <c r="C1759" s="7" t="n"/>
      <c r="D1759" s="7" t="n"/>
      <c r="E1759" s="9">
        <f>IF(D1759="","",IFERROR(INDEX('Stock pièces'!$B$5:$B$404,MATCH(D1759,'Stock pièces'!$A$5:$A$404,0)),"Réf. inconnue"))</f>
        <v/>
      </c>
      <c r="F1759" s="67" t="n"/>
      <c r="G1759" s="81">
        <f>IF(D1759="","",IFERROR(INDEX('Stock pièces'!$I$5:$I$404,MATCH(D1759,'Stock pièces'!$A$5:$A$404,0)),0))</f>
        <v/>
      </c>
      <c r="H1759" s="81">
        <f>IF(D1759="","",N(F1759)*N(G1759))</f>
        <v/>
      </c>
      <c r="I1759" s="7" t="n"/>
      <c r="J1759" s="9">
        <f>IF(I1759="","",IFERROR(INDEX('Ordres de travail'!$D$5:$D$3004,MATCH(I1759,'Ordres de travail'!$A$5:$A$3004,0)),""))</f>
        <v/>
      </c>
      <c r="K1759" s="9">
        <f>IF(D1759="","",IFERROR(INDEX('Stock pièces'!$D$5:$D$404,MATCH(D1759,'Stock pièces'!$A$5:$A$404,0)),""))</f>
        <v/>
      </c>
      <c r="L1759" s="7" t="n"/>
      <c r="M1759" s="7" t="n"/>
    </row>
    <row r="1760">
      <c r="A1760" s="7" t="n"/>
      <c r="B1760" s="75" t="n"/>
      <c r="C1760" s="7" t="n"/>
      <c r="D1760" s="7" t="n"/>
      <c r="E1760" s="9">
        <f>IF(D1760="","",IFERROR(INDEX('Stock pièces'!$B$5:$B$404,MATCH(D1760,'Stock pièces'!$A$5:$A$404,0)),"Réf. inconnue"))</f>
        <v/>
      </c>
      <c r="F1760" s="67" t="n"/>
      <c r="G1760" s="81">
        <f>IF(D1760="","",IFERROR(INDEX('Stock pièces'!$I$5:$I$404,MATCH(D1760,'Stock pièces'!$A$5:$A$404,0)),0))</f>
        <v/>
      </c>
      <c r="H1760" s="81">
        <f>IF(D1760="","",N(F1760)*N(G1760))</f>
        <v/>
      </c>
      <c r="I1760" s="7" t="n"/>
      <c r="J1760" s="9">
        <f>IF(I1760="","",IFERROR(INDEX('Ordres de travail'!$D$5:$D$3004,MATCH(I1760,'Ordres de travail'!$A$5:$A$3004,0)),""))</f>
        <v/>
      </c>
      <c r="K1760" s="9">
        <f>IF(D1760="","",IFERROR(INDEX('Stock pièces'!$D$5:$D$404,MATCH(D1760,'Stock pièces'!$A$5:$A$404,0)),""))</f>
        <v/>
      </c>
      <c r="L1760" s="7" t="n"/>
      <c r="M1760" s="7" t="n"/>
    </row>
    <row r="1761">
      <c r="A1761" s="7" t="n"/>
      <c r="B1761" s="75" t="n"/>
      <c r="C1761" s="7" t="n"/>
      <c r="D1761" s="7" t="n"/>
      <c r="E1761" s="9">
        <f>IF(D1761="","",IFERROR(INDEX('Stock pièces'!$B$5:$B$404,MATCH(D1761,'Stock pièces'!$A$5:$A$404,0)),"Réf. inconnue"))</f>
        <v/>
      </c>
      <c r="F1761" s="67" t="n"/>
      <c r="G1761" s="81">
        <f>IF(D1761="","",IFERROR(INDEX('Stock pièces'!$I$5:$I$404,MATCH(D1761,'Stock pièces'!$A$5:$A$404,0)),0))</f>
        <v/>
      </c>
      <c r="H1761" s="81">
        <f>IF(D1761="","",N(F1761)*N(G1761))</f>
        <v/>
      </c>
      <c r="I1761" s="7" t="n"/>
      <c r="J1761" s="9">
        <f>IF(I1761="","",IFERROR(INDEX('Ordres de travail'!$D$5:$D$3004,MATCH(I1761,'Ordres de travail'!$A$5:$A$3004,0)),""))</f>
        <v/>
      </c>
      <c r="K1761" s="9">
        <f>IF(D1761="","",IFERROR(INDEX('Stock pièces'!$D$5:$D$404,MATCH(D1761,'Stock pièces'!$A$5:$A$404,0)),""))</f>
        <v/>
      </c>
      <c r="L1761" s="7" t="n"/>
      <c r="M1761" s="7" t="n"/>
    </row>
    <row r="1762">
      <c r="A1762" s="7" t="n"/>
      <c r="B1762" s="75" t="n"/>
      <c r="C1762" s="7" t="n"/>
      <c r="D1762" s="7" t="n"/>
      <c r="E1762" s="9">
        <f>IF(D1762="","",IFERROR(INDEX('Stock pièces'!$B$5:$B$404,MATCH(D1762,'Stock pièces'!$A$5:$A$404,0)),"Réf. inconnue"))</f>
        <v/>
      </c>
      <c r="F1762" s="67" t="n"/>
      <c r="G1762" s="81">
        <f>IF(D1762="","",IFERROR(INDEX('Stock pièces'!$I$5:$I$404,MATCH(D1762,'Stock pièces'!$A$5:$A$404,0)),0))</f>
        <v/>
      </c>
      <c r="H1762" s="81">
        <f>IF(D1762="","",N(F1762)*N(G1762))</f>
        <v/>
      </c>
      <c r="I1762" s="7" t="n"/>
      <c r="J1762" s="9">
        <f>IF(I1762="","",IFERROR(INDEX('Ordres de travail'!$D$5:$D$3004,MATCH(I1762,'Ordres de travail'!$A$5:$A$3004,0)),""))</f>
        <v/>
      </c>
      <c r="K1762" s="9">
        <f>IF(D1762="","",IFERROR(INDEX('Stock pièces'!$D$5:$D$404,MATCH(D1762,'Stock pièces'!$A$5:$A$404,0)),""))</f>
        <v/>
      </c>
      <c r="L1762" s="7" t="n"/>
      <c r="M1762" s="7" t="n"/>
    </row>
    <row r="1763">
      <c r="A1763" s="7" t="n"/>
      <c r="B1763" s="75" t="n"/>
      <c r="C1763" s="7" t="n"/>
      <c r="D1763" s="7" t="n"/>
      <c r="E1763" s="9">
        <f>IF(D1763="","",IFERROR(INDEX('Stock pièces'!$B$5:$B$404,MATCH(D1763,'Stock pièces'!$A$5:$A$404,0)),"Réf. inconnue"))</f>
        <v/>
      </c>
      <c r="F1763" s="67" t="n"/>
      <c r="G1763" s="81">
        <f>IF(D1763="","",IFERROR(INDEX('Stock pièces'!$I$5:$I$404,MATCH(D1763,'Stock pièces'!$A$5:$A$404,0)),0))</f>
        <v/>
      </c>
      <c r="H1763" s="81">
        <f>IF(D1763="","",N(F1763)*N(G1763))</f>
        <v/>
      </c>
      <c r="I1763" s="7" t="n"/>
      <c r="J1763" s="9">
        <f>IF(I1763="","",IFERROR(INDEX('Ordres de travail'!$D$5:$D$3004,MATCH(I1763,'Ordres de travail'!$A$5:$A$3004,0)),""))</f>
        <v/>
      </c>
      <c r="K1763" s="9">
        <f>IF(D1763="","",IFERROR(INDEX('Stock pièces'!$D$5:$D$404,MATCH(D1763,'Stock pièces'!$A$5:$A$404,0)),""))</f>
        <v/>
      </c>
      <c r="L1763" s="7" t="n"/>
      <c r="M1763" s="7" t="n"/>
    </row>
    <row r="1764">
      <c r="A1764" s="7" t="n"/>
      <c r="B1764" s="75" t="n"/>
      <c r="C1764" s="7" t="n"/>
      <c r="D1764" s="7" t="n"/>
      <c r="E1764" s="9">
        <f>IF(D1764="","",IFERROR(INDEX('Stock pièces'!$B$5:$B$404,MATCH(D1764,'Stock pièces'!$A$5:$A$404,0)),"Réf. inconnue"))</f>
        <v/>
      </c>
      <c r="F1764" s="67" t="n"/>
      <c r="G1764" s="81">
        <f>IF(D1764="","",IFERROR(INDEX('Stock pièces'!$I$5:$I$404,MATCH(D1764,'Stock pièces'!$A$5:$A$404,0)),0))</f>
        <v/>
      </c>
      <c r="H1764" s="81">
        <f>IF(D1764="","",N(F1764)*N(G1764))</f>
        <v/>
      </c>
      <c r="I1764" s="7" t="n"/>
      <c r="J1764" s="9">
        <f>IF(I1764="","",IFERROR(INDEX('Ordres de travail'!$D$5:$D$3004,MATCH(I1764,'Ordres de travail'!$A$5:$A$3004,0)),""))</f>
        <v/>
      </c>
      <c r="K1764" s="9">
        <f>IF(D1764="","",IFERROR(INDEX('Stock pièces'!$D$5:$D$404,MATCH(D1764,'Stock pièces'!$A$5:$A$404,0)),""))</f>
        <v/>
      </c>
      <c r="L1764" s="7" t="n"/>
      <c r="M1764" s="7" t="n"/>
    </row>
    <row r="1765">
      <c r="A1765" s="7" t="n"/>
      <c r="B1765" s="75" t="n"/>
      <c r="C1765" s="7" t="n"/>
      <c r="D1765" s="7" t="n"/>
      <c r="E1765" s="9">
        <f>IF(D1765="","",IFERROR(INDEX('Stock pièces'!$B$5:$B$404,MATCH(D1765,'Stock pièces'!$A$5:$A$404,0)),"Réf. inconnue"))</f>
        <v/>
      </c>
      <c r="F1765" s="67" t="n"/>
      <c r="G1765" s="81">
        <f>IF(D1765="","",IFERROR(INDEX('Stock pièces'!$I$5:$I$404,MATCH(D1765,'Stock pièces'!$A$5:$A$404,0)),0))</f>
        <v/>
      </c>
      <c r="H1765" s="81">
        <f>IF(D1765="","",N(F1765)*N(G1765))</f>
        <v/>
      </c>
      <c r="I1765" s="7" t="n"/>
      <c r="J1765" s="9">
        <f>IF(I1765="","",IFERROR(INDEX('Ordres de travail'!$D$5:$D$3004,MATCH(I1765,'Ordres de travail'!$A$5:$A$3004,0)),""))</f>
        <v/>
      </c>
      <c r="K1765" s="9">
        <f>IF(D1765="","",IFERROR(INDEX('Stock pièces'!$D$5:$D$404,MATCH(D1765,'Stock pièces'!$A$5:$A$404,0)),""))</f>
        <v/>
      </c>
      <c r="L1765" s="7" t="n"/>
      <c r="M1765" s="7" t="n"/>
    </row>
    <row r="1766">
      <c r="A1766" s="7" t="n"/>
      <c r="B1766" s="75" t="n"/>
      <c r="C1766" s="7" t="n"/>
      <c r="D1766" s="7" t="n"/>
      <c r="E1766" s="9">
        <f>IF(D1766="","",IFERROR(INDEX('Stock pièces'!$B$5:$B$404,MATCH(D1766,'Stock pièces'!$A$5:$A$404,0)),"Réf. inconnue"))</f>
        <v/>
      </c>
      <c r="F1766" s="67" t="n"/>
      <c r="G1766" s="81">
        <f>IF(D1766="","",IFERROR(INDEX('Stock pièces'!$I$5:$I$404,MATCH(D1766,'Stock pièces'!$A$5:$A$404,0)),0))</f>
        <v/>
      </c>
      <c r="H1766" s="81">
        <f>IF(D1766="","",N(F1766)*N(G1766))</f>
        <v/>
      </c>
      <c r="I1766" s="7" t="n"/>
      <c r="J1766" s="9">
        <f>IF(I1766="","",IFERROR(INDEX('Ordres de travail'!$D$5:$D$3004,MATCH(I1766,'Ordres de travail'!$A$5:$A$3004,0)),""))</f>
        <v/>
      </c>
      <c r="K1766" s="9">
        <f>IF(D1766="","",IFERROR(INDEX('Stock pièces'!$D$5:$D$404,MATCH(D1766,'Stock pièces'!$A$5:$A$404,0)),""))</f>
        <v/>
      </c>
      <c r="L1766" s="7" t="n"/>
      <c r="M1766" s="7" t="n"/>
    </row>
    <row r="1767">
      <c r="A1767" s="7" t="n"/>
      <c r="B1767" s="75" t="n"/>
      <c r="C1767" s="7" t="n"/>
      <c r="D1767" s="7" t="n"/>
      <c r="E1767" s="9">
        <f>IF(D1767="","",IFERROR(INDEX('Stock pièces'!$B$5:$B$404,MATCH(D1767,'Stock pièces'!$A$5:$A$404,0)),"Réf. inconnue"))</f>
        <v/>
      </c>
      <c r="F1767" s="67" t="n"/>
      <c r="G1767" s="81">
        <f>IF(D1767="","",IFERROR(INDEX('Stock pièces'!$I$5:$I$404,MATCH(D1767,'Stock pièces'!$A$5:$A$404,0)),0))</f>
        <v/>
      </c>
      <c r="H1767" s="81">
        <f>IF(D1767="","",N(F1767)*N(G1767))</f>
        <v/>
      </c>
      <c r="I1767" s="7" t="n"/>
      <c r="J1767" s="9">
        <f>IF(I1767="","",IFERROR(INDEX('Ordres de travail'!$D$5:$D$3004,MATCH(I1767,'Ordres de travail'!$A$5:$A$3004,0)),""))</f>
        <v/>
      </c>
      <c r="K1767" s="9">
        <f>IF(D1767="","",IFERROR(INDEX('Stock pièces'!$D$5:$D$404,MATCH(D1767,'Stock pièces'!$A$5:$A$404,0)),""))</f>
        <v/>
      </c>
      <c r="L1767" s="7" t="n"/>
      <c r="M1767" s="7" t="n"/>
    </row>
    <row r="1768">
      <c r="A1768" s="7" t="n"/>
      <c r="B1768" s="75" t="n"/>
      <c r="C1768" s="7" t="n"/>
      <c r="D1768" s="7" t="n"/>
      <c r="E1768" s="9">
        <f>IF(D1768="","",IFERROR(INDEX('Stock pièces'!$B$5:$B$404,MATCH(D1768,'Stock pièces'!$A$5:$A$404,0)),"Réf. inconnue"))</f>
        <v/>
      </c>
      <c r="F1768" s="67" t="n"/>
      <c r="G1768" s="81">
        <f>IF(D1768="","",IFERROR(INDEX('Stock pièces'!$I$5:$I$404,MATCH(D1768,'Stock pièces'!$A$5:$A$404,0)),0))</f>
        <v/>
      </c>
      <c r="H1768" s="81">
        <f>IF(D1768="","",N(F1768)*N(G1768))</f>
        <v/>
      </c>
      <c r="I1768" s="7" t="n"/>
      <c r="J1768" s="9">
        <f>IF(I1768="","",IFERROR(INDEX('Ordres de travail'!$D$5:$D$3004,MATCH(I1768,'Ordres de travail'!$A$5:$A$3004,0)),""))</f>
        <v/>
      </c>
      <c r="K1768" s="9">
        <f>IF(D1768="","",IFERROR(INDEX('Stock pièces'!$D$5:$D$404,MATCH(D1768,'Stock pièces'!$A$5:$A$404,0)),""))</f>
        <v/>
      </c>
      <c r="L1768" s="7" t="n"/>
      <c r="M1768" s="7" t="n"/>
    </row>
    <row r="1769">
      <c r="A1769" s="7" t="n"/>
      <c r="B1769" s="75" t="n"/>
      <c r="C1769" s="7" t="n"/>
      <c r="D1769" s="7" t="n"/>
      <c r="E1769" s="9">
        <f>IF(D1769="","",IFERROR(INDEX('Stock pièces'!$B$5:$B$404,MATCH(D1769,'Stock pièces'!$A$5:$A$404,0)),"Réf. inconnue"))</f>
        <v/>
      </c>
      <c r="F1769" s="67" t="n"/>
      <c r="G1769" s="81">
        <f>IF(D1769="","",IFERROR(INDEX('Stock pièces'!$I$5:$I$404,MATCH(D1769,'Stock pièces'!$A$5:$A$404,0)),0))</f>
        <v/>
      </c>
      <c r="H1769" s="81">
        <f>IF(D1769="","",N(F1769)*N(G1769))</f>
        <v/>
      </c>
      <c r="I1769" s="7" t="n"/>
      <c r="J1769" s="9">
        <f>IF(I1769="","",IFERROR(INDEX('Ordres de travail'!$D$5:$D$3004,MATCH(I1769,'Ordres de travail'!$A$5:$A$3004,0)),""))</f>
        <v/>
      </c>
      <c r="K1769" s="9">
        <f>IF(D1769="","",IFERROR(INDEX('Stock pièces'!$D$5:$D$404,MATCH(D1769,'Stock pièces'!$A$5:$A$404,0)),""))</f>
        <v/>
      </c>
      <c r="L1769" s="7" t="n"/>
      <c r="M1769" s="7" t="n"/>
    </row>
    <row r="1770">
      <c r="A1770" s="7" t="n"/>
      <c r="B1770" s="75" t="n"/>
      <c r="C1770" s="7" t="n"/>
      <c r="D1770" s="7" t="n"/>
      <c r="E1770" s="9">
        <f>IF(D1770="","",IFERROR(INDEX('Stock pièces'!$B$5:$B$404,MATCH(D1770,'Stock pièces'!$A$5:$A$404,0)),"Réf. inconnue"))</f>
        <v/>
      </c>
      <c r="F1770" s="67" t="n"/>
      <c r="G1770" s="81">
        <f>IF(D1770="","",IFERROR(INDEX('Stock pièces'!$I$5:$I$404,MATCH(D1770,'Stock pièces'!$A$5:$A$404,0)),0))</f>
        <v/>
      </c>
      <c r="H1770" s="81">
        <f>IF(D1770="","",N(F1770)*N(G1770))</f>
        <v/>
      </c>
      <c r="I1770" s="7" t="n"/>
      <c r="J1770" s="9">
        <f>IF(I1770="","",IFERROR(INDEX('Ordres de travail'!$D$5:$D$3004,MATCH(I1770,'Ordres de travail'!$A$5:$A$3004,0)),""))</f>
        <v/>
      </c>
      <c r="K1770" s="9">
        <f>IF(D1770="","",IFERROR(INDEX('Stock pièces'!$D$5:$D$404,MATCH(D1770,'Stock pièces'!$A$5:$A$404,0)),""))</f>
        <v/>
      </c>
      <c r="L1770" s="7" t="n"/>
      <c r="M1770" s="7" t="n"/>
    </row>
    <row r="1771">
      <c r="A1771" s="7" t="n"/>
      <c r="B1771" s="75" t="n"/>
      <c r="C1771" s="7" t="n"/>
      <c r="D1771" s="7" t="n"/>
      <c r="E1771" s="9">
        <f>IF(D1771="","",IFERROR(INDEX('Stock pièces'!$B$5:$B$404,MATCH(D1771,'Stock pièces'!$A$5:$A$404,0)),"Réf. inconnue"))</f>
        <v/>
      </c>
      <c r="F1771" s="67" t="n"/>
      <c r="G1771" s="81">
        <f>IF(D1771="","",IFERROR(INDEX('Stock pièces'!$I$5:$I$404,MATCH(D1771,'Stock pièces'!$A$5:$A$404,0)),0))</f>
        <v/>
      </c>
      <c r="H1771" s="81">
        <f>IF(D1771="","",N(F1771)*N(G1771))</f>
        <v/>
      </c>
      <c r="I1771" s="7" t="n"/>
      <c r="J1771" s="9">
        <f>IF(I1771="","",IFERROR(INDEX('Ordres de travail'!$D$5:$D$3004,MATCH(I1771,'Ordres de travail'!$A$5:$A$3004,0)),""))</f>
        <v/>
      </c>
      <c r="K1771" s="9">
        <f>IF(D1771="","",IFERROR(INDEX('Stock pièces'!$D$5:$D$404,MATCH(D1771,'Stock pièces'!$A$5:$A$404,0)),""))</f>
        <v/>
      </c>
      <c r="L1771" s="7" t="n"/>
      <c r="M1771" s="7" t="n"/>
    </row>
    <row r="1772">
      <c r="A1772" s="7" t="n"/>
      <c r="B1772" s="75" t="n"/>
      <c r="C1772" s="7" t="n"/>
      <c r="D1772" s="7" t="n"/>
      <c r="E1772" s="9">
        <f>IF(D1772="","",IFERROR(INDEX('Stock pièces'!$B$5:$B$404,MATCH(D1772,'Stock pièces'!$A$5:$A$404,0)),"Réf. inconnue"))</f>
        <v/>
      </c>
      <c r="F1772" s="67" t="n"/>
      <c r="G1772" s="81">
        <f>IF(D1772="","",IFERROR(INDEX('Stock pièces'!$I$5:$I$404,MATCH(D1772,'Stock pièces'!$A$5:$A$404,0)),0))</f>
        <v/>
      </c>
      <c r="H1772" s="81">
        <f>IF(D1772="","",N(F1772)*N(G1772))</f>
        <v/>
      </c>
      <c r="I1772" s="7" t="n"/>
      <c r="J1772" s="9">
        <f>IF(I1772="","",IFERROR(INDEX('Ordres de travail'!$D$5:$D$3004,MATCH(I1772,'Ordres de travail'!$A$5:$A$3004,0)),""))</f>
        <v/>
      </c>
      <c r="K1772" s="9">
        <f>IF(D1772="","",IFERROR(INDEX('Stock pièces'!$D$5:$D$404,MATCH(D1772,'Stock pièces'!$A$5:$A$404,0)),""))</f>
        <v/>
      </c>
      <c r="L1772" s="7" t="n"/>
      <c r="M1772" s="7" t="n"/>
    </row>
    <row r="1773">
      <c r="A1773" s="7" t="n"/>
      <c r="B1773" s="75" t="n"/>
      <c r="C1773" s="7" t="n"/>
      <c r="D1773" s="7" t="n"/>
      <c r="E1773" s="9">
        <f>IF(D1773="","",IFERROR(INDEX('Stock pièces'!$B$5:$B$404,MATCH(D1773,'Stock pièces'!$A$5:$A$404,0)),"Réf. inconnue"))</f>
        <v/>
      </c>
      <c r="F1773" s="67" t="n"/>
      <c r="G1773" s="81">
        <f>IF(D1773="","",IFERROR(INDEX('Stock pièces'!$I$5:$I$404,MATCH(D1773,'Stock pièces'!$A$5:$A$404,0)),0))</f>
        <v/>
      </c>
      <c r="H1773" s="81">
        <f>IF(D1773="","",N(F1773)*N(G1773))</f>
        <v/>
      </c>
      <c r="I1773" s="7" t="n"/>
      <c r="J1773" s="9">
        <f>IF(I1773="","",IFERROR(INDEX('Ordres de travail'!$D$5:$D$3004,MATCH(I1773,'Ordres de travail'!$A$5:$A$3004,0)),""))</f>
        <v/>
      </c>
      <c r="K1773" s="9">
        <f>IF(D1773="","",IFERROR(INDEX('Stock pièces'!$D$5:$D$404,MATCH(D1773,'Stock pièces'!$A$5:$A$404,0)),""))</f>
        <v/>
      </c>
      <c r="L1773" s="7" t="n"/>
      <c r="M1773" s="7" t="n"/>
    </row>
    <row r="1774">
      <c r="A1774" s="7" t="n"/>
      <c r="B1774" s="75" t="n"/>
      <c r="C1774" s="7" t="n"/>
      <c r="D1774" s="7" t="n"/>
      <c r="E1774" s="9">
        <f>IF(D1774="","",IFERROR(INDEX('Stock pièces'!$B$5:$B$404,MATCH(D1774,'Stock pièces'!$A$5:$A$404,0)),"Réf. inconnue"))</f>
        <v/>
      </c>
      <c r="F1774" s="67" t="n"/>
      <c r="G1774" s="81">
        <f>IF(D1774="","",IFERROR(INDEX('Stock pièces'!$I$5:$I$404,MATCH(D1774,'Stock pièces'!$A$5:$A$404,0)),0))</f>
        <v/>
      </c>
      <c r="H1774" s="81">
        <f>IF(D1774="","",N(F1774)*N(G1774))</f>
        <v/>
      </c>
      <c r="I1774" s="7" t="n"/>
      <c r="J1774" s="9">
        <f>IF(I1774="","",IFERROR(INDEX('Ordres de travail'!$D$5:$D$3004,MATCH(I1774,'Ordres de travail'!$A$5:$A$3004,0)),""))</f>
        <v/>
      </c>
      <c r="K1774" s="9">
        <f>IF(D1774="","",IFERROR(INDEX('Stock pièces'!$D$5:$D$404,MATCH(D1774,'Stock pièces'!$A$5:$A$404,0)),""))</f>
        <v/>
      </c>
      <c r="L1774" s="7" t="n"/>
      <c r="M1774" s="7" t="n"/>
    </row>
    <row r="1775">
      <c r="A1775" s="7" t="n"/>
      <c r="B1775" s="75" t="n"/>
      <c r="C1775" s="7" t="n"/>
      <c r="D1775" s="7" t="n"/>
      <c r="E1775" s="9">
        <f>IF(D1775="","",IFERROR(INDEX('Stock pièces'!$B$5:$B$404,MATCH(D1775,'Stock pièces'!$A$5:$A$404,0)),"Réf. inconnue"))</f>
        <v/>
      </c>
      <c r="F1775" s="67" t="n"/>
      <c r="G1775" s="81">
        <f>IF(D1775="","",IFERROR(INDEX('Stock pièces'!$I$5:$I$404,MATCH(D1775,'Stock pièces'!$A$5:$A$404,0)),0))</f>
        <v/>
      </c>
      <c r="H1775" s="81">
        <f>IF(D1775="","",N(F1775)*N(G1775))</f>
        <v/>
      </c>
      <c r="I1775" s="7" t="n"/>
      <c r="J1775" s="9">
        <f>IF(I1775="","",IFERROR(INDEX('Ordres de travail'!$D$5:$D$3004,MATCH(I1775,'Ordres de travail'!$A$5:$A$3004,0)),""))</f>
        <v/>
      </c>
      <c r="K1775" s="9">
        <f>IF(D1775="","",IFERROR(INDEX('Stock pièces'!$D$5:$D$404,MATCH(D1775,'Stock pièces'!$A$5:$A$404,0)),""))</f>
        <v/>
      </c>
      <c r="L1775" s="7" t="n"/>
      <c r="M1775" s="7" t="n"/>
    </row>
    <row r="1776">
      <c r="A1776" s="7" t="n"/>
      <c r="B1776" s="75" t="n"/>
      <c r="C1776" s="7" t="n"/>
      <c r="D1776" s="7" t="n"/>
      <c r="E1776" s="9">
        <f>IF(D1776="","",IFERROR(INDEX('Stock pièces'!$B$5:$B$404,MATCH(D1776,'Stock pièces'!$A$5:$A$404,0)),"Réf. inconnue"))</f>
        <v/>
      </c>
      <c r="F1776" s="67" t="n"/>
      <c r="G1776" s="81">
        <f>IF(D1776="","",IFERROR(INDEX('Stock pièces'!$I$5:$I$404,MATCH(D1776,'Stock pièces'!$A$5:$A$404,0)),0))</f>
        <v/>
      </c>
      <c r="H1776" s="81">
        <f>IF(D1776="","",N(F1776)*N(G1776))</f>
        <v/>
      </c>
      <c r="I1776" s="7" t="n"/>
      <c r="J1776" s="9">
        <f>IF(I1776="","",IFERROR(INDEX('Ordres de travail'!$D$5:$D$3004,MATCH(I1776,'Ordres de travail'!$A$5:$A$3004,0)),""))</f>
        <v/>
      </c>
      <c r="K1776" s="9">
        <f>IF(D1776="","",IFERROR(INDEX('Stock pièces'!$D$5:$D$404,MATCH(D1776,'Stock pièces'!$A$5:$A$404,0)),""))</f>
        <v/>
      </c>
      <c r="L1776" s="7" t="n"/>
      <c r="M1776" s="7" t="n"/>
    </row>
    <row r="1777">
      <c r="A1777" s="7" t="n"/>
      <c r="B1777" s="75" t="n"/>
      <c r="C1777" s="7" t="n"/>
      <c r="D1777" s="7" t="n"/>
      <c r="E1777" s="9">
        <f>IF(D1777="","",IFERROR(INDEX('Stock pièces'!$B$5:$B$404,MATCH(D1777,'Stock pièces'!$A$5:$A$404,0)),"Réf. inconnue"))</f>
        <v/>
      </c>
      <c r="F1777" s="67" t="n"/>
      <c r="G1777" s="81">
        <f>IF(D1777="","",IFERROR(INDEX('Stock pièces'!$I$5:$I$404,MATCH(D1777,'Stock pièces'!$A$5:$A$404,0)),0))</f>
        <v/>
      </c>
      <c r="H1777" s="81">
        <f>IF(D1777="","",N(F1777)*N(G1777))</f>
        <v/>
      </c>
      <c r="I1777" s="7" t="n"/>
      <c r="J1777" s="9">
        <f>IF(I1777="","",IFERROR(INDEX('Ordres de travail'!$D$5:$D$3004,MATCH(I1777,'Ordres de travail'!$A$5:$A$3004,0)),""))</f>
        <v/>
      </c>
      <c r="K1777" s="9">
        <f>IF(D1777="","",IFERROR(INDEX('Stock pièces'!$D$5:$D$404,MATCH(D1777,'Stock pièces'!$A$5:$A$404,0)),""))</f>
        <v/>
      </c>
      <c r="L1777" s="7" t="n"/>
      <c r="M1777" s="7" t="n"/>
    </row>
    <row r="1778">
      <c r="A1778" s="7" t="n"/>
      <c r="B1778" s="75" t="n"/>
      <c r="C1778" s="7" t="n"/>
      <c r="D1778" s="7" t="n"/>
      <c r="E1778" s="9">
        <f>IF(D1778="","",IFERROR(INDEX('Stock pièces'!$B$5:$B$404,MATCH(D1778,'Stock pièces'!$A$5:$A$404,0)),"Réf. inconnue"))</f>
        <v/>
      </c>
      <c r="F1778" s="67" t="n"/>
      <c r="G1778" s="81">
        <f>IF(D1778="","",IFERROR(INDEX('Stock pièces'!$I$5:$I$404,MATCH(D1778,'Stock pièces'!$A$5:$A$404,0)),0))</f>
        <v/>
      </c>
      <c r="H1778" s="81">
        <f>IF(D1778="","",N(F1778)*N(G1778))</f>
        <v/>
      </c>
      <c r="I1778" s="7" t="n"/>
      <c r="J1778" s="9">
        <f>IF(I1778="","",IFERROR(INDEX('Ordres de travail'!$D$5:$D$3004,MATCH(I1778,'Ordres de travail'!$A$5:$A$3004,0)),""))</f>
        <v/>
      </c>
      <c r="K1778" s="9">
        <f>IF(D1778="","",IFERROR(INDEX('Stock pièces'!$D$5:$D$404,MATCH(D1778,'Stock pièces'!$A$5:$A$404,0)),""))</f>
        <v/>
      </c>
      <c r="L1778" s="7" t="n"/>
      <c r="M1778" s="7" t="n"/>
    </row>
    <row r="1779">
      <c r="A1779" s="7" t="n"/>
      <c r="B1779" s="75" t="n"/>
      <c r="C1779" s="7" t="n"/>
      <c r="D1779" s="7" t="n"/>
      <c r="E1779" s="9">
        <f>IF(D1779="","",IFERROR(INDEX('Stock pièces'!$B$5:$B$404,MATCH(D1779,'Stock pièces'!$A$5:$A$404,0)),"Réf. inconnue"))</f>
        <v/>
      </c>
      <c r="F1779" s="67" t="n"/>
      <c r="G1779" s="81">
        <f>IF(D1779="","",IFERROR(INDEX('Stock pièces'!$I$5:$I$404,MATCH(D1779,'Stock pièces'!$A$5:$A$404,0)),0))</f>
        <v/>
      </c>
      <c r="H1779" s="81">
        <f>IF(D1779="","",N(F1779)*N(G1779))</f>
        <v/>
      </c>
      <c r="I1779" s="7" t="n"/>
      <c r="J1779" s="9">
        <f>IF(I1779="","",IFERROR(INDEX('Ordres de travail'!$D$5:$D$3004,MATCH(I1779,'Ordres de travail'!$A$5:$A$3004,0)),""))</f>
        <v/>
      </c>
      <c r="K1779" s="9">
        <f>IF(D1779="","",IFERROR(INDEX('Stock pièces'!$D$5:$D$404,MATCH(D1779,'Stock pièces'!$A$5:$A$404,0)),""))</f>
        <v/>
      </c>
      <c r="L1779" s="7" t="n"/>
      <c r="M1779" s="7" t="n"/>
    </row>
    <row r="1780">
      <c r="A1780" s="7" t="n"/>
      <c r="B1780" s="75" t="n"/>
      <c r="C1780" s="7" t="n"/>
      <c r="D1780" s="7" t="n"/>
      <c r="E1780" s="9">
        <f>IF(D1780="","",IFERROR(INDEX('Stock pièces'!$B$5:$B$404,MATCH(D1780,'Stock pièces'!$A$5:$A$404,0)),"Réf. inconnue"))</f>
        <v/>
      </c>
      <c r="F1780" s="67" t="n"/>
      <c r="G1780" s="81">
        <f>IF(D1780="","",IFERROR(INDEX('Stock pièces'!$I$5:$I$404,MATCH(D1780,'Stock pièces'!$A$5:$A$404,0)),0))</f>
        <v/>
      </c>
      <c r="H1780" s="81">
        <f>IF(D1780="","",N(F1780)*N(G1780))</f>
        <v/>
      </c>
      <c r="I1780" s="7" t="n"/>
      <c r="J1780" s="9">
        <f>IF(I1780="","",IFERROR(INDEX('Ordres de travail'!$D$5:$D$3004,MATCH(I1780,'Ordres de travail'!$A$5:$A$3004,0)),""))</f>
        <v/>
      </c>
      <c r="K1780" s="9">
        <f>IF(D1780="","",IFERROR(INDEX('Stock pièces'!$D$5:$D$404,MATCH(D1780,'Stock pièces'!$A$5:$A$404,0)),""))</f>
        <v/>
      </c>
      <c r="L1780" s="7" t="n"/>
      <c r="M1780" s="7" t="n"/>
    </row>
    <row r="1781">
      <c r="A1781" s="7" t="n"/>
      <c r="B1781" s="75" t="n"/>
      <c r="C1781" s="7" t="n"/>
      <c r="D1781" s="7" t="n"/>
      <c r="E1781" s="9">
        <f>IF(D1781="","",IFERROR(INDEX('Stock pièces'!$B$5:$B$404,MATCH(D1781,'Stock pièces'!$A$5:$A$404,0)),"Réf. inconnue"))</f>
        <v/>
      </c>
      <c r="F1781" s="67" t="n"/>
      <c r="G1781" s="81">
        <f>IF(D1781="","",IFERROR(INDEX('Stock pièces'!$I$5:$I$404,MATCH(D1781,'Stock pièces'!$A$5:$A$404,0)),0))</f>
        <v/>
      </c>
      <c r="H1781" s="81">
        <f>IF(D1781="","",N(F1781)*N(G1781))</f>
        <v/>
      </c>
      <c r="I1781" s="7" t="n"/>
      <c r="J1781" s="9">
        <f>IF(I1781="","",IFERROR(INDEX('Ordres de travail'!$D$5:$D$3004,MATCH(I1781,'Ordres de travail'!$A$5:$A$3004,0)),""))</f>
        <v/>
      </c>
      <c r="K1781" s="9">
        <f>IF(D1781="","",IFERROR(INDEX('Stock pièces'!$D$5:$D$404,MATCH(D1781,'Stock pièces'!$A$5:$A$404,0)),""))</f>
        <v/>
      </c>
      <c r="L1781" s="7" t="n"/>
      <c r="M1781" s="7" t="n"/>
    </row>
    <row r="1782">
      <c r="A1782" s="7" t="n"/>
      <c r="B1782" s="75" t="n"/>
      <c r="C1782" s="7" t="n"/>
      <c r="D1782" s="7" t="n"/>
      <c r="E1782" s="9">
        <f>IF(D1782="","",IFERROR(INDEX('Stock pièces'!$B$5:$B$404,MATCH(D1782,'Stock pièces'!$A$5:$A$404,0)),"Réf. inconnue"))</f>
        <v/>
      </c>
      <c r="F1782" s="67" t="n"/>
      <c r="G1782" s="81">
        <f>IF(D1782="","",IFERROR(INDEX('Stock pièces'!$I$5:$I$404,MATCH(D1782,'Stock pièces'!$A$5:$A$404,0)),0))</f>
        <v/>
      </c>
      <c r="H1782" s="81">
        <f>IF(D1782="","",N(F1782)*N(G1782))</f>
        <v/>
      </c>
      <c r="I1782" s="7" t="n"/>
      <c r="J1782" s="9">
        <f>IF(I1782="","",IFERROR(INDEX('Ordres de travail'!$D$5:$D$3004,MATCH(I1782,'Ordres de travail'!$A$5:$A$3004,0)),""))</f>
        <v/>
      </c>
      <c r="K1782" s="9">
        <f>IF(D1782="","",IFERROR(INDEX('Stock pièces'!$D$5:$D$404,MATCH(D1782,'Stock pièces'!$A$5:$A$404,0)),""))</f>
        <v/>
      </c>
      <c r="L1782" s="7" t="n"/>
      <c r="M1782" s="7" t="n"/>
    </row>
    <row r="1783">
      <c r="A1783" s="7" t="n"/>
      <c r="B1783" s="75" t="n"/>
      <c r="C1783" s="7" t="n"/>
      <c r="D1783" s="7" t="n"/>
      <c r="E1783" s="9">
        <f>IF(D1783="","",IFERROR(INDEX('Stock pièces'!$B$5:$B$404,MATCH(D1783,'Stock pièces'!$A$5:$A$404,0)),"Réf. inconnue"))</f>
        <v/>
      </c>
      <c r="F1783" s="67" t="n"/>
      <c r="G1783" s="81">
        <f>IF(D1783="","",IFERROR(INDEX('Stock pièces'!$I$5:$I$404,MATCH(D1783,'Stock pièces'!$A$5:$A$404,0)),0))</f>
        <v/>
      </c>
      <c r="H1783" s="81">
        <f>IF(D1783="","",N(F1783)*N(G1783))</f>
        <v/>
      </c>
      <c r="I1783" s="7" t="n"/>
      <c r="J1783" s="9">
        <f>IF(I1783="","",IFERROR(INDEX('Ordres de travail'!$D$5:$D$3004,MATCH(I1783,'Ordres de travail'!$A$5:$A$3004,0)),""))</f>
        <v/>
      </c>
      <c r="K1783" s="9">
        <f>IF(D1783="","",IFERROR(INDEX('Stock pièces'!$D$5:$D$404,MATCH(D1783,'Stock pièces'!$A$5:$A$404,0)),""))</f>
        <v/>
      </c>
      <c r="L1783" s="7" t="n"/>
      <c r="M1783" s="7" t="n"/>
    </row>
    <row r="1784">
      <c r="A1784" s="7" t="n"/>
      <c r="B1784" s="75" t="n"/>
      <c r="C1784" s="7" t="n"/>
      <c r="D1784" s="7" t="n"/>
      <c r="E1784" s="9">
        <f>IF(D1784="","",IFERROR(INDEX('Stock pièces'!$B$5:$B$404,MATCH(D1784,'Stock pièces'!$A$5:$A$404,0)),"Réf. inconnue"))</f>
        <v/>
      </c>
      <c r="F1784" s="67" t="n"/>
      <c r="G1784" s="81">
        <f>IF(D1784="","",IFERROR(INDEX('Stock pièces'!$I$5:$I$404,MATCH(D1784,'Stock pièces'!$A$5:$A$404,0)),0))</f>
        <v/>
      </c>
      <c r="H1784" s="81">
        <f>IF(D1784="","",N(F1784)*N(G1784))</f>
        <v/>
      </c>
      <c r="I1784" s="7" t="n"/>
      <c r="J1784" s="9">
        <f>IF(I1784="","",IFERROR(INDEX('Ordres de travail'!$D$5:$D$3004,MATCH(I1784,'Ordres de travail'!$A$5:$A$3004,0)),""))</f>
        <v/>
      </c>
      <c r="K1784" s="9">
        <f>IF(D1784="","",IFERROR(INDEX('Stock pièces'!$D$5:$D$404,MATCH(D1784,'Stock pièces'!$A$5:$A$404,0)),""))</f>
        <v/>
      </c>
      <c r="L1784" s="7" t="n"/>
      <c r="M1784" s="7" t="n"/>
    </row>
    <row r="1785">
      <c r="A1785" s="7" t="n"/>
      <c r="B1785" s="75" t="n"/>
      <c r="C1785" s="7" t="n"/>
      <c r="D1785" s="7" t="n"/>
      <c r="E1785" s="9">
        <f>IF(D1785="","",IFERROR(INDEX('Stock pièces'!$B$5:$B$404,MATCH(D1785,'Stock pièces'!$A$5:$A$404,0)),"Réf. inconnue"))</f>
        <v/>
      </c>
      <c r="F1785" s="67" t="n"/>
      <c r="G1785" s="81">
        <f>IF(D1785="","",IFERROR(INDEX('Stock pièces'!$I$5:$I$404,MATCH(D1785,'Stock pièces'!$A$5:$A$404,0)),0))</f>
        <v/>
      </c>
      <c r="H1785" s="81">
        <f>IF(D1785="","",N(F1785)*N(G1785))</f>
        <v/>
      </c>
      <c r="I1785" s="7" t="n"/>
      <c r="J1785" s="9">
        <f>IF(I1785="","",IFERROR(INDEX('Ordres de travail'!$D$5:$D$3004,MATCH(I1785,'Ordres de travail'!$A$5:$A$3004,0)),""))</f>
        <v/>
      </c>
      <c r="K1785" s="9">
        <f>IF(D1785="","",IFERROR(INDEX('Stock pièces'!$D$5:$D$404,MATCH(D1785,'Stock pièces'!$A$5:$A$404,0)),""))</f>
        <v/>
      </c>
      <c r="L1785" s="7" t="n"/>
      <c r="M1785" s="7" t="n"/>
    </row>
    <row r="1786">
      <c r="A1786" s="7" t="n"/>
      <c r="B1786" s="75" t="n"/>
      <c r="C1786" s="7" t="n"/>
      <c r="D1786" s="7" t="n"/>
      <c r="E1786" s="9">
        <f>IF(D1786="","",IFERROR(INDEX('Stock pièces'!$B$5:$B$404,MATCH(D1786,'Stock pièces'!$A$5:$A$404,0)),"Réf. inconnue"))</f>
        <v/>
      </c>
      <c r="F1786" s="67" t="n"/>
      <c r="G1786" s="81">
        <f>IF(D1786="","",IFERROR(INDEX('Stock pièces'!$I$5:$I$404,MATCH(D1786,'Stock pièces'!$A$5:$A$404,0)),0))</f>
        <v/>
      </c>
      <c r="H1786" s="81">
        <f>IF(D1786="","",N(F1786)*N(G1786))</f>
        <v/>
      </c>
      <c r="I1786" s="7" t="n"/>
      <c r="J1786" s="9">
        <f>IF(I1786="","",IFERROR(INDEX('Ordres de travail'!$D$5:$D$3004,MATCH(I1786,'Ordres de travail'!$A$5:$A$3004,0)),""))</f>
        <v/>
      </c>
      <c r="K1786" s="9">
        <f>IF(D1786="","",IFERROR(INDEX('Stock pièces'!$D$5:$D$404,MATCH(D1786,'Stock pièces'!$A$5:$A$404,0)),""))</f>
        <v/>
      </c>
      <c r="L1786" s="7" t="n"/>
      <c r="M1786" s="7" t="n"/>
    </row>
    <row r="1787">
      <c r="A1787" s="7" t="n"/>
      <c r="B1787" s="75" t="n"/>
      <c r="C1787" s="7" t="n"/>
      <c r="D1787" s="7" t="n"/>
      <c r="E1787" s="9">
        <f>IF(D1787="","",IFERROR(INDEX('Stock pièces'!$B$5:$B$404,MATCH(D1787,'Stock pièces'!$A$5:$A$404,0)),"Réf. inconnue"))</f>
        <v/>
      </c>
      <c r="F1787" s="67" t="n"/>
      <c r="G1787" s="81">
        <f>IF(D1787="","",IFERROR(INDEX('Stock pièces'!$I$5:$I$404,MATCH(D1787,'Stock pièces'!$A$5:$A$404,0)),0))</f>
        <v/>
      </c>
      <c r="H1787" s="81">
        <f>IF(D1787="","",N(F1787)*N(G1787))</f>
        <v/>
      </c>
      <c r="I1787" s="7" t="n"/>
      <c r="J1787" s="9">
        <f>IF(I1787="","",IFERROR(INDEX('Ordres de travail'!$D$5:$D$3004,MATCH(I1787,'Ordres de travail'!$A$5:$A$3004,0)),""))</f>
        <v/>
      </c>
      <c r="K1787" s="9">
        <f>IF(D1787="","",IFERROR(INDEX('Stock pièces'!$D$5:$D$404,MATCH(D1787,'Stock pièces'!$A$5:$A$404,0)),""))</f>
        <v/>
      </c>
      <c r="L1787" s="7" t="n"/>
      <c r="M1787" s="7" t="n"/>
    </row>
    <row r="1788">
      <c r="A1788" s="7" t="n"/>
      <c r="B1788" s="75" t="n"/>
      <c r="C1788" s="7" t="n"/>
      <c r="D1788" s="7" t="n"/>
      <c r="E1788" s="9">
        <f>IF(D1788="","",IFERROR(INDEX('Stock pièces'!$B$5:$B$404,MATCH(D1788,'Stock pièces'!$A$5:$A$404,0)),"Réf. inconnue"))</f>
        <v/>
      </c>
      <c r="F1788" s="67" t="n"/>
      <c r="G1788" s="81">
        <f>IF(D1788="","",IFERROR(INDEX('Stock pièces'!$I$5:$I$404,MATCH(D1788,'Stock pièces'!$A$5:$A$404,0)),0))</f>
        <v/>
      </c>
      <c r="H1788" s="81">
        <f>IF(D1788="","",N(F1788)*N(G1788))</f>
        <v/>
      </c>
      <c r="I1788" s="7" t="n"/>
      <c r="J1788" s="9">
        <f>IF(I1788="","",IFERROR(INDEX('Ordres de travail'!$D$5:$D$3004,MATCH(I1788,'Ordres de travail'!$A$5:$A$3004,0)),""))</f>
        <v/>
      </c>
      <c r="K1788" s="9">
        <f>IF(D1788="","",IFERROR(INDEX('Stock pièces'!$D$5:$D$404,MATCH(D1788,'Stock pièces'!$A$5:$A$404,0)),""))</f>
        <v/>
      </c>
      <c r="L1788" s="7" t="n"/>
      <c r="M1788" s="7" t="n"/>
    </row>
    <row r="1789">
      <c r="A1789" s="7" t="n"/>
      <c r="B1789" s="75" t="n"/>
      <c r="C1789" s="7" t="n"/>
      <c r="D1789" s="7" t="n"/>
      <c r="E1789" s="9">
        <f>IF(D1789="","",IFERROR(INDEX('Stock pièces'!$B$5:$B$404,MATCH(D1789,'Stock pièces'!$A$5:$A$404,0)),"Réf. inconnue"))</f>
        <v/>
      </c>
      <c r="F1789" s="67" t="n"/>
      <c r="G1789" s="81">
        <f>IF(D1789="","",IFERROR(INDEX('Stock pièces'!$I$5:$I$404,MATCH(D1789,'Stock pièces'!$A$5:$A$404,0)),0))</f>
        <v/>
      </c>
      <c r="H1789" s="81">
        <f>IF(D1789="","",N(F1789)*N(G1789))</f>
        <v/>
      </c>
      <c r="I1789" s="7" t="n"/>
      <c r="J1789" s="9">
        <f>IF(I1789="","",IFERROR(INDEX('Ordres de travail'!$D$5:$D$3004,MATCH(I1789,'Ordres de travail'!$A$5:$A$3004,0)),""))</f>
        <v/>
      </c>
      <c r="K1789" s="9">
        <f>IF(D1789="","",IFERROR(INDEX('Stock pièces'!$D$5:$D$404,MATCH(D1789,'Stock pièces'!$A$5:$A$404,0)),""))</f>
        <v/>
      </c>
      <c r="L1789" s="7" t="n"/>
      <c r="M1789" s="7" t="n"/>
    </row>
    <row r="1790">
      <c r="A1790" s="7" t="n"/>
      <c r="B1790" s="75" t="n"/>
      <c r="C1790" s="7" t="n"/>
      <c r="D1790" s="7" t="n"/>
      <c r="E1790" s="9">
        <f>IF(D1790="","",IFERROR(INDEX('Stock pièces'!$B$5:$B$404,MATCH(D1790,'Stock pièces'!$A$5:$A$404,0)),"Réf. inconnue"))</f>
        <v/>
      </c>
      <c r="F1790" s="67" t="n"/>
      <c r="G1790" s="81">
        <f>IF(D1790="","",IFERROR(INDEX('Stock pièces'!$I$5:$I$404,MATCH(D1790,'Stock pièces'!$A$5:$A$404,0)),0))</f>
        <v/>
      </c>
      <c r="H1790" s="81">
        <f>IF(D1790="","",N(F1790)*N(G1790))</f>
        <v/>
      </c>
      <c r="I1790" s="7" t="n"/>
      <c r="J1790" s="9">
        <f>IF(I1790="","",IFERROR(INDEX('Ordres de travail'!$D$5:$D$3004,MATCH(I1790,'Ordres de travail'!$A$5:$A$3004,0)),""))</f>
        <v/>
      </c>
      <c r="K1790" s="9">
        <f>IF(D1790="","",IFERROR(INDEX('Stock pièces'!$D$5:$D$404,MATCH(D1790,'Stock pièces'!$A$5:$A$404,0)),""))</f>
        <v/>
      </c>
      <c r="L1790" s="7" t="n"/>
      <c r="M1790" s="7" t="n"/>
    </row>
    <row r="1791">
      <c r="A1791" s="7" t="n"/>
      <c r="B1791" s="75" t="n"/>
      <c r="C1791" s="7" t="n"/>
      <c r="D1791" s="7" t="n"/>
      <c r="E1791" s="9">
        <f>IF(D1791="","",IFERROR(INDEX('Stock pièces'!$B$5:$B$404,MATCH(D1791,'Stock pièces'!$A$5:$A$404,0)),"Réf. inconnue"))</f>
        <v/>
      </c>
      <c r="F1791" s="67" t="n"/>
      <c r="G1791" s="81">
        <f>IF(D1791="","",IFERROR(INDEX('Stock pièces'!$I$5:$I$404,MATCH(D1791,'Stock pièces'!$A$5:$A$404,0)),0))</f>
        <v/>
      </c>
      <c r="H1791" s="81">
        <f>IF(D1791="","",N(F1791)*N(G1791))</f>
        <v/>
      </c>
      <c r="I1791" s="7" t="n"/>
      <c r="J1791" s="9">
        <f>IF(I1791="","",IFERROR(INDEX('Ordres de travail'!$D$5:$D$3004,MATCH(I1791,'Ordres de travail'!$A$5:$A$3004,0)),""))</f>
        <v/>
      </c>
      <c r="K1791" s="9">
        <f>IF(D1791="","",IFERROR(INDEX('Stock pièces'!$D$5:$D$404,MATCH(D1791,'Stock pièces'!$A$5:$A$404,0)),""))</f>
        <v/>
      </c>
      <c r="L1791" s="7" t="n"/>
      <c r="M1791" s="7" t="n"/>
    </row>
    <row r="1792">
      <c r="A1792" s="7" t="n"/>
      <c r="B1792" s="75" t="n"/>
      <c r="C1792" s="7" t="n"/>
      <c r="D1792" s="7" t="n"/>
      <c r="E1792" s="9">
        <f>IF(D1792="","",IFERROR(INDEX('Stock pièces'!$B$5:$B$404,MATCH(D1792,'Stock pièces'!$A$5:$A$404,0)),"Réf. inconnue"))</f>
        <v/>
      </c>
      <c r="F1792" s="67" t="n"/>
      <c r="G1792" s="81">
        <f>IF(D1792="","",IFERROR(INDEX('Stock pièces'!$I$5:$I$404,MATCH(D1792,'Stock pièces'!$A$5:$A$404,0)),0))</f>
        <v/>
      </c>
      <c r="H1792" s="81">
        <f>IF(D1792="","",N(F1792)*N(G1792))</f>
        <v/>
      </c>
      <c r="I1792" s="7" t="n"/>
      <c r="J1792" s="9">
        <f>IF(I1792="","",IFERROR(INDEX('Ordres de travail'!$D$5:$D$3004,MATCH(I1792,'Ordres de travail'!$A$5:$A$3004,0)),""))</f>
        <v/>
      </c>
      <c r="K1792" s="9">
        <f>IF(D1792="","",IFERROR(INDEX('Stock pièces'!$D$5:$D$404,MATCH(D1792,'Stock pièces'!$A$5:$A$404,0)),""))</f>
        <v/>
      </c>
      <c r="L1792" s="7" t="n"/>
      <c r="M1792" s="7" t="n"/>
    </row>
    <row r="1793">
      <c r="A1793" s="7" t="n"/>
      <c r="B1793" s="75" t="n"/>
      <c r="C1793" s="7" t="n"/>
      <c r="D1793" s="7" t="n"/>
      <c r="E1793" s="9">
        <f>IF(D1793="","",IFERROR(INDEX('Stock pièces'!$B$5:$B$404,MATCH(D1793,'Stock pièces'!$A$5:$A$404,0)),"Réf. inconnue"))</f>
        <v/>
      </c>
      <c r="F1793" s="67" t="n"/>
      <c r="G1793" s="81">
        <f>IF(D1793="","",IFERROR(INDEX('Stock pièces'!$I$5:$I$404,MATCH(D1793,'Stock pièces'!$A$5:$A$404,0)),0))</f>
        <v/>
      </c>
      <c r="H1793" s="81">
        <f>IF(D1793="","",N(F1793)*N(G1793))</f>
        <v/>
      </c>
      <c r="I1793" s="7" t="n"/>
      <c r="J1793" s="9">
        <f>IF(I1793="","",IFERROR(INDEX('Ordres de travail'!$D$5:$D$3004,MATCH(I1793,'Ordres de travail'!$A$5:$A$3004,0)),""))</f>
        <v/>
      </c>
      <c r="K1793" s="9">
        <f>IF(D1793="","",IFERROR(INDEX('Stock pièces'!$D$5:$D$404,MATCH(D1793,'Stock pièces'!$A$5:$A$404,0)),""))</f>
        <v/>
      </c>
      <c r="L1793" s="7" t="n"/>
      <c r="M1793" s="7" t="n"/>
    </row>
    <row r="1794">
      <c r="A1794" s="7" t="n"/>
      <c r="B1794" s="75" t="n"/>
      <c r="C1794" s="7" t="n"/>
      <c r="D1794" s="7" t="n"/>
      <c r="E1794" s="9">
        <f>IF(D1794="","",IFERROR(INDEX('Stock pièces'!$B$5:$B$404,MATCH(D1794,'Stock pièces'!$A$5:$A$404,0)),"Réf. inconnue"))</f>
        <v/>
      </c>
      <c r="F1794" s="67" t="n"/>
      <c r="G1794" s="81">
        <f>IF(D1794="","",IFERROR(INDEX('Stock pièces'!$I$5:$I$404,MATCH(D1794,'Stock pièces'!$A$5:$A$404,0)),0))</f>
        <v/>
      </c>
      <c r="H1794" s="81">
        <f>IF(D1794="","",N(F1794)*N(G1794))</f>
        <v/>
      </c>
      <c r="I1794" s="7" t="n"/>
      <c r="J1794" s="9">
        <f>IF(I1794="","",IFERROR(INDEX('Ordres de travail'!$D$5:$D$3004,MATCH(I1794,'Ordres de travail'!$A$5:$A$3004,0)),""))</f>
        <v/>
      </c>
      <c r="K1794" s="9">
        <f>IF(D1794="","",IFERROR(INDEX('Stock pièces'!$D$5:$D$404,MATCH(D1794,'Stock pièces'!$A$5:$A$404,0)),""))</f>
        <v/>
      </c>
      <c r="L1794" s="7" t="n"/>
      <c r="M1794" s="7" t="n"/>
    </row>
    <row r="1795">
      <c r="A1795" s="7" t="n"/>
      <c r="B1795" s="75" t="n"/>
      <c r="C1795" s="7" t="n"/>
      <c r="D1795" s="7" t="n"/>
      <c r="E1795" s="9">
        <f>IF(D1795="","",IFERROR(INDEX('Stock pièces'!$B$5:$B$404,MATCH(D1795,'Stock pièces'!$A$5:$A$404,0)),"Réf. inconnue"))</f>
        <v/>
      </c>
      <c r="F1795" s="67" t="n"/>
      <c r="G1795" s="81">
        <f>IF(D1795="","",IFERROR(INDEX('Stock pièces'!$I$5:$I$404,MATCH(D1795,'Stock pièces'!$A$5:$A$404,0)),0))</f>
        <v/>
      </c>
      <c r="H1795" s="81">
        <f>IF(D1795="","",N(F1795)*N(G1795))</f>
        <v/>
      </c>
      <c r="I1795" s="7" t="n"/>
      <c r="J1795" s="9">
        <f>IF(I1795="","",IFERROR(INDEX('Ordres de travail'!$D$5:$D$3004,MATCH(I1795,'Ordres de travail'!$A$5:$A$3004,0)),""))</f>
        <v/>
      </c>
      <c r="K1795" s="9">
        <f>IF(D1795="","",IFERROR(INDEX('Stock pièces'!$D$5:$D$404,MATCH(D1795,'Stock pièces'!$A$5:$A$404,0)),""))</f>
        <v/>
      </c>
      <c r="L1795" s="7" t="n"/>
      <c r="M1795" s="7" t="n"/>
    </row>
    <row r="1796">
      <c r="A1796" s="7" t="n"/>
      <c r="B1796" s="75" t="n"/>
      <c r="C1796" s="7" t="n"/>
      <c r="D1796" s="7" t="n"/>
      <c r="E1796" s="9">
        <f>IF(D1796="","",IFERROR(INDEX('Stock pièces'!$B$5:$B$404,MATCH(D1796,'Stock pièces'!$A$5:$A$404,0)),"Réf. inconnue"))</f>
        <v/>
      </c>
      <c r="F1796" s="67" t="n"/>
      <c r="G1796" s="81">
        <f>IF(D1796="","",IFERROR(INDEX('Stock pièces'!$I$5:$I$404,MATCH(D1796,'Stock pièces'!$A$5:$A$404,0)),0))</f>
        <v/>
      </c>
      <c r="H1796" s="81">
        <f>IF(D1796="","",N(F1796)*N(G1796))</f>
        <v/>
      </c>
      <c r="I1796" s="7" t="n"/>
      <c r="J1796" s="9">
        <f>IF(I1796="","",IFERROR(INDEX('Ordres de travail'!$D$5:$D$3004,MATCH(I1796,'Ordres de travail'!$A$5:$A$3004,0)),""))</f>
        <v/>
      </c>
      <c r="K1796" s="9">
        <f>IF(D1796="","",IFERROR(INDEX('Stock pièces'!$D$5:$D$404,MATCH(D1796,'Stock pièces'!$A$5:$A$404,0)),""))</f>
        <v/>
      </c>
      <c r="L1796" s="7" t="n"/>
      <c r="M1796" s="7" t="n"/>
    </row>
    <row r="1797">
      <c r="A1797" s="7" t="n"/>
      <c r="B1797" s="75" t="n"/>
      <c r="C1797" s="7" t="n"/>
      <c r="D1797" s="7" t="n"/>
      <c r="E1797" s="9">
        <f>IF(D1797="","",IFERROR(INDEX('Stock pièces'!$B$5:$B$404,MATCH(D1797,'Stock pièces'!$A$5:$A$404,0)),"Réf. inconnue"))</f>
        <v/>
      </c>
      <c r="F1797" s="67" t="n"/>
      <c r="G1797" s="81">
        <f>IF(D1797="","",IFERROR(INDEX('Stock pièces'!$I$5:$I$404,MATCH(D1797,'Stock pièces'!$A$5:$A$404,0)),0))</f>
        <v/>
      </c>
      <c r="H1797" s="81">
        <f>IF(D1797="","",N(F1797)*N(G1797))</f>
        <v/>
      </c>
      <c r="I1797" s="7" t="n"/>
      <c r="J1797" s="9">
        <f>IF(I1797="","",IFERROR(INDEX('Ordres de travail'!$D$5:$D$3004,MATCH(I1797,'Ordres de travail'!$A$5:$A$3004,0)),""))</f>
        <v/>
      </c>
      <c r="K1797" s="9">
        <f>IF(D1797="","",IFERROR(INDEX('Stock pièces'!$D$5:$D$404,MATCH(D1797,'Stock pièces'!$A$5:$A$404,0)),""))</f>
        <v/>
      </c>
      <c r="L1797" s="7" t="n"/>
      <c r="M1797" s="7" t="n"/>
    </row>
    <row r="1798">
      <c r="A1798" s="7" t="n"/>
      <c r="B1798" s="75" t="n"/>
      <c r="C1798" s="7" t="n"/>
      <c r="D1798" s="7" t="n"/>
      <c r="E1798" s="9">
        <f>IF(D1798="","",IFERROR(INDEX('Stock pièces'!$B$5:$B$404,MATCH(D1798,'Stock pièces'!$A$5:$A$404,0)),"Réf. inconnue"))</f>
        <v/>
      </c>
      <c r="F1798" s="67" t="n"/>
      <c r="G1798" s="81">
        <f>IF(D1798="","",IFERROR(INDEX('Stock pièces'!$I$5:$I$404,MATCH(D1798,'Stock pièces'!$A$5:$A$404,0)),0))</f>
        <v/>
      </c>
      <c r="H1798" s="81">
        <f>IF(D1798="","",N(F1798)*N(G1798))</f>
        <v/>
      </c>
      <c r="I1798" s="7" t="n"/>
      <c r="J1798" s="9">
        <f>IF(I1798="","",IFERROR(INDEX('Ordres de travail'!$D$5:$D$3004,MATCH(I1798,'Ordres de travail'!$A$5:$A$3004,0)),""))</f>
        <v/>
      </c>
      <c r="K1798" s="9">
        <f>IF(D1798="","",IFERROR(INDEX('Stock pièces'!$D$5:$D$404,MATCH(D1798,'Stock pièces'!$A$5:$A$404,0)),""))</f>
        <v/>
      </c>
      <c r="L1798" s="7" t="n"/>
      <c r="M1798" s="7" t="n"/>
    </row>
    <row r="1799">
      <c r="A1799" s="7" t="n"/>
      <c r="B1799" s="75" t="n"/>
      <c r="C1799" s="7" t="n"/>
      <c r="D1799" s="7" t="n"/>
      <c r="E1799" s="9">
        <f>IF(D1799="","",IFERROR(INDEX('Stock pièces'!$B$5:$B$404,MATCH(D1799,'Stock pièces'!$A$5:$A$404,0)),"Réf. inconnue"))</f>
        <v/>
      </c>
      <c r="F1799" s="67" t="n"/>
      <c r="G1799" s="81">
        <f>IF(D1799="","",IFERROR(INDEX('Stock pièces'!$I$5:$I$404,MATCH(D1799,'Stock pièces'!$A$5:$A$404,0)),0))</f>
        <v/>
      </c>
      <c r="H1799" s="81">
        <f>IF(D1799="","",N(F1799)*N(G1799))</f>
        <v/>
      </c>
      <c r="I1799" s="7" t="n"/>
      <c r="J1799" s="9">
        <f>IF(I1799="","",IFERROR(INDEX('Ordres de travail'!$D$5:$D$3004,MATCH(I1799,'Ordres de travail'!$A$5:$A$3004,0)),""))</f>
        <v/>
      </c>
      <c r="K1799" s="9">
        <f>IF(D1799="","",IFERROR(INDEX('Stock pièces'!$D$5:$D$404,MATCH(D1799,'Stock pièces'!$A$5:$A$404,0)),""))</f>
        <v/>
      </c>
      <c r="L1799" s="7" t="n"/>
      <c r="M1799" s="7" t="n"/>
    </row>
    <row r="1800">
      <c r="A1800" s="7" t="n"/>
      <c r="B1800" s="75" t="n"/>
      <c r="C1800" s="7" t="n"/>
      <c r="D1800" s="7" t="n"/>
      <c r="E1800" s="9">
        <f>IF(D1800="","",IFERROR(INDEX('Stock pièces'!$B$5:$B$404,MATCH(D1800,'Stock pièces'!$A$5:$A$404,0)),"Réf. inconnue"))</f>
        <v/>
      </c>
      <c r="F1800" s="67" t="n"/>
      <c r="G1800" s="81">
        <f>IF(D1800="","",IFERROR(INDEX('Stock pièces'!$I$5:$I$404,MATCH(D1800,'Stock pièces'!$A$5:$A$404,0)),0))</f>
        <v/>
      </c>
      <c r="H1800" s="81">
        <f>IF(D1800="","",N(F1800)*N(G1800))</f>
        <v/>
      </c>
      <c r="I1800" s="7" t="n"/>
      <c r="J1800" s="9">
        <f>IF(I1800="","",IFERROR(INDEX('Ordres de travail'!$D$5:$D$3004,MATCH(I1800,'Ordres de travail'!$A$5:$A$3004,0)),""))</f>
        <v/>
      </c>
      <c r="K1800" s="9">
        <f>IF(D1800="","",IFERROR(INDEX('Stock pièces'!$D$5:$D$404,MATCH(D1800,'Stock pièces'!$A$5:$A$404,0)),""))</f>
        <v/>
      </c>
      <c r="L1800" s="7" t="n"/>
      <c r="M1800" s="7" t="n"/>
    </row>
    <row r="1801">
      <c r="A1801" s="7" t="n"/>
      <c r="B1801" s="75" t="n"/>
      <c r="C1801" s="7" t="n"/>
      <c r="D1801" s="7" t="n"/>
      <c r="E1801" s="9">
        <f>IF(D1801="","",IFERROR(INDEX('Stock pièces'!$B$5:$B$404,MATCH(D1801,'Stock pièces'!$A$5:$A$404,0)),"Réf. inconnue"))</f>
        <v/>
      </c>
      <c r="F1801" s="67" t="n"/>
      <c r="G1801" s="81">
        <f>IF(D1801="","",IFERROR(INDEX('Stock pièces'!$I$5:$I$404,MATCH(D1801,'Stock pièces'!$A$5:$A$404,0)),0))</f>
        <v/>
      </c>
      <c r="H1801" s="81">
        <f>IF(D1801="","",N(F1801)*N(G1801))</f>
        <v/>
      </c>
      <c r="I1801" s="7" t="n"/>
      <c r="J1801" s="9">
        <f>IF(I1801="","",IFERROR(INDEX('Ordres de travail'!$D$5:$D$3004,MATCH(I1801,'Ordres de travail'!$A$5:$A$3004,0)),""))</f>
        <v/>
      </c>
      <c r="K1801" s="9">
        <f>IF(D1801="","",IFERROR(INDEX('Stock pièces'!$D$5:$D$404,MATCH(D1801,'Stock pièces'!$A$5:$A$404,0)),""))</f>
        <v/>
      </c>
      <c r="L1801" s="7" t="n"/>
      <c r="M1801" s="7" t="n"/>
    </row>
    <row r="1802">
      <c r="A1802" s="7" t="n"/>
      <c r="B1802" s="75" t="n"/>
      <c r="C1802" s="7" t="n"/>
      <c r="D1802" s="7" t="n"/>
      <c r="E1802" s="9">
        <f>IF(D1802="","",IFERROR(INDEX('Stock pièces'!$B$5:$B$404,MATCH(D1802,'Stock pièces'!$A$5:$A$404,0)),"Réf. inconnue"))</f>
        <v/>
      </c>
      <c r="F1802" s="67" t="n"/>
      <c r="G1802" s="81">
        <f>IF(D1802="","",IFERROR(INDEX('Stock pièces'!$I$5:$I$404,MATCH(D1802,'Stock pièces'!$A$5:$A$404,0)),0))</f>
        <v/>
      </c>
      <c r="H1802" s="81">
        <f>IF(D1802="","",N(F1802)*N(G1802))</f>
        <v/>
      </c>
      <c r="I1802" s="7" t="n"/>
      <c r="J1802" s="9">
        <f>IF(I1802="","",IFERROR(INDEX('Ordres de travail'!$D$5:$D$3004,MATCH(I1802,'Ordres de travail'!$A$5:$A$3004,0)),""))</f>
        <v/>
      </c>
      <c r="K1802" s="9">
        <f>IF(D1802="","",IFERROR(INDEX('Stock pièces'!$D$5:$D$404,MATCH(D1802,'Stock pièces'!$A$5:$A$404,0)),""))</f>
        <v/>
      </c>
      <c r="L1802" s="7" t="n"/>
      <c r="M1802" s="7" t="n"/>
    </row>
    <row r="1803">
      <c r="A1803" s="7" t="n"/>
      <c r="B1803" s="75" t="n"/>
      <c r="C1803" s="7" t="n"/>
      <c r="D1803" s="7" t="n"/>
      <c r="E1803" s="9">
        <f>IF(D1803="","",IFERROR(INDEX('Stock pièces'!$B$5:$B$404,MATCH(D1803,'Stock pièces'!$A$5:$A$404,0)),"Réf. inconnue"))</f>
        <v/>
      </c>
      <c r="F1803" s="67" t="n"/>
      <c r="G1803" s="81">
        <f>IF(D1803="","",IFERROR(INDEX('Stock pièces'!$I$5:$I$404,MATCH(D1803,'Stock pièces'!$A$5:$A$404,0)),0))</f>
        <v/>
      </c>
      <c r="H1803" s="81">
        <f>IF(D1803="","",N(F1803)*N(G1803))</f>
        <v/>
      </c>
      <c r="I1803" s="7" t="n"/>
      <c r="J1803" s="9">
        <f>IF(I1803="","",IFERROR(INDEX('Ordres de travail'!$D$5:$D$3004,MATCH(I1803,'Ordres de travail'!$A$5:$A$3004,0)),""))</f>
        <v/>
      </c>
      <c r="K1803" s="9">
        <f>IF(D1803="","",IFERROR(INDEX('Stock pièces'!$D$5:$D$404,MATCH(D1803,'Stock pièces'!$A$5:$A$404,0)),""))</f>
        <v/>
      </c>
      <c r="L1803" s="7" t="n"/>
      <c r="M1803" s="7" t="n"/>
    </row>
    <row r="1804">
      <c r="A1804" s="7" t="n"/>
      <c r="B1804" s="75" t="n"/>
      <c r="C1804" s="7" t="n"/>
      <c r="D1804" s="7" t="n"/>
      <c r="E1804" s="9">
        <f>IF(D1804="","",IFERROR(INDEX('Stock pièces'!$B$5:$B$404,MATCH(D1804,'Stock pièces'!$A$5:$A$404,0)),"Réf. inconnue"))</f>
        <v/>
      </c>
      <c r="F1804" s="67" t="n"/>
      <c r="G1804" s="81">
        <f>IF(D1804="","",IFERROR(INDEX('Stock pièces'!$I$5:$I$404,MATCH(D1804,'Stock pièces'!$A$5:$A$404,0)),0))</f>
        <v/>
      </c>
      <c r="H1804" s="81">
        <f>IF(D1804="","",N(F1804)*N(G1804))</f>
        <v/>
      </c>
      <c r="I1804" s="7" t="n"/>
      <c r="J1804" s="9">
        <f>IF(I1804="","",IFERROR(INDEX('Ordres de travail'!$D$5:$D$3004,MATCH(I1804,'Ordres de travail'!$A$5:$A$3004,0)),""))</f>
        <v/>
      </c>
      <c r="K1804" s="9">
        <f>IF(D1804="","",IFERROR(INDEX('Stock pièces'!$D$5:$D$404,MATCH(D1804,'Stock pièces'!$A$5:$A$404,0)),""))</f>
        <v/>
      </c>
      <c r="L1804" s="7" t="n"/>
      <c r="M1804" s="7" t="n"/>
    </row>
    <row r="1805">
      <c r="A1805" s="7" t="n"/>
      <c r="B1805" s="75" t="n"/>
      <c r="C1805" s="7" t="n"/>
      <c r="D1805" s="7" t="n"/>
      <c r="E1805" s="9">
        <f>IF(D1805="","",IFERROR(INDEX('Stock pièces'!$B$5:$B$404,MATCH(D1805,'Stock pièces'!$A$5:$A$404,0)),"Réf. inconnue"))</f>
        <v/>
      </c>
      <c r="F1805" s="67" t="n"/>
      <c r="G1805" s="81">
        <f>IF(D1805="","",IFERROR(INDEX('Stock pièces'!$I$5:$I$404,MATCH(D1805,'Stock pièces'!$A$5:$A$404,0)),0))</f>
        <v/>
      </c>
      <c r="H1805" s="81">
        <f>IF(D1805="","",N(F1805)*N(G1805))</f>
        <v/>
      </c>
      <c r="I1805" s="7" t="n"/>
      <c r="J1805" s="9">
        <f>IF(I1805="","",IFERROR(INDEX('Ordres de travail'!$D$5:$D$3004,MATCH(I1805,'Ordres de travail'!$A$5:$A$3004,0)),""))</f>
        <v/>
      </c>
      <c r="K1805" s="9">
        <f>IF(D1805="","",IFERROR(INDEX('Stock pièces'!$D$5:$D$404,MATCH(D1805,'Stock pièces'!$A$5:$A$404,0)),""))</f>
        <v/>
      </c>
      <c r="L1805" s="7" t="n"/>
      <c r="M1805" s="7" t="n"/>
    </row>
    <row r="1806">
      <c r="A1806" s="7" t="n"/>
      <c r="B1806" s="75" t="n"/>
      <c r="C1806" s="7" t="n"/>
      <c r="D1806" s="7" t="n"/>
      <c r="E1806" s="9">
        <f>IF(D1806="","",IFERROR(INDEX('Stock pièces'!$B$5:$B$404,MATCH(D1806,'Stock pièces'!$A$5:$A$404,0)),"Réf. inconnue"))</f>
        <v/>
      </c>
      <c r="F1806" s="67" t="n"/>
      <c r="G1806" s="81">
        <f>IF(D1806="","",IFERROR(INDEX('Stock pièces'!$I$5:$I$404,MATCH(D1806,'Stock pièces'!$A$5:$A$404,0)),0))</f>
        <v/>
      </c>
      <c r="H1806" s="81">
        <f>IF(D1806="","",N(F1806)*N(G1806))</f>
        <v/>
      </c>
      <c r="I1806" s="7" t="n"/>
      <c r="J1806" s="9">
        <f>IF(I1806="","",IFERROR(INDEX('Ordres de travail'!$D$5:$D$3004,MATCH(I1806,'Ordres de travail'!$A$5:$A$3004,0)),""))</f>
        <v/>
      </c>
      <c r="K1806" s="9">
        <f>IF(D1806="","",IFERROR(INDEX('Stock pièces'!$D$5:$D$404,MATCH(D1806,'Stock pièces'!$A$5:$A$404,0)),""))</f>
        <v/>
      </c>
      <c r="L1806" s="7" t="n"/>
      <c r="M1806" s="7" t="n"/>
    </row>
    <row r="1807">
      <c r="A1807" s="7" t="n"/>
      <c r="B1807" s="75" t="n"/>
      <c r="C1807" s="7" t="n"/>
      <c r="D1807" s="7" t="n"/>
      <c r="E1807" s="9">
        <f>IF(D1807="","",IFERROR(INDEX('Stock pièces'!$B$5:$B$404,MATCH(D1807,'Stock pièces'!$A$5:$A$404,0)),"Réf. inconnue"))</f>
        <v/>
      </c>
      <c r="F1807" s="67" t="n"/>
      <c r="G1807" s="81">
        <f>IF(D1807="","",IFERROR(INDEX('Stock pièces'!$I$5:$I$404,MATCH(D1807,'Stock pièces'!$A$5:$A$404,0)),0))</f>
        <v/>
      </c>
      <c r="H1807" s="81">
        <f>IF(D1807="","",N(F1807)*N(G1807))</f>
        <v/>
      </c>
      <c r="I1807" s="7" t="n"/>
      <c r="J1807" s="9">
        <f>IF(I1807="","",IFERROR(INDEX('Ordres de travail'!$D$5:$D$3004,MATCH(I1807,'Ordres de travail'!$A$5:$A$3004,0)),""))</f>
        <v/>
      </c>
      <c r="K1807" s="9">
        <f>IF(D1807="","",IFERROR(INDEX('Stock pièces'!$D$5:$D$404,MATCH(D1807,'Stock pièces'!$A$5:$A$404,0)),""))</f>
        <v/>
      </c>
      <c r="L1807" s="7" t="n"/>
      <c r="M1807" s="7" t="n"/>
    </row>
    <row r="1808">
      <c r="A1808" s="7" t="n"/>
      <c r="B1808" s="75" t="n"/>
      <c r="C1808" s="7" t="n"/>
      <c r="D1808" s="7" t="n"/>
      <c r="E1808" s="9">
        <f>IF(D1808="","",IFERROR(INDEX('Stock pièces'!$B$5:$B$404,MATCH(D1808,'Stock pièces'!$A$5:$A$404,0)),"Réf. inconnue"))</f>
        <v/>
      </c>
      <c r="F1808" s="67" t="n"/>
      <c r="G1808" s="81">
        <f>IF(D1808="","",IFERROR(INDEX('Stock pièces'!$I$5:$I$404,MATCH(D1808,'Stock pièces'!$A$5:$A$404,0)),0))</f>
        <v/>
      </c>
      <c r="H1808" s="81">
        <f>IF(D1808="","",N(F1808)*N(G1808))</f>
        <v/>
      </c>
      <c r="I1808" s="7" t="n"/>
      <c r="J1808" s="9">
        <f>IF(I1808="","",IFERROR(INDEX('Ordres de travail'!$D$5:$D$3004,MATCH(I1808,'Ordres de travail'!$A$5:$A$3004,0)),""))</f>
        <v/>
      </c>
      <c r="K1808" s="9">
        <f>IF(D1808="","",IFERROR(INDEX('Stock pièces'!$D$5:$D$404,MATCH(D1808,'Stock pièces'!$A$5:$A$404,0)),""))</f>
        <v/>
      </c>
      <c r="L1808" s="7" t="n"/>
      <c r="M1808" s="7" t="n"/>
    </row>
    <row r="1809">
      <c r="A1809" s="7" t="n"/>
      <c r="B1809" s="75" t="n"/>
      <c r="C1809" s="7" t="n"/>
      <c r="D1809" s="7" t="n"/>
      <c r="E1809" s="9">
        <f>IF(D1809="","",IFERROR(INDEX('Stock pièces'!$B$5:$B$404,MATCH(D1809,'Stock pièces'!$A$5:$A$404,0)),"Réf. inconnue"))</f>
        <v/>
      </c>
      <c r="F1809" s="67" t="n"/>
      <c r="G1809" s="81">
        <f>IF(D1809="","",IFERROR(INDEX('Stock pièces'!$I$5:$I$404,MATCH(D1809,'Stock pièces'!$A$5:$A$404,0)),0))</f>
        <v/>
      </c>
      <c r="H1809" s="81">
        <f>IF(D1809="","",N(F1809)*N(G1809))</f>
        <v/>
      </c>
      <c r="I1809" s="7" t="n"/>
      <c r="J1809" s="9">
        <f>IF(I1809="","",IFERROR(INDEX('Ordres de travail'!$D$5:$D$3004,MATCH(I1809,'Ordres de travail'!$A$5:$A$3004,0)),""))</f>
        <v/>
      </c>
      <c r="K1809" s="9">
        <f>IF(D1809="","",IFERROR(INDEX('Stock pièces'!$D$5:$D$404,MATCH(D1809,'Stock pièces'!$A$5:$A$404,0)),""))</f>
        <v/>
      </c>
      <c r="L1809" s="7" t="n"/>
      <c r="M1809" s="7" t="n"/>
    </row>
    <row r="1810">
      <c r="A1810" s="7" t="n"/>
      <c r="B1810" s="75" t="n"/>
      <c r="C1810" s="7" t="n"/>
      <c r="D1810" s="7" t="n"/>
      <c r="E1810" s="9">
        <f>IF(D1810="","",IFERROR(INDEX('Stock pièces'!$B$5:$B$404,MATCH(D1810,'Stock pièces'!$A$5:$A$404,0)),"Réf. inconnue"))</f>
        <v/>
      </c>
      <c r="F1810" s="67" t="n"/>
      <c r="G1810" s="81">
        <f>IF(D1810="","",IFERROR(INDEX('Stock pièces'!$I$5:$I$404,MATCH(D1810,'Stock pièces'!$A$5:$A$404,0)),0))</f>
        <v/>
      </c>
      <c r="H1810" s="81">
        <f>IF(D1810="","",N(F1810)*N(G1810))</f>
        <v/>
      </c>
      <c r="I1810" s="7" t="n"/>
      <c r="J1810" s="9">
        <f>IF(I1810="","",IFERROR(INDEX('Ordres de travail'!$D$5:$D$3004,MATCH(I1810,'Ordres de travail'!$A$5:$A$3004,0)),""))</f>
        <v/>
      </c>
      <c r="K1810" s="9">
        <f>IF(D1810="","",IFERROR(INDEX('Stock pièces'!$D$5:$D$404,MATCH(D1810,'Stock pièces'!$A$5:$A$404,0)),""))</f>
        <v/>
      </c>
      <c r="L1810" s="7" t="n"/>
      <c r="M1810" s="7" t="n"/>
    </row>
    <row r="1811">
      <c r="A1811" s="7" t="n"/>
      <c r="B1811" s="75" t="n"/>
      <c r="C1811" s="7" t="n"/>
      <c r="D1811" s="7" t="n"/>
      <c r="E1811" s="9">
        <f>IF(D1811="","",IFERROR(INDEX('Stock pièces'!$B$5:$B$404,MATCH(D1811,'Stock pièces'!$A$5:$A$404,0)),"Réf. inconnue"))</f>
        <v/>
      </c>
      <c r="F1811" s="67" t="n"/>
      <c r="G1811" s="81">
        <f>IF(D1811="","",IFERROR(INDEX('Stock pièces'!$I$5:$I$404,MATCH(D1811,'Stock pièces'!$A$5:$A$404,0)),0))</f>
        <v/>
      </c>
      <c r="H1811" s="81">
        <f>IF(D1811="","",N(F1811)*N(G1811))</f>
        <v/>
      </c>
      <c r="I1811" s="7" t="n"/>
      <c r="J1811" s="9">
        <f>IF(I1811="","",IFERROR(INDEX('Ordres de travail'!$D$5:$D$3004,MATCH(I1811,'Ordres de travail'!$A$5:$A$3004,0)),""))</f>
        <v/>
      </c>
      <c r="K1811" s="9">
        <f>IF(D1811="","",IFERROR(INDEX('Stock pièces'!$D$5:$D$404,MATCH(D1811,'Stock pièces'!$A$5:$A$404,0)),""))</f>
        <v/>
      </c>
      <c r="L1811" s="7" t="n"/>
      <c r="M1811" s="7" t="n"/>
    </row>
    <row r="1812">
      <c r="A1812" s="7" t="n"/>
      <c r="B1812" s="75" t="n"/>
      <c r="C1812" s="7" t="n"/>
      <c r="D1812" s="7" t="n"/>
      <c r="E1812" s="9">
        <f>IF(D1812="","",IFERROR(INDEX('Stock pièces'!$B$5:$B$404,MATCH(D1812,'Stock pièces'!$A$5:$A$404,0)),"Réf. inconnue"))</f>
        <v/>
      </c>
      <c r="F1812" s="67" t="n"/>
      <c r="G1812" s="81">
        <f>IF(D1812="","",IFERROR(INDEX('Stock pièces'!$I$5:$I$404,MATCH(D1812,'Stock pièces'!$A$5:$A$404,0)),0))</f>
        <v/>
      </c>
      <c r="H1812" s="81">
        <f>IF(D1812="","",N(F1812)*N(G1812))</f>
        <v/>
      </c>
      <c r="I1812" s="7" t="n"/>
      <c r="J1812" s="9">
        <f>IF(I1812="","",IFERROR(INDEX('Ordres de travail'!$D$5:$D$3004,MATCH(I1812,'Ordres de travail'!$A$5:$A$3004,0)),""))</f>
        <v/>
      </c>
      <c r="K1812" s="9">
        <f>IF(D1812="","",IFERROR(INDEX('Stock pièces'!$D$5:$D$404,MATCH(D1812,'Stock pièces'!$A$5:$A$404,0)),""))</f>
        <v/>
      </c>
      <c r="L1812" s="7" t="n"/>
      <c r="M1812" s="7" t="n"/>
    </row>
    <row r="1813">
      <c r="A1813" s="7" t="n"/>
      <c r="B1813" s="75" t="n"/>
      <c r="C1813" s="7" t="n"/>
      <c r="D1813" s="7" t="n"/>
      <c r="E1813" s="9">
        <f>IF(D1813="","",IFERROR(INDEX('Stock pièces'!$B$5:$B$404,MATCH(D1813,'Stock pièces'!$A$5:$A$404,0)),"Réf. inconnue"))</f>
        <v/>
      </c>
      <c r="F1813" s="67" t="n"/>
      <c r="G1813" s="81">
        <f>IF(D1813="","",IFERROR(INDEX('Stock pièces'!$I$5:$I$404,MATCH(D1813,'Stock pièces'!$A$5:$A$404,0)),0))</f>
        <v/>
      </c>
      <c r="H1813" s="81">
        <f>IF(D1813="","",N(F1813)*N(G1813))</f>
        <v/>
      </c>
      <c r="I1813" s="7" t="n"/>
      <c r="J1813" s="9">
        <f>IF(I1813="","",IFERROR(INDEX('Ordres de travail'!$D$5:$D$3004,MATCH(I1813,'Ordres de travail'!$A$5:$A$3004,0)),""))</f>
        <v/>
      </c>
      <c r="K1813" s="9">
        <f>IF(D1813="","",IFERROR(INDEX('Stock pièces'!$D$5:$D$404,MATCH(D1813,'Stock pièces'!$A$5:$A$404,0)),""))</f>
        <v/>
      </c>
      <c r="L1813" s="7" t="n"/>
      <c r="M1813" s="7" t="n"/>
    </row>
    <row r="1814">
      <c r="A1814" s="7" t="n"/>
      <c r="B1814" s="75" t="n"/>
      <c r="C1814" s="7" t="n"/>
      <c r="D1814" s="7" t="n"/>
      <c r="E1814" s="9">
        <f>IF(D1814="","",IFERROR(INDEX('Stock pièces'!$B$5:$B$404,MATCH(D1814,'Stock pièces'!$A$5:$A$404,0)),"Réf. inconnue"))</f>
        <v/>
      </c>
      <c r="F1814" s="67" t="n"/>
      <c r="G1814" s="81">
        <f>IF(D1814="","",IFERROR(INDEX('Stock pièces'!$I$5:$I$404,MATCH(D1814,'Stock pièces'!$A$5:$A$404,0)),0))</f>
        <v/>
      </c>
      <c r="H1814" s="81">
        <f>IF(D1814="","",N(F1814)*N(G1814))</f>
        <v/>
      </c>
      <c r="I1814" s="7" t="n"/>
      <c r="J1814" s="9">
        <f>IF(I1814="","",IFERROR(INDEX('Ordres de travail'!$D$5:$D$3004,MATCH(I1814,'Ordres de travail'!$A$5:$A$3004,0)),""))</f>
        <v/>
      </c>
      <c r="K1814" s="9">
        <f>IF(D1814="","",IFERROR(INDEX('Stock pièces'!$D$5:$D$404,MATCH(D1814,'Stock pièces'!$A$5:$A$404,0)),""))</f>
        <v/>
      </c>
      <c r="L1814" s="7" t="n"/>
      <c r="M1814" s="7" t="n"/>
    </row>
    <row r="1815">
      <c r="A1815" s="7" t="n"/>
      <c r="B1815" s="75" t="n"/>
      <c r="C1815" s="7" t="n"/>
      <c r="D1815" s="7" t="n"/>
      <c r="E1815" s="9">
        <f>IF(D1815="","",IFERROR(INDEX('Stock pièces'!$B$5:$B$404,MATCH(D1815,'Stock pièces'!$A$5:$A$404,0)),"Réf. inconnue"))</f>
        <v/>
      </c>
      <c r="F1815" s="67" t="n"/>
      <c r="G1815" s="81">
        <f>IF(D1815="","",IFERROR(INDEX('Stock pièces'!$I$5:$I$404,MATCH(D1815,'Stock pièces'!$A$5:$A$404,0)),0))</f>
        <v/>
      </c>
      <c r="H1815" s="81">
        <f>IF(D1815="","",N(F1815)*N(G1815))</f>
        <v/>
      </c>
      <c r="I1815" s="7" t="n"/>
      <c r="J1815" s="9">
        <f>IF(I1815="","",IFERROR(INDEX('Ordres de travail'!$D$5:$D$3004,MATCH(I1815,'Ordres de travail'!$A$5:$A$3004,0)),""))</f>
        <v/>
      </c>
      <c r="K1815" s="9">
        <f>IF(D1815="","",IFERROR(INDEX('Stock pièces'!$D$5:$D$404,MATCH(D1815,'Stock pièces'!$A$5:$A$404,0)),""))</f>
        <v/>
      </c>
      <c r="L1815" s="7" t="n"/>
      <c r="M1815" s="7" t="n"/>
    </row>
    <row r="1816">
      <c r="A1816" s="7" t="n"/>
      <c r="B1816" s="75" t="n"/>
      <c r="C1816" s="7" t="n"/>
      <c r="D1816" s="7" t="n"/>
      <c r="E1816" s="9">
        <f>IF(D1816="","",IFERROR(INDEX('Stock pièces'!$B$5:$B$404,MATCH(D1816,'Stock pièces'!$A$5:$A$404,0)),"Réf. inconnue"))</f>
        <v/>
      </c>
      <c r="F1816" s="67" t="n"/>
      <c r="G1816" s="81">
        <f>IF(D1816="","",IFERROR(INDEX('Stock pièces'!$I$5:$I$404,MATCH(D1816,'Stock pièces'!$A$5:$A$404,0)),0))</f>
        <v/>
      </c>
      <c r="H1816" s="81">
        <f>IF(D1816="","",N(F1816)*N(G1816))</f>
        <v/>
      </c>
      <c r="I1816" s="7" t="n"/>
      <c r="J1816" s="9">
        <f>IF(I1816="","",IFERROR(INDEX('Ordres de travail'!$D$5:$D$3004,MATCH(I1816,'Ordres de travail'!$A$5:$A$3004,0)),""))</f>
        <v/>
      </c>
      <c r="K1816" s="9">
        <f>IF(D1816="","",IFERROR(INDEX('Stock pièces'!$D$5:$D$404,MATCH(D1816,'Stock pièces'!$A$5:$A$404,0)),""))</f>
        <v/>
      </c>
      <c r="L1816" s="7" t="n"/>
      <c r="M1816" s="7" t="n"/>
    </row>
    <row r="1817">
      <c r="A1817" s="7" t="n"/>
      <c r="B1817" s="75" t="n"/>
      <c r="C1817" s="7" t="n"/>
      <c r="D1817" s="7" t="n"/>
      <c r="E1817" s="9">
        <f>IF(D1817="","",IFERROR(INDEX('Stock pièces'!$B$5:$B$404,MATCH(D1817,'Stock pièces'!$A$5:$A$404,0)),"Réf. inconnue"))</f>
        <v/>
      </c>
      <c r="F1817" s="67" t="n"/>
      <c r="G1817" s="81">
        <f>IF(D1817="","",IFERROR(INDEX('Stock pièces'!$I$5:$I$404,MATCH(D1817,'Stock pièces'!$A$5:$A$404,0)),0))</f>
        <v/>
      </c>
      <c r="H1817" s="81">
        <f>IF(D1817="","",N(F1817)*N(G1817))</f>
        <v/>
      </c>
      <c r="I1817" s="7" t="n"/>
      <c r="J1817" s="9">
        <f>IF(I1817="","",IFERROR(INDEX('Ordres de travail'!$D$5:$D$3004,MATCH(I1817,'Ordres de travail'!$A$5:$A$3004,0)),""))</f>
        <v/>
      </c>
      <c r="K1817" s="9">
        <f>IF(D1817="","",IFERROR(INDEX('Stock pièces'!$D$5:$D$404,MATCH(D1817,'Stock pièces'!$A$5:$A$404,0)),""))</f>
        <v/>
      </c>
      <c r="L1817" s="7" t="n"/>
      <c r="M1817" s="7" t="n"/>
    </row>
    <row r="1818">
      <c r="A1818" s="7" t="n"/>
      <c r="B1818" s="75" t="n"/>
      <c r="C1818" s="7" t="n"/>
      <c r="D1818" s="7" t="n"/>
      <c r="E1818" s="9">
        <f>IF(D1818="","",IFERROR(INDEX('Stock pièces'!$B$5:$B$404,MATCH(D1818,'Stock pièces'!$A$5:$A$404,0)),"Réf. inconnue"))</f>
        <v/>
      </c>
      <c r="F1818" s="67" t="n"/>
      <c r="G1818" s="81">
        <f>IF(D1818="","",IFERROR(INDEX('Stock pièces'!$I$5:$I$404,MATCH(D1818,'Stock pièces'!$A$5:$A$404,0)),0))</f>
        <v/>
      </c>
      <c r="H1818" s="81">
        <f>IF(D1818="","",N(F1818)*N(G1818))</f>
        <v/>
      </c>
      <c r="I1818" s="7" t="n"/>
      <c r="J1818" s="9">
        <f>IF(I1818="","",IFERROR(INDEX('Ordres de travail'!$D$5:$D$3004,MATCH(I1818,'Ordres de travail'!$A$5:$A$3004,0)),""))</f>
        <v/>
      </c>
      <c r="K1818" s="9">
        <f>IF(D1818="","",IFERROR(INDEX('Stock pièces'!$D$5:$D$404,MATCH(D1818,'Stock pièces'!$A$5:$A$404,0)),""))</f>
        <v/>
      </c>
      <c r="L1818" s="7" t="n"/>
      <c r="M1818" s="7" t="n"/>
    </row>
    <row r="1819">
      <c r="A1819" s="7" t="n"/>
      <c r="B1819" s="75" t="n"/>
      <c r="C1819" s="7" t="n"/>
      <c r="D1819" s="7" t="n"/>
      <c r="E1819" s="9">
        <f>IF(D1819="","",IFERROR(INDEX('Stock pièces'!$B$5:$B$404,MATCH(D1819,'Stock pièces'!$A$5:$A$404,0)),"Réf. inconnue"))</f>
        <v/>
      </c>
      <c r="F1819" s="67" t="n"/>
      <c r="G1819" s="81">
        <f>IF(D1819="","",IFERROR(INDEX('Stock pièces'!$I$5:$I$404,MATCH(D1819,'Stock pièces'!$A$5:$A$404,0)),0))</f>
        <v/>
      </c>
      <c r="H1819" s="81">
        <f>IF(D1819="","",N(F1819)*N(G1819))</f>
        <v/>
      </c>
      <c r="I1819" s="7" t="n"/>
      <c r="J1819" s="9">
        <f>IF(I1819="","",IFERROR(INDEX('Ordres de travail'!$D$5:$D$3004,MATCH(I1819,'Ordres de travail'!$A$5:$A$3004,0)),""))</f>
        <v/>
      </c>
      <c r="K1819" s="9">
        <f>IF(D1819="","",IFERROR(INDEX('Stock pièces'!$D$5:$D$404,MATCH(D1819,'Stock pièces'!$A$5:$A$404,0)),""))</f>
        <v/>
      </c>
      <c r="L1819" s="7" t="n"/>
      <c r="M1819" s="7" t="n"/>
    </row>
    <row r="1820">
      <c r="A1820" s="7" t="n"/>
      <c r="B1820" s="75" t="n"/>
      <c r="C1820" s="7" t="n"/>
      <c r="D1820" s="7" t="n"/>
      <c r="E1820" s="9">
        <f>IF(D1820="","",IFERROR(INDEX('Stock pièces'!$B$5:$B$404,MATCH(D1820,'Stock pièces'!$A$5:$A$404,0)),"Réf. inconnue"))</f>
        <v/>
      </c>
      <c r="F1820" s="67" t="n"/>
      <c r="G1820" s="81">
        <f>IF(D1820="","",IFERROR(INDEX('Stock pièces'!$I$5:$I$404,MATCH(D1820,'Stock pièces'!$A$5:$A$404,0)),0))</f>
        <v/>
      </c>
      <c r="H1820" s="81">
        <f>IF(D1820="","",N(F1820)*N(G1820))</f>
        <v/>
      </c>
      <c r="I1820" s="7" t="n"/>
      <c r="J1820" s="9">
        <f>IF(I1820="","",IFERROR(INDEX('Ordres de travail'!$D$5:$D$3004,MATCH(I1820,'Ordres de travail'!$A$5:$A$3004,0)),""))</f>
        <v/>
      </c>
      <c r="K1820" s="9">
        <f>IF(D1820="","",IFERROR(INDEX('Stock pièces'!$D$5:$D$404,MATCH(D1820,'Stock pièces'!$A$5:$A$404,0)),""))</f>
        <v/>
      </c>
      <c r="L1820" s="7" t="n"/>
      <c r="M1820" s="7" t="n"/>
    </row>
    <row r="1821">
      <c r="A1821" s="7" t="n"/>
      <c r="B1821" s="75" t="n"/>
      <c r="C1821" s="7" t="n"/>
      <c r="D1821" s="7" t="n"/>
      <c r="E1821" s="9">
        <f>IF(D1821="","",IFERROR(INDEX('Stock pièces'!$B$5:$B$404,MATCH(D1821,'Stock pièces'!$A$5:$A$404,0)),"Réf. inconnue"))</f>
        <v/>
      </c>
      <c r="F1821" s="67" t="n"/>
      <c r="G1821" s="81">
        <f>IF(D1821="","",IFERROR(INDEX('Stock pièces'!$I$5:$I$404,MATCH(D1821,'Stock pièces'!$A$5:$A$404,0)),0))</f>
        <v/>
      </c>
      <c r="H1821" s="81">
        <f>IF(D1821="","",N(F1821)*N(G1821))</f>
        <v/>
      </c>
      <c r="I1821" s="7" t="n"/>
      <c r="J1821" s="9">
        <f>IF(I1821="","",IFERROR(INDEX('Ordres de travail'!$D$5:$D$3004,MATCH(I1821,'Ordres de travail'!$A$5:$A$3004,0)),""))</f>
        <v/>
      </c>
      <c r="K1821" s="9">
        <f>IF(D1821="","",IFERROR(INDEX('Stock pièces'!$D$5:$D$404,MATCH(D1821,'Stock pièces'!$A$5:$A$404,0)),""))</f>
        <v/>
      </c>
      <c r="L1821" s="7" t="n"/>
      <c r="M1821" s="7" t="n"/>
    </row>
    <row r="1822">
      <c r="A1822" s="7" t="n"/>
      <c r="B1822" s="75" t="n"/>
      <c r="C1822" s="7" t="n"/>
      <c r="D1822" s="7" t="n"/>
      <c r="E1822" s="9">
        <f>IF(D1822="","",IFERROR(INDEX('Stock pièces'!$B$5:$B$404,MATCH(D1822,'Stock pièces'!$A$5:$A$404,0)),"Réf. inconnue"))</f>
        <v/>
      </c>
      <c r="F1822" s="67" t="n"/>
      <c r="G1822" s="81">
        <f>IF(D1822="","",IFERROR(INDEX('Stock pièces'!$I$5:$I$404,MATCH(D1822,'Stock pièces'!$A$5:$A$404,0)),0))</f>
        <v/>
      </c>
      <c r="H1822" s="81">
        <f>IF(D1822="","",N(F1822)*N(G1822))</f>
        <v/>
      </c>
      <c r="I1822" s="7" t="n"/>
      <c r="J1822" s="9">
        <f>IF(I1822="","",IFERROR(INDEX('Ordres de travail'!$D$5:$D$3004,MATCH(I1822,'Ordres de travail'!$A$5:$A$3004,0)),""))</f>
        <v/>
      </c>
      <c r="K1822" s="9">
        <f>IF(D1822="","",IFERROR(INDEX('Stock pièces'!$D$5:$D$404,MATCH(D1822,'Stock pièces'!$A$5:$A$404,0)),""))</f>
        <v/>
      </c>
      <c r="L1822" s="7" t="n"/>
      <c r="M1822" s="7" t="n"/>
    </row>
    <row r="1823">
      <c r="A1823" s="7" t="n"/>
      <c r="B1823" s="75" t="n"/>
      <c r="C1823" s="7" t="n"/>
      <c r="D1823" s="7" t="n"/>
      <c r="E1823" s="9">
        <f>IF(D1823="","",IFERROR(INDEX('Stock pièces'!$B$5:$B$404,MATCH(D1823,'Stock pièces'!$A$5:$A$404,0)),"Réf. inconnue"))</f>
        <v/>
      </c>
      <c r="F1823" s="67" t="n"/>
      <c r="G1823" s="81">
        <f>IF(D1823="","",IFERROR(INDEX('Stock pièces'!$I$5:$I$404,MATCH(D1823,'Stock pièces'!$A$5:$A$404,0)),0))</f>
        <v/>
      </c>
      <c r="H1823" s="81">
        <f>IF(D1823="","",N(F1823)*N(G1823))</f>
        <v/>
      </c>
      <c r="I1823" s="7" t="n"/>
      <c r="J1823" s="9">
        <f>IF(I1823="","",IFERROR(INDEX('Ordres de travail'!$D$5:$D$3004,MATCH(I1823,'Ordres de travail'!$A$5:$A$3004,0)),""))</f>
        <v/>
      </c>
      <c r="K1823" s="9">
        <f>IF(D1823="","",IFERROR(INDEX('Stock pièces'!$D$5:$D$404,MATCH(D1823,'Stock pièces'!$A$5:$A$404,0)),""))</f>
        <v/>
      </c>
      <c r="L1823" s="7" t="n"/>
      <c r="M1823" s="7" t="n"/>
    </row>
    <row r="1824">
      <c r="A1824" s="7" t="n"/>
      <c r="B1824" s="75" t="n"/>
      <c r="C1824" s="7" t="n"/>
      <c r="D1824" s="7" t="n"/>
      <c r="E1824" s="9">
        <f>IF(D1824="","",IFERROR(INDEX('Stock pièces'!$B$5:$B$404,MATCH(D1824,'Stock pièces'!$A$5:$A$404,0)),"Réf. inconnue"))</f>
        <v/>
      </c>
      <c r="F1824" s="67" t="n"/>
      <c r="G1824" s="81">
        <f>IF(D1824="","",IFERROR(INDEX('Stock pièces'!$I$5:$I$404,MATCH(D1824,'Stock pièces'!$A$5:$A$404,0)),0))</f>
        <v/>
      </c>
      <c r="H1824" s="81">
        <f>IF(D1824="","",N(F1824)*N(G1824))</f>
        <v/>
      </c>
      <c r="I1824" s="7" t="n"/>
      <c r="J1824" s="9">
        <f>IF(I1824="","",IFERROR(INDEX('Ordres de travail'!$D$5:$D$3004,MATCH(I1824,'Ordres de travail'!$A$5:$A$3004,0)),""))</f>
        <v/>
      </c>
      <c r="K1824" s="9">
        <f>IF(D1824="","",IFERROR(INDEX('Stock pièces'!$D$5:$D$404,MATCH(D1824,'Stock pièces'!$A$5:$A$404,0)),""))</f>
        <v/>
      </c>
      <c r="L1824" s="7" t="n"/>
      <c r="M1824" s="7" t="n"/>
    </row>
    <row r="1825">
      <c r="A1825" s="7" t="n"/>
      <c r="B1825" s="75" t="n"/>
      <c r="C1825" s="7" t="n"/>
      <c r="D1825" s="7" t="n"/>
      <c r="E1825" s="9">
        <f>IF(D1825="","",IFERROR(INDEX('Stock pièces'!$B$5:$B$404,MATCH(D1825,'Stock pièces'!$A$5:$A$404,0)),"Réf. inconnue"))</f>
        <v/>
      </c>
      <c r="F1825" s="67" t="n"/>
      <c r="G1825" s="81">
        <f>IF(D1825="","",IFERROR(INDEX('Stock pièces'!$I$5:$I$404,MATCH(D1825,'Stock pièces'!$A$5:$A$404,0)),0))</f>
        <v/>
      </c>
      <c r="H1825" s="81">
        <f>IF(D1825="","",N(F1825)*N(G1825))</f>
        <v/>
      </c>
      <c r="I1825" s="7" t="n"/>
      <c r="J1825" s="9">
        <f>IF(I1825="","",IFERROR(INDEX('Ordres de travail'!$D$5:$D$3004,MATCH(I1825,'Ordres de travail'!$A$5:$A$3004,0)),""))</f>
        <v/>
      </c>
      <c r="K1825" s="9">
        <f>IF(D1825="","",IFERROR(INDEX('Stock pièces'!$D$5:$D$404,MATCH(D1825,'Stock pièces'!$A$5:$A$404,0)),""))</f>
        <v/>
      </c>
      <c r="L1825" s="7" t="n"/>
      <c r="M1825" s="7" t="n"/>
    </row>
    <row r="1826">
      <c r="A1826" s="7" t="n"/>
      <c r="B1826" s="75" t="n"/>
      <c r="C1826" s="7" t="n"/>
      <c r="D1826" s="7" t="n"/>
      <c r="E1826" s="9">
        <f>IF(D1826="","",IFERROR(INDEX('Stock pièces'!$B$5:$B$404,MATCH(D1826,'Stock pièces'!$A$5:$A$404,0)),"Réf. inconnue"))</f>
        <v/>
      </c>
      <c r="F1826" s="67" t="n"/>
      <c r="G1826" s="81">
        <f>IF(D1826="","",IFERROR(INDEX('Stock pièces'!$I$5:$I$404,MATCH(D1826,'Stock pièces'!$A$5:$A$404,0)),0))</f>
        <v/>
      </c>
      <c r="H1826" s="81">
        <f>IF(D1826="","",N(F1826)*N(G1826))</f>
        <v/>
      </c>
      <c r="I1826" s="7" t="n"/>
      <c r="J1826" s="9">
        <f>IF(I1826="","",IFERROR(INDEX('Ordres de travail'!$D$5:$D$3004,MATCH(I1826,'Ordres de travail'!$A$5:$A$3004,0)),""))</f>
        <v/>
      </c>
      <c r="K1826" s="9">
        <f>IF(D1826="","",IFERROR(INDEX('Stock pièces'!$D$5:$D$404,MATCH(D1826,'Stock pièces'!$A$5:$A$404,0)),""))</f>
        <v/>
      </c>
      <c r="L1826" s="7" t="n"/>
      <c r="M1826" s="7" t="n"/>
    </row>
    <row r="1827">
      <c r="A1827" s="7" t="n"/>
      <c r="B1827" s="75" t="n"/>
      <c r="C1827" s="7" t="n"/>
      <c r="D1827" s="7" t="n"/>
      <c r="E1827" s="9">
        <f>IF(D1827="","",IFERROR(INDEX('Stock pièces'!$B$5:$B$404,MATCH(D1827,'Stock pièces'!$A$5:$A$404,0)),"Réf. inconnue"))</f>
        <v/>
      </c>
      <c r="F1827" s="67" t="n"/>
      <c r="G1827" s="81">
        <f>IF(D1827="","",IFERROR(INDEX('Stock pièces'!$I$5:$I$404,MATCH(D1827,'Stock pièces'!$A$5:$A$404,0)),0))</f>
        <v/>
      </c>
      <c r="H1827" s="81">
        <f>IF(D1827="","",N(F1827)*N(G1827))</f>
        <v/>
      </c>
      <c r="I1827" s="7" t="n"/>
      <c r="J1827" s="9">
        <f>IF(I1827="","",IFERROR(INDEX('Ordres de travail'!$D$5:$D$3004,MATCH(I1827,'Ordres de travail'!$A$5:$A$3004,0)),""))</f>
        <v/>
      </c>
      <c r="K1827" s="9">
        <f>IF(D1827="","",IFERROR(INDEX('Stock pièces'!$D$5:$D$404,MATCH(D1827,'Stock pièces'!$A$5:$A$404,0)),""))</f>
        <v/>
      </c>
      <c r="L1827" s="7" t="n"/>
      <c r="M1827" s="7" t="n"/>
    </row>
    <row r="1828">
      <c r="A1828" s="7" t="n"/>
      <c r="B1828" s="75" t="n"/>
      <c r="C1828" s="7" t="n"/>
      <c r="D1828" s="7" t="n"/>
      <c r="E1828" s="9">
        <f>IF(D1828="","",IFERROR(INDEX('Stock pièces'!$B$5:$B$404,MATCH(D1828,'Stock pièces'!$A$5:$A$404,0)),"Réf. inconnue"))</f>
        <v/>
      </c>
      <c r="F1828" s="67" t="n"/>
      <c r="G1828" s="81">
        <f>IF(D1828="","",IFERROR(INDEX('Stock pièces'!$I$5:$I$404,MATCH(D1828,'Stock pièces'!$A$5:$A$404,0)),0))</f>
        <v/>
      </c>
      <c r="H1828" s="81">
        <f>IF(D1828="","",N(F1828)*N(G1828))</f>
        <v/>
      </c>
      <c r="I1828" s="7" t="n"/>
      <c r="J1828" s="9">
        <f>IF(I1828="","",IFERROR(INDEX('Ordres de travail'!$D$5:$D$3004,MATCH(I1828,'Ordres de travail'!$A$5:$A$3004,0)),""))</f>
        <v/>
      </c>
      <c r="K1828" s="9">
        <f>IF(D1828="","",IFERROR(INDEX('Stock pièces'!$D$5:$D$404,MATCH(D1828,'Stock pièces'!$A$5:$A$404,0)),""))</f>
        <v/>
      </c>
      <c r="L1828" s="7" t="n"/>
      <c r="M1828" s="7" t="n"/>
    </row>
    <row r="1829">
      <c r="A1829" s="7" t="n"/>
      <c r="B1829" s="75" t="n"/>
      <c r="C1829" s="7" t="n"/>
      <c r="D1829" s="7" t="n"/>
      <c r="E1829" s="9">
        <f>IF(D1829="","",IFERROR(INDEX('Stock pièces'!$B$5:$B$404,MATCH(D1829,'Stock pièces'!$A$5:$A$404,0)),"Réf. inconnue"))</f>
        <v/>
      </c>
      <c r="F1829" s="67" t="n"/>
      <c r="G1829" s="81">
        <f>IF(D1829="","",IFERROR(INDEX('Stock pièces'!$I$5:$I$404,MATCH(D1829,'Stock pièces'!$A$5:$A$404,0)),0))</f>
        <v/>
      </c>
      <c r="H1829" s="81">
        <f>IF(D1829="","",N(F1829)*N(G1829))</f>
        <v/>
      </c>
      <c r="I1829" s="7" t="n"/>
      <c r="J1829" s="9">
        <f>IF(I1829="","",IFERROR(INDEX('Ordres de travail'!$D$5:$D$3004,MATCH(I1829,'Ordres de travail'!$A$5:$A$3004,0)),""))</f>
        <v/>
      </c>
      <c r="K1829" s="9">
        <f>IF(D1829="","",IFERROR(INDEX('Stock pièces'!$D$5:$D$404,MATCH(D1829,'Stock pièces'!$A$5:$A$404,0)),""))</f>
        <v/>
      </c>
      <c r="L1829" s="7" t="n"/>
      <c r="M1829" s="7" t="n"/>
    </row>
    <row r="1830">
      <c r="A1830" s="7" t="n"/>
      <c r="B1830" s="75" t="n"/>
      <c r="C1830" s="7" t="n"/>
      <c r="D1830" s="7" t="n"/>
      <c r="E1830" s="9">
        <f>IF(D1830="","",IFERROR(INDEX('Stock pièces'!$B$5:$B$404,MATCH(D1830,'Stock pièces'!$A$5:$A$404,0)),"Réf. inconnue"))</f>
        <v/>
      </c>
      <c r="F1830" s="67" t="n"/>
      <c r="G1830" s="81">
        <f>IF(D1830="","",IFERROR(INDEX('Stock pièces'!$I$5:$I$404,MATCH(D1830,'Stock pièces'!$A$5:$A$404,0)),0))</f>
        <v/>
      </c>
      <c r="H1830" s="81">
        <f>IF(D1830="","",N(F1830)*N(G1830))</f>
        <v/>
      </c>
      <c r="I1830" s="7" t="n"/>
      <c r="J1830" s="9">
        <f>IF(I1830="","",IFERROR(INDEX('Ordres de travail'!$D$5:$D$3004,MATCH(I1830,'Ordres de travail'!$A$5:$A$3004,0)),""))</f>
        <v/>
      </c>
      <c r="K1830" s="9">
        <f>IF(D1830="","",IFERROR(INDEX('Stock pièces'!$D$5:$D$404,MATCH(D1830,'Stock pièces'!$A$5:$A$404,0)),""))</f>
        <v/>
      </c>
      <c r="L1830" s="7" t="n"/>
      <c r="M1830" s="7" t="n"/>
    </row>
    <row r="1831">
      <c r="A1831" s="7" t="n"/>
      <c r="B1831" s="75" t="n"/>
      <c r="C1831" s="7" t="n"/>
      <c r="D1831" s="7" t="n"/>
      <c r="E1831" s="9">
        <f>IF(D1831="","",IFERROR(INDEX('Stock pièces'!$B$5:$B$404,MATCH(D1831,'Stock pièces'!$A$5:$A$404,0)),"Réf. inconnue"))</f>
        <v/>
      </c>
      <c r="F1831" s="67" t="n"/>
      <c r="G1831" s="81">
        <f>IF(D1831="","",IFERROR(INDEX('Stock pièces'!$I$5:$I$404,MATCH(D1831,'Stock pièces'!$A$5:$A$404,0)),0))</f>
        <v/>
      </c>
      <c r="H1831" s="81">
        <f>IF(D1831="","",N(F1831)*N(G1831))</f>
        <v/>
      </c>
      <c r="I1831" s="7" t="n"/>
      <c r="J1831" s="9">
        <f>IF(I1831="","",IFERROR(INDEX('Ordres de travail'!$D$5:$D$3004,MATCH(I1831,'Ordres de travail'!$A$5:$A$3004,0)),""))</f>
        <v/>
      </c>
      <c r="K1831" s="9">
        <f>IF(D1831="","",IFERROR(INDEX('Stock pièces'!$D$5:$D$404,MATCH(D1831,'Stock pièces'!$A$5:$A$404,0)),""))</f>
        <v/>
      </c>
      <c r="L1831" s="7" t="n"/>
      <c r="M1831" s="7" t="n"/>
    </row>
    <row r="1832">
      <c r="A1832" s="7" t="n"/>
      <c r="B1832" s="75" t="n"/>
      <c r="C1832" s="7" t="n"/>
      <c r="D1832" s="7" t="n"/>
      <c r="E1832" s="9">
        <f>IF(D1832="","",IFERROR(INDEX('Stock pièces'!$B$5:$B$404,MATCH(D1832,'Stock pièces'!$A$5:$A$404,0)),"Réf. inconnue"))</f>
        <v/>
      </c>
      <c r="F1832" s="67" t="n"/>
      <c r="G1832" s="81">
        <f>IF(D1832="","",IFERROR(INDEX('Stock pièces'!$I$5:$I$404,MATCH(D1832,'Stock pièces'!$A$5:$A$404,0)),0))</f>
        <v/>
      </c>
      <c r="H1832" s="81">
        <f>IF(D1832="","",N(F1832)*N(G1832))</f>
        <v/>
      </c>
      <c r="I1832" s="7" t="n"/>
      <c r="J1832" s="9">
        <f>IF(I1832="","",IFERROR(INDEX('Ordres de travail'!$D$5:$D$3004,MATCH(I1832,'Ordres de travail'!$A$5:$A$3004,0)),""))</f>
        <v/>
      </c>
      <c r="K1832" s="9">
        <f>IF(D1832="","",IFERROR(INDEX('Stock pièces'!$D$5:$D$404,MATCH(D1832,'Stock pièces'!$A$5:$A$404,0)),""))</f>
        <v/>
      </c>
      <c r="L1832" s="7" t="n"/>
      <c r="M1832" s="7" t="n"/>
    </row>
    <row r="1833">
      <c r="A1833" s="7" t="n"/>
      <c r="B1833" s="75" t="n"/>
      <c r="C1833" s="7" t="n"/>
      <c r="D1833" s="7" t="n"/>
      <c r="E1833" s="9">
        <f>IF(D1833="","",IFERROR(INDEX('Stock pièces'!$B$5:$B$404,MATCH(D1833,'Stock pièces'!$A$5:$A$404,0)),"Réf. inconnue"))</f>
        <v/>
      </c>
      <c r="F1833" s="67" t="n"/>
      <c r="G1833" s="81">
        <f>IF(D1833="","",IFERROR(INDEX('Stock pièces'!$I$5:$I$404,MATCH(D1833,'Stock pièces'!$A$5:$A$404,0)),0))</f>
        <v/>
      </c>
      <c r="H1833" s="81">
        <f>IF(D1833="","",N(F1833)*N(G1833))</f>
        <v/>
      </c>
      <c r="I1833" s="7" t="n"/>
      <c r="J1833" s="9">
        <f>IF(I1833="","",IFERROR(INDEX('Ordres de travail'!$D$5:$D$3004,MATCH(I1833,'Ordres de travail'!$A$5:$A$3004,0)),""))</f>
        <v/>
      </c>
      <c r="K1833" s="9">
        <f>IF(D1833="","",IFERROR(INDEX('Stock pièces'!$D$5:$D$404,MATCH(D1833,'Stock pièces'!$A$5:$A$404,0)),""))</f>
        <v/>
      </c>
      <c r="L1833" s="7" t="n"/>
      <c r="M1833" s="7" t="n"/>
    </row>
    <row r="1834">
      <c r="A1834" s="7" t="n"/>
      <c r="B1834" s="75" t="n"/>
      <c r="C1834" s="7" t="n"/>
      <c r="D1834" s="7" t="n"/>
      <c r="E1834" s="9">
        <f>IF(D1834="","",IFERROR(INDEX('Stock pièces'!$B$5:$B$404,MATCH(D1834,'Stock pièces'!$A$5:$A$404,0)),"Réf. inconnue"))</f>
        <v/>
      </c>
      <c r="F1834" s="67" t="n"/>
      <c r="G1834" s="81">
        <f>IF(D1834="","",IFERROR(INDEX('Stock pièces'!$I$5:$I$404,MATCH(D1834,'Stock pièces'!$A$5:$A$404,0)),0))</f>
        <v/>
      </c>
      <c r="H1834" s="81">
        <f>IF(D1834="","",N(F1834)*N(G1834))</f>
        <v/>
      </c>
      <c r="I1834" s="7" t="n"/>
      <c r="J1834" s="9">
        <f>IF(I1834="","",IFERROR(INDEX('Ordres de travail'!$D$5:$D$3004,MATCH(I1834,'Ordres de travail'!$A$5:$A$3004,0)),""))</f>
        <v/>
      </c>
      <c r="K1834" s="9">
        <f>IF(D1834="","",IFERROR(INDEX('Stock pièces'!$D$5:$D$404,MATCH(D1834,'Stock pièces'!$A$5:$A$404,0)),""))</f>
        <v/>
      </c>
      <c r="L1834" s="7" t="n"/>
      <c r="M1834" s="7" t="n"/>
    </row>
    <row r="1835">
      <c r="A1835" s="7" t="n"/>
      <c r="B1835" s="75" t="n"/>
      <c r="C1835" s="7" t="n"/>
      <c r="D1835" s="7" t="n"/>
      <c r="E1835" s="9">
        <f>IF(D1835="","",IFERROR(INDEX('Stock pièces'!$B$5:$B$404,MATCH(D1835,'Stock pièces'!$A$5:$A$404,0)),"Réf. inconnue"))</f>
        <v/>
      </c>
      <c r="F1835" s="67" t="n"/>
      <c r="G1835" s="81">
        <f>IF(D1835="","",IFERROR(INDEX('Stock pièces'!$I$5:$I$404,MATCH(D1835,'Stock pièces'!$A$5:$A$404,0)),0))</f>
        <v/>
      </c>
      <c r="H1835" s="81">
        <f>IF(D1835="","",N(F1835)*N(G1835))</f>
        <v/>
      </c>
      <c r="I1835" s="7" t="n"/>
      <c r="J1835" s="9">
        <f>IF(I1835="","",IFERROR(INDEX('Ordres de travail'!$D$5:$D$3004,MATCH(I1835,'Ordres de travail'!$A$5:$A$3004,0)),""))</f>
        <v/>
      </c>
      <c r="K1835" s="9">
        <f>IF(D1835="","",IFERROR(INDEX('Stock pièces'!$D$5:$D$404,MATCH(D1835,'Stock pièces'!$A$5:$A$404,0)),""))</f>
        <v/>
      </c>
      <c r="L1835" s="7" t="n"/>
      <c r="M1835" s="7" t="n"/>
    </row>
    <row r="1836">
      <c r="A1836" s="7" t="n"/>
      <c r="B1836" s="75" t="n"/>
      <c r="C1836" s="7" t="n"/>
      <c r="D1836" s="7" t="n"/>
      <c r="E1836" s="9">
        <f>IF(D1836="","",IFERROR(INDEX('Stock pièces'!$B$5:$B$404,MATCH(D1836,'Stock pièces'!$A$5:$A$404,0)),"Réf. inconnue"))</f>
        <v/>
      </c>
      <c r="F1836" s="67" t="n"/>
      <c r="G1836" s="81">
        <f>IF(D1836="","",IFERROR(INDEX('Stock pièces'!$I$5:$I$404,MATCH(D1836,'Stock pièces'!$A$5:$A$404,0)),0))</f>
        <v/>
      </c>
      <c r="H1836" s="81">
        <f>IF(D1836="","",N(F1836)*N(G1836))</f>
        <v/>
      </c>
      <c r="I1836" s="7" t="n"/>
      <c r="J1836" s="9">
        <f>IF(I1836="","",IFERROR(INDEX('Ordres de travail'!$D$5:$D$3004,MATCH(I1836,'Ordres de travail'!$A$5:$A$3004,0)),""))</f>
        <v/>
      </c>
      <c r="K1836" s="9">
        <f>IF(D1836="","",IFERROR(INDEX('Stock pièces'!$D$5:$D$404,MATCH(D1836,'Stock pièces'!$A$5:$A$404,0)),""))</f>
        <v/>
      </c>
      <c r="L1836" s="7" t="n"/>
      <c r="M1836" s="7" t="n"/>
    </row>
    <row r="1837">
      <c r="A1837" s="7" t="n"/>
      <c r="B1837" s="75" t="n"/>
      <c r="C1837" s="7" t="n"/>
      <c r="D1837" s="7" t="n"/>
      <c r="E1837" s="9">
        <f>IF(D1837="","",IFERROR(INDEX('Stock pièces'!$B$5:$B$404,MATCH(D1837,'Stock pièces'!$A$5:$A$404,0)),"Réf. inconnue"))</f>
        <v/>
      </c>
      <c r="F1837" s="67" t="n"/>
      <c r="G1837" s="81">
        <f>IF(D1837="","",IFERROR(INDEX('Stock pièces'!$I$5:$I$404,MATCH(D1837,'Stock pièces'!$A$5:$A$404,0)),0))</f>
        <v/>
      </c>
      <c r="H1837" s="81">
        <f>IF(D1837="","",N(F1837)*N(G1837))</f>
        <v/>
      </c>
      <c r="I1837" s="7" t="n"/>
      <c r="J1837" s="9">
        <f>IF(I1837="","",IFERROR(INDEX('Ordres de travail'!$D$5:$D$3004,MATCH(I1837,'Ordres de travail'!$A$5:$A$3004,0)),""))</f>
        <v/>
      </c>
      <c r="K1837" s="9">
        <f>IF(D1837="","",IFERROR(INDEX('Stock pièces'!$D$5:$D$404,MATCH(D1837,'Stock pièces'!$A$5:$A$404,0)),""))</f>
        <v/>
      </c>
      <c r="L1837" s="7" t="n"/>
      <c r="M1837" s="7" t="n"/>
    </row>
    <row r="1838">
      <c r="A1838" s="7" t="n"/>
      <c r="B1838" s="75" t="n"/>
      <c r="C1838" s="7" t="n"/>
      <c r="D1838" s="7" t="n"/>
      <c r="E1838" s="9">
        <f>IF(D1838="","",IFERROR(INDEX('Stock pièces'!$B$5:$B$404,MATCH(D1838,'Stock pièces'!$A$5:$A$404,0)),"Réf. inconnue"))</f>
        <v/>
      </c>
      <c r="F1838" s="67" t="n"/>
      <c r="G1838" s="81">
        <f>IF(D1838="","",IFERROR(INDEX('Stock pièces'!$I$5:$I$404,MATCH(D1838,'Stock pièces'!$A$5:$A$404,0)),0))</f>
        <v/>
      </c>
      <c r="H1838" s="81">
        <f>IF(D1838="","",N(F1838)*N(G1838))</f>
        <v/>
      </c>
      <c r="I1838" s="7" t="n"/>
      <c r="J1838" s="9">
        <f>IF(I1838="","",IFERROR(INDEX('Ordres de travail'!$D$5:$D$3004,MATCH(I1838,'Ordres de travail'!$A$5:$A$3004,0)),""))</f>
        <v/>
      </c>
      <c r="K1838" s="9">
        <f>IF(D1838="","",IFERROR(INDEX('Stock pièces'!$D$5:$D$404,MATCH(D1838,'Stock pièces'!$A$5:$A$404,0)),""))</f>
        <v/>
      </c>
      <c r="L1838" s="7" t="n"/>
      <c r="M1838" s="7" t="n"/>
    </row>
    <row r="1839">
      <c r="A1839" s="7" t="n"/>
      <c r="B1839" s="75" t="n"/>
      <c r="C1839" s="7" t="n"/>
      <c r="D1839" s="7" t="n"/>
      <c r="E1839" s="9">
        <f>IF(D1839="","",IFERROR(INDEX('Stock pièces'!$B$5:$B$404,MATCH(D1839,'Stock pièces'!$A$5:$A$404,0)),"Réf. inconnue"))</f>
        <v/>
      </c>
      <c r="F1839" s="67" t="n"/>
      <c r="G1839" s="81">
        <f>IF(D1839="","",IFERROR(INDEX('Stock pièces'!$I$5:$I$404,MATCH(D1839,'Stock pièces'!$A$5:$A$404,0)),0))</f>
        <v/>
      </c>
      <c r="H1839" s="81">
        <f>IF(D1839="","",N(F1839)*N(G1839))</f>
        <v/>
      </c>
      <c r="I1839" s="7" t="n"/>
      <c r="J1839" s="9">
        <f>IF(I1839="","",IFERROR(INDEX('Ordres de travail'!$D$5:$D$3004,MATCH(I1839,'Ordres de travail'!$A$5:$A$3004,0)),""))</f>
        <v/>
      </c>
      <c r="K1839" s="9">
        <f>IF(D1839="","",IFERROR(INDEX('Stock pièces'!$D$5:$D$404,MATCH(D1839,'Stock pièces'!$A$5:$A$404,0)),""))</f>
        <v/>
      </c>
      <c r="L1839" s="7" t="n"/>
      <c r="M1839" s="7" t="n"/>
    </row>
    <row r="1840">
      <c r="A1840" s="7" t="n"/>
      <c r="B1840" s="75" t="n"/>
      <c r="C1840" s="7" t="n"/>
      <c r="D1840" s="7" t="n"/>
      <c r="E1840" s="9">
        <f>IF(D1840="","",IFERROR(INDEX('Stock pièces'!$B$5:$B$404,MATCH(D1840,'Stock pièces'!$A$5:$A$404,0)),"Réf. inconnue"))</f>
        <v/>
      </c>
      <c r="F1840" s="67" t="n"/>
      <c r="G1840" s="81">
        <f>IF(D1840="","",IFERROR(INDEX('Stock pièces'!$I$5:$I$404,MATCH(D1840,'Stock pièces'!$A$5:$A$404,0)),0))</f>
        <v/>
      </c>
      <c r="H1840" s="81">
        <f>IF(D1840="","",N(F1840)*N(G1840))</f>
        <v/>
      </c>
      <c r="I1840" s="7" t="n"/>
      <c r="J1840" s="9">
        <f>IF(I1840="","",IFERROR(INDEX('Ordres de travail'!$D$5:$D$3004,MATCH(I1840,'Ordres de travail'!$A$5:$A$3004,0)),""))</f>
        <v/>
      </c>
      <c r="K1840" s="9">
        <f>IF(D1840="","",IFERROR(INDEX('Stock pièces'!$D$5:$D$404,MATCH(D1840,'Stock pièces'!$A$5:$A$404,0)),""))</f>
        <v/>
      </c>
      <c r="L1840" s="7" t="n"/>
      <c r="M1840" s="7" t="n"/>
    </row>
    <row r="1841">
      <c r="A1841" s="7" t="n"/>
      <c r="B1841" s="75" t="n"/>
      <c r="C1841" s="7" t="n"/>
      <c r="D1841" s="7" t="n"/>
      <c r="E1841" s="9">
        <f>IF(D1841="","",IFERROR(INDEX('Stock pièces'!$B$5:$B$404,MATCH(D1841,'Stock pièces'!$A$5:$A$404,0)),"Réf. inconnue"))</f>
        <v/>
      </c>
      <c r="F1841" s="67" t="n"/>
      <c r="G1841" s="81">
        <f>IF(D1841="","",IFERROR(INDEX('Stock pièces'!$I$5:$I$404,MATCH(D1841,'Stock pièces'!$A$5:$A$404,0)),0))</f>
        <v/>
      </c>
      <c r="H1841" s="81">
        <f>IF(D1841="","",N(F1841)*N(G1841))</f>
        <v/>
      </c>
      <c r="I1841" s="7" t="n"/>
      <c r="J1841" s="9">
        <f>IF(I1841="","",IFERROR(INDEX('Ordres de travail'!$D$5:$D$3004,MATCH(I1841,'Ordres de travail'!$A$5:$A$3004,0)),""))</f>
        <v/>
      </c>
      <c r="K1841" s="9">
        <f>IF(D1841="","",IFERROR(INDEX('Stock pièces'!$D$5:$D$404,MATCH(D1841,'Stock pièces'!$A$5:$A$404,0)),""))</f>
        <v/>
      </c>
      <c r="L1841" s="7" t="n"/>
      <c r="M1841" s="7" t="n"/>
    </row>
    <row r="1842">
      <c r="A1842" s="7" t="n"/>
      <c r="B1842" s="75" t="n"/>
      <c r="C1842" s="7" t="n"/>
      <c r="D1842" s="7" t="n"/>
      <c r="E1842" s="9">
        <f>IF(D1842="","",IFERROR(INDEX('Stock pièces'!$B$5:$B$404,MATCH(D1842,'Stock pièces'!$A$5:$A$404,0)),"Réf. inconnue"))</f>
        <v/>
      </c>
      <c r="F1842" s="67" t="n"/>
      <c r="G1842" s="81">
        <f>IF(D1842="","",IFERROR(INDEX('Stock pièces'!$I$5:$I$404,MATCH(D1842,'Stock pièces'!$A$5:$A$404,0)),0))</f>
        <v/>
      </c>
      <c r="H1842" s="81">
        <f>IF(D1842="","",N(F1842)*N(G1842))</f>
        <v/>
      </c>
      <c r="I1842" s="7" t="n"/>
      <c r="J1842" s="9">
        <f>IF(I1842="","",IFERROR(INDEX('Ordres de travail'!$D$5:$D$3004,MATCH(I1842,'Ordres de travail'!$A$5:$A$3004,0)),""))</f>
        <v/>
      </c>
      <c r="K1842" s="9">
        <f>IF(D1842="","",IFERROR(INDEX('Stock pièces'!$D$5:$D$404,MATCH(D1842,'Stock pièces'!$A$5:$A$404,0)),""))</f>
        <v/>
      </c>
      <c r="L1842" s="7" t="n"/>
      <c r="M1842" s="7" t="n"/>
    </row>
    <row r="1843">
      <c r="A1843" s="7" t="n"/>
      <c r="B1843" s="75" t="n"/>
      <c r="C1843" s="7" t="n"/>
      <c r="D1843" s="7" t="n"/>
      <c r="E1843" s="9">
        <f>IF(D1843="","",IFERROR(INDEX('Stock pièces'!$B$5:$B$404,MATCH(D1843,'Stock pièces'!$A$5:$A$404,0)),"Réf. inconnue"))</f>
        <v/>
      </c>
      <c r="F1843" s="67" t="n"/>
      <c r="G1843" s="81">
        <f>IF(D1843="","",IFERROR(INDEX('Stock pièces'!$I$5:$I$404,MATCH(D1843,'Stock pièces'!$A$5:$A$404,0)),0))</f>
        <v/>
      </c>
      <c r="H1843" s="81">
        <f>IF(D1843="","",N(F1843)*N(G1843))</f>
        <v/>
      </c>
      <c r="I1843" s="7" t="n"/>
      <c r="J1843" s="9">
        <f>IF(I1843="","",IFERROR(INDEX('Ordres de travail'!$D$5:$D$3004,MATCH(I1843,'Ordres de travail'!$A$5:$A$3004,0)),""))</f>
        <v/>
      </c>
      <c r="K1843" s="9">
        <f>IF(D1843="","",IFERROR(INDEX('Stock pièces'!$D$5:$D$404,MATCH(D1843,'Stock pièces'!$A$5:$A$404,0)),""))</f>
        <v/>
      </c>
      <c r="L1843" s="7" t="n"/>
      <c r="M1843" s="7" t="n"/>
    </row>
    <row r="1844">
      <c r="A1844" s="7" t="n"/>
      <c r="B1844" s="75" t="n"/>
      <c r="C1844" s="7" t="n"/>
      <c r="D1844" s="7" t="n"/>
      <c r="E1844" s="9">
        <f>IF(D1844="","",IFERROR(INDEX('Stock pièces'!$B$5:$B$404,MATCH(D1844,'Stock pièces'!$A$5:$A$404,0)),"Réf. inconnue"))</f>
        <v/>
      </c>
      <c r="F1844" s="67" t="n"/>
      <c r="G1844" s="81">
        <f>IF(D1844="","",IFERROR(INDEX('Stock pièces'!$I$5:$I$404,MATCH(D1844,'Stock pièces'!$A$5:$A$404,0)),0))</f>
        <v/>
      </c>
      <c r="H1844" s="81">
        <f>IF(D1844="","",N(F1844)*N(G1844))</f>
        <v/>
      </c>
      <c r="I1844" s="7" t="n"/>
      <c r="J1844" s="9">
        <f>IF(I1844="","",IFERROR(INDEX('Ordres de travail'!$D$5:$D$3004,MATCH(I1844,'Ordres de travail'!$A$5:$A$3004,0)),""))</f>
        <v/>
      </c>
      <c r="K1844" s="9">
        <f>IF(D1844="","",IFERROR(INDEX('Stock pièces'!$D$5:$D$404,MATCH(D1844,'Stock pièces'!$A$5:$A$404,0)),""))</f>
        <v/>
      </c>
      <c r="L1844" s="7" t="n"/>
      <c r="M1844" s="7" t="n"/>
    </row>
    <row r="1845">
      <c r="A1845" s="7" t="n"/>
      <c r="B1845" s="75" t="n"/>
      <c r="C1845" s="7" t="n"/>
      <c r="D1845" s="7" t="n"/>
      <c r="E1845" s="9">
        <f>IF(D1845="","",IFERROR(INDEX('Stock pièces'!$B$5:$B$404,MATCH(D1845,'Stock pièces'!$A$5:$A$404,0)),"Réf. inconnue"))</f>
        <v/>
      </c>
      <c r="F1845" s="67" t="n"/>
      <c r="G1845" s="81">
        <f>IF(D1845="","",IFERROR(INDEX('Stock pièces'!$I$5:$I$404,MATCH(D1845,'Stock pièces'!$A$5:$A$404,0)),0))</f>
        <v/>
      </c>
      <c r="H1845" s="81">
        <f>IF(D1845="","",N(F1845)*N(G1845))</f>
        <v/>
      </c>
      <c r="I1845" s="7" t="n"/>
      <c r="J1845" s="9">
        <f>IF(I1845="","",IFERROR(INDEX('Ordres de travail'!$D$5:$D$3004,MATCH(I1845,'Ordres de travail'!$A$5:$A$3004,0)),""))</f>
        <v/>
      </c>
      <c r="K1845" s="9">
        <f>IF(D1845="","",IFERROR(INDEX('Stock pièces'!$D$5:$D$404,MATCH(D1845,'Stock pièces'!$A$5:$A$404,0)),""))</f>
        <v/>
      </c>
      <c r="L1845" s="7" t="n"/>
      <c r="M1845" s="7" t="n"/>
    </row>
    <row r="1846">
      <c r="A1846" s="7" t="n"/>
      <c r="B1846" s="75" t="n"/>
      <c r="C1846" s="7" t="n"/>
      <c r="D1846" s="7" t="n"/>
      <c r="E1846" s="9">
        <f>IF(D1846="","",IFERROR(INDEX('Stock pièces'!$B$5:$B$404,MATCH(D1846,'Stock pièces'!$A$5:$A$404,0)),"Réf. inconnue"))</f>
        <v/>
      </c>
      <c r="F1846" s="67" t="n"/>
      <c r="G1846" s="81">
        <f>IF(D1846="","",IFERROR(INDEX('Stock pièces'!$I$5:$I$404,MATCH(D1846,'Stock pièces'!$A$5:$A$404,0)),0))</f>
        <v/>
      </c>
      <c r="H1846" s="81">
        <f>IF(D1846="","",N(F1846)*N(G1846))</f>
        <v/>
      </c>
      <c r="I1846" s="7" t="n"/>
      <c r="J1846" s="9">
        <f>IF(I1846="","",IFERROR(INDEX('Ordres de travail'!$D$5:$D$3004,MATCH(I1846,'Ordres de travail'!$A$5:$A$3004,0)),""))</f>
        <v/>
      </c>
      <c r="K1846" s="9">
        <f>IF(D1846="","",IFERROR(INDEX('Stock pièces'!$D$5:$D$404,MATCH(D1846,'Stock pièces'!$A$5:$A$404,0)),""))</f>
        <v/>
      </c>
      <c r="L1846" s="7" t="n"/>
      <c r="M1846" s="7" t="n"/>
    </row>
    <row r="1847">
      <c r="A1847" s="7" t="n"/>
      <c r="B1847" s="75" t="n"/>
      <c r="C1847" s="7" t="n"/>
      <c r="D1847" s="7" t="n"/>
      <c r="E1847" s="9">
        <f>IF(D1847="","",IFERROR(INDEX('Stock pièces'!$B$5:$B$404,MATCH(D1847,'Stock pièces'!$A$5:$A$404,0)),"Réf. inconnue"))</f>
        <v/>
      </c>
      <c r="F1847" s="67" t="n"/>
      <c r="G1847" s="81">
        <f>IF(D1847="","",IFERROR(INDEX('Stock pièces'!$I$5:$I$404,MATCH(D1847,'Stock pièces'!$A$5:$A$404,0)),0))</f>
        <v/>
      </c>
      <c r="H1847" s="81">
        <f>IF(D1847="","",N(F1847)*N(G1847))</f>
        <v/>
      </c>
      <c r="I1847" s="7" t="n"/>
      <c r="J1847" s="9">
        <f>IF(I1847="","",IFERROR(INDEX('Ordres de travail'!$D$5:$D$3004,MATCH(I1847,'Ordres de travail'!$A$5:$A$3004,0)),""))</f>
        <v/>
      </c>
      <c r="K1847" s="9">
        <f>IF(D1847="","",IFERROR(INDEX('Stock pièces'!$D$5:$D$404,MATCH(D1847,'Stock pièces'!$A$5:$A$404,0)),""))</f>
        <v/>
      </c>
      <c r="L1847" s="7" t="n"/>
      <c r="M1847" s="7" t="n"/>
    </row>
    <row r="1848">
      <c r="A1848" s="7" t="n"/>
      <c r="B1848" s="75" t="n"/>
      <c r="C1848" s="7" t="n"/>
      <c r="D1848" s="7" t="n"/>
      <c r="E1848" s="9">
        <f>IF(D1848="","",IFERROR(INDEX('Stock pièces'!$B$5:$B$404,MATCH(D1848,'Stock pièces'!$A$5:$A$404,0)),"Réf. inconnue"))</f>
        <v/>
      </c>
      <c r="F1848" s="67" t="n"/>
      <c r="G1848" s="81">
        <f>IF(D1848="","",IFERROR(INDEX('Stock pièces'!$I$5:$I$404,MATCH(D1848,'Stock pièces'!$A$5:$A$404,0)),0))</f>
        <v/>
      </c>
      <c r="H1848" s="81">
        <f>IF(D1848="","",N(F1848)*N(G1848))</f>
        <v/>
      </c>
      <c r="I1848" s="7" t="n"/>
      <c r="J1848" s="9">
        <f>IF(I1848="","",IFERROR(INDEX('Ordres de travail'!$D$5:$D$3004,MATCH(I1848,'Ordres de travail'!$A$5:$A$3004,0)),""))</f>
        <v/>
      </c>
      <c r="K1848" s="9">
        <f>IF(D1848="","",IFERROR(INDEX('Stock pièces'!$D$5:$D$404,MATCH(D1848,'Stock pièces'!$A$5:$A$404,0)),""))</f>
        <v/>
      </c>
      <c r="L1848" s="7" t="n"/>
      <c r="M1848" s="7" t="n"/>
    </row>
    <row r="1849">
      <c r="A1849" s="7" t="n"/>
      <c r="B1849" s="75" t="n"/>
      <c r="C1849" s="7" t="n"/>
      <c r="D1849" s="7" t="n"/>
      <c r="E1849" s="9">
        <f>IF(D1849="","",IFERROR(INDEX('Stock pièces'!$B$5:$B$404,MATCH(D1849,'Stock pièces'!$A$5:$A$404,0)),"Réf. inconnue"))</f>
        <v/>
      </c>
      <c r="F1849" s="67" t="n"/>
      <c r="G1849" s="81">
        <f>IF(D1849="","",IFERROR(INDEX('Stock pièces'!$I$5:$I$404,MATCH(D1849,'Stock pièces'!$A$5:$A$404,0)),0))</f>
        <v/>
      </c>
      <c r="H1849" s="81">
        <f>IF(D1849="","",N(F1849)*N(G1849))</f>
        <v/>
      </c>
      <c r="I1849" s="7" t="n"/>
      <c r="J1849" s="9">
        <f>IF(I1849="","",IFERROR(INDEX('Ordres de travail'!$D$5:$D$3004,MATCH(I1849,'Ordres de travail'!$A$5:$A$3004,0)),""))</f>
        <v/>
      </c>
      <c r="K1849" s="9">
        <f>IF(D1849="","",IFERROR(INDEX('Stock pièces'!$D$5:$D$404,MATCH(D1849,'Stock pièces'!$A$5:$A$404,0)),""))</f>
        <v/>
      </c>
      <c r="L1849" s="7" t="n"/>
      <c r="M1849" s="7" t="n"/>
    </row>
    <row r="1850">
      <c r="A1850" s="7" t="n"/>
      <c r="B1850" s="75" t="n"/>
      <c r="C1850" s="7" t="n"/>
      <c r="D1850" s="7" t="n"/>
      <c r="E1850" s="9">
        <f>IF(D1850="","",IFERROR(INDEX('Stock pièces'!$B$5:$B$404,MATCH(D1850,'Stock pièces'!$A$5:$A$404,0)),"Réf. inconnue"))</f>
        <v/>
      </c>
      <c r="F1850" s="67" t="n"/>
      <c r="G1850" s="81">
        <f>IF(D1850="","",IFERROR(INDEX('Stock pièces'!$I$5:$I$404,MATCH(D1850,'Stock pièces'!$A$5:$A$404,0)),0))</f>
        <v/>
      </c>
      <c r="H1850" s="81">
        <f>IF(D1850="","",N(F1850)*N(G1850))</f>
        <v/>
      </c>
      <c r="I1850" s="7" t="n"/>
      <c r="J1850" s="9">
        <f>IF(I1850="","",IFERROR(INDEX('Ordres de travail'!$D$5:$D$3004,MATCH(I1850,'Ordres de travail'!$A$5:$A$3004,0)),""))</f>
        <v/>
      </c>
      <c r="K1850" s="9">
        <f>IF(D1850="","",IFERROR(INDEX('Stock pièces'!$D$5:$D$404,MATCH(D1850,'Stock pièces'!$A$5:$A$404,0)),""))</f>
        <v/>
      </c>
      <c r="L1850" s="7" t="n"/>
      <c r="M1850" s="7" t="n"/>
    </row>
    <row r="1851">
      <c r="A1851" s="7" t="n"/>
      <c r="B1851" s="75" t="n"/>
      <c r="C1851" s="7" t="n"/>
      <c r="D1851" s="7" t="n"/>
      <c r="E1851" s="9">
        <f>IF(D1851="","",IFERROR(INDEX('Stock pièces'!$B$5:$B$404,MATCH(D1851,'Stock pièces'!$A$5:$A$404,0)),"Réf. inconnue"))</f>
        <v/>
      </c>
      <c r="F1851" s="67" t="n"/>
      <c r="G1851" s="81">
        <f>IF(D1851="","",IFERROR(INDEX('Stock pièces'!$I$5:$I$404,MATCH(D1851,'Stock pièces'!$A$5:$A$404,0)),0))</f>
        <v/>
      </c>
      <c r="H1851" s="81">
        <f>IF(D1851="","",N(F1851)*N(G1851))</f>
        <v/>
      </c>
      <c r="I1851" s="7" t="n"/>
      <c r="J1851" s="9">
        <f>IF(I1851="","",IFERROR(INDEX('Ordres de travail'!$D$5:$D$3004,MATCH(I1851,'Ordres de travail'!$A$5:$A$3004,0)),""))</f>
        <v/>
      </c>
      <c r="K1851" s="9">
        <f>IF(D1851="","",IFERROR(INDEX('Stock pièces'!$D$5:$D$404,MATCH(D1851,'Stock pièces'!$A$5:$A$404,0)),""))</f>
        <v/>
      </c>
      <c r="L1851" s="7" t="n"/>
      <c r="M1851" s="7" t="n"/>
    </row>
    <row r="1852">
      <c r="A1852" s="7" t="n"/>
      <c r="B1852" s="75" t="n"/>
      <c r="C1852" s="7" t="n"/>
      <c r="D1852" s="7" t="n"/>
      <c r="E1852" s="9">
        <f>IF(D1852="","",IFERROR(INDEX('Stock pièces'!$B$5:$B$404,MATCH(D1852,'Stock pièces'!$A$5:$A$404,0)),"Réf. inconnue"))</f>
        <v/>
      </c>
      <c r="F1852" s="67" t="n"/>
      <c r="G1852" s="81">
        <f>IF(D1852="","",IFERROR(INDEX('Stock pièces'!$I$5:$I$404,MATCH(D1852,'Stock pièces'!$A$5:$A$404,0)),0))</f>
        <v/>
      </c>
      <c r="H1852" s="81">
        <f>IF(D1852="","",N(F1852)*N(G1852))</f>
        <v/>
      </c>
      <c r="I1852" s="7" t="n"/>
      <c r="J1852" s="9">
        <f>IF(I1852="","",IFERROR(INDEX('Ordres de travail'!$D$5:$D$3004,MATCH(I1852,'Ordres de travail'!$A$5:$A$3004,0)),""))</f>
        <v/>
      </c>
      <c r="K1852" s="9">
        <f>IF(D1852="","",IFERROR(INDEX('Stock pièces'!$D$5:$D$404,MATCH(D1852,'Stock pièces'!$A$5:$A$404,0)),""))</f>
        <v/>
      </c>
      <c r="L1852" s="7" t="n"/>
      <c r="M1852" s="7" t="n"/>
    </row>
    <row r="1853">
      <c r="A1853" s="7" t="n"/>
      <c r="B1853" s="75" t="n"/>
      <c r="C1853" s="7" t="n"/>
      <c r="D1853" s="7" t="n"/>
      <c r="E1853" s="9">
        <f>IF(D1853="","",IFERROR(INDEX('Stock pièces'!$B$5:$B$404,MATCH(D1853,'Stock pièces'!$A$5:$A$404,0)),"Réf. inconnue"))</f>
        <v/>
      </c>
      <c r="F1853" s="67" t="n"/>
      <c r="G1853" s="81">
        <f>IF(D1853="","",IFERROR(INDEX('Stock pièces'!$I$5:$I$404,MATCH(D1853,'Stock pièces'!$A$5:$A$404,0)),0))</f>
        <v/>
      </c>
      <c r="H1853" s="81">
        <f>IF(D1853="","",N(F1853)*N(G1853))</f>
        <v/>
      </c>
      <c r="I1853" s="7" t="n"/>
      <c r="J1853" s="9">
        <f>IF(I1853="","",IFERROR(INDEX('Ordres de travail'!$D$5:$D$3004,MATCH(I1853,'Ordres de travail'!$A$5:$A$3004,0)),""))</f>
        <v/>
      </c>
      <c r="K1853" s="9">
        <f>IF(D1853="","",IFERROR(INDEX('Stock pièces'!$D$5:$D$404,MATCH(D1853,'Stock pièces'!$A$5:$A$404,0)),""))</f>
        <v/>
      </c>
      <c r="L1853" s="7" t="n"/>
      <c r="M1853" s="7" t="n"/>
    </row>
    <row r="1854">
      <c r="A1854" s="7" t="n"/>
      <c r="B1854" s="75" t="n"/>
      <c r="C1854" s="7" t="n"/>
      <c r="D1854" s="7" t="n"/>
      <c r="E1854" s="9">
        <f>IF(D1854="","",IFERROR(INDEX('Stock pièces'!$B$5:$B$404,MATCH(D1854,'Stock pièces'!$A$5:$A$404,0)),"Réf. inconnue"))</f>
        <v/>
      </c>
      <c r="F1854" s="67" t="n"/>
      <c r="G1854" s="81">
        <f>IF(D1854="","",IFERROR(INDEX('Stock pièces'!$I$5:$I$404,MATCH(D1854,'Stock pièces'!$A$5:$A$404,0)),0))</f>
        <v/>
      </c>
      <c r="H1854" s="81">
        <f>IF(D1854="","",N(F1854)*N(G1854))</f>
        <v/>
      </c>
      <c r="I1854" s="7" t="n"/>
      <c r="J1854" s="9">
        <f>IF(I1854="","",IFERROR(INDEX('Ordres de travail'!$D$5:$D$3004,MATCH(I1854,'Ordres de travail'!$A$5:$A$3004,0)),""))</f>
        <v/>
      </c>
      <c r="K1854" s="9">
        <f>IF(D1854="","",IFERROR(INDEX('Stock pièces'!$D$5:$D$404,MATCH(D1854,'Stock pièces'!$A$5:$A$404,0)),""))</f>
        <v/>
      </c>
      <c r="L1854" s="7" t="n"/>
      <c r="M1854" s="7" t="n"/>
    </row>
    <row r="1855">
      <c r="A1855" s="7" t="n"/>
      <c r="B1855" s="75" t="n"/>
      <c r="C1855" s="7" t="n"/>
      <c r="D1855" s="7" t="n"/>
      <c r="E1855" s="9">
        <f>IF(D1855="","",IFERROR(INDEX('Stock pièces'!$B$5:$B$404,MATCH(D1855,'Stock pièces'!$A$5:$A$404,0)),"Réf. inconnue"))</f>
        <v/>
      </c>
      <c r="F1855" s="67" t="n"/>
      <c r="G1855" s="81">
        <f>IF(D1855="","",IFERROR(INDEX('Stock pièces'!$I$5:$I$404,MATCH(D1855,'Stock pièces'!$A$5:$A$404,0)),0))</f>
        <v/>
      </c>
      <c r="H1855" s="81">
        <f>IF(D1855="","",N(F1855)*N(G1855))</f>
        <v/>
      </c>
      <c r="I1855" s="7" t="n"/>
      <c r="J1855" s="9">
        <f>IF(I1855="","",IFERROR(INDEX('Ordres de travail'!$D$5:$D$3004,MATCH(I1855,'Ordres de travail'!$A$5:$A$3004,0)),""))</f>
        <v/>
      </c>
      <c r="K1855" s="9">
        <f>IF(D1855="","",IFERROR(INDEX('Stock pièces'!$D$5:$D$404,MATCH(D1855,'Stock pièces'!$A$5:$A$404,0)),""))</f>
        <v/>
      </c>
      <c r="L1855" s="7" t="n"/>
      <c r="M1855" s="7" t="n"/>
    </row>
    <row r="1856">
      <c r="A1856" s="7" t="n"/>
      <c r="B1856" s="75" t="n"/>
      <c r="C1856" s="7" t="n"/>
      <c r="D1856" s="7" t="n"/>
      <c r="E1856" s="9">
        <f>IF(D1856="","",IFERROR(INDEX('Stock pièces'!$B$5:$B$404,MATCH(D1856,'Stock pièces'!$A$5:$A$404,0)),"Réf. inconnue"))</f>
        <v/>
      </c>
      <c r="F1856" s="67" t="n"/>
      <c r="G1856" s="81">
        <f>IF(D1856="","",IFERROR(INDEX('Stock pièces'!$I$5:$I$404,MATCH(D1856,'Stock pièces'!$A$5:$A$404,0)),0))</f>
        <v/>
      </c>
      <c r="H1856" s="81">
        <f>IF(D1856="","",N(F1856)*N(G1856))</f>
        <v/>
      </c>
      <c r="I1856" s="7" t="n"/>
      <c r="J1856" s="9">
        <f>IF(I1856="","",IFERROR(INDEX('Ordres de travail'!$D$5:$D$3004,MATCH(I1856,'Ordres de travail'!$A$5:$A$3004,0)),""))</f>
        <v/>
      </c>
      <c r="K1856" s="9">
        <f>IF(D1856="","",IFERROR(INDEX('Stock pièces'!$D$5:$D$404,MATCH(D1856,'Stock pièces'!$A$5:$A$404,0)),""))</f>
        <v/>
      </c>
      <c r="L1856" s="7" t="n"/>
      <c r="M1856" s="7" t="n"/>
    </row>
    <row r="1857">
      <c r="A1857" s="7" t="n"/>
      <c r="B1857" s="75" t="n"/>
      <c r="C1857" s="7" t="n"/>
      <c r="D1857" s="7" t="n"/>
      <c r="E1857" s="9">
        <f>IF(D1857="","",IFERROR(INDEX('Stock pièces'!$B$5:$B$404,MATCH(D1857,'Stock pièces'!$A$5:$A$404,0)),"Réf. inconnue"))</f>
        <v/>
      </c>
      <c r="F1857" s="67" t="n"/>
      <c r="G1857" s="81">
        <f>IF(D1857="","",IFERROR(INDEX('Stock pièces'!$I$5:$I$404,MATCH(D1857,'Stock pièces'!$A$5:$A$404,0)),0))</f>
        <v/>
      </c>
      <c r="H1857" s="81">
        <f>IF(D1857="","",N(F1857)*N(G1857))</f>
        <v/>
      </c>
      <c r="I1857" s="7" t="n"/>
      <c r="J1857" s="9">
        <f>IF(I1857="","",IFERROR(INDEX('Ordres de travail'!$D$5:$D$3004,MATCH(I1857,'Ordres de travail'!$A$5:$A$3004,0)),""))</f>
        <v/>
      </c>
      <c r="K1857" s="9">
        <f>IF(D1857="","",IFERROR(INDEX('Stock pièces'!$D$5:$D$404,MATCH(D1857,'Stock pièces'!$A$5:$A$404,0)),""))</f>
        <v/>
      </c>
      <c r="L1857" s="7" t="n"/>
      <c r="M1857" s="7" t="n"/>
    </row>
    <row r="1858">
      <c r="A1858" s="7" t="n"/>
      <c r="B1858" s="75" t="n"/>
      <c r="C1858" s="7" t="n"/>
      <c r="D1858" s="7" t="n"/>
      <c r="E1858" s="9">
        <f>IF(D1858="","",IFERROR(INDEX('Stock pièces'!$B$5:$B$404,MATCH(D1858,'Stock pièces'!$A$5:$A$404,0)),"Réf. inconnue"))</f>
        <v/>
      </c>
      <c r="F1858" s="67" t="n"/>
      <c r="G1858" s="81">
        <f>IF(D1858="","",IFERROR(INDEX('Stock pièces'!$I$5:$I$404,MATCH(D1858,'Stock pièces'!$A$5:$A$404,0)),0))</f>
        <v/>
      </c>
      <c r="H1858" s="81">
        <f>IF(D1858="","",N(F1858)*N(G1858))</f>
        <v/>
      </c>
      <c r="I1858" s="7" t="n"/>
      <c r="J1858" s="9">
        <f>IF(I1858="","",IFERROR(INDEX('Ordres de travail'!$D$5:$D$3004,MATCH(I1858,'Ordres de travail'!$A$5:$A$3004,0)),""))</f>
        <v/>
      </c>
      <c r="K1858" s="9">
        <f>IF(D1858="","",IFERROR(INDEX('Stock pièces'!$D$5:$D$404,MATCH(D1858,'Stock pièces'!$A$5:$A$404,0)),""))</f>
        <v/>
      </c>
      <c r="L1858" s="7" t="n"/>
      <c r="M1858" s="7" t="n"/>
    </row>
    <row r="1859">
      <c r="A1859" s="7" t="n"/>
      <c r="B1859" s="75" t="n"/>
      <c r="C1859" s="7" t="n"/>
      <c r="D1859" s="7" t="n"/>
      <c r="E1859" s="9">
        <f>IF(D1859="","",IFERROR(INDEX('Stock pièces'!$B$5:$B$404,MATCH(D1859,'Stock pièces'!$A$5:$A$404,0)),"Réf. inconnue"))</f>
        <v/>
      </c>
      <c r="F1859" s="67" t="n"/>
      <c r="G1859" s="81">
        <f>IF(D1859="","",IFERROR(INDEX('Stock pièces'!$I$5:$I$404,MATCH(D1859,'Stock pièces'!$A$5:$A$404,0)),0))</f>
        <v/>
      </c>
      <c r="H1859" s="81">
        <f>IF(D1859="","",N(F1859)*N(G1859))</f>
        <v/>
      </c>
      <c r="I1859" s="7" t="n"/>
      <c r="J1859" s="9">
        <f>IF(I1859="","",IFERROR(INDEX('Ordres de travail'!$D$5:$D$3004,MATCH(I1859,'Ordres de travail'!$A$5:$A$3004,0)),""))</f>
        <v/>
      </c>
      <c r="K1859" s="9">
        <f>IF(D1859="","",IFERROR(INDEX('Stock pièces'!$D$5:$D$404,MATCH(D1859,'Stock pièces'!$A$5:$A$404,0)),""))</f>
        <v/>
      </c>
      <c r="L1859" s="7" t="n"/>
      <c r="M1859" s="7" t="n"/>
    </row>
    <row r="1860">
      <c r="A1860" s="7" t="n"/>
      <c r="B1860" s="75" t="n"/>
      <c r="C1860" s="7" t="n"/>
      <c r="D1860" s="7" t="n"/>
      <c r="E1860" s="9">
        <f>IF(D1860="","",IFERROR(INDEX('Stock pièces'!$B$5:$B$404,MATCH(D1860,'Stock pièces'!$A$5:$A$404,0)),"Réf. inconnue"))</f>
        <v/>
      </c>
      <c r="F1860" s="67" t="n"/>
      <c r="G1860" s="81">
        <f>IF(D1860="","",IFERROR(INDEX('Stock pièces'!$I$5:$I$404,MATCH(D1860,'Stock pièces'!$A$5:$A$404,0)),0))</f>
        <v/>
      </c>
      <c r="H1860" s="81">
        <f>IF(D1860="","",N(F1860)*N(G1860))</f>
        <v/>
      </c>
      <c r="I1860" s="7" t="n"/>
      <c r="J1860" s="9">
        <f>IF(I1860="","",IFERROR(INDEX('Ordres de travail'!$D$5:$D$3004,MATCH(I1860,'Ordres de travail'!$A$5:$A$3004,0)),""))</f>
        <v/>
      </c>
      <c r="K1860" s="9">
        <f>IF(D1860="","",IFERROR(INDEX('Stock pièces'!$D$5:$D$404,MATCH(D1860,'Stock pièces'!$A$5:$A$404,0)),""))</f>
        <v/>
      </c>
      <c r="L1860" s="7" t="n"/>
      <c r="M1860" s="7" t="n"/>
    </row>
    <row r="1861">
      <c r="A1861" s="7" t="n"/>
      <c r="B1861" s="75" t="n"/>
      <c r="C1861" s="7" t="n"/>
      <c r="D1861" s="7" t="n"/>
      <c r="E1861" s="9">
        <f>IF(D1861="","",IFERROR(INDEX('Stock pièces'!$B$5:$B$404,MATCH(D1861,'Stock pièces'!$A$5:$A$404,0)),"Réf. inconnue"))</f>
        <v/>
      </c>
      <c r="F1861" s="67" t="n"/>
      <c r="G1861" s="81">
        <f>IF(D1861="","",IFERROR(INDEX('Stock pièces'!$I$5:$I$404,MATCH(D1861,'Stock pièces'!$A$5:$A$404,0)),0))</f>
        <v/>
      </c>
      <c r="H1861" s="81">
        <f>IF(D1861="","",N(F1861)*N(G1861))</f>
        <v/>
      </c>
      <c r="I1861" s="7" t="n"/>
      <c r="J1861" s="9">
        <f>IF(I1861="","",IFERROR(INDEX('Ordres de travail'!$D$5:$D$3004,MATCH(I1861,'Ordres de travail'!$A$5:$A$3004,0)),""))</f>
        <v/>
      </c>
      <c r="K1861" s="9">
        <f>IF(D1861="","",IFERROR(INDEX('Stock pièces'!$D$5:$D$404,MATCH(D1861,'Stock pièces'!$A$5:$A$404,0)),""))</f>
        <v/>
      </c>
      <c r="L1861" s="7" t="n"/>
      <c r="M1861" s="7" t="n"/>
    </row>
    <row r="1862">
      <c r="A1862" s="7" t="n"/>
      <c r="B1862" s="75" t="n"/>
      <c r="C1862" s="7" t="n"/>
      <c r="D1862" s="7" t="n"/>
      <c r="E1862" s="9">
        <f>IF(D1862="","",IFERROR(INDEX('Stock pièces'!$B$5:$B$404,MATCH(D1862,'Stock pièces'!$A$5:$A$404,0)),"Réf. inconnue"))</f>
        <v/>
      </c>
      <c r="F1862" s="67" t="n"/>
      <c r="G1862" s="81">
        <f>IF(D1862="","",IFERROR(INDEX('Stock pièces'!$I$5:$I$404,MATCH(D1862,'Stock pièces'!$A$5:$A$404,0)),0))</f>
        <v/>
      </c>
      <c r="H1862" s="81">
        <f>IF(D1862="","",N(F1862)*N(G1862))</f>
        <v/>
      </c>
      <c r="I1862" s="7" t="n"/>
      <c r="J1862" s="9">
        <f>IF(I1862="","",IFERROR(INDEX('Ordres de travail'!$D$5:$D$3004,MATCH(I1862,'Ordres de travail'!$A$5:$A$3004,0)),""))</f>
        <v/>
      </c>
      <c r="K1862" s="9">
        <f>IF(D1862="","",IFERROR(INDEX('Stock pièces'!$D$5:$D$404,MATCH(D1862,'Stock pièces'!$A$5:$A$404,0)),""))</f>
        <v/>
      </c>
      <c r="L1862" s="7" t="n"/>
      <c r="M1862" s="7" t="n"/>
    </row>
    <row r="1863">
      <c r="A1863" s="7" t="n"/>
      <c r="B1863" s="75" t="n"/>
      <c r="C1863" s="7" t="n"/>
      <c r="D1863" s="7" t="n"/>
      <c r="E1863" s="9">
        <f>IF(D1863="","",IFERROR(INDEX('Stock pièces'!$B$5:$B$404,MATCH(D1863,'Stock pièces'!$A$5:$A$404,0)),"Réf. inconnue"))</f>
        <v/>
      </c>
      <c r="F1863" s="67" t="n"/>
      <c r="G1863" s="81">
        <f>IF(D1863="","",IFERROR(INDEX('Stock pièces'!$I$5:$I$404,MATCH(D1863,'Stock pièces'!$A$5:$A$404,0)),0))</f>
        <v/>
      </c>
      <c r="H1863" s="81">
        <f>IF(D1863="","",N(F1863)*N(G1863))</f>
        <v/>
      </c>
      <c r="I1863" s="7" t="n"/>
      <c r="J1863" s="9">
        <f>IF(I1863="","",IFERROR(INDEX('Ordres de travail'!$D$5:$D$3004,MATCH(I1863,'Ordres de travail'!$A$5:$A$3004,0)),""))</f>
        <v/>
      </c>
      <c r="K1863" s="9">
        <f>IF(D1863="","",IFERROR(INDEX('Stock pièces'!$D$5:$D$404,MATCH(D1863,'Stock pièces'!$A$5:$A$404,0)),""))</f>
        <v/>
      </c>
      <c r="L1863" s="7" t="n"/>
      <c r="M1863" s="7" t="n"/>
    </row>
    <row r="1864">
      <c r="A1864" s="7" t="n"/>
      <c r="B1864" s="75" t="n"/>
      <c r="C1864" s="7" t="n"/>
      <c r="D1864" s="7" t="n"/>
      <c r="E1864" s="9">
        <f>IF(D1864="","",IFERROR(INDEX('Stock pièces'!$B$5:$B$404,MATCH(D1864,'Stock pièces'!$A$5:$A$404,0)),"Réf. inconnue"))</f>
        <v/>
      </c>
      <c r="F1864" s="67" t="n"/>
      <c r="G1864" s="81">
        <f>IF(D1864="","",IFERROR(INDEX('Stock pièces'!$I$5:$I$404,MATCH(D1864,'Stock pièces'!$A$5:$A$404,0)),0))</f>
        <v/>
      </c>
      <c r="H1864" s="81">
        <f>IF(D1864="","",N(F1864)*N(G1864))</f>
        <v/>
      </c>
      <c r="I1864" s="7" t="n"/>
      <c r="J1864" s="9">
        <f>IF(I1864="","",IFERROR(INDEX('Ordres de travail'!$D$5:$D$3004,MATCH(I1864,'Ordres de travail'!$A$5:$A$3004,0)),""))</f>
        <v/>
      </c>
      <c r="K1864" s="9">
        <f>IF(D1864="","",IFERROR(INDEX('Stock pièces'!$D$5:$D$404,MATCH(D1864,'Stock pièces'!$A$5:$A$404,0)),""))</f>
        <v/>
      </c>
      <c r="L1864" s="7" t="n"/>
      <c r="M1864" s="7" t="n"/>
    </row>
    <row r="1865">
      <c r="A1865" s="7" t="n"/>
      <c r="B1865" s="75" t="n"/>
      <c r="C1865" s="7" t="n"/>
      <c r="D1865" s="7" t="n"/>
      <c r="E1865" s="9">
        <f>IF(D1865="","",IFERROR(INDEX('Stock pièces'!$B$5:$B$404,MATCH(D1865,'Stock pièces'!$A$5:$A$404,0)),"Réf. inconnue"))</f>
        <v/>
      </c>
      <c r="F1865" s="67" t="n"/>
      <c r="G1865" s="81">
        <f>IF(D1865="","",IFERROR(INDEX('Stock pièces'!$I$5:$I$404,MATCH(D1865,'Stock pièces'!$A$5:$A$404,0)),0))</f>
        <v/>
      </c>
      <c r="H1865" s="81">
        <f>IF(D1865="","",N(F1865)*N(G1865))</f>
        <v/>
      </c>
      <c r="I1865" s="7" t="n"/>
      <c r="J1865" s="9">
        <f>IF(I1865="","",IFERROR(INDEX('Ordres de travail'!$D$5:$D$3004,MATCH(I1865,'Ordres de travail'!$A$5:$A$3004,0)),""))</f>
        <v/>
      </c>
      <c r="K1865" s="9">
        <f>IF(D1865="","",IFERROR(INDEX('Stock pièces'!$D$5:$D$404,MATCH(D1865,'Stock pièces'!$A$5:$A$404,0)),""))</f>
        <v/>
      </c>
      <c r="L1865" s="7" t="n"/>
      <c r="M1865" s="7" t="n"/>
    </row>
    <row r="1866">
      <c r="A1866" s="7" t="n"/>
      <c r="B1866" s="75" t="n"/>
      <c r="C1866" s="7" t="n"/>
      <c r="D1866" s="7" t="n"/>
      <c r="E1866" s="9">
        <f>IF(D1866="","",IFERROR(INDEX('Stock pièces'!$B$5:$B$404,MATCH(D1866,'Stock pièces'!$A$5:$A$404,0)),"Réf. inconnue"))</f>
        <v/>
      </c>
      <c r="F1866" s="67" t="n"/>
      <c r="G1866" s="81">
        <f>IF(D1866="","",IFERROR(INDEX('Stock pièces'!$I$5:$I$404,MATCH(D1866,'Stock pièces'!$A$5:$A$404,0)),0))</f>
        <v/>
      </c>
      <c r="H1866" s="81">
        <f>IF(D1866="","",N(F1866)*N(G1866))</f>
        <v/>
      </c>
      <c r="I1866" s="7" t="n"/>
      <c r="J1866" s="9">
        <f>IF(I1866="","",IFERROR(INDEX('Ordres de travail'!$D$5:$D$3004,MATCH(I1866,'Ordres de travail'!$A$5:$A$3004,0)),""))</f>
        <v/>
      </c>
      <c r="K1866" s="9">
        <f>IF(D1866="","",IFERROR(INDEX('Stock pièces'!$D$5:$D$404,MATCH(D1866,'Stock pièces'!$A$5:$A$404,0)),""))</f>
        <v/>
      </c>
      <c r="L1866" s="7" t="n"/>
      <c r="M1866" s="7" t="n"/>
    </row>
    <row r="1867">
      <c r="A1867" s="7" t="n"/>
      <c r="B1867" s="75" t="n"/>
      <c r="C1867" s="7" t="n"/>
      <c r="D1867" s="7" t="n"/>
      <c r="E1867" s="9">
        <f>IF(D1867="","",IFERROR(INDEX('Stock pièces'!$B$5:$B$404,MATCH(D1867,'Stock pièces'!$A$5:$A$404,0)),"Réf. inconnue"))</f>
        <v/>
      </c>
      <c r="F1867" s="67" t="n"/>
      <c r="G1867" s="81">
        <f>IF(D1867="","",IFERROR(INDEX('Stock pièces'!$I$5:$I$404,MATCH(D1867,'Stock pièces'!$A$5:$A$404,0)),0))</f>
        <v/>
      </c>
      <c r="H1867" s="81">
        <f>IF(D1867="","",N(F1867)*N(G1867))</f>
        <v/>
      </c>
      <c r="I1867" s="7" t="n"/>
      <c r="J1867" s="9">
        <f>IF(I1867="","",IFERROR(INDEX('Ordres de travail'!$D$5:$D$3004,MATCH(I1867,'Ordres de travail'!$A$5:$A$3004,0)),""))</f>
        <v/>
      </c>
      <c r="K1867" s="9">
        <f>IF(D1867="","",IFERROR(INDEX('Stock pièces'!$D$5:$D$404,MATCH(D1867,'Stock pièces'!$A$5:$A$404,0)),""))</f>
        <v/>
      </c>
      <c r="L1867" s="7" t="n"/>
      <c r="M1867" s="7" t="n"/>
    </row>
    <row r="1868">
      <c r="A1868" s="7" t="n"/>
      <c r="B1868" s="75" t="n"/>
      <c r="C1868" s="7" t="n"/>
      <c r="D1868" s="7" t="n"/>
      <c r="E1868" s="9">
        <f>IF(D1868="","",IFERROR(INDEX('Stock pièces'!$B$5:$B$404,MATCH(D1868,'Stock pièces'!$A$5:$A$404,0)),"Réf. inconnue"))</f>
        <v/>
      </c>
      <c r="F1868" s="67" t="n"/>
      <c r="G1868" s="81">
        <f>IF(D1868="","",IFERROR(INDEX('Stock pièces'!$I$5:$I$404,MATCH(D1868,'Stock pièces'!$A$5:$A$404,0)),0))</f>
        <v/>
      </c>
      <c r="H1868" s="81">
        <f>IF(D1868="","",N(F1868)*N(G1868))</f>
        <v/>
      </c>
      <c r="I1868" s="7" t="n"/>
      <c r="J1868" s="9">
        <f>IF(I1868="","",IFERROR(INDEX('Ordres de travail'!$D$5:$D$3004,MATCH(I1868,'Ordres de travail'!$A$5:$A$3004,0)),""))</f>
        <v/>
      </c>
      <c r="K1868" s="9">
        <f>IF(D1868="","",IFERROR(INDEX('Stock pièces'!$D$5:$D$404,MATCH(D1868,'Stock pièces'!$A$5:$A$404,0)),""))</f>
        <v/>
      </c>
      <c r="L1868" s="7" t="n"/>
      <c r="M1868" s="7" t="n"/>
    </row>
    <row r="1869">
      <c r="A1869" s="7" t="n"/>
      <c r="B1869" s="75" t="n"/>
      <c r="C1869" s="7" t="n"/>
      <c r="D1869" s="7" t="n"/>
      <c r="E1869" s="9">
        <f>IF(D1869="","",IFERROR(INDEX('Stock pièces'!$B$5:$B$404,MATCH(D1869,'Stock pièces'!$A$5:$A$404,0)),"Réf. inconnue"))</f>
        <v/>
      </c>
      <c r="F1869" s="67" t="n"/>
      <c r="G1869" s="81">
        <f>IF(D1869="","",IFERROR(INDEX('Stock pièces'!$I$5:$I$404,MATCH(D1869,'Stock pièces'!$A$5:$A$404,0)),0))</f>
        <v/>
      </c>
      <c r="H1869" s="81">
        <f>IF(D1869="","",N(F1869)*N(G1869))</f>
        <v/>
      </c>
      <c r="I1869" s="7" t="n"/>
      <c r="J1869" s="9">
        <f>IF(I1869="","",IFERROR(INDEX('Ordres de travail'!$D$5:$D$3004,MATCH(I1869,'Ordres de travail'!$A$5:$A$3004,0)),""))</f>
        <v/>
      </c>
      <c r="K1869" s="9">
        <f>IF(D1869="","",IFERROR(INDEX('Stock pièces'!$D$5:$D$404,MATCH(D1869,'Stock pièces'!$A$5:$A$404,0)),""))</f>
        <v/>
      </c>
      <c r="L1869" s="7" t="n"/>
      <c r="M1869" s="7" t="n"/>
    </row>
    <row r="1870">
      <c r="A1870" s="7" t="n"/>
      <c r="B1870" s="75" t="n"/>
      <c r="C1870" s="7" t="n"/>
      <c r="D1870" s="7" t="n"/>
      <c r="E1870" s="9">
        <f>IF(D1870="","",IFERROR(INDEX('Stock pièces'!$B$5:$B$404,MATCH(D1870,'Stock pièces'!$A$5:$A$404,0)),"Réf. inconnue"))</f>
        <v/>
      </c>
      <c r="F1870" s="67" t="n"/>
      <c r="G1870" s="81">
        <f>IF(D1870="","",IFERROR(INDEX('Stock pièces'!$I$5:$I$404,MATCH(D1870,'Stock pièces'!$A$5:$A$404,0)),0))</f>
        <v/>
      </c>
      <c r="H1870" s="81">
        <f>IF(D1870="","",N(F1870)*N(G1870))</f>
        <v/>
      </c>
      <c r="I1870" s="7" t="n"/>
      <c r="J1870" s="9">
        <f>IF(I1870="","",IFERROR(INDEX('Ordres de travail'!$D$5:$D$3004,MATCH(I1870,'Ordres de travail'!$A$5:$A$3004,0)),""))</f>
        <v/>
      </c>
      <c r="K1870" s="9">
        <f>IF(D1870="","",IFERROR(INDEX('Stock pièces'!$D$5:$D$404,MATCH(D1870,'Stock pièces'!$A$5:$A$404,0)),""))</f>
        <v/>
      </c>
      <c r="L1870" s="7" t="n"/>
      <c r="M1870" s="7" t="n"/>
    </row>
    <row r="1871">
      <c r="A1871" s="7" t="n"/>
      <c r="B1871" s="75" t="n"/>
      <c r="C1871" s="7" t="n"/>
      <c r="D1871" s="7" t="n"/>
      <c r="E1871" s="9">
        <f>IF(D1871="","",IFERROR(INDEX('Stock pièces'!$B$5:$B$404,MATCH(D1871,'Stock pièces'!$A$5:$A$404,0)),"Réf. inconnue"))</f>
        <v/>
      </c>
      <c r="F1871" s="67" t="n"/>
      <c r="G1871" s="81">
        <f>IF(D1871="","",IFERROR(INDEX('Stock pièces'!$I$5:$I$404,MATCH(D1871,'Stock pièces'!$A$5:$A$404,0)),0))</f>
        <v/>
      </c>
      <c r="H1871" s="81">
        <f>IF(D1871="","",N(F1871)*N(G1871))</f>
        <v/>
      </c>
      <c r="I1871" s="7" t="n"/>
      <c r="J1871" s="9">
        <f>IF(I1871="","",IFERROR(INDEX('Ordres de travail'!$D$5:$D$3004,MATCH(I1871,'Ordres de travail'!$A$5:$A$3004,0)),""))</f>
        <v/>
      </c>
      <c r="K1871" s="9">
        <f>IF(D1871="","",IFERROR(INDEX('Stock pièces'!$D$5:$D$404,MATCH(D1871,'Stock pièces'!$A$5:$A$404,0)),""))</f>
        <v/>
      </c>
      <c r="L1871" s="7" t="n"/>
      <c r="M1871" s="7" t="n"/>
    </row>
    <row r="1872">
      <c r="A1872" s="7" t="n"/>
      <c r="B1872" s="75" t="n"/>
      <c r="C1872" s="7" t="n"/>
      <c r="D1872" s="7" t="n"/>
      <c r="E1872" s="9">
        <f>IF(D1872="","",IFERROR(INDEX('Stock pièces'!$B$5:$B$404,MATCH(D1872,'Stock pièces'!$A$5:$A$404,0)),"Réf. inconnue"))</f>
        <v/>
      </c>
      <c r="F1872" s="67" t="n"/>
      <c r="G1872" s="81">
        <f>IF(D1872="","",IFERROR(INDEX('Stock pièces'!$I$5:$I$404,MATCH(D1872,'Stock pièces'!$A$5:$A$404,0)),0))</f>
        <v/>
      </c>
      <c r="H1872" s="81">
        <f>IF(D1872="","",N(F1872)*N(G1872))</f>
        <v/>
      </c>
      <c r="I1872" s="7" t="n"/>
      <c r="J1872" s="9">
        <f>IF(I1872="","",IFERROR(INDEX('Ordres de travail'!$D$5:$D$3004,MATCH(I1872,'Ordres de travail'!$A$5:$A$3004,0)),""))</f>
        <v/>
      </c>
      <c r="K1872" s="9">
        <f>IF(D1872="","",IFERROR(INDEX('Stock pièces'!$D$5:$D$404,MATCH(D1872,'Stock pièces'!$A$5:$A$404,0)),""))</f>
        <v/>
      </c>
      <c r="L1872" s="7" t="n"/>
      <c r="M1872" s="7" t="n"/>
    </row>
    <row r="1873">
      <c r="A1873" s="7" t="n"/>
      <c r="B1873" s="75" t="n"/>
      <c r="C1873" s="7" t="n"/>
      <c r="D1873" s="7" t="n"/>
      <c r="E1873" s="9">
        <f>IF(D1873="","",IFERROR(INDEX('Stock pièces'!$B$5:$B$404,MATCH(D1873,'Stock pièces'!$A$5:$A$404,0)),"Réf. inconnue"))</f>
        <v/>
      </c>
      <c r="F1873" s="67" t="n"/>
      <c r="G1873" s="81">
        <f>IF(D1873="","",IFERROR(INDEX('Stock pièces'!$I$5:$I$404,MATCH(D1873,'Stock pièces'!$A$5:$A$404,0)),0))</f>
        <v/>
      </c>
      <c r="H1873" s="81">
        <f>IF(D1873="","",N(F1873)*N(G1873))</f>
        <v/>
      </c>
      <c r="I1873" s="7" t="n"/>
      <c r="J1873" s="9">
        <f>IF(I1873="","",IFERROR(INDEX('Ordres de travail'!$D$5:$D$3004,MATCH(I1873,'Ordres de travail'!$A$5:$A$3004,0)),""))</f>
        <v/>
      </c>
      <c r="K1873" s="9">
        <f>IF(D1873="","",IFERROR(INDEX('Stock pièces'!$D$5:$D$404,MATCH(D1873,'Stock pièces'!$A$5:$A$404,0)),""))</f>
        <v/>
      </c>
      <c r="L1873" s="7" t="n"/>
      <c r="M1873" s="7" t="n"/>
    </row>
    <row r="1874">
      <c r="A1874" s="7" t="n"/>
      <c r="B1874" s="75" t="n"/>
      <c r="C1874" s="7" t="n"/>
      <c r="D1874" s="7" t="n"/>
      <c r="E1874" s="9">
        <f>IF(D1874="","",IFERROR(INDEX('Stock pièces'!$B$5:$B$404,MATCH(D1874,'Stock pièces'!$A$5:$A$404,0)),"Réf. inconnue"))</f>
        <v/>
      </c>
      <c r="F1874" s="67" t="n"/>
      <c r="G1874" s="81">
        <f>IF(D1874="","",IFERROR(INDEX('Stock pièces'!$I$5:$I$404,MATCH(D1874,'Stock pièces'!$A$5:$A$404,0)),0))</f>
        <v/>
      </c>
      <c r="H1874" s="81">
        <f>IF(D1874="","",N(F1874)*N(G1874))</f>
        <v/>
      </c>
      <c r="I1874" s="7" t="n"/>
      <c r="J1874" s="9">
        <f>IF(I1874="","",IFERROR(INDEX('Ordres de travail'!$D$5:$D$3004,MATCH(I1874,'Ordres de travail'!$A$5:$A$3004,0)),""))</f>
        <v/>
      </c>
      <c r="K1874" s="9">
        <f>IF(D1874="","",IFERROR(INDEX('Stock pièces'!$D$5:$D$404,MATCH(D1874,'Stock pièces'!$A$5:$A$404,0)),""))</f>
        <v/>
      </c>
      <c r="L1874" s="7" t="n"/>
      <c r="M1874" s="7" t="n"/>
    </row>
    <row r="1875">
      <c r="A1875" s="7" t="n"/>
      <c r="B1875" s="75" t="n"/>
      <c r="C1875" s="7" t="n"/>
      <c r="D1875" s="7" t="n"/>
      <c r="E1875" s="9">
        <f>IF(D1875="","",IFERROR(INDEX('Stock pièces'!$B$5:$B$404,MATCH(D1875,'Stock pièces'!$A$5:$A$404,0)),"Réf. inconnue"))</f>
        <v/>
      </c>
      <c r="F1875" s="67" t="n"/>
      <c r="G1875" s="81">
        <f>IF(D1875="","",IFERROR(INDEX('Stock pièces'!$I$5:$I$404,MATCH(D1875,'Stock pièces'!$A$5:$A$404,0)),0))</f>
        <v/>
      </c>
      <c r="H1875" s="81">
        <f>IF(D1875="","",N(F1875)*N(G1875))</f>
        <v/>
      </c>
      <c r="I1875" s="7" t="n"/>
      <c r="J1875" s="9">
        <f>IF(I1875="","",IFERROR(INDEX('Ordres de travail'!$D$5:$D$3004,MATCH(I1875,'Ordres de travail'!$A$5:$A$3004,0)),""))</f>
        <v/>
      </c>
      <c r="K1875" s="9">
        <f>IF(D1875="","",IFERROR(INDEX('Stock pièces'!$D$5:$D$404,MATCH(D1875,'Stock pièces'!$A$5:$A$404,0)),""))</f>
        <v/>
      </c>
      <c r="L1875" s="7" t="n"/>
      <c r="M1875" s="7" t="n"/>
    </row>
    <row r="1876">
      <c r="A1876" s="7" t="n"/>
      <c r="B1876" s="75" t="n"/>
      <c r="C1876" s="7" t="n"/>
      <c r="D1876" s="7" t="n"/>
      <c r="E1876" s="9">
        <f>IF(D1876="","",IFERROR(INDEX('Stock pièces'!$B$5:$B$404,MATCH(D1876,'Stock pièces'!$A$5:$A$404,0)),"Réf. inconnue"))</f>
        <v/>
      </c>
      <c r="F1876" s="67" t="n"/>
      <c r="G1876" s="81">
        <f>IF(D1876="","",IFERROR(INDEX('Stock pièces'!$I$5:$I$404,MATCH(D1876,'Stock pièces'!$A$5:$A$404,0)),0))</f>
        <v/>
      </c>
      <c r="H1876" s="81">
        <f>IF(D1876="","",N(F1876)*N(G1876))</f>
        <v/>
      </c>
      <c r="I1876" s="7" t="n"/>
      <c r="J1876" s="9">
        <f>IF(I1876="","",IFERROR(INDEX('Ordres de travail'!$D$5:$D$3004,MATCH(I1876,'Ordres de travail'!$A$5:$A$3004,0)),""))</f>
        <v/>
      </c>
      <c r="K1876" s="9">
        <f>IF(D1876="","",IFERROR(INDEX('Stock pièces'!$D$5:$D$404,MATCH(D1876,'Stock pièces'!$A$5:$A$404,0)),""))</f>
        <v/>
      </c>
      <c r="L1876" s="7" t="n"/>
      <c r="M1876" s="7" t="n"/>
    </row>
    <row r="1877">
      <c r="A1877" s="7" t="n"/>
      <c r="B1877" s="75" t="n"/>
      <c r="C1877" s="7" t="n"/>
      <c r="D1877" s="7" t="n"/>
      <c r="E1877" s="9">
        <f>IF(D1877="","",IFERROR(INDEX('Stock pièces'!$B$5:$B$404,MATCH(D1877,'Stock pièces'!$A$5:$A$404,0)),"Réf. inconnue"))</f>
        <v/>
      </c>
      <c r="F1877" s="67" t="n"/>
      <c r="G1877" s="81">
        <f>IF(D1877="","",IFERROR(INDEX('Stock pièces'!$I$5:$I$404,MATCH(D1877,'Stock pièces'!$A$5:$A$404,0)),0))</f>
        <v/>
      </c>
      <c r="H1877" s="81">
        <f>IF(D1877="","",N(F1877)*N(G1877))</f>
        <v/>
      </c>
      <c r="I1877" s="7" t="n"/>
      <c r="J1877" s="9">
        <f>IF(I1877="","",IFERROR(INDEX('Ordres de travail'!$D$5:$D$3004,MATCH(I1877,'Ordres de travail'!$A$5:$A$3004,0)),""))</f>
        <v/>
      </c>
      <c r="K1877" s="9">
        <f>IF(D1877="","",IFERROR(INDEX('Stock pièces'!$D$5:$D$404,MATCH(D1877,'Stock pièces'!$A$5:$A$404,0)),""))</f>
        <v/>
      </c>
      <c r="L1877" s="7" t="n"/>
      <c r="M1877" s="7" t="n"/>
    </row>
    <row r="1878">
      <c r="A1878" s="7" t="n"/>
      <c r="B1878" s="75" t="n"/>
      <c r="C1878" s="7" t="n"/>
      <c r="D1878" s="7" t="n"/>
      <c r="E1878" s="9">
        <f>IF(D1878="","",IFERROR(INDEX('Stock pièces'!$B$5:$B$404,MATCH(D1878,'Stock pièces'!$A$5:$A$404,0)),"Réf. inconnue"))</f>
        <v/>
      </c>
      <c r="F1878" s="67" t="n"/>
      <c r="G1878" s="81">
        <f>IF(D1878="","",IFERROR(INDEX('Stock pièces'!$I$5:$I$404,MATCH(D1878,'Stock pièces'!$A$5:$A$404,0)),0))</f>
        <v/>
      </c>
      <c r="H1878" s="81">
        <f>IF(D1878="","",N(F1878)*N(G1878))</f>
        <v/>
      </c>
      <c r="I1878" s="7" t="n"/>
      <c r="J1878" s="9">
        <f>IF(I1878="","",IFERROR(INDEX('Ordres de travail'!$D$5:$D$3004,MATCH(I1878,'Ordres de travail'!$A$5:$A$3004,0)),""))</f>
        <v/>
      </c>
      <c r="K1878" s="9">
        <f>IF(D1878="","",IFERROR(INDEX('Stock pièces'!$D$5:$D$404,MATCH(D1878,'Stock pièces'!$A$5:$A$404,0)),""))</f>
        <v/>
      </c>
      <c r="L1878" s="7" t="n"/>
      <c r="M1878" s="7" t="n"/>
    </row>
    <row r="1879">
      <c r="A1879" s="7" t="n"/>
      <c r="B1879" s="75" t="n"/>
      <c r="C1879" s="7" t="n"/>
      <c r="D1879" s="7" t="n"/>
      <c r="E1879" s="9">
        <f>IF(D1879="","",IFERROR(INDEX('Stock pièces'!$B$5:$B$404,MATCH(D1879,'Stock pièces'!$A$5:$A$404,0)),"Réf. inconnue"))</f>
        <v/>
      </c>
      <c r="F1879" s="67" t="n"/>
      <c r="G1879" s="81">
        <f>IF(D1879="","",IFERROR(INDEX('Stock pièces'!$I$5:$I$404,MATCH(D1879,'Stock pièces'!$A$5:$A$404,0)),0))</f>
        <v/>
      </c>
      <c r="H1879" s="81">
        <f>IF(D1879="","",N(F1879)*N(G1879))</f>
        <v/>
      </c>
      <c r="I1879" s="7" t="n"/>
      <c r="J1879" s="9">
        <f>IF(I1879="","",IFERROR(INDEX('Ordres de travail'!$D$5:$D$3004,MATCH(I1879,'Ordres de travail'!$A$5:$A$3004,0)),""))</f>
        <v/>
      </c>
      <c r="K1879" s="9">
        <f>IF(D1879="","",IFERROR(INDEX('Stock pièces'!$D$5:$D$404,MATCH(D1879,'Stock pièces'!$A$5:$A$404,0)),""))</f>
        <v/>
      </c>
      <c r="L1879" s="7" t="n"/>
      <c r="M1879" s="7" t="n"/>
    </row>
    <row r="1880">
      <c r="A1880" s="7" t="n"/>
      <c r="B1880" s="75" t="n"/>
      <c r="C1880" s="7" t="n"/>
      <c r="D1880" s="7" t="n"/>
      <c r="E1880" s="9">
        <f>IF(D1880="","",IFERROR(INDEX('Stock pièces'!$B$5:$B$404,MATCH(D1880,'Stock pièces'!$A$5:$A$404,0)),"Réf. inconnue"))</f>
        <v/>
      </c>
      <c r="F1880" s="67" t="n"/>
      <c r="G1880" s="81">
        <f>IF(D1880="","",IFERROR(INDEX('Stock pièces'!$I$5:$I$404,MATCH(D1880,'Stock pièces'!$A$5:$A$404,0)),0))</f>
        <v/>
      </c>
      <c r="H1880" s="81">
        <f>IF(D1880="","",N(F1880)*N(G1880))</f>
        <v/>
      </c>
      <c r="I1880" s="7" t="n"/>
      <c r="J1880" s="9">
        <f>IF(I1880="","",IFERROR(INDEX('Ordres de travail'!$D$5:$D$3004,MATCH(I1880,'Ordres de travail'!$A$5:$A$3004,0)),""))</f>
        <v/>
      </c>
      <c r="K1880" s="9">
        <f>IF(D1880="","",IFERROR(INDEX('Stock pièces'!$D$5:$D$404,MATCH(D1880,'Stock pièces'!$A$5:$A$404,0)),""))</f>
        <v/>
      </c>
      <c r="L1880" s="7" t="n"/>
      <c r="M1880" s="7" t="n"/>
    </row>
    <row r="1881">
      <c r="A1881" s="7" t="n"/>
      <c r="B1881" s="75" t="n"/>
      <c r="C1881" s="7" t="n"/>
      <c r="D1881" s="7" t="n"/>
      <c r="E1881" s="9">
        <f>IF(D1881="","",IFERROR(INDEX('Stock pièces'!$B$5:$B$404,MATCH(D1881,'Stock pièces'!$A$5:$A$404,0)),"Réf. inconnue"))</f>
        <v/>
      </c>
      <c r="F1881" s="67" t="n"/>
      <c r="G1881" s="81">
        <f>IF(D1881="","",IFERROR(INDEX('Stock pièces'!$I$5:$I$404,MATCH(D1881,'Stock pièces'!$A$5:$A$404,0)),0))</f>
        <v/>
      </c>
      <c r="H1881" s="81">
        <f>IF(D1881="","",N(F1881)*N(G1881))</f>
        <v/>
      </c>
      <c r="I1881" s="7" t="n"/>
      <c r="J1881" s="9">
        <f>IF(I1881="","",IFERROR(INDEX('Ordres de travail'!$D$5:$D$3004,MATCH(I1881,'Ordres de travail'!$A$5:$A$3004,0)),""))</f>
        <v/>
      </c>
      <c r="K1881" s="9">
        <f>IF(D1881="","",IFERROR(INDEX('Stock pièces'!$D$5:$D$404,MATCH(D1881,'Stock pièces'!$A$5:$A$404,0)),""))</f>
        <v/>
      </c>
      <c r="L1881" s="7" t="n"/>
      <c r="M1881" s="7" t="n"/>
    </row>
    <row r="1882">
      <c r="A1882" s="7" t="n"/>
      <c r="B1882" s="75" t="n"/>
      <c r="C1882" s="7" t="n"/>
      <c r="D1882" s="7" t="n"/>
      <c r="E1882" s="9">
        <f>IF(D1882="","",IFERROR(INDEX('Stock pièces'!$B$5:$B$404,MATCH(D1882,'Stock pièces'!$A$5:$A$404,0)),"Réf. inconnue"))</f>
        <v/>
      </c>
      <c r="F1882" s="67" t="n"/>
      <c r="G1882" s="81">
        <f>IF(D1882="","",IFERROR(INDEX('Stock pièces'!$I$5:$I$404,MATCH(D1882,'Stock pièces'!$A$5:$A$404,0)),0))</f>
        <v/>
      </c>
      <c r="H1882" s="81">
        <f>IF(D1882="","",N(F1882)*N(G1882))</f>
        <v/>
      </c>
      <c r="I1882" s="7" t="n"/>
      <c r="J1882" s="9">
        <f>IF(I1882="","",IFERROR(INDEX('Ordres de travail'!$D$5:$D$3004,MATCH(I1882,'Ordres de travail'!$A$5:$A$3004,0)),""))</f>
        <v/>
      </c>
      <c r="K1882" s="9">
        <f>IF(D1882="","",IFERROR(INDEX('Stock pièces'!$D$5:$D$404,MATCH(D1882,'Stock pièces'!$A$5:$A$404,0)),""))</f>
        <v/>
      </c>
      <c r="L1882" s="7" t="n"/>
      <c r="M1882" s="7" t="n"/>
    </row>
    <row r="1883">
      <c r="A1883" s="7" t="n"/>
      <c r="B1883" s="75" t="n"/>
      <c r="C1883" s="7" t="n"/>
      <c r="D1883" s="7" t="n"/>
      <c r="E1883" s="9">
        <f>IF(D1883="","",IFERROR(INDEX('Stock pièces'!$B$5:$B$404,MATCH(D1883,'Stock pièces'!$A$5:$A$404,0)),"Réf. inconnue"))</f>
        <v/>
      </c>
      <c r="F1883" s="67" t="n"/>
      <c r="G1883" s="81">
        <f>IF(D1883="","",IFERROR(INDEX('Stock pièces'!$I$5:$I$404,MATCH(D1883,'Stock pièces'!$A$5:$A$404,0)),0))</f>
        <v/>
      </c>
      <c r="H1883" s="81">
        <f>IF(D1883="","",N(F1883)*N(G1883))</f>
        <v/>
      </c>
      <c r="I1883" s="7" t="n"/>
      <c r="J1883" s="9">
        <f>IF(I1883="","",IFERROR(INDEX('Ordres de travail'!$D$5:$D$3004,MATCH(I1883,'Ordres de travail'!$A$5:$A$3004,0)),""))</f>
        <v/>
      </c>
      <c r="K1883" s="9">
        <f>IF(D1883="","",IFERROR(INDEX('Stock pièces'!$D$5:$D$404,MATCH(D1883,'Stock pièces'!$A$5:$A$404,0)),""))</f>
        <v/>
      </c>
      <c r="L1883" s="7" t="n"/>
      <c r="M1883" s="7" t="n"/>
    </row>
    <row r="1884">
      <c r="A1884" s="7" t="n"/>
      <c r="B1884" s="75" t="n"/>
      <c r="C1884" s="7" t="n"/>
      <c r="D1884" s="7" t="n"/>
      <c r="E1884" s="9">
        <f>IF(D1884="","",IFERROR(INDEX('Stock pièces'!$B$5:$B$404,MATCH(D1884,'Stock pièces'!$A$5:$A$404,0)),"Réf. inconnue"))</f>
        <v/>
      </c>
      <c r="F1884" s="67" t="n"/>
      <c r="G1884" s="81">
        <f>IF(D1884="","",IFERROR(INDEX('Stock pièces'!$I$5:$I$404,MATCH(D1884,'Stock pièces'!$A$5:$A$404,0)),0))</f>
        <v/>
      </c>
      <c r="H1884" s="81">
        <f>IF(D1884="","",N(F1884)*N(G1884))</f>
        <v/>
      </c>
      <c r="I1884" s="7" t="n"/>
      <c r="J1884" s="9">
        <f>IF(I1884="","",IFERROR(INDEX('Ordres de travail'!$D$5:$D$3004,MATCH(I1884,'Ordres de travail'!$A$5:$A$3004,0)),""))</f>
        <v/>
      </c>
      <c r="K1884" s="9">
        <f>IF(D1884="","",IFERROR(INDEX('Stock pièces'!$D$5:$D$404,MATCH(D1884,'Stock pièces'!$A$5:$A$404,0)),""))</f>
        <v/>
      </c>
      <c r="L1884" s="7" t="n"/>
      <c r="M1884" s="7" t="n"/>
    </row>
    <row r="1885">
      <c r="A1885" s="7" t="n"/>
      <c r="B1885" s="75" t="n"/>
      <c r="C1885" s="7" t="n"/>
      <c r="D1885" s="7" t="n"/>
      <c r="E1885" s="9">
        <f>IF(D1885="","",IFERROR(INDEX('Stock pièces'!$B$5:$B$404,MATCH(D1885,'Stock pièces'!$A$5:$A$404,0)),"Réf. inconnue"))</f>
        <v/>
      </c>
      <c r="F1885" s="67" t="n"/>
      <c r="G1885" s="81">
        <f>IF(D1885="","",IFERROR(INDEX('Stock pièces'!$I$5:$I$404,MATCH(D1885,'Stock pièces'!$A$5:$A$404,0)),0))</f>
        <v/>
      </c>
      <c r="H1885" s="81">
        <f>IF(D1885="","",N(F1885)*N(G1885))</f>
        <v/>
      </c>
      <c r="I1885" s="7" t="n"/>
      <c r="J1885" s="9">
        <f>IF(I1885="","",IFERROR(INDEX('Ordres de travail'!$D$5:$D$3004,MATCH(I1885,'Ordres de travail'!$A$5:$A$3004,0)),""))</f>
        <v/>
      </c>
      <c r="K1885" s="9">
        <f>IF(D1885="","",IFERROR(INDEX('Stock pièces'!$D$5:$D$404,MATCH(D1885,'Stock pièces'!$A$5:$A$404,0)),""))</f>
        <v/>
      </c>
      <c r="L1885" s="7" t="n"/>
      <c r="M1885" s="7" t="n"/>
    </row>
    <row r="1886">
      <c r="A1886" s="7" t="n"/>
      <c r="B1886" s="75" t="n"/>
      <c r="C1886" s="7" t="n"/>
      <c r="D1886" s="7" t="n"/>
      <c r="E1886" s="9">
        <f>IF(D1886="","",IFERROR(INDEX('Stock pièces'!$B$5:$B$404,MATCH(D1886,'Stock pièces'!$A$5:$A$404,0)),"Réf. inconnue"))</f>
        <v/>
      </c>
      <c r="F1886" s="67" t="n"/>
      <c r="G1886" s="81">
        <f>IF(D1886="","",IFERROR(INDEX('Stock pièces'!$I$5:$I$404,MATCH(D1886,'Stock pièces'!$A$5:$A$404,0)),0))</f>
        <v/>
      </c>
      <c r="H1886" s="81">
        <f>IF(D1886="","",N(F1886)*N(G1886))</f>
        <v/>
      </c>
      <c r="I1886" s="7" t="n"/>
      <c r="J1886" s="9">
        <f>IF(I1886="","",IFERROR(INDEX('Ordres de travail'!$D$5:$D$3004,MATCH(I1886,'Ordres de travail'!$A$5:$A$3004,0)),""))</f>
        <v/>
      </c>
      <c r="K1886" s="9">
        <f>IF(D1886="","",IFERROR(INDEX('Stock pièces'!$D$5:$D$404,MATCH(D1886,'Stock pièces'!$A$5:$A$404,0)),""))</f>
        <v/>
      </c>
      <c r="L1886" s="7" t="n"/>
      <c r="M1886" s="7" t="n"/>
    </row>
    <row r="1887">
      <c r="A1887" s="7" t="n"/>
      <c r="B1887" s="75" t="n"/>
      <c r="C1887" s="7" t="n"/>
      <c r="D1887" s="7" t="n"/>
      <c r="E1887" s="9">
        <f>IF(D1887="","",IFERROR(INDEX('Stock pièces'!$B$5:$B$404,MATCH(D1887,'Stock pièces'!$A$5:$A$404,0)),"Réf. inconnue"))</f>
        <v/>
      </c>
      <c r="F1887" s="67" t="n"/>
      <c r="G1887" s="81">
        <f>IF(D1887="","",IFERROR(INDEX('Stock pièces'!$I$5:$I$404,MATCH(D1887,'Stock pièces'!$A$5:$A$404,0)),0))</f>
        <v/>
      </c>
      <c r="H1887" s="81">
        <f>IF(D1887="","",N(F1887)*N(G1887))</f>
        <v/>
      </c>
      <c r="I1887" s="7" t="n"/>
      <c r="J1887" s="9">
        <f>IF(I1887="","",IFERROR(INDEX('Ordres de travail'!$D$5:$D$3004,MATCH(I1887,'Ordres de travail'!$A$5:$A$3004,0)),""))</f>
        <v/>
      </c>
      <c r="K1887" s="9">
        <f>IF(D1887="","",IFERROR(INDEX('Stock pièces'!$D$5:$D$404,MATCH(D1887,'Stock pièces'!$A$5:$A$404,0)),""))</f>
        <v/>
      </c>
      <c r="L1887" s="7" t="n"/>
      <c r="M1887" s="7" t="n"/>
    </row>
    <row r="1888">
      <c r="A1888" s="7" t="n"/>
      <c r="B1888" s="75" t="n"/>
      <c r="C1888" s="7" t="n"/>
      <c r="D1888" s="7" t="n"/>
      <c r="E1888" s="9">
        <f>IF(D1888="","",IFERROR(INDEX('Stock pièces'!$B$5:$B$404,MATCH(D1888,'Stock pièces'!$A$5:$A$404,0)),"Réf. inconnue"))</f>
        <v/>
      </c>
      <c r="F1888" s="67" t="n"/>
      <c r="G1888" s="81">
        <f>IF(D1888="","",IFERROR(INDEX('Stock pièces'!$I$5:$I$404,MATCH(D1888,'Stock pièces'!$A$5:$A$404,0)),0))</f>
        <v/>
      </c>
      <c r="H1888" s="81">
        <f>IF(D1888="","",N(F1888)*N(G1888))</f>
        <v/>
      </c>
      <c r="I1888" s="7" t="n"/>
      <c r="J1888" s="9">
        <f>IF(I1888="","",IFERROR(INDEX('Ordres de travail'!$D$5:$D$3004,MATCH(I1888,'Ordres de travail'!$A$5:$A$3004,0)),""))</f>
        <v/>
      </c>
      <c r="K1888" s="9">
        <f>IF(D1888="","",IFERROR(INDEX('Stock pièces'!$D$5:$D$404,MATCH(D1888,'Stock pièces'!$A$5:$A$404,0)),""))</f>
        <v/>
      </c>
      <c r="L1888" s="7" t="n"/>
      <c r="M1888" s="7" t="n"/>
    </row>
    <row r="1889">
      <c r="A1889" s="7" t="n"/>
      <c r="B1889" s="75" t="n"/>
      <c r="C1889" s="7" t="n"/>
      <c r="D1889" s="7" t="n"/>
      <c r="E1889" s="9">
        <f>IF(D1889="","",IFERROR(INDEX('Stock pièces'!$B$5:$B$404,MATCH(D1889,'Stock pièces'!$A$5:$A$404,0)),"Réf. inconnue"))</f>
        <v/>
      </c>
      <c r="F1889" s="67" t="n"/>
      <c r="G1889" s="81">
        <f>IF(D1889="","",IFERROR(INDEX('Stock pièces'!$I$5:$I$404,MATCH(D1889,'Stock pièces'!$A$5:$A$404,0)),0))</f>
        <v/>
      </c>
      <c r="H1889" s="81">
        <f>IF(D1889="","",N(F1889)*N(G1889))</f>
        <v/>
      </c>
      <c r="I1889" s="7" t="n"/>
      <c r="J1889" s="9">
        <f>IF(I1889="","",IFERROR(INDEX('Ordres de travail'!$D$5:$D$3004,MATCH(I1889,'Ordres de travail'!$A$5:$A$3004,0)),""))</f>
        <v/>
      </c>
      <c r="K1889" s="9">
        <f>IF(D1889="","",IFERROR(INDEX('Stock pièces'!$D$5:$D$404,MATCH(D1889,'Stock pièces'!$A$5:$A$404,0)),""))</f>
        <v/>
      </c>
      <c r="L1889" s="7" t="n"/>
      <c r="M1889" s="7" t="n"/>
    </row>
    <row r="1890">
      <c r="A1890" s="7" t="n"/>
      <c r="B1890" s="75" t="n"/>
      <c r="C1890" s="7" t="n"/>
      <c r="D1890" s="7" t="n"/>
      <c r="E1890" s="9">
        <f>IF(D1890="","",IFERROR(INDEX('Stock pièces'!$B$5:$B$404,MATCH(D1890,'Stock pièces'!$A$5:$A$404,0)),"Réf. inconnue"))</f>
        <v/>
      </c>
      <c r="F1890" s="67" t="n"/>
      <c r="G1890" s="81">
        <f>IF(D1890="","",IFERROR(INDEX('Stock pièces'!$I$5:$I$404,MATCH(D1890,'Stock pièces'!$A$5:$A$404,0)),0))</f>
        <v/>
      </c>
      <c r="H1890" s="81">
        <f>IF(D1890="","",N(F1890)*N(G1890))</f>
        <v/>
      </c>
      <c r="I1890" s="7" t="n"/>
      <c r="J1890" s="9">
        <f>IF(I1890="","",IFERROR(INDEX('Ordres de travail'!$D$5:$D$3004,MATCH(I1890,'Ordres de travail'!$A$5:$A$3004,0)),""))</f>
        <v/>
      </c>
      <c r="K1890" s="9">
        <f>IF(D1890="","",IFERROR(INDEX('Stock pièces'!$D$5:$D$404,MATCH(D1890,'Stock pièces'!$A$5:$A$404,0)),""))</f>
        <v/>
      </c>
      <c r="L1890" s="7" t="n"/>
      <c r="M1890" s="7" t="n"/>
    </row>
    <row r="1891">
      <c r="A1891" s="7" t="n"/>
      <c r="B1891" s="75" t="n"/>
      <c r="C1891" s="7" t="n"/>
      <c r="D1891" s="7" t="n"/>
      <c r="E1891" s="9">
        <f>IF(D1891="","",IFERROR(INDEX('Stock pièces'!$B$5:$B$404,MATCH(D1891,'Stock pièces'!$A$5:$A$404,0)),"Réf. inconnue"))</f>
        <v/>
      </c>
      <c r="F1891" s="67" t="n"/>
      <c r="G1891" s="81">
        <f>IF(D1891="","",IFERROR(INDEX('Stock pièces'!$I$5:$I$404,MATCH(D1891,'Stock pièces'!$A$5:$A$404,0)),0))</f>
        <v/>
      </c>
      <c r="H1891" s="81">
        <f>IF(D1891="","",N(F1891)*N(G1891))</f>
        <v/>
      </c>
      <c r="I1891" s="7" t="n"/>
      <c r="J1891" s="9">
        <f>IF(I1891="","",IFERROR(INDEX('Ordres de travail'!$D$5:$D$3004,MATCH(I1891,'Ordres de travail'!$A$5:$A$3004,0)),""))</f>
        <v/>
      </c>
      <c r="K1891" s="9">
        <f>IF(D1891="","",IFERROR(INDEX('Stock pièces'!$D$5:$D$404,MATCH(D1891,'Stock pièces'!$A$5:$A$404,0)),""))</f>
        <v/>
      </c>
      <c r="L1891" s="7" t="n"/>
      <c r="M1891" s="7" t="n"/>
    </row>
    <row r="1892">
      <c r="A1892" s="7" t="n"/>
      <c r="B1892" s="75" t="n"/>
      <c r="C1892" s="7" t="n"/>
      <c r="D1892" s="7" t="n"/>
      <c r="E1892" s="9">
        <f>IF(D1892="","",IFERROR(INDEX('Stock pièces'!$B$5:$B$404,MATCH(D1892,'Stock pièces'!$A$5:$A$404,0)),"Réf. inconnue"))</f>
        <v/>
      </c>
      <c r="F1892" s="67" t="n"/>
      <c r="G1892" s="81">
        <f>IF(D1892="","",IFERROR(INDEX('Stock pièces'!$I$5:$I$404,MATCH(D1892,'Stock pièces'!$A$5:$A$404,0)),0))</f>
        <v/>
      </c>
      <c r="H1892" s="81">
        <f>IF(D1892="","",N(F1892)*N(G1892))</f>
        <v/>
      </c>
      <c r="I1892" s="7" t="n"/>
      <c r="J1892" s="9">
        <f>IF(I1892="","",IFERROR(INDEX('Ordres de travail'!$D$5:$D$3004,MATCH(I1892,'Ordres de travail'!$A$5:$A$3004,0)),""))</f>
        <v/>
      </c>
      <c r="K1892" s="9">
        <f>IF(D1892="","",IFERROR(INDEX('Stock pièces'!$D$5:$D$404,MATCH(D1892,'Stock pièces'!$A$5:$A$404,0)),""))</f>
        <v/>
      </c>
      <c r="L1892" s="7" t="n"/>
      <c r="M1892" s="7" t="n"/>
    </row>
    <row r="1893">
      <c r="A1893" s="7" t="n"/>
      <c r="B1893" s="75" t="n"/>
      <c r="C1893" s="7" t="n"/>
      <c r="D1893" s="7" t="n"/>
      <c r="E1893" s="9">
        <f>IF(D1893="","",IFERROR(INDEX('Stock pièces'!$B$5:$B$404,MATCH(D1893,'Stock pièces'!$A$5:$A$404,0)),"Réf. inconnue"))</f>
        <v/>
      </c>
      <c r="F1893" s="67" t="n"/>
      <c r="G1893" s="81">
        <f>IF(D1893="","",IFERROR(INDEX('Stock pièces'!$I$5:$I$404,MATCH(D1893,'Stock pièces'!$A$5:$A$404,0)),0))</f>
        <v/>
      </c>
      <c r="H1893" s="81">
        <f>IF(D1893="","",N(F1893)*N(G1893))</f>
        <v/>
      </c>
      <c r="I1893" s="7" t="n"/>
      <c r="J1893" s="9">
        <f>IF(I1893="","",IFERROR(INDEX('Ordres de travail'!$D$5:$D$3004,MATCH(I1893,'Ordres de travail'!$A$5:$A$3004,0)),""))</f>
        <v/>
      </c>
      <c r="K1893" s="9">
        <f>IF(D1893="","",IFERROR(INDEX('Stock pièces'!$D$5:$D$404,MATCH(D1893,'Stock pièces'!$A$5:$A$404,0)),""))</f>
        <v/>
      </c>
      <c r="L1893" s="7" t="n"/>
      <c r="M1893" s="7" t="n"/>
    </row>
    <row r="1894">
      <c r="A1894" s="7" t="n"/>
      <c r="B1894" s="75" t="n"/>
      <c r="C1894" s="7" t="n"/>
      <c r="D1894" s="7" t="n"/>
      <c r="E1894" s="9">
        <f>IF(D1894="","",IFERROR(INDEX('Stock pièces'!$B$5:$B$404,MATCH(D1894,'Stock pièces'!$A$5:$A$404,0)),"Réf. inconnue"))</f>
        <v/>
      </c>
      <c r="F1894" s="67" t="n"/>
      <c r="G1894" s="81">
        <f>IF(D1894="","",IFERROR(INDEX('Stock pièces'!$I$5:$I$404,MATCH(D1894,'Stock pièces'!$A$5:$A$404,0)),0))</f>
        <v/>
      </c>
      <c r="H1894" s="81">
        <f>IF(D1894="","",N(F1894)*N(G1894))</f>
        <v/>
      </c>
      <c r="I1894" s="7" t="n"/>
      <c r="J1894" s="9">
        <f>IF(I1894="","",IFERROR(INDEX('Ordres de travail'!$D$5:$D$3004,MATCH(I1894,'Ordres de travail'!$A$5:$A$3004,0)),""))</f>
        <v/>
      </c>
      <c r="K1894" s="9">
        <f>IF(D1894="","",IFERROR(INDEX('Stock pièces'!$D$5:$D$404,MATCH(D1894,'Stock pièces'!$A$5:$A$404,0)),""))</f>
        <v/>
      </c>
      <c r="L1894" s="7" t="n"/>
      <c r="M1894" s="7" t="n"/>
    </row>
    <row r="1895">
      <c r="A1895" s="7" t="n"/>
      <c r="B1895" s="75" t="n"/>
      <c r="C1895" s="7" t="n"/>
      <c r="D1895" s="7" t="n"/>
      <c r="E1895" s="9">
        <f>IF(D1895="","",IFERROR(INDEX('Stock pièces'!$B$5:$B$404,MATCH(D1895,'Stock pièces'!$A$5:$A$404,0)),"Réf. inconnue"))</f>
        <v/>
      </c>
      <c r="F1895" s="67" t="n"/>
      <c r="G1895" s="81">
        <f>IF(D1895="","",IFERROR(INDEX('Stock pièces'!$I$5:$I$404,MATCH(D1895,'Stock pièces'!$A$5:$A$404,0)),0))</f>
        <v/>
      </c>
      <c r="H1895" s="81">
        <f>IF(D1895="","",N(F1895)*N(G1895))</f>
        <v/>
      </c>
      <c r="I1895" s="7" t="n"/>
      <c r="J1895" s="9">
        <f>IF(I1895="","",IFERROR(INDEX('Ordres de travail'!$D$5:$D$3004,MATCH(I1895,'Ordres de travail'!$A$5:$A$3004,0)),""))</f>
        <v/>
      </c>
      <c r="K1895" s="9">
        <f>IF(D1895="","",IFERROR(INDEX('Stock pièces'!$D$5:$D$404,MATCH(D1895,'Stock pièces'!$A$5:$A$404,0)),""))</f>
        <v/>
      </c>
      <c r="L1895" s="7" t="n"/>
      <c r="M1895" s="7" t="n"/>
    </row>
    <row r="1896">
      <c r="A1896" s="7" t="n"/>
      <c r="B1896" s="75" t="n"/>
      <c r="C1896" s="7" t="n"/>
      <c r="D1896" s="7" t="n"/>
      <c r="E1896" s="9">
        <f>IF(D1896="","",IFERROR(INDEX('Stock pièces'!$B$5:$B$404,MATCH(D1896,'Stock pièces'!$A$5:$A$404,0)),"Réf. inconnue"))</f>
        <v/>
      </c>
      <c r="F1896" s="67" t="n"/>
      <c r="G1896" s="81">
        <f>IF(D1896="","",IFERROR(INDEX('Stock pièces'!$I$5:$I$404,MATCH(D1896,'Stock pièces'!$A$5:$A$404,0)),0))</f>
        <v/>
      </c>
      <c r="H1896" s="81">
        <f>IF(D1896="","",N(F1896)*N(G1896))</f>
        <v/>
      </c>
      <c r="I1896" s="7" t="n"/>
      <c r="J1896" s="9">
        <f>IF(I1896="","",IFERROR(INDEX('Ordres de travail'!$D$5:$D$3004,MATCH(I1896,'Ordres de travail'!$A$5:$A$3004,0)),""))</f>
        <v/>
      </c>
      <c r="K1896" s="9">
        <f>IF(D1896="","",IFERROR(INDEX('Stock pièces'!$D$5:$D$404,MATCH(D1896,'Stock pièces'!$A$5:$A$404,0)),""))</f>
        <v/>
      </c>
      <c r="L1896" s="7" t="n"/>
      <c r="M1896" s="7" t="n"/>
    </row>
    <row r="1897">
      <c r="A1897" s="7" t="n"/>
      <c r="B1897" s="75" t="n"/>
      <c r="C1897" s="7" t="n"/>
      <c r="D1897" s="7" t="n"/>
      <c r="E1897" s="9">
        <f>IF(D1897="","",IFERROR(INDEX('Stock pièces'!$B$5:$B$404,MATCH(D1897,'Stock pièces'!$A$5:$A$404,0)),"Réf. inconnue"))</f>
        <v/>
      </c>
      <c r="F1897" s="67" t="n"/>
      <c r="G1897" s="81">
        <f>IF(D1897="","",IFERROR(INDEX('Stock pièces'!$I$5:$I$404,MATCH(D1897,'Stock pièces'!$A$5:$A$404,0)),0))</f>
        <v/>
      </c>
      <c r="H1897" s="81">
        <f>IF(D1897="","",N(F1897)*N(G1897))</f>
        <v/>
      </c>
      <c r="I1897" s="7" t="n"/>
      <c r="J1897" s="9">
        <f>IF(I1897="","",IFERROR(INDEX('Ordres de travail'!$D$5:$D$3004,MATCH(I1897,'Ordres de travail'!$A$5:$A$3004,0)),""))</f>
        <v/>
      </c>
      <c r="K1897" s="9">
        <f>IF(D1897="","",IFERROR(INDEX('Stock pièces'!$D$5:$D$404,MATCH(D1897,'Stock pièces'!$A$5:$A$404,0)),""))</f>
        <v/>
      </c>
      <c r="L1897" s="7" t="n"/>
      <c r="M1897" s="7" t="n"/>
    </row>
    <row r="1898">
      <c r="A1898" s="7" t="n"/>
      <c r="B1898" s="75" t="n"/>
      <c r="C1898" s="7" t="n"/>
      <c r="D1898" s="7" t="n"/>
      <c r="E1898" s="9">
        <f>IF(D1898="","",IFERROR(INDEX('Stock pièces'!$B$5:$B$404,MATCH(D1898,'Stock pièces'!$A$5:$A$404,0)),"Réf. inconnue"))</f>
        <v/>
      </c>
      <c r="F1898" s="67" t="n"/>
      <c r="G1898" s="81">
        <f>IF(D1898="","",IFERROR(INDEX('Stock pièces'!$I$5:$I$404,MATCH(D1898,'Stock pièces'!$A$5:$A$404,0)),0))</f>
        <v/>
      </c>
      <c r="H1898" s="81">
        <f>IF(D1898="","",N(F1898)*N(G1898))</f>
        <v/>
      </c>
      <c r="I1898" s="7" t="n"/>
      <c r="J1898" s="9">
        <f>IF(I1898="","",IFERROR(INDEX('Ordres de travail'!$D$5:$D$3004,MATCH(I1898,'Ordres de travail'!$A$5:$A$3004,0)),""))</f>
        <v/>
      </c>
      <c r="K1898" s="9">
        <f>IF(D1898="","",IFERROR(INDEX('Stock pièces'!$D$5:$D$404,MATCH(D1898,'Stock pièces'!$A$5:$A$404,0)),""))</f>
        <v/>
      </c>
      <c r="L1898" s="7" t="n"/>
      <c r="M1898" s="7" t="n"/>
    </row>
    <row r="1899">
      <c r="A1899" s="7" t="n"/>
      <c r="B1899" s="75" t="n"/>
      <c r="C1899" s="7" t="n"/>
      <c r="D1899" s="7" t="n"/>
      <c r="E1899" s="9">
        <f>IF(D1899="","",IFERROR(INDEX('Stock pièces'!$B$5:$B$404,MATCH(D1899,'Stock pièces'!$A$5:$A$404,0)),"Réf. inconnue"))</f>
        <v/>
      </c>
      <c r="F1899" s="67" t="n"/>
      <c r="G1899" s="81">
        <f>IF(D1899="","",IFERROR(INDEX('Stock pièces'!$I$5:$I$404,MATCH(D1899,'Stock pièces'!$A$5:$A$404,0)),0))</f>
        <v/>
      </c>
      <c r="H1899" s="81">
        <f>IF(D1899="","",N(F1899)*N(G1899))</f>
        <v/>
      </c>
      <c r="I1899" s="7" t="n"/>
      <c r="J1899" s="9">
        <f>IF(I1899="","",IFERROR(INDEX('Ordres de travail'!$D$5:$D$3004,MATCH(I1899,'Ordres de travail'!$A$5:$A$3004,0)),""))</f>
        <v/>
      </c>
      <c r="K1899" s="9">
        <f>IF(D1899="","",IFERROR(INDEX('Stock pièces'!$D$5:$D$404,MATCH(D1899,'Stock pièces'!$A$5:$A$404,0)),""))</f>
        <v/>
      </c>
      <c r="L1899" s="7" t="n"/>
      <c r="M1899" s="7" t="n"/>
    </row>
    <row r="1900">
      <c r="A1900" s="7" t="n"/>
      <c r="B1900" s="75" t="n"/>
      <c r="C1900" s="7" t="n"/>
      <c r="D1900" s="7" t="n"/>
      <c r="E1900" s="9">
        <f>IF(D1900="","",IFERROR(INDEX('Stock pièces'!$B$5:$B$404,MATCH(D1900,'Stock pièces'!$A$5:$A$404,0)),"Réf. inconnue"))</f>
        <v/>
      </c>
      <c r="F1900" s="67" t="n"/>
      <c r="G1900" s="81">
        <f>IF(D1900="","",IFERROR(INDEX('Stock pièces'!$I$5:$I$404,MATCH(D1900,'Stock pièces'!$A$5:$A$404,0)),0))</f>
        <v/>
      </c>
      <c r="H1900" s="81">
        <f>IF(D1900="","",N(F1900)*N(G1900))</f>
        <v/>
      </c>
      <c r="I1900" s="7" t="n"/>
      <c r="J1900" s="9">
        <f>IF(I1900="","",IFERROR(INDEX('Ordres de travail'!$D$5:$D$3004,MATCH(I1900,'Ordres de travail'!$A$5:$A$3004,0)),""))</f>
        <v/>
      </c>
      <c r="K1900" s="9">
        <f>IF(D1900="","",IFERROR(INDEX('Stock pièces'!$D$5:$D$404,MATCH(D1900,'Stock pièces'!$A$5:$A$404,0)),""))</f>
        <v/>
      </c>
      <c r="L1900" s="7" t="n"/>
      <c r="M1900" s="7" t="n"/>
    </row>
    <row r="1901">
      <c r="A1901" s="7" t="n"/>
      <c r="B1901" s="75" t="n"/>
      <c r="C1901" s="7" t="n"/>
      <c r="D1901" s="7" t="n"/>
      <c r="E1901" s="9">
        <f>IF(D1901="","",IFERROR(INDEX('Stock pièces'!$B$5:$B$404,MATCH(D1901,'Stock pièces'!$A$5:$A$404,0)),"Réf. inconnue"))</f>
        <v/>
      </c>
      <c r="F1901" s="67" t="n"/>
      <c r="G1901" s="81">
        <f>IF(D1901="","",IFERROR(INDEX('Stock pièces'!$I$5:$I$404,MATCH(D1901,'Stock pièces'!$A$5:$A$404,0)),0))</f>
        <v/>
      </c>
      <c r="H1901" s="81">
        <f>IF(D1901="","",N(F1901)*N(G1901))</f>
        <v/>
      </c>
      <c r="I1901" s="7" t="n"/>
      <c r="J1901" s="9">
        <f>IF(I1901="","",IFERROR(INDEX('Ordres de travail'!$D$5:$D$3004,MATCH(I1901,'Ordres de travail'!$A$5:$A$3004,0)),""))</f>
        <v/>
      </c>
      <c r="K1901" s="9">
        <f>IF(D1901="","",IFERROR(INDEX('Stock pièces'!$D$5:$D$404,MATCH(D1901,'Stock pièces'!$A$5:$A$404,0)),""))</f>
        <v/>
      </c>
      <c r="L1901" s="7" t="n"/>
      <c r="M1901" s="7" t="n"/>
    </row>
    <row r="1902">
      <c r="A1902" s="7" t="n"/>
      <c r="B1902" s="75" t="n"/>
      <c r="C1902" s="7" t="n"/>
      <c r="D1902" s="7" t="n"/>
      <c r="E1902" s="9">
        <f>IF(D1902="","",IFERROR(INDEX('Stock pièces'!$B$5:$B$404,MATCH(D1902,'Stock pièces'!$A$5:$A$404,0)),"Réf. inconnue"))</f>
        <v/>
      </c>
      <c r="F1902" s="67" t="n"/>
      <c r="G1902" s="81">
        <f>IF(D1902="","",IFERROR(INDEX('Stock pièces'!$I$5:$I$404,MATCH(D1902,'Stock pièces'!$A$5:$A$404,0)),0))</f>
        <v/>
      </c>
      <c r="H1902" s="81">
        <f>IF(D1902="","",N(F1902)*N(G1902))</f>
        <v/>
      </c>
      <c r="I1902" s="7" t="n"/>
      <c r="J1902" s="9">
        <f>IF(I1902="","",IFERROR(INDEX('Ordres de travail'!$D$5:$D$3004,MATCH(I1902,'Ordres de travail'!$A$5:$A$3004,0)),""))</f>
        <v/>
      </c>
      <c r="K1902" s="9">
        <f>IF(D1902="","",IFERROR(INDEX('Stock pièces'!$D$5:$D$404,MATCH(D1902,'Stock pièces'!$A$5:$A$404,0)),""))</f>
        <v/>
      </c>
      <c r="L1902" s="7" t="n"/>
      <c r="M1902" s="7" t="n"/>
    </row>
    <row r="1903">
      <c r="A1903" s="7" t="n"/>
      <c r="B1903" s="75" t="n"/>
      <c r="C1903" s="7" t="n"/>
      <c r="D1903" s="7" t="n"/>
      <c r="E1903" s="9">
        <f>IF(D1903="","",IFERROR(INDEX('Stock pièces'!$B$5:$B$404,MATCH(D1903,'Stock pièces'!$A$5:$A$404,0)),"Réf. inconnue"))</f>
        <v/>
      </c>
      <c r="F1903" s="67" t="n"/>
      <c r="G1903" s="81">
        <f>IF(D1903="","",IFERROR(INDEX('Stock pièces'!$I$5:$I$404,MATCH(D1903,'Stock pièces'!$A$5:$A$404,0)),0))</f>
        <v/>
      </c>
      <c r="H1903" s="81">
        <f>IF(D1903="","",N(F1903)*N(G1903))</f>
        <v/>
      </c>
      <c r="I1903" s="7" t="n"/>
      <c r="J1903" s="9">
        <f>IF(I1903="","",IFERROR(INDEX('Ordres de travail'!$D$5:$D$3004,MATCH(I1903,'Ordres de travail'!$A$5:$A$3004,0)),""))</f>
        <v/>
      </c>
      <c r="K1903" s="9">
        <f>IF(D1903="","",IFERROR(INDEX('Stock pièces'!$D$5:$D$404,MATCH(D1903,'Stock pièces'!$A$5:$A$404,0)),""))</f>
        <v/>
      </c>
      <c r="L1903" s="7" t="n"/>
      <c r="M1903" s="7" t="n"/>
    </row>
    <row r="1904">
      <c r="A1904" s="7" t="n"/>
      <c r="B1904" s="75" t="n"/>
      <c r="C1904" s="7" t="n"/>
      <c r="D1904" s="7" t="n"/>
      <c r="E1904" s="9">
        <f>IF(D1904="","",IFERROR(INDEX('Stock pièces'!$B$5:$B$404,MATCH(D1904,'Stock pièces'!$A$5:$A$404,0)),"Réf. inconnue"))</f>
        <v/>
      </c>
      <c r="F1904" s="67" t="n"/>
      <c r="G1904" s="81">
        <f>IF(D1904="","",IFERROR(INDEX('Stock pièces'!$I$5:$I$404,MATCH(D1904,'Stock pièces'!$A$5:$A$404,0)),0))</f>
        <v/>
      </c>
      <c r="H1904" s="81">
        <f>IF(D1904="","",N(F1904)*N(G1904))</f>
        <v/>
      </c>
      <c r="I1904" s="7" t="n"/>
      <c r="J1904" s="9">
        <f>IF(I1904="","",IFERROR(INDEX('Ordres de travail'!$D$5:$D$3004,MATCH(I1904,'Ordres de travail'!$A$5:$A$3004,0)),""))</f>
        <v/>
      </c>
      <c r="K1904" s="9">
        <f>IF(D1904="","",IFERROR(INDEX('Stock pièces'!$D$5:$D$404,MATCH(D1904,'Stock pièces'!$A$5:$A$404,0)),""))</f>
        <v/>
      </c>
      <c r="L1904" s="7" t="n"/>
      <c r="M1904" s="7" t="n"/>
    </row>
    <row r="1905">
      <c r="A1905" s="7" t="n"/>
      <c r="B1905" s="75" t="n"/>
      <c r="C1905" s="7" t="n"/>
      <c r="D1905" s="7" t="n"/>
      <c r="E1905" s="9">
        <f>IF(D1905="","",IFERROR(INDEX('Stock pièces'!$B$5:$B$404,MATCH(D1905,'Stock pièces'!$A$5:$A$404,0)),"Réf. inconnue"))</f>
        <v/>
      </c>
      <c r="F1905" s="67" t="n"/>
      <c r="G1905" s="81">
        <f>IF(D1905="","",IFERROR(INDEX('Stock pièces'!$I$5:$I$404,MATCH(D1905,'Stock pièces'!$A$5:$A$404,0)),0))</f>
        <v/>
      </c>
      <c r="H1905" s="81">
        <f>IF(D1905="","",N(F1905)*N(G1905))</f>
        <v/>
      </c>
      <c r="I1905" s="7" t="n"/>
      <c r="J1905" s="9">
        <f>IF(I1905="","",IFERROR(INDEX('Ordres de travail'!$D$5:$D$3004,MATCH(I1905,'Ordres de travail'!$A$5:$A$3004,0)),""))</f>
        <v/>
      </c>
      <c r="K1905" s="9">
        <f>IF(D1905="","",IFERROR(INDEX('Stock pièces'!$D$5:$D$404,MATCH(D1905,'Stock pièces'!$A$5:$A$404,0)),""))</f>
        <v/>
      </c>
      <c r="L1905" s="7" t="n"/>
      <c r="M1905" s="7" t="n"/>
    </row>
    <row r="1906">
      <c r="A1906" s="7" t="n"/>
      <c r="B1906" s="75" t="n"/>
      <c r="C1906" s="7" t="n"/>
      <c r="D1906" s="7" t="n"/>
      <c r="E1906" s="9">
        <f>IF(D1906="","",IFERROR(INDEX('Stock pièces'!$B$5:$B$404,MATCH(D1906,'Stock pièces'!$A$5:$A$404,0)),"Réf. inconnue"))</f>
        <v/>
      </c>
      <c r="F1906" s="67" t="n"/>
      <c r="G1906" s="81">
        <f>IF(D1906="","",IFERROR(INDEX('Stock pièces'!$I$5:$I$404,MATCH(D1906,'Stock pièces'!$A$5:$A$404,0)),0))</f>
        <v/>
      </c>
      <c r="H1906" s="81">
        <f>IF(D1906="","",N(F1906)*N(G1906))</f>
        <v/>
      </c>
      <c r="I1906" s="7" t="n"/>
      <c r="J1906" s="9">
        <f>IF(I1906="","",IFERROR(INDEX('Ordres de travail'!$D$5:$D$3004,MATCH(I1906,'Ordres de travail'!$A$5:$A$3004,0)),""))</f>
        <v/>
      </c>
      <c r="K1906" s="9">
        <f>IF(D1906="","",IFERROR(INDEX('Stock pièces'!$D$5:$D$404,MATCH(D1906,'Stock pièces'!$A$5:$A$404,0)),""))</f>
        <v/>
      </c>
      <c r="L1906" s="7" t="n"/>
      <c r="M1906" s="7" t="n"/>
    </row>
    <row r="1907">
      <c r="A1907" s="7" t="n"/>
      <c r="B1907" s="75" t="n"/>
      <c r="C1907" s="7" t="n"/>
      <c r="D1907" s="7" t="n"/>
      <c r="E1907" s="9">
        <f>IF(D1907="","",IFERROR(INDEX('Stock pièces'!$B$5:$B$404,MATCH(D1907,'Stock pièces'!$A$5:$A$404,0)),"Réf. inconnue"))</f>
        <v/>
      </c>
      <c r="F1907" s="67" t="n"/>
      <c r="G1907" s="81">
        <f>IF(D1907="","",IFERROR(INDEX('Stock pièces'!$I$5:$I$404,MATCH(D1907,'Stock pièces'!$A$5:$A$404,0)),0))</f>
        <v/>
      </c>
      <c r="H1907" s="81">
        <f>IF(D1907="","",N(F1907)*N(G1907))</f>
        <v/>
      </c>
      <c r="I1907" s="7" t="n"/>
      <c r="J1907" s="9">
        <f>IF(I1907="","",IFERROR(INDEX('Ordres de travail'!$D$5:$D$3004,MATCH(I1907,'Ordres de travail'!$A$5:$A$3004,0)),""))</f>
        <v/>
      </c>
      <c r="K1907" s="9">
        <f>IF(D1907="","",IFERROR(INDEX('Stock pièces'!$D$5:$D$404,MATCH(D1907,'Stock pièces'!$A$5:$A$404,0)),""))</f>
        <v/>
      </c>
      <c r="L1907" s="7" t="n"/>
      <c r="M1907" s="7" t="n"/>
    </row>
    <row r="1908">
      <c r="A1908" s="7" t="n"/>
      <c r="B1908" s="75" t="n"/>
      <c r="C1908" s="7" t="n"/>
      <c r="D1908" s="7" t="n"/>
      <c r="E1908" s="9">
        <f>IF(D1908="","",IFERROR(INDEX('Stock pièces'!$B$5:$B$404,MATCH(D1908,'Stock pièces'!$A$5:$A$404,0)),"Réf. inconnue"))</f>
        <v/>
      </c>
      <c r="F1908" s="67" t="n"/>
      <c r="G1908" s="81">
        <f>IF(D1908="","",IFERROR(INDEX('Stock pièces'!$I$5:$I$404,MATCH(D1908,'Stock pièces'!$A$5:$A$404,0)),0))</f>
        <v/>
      </c>
      <c r="H1908" s="81">
        <f>IF(D1908="","",N(F1908)*N(G1908))</f>
        <v/>
      </c>
      <c r="I1908" s="7" t="n"/>
      <c r="J1908" s="9">
        <f>IF(I1908="","",IFERROR(INDEX('Ordres de travail'!$D$5:$D$3004,MATCH(I1908,'Ordres de travail'!$A$5:$A$3004,0)),""))</f>
        <v/>
      </c>
      <c r="K1908" s="9">
        <f>IF(D1908="","",IFERROR(INDEX('Stock pièces'!$D$5:$D$404,MATCH(D1908,'Stock pièces'!$A$5:$A$404,0)),""))</f>
        <v/>
      </c>
      <c r="L1908" s="7" t="n"/>
      <c r="M1908" s="7" t="n"/>
    </row>
    <row r="1909">
      <c r="A1909" s="7" t="n"/>
      <c r="B1909" s="75" t="n"/>
      <c r="C1909" s="7" t="n"/>
      <c r="D1909" s="7" t="n"/>
      <c r="E1909" s="9">
        <f>IF(D1909="","",IFERROR(INDEX('Stock pièces'!$B$5:$B$404,MATCH(D1909,'Stock pièces'!$A$5:$A$404,0)),"Réf. inconnue"))</f>
        <v/>
      </c>
      <c r="F1909" s="67" t="n"/>
      <c r="G1909" s="81">
        <f>IF(D1909="","",IFERROR(INDEX('Stock pièces'!$I$5:$I$404,MATCH(D1909,'Stock pièces'!$A$5:$A$404,0)),0))</f>
        <v/>
      </c>
      <c r="H1909" s="81">
        <f>IF(D1909="","",N(F1909)*N(G1909))</f>
        <v/>
      </c>
      <c r="I1909" s="7" t="n"/>
      <c r="J1909" s="9">
        <f>IF(I1909="","",IFERROR(INDEX('Ordres de travail'!$D$5:$D$3004,MATCH(I1909,'Ordres de travail'!$A$5:$A$3004,0)),""))</f>
        <v/>
      </c>
      <c r="K1909" s="9">
        <f>IF(D1909="","",IFERROR(INDEX('Stock pièces'!$D$5:$D$404,MATCH(D1909,'Stock pièces'!$A$5:$A$404,0)),""))</f>
        <v/>
      </c>
      <c r="L1909" s="7" t="n"/>
      <c r="M1909" s="7" t="n"/>
    </row>
    <row r="1910">
      <c r="A1910" s="7" t="n"/>
      <c r="B1910" s="75" t="n"/>
      <c r="C1910" s="7" t="n"/>
      <c r="D1910" s="7" t="n"/>
      <c r="E1910" s="9">
        <f>IF(D1910="","",IFERROR(INDEX('Stock pièces'!$B$5:$B$404,MATCH(D1910,'Stock pièces'!$A$5:$A$404,0)),"Réf. inconnue"))</f>
        <v/>
      </c>
      <c r="F1910" s="67" t="n"/>
      <c r="G1910" s="81">
        <f>IF(D1910="","",IFERROR(INDEX('Stock pièces'!$I$5:$I$404,MATCH(D1910,'Stock pièces'!$A$5:$A$404,0)),0))</f>
        <v/>
      </c>
      <c r="H1910" s="81">
        <f>IF(D1910="","",N(F1910)*N(G1910))</f>
        <v/>
      </c>
      <c r="I1910" s="7" t="n"/>
      <c r="J1910" s="9">
        <f>IF(I1910="","",IFERROR(INDEX('Ordres de travail'!$D$5:$D$3004,MATCH(I1910,'Ordres de travail'!$A$5:$A$3004,0)),""))</f>
        <v/>
      </c>
      <c r="K1910" s="9">
        <f>IF(D1910="","",IFERROR(INDEX('Stock pièces'!$D$5:$D$404,MATCH(D1910,'Stock pièces'!$A$5:$A$404,0)),""))</f>
        <v/>
      </c>
      <c r="L1910" s="7" t="n"/>
      <c r="M1910" s="7" t="n"/>
    </row>
    <row r="1911">
      <c r="A1911" s="7" t="n"/>
      <c r="B1911" s="75" t="n"/>
      <c r="C1911" s="7" t="n"/>
      <c r="D1911" s="7" t="n"/>
      <c r="E1911" s="9">
        <f>IF(D1911="","",IFERROR(INDEX('Stock pièces'!$B$5:$B$404,MATCH(D1911,'Stock pièces'!$A$5:$A$404,0)),"Réf. inconnue"))</f>
        <v/>
      </c>
      <c r="F1911" s="67" t="n"/>
      <c r="G1911" s="81">
        <f>IF(D1911="","",IFERROR(INDEX('Stock pièces'!$I$5:$I$404,MATCH(D1911,'Stock pièces'!$A$5:$A$404,0)),0))</f>
        <v/>
      </c>
      <c r="H1911" s="81">
        <f>IF(D1911="","",N(F1911)*N(G1911))</f>
        <v/>
      </c>
      <c r="I1911" s="7" t="n"/>
      <c r="J1911" s="9">
        <f>IF(I1911="","",IFERROR(INDEX('Ordres de travail'!$D$5:$D$3004,MATCH(I1911,'Ordres de travail'!$A$5:$A$3004,0)),""))</f>
        <v/>
      </c>
      <c r="K1911" s="9">
        <f>IF(D1911="","",IFERROR(INDEX('Stock pièces'!$D$5:$D$404,MATCH(D1911,'Stock pièces'!$A$5:$A$404,0)),""))</f>
        <v/>
      </c>
      <c r="L1911" s="7" t="n"/>
      <c r="M1911" s="7" t="n"/>
    </row>
    <row r="1912">
      <c r="A1912" s="7" t="n"/>
      <c r="B1912" s="75" t="n"/>
      <c r="C1912" s="7" t="n"/>
      <c r="D1912" s="7" t="n"/>
      <c r="E1912" s="9">
        <f>IF(D1912="","",IFERROR(INDEX('Stock pièces'!$B$5:$B$404,MATCH(D1912,'Stock pièces'!$A$5:$A$404,0)),"Réf. inconnue"))</f>
        <v/>
      </c>
      <c r="F1912" s="67" t="n"/>
      <c r="G1912" s="81">
        <f>IF(D1912="","",IFERROR(INDEX('Stock pièces'!$I$5:$I$404,MATCH(D1912,'Stock pièces'!$A$5:$A$404,0)),0))</f>
        <v/>
      </c>
      <c r="H1912" s="81">
        <f>IF(D1912="","",N(F1912)*N(G1912))</f>
        <v/>
      </c>
      <c r="I1912" s="7" t="n"/>
      <c r="J1912" s="9">
        <f>IF(I1912="","",IFERROR(INDEX('Ordres de travail'!$D$5:$D$3004,MATCH(I1912,'Ordres de travail'!$A$5:$A$3004,0)),""))</f>
        <v/>
      </c>
      <c r="K1912" s="9">
        <f>IF(D1912="","",IFERROR(INDEX('Stock pièces'!$D$5:$D$404,MATCH(D1912,'Stock pièces'!$A$5:$A$404,0)),""))</f>
        <v/>
      </c>
      <c r="L1912" s="7" t="n"/>
      <c r="M1912" s="7" t="n"/>
    </row>
    <row r="1913">
      <c r="A1913" s="7" t="n"/>
      <c r="B1913" s="75" t="n"/>
      <c r="C1913" s="7" t="n"/>
      <c r="D1913" s="7" t="n"/>
      <c r="E1913" s="9">
        <f>IF(D1913="","",IFERROR(INDEX('Stock pièces'!$B$5:$B$404,MATCH(D1913,'Stock pièces'!$A$5:$A$404,0)),"Réf. inconnue"))</f>
        <v/>
      </c>
      <c r="F1913" s="67" t="n"/>
      <c r="G1913" s="81">
        <f>IF(D1913="","",IFERROR(INDEX('Stock pièces'!$I$5:$I$404,MATCH(D1913,'Stock pièces'!$A$5:$A$404,0)),0))</f>
        <v/>
      </c>
      <c r="H1913" s="81">
        <f>IF(D1913="","",N(F1913)*N(G1913))</f>
        <v/>
      </c>
      <c r="I1913" s="7" t="n"/>
      <c r="J1913" s="9">
        <f>IF(I1913="","",IFERROR(INDEX('Ordres de travail'!$D$5:$D$3004,MATCH(I1913,'Ordres de travail'!$A$5:$A$3004,0)),""))</f>
        <v/>
      </c>
      <c r="K1913" s="9">
        <f>IF(D1913="","",IFERROR(INDEX('Stock pièces'!$D$5:$D$404,MATCH(D1913,'Stock pièces'!$A$5:$A$404,0)),""))</f>
        <v/>
      </c>
      <c r="L1913" s="7" t="n"/>
      <c r="M1913" s="7" t="n"/>
    </row>
    <row r="1914">
      <c r="A1914" s="7" t="n"/>
      <c r="B1914" s="75" t="n"/>
      <c r="C1914" s="7" t="n"/>
      <c r="D1914" s="7" t="n"/>
      <c r="E1914" s="9">
        <f>IF(D1914="","",IFERROR(INDEX('Stock pièces'!$B$5:$B$404,MATCH(D1914,'Stock pièces'!$A$5:$A$404,0)),"Réf. inconnue"))</f>
        <v/>
      </c>
      <c r="F1914" s="67" t="n"/>
      <c r="G1914" s="81">
        <f>IF(D1914="","",IFERROR(INDEX('Stock pièces'!$I$5:$I$404,MATCH(D1914,'Stock pièces'!$A$5:$A$404,0)),0))</f>
        <v/>
      </c>
      <c r="H1914" s="81">
        <f>IF(D1914="","",N(F1914)*N(G1914))</f>
        <v/>
      </c>
      <c r="I1914" s="7" t="n"/>
      <c r="J1914" s="9">
        <f>IF(I1914="","",IFERROR(INDEX('Ordres de travail'!$D$5:$D$3004,MATCH(I1914,'Ordres de travail'!$A$5:$A$3004,0)),""))</f>
        <v/>
      </c>
      <c r="K1914" s="9">
        <f>IF(D1914="","",IFERROR(INDEX('Stock pièces'!$D$5:$D$404,MATCH(D1914,'Stock pièces'!$A$5:$A$404,0)),""))</f>
        <v/>
      </c>
      <c r="L1914" s="7" t="n"/>
      <c r="M1914" s="7" t="n"/>
    </row>
    <row r="1915">
      <c r="A1915" s="7" t="n"/>
      <c r="B1915" s="75" t="n"/>
      <c r="C1915" s="7" t="n"/>
      <c r="D1915" s="7" t="n"/>
      <c r="E1915" s="9">
        <f>IF(D1915="","",IFERROR(INDEX('Stock pièces'!$B$5:$B$404,MATCH(D1915,'Stock pièces'!$A$5:$A$404,0)),"Réf. inconnue"))</f>
        <v/>
      </c>
      <c r="F1915" s="67" t="n"/>
      <c r="G1915" s="81">
        <f>IF(D1915="","",IFERROR(INDEX('Stock pièces'!$I$5:$I$404,MATCH(D1915,'Stock pièces'!$A$5:$A$404,0)),0))</f>
        <v/>
      </c>
      <c r="H1915" s="81">
        <f>IF(D1915="","",N(F1915)*N(G1915))</f>
        <v/>
      </c>
      <c r="I1915" s="7" t="n"/>
      <c r="J1915" s="9">
        <f>IF(I1915="","",IFERROR(INDEX('Ordres de travail'!$D$5:$D$3004,MATCH(I1915,'Ordres de travail'!$A$5:$A$3004,0)),""))</f>
        <v/>
      </c>
      <c r="K1915" s="9">
        <f>IF(D1915="","",IFERROR(INDEX('Stock pièces'!$D$5:$D$404,MATCH(D1915,'Stock pièces'!$A$5:$A$404,0)),""))</f>
        <v/>
      </c>
      <c r="L1915" s="7" t="n"/>
      <c r="M1915" s="7" t="n"/>
    </row>
    <row r="1916">
      <c r="A1916" s="7" t="n"/>
      <c r="B1916" s="75" t="n"/>
      <c r="C1916" s="7" t="n"/>
      <c r="D1916" s="7" t="n"/>
      <c r="E1916" s="9">
        <f>IF(D1916="","",IFERROR(INDEX('Stock pièces'!$B$5:$B$404,MATCH(D1916,'Stock pièces'!$A$5:$A$404,0)),"Réf. inconnue"))</f>
        <v/>
      </c>
      <c r="F1916" s="67" t="n"/>
      <c r="G1916" s="81">
        <f>IF(D1916="","",IFERROR(INDEX('Stock pièces'!$I$5:$I$404,MATCH(D1916,'Stock pièces'!$A$5:$A$404,0)),0))</f>
        <v/>
      </c>
      <c r="H1916" s="81">
        <f>IF(D1916="","",N(F1916)*N(G1916))</f>
        <v/>
      </c>
      <c r="I1916" s="7" t="n"/>
      <c r="J1916" s="9">
        <f>IF(I1916="","",IFERROR(INDEX('Ordres de travail'!$D$5:$D$3004,MATCH(I1916,'Ordres de travail'!$A$5:$A$3004,0)),""))</f>
        <v/>
      </c>
      <c r="K1916" s="9">
        <f>IF(D1916="","",IFERROR(INDEX('Stock pièces'!$D$5:$D$404,MATCH(D1916,'Stock pièces'!$A$5:$A$404,0)),""))</f>
        <v/>
      </c>
      <c r="L1916" s="7" t="n"/>
      <c r="M1916" s="7" t="n"/>
    </row>
    <row r="1917">
      <c r="A1917" s="7" t="n"/>
      <c r="B1917" s="75" t="n"/>
      <c r="C1917" s="7" t="n"/>
      <c r="D1917" s="7" t="n"/>
      <c r="E1917" s="9">
        <f>IF(D1917="","",IFERROR(INDEX('Stock pièces'!$B$5:$B$404,MATCH(D1917,'Stock pièces'!$A$5:$A$404,0)),"Réf. inconnue"))</f>
        <v/>
      </c>
      <c r="F1917" s="67" t="n"/>
      <c r="G1917" s="81">
        <f>IF(D1917="","",IFERROR(INDEX('Stock pièces'!$I$5:$I$404,MATCH(D1917,'Stock pièces'!$A$5:$A$404,0)),0))</f>
        <v/>
      </c>
      <c r="H1917" s="81">
        <f>IF(D1917="","",N(F1917)*N(G1917))</f>
        <v/>
      </c>
      <c r="I1917" s="7" t="n"/>
      <c r="J1917" s="9">
        <f>IF(I1917="","",IFERROR(INDEX('Ordres de travail'!$D$5:$D$3004,MATCH(I1917,'Ordres de travail'!$A$5:$A$3004,0)),""))</f>
        <v/>
      </c>
      <c r="K1917" s="9">
        <f>IF(D1917="","",IFERROR(INDEX('Stock pièces'!$D$5:$D$404,MATCH(D1917,'Stock pièces'!$A$5:$A$404,0)),""))</f>
        <v/>
      </c>
      <c r="L1917" s="7" t="n"/>
      <c r="M1917" s="7" t="n"/>
    </row>
    <row r="1918">
      <c r="A1918" s="7" t="n"/>
      <c r="B1918" s="75" t="n"/>
      <c r="C1918" s="7" t="n"/>
      <c r="D1918" s="7" t="n"/>
      <c r="E1918" s="9">
        <f>IF(D1918="","",IFERROR(INDEX('Stock pièces'!$B$5:$B$404,MATCH(D1918,'Stock pièces'!$A$5:$A$404,0)),"Réf. inconnue"))</f>
        <v/>
      </c>
      <c r="F1918" s="67" t="n"/>
      <c r="G1918" s="81">
        <f>IF(D1918="","",IFERROR(INDEX('Stock pièces'!$I$5:$I$404,MATCH(D1918,'Stock pièces'!$A$5:$A$404,0)),0))</f>
        <v/>
      </c>
      <c r="H1918" s="81">
        <f>IF(D1918="","",N(F1918)*N(G1918))</f>
        <v/>
      </c>
      <c r="I1918" s="7" t="n"/>
      <c r="J1918" s="9">
        <f>IF(I1918="","",IFERROR(INDEX('Ordres de travail'!$D$5:$D$3004,MATCH(I1918,'Ordres de travail'!$A$5:$A$3004,0)),""))</f>
        <v/>
      </c>
      <c r="K1918" s="9">
        <f>IF(D1918="","",IFERROR(INDEX('Stock pièces'!$D$5:$D$404,MATCH(D1918,'Stock pièces'!$A$5:$A$404,0)),""))</f>
        <v/>
      </c>
      <c r="L1918" s="7" t="n"/>
      <c r="M1918" s="7" t="n"/>
    </row>
    <row r="1919">
      <c r="A1919" s="7" t="n"/>
      <c r="B1919" s="75" t="n"/>
      <c r="C1919" s="7" t="n"/>
      <c r="D1919" s="7" t="n"/>
      <c r="E1919" s="9">
        <f>IF(D1919="","",IFERROR(INDEX('Stock pièces'!$B$5:$B$404,MATCH(D1919,'Stock pièces'!$A$5:$A$404,0)),"Réf. inconnue"))</f>
        <v/>
      </c>
      <c r="F1919" s="67" t="n"/>
      <c r="G1919" s="81">
        <f>IF(D1919="","",IFERROR(INDEX('Stock pièces'!$I$5:$I$404,MATCH(D1919,'Stock pièces'!$A$5:$A$404,0)),0))</f>
        <v/>
      </c>
      <c r="H1919" s="81">
        <f>IF(D1919="","",N(F1919)*N(G1919))</f>
        <v/>
      </c>
      <c r="I1919" s="7" t="n"/>
      <c r="J1919" s="9">
        <f>IF(I1919="","",IFERROR(INDEX('Ordres de travail'!$D$5:$D$3004,MATCH(I1919,'Ordres de travail'!$A$5:$A$3004,0)),""))</f>
        <v/>
      </c>
      <c r="K1919" s="9">
        <f>IF(D1919="","",IFERROR(INDEX('Stock pièces'!$D$5:$D$404,MATCH(D1919,'Stock pièces'!$A$5:$A$404,0)),""))</f>
        <v/>
      </c>
      <c r="L1919" s="7" t="n"/>
      <c r="M1919" s="7" t="n"/>
    </row>
    <row r="1920">
      <c r="A1920" s="7" t="n"/>
      <c r="B1920" s="75" t="n"/>
      <c r="C1920" s="7" t="n"/>
      <c r="D1920" s="7" t="n"/>
      <c r="E1920" s="9">
        <f>IF(D1920="","",IFERROR(INDEX('Stock pièces'!$B$5:$B$404,MATCH(D1920,'Stock pièces'!$A$5:$A$404,0)),"Réf. inconnue"))</f>
        <v/>
      </c>
      <c r="F1920" s="67" t="n"/>
      <c r="G1920" s="81">
        <f>IF(D1920="","",IFERROR(INDEX('Stock pièces'!$I$5:$I$404,MATCH(D1920,'Stock pièces'!$A$5:$A$404,0)),0))</f>
        <v/>
      </c>
      <c r="H1920" s="81">
        <f>IF(D1920="","",N(F1920)*N(G1920))</f>
        <v/>
      </c>
      <c r="I1920" s="7" t="n"/>
      <c r="J1920" s="9">
        <f>IF(I1920="","",IFERROR(INDEX('Ordres de travail'!$D$5:$D$3004,MATCH(I1920,'Ordres de travail'!$A$5:$A$3004,0)),""))</f>
        <v/>
      </c>
      <c r="K1920" s="9">
        <f>IF(D1920="","",IFERROR(INDEX('Stock pièces'!$D$5:$D$404,MATCH(D1920,'Stock pièces'!$A$5:$A$404,0)),""))</f>
        <v/>
      </c>
      <c r="L1920" s="7" t="n"/>
      <c r="M1920" s="7" t="n"/>
    </row>
    <row r="1921">
      <c r="A1921" s="7" t="n"/>
      <c r="B1921" s="75" t="n"/>
      <c r="C1921" s="7" t="n"/>
      <c r="D1921" s="7" t="n"/>
      <c r="E1921" s="9">
        <f>IF(D1921="","",IFERROR(INDEX('Stock pièces'!$B$5:$B$404,MATCH(D1921,'Stock pièces'!$A$5:$A$404,0)),"Réf. inconnue"))</f>
        <v/>
      </c>
      <c r="F1921" s="67" t="n"/>
      <c r="G1921" s="81">
        <f>IF(D1921="","",IFERROR(INDEX('Stock pièces'!$I$5:$I$404,MATCH(D1921,'Stock pièces'!$A$5:$A$404,0)),0))</f>
        <v/>
      </c>
      <c r="H1921" s="81">
        <f>IF(D1921="","",N(F1921)*N(G1921))</f>
        <v/>
      </c>
      <c r="I1921" s="7" t="n"/>
      <c r="J1921" s="9">
        <f>IF(I1921="","",IFERROR(INDEX('Ordres de travail'!$D$5:$D$3004,MATCH(I1921,'Ordres de travail'!$A$5:$A$3004,0)),""))</f>
        <v/>
      </c>
      <c r="K1921" s="9">
        <f>IF(D1921="","",IFERROR(INDEX('Stock pièces'!$D$5:$D$404,MATCH(D1921,'Stock pièces'!$A$5:$A$404,0)),""))</f>
        <v/>
      </c>
      <c r="L1921" s="7" t="n"/>
      <c r="M1921" s="7" t="n"/>
    </row>
    <row r="1922">
      <c r="A1922" s="7" t="n"/>
      <c r="B1922" s="75" t="n"/>
      <c r="C1922" s="7" t="n"/>
      <c r="D1922" s="7" t="n"/>
      <c r="E1922" s="9">
        <f>IF(D1922="","",IFERROR(INDEX('Stock pièces'!$B$5:$B$404,MATCH(D1922,'Stock pièces'!$A$5:$A$404,0)),"Réf. inconnue"))</f>
        <v/>
      </c>
      <c r="F1922" s="67" t="n"/>
      <c r="G1922" s="81">
        <f>IF(D1922="","",IFERROR(INDEX('Stock pièces'!$I$5:$I$404,MATCH(D1922,'Stock pièces'!$A$5:$A$404,0)),0))</f>
        <v/>
      </c>
      <c r="H1922" s="81">
        <f>IF(D1922="","",N(F1922)*N(G1922))</f>
        <v/>
      </c>
      <c r="I1922" s="7" t="n"/>
      <c r="J1922" s="9">
        <f>IF(I1922="","",IFERROR(INDEX('Ordres de travail'!$D$5:$D$3004,MATCH(I1922,'Ordres de travail'!$A$5:$A$3004,0)),""))</f>
        <v/>
      </c>
      <c r="K1922" s="9">
        <f>IF(D1922="","",IFERROR(INDEX('Stock pièces'!$D$5:$D$404,MATCH(D1922,'Stock pièces'!$A$5:$A$404,0)),""))</f>
        <v/>
      </c>
      <c r="L1922" s="7" t="n"/>
      <c r="M1922" s="7" t="n"/>
    </row>
    <row r="1923">
      <c r="A1923" s="7" t="n"/>
      <c r="B1923" s="75" t="n"/>
      <c r="C1923" s="7" t="n"/>
      <c r="D1923" s="7" t="n"/>
      <c r="E1923" s="9">
        <f>IF(D1923="","",IFERROR(INDEX('Stock pièces'!$B$5:$B$404,MATCH(D1923,'Stock pièces'!$A$5:$A$404,0)),"Réf. inconnue"))</f>
        <v/>
      </c>
      <c r="F1923" s="67" t="n"/>
      <c r="G1923" s="81">
        <f>IF(D1923="","",IFERROR(INDEX('Stock pièces'!$I$5:$I$404,MATCH(D1923,'Stock pièces'!$A$5:$A$404,0)),0))</f>
        <v/>
      </c>
      <c r="H1923" s="81">
        <f>IF(D1923="","",N(F1923)*N(G1923))</f>
        <v/>
      </c>
      <c r="I1923" s="7" t="n"/>
      <c r="J1923" s="9">
        <f>IF(I1923="","",IFERROR(INDEX('Ordres de travail'!$D$5:$D$3004,MATCH(I1923,'Ordres de travail'!$A$5:$A$3004,0)),""))</f>
        <v/>
      </c>
      <c r="K1923" s="9">
        <f>IF(D1923="","",IFERROR(INDEX('Stock pièces'!$D$5:$D$404,MATCH(D1923,'Stock pièces'!$A$5:$A$404,0)),""))</f>
        <v/>
      </c>
      <c r="L1923" s="7" t="n"/>
      <c r="M1923" s="7" t="n"/>
    </row>
    <row r="1924">
      <c r="A1924" s="7" t="n"/>
      <c r="B1924" s="75" t="n"/>
      <c r="C1924" s="7" t="n"/>
      <c r="D1924" s="7" t="n"/>
      <c r="E1924" s="9">
        <f>IF(D1924="","",IFERROR(INDEX('Stock pièces'!$B$5:$B$404,MATCH(D1924,'Stock pièces'!$A$5:$A$404,0)),"Réf. inconnue"))</f>
        <v/>
      </c>
      <c r="F1924" s="67" t="n"/>
      <c r="G1924" s="81">
        <f>IF(D1924="","",IFERROR(INDEX('Stock pièces'!$I$5:$I$404,MATCH(D1924,'Stock pièces'!$A$5:$A$404,0)),0))</f>
        <v/>
      </c>
      <c r="H1924" s="81">
        <f>IF(D1924="","",N(F1924)*N(G1924))</f>
        <v/>
      </c>
      <c r="I1924" s="7" t="n"/>
      <c r="J1924" s="9">
        <f>IF(I1924="","",IFERROR(INDEX('Ordres de travail'!$D$5:$D$3004,MATCH(I1924,'Ordres de travail'!$A$5:$A$3004,0)),""))</f>
        <v/>
      </c>
      <c r="K1924" s="9">
        <f>IF(D1924="","",IFERROR(INDEX('Stock pièces'!$D$5:$D$404,MATCH(D1924,'Stock pièces'!$A$5:$A$404,0)),""))</f>
        <v/>
      </c>
      <c r="L1924" s="7" t="n"/>
      <c r="M1924" s="7" t="n"/>
    </row>
    <row r="1925">
      <c r="A1925" s="7" t="n"/>
      <c r="B1925" s="75" t="n"/>
      <c r="C1925" s="7" t="n"/>
      <c r="D1925" s="7" t="n"/>
      <c r="E1925" s="9">
        <f>IF(D1925="","",IFERROR(INDEX('Stock pièces'!$B$5:$B$404,MATCH(D1925,'Stock pièces'!$A$5:$A$404,0)),"Réf. inconnue"))</f>
        <v/>
      </c>
      <c r="F1925" s="67" t="n"/>
      <c r="G1925" s="81">
        <f>IF(D1925="","",IFERROR(INDEX('Stock pièces'!$I$5:$I$404,MATCH(D1925,'Stock pièces'!$A$5:$A$404,0)),0))</f>
        <v/>
      </c>
      <c r="H1925" s="81">
        <f>IF(D1925="","",N(F1925)*N(G1925))</f>
        <v/>
      </c>
      <c r="I1925" s="7" t="n"/>
      <c r="J1925" s="9">
        <f>IF(I1925="","",IFERROR(INDEX('Ordres de travail'!$D$5:$D$3004,MATCH(I1925,'Ordres de travail'!$A$5:$A$3004,0)),""))</f>
        <v/>
      </c>
      <c r="K1925" s="9">
        <f>IF(D1925="","",IFERROR(INDEX('Stock pièces'!$D$5:$D$404,MATCH(D1925,'Stock pièces'!$A$5:$A$404,0)),""))</f>
        <v/>
      </c>
      <c r="L1925" s="7" t="n"/>
      <c r="M1925" s="7" t="n"/>
    </row>
    <row r="1926">
      <c r="A1926" s="7" t="n"/>
      <c r="B1926" s="75" t="n"/>
      <c r="C1926" s="7" t="n"/>
      <c r="D1926" s="7" t="n"/>
      <c r="E1926" s="9">
        <f>IF(D1926="","",IFERROR(INDEX('Stock pièces'!$B$5:$B$404,MATCH(D1926,'Stock pièces'!$A$5:$A$404,0)),"Réf. inconnue"))</f>
        <v/>
      </c>
      <c r="F1926" s="67" t="n"/>
      <c r="G1926" s="81">
        <f>IF(D1926="","",IFERROR(INDEX('Stock pièces'!$I$5:$I$404,MATCH(D1926,'Stock pièces'!$A$5:$A$404,0)),0))</f>
        <v/>
      </c>
      <c r="H1926" s="81">
        <f>IF(D1926="","",N(F1926)*N(G1926))</f>
        <v/>
      </c>
      <c r="I1926" s="7" t="n"/>
      <c r="J1926" s="9">
        <f>IF(I1926="","",IFERROR(INDEX('Ordres de travail'!$D$5:$D$3004,MATCH(I1926,'Ordres de travail'!$A$5:$A$3004,0)),""))</f>
        <v/>
      </c>
      <c r="K1926" s="9">
        <f>IF(D1926="","",IFERROR(INDEX('Stock pièces'!$D$5:$D$404,MATCH(D1926,'Stock pièces'!$A$5:$A$404,0)),""))</f>
        <v/>
      </c>
      <c r="L1926" s="7" t="n"/>
      <c r="M1926" s="7" t="n"/>
    </row>
    <row r="1927">
      <c r="A1927" s="7" t="n"/>
      <c r="B1927" s="75" t="n"/>
      <c r="C1927" s="7" t="n"/>
      <c r="D1927" s="7" t="n"/>
      <c r="E1927" s="9">
        <f>IF(D1927="","",IFERROR(INDEX('Stock pièces'!$B$5:$B$404,MATCH(D1927,'Stock pièces'!$A$5:$A$404,0)),"Réf. inconnue"))</f>
        <v/>
      </c>
      <c r="F1927" s="67" t="n"/>
      <c r="G1927" s="81">
        <f>IF(D1927="","",IFERROR(INDEX('Stock pièces'!$I$5:$I$404,MATCH(D1927,'Stock pièces'!$A$5:$A$404,0)),0))</f>
        <v/>
      </c>
      <c r="H1927" s="81">
        <f>IF(D1927="","",N(F1927)*N(G1927))</f>
        <v/>
      </c>
      <c r="I1927" s="7" t="n"/>
      <c r="J1927" s="9">
        <f>IF(I1927="","",IFERROR(INDEX('Ordres de travail'!$D$5:$D$3004,MATCH(I1927,'Ordres de travail'!$A$5:$A$3004,0)),""))</f>
        <v/>
      </c>
      <c r="K1927" s="9">
        <f>IF(D1927="","",IFERROR(INDEX('Stock pièces'!$D$5:$D$404,MATCH(D1927,'Stock pièces'!$A$5:$A$404,0)),""))</f>
        <v/>
      </c>
      <c r="L1927" s="7" t="n"/>
      <c r="M1927" s="7" t="n"/>
    </row>
    <row r="1928">
      <c r="A1928" s="7" t="n"/>
      <c r="B1928" s="75" t="n"/>
      <c r="C1928" s="7" t="n"/>
      <c r="D1928" s="7" t="n"/>
      <c r="E1928" s="9">
        <f>IF(D1928="","",IFERROR(INDEX('Stock pièces'!$B$5:$B$404,MATCH(D1928,'Stock pièces'!$A$5:$A$404,0)),"Réf. inconnue"))</f>
        <v/>
      </c>
      <c r="F1928" s="67" t="n"/>
      <c r="G1928" s="81">
        <f>IF(D1928="","",IFERROR(INDEX('Stock pièces'!$I$5:$I$404,MATCH(D1928,'Stock pièces'!$A$5:$A$404,0)),0))</f>
        <v/>
      </c>
      <c r="H1928" s="81">
        <f>IF(D1928="","",N(F1928)*N(G1928))</f>
        <v/>
      </c>
      <c r="I1928" s="7" t="n"/>
      <c r="J1928" s="9">
        <f>IF(I1928="","",IFERROR(INDEX('Ordres de travail'!$D$5:$D$3004,MATCH(I1928,'Ordres de travail'!$A$5:$A$3004,0)),""))</f>
        <v/>
      </c>
      <c r="K1928" s="9">
        <f>IF(D1928="","",IFERROR(INDEX('Stock pièces'!$D$5:$D$404,MATCH(D1928,'Stock pièces'!$A$5:$A$404,0)),""))</f>
        <v/>
      </c>
      <c r="L1928" s="7" t="n"/>
      <c r="M1928" s="7" t="n"/>
    </row>
    <row r="1929">
      <c r="A1929" s="7" t="n"/>
      <c r="B1929" s="75" t="n"/>
      <c r="C1929" s="7" t="n"/>
      <c r="D1929" s="7" t="n"/>
      <c r="E1929" s="9">
        <f>IF(D1929="","",IFERROR(INDEX('Stock pièces'!$B$5:$B$404,MATCH(D1929,'Stock pièces'!$A$5:$A$404,0)),"Réf. inconnue"))</f>
        <v/>
      </c>
      <c r="F1929" s="67" t="n"/>
      <c r="G1929" s="81">
        <f>IF(D1929="","",IFERROR(INDEX('Stock pièces'!$I$5:$I$404,MATCH(D1929,'Stock pièces'!$A$5:$A$404,0)),0))</f>
        <v/>
      </c>
      <c r="H1929" s="81">
        <f>IF(D1929="","",N(F1929)*N(G1929))</f>
        <v/>
      </c>
      <c r="I1929" s="7" t="n"/>
      <c r="J1929" s="9">
        <f>IF(I1929="","",IFERROR(INDEX('Ordres de travail'!$D$5:$D$3004,MATCH(I1929,'Ordres de travail'!$A$5:$A$3004,0)),""))</f>
        <v/>
      </c>
      <c r="K1929" s="9">
        <f>IF(D1929="","",IFERROR(INDEX('Stock pièces'!$D$5:$D$404,MATCH(D1929,'Stock pièces'!$A$5:$A$404,0)),""))</f>
        <v/>
      </c>
      <c r="L1929" s="7" t="n"/>
      <c r="M1929" s="7" t="n"/>
    </row>
    <row r="1930">
      <c r="A1930" s="7" t="n"/>
      <c r="B1930" s="75" t="n"/>
      <c r="C1930" s="7" t="n"/>
      <c r="D1930" s="7" t="n"/>
      <c r="E1930" s="9">
        <f>IF(D1930="","",IFERROR(INDEX('Stock pièces'!$B$5:$B$404,MATCH(D1930,'Stock pièces'!$A$5:$A$404,0)),"Réf. inconnue"))</f>
        <v/>
      </c>
      <c r="F1930" s="67" t="n"/>
      <c r="G1930" s="81">
        <f>IF(D1930="","",IFERROR(INDEX('Stock pièces'!$I$5:$I$404,MATCH(D1930,'Stock pièces'!$A$5:$A$404,0)),0))</f>
        <v/>
      </c>
      <c r="H1930" s="81">
        <f>IF(D1930="","",N(F1930)*N(G1930))</f>
        <v/>
      </c>
      <c r="I1930" s="7" t="n"/>
      <c r="J1930" s="9">
        <f>IF(I1930="","",IFERROR(INDEX('Ordres de travail'!$D$5:$D$3004,MATCH(I1930,'Ordres de travail'!$A$5:$A$3004,0)),""))</f>
        <v/>
      </c>
      <c r="K1930" s="9">
        <f>IF(D1930="","",IFERROR(INDEX('Stock pièces'!$D$5:$D$404,MATCH(D1930,'Stock pièces'!$A$5:$A$404,0)),""))</f>
        <v/>
      </c>
      <c r="L1930" s="7" t="n"/>
      <c r="M1930" s="7" t="n"/>
    </row>
    <row r="1931">
      <c r="A1931" s="7" t="n"/>
      <c r="B1931" s="75" t="n"/>
      <c r="C1931" s="7" t="n"/>
      <c r="D1931" s="7" t="n"/>
      <c r="E1931" s="9">
        <f>IF(D1931="","",IFERROR(INDEX('Stock pièces'!$B$5:$B$404,MATCH(D1931,'Stock pièces'!$A$5:$A$404,0)),"Réf. inconnue"))</f>
        <v/>
      </c>
      <c r="F1931" s="67" t="n"/>
      <c r="G1931" s="81">
        <f>IF(D1931="","",IFERROR(INDEX('Stock pièces'!$I$5:$I$404,MATCH(D1931,'Stock pièces'!$A$5:$A$404,0)),0))</f>
        <v/>
      </c>
      <c r="H1931" s="81">
        <f>IF(D1931="","",N(F1931)*N(G1931))</f>
        <v/>
      </c>
      <c r="I1931" s="7" t="n"/>
      <c r="J1931" s="9">
        <f>IF(I1931="","",IFERROR(INDEX('Ordres de travail'!$D$5:$D$3004,MATCH(I1931,'Ordres de travail'!$A$5:$A$3004,0)),""))</f>
        <v/>
      </c>
      <c r="K1931" s="9">
        <f>IF(D1931="","",IFERROR(INDEX('Stock pièces'!$D$5:$D$404,MATCH(D1931,'Stock pièces'!$A$5:$A$404,0)),""))</f>
        <v/>
      </c>
      <c r="L1931" s="7" t="n"/>
      <c r="M1931" s="7" t="n"/>
    </row>
    <row r="1932">
      <c r="A1932" s="7" t="n"/>
      <c r="B1932" s="75" t="n"/>
      <c r="C1932" s="7" t="n"/>
      <c r="D1932" s="7" t="n"/>
      <c r="E1932" s="9">
        <f>IF(D1932="","",IFERROR(INDEX('Stock pièces'!$B$5:$B$404,MATCH(D1932,'Stock pièces'!$A$5:$A$404,0)),"Réf. inconnue"))</f>
        <v/>
      </c>
      <c r="F1932" s="67" t="n"/>
      <c r="G1932" s="81">
        <f>IF(D1932="","",IFERROR(INDEX('Stock pièces'!$I$5:$I$404,MATCH(D1932,'Stock pièces'!$A$5:$A$404,0)),0))</f>
        <v/>
      </c>
      <c r="H1932" s="81">
        <f>IF(D1932="","",N(F1932)*N(G1932))</f>
        <v/>
      </c>
      <c r="I1932" s="7" t="n"/>
      <c r="J1932" s="9">
        <f>IF(I1932="","",IFERROR(INDEX('Ordres de travail'!$D$5:$D$3004,MATCH(I1932,'Ordres de travail'!$A$5:$A$3004,0)),""))</f>
        <v/>
      </c>
      <c r="K1932" s="9">
        <f>IF(D1932="","",IFERROR(INDEX('Stock pièces'!$D$5:$D$404,MATCH(D1932,'Stock pièces'!$A$5:$A$404,0)),""))</f>
        <v/>
      </c>
      <c r="L1932" s="7" t="n"/>
      <c r="M1932" s="7" t="n"/>
    </row>
    <row r="1933">
      <c r="A1933" s="7" t="n"/>
      <c r="B1933" s="75" t="n"/>
      <c r="C1933" s="7" t="n"/>
      <c r="D1933" s="7" t="n"/>
      <c r="E1933" s="9">
        <f>IF(D1933="","",IFERROR(INDEX('Stock pièces'!$B$5:$B$404,MATCH(D1933,'Stock pièces'!$A$5:$A$404,0)),"Réf. inconnue"))</f>
        <v/>
      </c>
      <c r="F1933" s="67" t="n"/>
      <c r="G1933" s="81">
        <f>IF(D1933="","",IFERROR(INDEX('Stock pièces'!$I$5:$I$404,MATCH(D1933,'Stock pièces'!$A$5:$A$404,0)),0))</f>
        <v/>
      </c>
      <c r="H1933" s="81">
        <f>IF(D1933="","",N(F1933)*N(G1933))</f>
        <v/>
      </c>
      <c r="I1933" s="7" t="n"/>
      <c r="J1933" s="9">
        <f>IF(I1933="","",IFERROR(INDEX('Ordres de travail'!$D$5:$D$3004,MATCH(I1933,'Ordres de travail'!$A$5:$A$3004,0)),""))</f>
        <v/>
      </c>
      <c r="K1933" s="9">
        <f>IF(D1933="","",IFERROR(INDEX('Stock pièces'!$D$5:$D$404,MATCH(D1933,'Stock pièces'!$A$5:$A$404,0)),""))</f>
        <v/>
      </c>
      <c r="L1933" s="7" t="n"/>
      <c r="M1933" s="7" t="n"/>
    </row>
    <row r="1934">
      <c r="A1934" s="7" t="n"/>
      <c r="B1934" s="75" t="n"/>
      <c r="C1934" s="7" t="n"/>
      <c r="D1934" s="7" t="n"/>
      <c r="E1934" s="9">
        <f>IF(D1934="","",IFERROR(INDEX('Stock pièces'!$B$5:$B$404,MATCH(D1934,'Stock pièces'!$A$5:$A$404,0)),"Réf. inconnue"))</f>
        <v/>
      </c>
      <c r="F1934" s="67" t="n"/>
      <c r="G1934" s="81">
        <f>IF(D1934="","",IFERROR(INDEX('Stock pièces'!$I$5:$I$404,MATCH(D1934,'Stock pièces'!$A$5:$A$404,0)),0))</f>
        <v/>
      </c>
      <c r="H1934" s="81">
        <f>IF(D1934="","",N(F1934)*N(G1934))</f>
        <v/>
      </c>
      <c r="I1934" s="7" t="n"/>
      <c r="J1934" s="9">
        <f>IF(I1934="","",IFERROR(INDEX('Ordres de travail'!$D$5:$D$3004,MATCH(I1934,'Ordres de travail'!$A$5:$A$3004,0)),""))</f>
        <v/>
      </c>
      <c r="K1934" s="9">
        <f>IF(D1934="","",IFERROR(INDEX('Stock pièces'!$D$5:$D$404,MATCH(D1934,'Stock pièces'!$A$5:$A$404,0)),""))</f>
        <v/>
      </c>
      <c r="L1934" s="7" t="n"/>
      <c r="M1934" s="7" t="n"/>
    </row>
    <row r="1935">
      <c r="A1935" s="7" t="n"/>
      <c r="B1935" s="75" t="n"/>
      <c r="C1935" s="7" t="n"/>
      <c r="D1935" s="7" t="n"/>
      <c r="E1935" s="9">
        <f>IF(D1935="","",IFERROR(INDEX('Stock pièces'!$B$5:$B$404,MATCH(D1935,'Stock pièces'!$A$5:$A$404,0)),"Réf. inconnue"))</f>
        <v/>
      </c>
      <c r="F1935" s="67" t="n"/>
      <c r="G1935" s="81">
        <f>IF(D1935="","",IFERROR(INDEX('Stock pièces'!$I$5:$I$404,MATCH(D1935,'Stock pièces'!$A$5:$A$404,0)),0))</f>
        <v/>
      </c>
      <c r="H1935" s="81">
        <f>IF(D1935="","",N(F1935)*N(G1935))</f>
        <v/>
      </c>
      <c r="I1935" s="7" t="n"/>
      <c r="J1935" s="9">
        <f>IF(I1935="","",IFERROR(INDEX('Ordres de travail'!$D$5:$D$3004,MATCH(I1935,'Ordres de travail'!$A$5:$A$3004,0)),""))</f>
        <v/>
      </c>
      <c r="K1935" s="9">
        <f>IF(D1935="","",IFERROR(INDEX('Stock pièces'!$D$5:$D$404,MATCH(D1935,'Stock pièces'!$A$5:$A$404,0)),""))</f>
        <v/>
      </c>
      <c r="L1935" s="7" t="n"/>
      <c r="M1935" s="7" t="n"/>
    </row>
    <row r="1936">
      <c r="A1936" s="7" t="n"/>
      <c r="B1936" s="75" t="n"/>
      <c r="C1936" s="7" t="n"/>
      <c r="D1936" s="7" t="n"/>
      <c r="E1936" s="9">
        <f>IF(D1936="","",IFERROR(INDEX('Stock pièces'!$B$5:$B$404,MATCH(D1936,'Stock pièces'!$A$5:$A$404,0)),"Réf. inconnue"))</f>
        <v/>
      </c>
      <c r="F1936" s="67" t="n"/>
      <c r="G1936" s="81">
        <f>IF(D1936="","",IFERROR(INDEX('Stock pièces'!$I$5:$I$404,MATCH(D1936,'Stock pièces'!$A$5:$A$404,0)),0))</f>
        <v/>
      </c>
      <c r="H1936" s="81">
        <f>IF(D1936="","",N(F1936)*N(G1936))</f>
        <v/>
      </c>
      <c r="I1936" s="7" t="n"/>
      <c r="J1936" s="9">
        <f>IF(I1936="","",IFERROR(INDEX('Ordres de travail'!$D$5:$D$3004,MATCH(I1936,'Ordres de travail'!$A$5:$A$3004,0)),""))</f>
        <v/>
      </c>
      <c r="K1936" s="9">
        <f>IF(D1936="","",IFERROR(INDEX('Stock pièces'!$D$5:$D$404,MATCH(D1936,'Stock pièces'!$A$5:$A$404,0)),""))</f>
        <v/>
      </c>
      <c r="L1936" s="7" t="n"/>
      <c r="M1936" s="7" t="n"/>
    </row>
    <row r="1937">
      <c r="A1937" s="7" t="n"/>
      <c r="B1937" s="75" t="n"/>
      <c r="C1937" s="7" t="n"/>
      <c r="D1937" s="7" t="n"/>
      <c r="E1937" s="9">
        <f>IF(D1937="","",IFERROR(INDEX('Stock pièces'!$B$5:$B$404,MATCH(D1937,'Stock pièces'!$A$5:$A$404,0)),"Réf. inconnue"))</f>
        <v/>
      </c>
      <c r="F1937" s="67" t="n"/>
      <c r="G1937" s="81">
        <f>IF(D1937="","",IFERROR(INDEX('Stock pièces'!$I$5:$I$404,MATCH(D1937,'Stock pièces'!$A$5:$A$404,0)),0))</f>
        <v/>
      </c>
      <c r="H1937" s="81">
        <f>IF(D1937="","",N(F1937)*N(G1937))</f>
        <v/>
      </c>
      <c r="I1937" s="7" t="n"/>
      <c r="J1937" s="9">
        <f>IF(I1937="","",IFERROR(INDEX('Ordres de travail'!$D$5:$D$3004,MATCH(I1937,'Ordres de travail'!$A$5:$A$3004,0)),""))</f>
        <v/>
      </c>
      <c r="K1937" s="9">
        <f>IF(D1937="","",IFERROR(INDEX('Stock pièces'!$D$5:$D$404,MATCH(D1937,'Stock pièces'!$A$5:$A$404,0)),""))</f>
        <v/>
      </c>
      <c r="L1937" s="7" t="n"/>
      <c r="M1937" s="7" t="n"/>
    </row>
    <row r="1938">
      <c r="A1938" s="7" t="n"/>
      <c r="B1938" s="75" t="n"/>
      <c r="C1938" s="7" t="n"/>
      <c r="D1938" s="7" t="n"/>
      <c r="E1938" s="9">
        <f>IF(D1938="","",IFERROR(INDEX('Stock pièces'!$B$5:$B$404,MATCH(D1938,'Stock pièces'!$A$5:$A$404,0)),"Réf. inconnue"))</f>
        <v/>
      </c>
      <c r="F1938" s="67" t="n"/>
      <c r="G1938" s="81">
        <f>IF(D1938="","",IFERROR(INDEX('Stock pièces'!$I$5:$I$404,MATCH(D1938,'Stock pièces'!$A$5:$A$404,0)),0))</f>
        <v/>
      </c>
      <c r="H1938" s="81">
        <f>IF(D1938="","",N(F1938)*N(G1938))</f>
        <v/>
      </c>
      <c r="I1938" s="7" t="n"/>
      <c r="J1938" s="9">
        <f>IF(I1938="","",IFERROR(INDEX('Ordres de travail'!$D$5:$D$3004,MATCH(I1938,'Ordres de travail'!$A$5:$A$3004,0)),""))</f>
        <v/>
      </c>
      <c r="K1938" s="9">
        <f>IF(D1938="","",IFERROR(INDEX('Stock pièces'!$D$5:$D$404,MATCH(D1938,'Stock pièces'!$A$5:$A$404,0)),""))</f>
        <v/>
      </c>
      <c r="L1938" s="7" t="n"/>
      <c r="M1938" s="7" t="n"/>
    </row>
    <row r="1939">
      <c r="A1939" s="7" t="n"/>
      <c r="B1939" s="75" t="n"/>
      <c r="C1939" s="7" t="n"/>
      <c r="D1939" s="7" t="n"/>
      <c r="E1939" s="9">
        <f>IF(D1939="","",IFERROR(INDEX('Stock pièces'!$B$5:$B$404,MATCH(D1939,'Stock pièces'!$A$5:$A$404,0)),"Réf. inconnue"))</f>
        <v/>
      </c>
      <c r="F1939" s="67" t="n"/>
      <c r="G1939" s="81">
        <f>IF(D1939="","",IFERROR(INDEX('Stock pièces'!$I$5:$I$404,MATCH(D1939,'Stock pièces'!$A$5:$A$404,0)),0))</f>
        <v/>
      </c>
      <c r="H1939" s="81">
        <f>IF(D1939="","",N(F1939)*N(G1939))</f>
        <v/>
      </c>
      <c r="I1939" s="7" t="n"/>
      <c r="J1939" s="9">
        <f>IF(I1939="","",IFERROR(INDEX('Ordres de travail'!$D$5:$D$3004,MATCH(I1939,'Ordres de travail'!$A$5:$A$3004,0)),""))</f>
        <v/>
      </c>
      <c r="K1939" s="9">
        <f>IF(D1939="","",IFERROR(INDEX('Stock pièces'!$D$5:$D$404,MATCH(D1939,'Stock pièces'!$A$5:$A$404,0)),""))</f>
        <v/>
      </c>
      <c r="L1939" s="7" t="n"/>
      <c r="M1939" s="7" t="n"/>
    </row>
    <row r="1940">
      <c r="A1940" s="7" t="n"/>
      <c r="B1940" s="75" t="n"/>
      <c r="C1940" s="7" t="n"/>
      <c r="D1940" s="7" t="n"/>
      <c r="E1940" s="9">
        <f>IF(D1940="","",IFERROR(INDEX('Stock pièces'!$B$5:$B$404,MATCH(D1940,'Stock pièces'!$A$5:$A$404,0)),"Réf. inconnue"))</f>
        <v/>
      </c>
      <c r="F1940" s="67" t="n"/>
      <c r="G1940" s="81">
        <f>IF(D1940="","",IFERROR(INDEX('Stock pièces'!$I$5:$I$404,MATCH(D1940,'Stock pièces'!$A$5:$A$404,0)),0))</f>
        <v/>
      </c>
      <c r="H1940" s="81">
        <f>IF(D1940="","",N(F1940)*N(G1940))</f>
        <v/>
      </c>
      <c r="I1940" s="7" t="n"/>
      <c r="J1940" s="9">
        <f>IF(I1940="","",IFERROR(INDEX('Ordres de travail'!$D$5:$D$3004,MATCH(I1940,'Ordres de travail'!$A$5:$A$3004,0)),""))</f>
        <v/>
      </c>
      <c r="K1940" s="9">
        <f>IF(D1940="","",IFERROR(INDEX('Stock pièces'!$D$5:$D$404,MATCH(D1940,'Stock pièces'!$A$5:$A$404,0)),""))</f>
        <v/>
      </c>
      <c r="L1940" s="7" t="n"/>
      <c r="M1940" s="7" t="n"/>
    </row>
    <row r="1941">
      <c r="A1941" s="7" t="n"/>
      <c r="B1941" s="75" t="n"/>
      <c r="C1941" s="7" t="n"/>
      <c r="D1941" s="7" t="n"/>
      <c r="E1941" s="9">
        <f>IF(D1941="","",IFERROR(INDEX('Stock pièces'!$B$5:$B$404,MATCH(D1941,'Stock pièces'!$A$5:$A$404,0)),"Réf. inconnue"))</f>
        <v/>
      </c>
      <c r="F1941" s="67" t="n"/>
      <c r="G1941" s="81">
        <f>IF(D1941="","",IFERROR(INDEX('Stock pièces'!$I$5:$I$404,MATCH(D1941,'Stock pièces'!$A$5:$A$404,0)),0))</f>
        <v/>
      </c>
      <c r="H1941" s="81">
        <f>IF(D1941="","",N(F1941)*N(G1941))</f>
        <v/>
      </c>
      <c r="I1941" s="7" t="n"/>
      <c r="J1941" s="9">
        <f>IF(I1941="","",IFERROR(INDEX('Ordres de travail'!$D$5:$D$3004,MATCH(I1941,'Ordres de travail'!$A$5:$A$3004,0)),""))</f>
        <v/>
      </c>
      <c r="K1941" s="9">
        <f>IF(D1941="","",IFERROR(INDEX('Stock pièces'!$D$5:$D$404,MATCH(D1941,'Stock pièces'!$A$5:$A$404,0)),""))</f>
        <v/>
      </c>
      <c r="L1941" s="7" t="n"/>
      <c r="M1941" s="7" t="n"/>
    </row>
    <row r="1942">
      <c r="A1942" s="7" t="n"/>
      <c r="B1942" s="75" t="n"/>
      <c r="C1942" s="7" t="n"/>
      <c r="D1942" s="7" t="n"/>
      <c r="E1942" s="9">
        <f>IF(D1942="","",IFERROR(INDEX('Stock pièces'!$B$5:$B$404,MATCH(D1942,'Stock pièces'!$A$5:$A$404,0)),"Réf. inconnue"))</f>
        <v/>
      </c>
      <c r="F1942" s="67" t="n"/>
      <c r="G1942" s="81">
        <f>IF(D1942="","",IFERROR(INDEX('Stock pièces'!$I$5:$I$404,MATCH(D1942,'Stock pièces'!$A$5:$A$404,0)),0))</f>
        <v/>
      </c>
      <c r="H1942" s="81">
        <f>IF(D1942="","",N(F1942)*N(G1942))</f>
        <v/>
      </c>
      <c r="I1942" s="7" t="n"/>
      <c r="J1942" s="9">
        <f>IF(I1942="","",IFERROR(INDEX('Ordres de travail'!$D$5:$D$3004,MATCH(I1942,'Ordres de travail'!$A$5:$A$3004,0)),""))</f>
        <v/>
      </c>
      <c r="K1942" s="9">
        <f>IF(D1942="","",IFERROR(INDEX('Stock pièces'!$D$5:$D$404,MATCH(D1942,'Stock pièces'!$A$5:$A$404,0)),""))</f>
        <v/>
      </c>
      <c r="L1942" s="7" t="n"/>
      <c r="M1942" s="7" t="n"/>
    </row>
    <row r="1943">
      <c r="A1943" s="7" t="n"/>
      <c r="B1943" s="75" t="n"/>
      <c r="C1943" s="7" t="n"/>
      <c r="D1943" s="7" t="n"/>
      <c r="E1943" s="9">
        <f>IF(D1943="","",IFERROR(INDEX('Stock pièces'!$B$5:$B$404,MATCH(D1943,'Stock pièces'!$A$5:$A$404,0)),"Réf. inconnue"))</f>
        <v/>
      </c>
      <c r="F1943" s="67" t="n"/>
      <c r="G1943" s="81">
        <f>IF(D1943="","",IFERROR(INDEX('Stock pièces'!$I$5:$I$404,MATCH(D1943,'Stock pièces'!$A$5:$A$404,0)),0))</f>
        <v/>
      </c>
      <c r="H1943" s="81">
        <f>IF(D1943="","",N(F1943)*N(G1943))</f>
        <v/>
      </c>
      <c r="I1943" s="7" t="n"/>
      <c r="J1943" s="9">
        <f>IF(I1943="","",IFERROR(INDEX('Ordres de travail'!$D$5:$D$3004,MATCH(I1943,'Ordres de travail'!$A$5:$A$3004,0)),""))</f>
        <v/>
      </c>
      <c r="K1943" s="9">
        <f>IF(D1943="","",IFERROR(INDEX('Stock pièces'!$D$5:$D$404,MATCH(D1943,'Stock pièces'!$A$5:$A$404,0)),""))</f>
        <v/>
      </c>
      <c r="L1943" s="7" t="n"/>
      <c r="M1943" s="7" t="n"/>
    </row>
    <row r="1944">
      <c r="A1944" s="7" t="n"/>
      <c r="B1944" s="75" t="n"/>
      <c r="C1944" s="7" t="n"/>
      <c r="D1944" s="7" t="n"/>
      <c r="E1944" s="9">
        <f>IF(D1944="","",IFERROR(INDEX('Stock pièces'!$B$5:$B$404,MATCH(D1944,'Stock pièces'!$A$5:$A$404,0)),"Réf. inconnue"))</f>
        <v/>
      </c>
      <c r="F1944" s="67" t="n"/>
      <c r="G1944" s="81">
        <f>IF(D1944="","",IFERROR(INDEX('Stock pièces'!$I$5:$I$404,MATCH(D1944,'Stock pièces'!$A$5:$A$404,0)),0))</f>
        <v/>
      </c>
      <c r="H1944" s="81">
        <f>IF(D1944="","",N(F1944)*N(G1944))</f>
        <v/>
      </c>
      <c r="I1944" s="7" t="n"/>
      <c r="J1944" s="9">
        <f>IF(I1944="","",IFERROR(INDEX('Ordres de travail'!$D$5:$D$3004,MATCH(I1944,'Ordres de travail'!$A$5:$A$3004,0)),""))</f>
        <v/>
      </c>
      <c r="K1944" s="9">
        <f>IF(D1944="","",IFERROR(INDEX('Stock pièces'!$D$5:$D$404,MATCH(D1944,'Stock pièces'!$A$5:$A$404,0)),""))</f>
        <v/>
      </c>
      <c r="L1944" s="7" t="n"/>
      <c r="M1944" s="7" t="n"/>
    </row>
    <row r="1945">
      <c r="A1945" s="7" t="n"/>
      <c r="B1945" s="75" t="n"/>
      <c r="C1945" s="7" t="n"/>
      <c r="D1945" s="7" t="n"/>
      <c r="E1945" s="9">
        <f>IF(D1945="","",IFERROR(INDEX('Stock pièces'!$B$5:$B$404,MATCH(D1945,'Stock pièces'!$A$5:$A$404,0)),"Réf. inconnue"))</f>
        <v/>
      </c>
      <c r="F1945" s="67" t="n"/>
      <c r="G1945" s="81">
        <f>IF(D1945="","",IFERROR(INDEX('Stock pièces'!$I$5:$I$404,MATCH(D1945,'Stock pièces'!$A$5:$A$404,0)),0))</f>
        <v/>
      </c>
      <c r="H1945" s="81">
        <f>IF(D1945="","",N(F1945)*N(G1945))</f>
        <v/>
      </c>
      <c r="I1945" s="7" t="n"/>
      <c r="J1945" s="9">
        <f>IF(I1945="","",IFERROR(INDEX('Ordres de travail'!$D$5:$D$3004,MATCH(I1945,'Ordres de travail'!$A$5:$A$3004,0)),""))</f>
        <v/>
      </c>
      <c r="K1945" s="9">
        <f>IF(D1945="","",IFERROR(INDEX('Stock pièces'!$D$5:$D$404,MATCH(D1945,'Stock pièces'!$A$5:$A$404,0)),""))</f>
        <v/>
      </c>
      <c r="L1945" s="7" t="n"/>
      <c r="M1945" s="7" t="n"/>
    </row>
    <row r="1946">
      <c r="A1946" s="7" t="n"/>
      <c r="B1946" s="75" t="n"/>
      <c r="C1946" s="7" t="n"/>
      <c r="D1946" s="7" t="n"/>
      <c r="E1946" s="9">
        <f>IF(D1946="","",IFERROR(INDEX('Stock pièces'!$B$5:$B$404,MATCH(D1946,'Stock pièces'!$A$5:$A$404,0)),"Réf. inconnue"))</f>
        <v/>
      </c>
      <c r="F1946" s="67" t="n"/>
      <c r="G1946" s="81">
        <f>IF(D1946="","",IFERROR(INDEX('Stock pièces'!$I$5:$I$404,MATCH(D1946,'Stock pièces'!$A$5:$A$404,0)),0))</f>
        <v/>
      </c>
      <c r="H1946" s="81">
        <f>IF(D1946="","",N(F1946)*N(G1946))</f>
        <v/>
      </c>
      <c r="I1946" s="7" t="n"/>
      <c r="J1946" s="9">
        <f>IF(I1946="","",IFERROR(INDEX('Ordres de travail'!$D$5:$D$3004,MATCH(I1946,'Ordres de travail'!$A$5:$A$3004,0)),""))</f>
        <v/>
      </c>
      <c r="K1946" s="9">
        <f>IF(D1946="","",IFERROR(INDEX('Stock pièces'!$D$5:$D$404,MATCH(D1946,'Stock pièces'!$A$5:$A$404,0)),""))</f>
        <v/>
      </c>
      <c r="L1946" s="7" t="n"/>
      <c r="M1946" s="7" t="n"/>
    </row>
    <row r="1947">
      <c r="A1947" s="7" t="n"/>
      <c r="B1947" s="75" t="n"/>
      <c r="C1947" s="7" t="n"/>
      <c r="D1947" s="7" t="n"/>
      <c r="E1947" s="9">
        <f>IF(D1947="","",IFERROR(INDEX('Stock pièces'!$B$5:$B$404,MATCH(D1947,'Stock pièces'!$A$5:$A$404,0)),"Réf. inconnue"))</f>
        <v/>
      </c>
      <c r="F1947" s="67" t="n"/>
      <c r="G1947" s="81">
        <f>IF(D1947="","",IFERROR(INDEX('Stock pièces'!$I$5:$I$404,MATCH(D1947,'Stock pièces'!$A$5:$A$404,0)),0))</f>
        <v/>
      </c>
      <c r="H1947" s="81">
        <f>IF(D1947="","",N(F1947)*N(G1947))</f>
        <v/>
      </c>
      <c r="I1947" s="7" t="n"/>
      <c r="J1947" s="9">
        <f>IF(I1947="","",IFERROR(INDEX('Ordres de travail'!$D$5:$D$3004,MATCH(I1947,'Ordres de travail'!$A$5:$A$3004,0)),""))</f>
        <v/>
      </c>
      <c r="K1947" s="9">
        <f>IF(D1947="","",IFERROR(INDEX('Stock pièces'!$D$5:$D$404,MATCH(D1947,'Stock pièces'!$A$5:$A$404,0)),""))</f>
        <v/>
      </c>
      <c r="L1947" s="7" t="n"/>
      <c r="M1947" s="7" t="n"/>
    </row>
    <row r="1948">
      <c r="A1948" s="7" t="n"/>
      <c r="B1948" s="75" t="n"/>
      <c r="C1948" s="7" t="n"/>
      <c r="D1948" s="7" t="n"/>
      <c r="E1948" s="9">
        <f>IF(D1948="","",IFERROR(INDEX('Stock pièces'!$B$5:$B$404,MATCH(D1948,'Stock pièces'!$A$5:$A$404,0)),"Réf. inconnue"))</f>
        <v/>
      </c>
      <c r="F1948" s="67" t="n"/>
      <c r="G1948" s="81">
        <f>IF(D1948="","",IFERROR(INDEX('Stock pièces'!$I$5:$I$404,MATCH(D1948,'Stock pièces'!$A$5:$A$404,0)),0))</f>
        <v/>
      </c>
      <c r="H1948" s="81">
        <f>IF(D1948="","",N(F1948)*N(G1948))</f>
        <v/>
      </c>
      <c r="I1948" s="7" t="n"/>
      <c r="J1948" s="9">
        <f>IF(I1948="","",IFERROR(INDEX('Ordres de travail'!$D$5:$D$3004,MATCH(I1948,'Ordres de travail'!$A$5:$A$3004,0)),""))</f>
        <v/>
      </c>
      <c r="K1948" s="9">
        <f>IF(D1948="","",IFERROR(INDEX('Stock pièces'!$D$5:$D$404,MATCH(D1948,'Stock pièces'!$A$5:$A$404,0)),""))</f>
        <v/>
      </c>
      <c r="L1948" s="7" t="n"/>
      <c r="M1948" s="7" t="n"/>
    </row>
    <row r="1949">
      <c r="A1949" s="7" t="n"/>
      <c r="B1949" s="75" t="n"/>
      <c r="C1949" s="7" t="n"/>
      <c r="D1949" s="7" t="n"/>
      <c r="E1949" s="9">
        <f>IF(D1949="","",IFERROR(INDEX('Stock pièces'!$B$5:$B$404,MATCH(D1949,'Stock pièces'!$A$5:$A$404,0)),"Réf. inconnue"))</f>
        <v/>
      </c>
      <c r="F1949" s="67" t="n"/>
      <c r="G1949" s="81">
        <f>IF(D1949="","",IFERROR(INDEX('Stock pièces'!$I$5:$I$404,MATCH(D1949,'Stock pièces'!$A$5:$A$404,0)),0))</f>
        <v/>
      </c>
      <c r="H1949" s="81">
        <f>IF(D1949="","",N(F1949)*N(G1949))</f>
        <v/>
      </c>
      <c r="I1949" s="7" t="n"/>
      <c r="J1949" s="9">
        <f>IF(I1949="","",IFERROR(INDEX('Ordres de travail'!$D$5:$D$3004,MATCH(I1949,'Ordres de travail'!$A$5:$A$3004,0)),""))</f>
        <v/>
      </c>
      <c r="K1949" s="9">
        <f>IF(D1949="","",IFERROR(INDEX('Stock pièces'!$D$5:$D$404,MATCH(D1949,'Stock pièces'!$A$5:$A$404,0)),""))</f>
        <v/>
      </c>
      <c r="L1949" s="7" t="n"/>
      <c r="M1949" s="7" t="n"/>
    </row>
    <row r="1950">
      <c r="A1950" s="7" t="n"/>
      <c r="B1950" s="75" t="n"/>
      <c r="C1950" s="7" t="n"/>
      <c r="D1950" s="7" t="n"/>
      <c r="E1950" s="9">
        <f>IF(D1950="","",IFERROR(INDEX('Stock pièces'!$B$5:$B$404,MATCH(D1950,'Stock pièces'!$A$5:$A$404,0)),"Réf. inconnue"))</f>
        <v/>
      </c>
      <c r="F1950" s="67" t="n"/>
      <c r="G1950" s="81">
        <f>IF(D1950="","",IFERROR(INDEX('Stock pièces'!$I$5:$I$404,MATCH(D1950,'Stock pièces'!$A$5:$A$404,0)),0))</f>
        <v/>
      </c>
      <c r="H1950" s="81">
        <f>IF(D1950="","",N(F1950)*N(G1950))</f>
        <v/>
      </c>
      <c r="I1950" s="7" t="n"/>
      <c r="J1950" s="9">
        <f>IF(I1950="","",IFERROR(INDEX('Ordres de travail'!$D$5:$D$3004,MATCH(I1950,'Ordres de travail'!$A$5:$A$3004,0)),""))</f>
        <v/>
      </c>
      <c r="K1950" s="9">
        <f>IF(D1950="","",IFERROR(INDEX('Stock pièces'!$D$5:$D$404,MATCH(D1950,'Stock pièces'!$A$5:$A$404,0)),""))</f>
        <v/>
      </c>
      <c r="L1950" s="7" t="n"/>
      <c r="M1950" s="7" t="n"/>
    </row>
    <row r="1951">
      <c r="A1951" s="7" t="n"/>
      <c r="B1951" s="75" t="n"/>
      <c r="C1951" s="7" t="n"/>
      <c r="D1951" s="7" t="n"/>
      <c r="E1951" s="9">
        <f>IF(D1951="","",IFERROR(INDEX('Stock pièces'!$B$5:$B$404,MATCH(D1951,'Stock pièces'!$A$5:$A$404,0)),"Réf. inconnue"))</f>
        <v/>
      </c>
      <c r="F1951" s="67" t="n"/>
      <c r="G1951" s="81">
        <f>IF(D1951="","",IFERROR(INDEX('Stock pièces'!$I$5:$I$404,MATCH(D1951,'Stock pièces'!$A$5:$A$404,0)),0))</f>
        <v/>
      </c>
      <c r="H1951" s="81">
        <f>IF(D1951="","",N(F1951)*N(G1951))</f>
        <v/>
      </c>
      <c r="I1951" s="7" t="n"/>
      <c r="J1951" s="9">
        <f>IF(I1951="","",IFERROR(INDEX('Ordres de travail'!$D$5:$D$3004,MATCH(I1951,'Ordres de travail'!$A$5:$A$3004,0)),""))</f>
        <v/>
      </c>
      <c r="K1951" s="9">
        <f>IF(D1951="","",IFERROR(INDEX('Stock pièces'!$D$5:$D$404,MATCH(D1951,'Stock pièces'!$A$5:$A$404,0)),""))</f>
        <v/>
      </c>
      <c r="L1951" s="7" t="n"/>
      <c r="M1951" s="7" t="n"/>
    </row>
    <row r="1952">
      <c r="A1952" s="7" t="n"/>
      <c r="B1952" s="75" t="n"/>
      <c r="C1952" s="7" t="n"/>
      <c r="D1952" s="7" t="n"/>
      <c r="E1952" s="9">
        <f>IF(D1952="","",IFERROR(INDEX('Stock pièces'!$B$5:$B$404,MATCH(D1952,'Stock pièces'!$A$5:$A$404,0)),"Réf. inconnue"))</f>
        <v/>
      </c>
      <c r="F1952" s="67" t="n"/>
      <c r="G1952" s="81">
        <f>IF(D1952="","",IFERROR(INDEX('Stock pièces'!$I$5:$I$404,MATCH(D1952,'Stock pièces'!$A$5:$A$404,0)),0))</f>
        <v/>
      </c>
      <c r="H1952" s="81">
        <f>IF(D1952="","",N(F1952)*N(G1952))</f>
        <v/>
      </c>
      <c r="I1952" s="7" t="n"/>
      <c r="J1952" s="9">
        <f>IF(I1952="","",IFERROR(INDEX('Ordres de travail'!$D$5:$D$3004,MATCH(I1952,'Ordres de travail'!$A$5:$A$3004,0)),""))</f>
        <v/>
      </c>
      <c r="K1952" s="9">
        <f>IF(D1952="","",IFERROR(INDEX('Stock pièces'!$D$5:$D$404,MATCH(D1952,'Stock pièces'!$A$5:$A$404,0)),""))</f>
        <v/>
      </c>
      <c r="L1952" s="7" t="n"/>
      <c r="M1952" s="7" t="n"/>
    </row>
    <row r="1953">
      <c r="A1953" s="7" t="n"/>
      <c r="B1953" s="75" t="n"/>
      <c r="C1953" s="7" t="n"/>
      <c r="D1953" s="7" t="n"/>
      <c r="E1953" s="9">
        <f>IF(D1953="","",IFERROR(INDEX('Stock pièces'!$B$5:$B$404,MATCH(D1953,'Stock pièces'!$A$5:$A$404,0)),"Réf. inconnue"))</f>
        <v/>
      </c>
      <c r="F1953" s="67" t="n"/>
      <c r="G1953" s="81">
        <f>IF(D1953="","",IFERROR(INDEX('Stock pièces'!$I$5:$I$404,MATCH(D1953,'Stock pièces'!$A$5:$A$404,0)),0))</f>
        <v/>
      </c>
      <c r="H1953" s="81">
        <f>IF(D1953="","",N(F1953)*N(G1953))</f>
        <v/>
      </c>
      <c r="I1953" s="7" t="n"/>
      <c r="J1953" s="9">
        <f>IF(I1953="","",IFERROR(INDEX('Ordres de travail'!$D$5:$D$3004,MATCH(I1953,'Ordres de travail'!$A$5:$A$3004,0)),""))</f>
        <v/>
      </c>
      <c r="K1953" s="9">
        <f>IF(D1953="","",IFERROR(INDEX('Stock pièces'!$D$5:$D$404,MATCH(D1953,'Stock pièces'!$A$5:$A$404,0)),""))</f>
        <v/>
      </c>
      <c r="L1953" s="7" t="n"/>
      <c r="M1953" s="7" t="n"/>
    </row>
    <row r="1954">
      <c r="A1954" s="7" t="n"/>
      <c r="B1954" s="75" t="n"/>
      <c r="C1954" s="7" t="n"/>
      <c r="D1954" s="7" t="n"/>
      <c r="E1954" s="9">
        <f>IF(D1954="","",IFERROR(INDEX('Stock pièces'!$B$5:$B$404,MATCH(D1954,'Stock pièces'!$A$5:$A$404,0)),"Réf. inconnue"))</f>
        <v/>
      </c>
      <c r="F1954" s="67" t="n"/>
      <c r="G1954" s="81">
        <f>IF(D1954="","",IFERROR(INDEX('Stock pièces'!$I$5:$I$404,MATCH(D1954,'Stock pièces'!$A$5:$A$404,0)),0))</f>
        <v/>
      </c>
      <c r="H1954" s="81">
        <f>IF(D1954="","",N(F1954)*N(G1954))</f>
        <v/>
      </c>
      <c r="I1954" s="7" t="n"/>
      <c r="J1954" s="9">
        <f>IF(I1954="","",IFERROR(INDEX('Ordres de travail'!$D$5:$D$3004,MATCH(I1954,'Ordres de travail'!$A$5:$A$3004,0)),""))</f>
        <v/>
      </c>
      <c r="K1954" s="9">
        <f>IF(D1954="","",IFERROR(INDEX('Stock pièces'!$D$5:$D$404,MATCH(D1954,'Stock pièces'!$A$5:$A$404,0)),""))</f>
        <v/>
      </c>
      <c r="L1954" s="7" t="n"/>
      <c r="M1954" s="7" t="n"/>
    </row>
    <row r="1955">
      <c r="A1955" s="7" t="n"/>
      <c r="B1955" s="75" t="n"/>
      <c r="C1955" s="7" t="n"/>
      <c r="D1955" s="7" t="n"/>
      <c r="E1955" s="9">
        <f>IF(D1955="","",IFERROR(INDEX('Stock pièces'!$B$5:$B$404,MATCH(D1955,'Stock pièces'!$A$5:$A$404,0)),"Réf. inconnue"))</f>
        <v/>
      </c>
      <c r="F1955" s="67" t="n"/>
      <c r="G1955" s="81">
        <f>IF(D1955="","",IFERROR(INDEX('Stock pièces'!$I$5:$I$404,MATCH(D1955,'Stock pièces'!$A$5:$A$404,0)),0))</f>
        <v/>
      </c>
      <c r="H1955" s="81">
        <f>IF(D1955="","",N(F1955)*N(G1955))</f>
        <v/>
      </c>
      <c r="I1955" s="7" t="n"/>
      <c r="J1955" s="9">
        <f>IF(I1955="","",IFERROR(INDEX('Ordres de travail'!$D$5:$D$3004,MATCH(I1955,'Ordres de travail'!$A$5:$A$3004,0)),""))</f>
        <v/>
      </c>
      <c r="K1955" s="9">
        <f>IF(D1955="","",IFERROR(INDEX('Stock pièces'!$D$5:$D$404,MATCH(D1955,'Stock pièces'!$A$5:$A$404,0)),""))</f>
        <v/>
      </c>
      <c r="L1955" s="7" t="n"/>
      <c r="M1955" s="7" t="n"/>
    </row>
    <row r="1956">
      <c r="A1956" s="7" t="n"/>
      <c r="B1956" s="75" t="n"/>
      <c r="C1956" s="7" t="n"/>
      <c r="D1956" s="7" t="n"/>
      <c r="E1956" s="9">
        <f>IF(D1956="","",IFERROR(INDEX('Stock pièces'!$B$5:$B$404,MATCH(D1956,'Stock pièces'!$A$5:$A$404,0)),"Réf. inconnue"))</f>
        <v/>
      </c>
      <c r="F1956" s="67" t="n"/>
      <c r="G1956" s="81">
        <f>IF(D1956="","",IFERROR(INDEX('Stock pièces'!$I$5:$I$404,MATCH(D1956,'Stock pièces'!$A$5:$A$404,0)),0))</f>
        <v/>
      </c>
      <c r="H1956" s="81">
        <f>IF(D1956="","",N(F1956)*N(G1956))</f>
        <v/>
      </c>
      <c r="I1956" s="7" t="n"/>
      <c r="J1956" s="9">
        <f>IF(I1956="","",IFERROR(INDEX('Ordres de travail'!$D$5:$D$3004,MATCH(I1956,'Ordres de travail'!$A$5:$A$3004,0)),""))</f>
        <v/>
      </c>
      <c r="K1956" s="9">
        <f>IF(D1956="","",IFERROR(INDEX('Stock pièces'!$D$5:$D$404,MATCH(D1956,'Stock pièces'!$A$5:$A$404,0)),""))</f>
        <v/>
      </c>
      <c r="L1956" s="7" t="n"/>
      <c r="M1956" s="7" t="n"/>
    </row>
    <row r="1957">
      <c r="A1957" s="7" t="n"/>
      <c r="B1957" s="75" t="n"/>
      <c r="C1957" s="7" t="n"/>
      <c r="D1957" s="7" t="n"/>
      <c r="E1957" s="9">
        <f>IF(D1957="","",IFERROR(INDEX('Stock pièces'!$B$5:$B$404,MATCH(D1957,'Stock pièces'!$A$5:$A$404,0)),"Réf. inconnue"))</f>
        <v/>
      </c>
      <c r="F1957" s="67" t="n"/>
      <c r="G1957" s="81">
        <f>IF(D1957="","",IFERROR(INDEX('Stock pièces'!$I$5:$I$404,MATCH(D1957,'Stock pièces'!$A$5:$A$404,0)),0))</f>
        <v/>
      </c>
      <c r="H1957" s="81">
        <f>IF(D1957="","",N(F1957)*N(G1957))</f>
        <v/>
      </c>
      <c r="I1957" s="7" t="n"/>
      <c r="J1957" s="9">
        <f>IF(I1957="","",IFERROR(INDEX('Ordres de travail'!$D$5:$D$3004,MATCH(I1957,'Ordres de travail'!$A$5:$A$3004,0)),""))</f>
        <v/>
      </c>
      <c r="K1957" s="9">
        <f>IF(D1957="","",IFERROR(INDEX('Stock pièces'!$D$5:$D$404,MATCH(D1957,'Stock pièces'!$A$5:$A$404,0)),""))</f>
        <v/>
      </c>
      <c r="L1957" s="7" t="n"/>
      <c r="M1957" s="7" t="n"/>
    </row>
    <row r="1958">
      <c r="A1958" s="7" t="n"/>
      <c r="B1958" s="75" t="n"/>
      <c r="C1958" s="7" t="n"/>
      <c r="D1958" s="7" t="n"/>
      <c r="E1958" s="9">
        <f>IF(D1958="","",IFERROR(INDEX('Stock pièces'!$B$5:$B$404,MATCH(D1958,'Stock pièces'!$A$5:$A$404,0)),"Réf. inconnue"))</f>
        <v/>
      </c>
      <c r="F1958" s="67" t="n"/>
      <c r="G1958" s="81">
        <f>IF(D1958="","",IFERROR(INDEX('Stock pièces'!$I$5:$I$404,MATCH(D1958,'Stock pièces'!$A$5:$A$404,0)),0))</f>
        <v/>
      </c>
      <c r="H1958" s="81">
        <f>IF(D1958="","",N(F1958)*N(G1958))</f>
        <v/>
      </c>
      <c r="I1958" s="7" t="n"/>
      <c r="J1958" s="9">
        <f>IF(I1958="","",IFERROR(INDEX('Ordres de travail'!$D$5:$D$3004,MATCH(I1958,'Ordres de travail'!$A$5:$A$3004,0)),""))</f>
        <v/>
      </c>
      <c r="K1958" s="9">
        <f>IF(D1958="","",IFERROR(INDEX('Stock pièces'!$D$5:$D$404,MATCH(D1958,'Stock pièces'!$A$5:$A$404,0)),""))</f>
        <v/>
      </c>
      <c r="L1958" s="7" t="n"/>
      <c r="M1958" s="7" t="n"/>
    </row>
    <row r="1959">
      <c r="A1959" s="7" t="n"/>
      <c r="B1959" s="75" t="n"/>
      <c r="C1959" s="7" t="n"/>
      <c r="D1959" s="7" t="n"/>
      <c r="E1959" s="9">
        <f>IF(D1959="","",IFERROR(INDEX('Stock pièces'!$B$5:$B$404,MATCH(D1959,'Stock pièces'!$A$5:$A$404,0)),"Réf. inconnue"))</f>
        <v/>
      </c>
      <c r="F1959" s="67" t="n"/>
      <c r="G1959" s="81">
        <f>IF(D1959="","",IFERROR(INDEX('Stock pièces'!$I$5:$I$404,MATCH(D1959,'Stock pièces'!$A$5:$A$404,0)),0))</f>
        <v/>
      </c>
      <c r="H1959" s="81">
        <f>IF(D1959="","",N(F1959)*N(G1959))</f>
        <v/>
      </c>
      <c r="I1959" s="7" t="n"/>
      <c r="J1959" s="9">
        <f>IF(I1959="","",IFERROR(INDEX('Ordres de travail'!$D$5:$D$3004,MATCH(I1959,'Ordres de travail'!$A$5:$A$3004,0)),""))</f>
        <v/>
      </c>
      <c r="K1959" s="9">
        <f>IF(D1959="","",IFERROR(INDEX('Stock pièces'!$D$5:$D$404,MATCH(D1959,'Stock pièces'!$A$5:$A$404,0)),""))</f>
        <v/>
      </c>
      <c r="L1959" s="7" t="n"/>
      <c r="M1959" s="7" t="n"/>
    </row>
    <row r="1960">
      <c r="A1960" s="7" t="n"/>
      <c r="B1960" s="75" t="n"/>
      <c r="C1960" s="7" t="n"/>
      <c r="D1960" s="7" t="n"/>
      <c r="E1960" s="9">
        <f>IF(D1960="","",IFERROR(INDEX('Stock pièces'!$B$5:$B$404,MATCH(D1960,'Stock pièces'!$A$5:$A$404,0)),"Réf. inconnue"))</f>
        <v/>
      </c>
      <c r="F1960" s="67" t="n"/>
      <c r="G1960" s="81">
        <f>IF(D1960="","",IFERROR(INDEX('Stock pièces'!$I$5:$I$404,MATCH(D1960,'Stock pièces'!$A$5:$A$404,0)),0))</f>
        <v/>
      </c>
      <c r="H1960" s="81">
        <f>IF(D1960="","",N(F1960)*N(G1960))</f>
        <v/>
      </c>
      <c r="I1960" s="7" t="n"/>
      <c r="J1960" s="9">
        <f>IF(I1960="","",IFERROR(INDEX('Ordres de travail'!$D$5:$D$3004,MATCH(I1960,'Ordres de travail'!$A$5:$A$3004,0)),""))</f>
        <v/>
      </c>
      <c r="K1960" s="9">
        <f>IF(D1960="","",IFERROR(INDEX('Stock pièces'!$D$5:$D$404,MATCH(D1960,'Stock pièces'!$A$5:$A$404,0)),""))</f>
        <v/>
      </c>
      <c r="L1960" s="7" t="n"/>
      <c r="M1960" s="7" t="n"/>
    </row>
    <row r="1961">
      <c r="A1961" s="7" t="n"/>
      <c r="B1961" s="75" t="n"/>
      <c r="C1961" s="7" t="n"/>
      <c r="D1961" s="7" t="n"/>
      <c r="E1961" s="9">
        <f>IF(D1961="","",IFERROR(INDEX('Stock pièces'!$B$5:$B$404,MATCH(D1961,'Stock pièces'!$A$5:$A$404,0)),"Réf. inconnue"))</f>
        <v/>
      </c>
      <c r="F1961" s="67" t="n"/>
      <c r="G1961" s="81">
        <f>IF(D1961="","",IFERROR(INDEX('Stock pièces'!$I$5:$I$404,MATCH(D1961,'Stock pièces'!$A$5:$A$404,0)),0))</f>
        <v/>
      </c>
      <c r="H1961" s="81">
        <f>IF(D1961="","",N(F1961)*N(G1961))</f>
        <v/>
      </c>
      <c r="I1961" s="7" t="n"/>
      <c r="J1961" s="9">
        <f>IF(I1961="","",IFERROR(INDEX('Ordres de travail'!$D$5:$D$3004,MATCH(I1961,'Ordres de travail'!$A$5:$A$3004,0)),""))</f>
        <v/>
      </c>
      <c r="K1961" s="9">
        <f>IF(D1961="","",IFERROR(INDEX('Stock pièces'!$D$5:$D$404,MATCH(D1961,'Stock pièces'!$A$5:$A$404,0)),""))</f>
        <v/>
      </c>
      <c r="L1961" s="7" t="n"/>
      <c r="M1961" s="7" t="n"/>
    </row>
    <row r="1962">
      <c r="A1962" s="7" t="n"/>
      <c r="B1962" s="75" t="n"/>
      <c r="C1962" s="7" t="n"/>
      <c r="D1962" s="7" t="n"/>
      <c r="E1962" s="9">
        <f>IF(D1962="","",IFERROR(INDEX('Stock pièces'!$B$5:$B$404,MATCH(D1962,'Stock pièces'!$A$5:$A$404,0)),"Réf. inconnue"))</f>
        <v/>
      </c>
      <c r="F1962" s="67" t="n"/>
      <c r="G1962" s="81">
        <f>IF(D1962="","",IFERROR(INDEX('Stock pièces'!$I$5:$I$404,MATCH(D1962,'Stock pièces'!$A$5:$A$404,0)),0))</f>
        <v/>
      </c>
      <c r="H1962" s="81">
        <f>IF(D1962="","",N(F1962)*N(G1962))</f>
        <v/>
      </c>
      <c r="I1962" s="7" t="n"/>
      <c r="J1962" s="9">
        <f>IF(I1962="","",IFERROR(INDEX('Ordres de travail'!$D$5:$D$3004,MATCH(I1962,'Ordres de travail'!$A$5:$A$3004,0)),""))</f>
        <v/>
      </c>
      <c r="K1962" s="9">
        <f>IF(D1962="","",IFERROR(INDEX('Stock pièces'!$D$5:$D$404,MATCH(D1962,'Stock pièces'!$A$5:$A$404,0)),""))</f>
        <v/>
      </c>
      <c r="L1962" s="7" t="n"/>
      <c r="M1962" s="7" t="n"/>
    </row>
    <row r="1963">
      <c r="A1963" s="7" t="n"/>
      <c r="B1963" s="75" t="n"/>
      <c r="C1963" s="7" t="n"/>
      <c r="D1963" s="7" t="n"/>
      <c r="E1963" s="9">
        <f>IF(D1963="","",IFERROR(INDEX('Stock pièces'!$B$5:$B$404,MATCH(D1963,'Stock pièces'!$A$5:$A$404,0)),"Réf. inconnue"))</f>
        <v/>
      </c>
      <c r="F1963" s="67" t="n"/>
      <c r="G1963" s="81">
        <f>IF(D1963="","",IFERROR(INDEX('Stock pièces'!$I$5:$I$404,MATCH(D1963,'Stock pièces'!$A$5:$A$404,0)),0))</f>
        <v/>
      </c>
      <c r="H1963" s="81">
        <f>IF(D1963="","",N(F1963)*N(G1963))</f>
        <v/>
      </c>
      <c r="I1963" s="7" t="n"/>
      <c r="J1963" s="9">
        <f>IF(I1963="","",IFERROR(INDEX('Ordres de travail'!$D$5:$D$3004,MATCH(I1963,'Ordres de travail'!$A$5:$A$3004,0)),""))</f>
        <v/>
      </c>
      <c r="K1963" s="9">
        <f>IF(D1963="","",IFERROR(INDEX('Stock pièces'!$D$5:$D$404,MATCH(D1963,'Stock pièces'!$A$5:$A$404,0)),""))</f>
        <v/>
      </c>
      <c r="L1963" s="7" t="n"/>
      <c r="M1963" s="7" t="n"/>
    </row>
    <row r="1964">
      <c r="A1964" s="7" t="n"/>
      <c r="B1964" s="75" t="n"/>
      <c r="C1964" s="7" t="n"/>
      <c r="D1964" s="7" t="n"/>
      <c r="E1964" s="9">
        <f>IF(D1964="","",IFERROR(INDEX('Stock pièces'!$B$5:$B$404,MATCH(D1964,'Stock pièces'!$A$5:$A$404,0)),"Réf. inconnue"))</f>
        <v/>
      </c>
      <c r="F1964" s="67" t="n"/>
      <c r="G1964" s="81">
        <f>IF(D1964="","",IFERROR(INDEX('Stock pièces'!$I$5:$I$404,MATCH(D1964,'Stock pièces'!$A$5:$A$404,0)),0))</f>
        <v/>
      </c>
      <c r="H1964" s="81">
        <f>IF(D1964="","",N(F1964)*N(G1964))</f>
        <v/>
      </c>
      <c r="I1964" s="7" t="n"/>
      <c r="J1964" s="9">
        <f>IF(I1964="","",IFERROR(INDEX('Ordres de travail'!$D$5:$D$3004,MATCH(I1964,'Ordres de travail'!$A$5:$A$3004,0)),""))</f>
        <v/>
      </c>
      <c r="K1964" s="9">
        <f>IF(D1964="","",IFERROR(INDEX('Stock pièces'!$D$5:$D$404,MATCH(D1964,'Stock pièces'!$A$5:$A$404,0)),""))</f>
        <v/>
      </c>
      <c r="L1964" s="7" t="n"/>
      <c r="M1964" s="7" t="n"/>
    </row>
    <row r="1965">
      <c r="A1965" s="7" t="n"/>
      <c r="B1965" s="75" t="n"/>
      <c r="C1965" s="7" t="n"/>
      <c r="D1965" s="7" t="n"/>
      <c r="E1965" s="9">
        <f>IF(D1965="","",IFERROR(INDEX('Stock pièces'!$B$5:$B$404,MATCH(D1965,'Stock pièces'!$A$5:$A$404,0)),"Réf. inconnue"))</f>
        <v/>
      </c>
      <c r="F1965" s="67" t="n"/>
      <c r="G1965" s="81">
        <f>IF(D1965="","",IFERROR(INDEX('Stock pièces'!$I$5:$I$404,MATCH(D1965,'Stock pièces'!$A$5:$A$404,0)),0))</f>
        <v/>
      </c>
      <c r="H1965" s="81">
        <f>IF(D1965="","",N(F1965)*N(G1965))</f>
        <v/>
      </c>
      <c r="I1965" s="7" t="n"/>
      <c r="J1965" s="9">
        <f>IF(I1965="","",IFERROR(INDEX('Ordres de travail'!$D$5:$D$3004,MATCH(I1965,'Ordres de travail'!$A$5:$A$3004,0)),""))</f>
        <v/>
      </c>
      <c r="K1965" s="9">
        <f>IF(D1965="","",IFERROR(INDEX('Stock pièces'!$D$5:$D$404,MATCH(D1965,'Stock pièces'!$A$5:$A$404,0)),""))</f>
        <v/>
      </c>
      <c r="L1965" s="7" t="n"/>
      <c r="M1965" s="7" t="n"/>
    </row>
    <row r="1966">
      <c r="A1966" s="7" t="n"/>
      <c r="B1966" s="75" t="n"/>
      <c r="C1966" s="7" t="n"/>
      <c r="D1966" s="7" t="n"/>
      <c r="E1966" s="9">
        <f>IF(D1966="","",IFERROR(INDEX('Stock pièces'!$B$5:$B$404,MATCH(D1966,'Stock pièces'!$A$5:$A$404,0)),"Réf. inconnue"))</f>
        <v/>
      </c>
      <c r="F1966" s="67" t="n"/>
      <c r="G1966" s="81">
        <f>IF(D1966="","",IFERROR(INDEX('Stock pièces'!$I$5:$I$404,MATCH(D1966,'Stock pièces'!$A$5:$A$404,0)),0))</f>
        <v/>
      </c>
      <c r="H1966" s="81">
        <f>IF(D1966="","",N(F1966)*N(G1966))</f>
        <v/>
      </c>
      <c r="I1966" s="7" t="n"/>
      <c r="J1966" s="9">
        <f>IF(I1966="","",IFERROR(INDEX('Ordres de travail'!$D$5:$D$3004,MATCH(I1966,'Ordres de travail'!$A$5:$A$3004,0)),""))</f>
        <v/>
      </c>
      <c r="K1966" s="9">
        <f>IF(D1966="","",IFERROR(INDEX('Stock pièces'!$D$5:$D$404,MATCH(D1966,'Stock pièces'!$A$5:$A$404,0)),""))</f>
        <v/>
      </c>
      <c r="L1966" s="7" t="n"/>
      <c r="M1966" s="7" t="n"/>
    </row>
    <row r="1967">
      <c r="A1967" s="7" t="n"/>
      <c r="B1967" s="75" t="n"/>
      <c r="C1967" s="7" t="n"/>
      <c r="D1967" s="7" t="n"/>
      <c r="E1967" s="9">
        <f>IF(D1967="","",IFERROR(INDEX('Stock pièces'!$B$5:$B$404,MATCH(D1967,'Stock pièces'!$A$5:$A$404,0)),"Réf. inconnue"))</f>
        <v/>
      </c>
      <c r="F1967" s="67" t="n"/>
      <c r="G1967" s="81">
        <f>IF(D1967="","",IFERROR(INDEX('Stock pièces'!$I$5:$I$404,MATCH(D1967,'Stock pièces'!$A$5:$A$404,0)),0))</f>
        <v/>
      </c>
      <c r="H1967" s="81">
        <f>IF(D1967="","",N(F1967)*N(G1967))</f>
        <v/>
      </c>
      <c r="I1967" s="7" t="n"/>
      <c r="J1967" s="9">
        <f>IF(I1967="","",IFERROR(INDEX('Ordres de travail'!$D$5:$D$3004,MATCH(I1967,'Ordres de travail'!$A$5:$A$3004,0)),""))</f>
        <v/>
      </c>
      <c r="K1967" s="9">
        <f>IF(D1967="","",IFERROR(INDEX('Stock pièces'!$D$5:$D$404,MATCH(D1967,'Stock pièces'!$A$5:$A$404,0)),""))</f>
        <v/>
      </c>
      <c r="L1967" s="7" t="n"/>
      <c r="M1967" s="7" t="n"/>
    </row>
    <row r="1968">
      <c r="A1968" s="7" t="n"/>
      <c r="B1968" s="75" t="n"/>
      <c r="C1968" s="7" t="n"/>
      <c r="D1968" s="7" t="n"/>
      <c r="E1968" s="9">
        <f>IF(D1968="","",IFERROR(INDEX('Stock pièces'!$B$5:$B$404,MATCH(D1968,'Stock pièces'!$A$5:$A$404,0)),"Réf. inconnue"))</f>
        <v/>
      </c>
      <c r="F1968" s="67" t="n"/>
      <c r="G1968" s="81">
        <f>IF(D1968="","",IFERROR(INDEX('Stock pièces'!$I$5:$I$404,MATCH(D1968,'Stock pièces'!$A$5:$A$404,0)),0))</f>
        <v/>
      </c>
      <c r="H1968" s="81">
        <f>IF(D1968="","",N(F1968)*N(G1968))</f>
        <v/>
      </c>
      <c r="I1968" s="7" t="n"/>
      <c r="J1968" s="9">
        <f>IF(I1968="","",IFERROR(INDEX('Ordres de travail'!$D$5:$D$3004,MATCH(I1968,'Ordres de travail'!$A$5:$A$3004,0)),""))</f>
        <v/>
      </c>
      <c r="K1968" s="9">
        <f>IF(D1968="","",IFERROR(INDEX('Stock pièces'!$D$5:$D$404,MATCH(D1968,'Stock pièces'!$A$5:$A$404,0)),""))</f>
        <v/>
      </c>
      <c r="L1968" s="7" t="n"/>
      <c r="M1968" s="7" t="n"/>
    </row>
    <row r="1969">
      <c r="A1969" s="7" t="n"/>
      <c r="B1969" s="75" t="n"/>
      <c r="C1969" s="7" t="n"/>
      <c r="D1969" s="7" t="n"/>
      <c r="E1969" s="9">
        <f>IF(D1969="","",IFERROR(INDEX('Stock pièces'!$B$5:$B$404,MATCH(D1969,'Stock pièces'!$A$5:$A$404,0)),"Réf. inconnue"))</f>
        <v/>
      </c>
      <c r="F1969" s="67" t="n"/>
      <c r="G1969" s="81">
        <f>IF(D1969="","",IFERROR(INDEX('Stock pièces'!$I$5:$I$404,MATCH(D1969,'Stock pièces'!$A$5:$A$404,0)),0))</f>
        <v/>
      </c>
      <c r="H1969" s="81">
        <f>IF(D1969="","",N(F1969)*N(G1969))</f>
        <v/>
      </c>
      <c r="I1969" s="7" t="n"/>
      <c r="J1969" s="9">
        <f>IF(I1969="","",IFERROR(INDEX('Ordres de travail'!$D$5:$D$3004,MATCH(I1969,'Ordres de travail'!$A$5:$A$3004,0)),""))</f>
        <v/>
      </c>
      <c r="K1969" s="9">
        <f>IF(D1969="","",IFERROR(INDEX('Stock pièces'!$D$5:$D$404,MATCH(D1969,'Stock pièces'!$A$5:$A$404,0)),""))</f>
        <v/>
      </c>
      <c r="L1969" s="7" t="n"/>
      <c r="M1969" s="7" t="n"/>
    </row>
    <row r="1970">
      <c r="A1970" s="7" t="n"/>
      <c r="B1970" s="75" t="n"/>
      <c r="C1970" s="7" t="n"/>
      <c r="D1970" s="7" t="n"/>
      <c r="E1970" s="9">
        <f>IF(D1970="","",IFERROR(INDEX('Stock pièces'!$B$5:$B$404,MATCH(D1970,'Stock pièces'!$A$5:$A$404,0)),"Réf. inconnue"))</f>
        <v/>
      </c>
      <c r="F1970" s="67" t="n"/>
      <c r="G1970" s="81">
        <f>IF(D1970="","",IFERROR(INDEX('Stock pièces'!$I$5:$I$404,MATCH(D1970,'Stock pièces'!$A$5:$A$404,0)),0))</f>
        <v/>
      </c>
      <c r="H1970" s="81">
        <f>IF(D1970="","",N(F1970)*N(G1970))</f>
        <v/>
      </c>
      <c r="I1970" s="7" t="n"/>
      <c r="J1970" s="9">
        <f>IF(I1970="","",IFERROR(INDEX('Ordres de travail'!$D$5:$D$3004,MATCH(I1970,'Ordres de travail'!$A$5:$A$3004,0)),""))</f>
        <v/>
      </c>
      <c r="K1970" s="9">
        <f>IF(D1970="","",IFERROR(INDEX('Stock pièces'!$D$5:$D$404,MATCH(D1970,'Stock pièces'!$A$5:$A$404,0)),""))</f>
        <v/>
      </c>
      <c r="L1970" s="7" t="n"/>
      <c r="M1970" s="7" t="n"/>
    </row>
    <row r="1971">
      <c r="A1971" s="7" t="n"/>
      <c r="B1971" s="75" t="n"/>
      <c r="C1971" s="7" t="n"/>
      <c r="D1971" s="7" t="n"/>
      <c r="E1971" s="9">
        <f>IF(D1971="","",IFERROR(INDEX('Stock pièces'!$B$5:$B$404,MATCH(D1971,'Stock pièces'!$A$5:$A$404,0)),"Réf. inconnue"))</f>
        <v/>
      </c>
      <c r="F1971" s="67" t="n"/>
      <c r="G1971" s="81">
        <f>IF(D1971="","",IFERROR(INDEX('Stock pièces'!$I$5:$I$404,MATCH(D1971,'Stock pièces'!$A$5:$A$404,0)),0))</f>
        <v/>
      </c>
      <c r="H1971" s="81">
        <f>IF(D1971="","",N(F1971)*N(G1971))</f>
        <v/>
      </c>
      <c r="I1971" s="7" t="n"/>
      <c r="J1971" s="9">
        <f>IF(I1971="","",IFERROR(INDEX('Ordres de travail'!$D$5:$D$3004,MATCH(I1971,'Ordres de travail'!$A$5:$A$3004,0)),""))</f>
        <v/>
      </c>
      <c r="K1971" s="9">
        <f>IF(D1971="","",IFERROR(INDEX('Stock pièces'!$D$5:$D$404,MATCH(D1971,'Stock pièces'!$A$5:$A$404,0)),""))</f>
        <v/>
      </c>
      <c r="L1971" s="7" t="n"/>
      <c r="M1971" s="7" t="n"/>
    </row>
    <row r="1972">
      <c r="A1972" s="7" t="n"/>
      <c r="B1972" s="75" t="n"/>
      <c r="C1972" s="7" t="n"/>
      <c r="D1972" s="7" t="n"/>
      <c r="E1972" s="9">
        <f>IF(D1972="","",IFERROR(INDEX('Stock pièces'!$B$5:$B$404,MATCH(D1972,'Stock pièces'!$A$5:$A$404,0)),"Réf. inconnue"))</f>
        <v/>
      </c>
      <c r="F1972" s="67" t="n"/>
      <c r="G1972" s="81">
        <f>IF(D1972="","",IFERROR(INDEX('Stock pièces'!$I$5:$I$404,MATCH(D1972,'Stock pièces'!$A$5:$A$404,0)),0))</f>
        <v/>
      </c>
      <c r="H1972" s="81">
        <f>IF(D1972="","",N(F1972)*N(G1972))</f>
        <v/>
      </c>
      <c r="I1972" s="7" t="n"/>
      <c r="J1972" s="9">
        <f>IF(I1972="","",IFERROR(INDEX('Ordres de travail'!$D$5:$D$3004,MATCH(I1972,'Ordres de travail'!$A$5:$A$3004,0)),""))</f>
        <v/>
      </c>
      <c r="K1972" s="9">
        <f>IF(D1972="","",IFERROR(INDEX('Stock pièces'!$D$5:$D$404,MATCH(D1972,'Stock pièces'!$A$5:$A$404,0)),""))</f>
        <v/>
      </c>
      <c r="L1972" s="7" t="n"/>
      <c r="M1972" s="7" t="n"/>
    </row>
    <row r="1973">
      <c r="A1973" s="7" t="n"/>
      <c r="B1973" s="75" t="n"/>
      <c r="C1973" s="7" t="n"/>
      <c r="D1973" s="7" t="n"/>
      <c r="E1973" s="9">
        <f>IF(D1973="","",IFERROR(INDEX('Stock pièces'!$B$5:$B$404,MATCH(D1973,'Stock pièces'!$A$5:$A$404,0)),"Réf. inconnue"))</f>
        <v/>
      </c>
      <c r="F1973" s="67" t="n"/>
      <c r="G1973" s="81">
        <f>IF(D1973="","",IFERROR(INDEX('Stock pièces'!$I$5:$I$404,MATCH(D1973,'Stock pièces'!$A$5:$A$404,0)),0))</f>
        <v/>
      </c>
      <c r="H1973" s="81">
        <f>IF(D1973="","",N(F1973)*N(G1973))</f>
        <v/>
      </c>
      <c r="I1973" s="7" t="n"/>
      <c r="J1973" s="9">
        <f>IF(I1973="","",IFERROR(INDEX('Ordres de travail'!$D$5:$D$3004,MATCH(I1973,'Ordres de travail'!$A$5:$A$3004,0)),""))</f>
        <v/>
      </c>
      <c r="K1973" s="9">
        <f>IF(D1973="","",IFERROR(INDEX('Stock pièces'!$D$5:$D$404,MATCH(D1973,'Stock pièces'!$A$5:$A$404,0)),""))</f>
        <v/>
      </c>
      <c r="L1973" s="7" t="n"/>
      <c r="M1973" s="7" t="n"/>
    </row>
    <row r="1974">
      <c r="A1974" s="7" t="n"/>
      <c r="B1974" s="75" t="n"/>
      <c r="C1974" s="7" t="n"/>
      <c r="D1974" s="7" t="n"/>
      <c r="E1974" s="9">
        <f>IF(D1974="","",IFERROR(INDEX('Stock pièces'!$B$5:$B$404,MATCH(D1974,'Stock pièces'!$A$5:$A$404,0)),"Réf. inconnue"))</f>
        <v/>
      </c>
      <c r="F1974" s="67" t="n"/>
      <c r="G1974" s="81">
        <f>IF(D1974="","",IFERROR(INDEX('Stock pièces'!$I$5:$I$404,MATCH(D1974,'Stock pièces'!$A$5:$A$404,0)),0))</f>
        <v/>
      </c>
      <c r="H1974" s="81">
        <f>IF(D1974="","",N(F1974)*N(G1974))</f>
        <v/>
      </c>
      <c r="I1974" s="7" t="n"/>
      <c r="J1974" s="9">
        <f>IF(I1974="","",IFERROR(INDEX('Ordres de travail'!$D$5:$D$3004,MATCH(I1974,'Ordres de travail'!$A$5:$A$3004,0)),""))</f>
        <v/>
      </c>
      <c r="K1974" s="9">
        <f>IF(D1974="","",IFERROR(INDEX('Stock pièces'!$D$5:$D$404,MATCH(D1974,'Stock pièces'!$A$5:$A$404,0)),""))</f>
        <v/>
      </c>
      <c r="L1974" s="7" t="n"/>
      <c r="M1974" s="7" t="n"/>
    </row>
    <row r="1975">
      <c r="A1975" s="7" t="n"/>
      <c r="B1975" s="75" t="n"/>
      <c r="C1975" s="7" t="n"/>
      <c r="D1975" s="7" t="n"/>
      <c r="E1975" s="9">
        <f>IF(D1975="","",IFERROR(INDEX('Stock pièces'!$B$5:$B$404,MATCH(D1975,'Stock pièces'!$A$5:$A$404,0)),"Réf. inconnue"))</f>
        <v/>
      </c>
      <c r="F1975" s="67" t="n"/>
      <c r="G1975" s="81">
        <f>IF(D1975="","",IFERROR(INDEX('Stock pièces'!$I$5:$I$404,MATCH(D1975,'Stock pièces'!$A$5:$A$404,0)),0))</f>
        <v/>
      </c>
      <c r="H1975" s="81">
        <f>IF(D1975="","",N(F1975)*N(G1975))</f>
        <v/>
      </c>
      <c r="I1975" s="7" t="n"/>
      <c r="J1975" s="9">
        <f>IF(I1975="","",IFERROR(INDEX('Ordres de travail'!$D$5:$D$3004,MATCH(I1975,'Ordres de travail'!$A$5:$A$3004,0)),""))</f>
        <v/>
      </c>
      <c r="K1975" s="9">
        <f>IF(D1975="","",IFERROR(INDEX('Stock pièces'!$D$5:$D$404,MATCH(D1975,'Stock pièces'!$A$5:$A$404,0)),""))</f>
        <v/>
      </c>
      <c r="L1975" s="7" t="n"/>
      <c r="M1975" s="7" t="n"/>
    </row>
    <row r="1976">
      <c r="A1976" s="7" t="n"/>
      <c r="B1976" s="75" t="n"/>
      <c r="C1976" s="7" t="n"/>
      <c r="D1976" s="7" t="n"/>
      <c r="E1976" s="9">
        <f>IF(D1976="","",IFERROR(INDEX('Stock pièces'!$B$5:$B$404,MATCH(D1976,'Stock pièces'!$A$5:$A$404,0)),"Réf. inconnue"))</f>
        <v/>
      </c>
      <c r="F1976" s="67" t="n"/>
      <c r="G1976" s="81">
        <f>IF(D1976="","",IFERROR(INDEX('Stock pièces'!$I$5:$I$404,MATCH(D1976,'Stock pièces'!$A$5:$A$404,0)),0))</f>
        <v/>
      </c>
      <c r="H1976" s="81">
        <f>IF(D1976="","",N(F1976)*N(G1976))</f>
        <v/>
      </c>
      <c r="I1976" s="7" t="n"/>
      <c r="J1976" s="9">
        <f>IF(I1976="","",IFERROR(INDEX('Ordres de travail'!$D$5:$D$3004,MATCH(I1976,'Ordres de travail'!$A$5:$A$3004,0)),""))</f>
        <v/>
      </c>
      <c r="K1976" s="9">
        <f>IF(D1976="","",IFERROR(INDEX('Stock pièces'!$D$5:$D$404,MATCH(D1976,'Stock pièces'!$A$5:$A$404,0)),""))</f>
        <v/>
      </c>
      <c r="L1976" s="7" t="n"/>
      <c r="M1976" s="7" t="n"/>
    </row>
    <row r="1977">
      <c r="A1977" s="7" t="n"/>
      <c r="B1977" s="75" t="n"/>
      <c r="C1977" s="7" t="n"/>
      <c r="D1977" s="7" t="n"/>
      <c r="E1977" s="9">
        <f>IF(D1977="","",IFERROR(INDEX('Stock pièces'!$B$5:$B$404,MATCH(D1977,'Stock pièces'!$A$5:$A$404,0)),"Réf. inconnue"))</f>
        <v/>
      </c>
      <c r="F1977" s="67" t="n"/>
      <c r="G1977" s="81">
        <f>IF(D1977="","",IFERROR(INDEX('Stock pièces'!$I$5:$I$404,MATCH(D1977,'Stock pièces'!$A$5:$A$404,0)),0))</f>
        <v/>
      </c>
      <c r="H1977" s="81">
        <f>IF(D1977="","",N(F1977)*N(G1977))</f>
        <v/>
      </c>
      <c r="I1977" s="7" t="n"/>
      <c r="J1977" s="9">
        <f>IF(I1977="","",IFERROR(INDEX('Ordres de travail'!$D$5:$D$3004,MATCH(I1977,'Ordres de travail'!$A$5:$A$3004,0)),""))</f>
        <v/>
      </c>
      <c r="K1977" s="9">
        <f>IF(D1977="","",IFERROR(INDEX('Stock pièces'!$D$5:$D$404,MATCH(D1977,'Stock pièces'!$A$5:$A$404,0)),""))</f>
        <v/>
      </c>
      <c r="L1977" s="7" t="n"/>
      <c r="M1977" s="7" t="n"/>
    </row>
    <row r="1978">
      <c r="A1978" s="7" t="n"/>
      <c r="B1978" s="75" t="n"/>
      <c r="C1978" s="7" t="n"/>
      <c r="D1978" s="7" t="n"/>
      <c r="E1978" s="9">
        <f>IF(D1978="","",IFERROR(INDEX('Stock pièces'!$B$5:$B$404,MATCH(D1978,'Stock pièces'!$A$5:$A$404,0)),"Réf. inconnue"))</f>
        <v/>
      </c>
      <c r="F1978" s="67" t="n"/>
      <c r="G1978" s="81">
        <f>IF(D1978="","",IFERROR(INDEX('Stock pièces'!$I$5:$I$404,MATCH(D1978,'Stock pièces'!$A$5:$A$404,0)),0))</f>
        <v/>
      </c>
      <c r="H1978" s="81">
        <f>IF(D1978="","",N(F1978)*N(G1978))</f>
        <v/>
      </c>
      <c r="I1978" s="7" t="n"/>
      <c r="J1978" s="9">
        <f>IF(I1978="","",IFERROR(INDEX('Ordres de travail'!$D$5:$D$3004,MATCH(I1978,'Ordres de travail'!$A$5:$A$3004,0)),""))</f>
        <v/>
      </c>
      <c r="K1978" s="9">
        <f>IF(D1978="","",IFERROR(INDEX('Stock pièces'!$D$5:$D$404,MATCH(D1978,'Stock pièces'!$A$5:$A$404,0)),""))</f>
        <v/>
      </c>
      <c r="L1978" s="7" t="n"/>
      <c r="M1978" s="7" t="n"/>
    </row>
    <row r="1979">
      <c r="A1979" s="7" t="n"/>
      <c r="B1979" s="75" t="n"/>
      <c r="C1979" s="7" t="n"/>
      <c r="D1979" s="7" t="n"/>
      <c r="E1979" s="9">
        <f>IF(D1979="","",IFERROR(INDEX('Stock pièces'!$B$5:$B$404,MATCH(D1979,'Stock pièces'!$A$5:$A$404,0)),"Réf. inconnue"))</f>
        <v/>
      </c>
      <c r="F1979" s="67" t="n"/>
      <c r="G1979" s="81">
        <f>IF(D1979="","",IFERROR(INDEX('Stock pièces'!$I$5:$I$404,MATCH(D1979,'Stock pièces'!$A$5:$A$404,0)),0))</f>
        <v/>
      </c>
      <c r="H1979" s="81">
        <f>IF(D1979="","",N(F1979)*N(G1979))</f>
        <v/>
      </c>
      <c r="I1979" s="7" t="n"/>
      <c r="J1979" s="9">
        <f>IF(I1979="","",IFERROR(INDEX('Ordres de travail'!$D$5:$D$3004,MATCH(I1979,'Ordres de travail'!$A$5:$A$3004,0)),""))</f>
        <v/>
      </c>
      <c r="K1979" s="9">
        <f>IF(D1979="","",IFERROR(INDEX('Stock pièces'!$D$5:$D$404,MATCH(D1979,'Stock pièces'!$A$5:$A$404,0)),""))</f>
        <v/>
      </c>
      <c r="L1979" s="7" t="n"/>
      <c r="M1979" s="7" t="n"/>
    </row>
    <row r="1980">
      <c r="A1980" s="7" t="n"/>
      <c r="B1980" s="75" t="n"/>
      <c r="C1980" s="7" t="n"/>
      <c r="D1980" s="7" t="n"/>
      <c r="E1980" s="9">
        <f>IF(D1980="","",IFERROR(INDEX('Stock pièces'!$B$5:$B$404,MATCH(D1980,'Stock pièces'!$A$5:$A$404,0)),"Réf. inconnue"))</f>
        <v/>
      </c>
      <c r="F1980" s="67" t="n"/>
      <c r="G1980" s="81">
        <f>IF(D1980="","",IFERROR(INDEX('Stock pièces'!$I$5:$I$404,MATCH(D1980,'Stock pièces'!$A$5:$A$404,0)),0))</f>
        <v/>
      </c>
      <c r="H1980" s="81">
        <f>IF(D1980="","",N(F1980)*N(G1980))</f>
        <v/>
      </c>
      <c r="I1980" s="7" t="n"/>
      <c r="J1980" s="9">
        <f>IF(I1980="","",IFERROR(INDEX('Ordres de travail'!$D$5:$D$3004,MATCH(I1980,'Ordres de travail'!$A$5:$A$3004,0)),""))</f>
        <v/>
      </c>
      <c r="K1980" s="9">
        <f>IF(D1980="","",IFERROR(INDEX('Stock pièces'!$D$5:$D$404,MATCH(D1980,'Stock pièces'!$A$5:$A$404,0)),""))</f>
        <v/>
      </c>
      <c r="L1980" s="7" t="n"/>
      <c r="M1980" s="7" t="n"/>
    </row>
    <row r="1981">
      <c r="A1981" s="7" t="n"/>
      <c r="B1981" s="75" t="n"/>
      <c r="C1981" s="7" t="n"/>
      <c r="D1981" s="7" t="n"/>
      <c r="E1981" s="9">
        <f>IF(D1981="","",IFERROR(INDEX('Stock pièces'!$B$5:$B$404,MATCH(D1981,'Stock pièces'!$A$5:$A$404,0)),"Réf. inconnue"))</f>
        <v/>
      </c>
      <c r="F1981" s="67" t="n"/>
      <c r="G1981" s="81">
        <f>IF(D1981="","",IFERROR(INDEX('Stock pièces'!$I$5:$I$404,MATCH(D1981,'Stock pièces'!$A$5:$A$404,0)),0))</f>
        <v/>
      </c>
      <c r="H1981" s="81">
        <f>IF(D1981="","",N(F1981)*N(G1981))</f>
        <v/>
      </c>
      <c r="I1981" s="7" t="n"/>
      <c r="J1981" s="9">
        <f>IF(I1981="","",IFERROR(INDEX('Ordres de travail'!$D$5:$D$3004,MATCH(I1981,'Ordres de travail'!$A$5:$A$3004,0)),""))</f>
        <v/>
      </c>
      <c r="K1981" s="9">
        <f>IF(D1981="","",IFERROR(INDEX('Stock pièces'!$D$5:$D$404,MATCH(D1981,'Stock pièces'!$A$5:$A$404,0)),""))</f>
        <v/>
      </c>
      <c r="L1981" s="7" t="n"/>
      <c r="M1981" s="7" t="n"/>
    </row>
    <row r="1982">
      <c r="A1982" s="7" t="n"/>
      <c r="B1982" s="75" t="n"/>
      <c r="C1982" s="7" t="n"/>
      <c r="D1982" s="7" t="n"/>
      <c r="E1982" s="9">
        <f>IF(D1982="","",IFERROR(INDEX('Stock pièces'!$B$5:$B$404,MATCH(D1982,'Stock pièces'!$A$5:$A$404,0)),"Réf. inconnue"))</f>
        <v/>
      </c>
      <c r="F1982" s="67" t="n"/>
      <c r="G1982" s="81">
        <f>IF(D1982="","",IFERROR(INDEX('Stock pièces'!$I$5:$I$404,MATCH(D1982,'Stock pièces'!$A$5:$A$404,0)),0))</f>
        <v/>
      </c>
      <c r="H1982" s="81">
        <f>IF(D1982="","",N(F1982)*N(G1982))</f>
        <v/>
      </c>
      <c r="I1982" s="7" t="n"/>
      <c r="J1982" s="9">
        <f>IF(I1982="","",IFERROR(INDEX('Ordres de travail'!$D$5:$D$3004,MATCH(I1982,'Ordres de travail'!$A$5:$A$3004,0)),""))</f>
        <v/>
      </c>
      <c r="K1982" s="9">
        <f>IF(D1982="","",IFERROR(INDEX('Stock pièces'!$D$5:$D$404,MATCH(D1982,'Stock pièces'!$A$5:$A$404,0)),""))</f>
        <v/>
      </c>
      <c r="L1982" s="7" t="n"/>
      <c r="M1982" s="7" t="n"/>
    </row>
    <row r="1983">
      <c r="A1983" s="7" t="n"/>
      <c r="B1983" s="75" t="n"/>
      <c r="C1983" s="7" t="n"/>
      <c r="D1983" s="7" t="n"/>
      <c r="E1983" s="9">
        <f>IF(D1983="","",IFERROR(INDEX('Stock pièces'!$B$5:$B$404,MATCH(D1983,'Stock pièces'!$A$5:$A$404,0)),"Réf. inconnue"))</f>
        <v/>
      </c>
      <c r="F1983" s="67" t="n"/>
      <c r="G1983" s="81">
        <f>IF(D1983="","",IFERROR(INDEX('Stock pièces'!$I$5:$I$404,MATCH(D1983,'Stock pièces'!$A$5:$A$404,0)),0))</f>
        <v/>
      </c>
      <c r="H1983" s="81">
        <f>IF(D1983="","",N(F1983)*N(G1983))</f>
        <v/>
      </c>
      <c r="I1983" s="7" t="n"/>
      <c r="J1983" s="9">
        <f>IF(I1983="","",IFERROR(INDEX('Ordres de travail'!$D$5:$D$3004,MATCH(I1983,'Ordres de travail'!$A$5:$A$3004,0)),""))</f>
        <v/>
      </c>
      <c r="K1983" s="9">
        <f>IF(D1983="","",IFERROR(INDEX('Stock pièces'!$D$5:$D$404,MATCH(D1983,'Stock pièces'!$A$5:$A$404,0)),""))</f>
        <v/>
      </c>
      <c r="L1983" s="7" t="n"/>
      <c r="M1983" s="7" t="n"/>
    </row>
    <row r="1984">
      <c r="A1984" s="7" t="n"/>
      <c r="B1984" s="75" t="n"/>
      <c r="C1984" s="7" t="n"/>
      <c r="D1984" s="7" t="n"/>
      <c r="E1984" s="9">
        <f>IF(D1984="","",IFERROR(INDEX('Stock pièces'!$B$5:$B$404,MATCH(D1984,'Stock pièces'!$A$5:$A$404,0)),"Réf. inconnue"))</f>
        <v/>
      </c>
      <c r="F1984" s="67" t="n"/>
      <c r="G1984" s="81">
        <f>IF(D1984="","",IFERROR(INDEX('Stock pièces'!$I$5:$I$404,MATCH(D1984,'Stock pièces'!$A$5:$A$404,0)),0))</f>
        <v/>
      </c>
      <c r="H1984" s="81">
        <f>IF(D1984="","",N(F1984)*N(G1984))</f>
        <v/>
      </c>
      <c r="I1984" s="7" t="n"/>
      <c r="J1984" s="9">
        <f>IF(I1984="","",IFERROR(INDEX('Ordres de travail'!$D$5:$D$3004,MATCH(I1984,'Ordres de travail'!$A$5:$A$3004,0)),""))</f>
        <v/>
      </c>
      <c r="K1984" s="9">
        <f>IF(D1984="","",IFERROR(INDEX('Stock pièces'!$D$5:$D$404,MATCH(D1984,'Stock pièces'!$A$5:$A$404,0)),""))</f>
        <v/>
      </c>
      <c r="L1984" s="7" t="n"/>
      <c r="M1984" s="7" t="n"/>
    </row>
    <row r="1985">
      <c r="A1985" s="7" t="n"/>
      <c r="B1985" s="75" t="n"/>
      <c r="C1985" s="7" t="n"/>
      <c r="D1985" s="7" t="n"/>
      <c r="E1985" s="9">
        <f>IF(D1985="","",IFERROR(INDEX('Stock pièces'!$B$5:$B$404,MATCH(D1985,'Stock pièces'!$A$5:$A$404,0)),"Réf. inconnue"))</f>
        <v/>
      </c>
      <c r="F1985" s="67" t="n"/>
      <c r="G1985" s="81">
        <f>IF(D1985="","",IFERROR(INDEX('Stock pièces'!$I$5:$I$404,MATCH(D1985,'Stock pièces'!$A$5:$A$404,0)),0))</f>
        <v/>
      </c>
      <c r="H1985" s="81">
        <f>IF(D1985="","",N(F1985)*N(G1985))</f>
        <v/>
      </c>
      <c r="I1985" s="7" t="n"/>
      <c r="J1985" s="9">
        <f>IF(I1985="","",IFERROR(INDEX('Ordres de travail'!$D$5:$D$3004,MATCH(I1985,'Ordres de travail'!$A$5:$A$3004,0)),""))</f>
        <v/>
      </c>
      <c r="K1985" s="9">
        <f>IF(D1985="","",IFERROR(INDEX('Stock pièces'!$D$5:$D$404,MATCH(D1985,'Stock pièces'!$A$5:$A$404,0)),""))</f>
        <v/>
      </c>
      <c r="L1985" s="7" t="n"/>
      <c r="M1985" s="7" t="n"/>
    </row>
    <row r="1986">
      <c r="A1986" s="7" t="n"/>
      <c r="B1986" s="75" t="n"/>
      <c r="C1986" s="7" t="n"/>
      <c r="D1986" s="7" t="n"/>
      <c r="E1986" s="9">
        <f>IF(D1986="","",IFERROR(INDEX('Stock pièces'!$B$5:$B$404,MATCH(D1986,'Stock pièces'!$A$5:$A$404,0)),"Réf. inconnue"))</f>
        <v/>
      </c>
      <c r="F1986" s="67" t="n"/>
      <c r="G1986" s="81">
        <f>IF(D1986="","",IFERROR(INDEX('Stock pièces'!$I$5:$I$404,MATCH(D1986,'Stock pièces'!$A$5:$A$404,0)),0))</f>
        <v/>
      </c>
      <c r="H1986" s="81">
        <f>IF(D1986="","",N(F1986)*N(G1986))</f>
        <v/>
      </c>
      <c r="I1986" s="7" t="n"/>
      <c r="J1986" s="9">
        <f>IF(I1986="","",IFERROR(INDEX('Ordres de travail'!$D$5:$D$3004,MATCH(I1986,'Ordres de travail'!$A$5:$A$3004,0)),""))</f>
        <v/>
      </c>
      <c r="K1986" s="9">
        <f>IF(D1986="","",IFERROR(INDEX('Stock pièces'!$D$5:$D$404,MATCH(D1986,'Stock pièces'!$A$5:$A$404,0)),""))</f>
        <v/>
      </c>
      <c r="L1986" s="7" t="n"/>
      <c r="M1986" s="7" t="n"/>
    </row>
    <row r="1987">
      <c r="A1987" s="7" t="n"/>
      <c r="B1987" s="75" t="n"/>
      <c r="C1987" s="7" t="n"/>
      <c r="D1987" s="7" t="n"/>
      <c r="E1987" s="9">
        <f>IF(D1987="","",IFERROR(INDEX('Stock pièces'!$B$5:$B$404,MATCH(D1987,'Stock pièces'!$A$5:$A$404,0)),"Réf. inconnue"))</f>
        <v/>
      </c>
      <c r="F1987" s="67" t="n"/>
      <c r="G1987" s="81">
        <f>IF(D1987="","",IFERROR(INDEX('Stock pièces'!$I$5:$I$404,MATCH(D1987,'Stock pièces'!$A$5:$A$404,0)),0))</f>
        <v/>
      </c>
      <c r="H1987" s="81">
        <f>IF(D1987="","",N(F1987)*N(G1987))</f>
        <v/>
      </c>
      <c r="I1987" s="7" t="n"/>
      <c r="J1987" s="9">
        <f>IF(I1987="","",IFERROR(INDEX('Ordres de travail'!$D$5:$D$3004,MATCH(I1987,'Ordres de travail'!$A$5:$A$3004,0)),""))</f>
        <v/>
      </c>
      <c r="K1987" s="9">
        <f>IF(D1987="","",IFERROR(INDEX('Stock pièces'!$D$5:$D$404,MATCH(D1987,'Stock pièces'!$A$5:$A$404,0)),""))</f>
        <v/>
      </c>
      <c r="L1987" s="7" t="n"/>
      <c r="M1987" s="7" t="n"/>
    </row>
    <row r="1988">
      <c r="A1988" s="7" t="n"/>
      <c r="B1988" s="75" t="n"/>
      <c r="C1988" s="7" t="n"/>
      <c r="D1988" s="7" t="n"/>
      <c r="E1988" s="9">
        <f>IF(D1988="","",IFERROR(INDEX('Stock pièces'!$B$5:$B$404,MATCH(D1988,'Stock pièces'!$A$5:$A$404,0)),"Réf. inconnue"))</f>
        <v/>
      </c>
      <c r="F1988" s="67" t="n"/>
      <c r="G1988" s="81">
        <f>IF(D1988="","",IFERROR(INDEX('Stock pièces'!$I$5:$I$404,MATCH(D1988,'Stock pièces'!$A$5:$A$404,0)),0))</f>
        <v/>
      </c>
      <c r="H1988" s="81">
        <f>IF(D1988="","",N(F1988)*N(G1988))</f>
        <v/>
      </c>
      <c r="I1988" s="7" t="n"/>
      <c r="J1988" s="9">
        <f>IF(I1988="","",IFERROR(INDEX('Ordres de travail'!$D$5:$D$3004,MATCH(I1988,'Ordres de travail'!$A$5:$A$3004,0)),""))</f>
        <v/>
      </c>
      <c r="K1988" s="9">
        <f>IF(D1988="","",IFERROR(INDEX('Stock pièces'!$D$5:$D$404,MATCH(D1988,'Stock pièces'!$A$5:$A$404,0)),""))</f>
        <v/>
      </c>
      <c r="L1988" s="7" t="n"/>
      <c r="M1988" s="7" t="n"/>
    </row>
    <row r="1989">
      <c r="A1989" s="7" t="n"/>
      <c r="B1989" s="75" t="n"/>
      <c r="C1989" s="7" t="n"/>
      <c r="D1989" s="7" t="n"/>
      <c r="E1989" s="9">
        <f>IF(D1989="","",IFERROR(INDEX('Stock pièces'!$B$5:$B$404,MATCH(D1989,'Stock pièces'!$A$5:$A$404,0)),"Réf. inconnue"))</f>
        <v/>
      </c>
      <c r="F1989" s="67" t="n"/>
      <c r="G1989" s="81">
        <f>IF(D1989="","",IFERROR(INDEX('Stock pièces'!$I$5:$I$404,MATCH(D1989,'Stock pièces'!$A$5:$A$404,0)),0))</f>
        <v/>
      </c>
      <c r="H1989" s="81">
        <f>IF(D1989="","",N(F1989)*N(G1989))</f>
        <v/>
      </c>
      <c r="I1989" s="7" t="n"/>
      <c r="J1989" s="9">
        <f>IF(I1989="","",IFERROR(INDEX('Ordres de travail'!$D$5:$D$3004,MATCH(I1989,'Ordres de travail'!$A$5:$A$3004,0)),""))</f>
        <v/>
      </c>
      <c r="K1989" s="9">
        <f>IF(D1989="","",IFERROR(INDEX('Stock pièces'!$D$5:$D$404,MATCH(D1989,'Stock pièces'!$A$5:$A$404,0)),""))</f>
        <v/>
      </c>
      <c r="L1989" s="7" t="n"/>
      <c r="M1989" s="7" t="n"/>
    </row>
    <row r="1990">
      <c r="A1990" s="7" t="n"/>
      <c r="B1990" s="75" t="n"/>
      <c r="C1990" s="7" t="n"/>
      <c r="D1990" s="7" t="n"/>
      <c r="E1990" s="9">
        <f>IF(D1990="","",IFERROR(INDEX('Stock pièces'!$B$5:$B$404,MATCH(D1990,'Stock pièces'!$A$5:$A$404,0)),"Réf. inconnue"))</f>
        <v/>
      </c>
      <c r="F1990" s="67" t="n"/>
      <c r="G1990" s="81">
        <f>IF(D1990="","",IFERROR(INDEX('Stock pièces'!$I$5:$I$404,MATCH(D1990,'Stock pièces'!$A$5:$A$404,0)),0))</f>
        <v/>
      </c>
      <c r="H1990" s="81">
        <f>IF(D1990="","",N(F1990)*N(G1990))</f>
        <v/>
      </c>
      <c r="I1990" s="7" t="n"/>
      <c r="J1990" s="9">
        <f>IF(I1990="","",IFERROR(INDEX('Ordres de travail'!$D$5:$D$3004,MATCH(I1990,'Ordres de travail'!$A$5:$A$3004,0)),""))</f>
        <v/>
      </c>
      <c r="K1990" s="9">
        <f>IF(D1990="","",IFERROR(INDEX('Stock pièces'!$D$5:$D$404,MATCH(D1990,'Stock pièces'!$A$5:$A$404,0)),""))</f>
        <v/>
      </c>
      <c r="L1990" s="7" t="n"/>
      <c r="M1990" s="7" t="n"/>
    </row>
    <row r="1991">
      <c r="A1991" s="7" t="n"/>
      <c r="B1991" s="75" t="n"/>
      <c r="C1991" s="7" t="n"/>
      <c r="D1991" s="7" t="n"/>
      <c r="E1991" s="9">
        <f>IF(D1991="","",IFERROR(INDEX('Stock pièces'!$B$5:$B$404,MATCH(D1991,'Stock pièces'!$A$5:$A$404,0)),"Réf. inconnue"))</f>
        <v/>
      </c>
      <c r="F1991" s="67" t="n"/>
      <c r="G1991" s="81">
        <f>IF(D1991="","",IFERROR(INDEX('Stock pièces'!$I$5:$I$404,MATCH(D1991,'Stock pièces'!$A$5:$A$404,0)),0))</f>
        <v/>
      </c>
      <c r="H1991" s="81">
        <f>IF(D1991="","",N(F1991)*N(G1991))</f>
        <v/>
      </c>
      <c r="I1991" s="7" t="n"/>
      <c r="J1991" s="9">
        <f>IF(I1991="","",IFERROR(INDEX('Ordres de travail'!$D$5:$D$3004,MATCH(I1991,'Ordres de travail'!$A$5:$A$3004,0)),""))</f>
        <v/>
      </c>
      <c r="K1991" s="9">
        <f>IF(D1991="","",IFERROR(INDEX('Stock pièces'!$D$5:$D$404,MATCH(D1991,'Stock pièces'!$A$5:$A$404,0)),""))</f>
        <v/>
      </c>
      <c r="L1991" s="7" t="n"/>
      <c r="M1991" s="7" t="n"/>
    </row>
    <row r="1992">
      <c r="A1992" s="7" t="n"/>
      <c r="B1992" s="75" t="n"/>
      <c r="C1992" s="7" t="n"/>
      <c r="D1992" s="7" t="n"/>
      <c r="E1992" s="9">
        <f>IF(D1992="","",IFERROR(INDEX('Stock pièces'!$B$5:$B$404,MATCH(D1992,'Stock pièces'!$A$5:$A$404,0)),"Réf. inconnue"))</f>
        <v/>
      </c>
      <c r="F1992" s="67" t="n"/>
      <c r="G1992" s="81">
        <f>IF(D1992="","",IFERROR(INDEX('Stock pièces'!$I$5:$I$404,MATCH(D1992,'Stock pièces'!$A$5:$A$404,0)),0))</f>
        <v/>
      </c>
      <c r="H1992" s="81">
        <f>IF(D1992="","",N(F1992)*N(G1992))</f>
        <v/>
      </c>
      <c r="I1992" s="7" t="n"/>
      <c r="J1992" s="9">
        <f>IF(I1992="","",IFERROR(INDEX('Ordres de travail'!$D$5:$D$3004,MATCH(I1992,'Ordres de travail'!$A$5:$A$3004,0)),""))</f>
        <v/>
      </c>
      <c r="K1992" s="9">
        <f>IF(D1992="","",IFERROR(INDEX('Stock pièces'!$D$5:$D$404,MATCH(D1992,'Stock pièces'!$A$5:$A$404,0)),""))</f>
        <v/>
      </c>
      <c r="L1992" s="7" t="n"/>
      <c r="M1992" s="7" t="n"/>
    </row>
    <row r="1993">
      <c r="A1993" s="7" t="n"/>
      <c r="B1993" s="75" t="n"/>
      <c r="C1993" s="7" t="n"/>
      <c r="D1993" s="7" t="n"/>
      <c r="E1993" s="9">
        <f>IF(D1993="","",IFERROR(INDEX('Stock pièces'!$B$5:$B$404,MATCH(D1993,'Stock pièces'!$A$5:$A$404,0)),"Réf. inconnue"))</f>
        <v/>
      </c>
      <c r="F1993" s="67" t="n"/>
      <c r="G1993" s="81">
        <f>IF(D1993="","",IFERROR(INDEX('Stock pièces'!$I$5:$I$404,MATCH(D1993,'Stock pièces'!$A$5:$A$404,0)),0))</f>
        <v/>
      </c>
      <c r="H1993" s="81">
        <f>IF(D1993="","",N(F1993)*N(G1993))</f>
        <v/>
      </c>
      <c r="I1993" s="7" t="n"/>
      <c r="J1993" s="9">
        <f>IF(I1993="","",IFERROR(INDEX('Ordres de travail'!$D$5:$D$3004,MATCH(I1993,'Ordres de travail'!$A$5:$A$3004,0)),""))</f>
        <v/>
      </c>
      <c r="K1993" s="9">
        <f>IF(D1993="","",IFERROR(INDEX('Stock pièces'!$D$5:$D$404,MATCH(D1993,'Stock pièces'!$A$5:$A$404,0)),""))</f>
        <v/>
      </c>
      <c r="L1993" s="7" t="n"/>
      <c r="M1993" s="7" t="n"/>
    </row>
    <row r="1994">
      <c r="A1994" s="7" t="n"/>
      <c r="B1994" s="75" t="n"/>
      <c r="C1994" s="7" t="n"/>
      <c r="D1994" s="7" t="n"/>
      <c r="E1994" s="9">
        <f>IF(D1994="","",IFERROR(INDEX('Stock pièces'!$B$5:$B$404,MATCH(D1994,'Stock pièces'!$A$5:$A$404,0)),"Réf. inconnue"))</f>
        <v/>
      </c>
      <c r="F1994" s="67" t="n"/>
      <c r="G1994" s="81">
        <f>IF(D1994="","",IFERROR(INDEX('Stock pièces'!$I$5:$I$404,MATCH(D1994,'Stock pièces'!$A$5:$A$404,0)),0))</f>
        <v/>
      </c>
      <c r="H1994" s="81">
        <f>IF(D1994="","",N(F1994)*N(G1994))</f>
        <v/>
      </c>
      <c r="I1994" s="7" t="n"/>
      <c r="J1994" s="9">
        <f>IF(I1994="","",IFERROR(INDEX('Ordres de travail'!$D$5:$D$3004,MATCH(I1994,'Ordres de travail'!$A$5:$A$3004,0)),""))</f>
        <v/>
      </c>
      <c r="K1994" s="9">
        <f>IF(D1994="","",IFERROR(INDEX('Stock pièces'!$D$5:$D$404,MATCH(D1994,'Stock pièces'!$A$5:$A$404,0)),""))</f>
        <v/>
      </c>
      <c r="L1994" s="7" t="n"/>
      <c r="M1994" s="7" t="n"/>
    </row>
    <row r="1995">
      <c r="A1995" s="7" t="n"/>
      <c r="B1995" s="75" t="n"/>
      <c r="C1995" s="7" t="n"/>
      <c r="D1995" s="7" t="n"/>
      <c r="E1995" s="9">
        <f>IF(D1995="","",IFERROR(INDEX('Stock pièces'!$B$5:$B$404,MATCH(D1995,'Stock pièces'!$A$5:$A$404,0)),"Réf. inconnue"))</f>
        <v/>
      </c>
      <c r="F1995" s="67" t="n"/>
      <c r="G1995" s="81">
        <f>IF(D1995="","",IFERROR(INDEX('Stock pièces'!$I$5:$I$404,MATCH(D1995,'Stock pièces'!$A$5:$A$404,0)),0))</f>
        <v/>
      </c>
      <c r="H1995" s="81">
        <f>IF(D1995="","",N(F1995)*N(G1995))</f>
        <v/>
      </c>
      <c r="I1995" s="7" t="n"/>
      <c r="J1995" s="9">
        <f>IF(I1995="","",IFERROR(INDEX('Ordres de travail'!$D$5:$D$3004,MATCH(I1995,'Ordres de travail'!$A$5:$A$3004,0)),""))</f>
        <v/>
      </c>
      <c r="K1995" s="9">
        <f>IF(D1995="","",IFERROR(INDEX('Stock pièces'!$D$5:$D$404,MATCH(D1995,'Stock pièces'!$A$5:$A$404,0)),""))</f>
        <v/>
      </c>
      <c r="L1995" s="7" t="n"/>
      <c r="M1995" s="7" t="n"/>
    </row>
    <row r="1996">
      <c r="A1996" s="7" t="n"/>
      <c r="B1996" s="75" t="n"/>
      <c r="C1996" s="7" t="n"/>
      <c r="D1996" s="7" t="n"/>
      <c r="E1996" s="9">
        <f>IF(D1996="","",IFERROR(INDEX('Stock pièces'!$B$5:$B$404,MATCH(D1996,'Stock pièces'!$A$5:$A$404,0)),"Réf. inconnue"))</f>
        <v/>
      </c>
      <c r="F1996" s="67" t="n"/>
      <c r="G1996" s="81">
        <f>IF(D1996="","",IFERROR(INDEX('Stock pièces'!$I$5:$I$404,MATCH(D1996,'Stock pièces'!$A$5:$A$404,0)),0))</f>
        <v/>
      </c>
      <c r="H1996" s="81">
        <f>IF(D1996="","",N(F1996)*N(G1996))</f>
        <v/>
      </c>
      <c r="I1996" s="7" t="n"/>
      <c r="J1996" s="9">
        <f>IF(I1996="","",IFERROR(INDEX('Ordres de travail'!$D$5:$D$3004,MATCH(I1996,'Ordres de travail'!$A$5:$A$3004,0)),""))</f>
        <v/>
      </c>
      <c r="K1996" s="9">
        <f>IF(D1996="","",IFERROR(INDEX('Stock pièces'!$D$5:$D$404,MATCH(D1996,'Stock pièces'!$A$5:$A$404,0)),""))</f>
        <v/>
      </c>
      <c r="L1996" s="7" t="n"/>
      <c r="M1996" s="7" t="n"/>
    </row>
    <row r="1997">
      <c r="A1997" s="7" t="n"/>
      <c r="B1997" s="75" t="n"/>
      <c r="C1997" s="7" t="n"/>
      <c r="D1997" s="7" t="n"/>
      <c r="E1997" s="9">
        <f>IF(D1997="","",IFERROR(INDEX('Stock pièces'!$B$5:$B$404,MATCH(D1997,'Stock pièces'!$A$5:$A$404,0)),"Réf. inconnue"))</f>
        <v/>
      </c>
      <c r="F1997" s="67" t="n"/>
      <c r="G1997" s="81">
        <f>IF(D1997="","",IFERROR(INDEX('Stock pièces'!$I$5:$I$404,MATCH(D1997,'Stock pièces'!$A$5:$A$404,0)),0))</f>
        <v/>
      </c>
      <c r="H1997" s="81">
        <f>IF(D1997="","",N(F1997)*N(G1997))</f>
        <v/>
      </c>
      <c r="I1997" s="7" t="n"/>
      <c r="J1997" s="9">
        <f>IF(I1997="","",IFERROR(INDEX('Ordres de travail'!$D$5:$D$3004,MATCH(I1997,'Ordres de travail'!$A$5:$A$3004,0)),""))</f>
        <v/>
      </c>
      <c r="K1997" s="9">
        <f>IF(D1997="","",IFERROR(INDEX('Stock pièces'!$D$5:$D$404,MATCH(D1997,'Stock pièces'!$A$5:$A$404,0)),""))</f>
        <v/>
      </c>
      <c r="L1997" s="7" t="n"/>
      <c r="M1997" s="7" t="n"/>
    </row>
    <row r="1998">
      <c r="A1998" s="7" t="n"/>
      <c r="B1998" s="75" t="n"/>
      <c r="C1998" s="7" t="n"/>
      <c r="D1998" s="7" t="n"/>
      <c r="E1998" s="9">
        <f>IF(D1998="","",IFERROR(INDEX('Stock pièces'!$B$5:$B$404,MATCH(D1998,'Stock pièces'!$A$5:$A$404,0)),"Réf. inconnue"))</f>
        <v/>
      </c>
      <c r="F1998" s="67" t="n"/>
      <c r="G1998" s="81">
        <f>IF(D1998="","",IFERROR(INDEX('Stock pièces'!$I$5:$I$404,MATCH(D1998,'Stock pièces'!$A$5:$A$404,0)),0))</f>
        <v/>
      </c>
      <c r="H1998" s="81">
        <f>IF(D1998="","",N(F1998)*N(G1998))</f>
        <v/>
      </c>
      <c r="I1998" s="7" t="n"/>
      <c r="J1998" s="9">
        <f>IF(I1998="","",IFERROR(INDEX('Ordres de travail'!$D$5:$D$3004,MATCH(I1998,'Ordres de travail'!$A$5:$A$3004,0)),""))</f>
        <v/>
      </c>
      <c r="K1998" s="9">
        <f>IF(D1998="","",IFERROR(INDEX('Stock pièces'!$D$5:$D$404,MATCH(D1998,'Stock pièces'!$A$5:$A$404,0)),""))</f>
        <v/>
      </c>
      <c r="L1998" s="7" t="n"/>
      <c r="M1998" s="7" t="n"/>
    </row>
    <row r="1999">
      <c r="A1999" s="7" t="n"/>
      <c r="B1999" s="75" t="n"/>
      <c r="C1999" s="7" t="n"/>
      <c r="D1999" s="7" t="n"/>
      <c r="E1999" s="9">
        <f>IF(D1999="","",IFERROR(INDEX('Stock pièces'!$B$5:$B$404,MATCH(D1999,'Stock pièces'!$A$5:$A$404,0)),"Réf. inconnue"))</f>
        <v/>
      </c>
      <c r="F1999" s="67" t="n"/>
      <c r="G1999" s="81">
        <f>IF(D1999="","",IFERROR(INDEX('Stock pièces'!$I$5:$I$404,MATCH(D1999,'Stock pièces'!$A$5:$A$404,0)),0))</f>
        <v/>
      </c>
      <c r="H1999" s="81">
        <f>IF(D1999="","",N(F1999)*N(G1999))</f>
        <v/>
      </c>
      <c r="I1999" s="7" t="n"/>
      <c r="J1999" s="9">
        <f>IF(I1999="","",IFERROR(INDEX('Ordres de travail'!$D$5:$D$3004,MATCH(I1999,'Ordres de travail'!$A$5:$A$3004,0)),""))</f>
        <v/>
      </c>
      <c r="K1999" s="9">
        <f>IF(D1999="","",IFERROR(INDEX('Stock pièces'!$D$5:$D$404,MATCH(D1999,'Stock pièces'!$A$5:$A$404,0)),""))</f>
        <v/>
      </c>
      <c r="L1999" s="7" t="n"/>
      <c r="M1999" s="7" t="n"/>
    </row>
    <row r="2000">
      <c r="A2000" s="7" t="n"/>
      <c r="B2000" s="75" t="n"/>
      <c r="C2000" s="7" t="n"/>
      <c r="D2000" s="7" t="n"/>
      <c r="E2000" s="9">
        <f>IF(D2000="","",IFERROR(INDEX('Stock pièces'!$B$5:$B$404,MATCH(D2000,'Stock pièces'!$A$5:$A$404,0)),"Réf. inconnue"))</f>
        <v/>
      </c>
      <c r="F2000" s="67" t="n"/>
      <c r="G2000" s="81">
        <f>IF(D2000="","",IFERROR(INDEX('Stock pièces'!$I$5:$I$404,MATCH(D2000,'Stock pièces'!$A$5:$A$404,0)),0))</f>
        <v/>
      </c>
      <c r="H2000" s="81">
        <f>IF(D2000="","",N(F2000)*N(G2000))</f>
        <v/>
      </c>
      <c r="I2000" s="7" t="n"/>
      <c r="J2000" s="9">
        <f>IF(I2000="","",IFERROR(INDEX('Ordres de travail'!$D$5:$D$3004,MATCH(I2000,'Ordres de travail'!$A$5:$A$3004,0)),""))</f>
        <v/>
      </c>
      <c r="K2000" s="9">
        <f>IF(D2000="","",IFERROR(INDEX('Stock pièces'!$D$5:$D$404,MATCH(D2000,'Stock pièces'!$A$5:$A$404,0)),""))</f>
        <v/>
      </c>
      <c r="L2000" s="7" t="n"/>
      <c r="M2000" s="7" t="n"/>
    </row>
    <row r="2001">
      <c r="A2001" s="7" t="n"/>
      <c r="B2001" s="75" t="n"/>
      <c r="C2001" s="7" t="n"/>
      <c r="D2001" s="7" t="n"/>
      <c r="E2001" s="9">
        <f>IF(D2001="","",IFERROR(INDEX('Stock pièces'!$B$5:$B$404,MATCH(D2001,'Stock pièces'!$A$5:$A$404,0)),"Réf. inconnue"))</f>
        <v/>
      </c>
      <c r="F2001" s="67" t="n"/>
      <c r="G2001" s="81">
        <f>IF(D2001="","",IFERROR(INDEX('Stock pièces'!$I$5:$I$404,MATCH(D2001,'Stock pièces'!$A$5:$A$404,0)),0))</f>
        <v/>
      </c>
      <c r="H2001" s="81">
        <f>IF(D2001="","",N(F2001)*N(G2001))</f>
        <v/>
      </c>
      <c r="I2001" s="7" t="n"/>
      <c r="J2001" s="9">
        <f>IF(I2001="","",IFERROR(INDEX('Ordres de travail'!$D$5:$D$3004,MATCH(I2001,'Ordres de travail'!$A$5:$A$3004,0)),""))</f>
        <v/>
      </c>
      <c r="K2001" s="9">
        <f>IF(D2001="","",IFERROR(INDEX('Stock pièces'!$D$5:$D$404,MATCH(D2001,'Stock pièces'!$A$5:$A$404,0)),""))</f>
        <v/>
      </c>
      <c r="L2001" s="7" t="n"/>
      <c r="M2001" s="7" t="n"/>
    </row>
    <row r="2002">
      <c r="A2002" s="7" t="n"/>
      <c r="B2002" s="75" t="n"/>
      <c r="C2002" s="7" t="n"/>
      <c r="D2002" s="7" t="n"/>
      <c r="E2002" s="9">
        <f>IF(D2002="","",IFERROR(INDEX('Stock pièces'!$B$5:$B$404,MATCH(D2002,'Stock pièces'!$A$5:$A$404,0)),"Réf. inconnue"))</f>
        <v/>
      </c>
      <c r="F2002" s="67" t="n"/>
      <c r="G2002" s="81">
        <f>IF(D2002="","",IFERROR(INDEX('Stock pièces'!$I$5:$I$404,MATCH(D2002,'Stock pièces'!$A$5:$A$404,0)),0))</f>
        <v/>
      </c>
      <c r="H2002" s="81">
        <f>IF(D2002="","",N(F2002)*N(G2002))</f>
        <v/>
      </c>
      <c r="I2002" s="7" t="n"/>
      <c r="J2002" s="9">
        <f>IF(I2002="","",IFERROR(INDEX('Ordres de travail'!$D$5:$D$3004,MATCH(I2002,'Ordres de travail'!$A$5:$A$3004,0)),""))</f>
        <v/>
      </c>
      <c r="K2002" s="9">
        <f>IF(D2002="","",IFERROR(INDEX('Stock pièces'!$D$5:$D$404,MATCH(D2002,'Stock pièces'!$A$5:$A$404,0)),""))</f>
        <v/>
      </c>
      <c r="L2002" s="7" t="n"/>
      <c r="M2002" s="7" t="n"/>
    </row>
    <row r="2003">
      <c r="A2003" s="7" t="n"/>
      <c r="B2003" s="75" t="n"/>
      <c r="C2003" s="7" t="n"/>
      <c r="D2003" s="7" t="n"/>
      <c r="E2003" s="9">
        <f>IF(D2003="","",IFERROR(INDEX('Stock pièces'!$B$5:$B$404,MATCH(D2003,'Stock pièces'!$A$5:$A$404,0)),"Réf. inconnue"))</f>
        <v/>
      </c>
      <c r="F2003" s="67" t="n"/>
      <c r="G2003" s="81">
        <f>IF(D2003="","",IFERROR(INDEX('Stock pièces'!$I$5:$I$404,MATCH(D2003,'Stock pièces'!$A$5:$A$404,0)),0))</f>
        <v/>
      </c>
      <c r="H2003" s="81">
        <f>IF(D2003="","",N(F2003)*N(G2003))</f>
        <v/>
      </c>
      <c r="I2003" s="7" t="n"/>
      <c r="J2003" s="9">
        <f>IF(I2003="","",IFERROR(INDEX('Ordres de travail'!$D$5:$D$3004,MATCH(I2003,'Ordres de travail'!$A$5:$A$3004,0)),""))</f>
        <v/>
      </c>
      <c r="K2003" s="9">
        <f>IF(D2003="","",IFERROR(INDEX('Stock pièces'!$D$5:$D$404,MATCH(D2003,'Stock pièces'!$A$5:$A$404,0)),""))</f>
        <v/>
      </c>
      <c r="L2003" s="7" t="n"/>
      <c r="M2003" s="7" t="n"/>
    </row>
    <row r="2004">
      <c r="A2004" s="7" t="n"/>
      <c r="B2004" s="75" t="n"/>
      <c r="C2004" s="7" t="n"/>
      <c r="D2004" s="7" t="n"/>
      <c r="E2004" s="9">
        <f>IF(D2004="","",IFERROR(INDEX('Stock pièces'!$B$5:$B$404,MATCH(D2004,'Stock pièces'!$A$5:$A$404,0)),"Réf. inconnue"))</f>
        <v/>
      </c>
      <c r="F2004" s="67" t="n"/>
      <c r="G2004" s="81">
        <f>IF(D2004="","",IFERROR(INDEX('Stock pièces'!$I$5:$I$404,MATCH(D2004,'Stock pièces'!$A$5:$A$404,0)),0))</f>
        <v/>
      </c>
      <c r="H2004" s="81">
        <f>IF(D2004="","",N(F2004)*N(G2004))</f>
        <v/>
      </c>
      <c r="I2004" s="7" t="n"/>
      <c r="J2004" s="9">
        <f>IF(I2004="","",IFERROR(INDEX('Ordres de travail'!$D$5:$D$3004,MATCH(I2004,'Ordres de travail'!$A$5:$A$3004,0)),""))</f>
        <v/>
      </c>
      <c r="K2004" s="9">
        <f>IF(D2004="","",IFERROR(INDEX('Stock pièces'!$D$5:$D$404,MATCH(D2004,'Stock pièces'!$A$5:$A$404,0)),""))</f>
        <v/>
      </c>
      <c r="L2004" s="7" t="n"/>
      <c r="M2004" s="7" t="n"/>
    </row>
    <row r="2005">
      <c r="A2005" s="7" t="n"/>
      <c r="B2005" s="75" t="n"/>
      <c r="C2005" s="7" t="n"/>
      <c r="D2005" s="7" t="n"/>
      <c r="E2005" s="9">
        <f>IF(D2005="","",IFERROR(INDEX('Stock pièces'!$B$5:$B$404,MATCH(D2005,'Stock pièces'!$A$5:$A$404,0)),"Réf. inconnue"))</f>
        <v/>
      </c>
      <c r="F2005" s="67" t="n"/>
      <c r="G2005" s="81">
        <f>IF(D2005="","",IFERROR(INDEX('Stock pièces'!$I$5:$I$404,MATCH(D2005,'Stock pièces'!$A$5:$A$404,0)),0))</f>
        <v/>
      </c>
      <c r="H2005" s="81">
        <f>IF(D2005="","",N(F2005)*N(G2005))</f>
        <v/>
      </c>
      <c r="I2005" s="7" t="n"/>
      <c r="J2005" s="9">
        <f>IF(I2005="","",IFERROR(INDEX('Ordres de travail'!$D$5:$D$3004,MATCH(I2005,'Ordres de travail'!$A$5:$A$3004,0)),""))</f>
        <v/>
      </c>
      <c r="K2005" s="9">
        <f>IF(D2005="","",IFERROR(INDEX('Stock pièces'!$D$5:$D$404,MATCH(D2005,'Stock pièces'!$A$5:$A$404,0)),""))</f>
        <v/>
      </c>
      <c r="L2005" s="7" t="n"/>
      <c r="M2005" s="7" t="n"/>
    </row>
    <row r="2006">
      <c r="A2006" s="7" t="n"/>
      <c r="B2006" s="75" t="n"/>
      <c r="C2006" s="7" t="n"/>
      <c r="D2006" s="7" t="n"/>
      <c r="E2006" s="9">
        <f>IF(D2006="","",IFERROR(INDEX('Stock pièces'!$B$5:$B$404,MATCH(D2006,'Stock pièces'!$A$5:$A$404,0)),"Réf. inconnue"))</f>
        <v/>
      </c>
      <c r="F2006" s="67" t="n"/>
      <c r="G2006" s="81">
        <f>IF(D2006="","",IFERROR(INDEX('Stock pièces'!$I$5:$I$404,MATCH(D2006,'Stock pièces'!$A$5:$A$404,0)),0))</f>
        <v/>
      </c>
      <c r="H2006" s="81">
        <f>IF(D2006="","",N(F2006)*N(G2006))</f>
        <v/>
      </c>
      <c r="I2006" s="7" t="n"/>
      <c r="J2006" s="9">
        <f>IF(I2006="","",IFERROR(INDEX('Ordres de travail'!$D$5:$D$3004,MATCH(I2006,'Ordres de travail'!$A$5:$A$3004,0)),""))</f>
        <v/>
      </c>
      <c r="K2006" s="9">
        <f>IF(D2006="","",IFERROR(INDEX('Stock pièces'!$D$5:$D$404,MATCH(D2006,'Stock pièces'!$A$5:$A$404,0)),""))</f>
        <v/>
      </c>
      <c r="L2006" s="7" t="n"/>
      <c r="M2006" s="7" t="n"/>
    </row>
    <row r="2007">
      <c r="A2007" s="7" t="n"/>
      <c r="B2007" s="75" t="n"/>
      <c r="C2007" s="7" t="n"/>
      <c r="D2007" s="7" t="n"/>
      <c r="E2007" s="9">
        <f>IF(D2007="","",IFERROR(INDEX('Stock pièces'!$B$5:$B$404,MATCH(D2007,'Stock pièces'!$A$5:$A$404,0)),"Réf. inconnue"))</f>
        <v/>
      </c>
      <c r="F2007" s="67" t="n"/>
      <c r="G2007" s="81">
        <f>IF(D2007="","",IFERROR(INDEX('Stock pièces'!$I$5:$I$404,MATCH(D2007,'Stock pièces'!$A$5:$A$404,0)),0))</f>
        <v/>
      </c>
      <c r="H2007" s="81">
        <f>IF(D2007="","",N(F2007)*N(G2007))</f>
        <v/>
      </c>
      <c r="I2007" s="7" t="n"/>
      <c r="J2007" s="9">
        <f>IF(I2007="","",IFERROR(INDEX('Ordres de travail'!$D$5:$D$3004,MATCH(I2007,'Ordres de travail'!$A$5:$A$3004,0)),""))</f>
        <v/>
      </c>
      <c r="K2007" s="9">
        <f>IF(D2007="","",IFERROR(INDEX('Stock pièces'!$D$5:$D$404,MATCH(D2007,'Stock pièces'!$A$5:$A$404,0)),""))</f>
        <v/>
      </c>
      <c r="L2007" s="7" t="n"/>
      <c r="M2007" s="7" t="n"/>
    </row>
    <row r="2008">
      <c r="A2008" s="7" t="n"/>
      <c r="B2008" s="75" t="n"/>
      <c r="C2008" s="7" t="n"/>
      <c r="D2008" s="7" t="n"/>
      <c r="E2008" s="9">
        <f>IF(D2008="","",IFERROR(INDEX('Stock pièces'!$B$5:$B$404,MATCH(D2008,'Stock pièces'!$A$5:$A$404,0)),"Réf. inconnue"))</f>
        <v/>
      </c>
      <c r="F2008" s="67" t="n"/>
      <c r="G2008" s="81">
        <f>IF(D2008="","",IFERROR(INDEX('Stock pièces'!$I$5:$I$404,MATCH(D2008,'Stock pièces'!$A$5:$A$404,0)),0))</f>
        <v/>
      </c>
      <c r="H2008" s="81">
        <f>IF(D2008="","",N(F2008)*N(G2008))</f>
        <v/>
      </c>
      <c r="I2008" s="7" t="n"/>
      <c r="J2008" s="9">
        <f>IF(I2008="","",IFERROR(INDEX('Ordres de travail'!$D$5:$D$3004,MATCH(I2008,'Ordres de travail'!$A$5:$A$3004,0)),""))</f>
        <v/>
      </c>
      <c r="K2008" s="9">
        <f>IF(D2008="","",IFERROR(INDEX('Stock pièces'!$D$5:$D$404,MATCH(D2008,'Stock pièces'!$A$5:$A$404,0)),""))</f>
        <v/>
      </c>
      <c r="L2008" s="7" t="n"/>
      <c r="M2008" s="7" t="n"/>
    </row>
    <row r="2009">
      <c r="A2009" s="7" t="n"/>
      <c r="B2009" s="75" t="n"/>
      <c r="C2009" s="7" t="n"/>
      <c r="D2009" s="7" t="n"/>
      <c r="E2009" s="9">
        <f>IF(D2009="","",IFERROR(INDEX('Stock pièces'!$B$5:$B$404,MATCH(D2009,'Stock pièces'!$A$5:$A$404,0)),"Réf. inconnue"))</f>
        <v/>
      </c>
      <c r="F2009" s="67" t="n"/>
      <c r="G2009" s="81">
        <f>IF(D2009="","",IFERROR(INDEX('Stock pièces'!$I$5:$I$404,MATCH(D2009,'Stock pièces'!$A$5:$A$404,0)),0))</f>
        <v/>
      </c>
      <c r="H2009" s="81">
        <f>IF(D2009="","",N(F2009)*N(G2009))</f>
        <v/>
      </c>
      <c r="I2009" s="7" t="n"/>
      <c r="J2009" s="9">
        <f>IF(I2009="","",IFERROR(INDEX('Ordres de travail'!$D$5:$D$3004,MATCH(I2009,'Ordres de travail'!$A$5:$A$3004,0)),""))</f>
        <v/>
      </c>
      <c r="K2009" s="9">
        <f>IF(D2009="","",IFERROR(INDEX('Stock pièces'!$D$5:$D$404,MATCH(D2009,'Stock pièces'!$A$5:$A$404,0)),""))</f>
        <v/>
      </c>
      <c r="L2009" s="7" t="n"/>
      <c r="M2009" s="7" t="n"/>
    </row>
    <row r="2010">
      <c r="A2010" s="7" t="n"/>
      <c r="B2010" s="75" t="n"/>
      <c r="C2010" s="7" t="n"/>
      <c r="D2010" s="7" t="n"/>
      <c r="E2010" s="9">
        <f>IF(D2010="","",IFERROR(INDEX('Stock pièces'!$B$5:$B$404,MATCH(D2010,'Stock pièces'!$A$5:$A$404,0)),"Réf. inconnue"))</f>
        <v/>
      </c>
      <c r="F2010" s="67" t="n"/>
      <c r="G2010" s="81">
        <f>IF(D2010="","",IFERROR(INDEX('Stock pièces'!$I$5:$I$404,MATCH(D2010,'Stock pièces'!$A$5:$A$404,0)),0))</f>
        <v/>
      </c>
      <c r="H2010" s="81">
        <f>IF(D2010="","",N(F2010)*N(G2010))</f>
        <v/>
      </c>
      <c r="I2010" s="7" t="n"/>
      <c r="J2010" s="9">
        <f>IF(I2010="","",IFERROR(INDEX('Ordres de travail'!$D$5:$D$3004,MATCH(I2010,'Ordres de travail'!$A$5:$A$3004,0)),""))</f>
        <v/>
      </c>
      <c r="K2010" s="9">
        <f>IF(D2010="","",IFERROR(INDEX('Stock pièces'!$D$5:$D$404,MATCH(D2010,'Stock pièces'!$A$5:$A$404,0)),""))</f>
        <v/>
      </c>
      <c r="L2010" s="7" t="n"/>
      <c r="M2010" s="7" t="n"/>
    </row>
    <row r="2011">
      <c r="A2011" s="7" t="n"/>
      <c r="B2011" s="75" t="n"/>
      <c r="C2011" s="7" t="n"/>
      <c r="D2011" s="7" t="n"/>
      <c r="E2011" s="9">
        <f>IF(D2011="","",IFERROR(INDEX('Stock pièces'!$B$5:$B$404,MATCH(D2011,'Stock pièces'!$A$5:$A$404,0)),"Réf. inconnue"))</f>
        <v/>
      </c>
      <c r="F2011" s="67" t="n"/>
      <c r="G2011" s="81">
        <f>IF(D2011="","",IFERROR(INDEX('Stock pièces'!$I$5:$I$404,MATCH(D2011,'Stock pièces'!$A$5:$A$404,0)),0))</f>
        <v/>
      </c>
      <c r="H2011" s="81">
        <f>IF(D2011="","",N(F2011)*N(G2011))</f>
        <v/>
      </c>
      <c r="I2011" s="7" t="n"/>
      <c r="J2011" s="9">
        <f>IF(I2011="","",IFERROR(INDEX('Ordres de travail'!$D$5:$D$3004,MATCH(I2011,'Ordres de travail'!$A$5:$A$3004,0)),""))</f>
        <v/>
      </c>
      <c r="K2011" s="9">
        <f>IF(D2011="","",IFERROR(INDEX('Stock pièces'!$D$5:$D$404,MATCH(D2011,'Stock pièces'!$A$5:$A$404,0)),""))</f>
        <v/>
      </c>
      <c r="L2011" s="7" t="n"/>
      <c r="M2011" s="7" t="n"/>
    </row>
    <row r="2012">
      <c r="A2012" s="7" t="n"/>
      <c r="B2012" s="75" t="n"/>
      <c r="C2012" s="7" t="n"/>
      <c r="D2012" s="7" t="n"/>
      <c r="E2012" s="9">
        <f>IF(D2012="","",IFERROR(INDEX('Stock pièces'!$B$5:$B$404,MATCH(D2012,'Stock pièces'!$A$5:$A$404,0)),"Réf. inconnue"))</f>
        <v/>
      </c>
      <c r="F2012" s="67" t="n"/>
      <c r="G2012" s="81">
        <f>IF(D2012="","",IFERROR(INDEX('Stock pièces'!$I$5:$I$404,MATCH(D2012,'Stock pièces'!$A$5:$A$404,0)),0))</f>
        <v/>
      </c>
      <c r="H2012" s="81">
        <f>IF(D2012="","",N(F2012)*N(G2012))</f>
        <v/>
      </c>
      <c r="I2012" s="7" t="n"/>
      <c r="J2012" s="9">
        <f>IF(I2012="","",IFERROR(INDEX('Ordres de travail'!$D$5:$D$3004,MATCH(I2012,'Ordres de travail'!$A$5:$A$3004,0)),""))</f>
        <v/>
      </c>
      <c r="K2012" s="9">
        <f>IF(D2012="","",IFERROR(INDEX('Stock pièces'!$D$5:$D$404,MATCH(D2012,'Stock pièces'!$A$5:$A$404,0)),""))</f>
        <v/>
      </c>
      <c r="L2012" s="7" t="n"/>
      <c r="M2012" s="7" t="n"/>
    </row>
    <row r="2013">
      <c r="A2013" s="7" t="n"/>
      <c r="B2013" s="75" t="n"/>
      <c r="C2013" s="7" t="n"/>
      <c r="D2013" s="7" t="n"/>
      <c r="E2013" s="9">
        <f>IF(D2013="","",IFERROR(INDEX('Stock pièces'!$B$5:$B$404,MATCH(D2013,'Stock pièces'!$A$5:$A$404,0)),"Réf. inconnue"))</f>
        <v/>
      </c>
      <c r="F2013" s="67" t="n"/>
      <c r="G2013" s="81">
        <f>IF(D2013="","",IFERROR(INDEX('Stock pièces'!$I$5:$I$404,MATCH(D2013,'Stock pièces'!$A$5:$A$404,0)),0))</f>
        <v/>
      </c>
      <c r="H2013" s="81">
        <f>IF(D2013="","",N(F2013)*N(G2013))</f>
        <v/>
      </c>
      <c r="I2013" s="7" t="n"/>
      <c r="J2013" s="9">
        <f>IF(I2013="","",IFERROR(INDEX('Ordres de travail'!$D$5:$D$3004,MATCH(I2013,'Ordres de travail'!$A$5:$A$3004,0)),""))</f>
        <v/>
      </c>
      <c r="K2013" s="9">
        <f>IF(D2013="","",IFERROR(INDEX('Stock pièces'!$D$5:$D$404,MATCH(D2013,'Stock pièces'!$A$5:$A$404,0)),""))</f>
        <v/>
      </c>
      <c r="L2013" s="7" t="n"/>
      <c r="M2013" s="7" t="n"/>
    </row>
    <row r="2014">
      <c r="A2014" s="7" t="n"/>
      <c r="B2014" s="75" t="n"/>
      <c r="C2014" s="7" t="n"/>
      <c r="D2014" s="7" t="n"/>
      <c r="E2014" s="9">
        <f>IF(D2014="","",IFERROR(INDEX('Stock pièces'!$B$5:$B$404,MATCH(D2014,'Stock pièces'!$A$5:$A$404,0)),"Réf. inconnue"))</f>
        <v/>
      </c>
      <c r="F2014" s="67" t="n"/>
      <c r="G2014" s="81">
        <f>IF(D2014="","",IFERROR(INDEX('Stock pièces'!$I$5:$I$404,MATCH(D2014,'Stock pièces'!$A$5:$A$404,0)),0))</f>
        <v/>
      </c>
      <c r="H2014" s="81">
        <f>IF(D2014="","",N(F2014)*N(G2014))</f>
        <v/>
      </c>
      <c r="I2014" s="7" t="n"/>
      <c r="J2014" s="9">
        <f>IF(I2014="","",IFERROR(INDEX('Ordres de travail'!$D$5:$D$3004,MATCH(I2014,'Ordres de travail'!$A$5:$A$3004,0)),""))</f>
        <v/>
      </c>
      <c r="K2014" s="9">
        <f>IF(D2014="","",IFERROR(INDEX('Stock pièces'!$D$5:$D$404,MATCH(D2014,'Stock pièces'!$A$5:$A$404,0)),""))</f>
        <v/>
      </c>
      <c r="L2014" s="7" t="n"/>
      <c r="M2014" s="7" t="n"/>
    </row>
    <row r="2015">
      <c r="A2015" s="7" t="n"/>
      <c r="B2015" s="75" t="n"/>
      <c r="C2015" s="7" t="n"/>
      <c r="D2015" s="7" t="n"/>
      <c r="E2015" s="9">
        <f>IF(D2015="","",IFERROR(INDEX('Stock pièces'!$B$5:$B$404,MATCH(D2015,'Stock pièces'!$A$5:$A$404,0)),"Réf. inconnue"))</f>
        <v/>
      </c>
      <c r="F2015" s="67" t="n"/>
      <c r="G2015" s="81">
        <f>IF(D2015="","",IFERROR(INDEX('Stock pièces'!$I$5:$I$404,MATCH(D2015,'Stock pièces'!$A$5:$A$404,0)),0))</f>
        <v/>
      </c>
      <c r="H2015" s="81">
        <f>IF(D2015="","",N(F2015)*N(G2015))</f>
        <v/>
      </c>
      <c r="I2015" s="7" t="n"/>
      <c r="J2015" s="9">
        <f>IF(I2015="","",IFERROR(INDEX('Ordres de travail'!$D$5:$D$3004,MATCH(I2015,'Ordres de travail'!$A$5:$A$3004,0)),""))</f>
        <v/>
      </c>
      <c r="K2015" s="9">
        <f>IF(D2015="","",IFERROR(INDEX('Stock pièces'!$D$5:$D$404,MATCH(D2015,'Stock pièces'!$A$5:$A$404,0)),""))</f>
        <v/>
      </c>
      <c r="L2015" s="7" t="n"/>
      <c r="M2015" s="7" t="n"/>
    </row>
    <row r="2016">
      <c r="A2016" s="7" t="n"/>
      <c r="B2016" s="75" t="n"/>
      <c r="C2016" s="7" t="n"/>
      <c r="D2016" s="7" t="n"/>
      <c r="E2016" s="9">
        <f>IF(D2016="","",IFERROR(INDEX('Stock pièces'!$B$5:$B$404,MATCH(D2016,'Stock pièces'!$A$5:$A$404,0)),"Réf. inconnue"))</f>
        <v/>
      </c>
      <c r="F2016" s="67" t="n"/>
      <c r="G2016" s="81">
        <f>IF(D2016="","",IFERROR(INDEX('Stock pièces'!$I$5:$I$404,MATCH(D2016,'Stock pièces'!$A$5:$A$404,0)),0))</f>
        <v/>
      </c>
      <c r="H2016" s="81">
        <f>IF(D2016="","",N(F2016)*N(G2016))</f>
        <v/>
      </c>
      <c r="I2016" s="7" t="n"/>
      <c r="J2016" s="9">
        <f>IF(I2016="","",IFERROR(INDEX('Ordres de travail'!$D$5:$D$3004,MATCH(I2016,'Ordres de travail'!$A$5:$A$3004,0)),""))</f>
        <v/>
      </c>
      <c r="K2016" s="9">
        <f>IF(D2016="","",IFERROR(INDEX('Stock pièces'!$D$5:$D$404,MATCH(D2016,'Stock pièces'!$A$5:$A$404,0)),""))</f>
        <v/>
      </c>
      <c r="L2016" s="7" t="n"/>
      <c r="M2016" s="7" t="n"/>
    </row>
    <row r="2017">
      <c r="A2017" s="7" t="n"/>
      <c r="B2017" s="75" t="n"/>
      <c r="C2017" s="7" t="n"/>
      <c r="D2017" s="7" t="n"/>
      <c r="E2017" s="9">
        <f>IF(D2017="","",IFERROR(INDEX('Stock pièces'!$B$5:$B$404,MATCH(D2017,'Stock pièces'!$A$5:$A$404,0)),"Réf. inconnue"))</f>
        <v/>
      </c>
      <c r="F2017" s="67" t="n"/>
      <c r="G2017" s="81">
        <f>IF(D2017="","",IFERROR(INDEX('Stock pièces'!$I$5:$I$404,MATCH(D2017,'Stock pièces'!$A$5:$A$404,0)),0))</f>
        <v/>
      </c>
      <c r="H2017" s="81">
        <f>IF(D2017="","",N(F2017)*N(G2017))</f>
        <v/>
      </c>
      <c r="I2017" s="7" t="n"/>
      <c r="J2017" s="9">
        <f>IF(I2017="","",IFERROR(INDEX('Ordres de travail'!$D$5:$D$3004,MATCH(I2017,'Ordres de travail'!$A$5:$A$3004,0)),""))</f>
        <v/>
      </c>
      <c r="K2017" s="9">
        <f>IF(D2017="","",IFERROR(INDEX('Stock pièces'!$D$5:$D$404,MATCH(D2017,'Stock pièces'!$A$5:$A$404,0)),""))</f>
        <v/>
      </c>
      <c r="L2017" s="7" t="n"/>
      <c r="M2017" s="7" t="n"/>
    </row>
    <row r="2018">
      <c r="A2018" s="7" t="n"/>
      <c r="B2018" s="75" t="n"/>
      <c r="C2018" s="7" t="n"/>
      <c r="D2018" s="7" t="n"/>
      <c r="E2018" s="9">
        <f>IF(D2018="","",IFERROR(INDEX('Stock pièces'!$B$5:$B$404,MATCH(D2018,'Stock pièces'!$A$5:$A$404,0)),"Réf. inconnue"))</f>
        <v/>
      </c>
      <c r="F2018" s="67" t="n"/>
      <c r="G2018" s="81">
        <f>IF(D2018="","",IFERROR(INDEX('Stock pièces'!$I$5:$I$404,MATCH(D2018,'Stock pièces'!$A$5:$A$404,0)),0))</f>
        <v/>
      </c>
      <c r="H2018" s="81">
        <f>IF(D2018="","",N(F2018)*N(G2018))</f>
        <v/>
      </c>
      <c r="I2018" s="7" t="n"/>
      <c r="J2018" s="9">
        <f>IF(I2018="","",IFERROR(INDEX('Ordres de travail'!$D$5:$D$3004,MATCH(I2018,'Ordres de travail'!$A$5:$A$3004,0)),""))</f>
        <v/>
      </c>
      <c r="K2018" s="9">
        <f>IF(D2018="","",IFERROR(INDEX('Stock pièces'!$D$5:$D$404,MATCH(D2018,'Stock pièces'!$A$5:$A$404,0)),""))</f>
        <v/>
      </c>
      <c r="L2018" s="7" t="n"/>
      <c r="M2018" s="7" t="n"/>
    </row>
    <row r="2019">
      <c r="A2019" s="7" t="n"/>
      <c r="B2019" s="75" t="n"/>
      <c r="C2019" s="7" t="n"/>
      <c r="D2019" s="7" t="n"/>
      <c r="E2019" s="9">
        <f>IF(D2019="","",IFERROR(INDEX('Stock pièces'!$B$5:$B$404,MATCH(D2019,'Stock pièces'!$A$5:$A$404,0)),"Réf. inconnue"))</f>
        <v/>
      </c>
      <c r="F2019" s="67" t="n"/>
      <c r="G2019" s="81">
        <f>IF(D2019="","",IFERROR(INDEX('Stock pièces'!$I$5:$I$404,MATCH(D2019,'Stock pièces'!$A$5:$A$404,0)),0))</f>
        <v/>
      </c>
      <c r="H2019" s="81">
        <f>IF(D2019="","",N(F2019)*N(G2019))</f>
        <v/>
      </c>
      <c r="I2019" s="7" t="n"/>
      <c r="J2019" s="9">
        <f>IF(I2019="","",IFERROR(INDEX('Ordres de travail'!$D$5:$D$3004,MATCH(I2019,'Ordres de travail'!$A$5:$A$3004,0)),""))</f>
        <v/>
      </c>
      <c r="K2019" s="9">
        <f>IF(D2019="","",IFERROR(INDEX('Stock pièces'!$D$5:$D$404,MATCH(D2019,'Stock pièces'!$A$5:$A$404,0)),""))</f>
        <v/>
      </c>
      <c r="L2019" s="7" t="n"/>
      <c r="M2019" s="7" t="n"/>
    </row>
    <row r="2020">
      <c r="A2020" s="7" t="n"/>
      <c r="B2020" s="75" t="n"/>
      <c r="C2020" s="7" t="n"/>
      <c r="D2020" s="7" t="n"/>
      <c r="E2020" s="9">
        <f>IF(D2020="","",IFERROR(INDEX('Stock pièces'!$B$5:$B$404,MATCH(D2020,'Stock pièces'!$A$5:$A$404,0)),"Réf. inconnue"))</f>
        <v/>
      </c>
      <c r="F2020" s="67" t="n"/>
      <c r="G2020" s="81">
        <f>IF(D2020="","",IFERROR(INDEX('Stock pièces'!$I$5:$I$404,MATCH(D2020,'Stock pièces'!$A$5:$A$404,0)),0))</f>
        <v/>
      </c>
      <c r="H2020" s="81">
        <f>IF(D2020="","",N(F2020)*N(G2020))</f>
        <v/>
      </c>
      <c r="I2020" s="7" t="n"/>
      <c r="J2020" s="9">
        <f>IF(I2020="","",IFERROR(INDEX('Ordres de travail'!$D$5:$D$3004,MATCH(I2020,'Ordres de travail'!$A$5:$A$3004,0)),""))</f>
        <v/>
      </c>
      <c r="K2020" s="9">
        <f>IF(D2020="","",IFERROR(INDEX('Stock pièces'!$D$5:$D$404,MATCH(D2020,'Stock pièces'!$A$5:$A$404,0)),""))</f>
        <v/>
      </c>
      <c r="L2020" s="7" t="n"/>
      <c r="M2020" s="7" t="n"/>
    </row>
    <row r="2021">
      <c r="A2021" s="7" t="n"/>
      <c r="B2021" s="75" t="n"/>
      <c r="C2021" s="7" t="n"/>
      <c r="D2021" s="7" t="n"/>
      <c r="E2021" s="9">
        <f>IF(D2021="","",IFERROR(INDEX('Stock pièces'!$B$5:$B$404,MATCH(D2021,'Stock pièces'!$A$5:$A$404,0)),"Réf. inconnue"))</f>
        <v/>
      </c>
      <c r="F2021" s="67" t="n"/>
      <c r="G2021" s="81">
        <f>IF(D2021="","",IFERROR(INDEX('Stock pièces'!$I$5:$I$404,MATCH(D2021,'Stock pièces'!$A$5:$A$404,0)),0))</f>
        <v/>
      </c>
      <c r="H2021" s="81">
        <f>IF(D2021="","",N(F2021)*N(G2021))</f>
        <v/>
      </c>
      <c r="I2021" s="7" t="n"/>
      <c r="J2021" s="9">
        <f>IF(I2021="","",IFERROR(INDEX('Ordres de travail'!$D$5:$D$3004,MATCH(I2021,'Ordres de travail'!$A$5:$A$3004,0)),""))</f>
        <v/>
      </c>
      <c r="K2021" s="9">
        <f>IF(D2021="","",IFERROR(INDEX('Stock pièces'!$D$5:$D$404,MATCH(D2021,'Stock pièces'!$A$5:$A$404,0)),""))</f>
        <v/>
      </c>
      <c r="L2021" s="7" t="n"/>
      <c r="M2021" s="7" t="n"/>
    </row>
    <row r="2022">
      <c r="A2022" s="7" t="n"/>
      <c r="B2022" s="75" t="n"/>
      <c r="C2022" s="7" t="n"/>
      <c r="D2022" s="7" t="n"/>
      <c r="E2022" s="9">
        <f>IF(D2022="","",IFERROR(INDEX('Stock pièces'!$B$5:$B$404,MATCH(D2022,'Stock pièces'!$A$5:$A$404,0)),"Réf. inconnue"))</f>
        <v/>
      </c>
      <c r="F2022" s="67" t="n"/>
      <c r="G2022" s="81">
        <f>IF(D2022="","",IFERROR(INDEX('Stock pièces'!$I$5:$I$404,MATCH(D2022,'Stock pièces'!$A$5:$A$404,0)),0))</f>
        <v/>
      </c>
      <c r="H2022" s="81">
        <f>IF(D2022="","",N(F2022)*N(G2022))</f>
        <v/>
      </c>
      <c r="I2022" s="7" t="n"/>
      <c r="J2022" s="9">
        <f>IF(I2022="","",IFERROR(INDEX('Ordres de travail'!$D$5:$D$3004,MATCH(I2022,'Ordres de travail'!$A$5:$A$3004,0)),""))</f>
        <v/>
      </c>
      <c r="K2022" s="9">
        <f>IF(D2022="","",IFERROR(INDEX('Stock pièces'!$D$5:$D$404,MATCH(D2022,'Stock pièces'!$A$5:$A$404,0)),""))</f>
        <v/>
      </c>
      <c r="L2022" s="7" t="n"/>
      <c r="M2022" s="7" t="n"/>
    </row>
    <row r="2023">
      <c r="A2023" s="7" t="n"/>
      <c r="B2023" s="75" t="n"/>
      <c r="C2023" s="7" t="n"/>
      <c r="D2023" s="7" t="n"/>
      <c r="E2023" s="9">
        <f>IF(D2023="","",IFERROR(INDEX('Stock pièces'!$B$5:$B$404,MATCH(D2023,'Stock pièces'!$A$5:$A$404,0)),"Réf. inconnue"))</f>
        <v/>
      </c>
      <c r="F2023" s="67" t="n"/>
      <c r="G2023" s="81">
        <f>IF(D2023="","",IFERROR(INDEX('Stock pièces'!$I$5:$I$404,MATCH(D2023,'Stock pièces'!$A$5:$A$404,0)),0))</f>
        <v/>
      </c>
      <c r="H2023" s="81">
        <f>IF(D2023="","",N(F2023)*N(G2023))</f>
        <v/>
      </c>
      <c r="I2023" s="7" t="n"/>
      <c r="J2023" s="9">
        <f>IF(I2023="","",IFERROR(INDEX('Ordres de travail'!$D$5:$D$3004,MATCH(I2023,'Ordres de travail'!$A$5:$A$3004,0)),""))</f>
        <v/>
      </c>
      <c r="K2023" s="9">
        <f>IF(D2023="","",IFERROR(INDEX('Stock pièces'!$D$5:$D$404,MATCH(D2023,'Stock pièces'!$A$5:$A$404,0)),""))</f>
        <v/>
      </c>
      <c r="L2023" s="7" t="n"/>
      <c r="M2023" s="7" t="n"/>
    </row>
    <row r="2024">
      <c r="A2024" s="7" t="n"/>
      <c r="B2024" s="75" t="n"/>
      <c r="C2024" s="7" t="n"/>
      <c r="D2024" s="7" t="n"/>
      <c r="E2024" s="9">
        <f>IF(D2024="","",IFERROR(INDEX('Stock pièces'!$B$5:$B$404,MATCH(D2024,'Stock pièces'!$A$5:$A$404,0)),"Réf. inconnue"))</f>
        <v/>
      </c>
      <c r="F2024" s="67" t="n"/>
      <c r="G2024" s="81">
        <f>IF(D2024="","",IFERROR(INDEX('Stock pièces'!$I$5:$I$404,MATCH(D2024,'Stock pièces'!$A$5:$A$404,0)),0))</f>
        <v/>
      </c>
      <c r="H2024" s="81">
        <f>IF(D2024="","",N(F2024)*N(G2024))</f>
        <v/>
      </c>
      <c r="I2024" s="7" t="n"/>
      <c r="J2024" s="9">
        <f>IF(I2024="","",IFERROR(INDEX('Ordres de travail'!$D$5:$D$3004,MATCH(I2024,'Ordres de travail'!$A$5:$A$3004,0)),""))</f>
        <v/>
      </c>
      <c r="K2024" s="9">
        <f>IF(D2024="","",IFERROR(INDEX('Stock pièces'!$D$5:$D$404,MATCH(D2024,'Stock pièces'!$A$5:$A$404,0)),""))</f>
        <v/>
      </c>
      <c r="L2024" s="7" t="n"/>
      <c r="M2024" s="7" t="n"/>
    </row>
    <row r="2025">
      <c r="A2025" s="7" t="n"/>
      <c r="B2025" s="75" t="n"/>
      <c r="C2025" s="7" t="n"/>
      <c r="D2025" s="7" t="n"/>
      <c r="E2025" s="9">
        <f>IF(D2025="","",IFERROR(INDEX('Stock pièces'!$B$5:$B$404,MATCH(D2025,'Stock pièces'!$A$5:$A$404,0)),"Réf. inconnue"))</f>
        <v/>
      </c>
      <c r="F2025" s="67" t="n"/>
      <c r="G2025" s="81">
        <f>IF(D2025="","",IFERROR(INDEX('Stock pièces'!$I$5:$I$404,MATCH(D2025,'Stock pièces'!$A$5:$A$404,0)),0))</f>
        <v/>
      </c>
      <c r="H2025" s="81">
        <f>IF(D2025="","",N(F2025)*N(G2025))</f>
        <v/>
      </c>
      <c r="I2025" s="7" t="n"/>
      <c r="J2025" s="9">
        <f>IF(I2025="","",IFERROR(INDEX('Ordres de travail'!$D$5:$D$3004,MATCH(I2025,'Ordres de travail'!$A$5:$A$3004,0)),""))</f>
        <v/>
      </c>
      <c r="K2025" s="9">
        <f>IF(D2025="","",IFERROR(INDEX('Stock pièces'!$D$5:$D$404,MATCH(D2025,'Stock pièces'!$A$5:$A$404,0)),""))</f>
        <v/>
      </c>
      <c r="L2025" s="7" t="n"/>
      <c r="M2025" s="7" t="n"/>
    </row>
    <row r="2026">
      <c r="A2026" s="7" t="n"/>
      <c r="B2026" s="75" t="n"/>
      <c r="C2026" s="7" t="n"/>
      <c r="D2026" s="7" t="n"/>
      <c r="E2026" s="9">
        <f>IF(D2026="","",IFERROR(INDEX('Stock pièces'!$B$5:$B$404,MATCH(D2026,'Stock pièces'!$A$5:$A$404,0)),"Réf. inconnue"))</f>
        <v/>
      </c>
      <c r="F2026" s="67" t="n"/>
      <c r="G2026" s="81">
        <f>IF(D2026="","",IFERROR(INDEX('Stock pièces'!$I$5:$I$404,MATCH(D2026,'Stock pièces'!$A$5:$A$404,0)),0))</f>
        <v/>
      </c>
      <c r="H2026" s="81">
        <f>IF(D2026="","",N(F2026)*N(G2026))</f>
        <v/>
      </c>
      <c r="I2026" s="7" t="n"/>
      <c r="J2026" s="9">
        <f>IF(I2026="","",IFERROR(INDEX('Ordres de travail'!$D$5:$D$3004,MATCH(I2026,'Ordres de travail'!$A$5:$A$3004,0)),""))</f>
        <v/>
      </c>
      <c r="K2026" s="9">
        <f>IF(D2026="","",IFERROR(INDEX('Stock pièces'!$D$5:$D$404,MATCH(D2026,'Stock pièces'!$A$5:$A$404,0)),""))</f>
        <v/>
      </c>
      <c r="L2026" s="7" t="n"/>
      <c r="M2026" s="7" t="n"/>
    </row>
    <row r="2027">
      <c r="A2027" s="7" t="n"/>
      <c r="B2027" s="75" t="n"/>
      <c r="C2027" s="7" t="n"/>
      <c r="D2027" s="7" t="n"/>
      <c r="E2027" s="9">
        <f>IF(D2027="","",IFERROR(INDEX('Stock pièces'!$B$5:$B$404,MATCH(D2027,'Stock pièces'!$A$5:$A$404,0)),"Réf. inconnue"))</f>
        <v/>
      </c>
      <c r="F2027" s="67" t="n"/>
      <c r="G2027" s="81">
        <f>IF(D2027="","",IFERROR(INDEX('Stock pièces'!$I$5:$I$404,MATCH(D2027,'Stock pièces'!$A$5:$A$404,0)),0))</f>
        <v/>
      </c>
      <c r="H2027" s="81">
        <f>IF(D2027="","",N(F2027)*N(G2027))</f>
        <v/>
      </c>
      <c r="I2027" s="7" t="n"/>
      <c r="J2027" s="9">
        <f>IF(I2027="","",IFERROR(INDEX('Ordres de travail'!$D$5:$D$3004,MATCH(I2027,'Ordres de travail'!$A$5:$A$3004,0)),""))</f>
        <v/>
      </c>
      <c r="K2027" s="9">
        <f>IF(D2027="","",IFERROR(INDEX('Stock pièces'!$D$5:$D$404,MATCH(D2027,'Stock pièces'!$A$5:$A$404,0)),""))</f>
        <v/>
      </c>
      <c r="L2027" s="7" t="n"/>
      <c r="M2027" s="7" t="n"/>
    </row>
    <row r="2028">
      <c r="A2028" s="7" t="n"/>
      <c r="B2028" s="75" t="n"/>
      <c r="C2028" s="7" t="n"/>
      <c r="D2028" s="7" t="n"/>
      <c r="E2028" s="9">
        <f>IF(D2028="","",IFERROR(INDEX('Stock pièces'!$B$5:$B$404,MATCH(D2028,'Stock pièces'!$A$5:$A$404,0)),"Réf. inconnue"))</f>
        <v/>
      </c>
      <c r="F2028" s="67" t="n"/>
      <c r="G2028" s="81">
        <f>IF(D2028="","",IFERROR(INDEX('Stock pièces'!$I$5:$I$404,MATCH(D2028,'Stock pièces'!$A$5:$A$404,0)),0))</f>
        <v/>
      </c>
      <c r="H2028" s="81">
        <f>IF(D2028="","",N(F2028)*N(G2028))</f>
        <v/>
      </c>
      <c r="I2028" s="7" t="n"/>
      <c r="J2028" s="9">
        <f>IF(I2028="","",IFERROR(INDEX('Ordres de travail'!$D$5:$D$3004,MATCH(I2028,'Ordres de travail'!$A$5:$A$3004,0)),""))</f>
        <v/>
      </c>
      <c r="K2028" s="9">
        <f>IF(D2028="","",IFERROR(INDEX('Stock pièces'!$D$5:$D$404,MATCH(D2028,'Stock pièces'!$A$5:$A$404,0)),""))</f>
        <v/>
      </c>
      <c r="L2028" s="7" t="n"/>
      <c r="M2028" s="7" t="n"/>
    </row>
    <row r="2029">
      <c r="A2029" s="7" t="n"/>
      <c r="B2029" s="75" t="n"/>
      <c r="C2029" s="7" t="n"/>
      <c r="D2029" s="7" t="n"/>
      <c r="E2029" s="9">
        <f>IF(D2029="","",IFERROR(INDEX('Stock pièces'!$B$5:$B$404,MATCH(D2029,'Stock pièces'!$A$5:$A$404,0)),"Réf. inconnue"))</f>
        <v/>
      </c>
      <c r="F2029" s="67" t="n"/>
      <c r="G2029" s="81">
        <f>IF(D2029="","",IFERROR(INDEX('Stock pièces'!$I$5:$I$404,MATCH(D2029,'Stock pièces'!$A$5:$A$404,0)),0))</f>
        <v/>
      </c>
      <c r="H2029" s="81">
        <f>IF(D2029="","",N(F2029)*N(G2029))</f>
        <v/>
      </c>
      <c r="I2029" s="7" t="n"/>
      <c r="J2029" s="9">
        <f>IF(I2029="","",IFERROR(INDEX('Ordres de travail'!$D$5:$D$3004,MATCH(I2029,'Ordres de travail'!$A$5:$A$3004,0)),""))</f>
        <v/>
      </c>
      <c r="K2029" s="9">
        <f>IF(D2029="","",IFERROR(INDEX('Stock pièces'!$D$5:$D$404,MATCH(D2029,'Stock pièces'!$A$5:$A$404,0)),""))</f>
        <v/>
      </c>
      <c r="L2029" s="7" t="n"/>
      <c r="M2029" s="7" t="n"/>
    </row>
    <row r="2030">
      <c r="A2030" s="7" t="n"/>
      <c r="B2030" s="75" t="n"/>
      <c r="C2030" s="7" t="n"/>
      <c r="D2030" s="7" t="n"/>
      <c r="E2030" s="9">
        <f>IF(D2030="","",IFERROR(INDEX('Stock pièces'!$B$5:$B$404,MATCH(D2030,'Stock pièces'!$A$5:$A$404,0)),"Réf. inconnue"))</f>
        <v/>
      </c>
      <c r="F2030" s="67" t="n"/>
      <c r="G2030" s="81">
        <f>IF(D2030="","",IFERROR(INDEX('Stock pièces'!$I$5:$I$404,MATCH(D2030,'Stock pièces'!$A$5:$A$404,0)),0))</f>
        <v/>
      </c>
      <c r="H2030" s="81">
        <f>IF(D2030="","",N(F2030)*N(G2030))</f>
        <v/>
      </c>
      <c r="I2030" s="7" t="n"/>
      <c r="J2030" s="9">
        <f>IF(I2030="","",IFERROR(INDEX('Ordres de travail'!$D$5:$D$3004,MATCH(I2030,'Ordres de travail'!$A$5:$A$3004,0)),""))</f>
        <v/>
      </c>
      <c r="K2030" s="9">
        <f>IF(D2030="","",IFERROR(INDEX('Stock pièces'!$D$5:$D$404,MATCH(D2030,'Stock pièces'!$A$5:$A$404,0)),""))</f>
        <v/>
      </c>
      <c r="L2030" s="7" t="n"/>
      <c r="M2030" s="7" t="n"/>
    </row>
    <row r="2031">
      <c r="A2031" s="7" t="n"/>
      <c r="B2031" s="75" t="n"/>
      <c r="C2031" s="7" t="n"/>
      <c r="D2031" s="7" t="n"/>
      <c r="E2031" s="9">
        <f>IF(D2031="","",IFERROR(INDEX('Stock pièces'!$B$5:$B$404,MATCH(D2031,'Stock pièces'!$A$5:$A$404,0)),"Réf. inconnue"))</f>
        <v/>
      </c>
      <c r="F2031" s="67" t="n"/>
      <c r="G2031" s="81">
        <f>IF(D2031="","",IFERROR(INDEX('Stock pièces'!$I$5:$I$404,MATCH(D2031,'Stock pièces'!$A$5:$A$404,0)),0))</f>
        <v/>
      </c>
      <c r="H2031" s="81">
        <f>IF(D2031="","",N(F2031)*N(G2031))</f>
        <v/>
      </c>
      <c r="I2031" s="7" t="n"/>
      <c r="J2031" s="9">
        <f>IF(I2031="","",IFERROR(INDEX('Ordres de travail'!$D$5:$D$3004,MATCH(I2031,'Ordres de travail'!$A$5:$A$3004,0)),""))</f>
        <v/>
      </c>
      <c r="K2031" s="9">
        <f>IF(D2031="","",IFERROR(INDEX('Stock pièces'!$D$5:$D$404,MATCH(D2031,'Stock pièces'!$A$5:$A$404,0)),""))</f>
        <v/>
      </c>
      <c r="L2031" s="7" t="n"/>
      <c r="M2031" s="7" t="n"/>
    </row>
    <row r="2032">
      <c r="A2032" s="7" t="n"/>
      <c r="B2032" s="75" t="n"/>
      <c r="C2032" s="7" t="n"/>
      <c r="D2032" s="7" t="n"/>
      <c r="E2032" s="9">
        <f>IF(D2032="","",IFERROR(INDEX('Stock pièces'!$B$5:$B$404,MATCH(D2032,'Stock pièces'!$A$5:$A$404,0)),"Réf. inconnue"))</f>
        <v/>
      </c>
      <c r="F2032" s="67" t="n"/>
      <c r="G2032" s="81">
        <f>IF(D2032="","",IFERROR(INDEX('Stock pièces'!$I$5:$I$404,MATCH(D2032,'Stock pièces'!$A$5:$A$404,0)),0))</f>
        <v/>
      </c>
      <c r="H2032" s="81">
        <f>IF(D2032="","",N(F2032)*N(G2032))</f>
        <v/>
      </c>
      <c r="I2032" s="7" t="n"/>
      <c r="J2032" s="9">
        <f>IF(I2032="","",IFERROR(INDEX('Ordres de travail'!$D$5:$D$3004,MATCH(I2032,'Ordres de travail'!$A$5:$A$3004,0)),""))</f>
        <v/>
      </c>
      <c r="K2032" s="9">
        <f>IF(D2032="","",IFERROR(INDEX('Stock pièces'!$D$5:$D$404,MATCH(D2032,'Stock pièces'!$A$5:$A$404,0)),""))</f>
        <v/>
      </c>
      <c r="L2032" s="7" t="n"/>
      <c r="M2032" s="7" t="n"/>
    </row>
    <row r="2033">
      <c r="A2033" s="7" t="n"/>
      <c r="B2033" s="75" t="n"/>
      <c r="C2033" s="7" t="n"/>
      <c r="D2033" s="7" t="n"/>
      <c r="E2033" s="9">
        <f>IF(D2033="","",IFERROR(INDEX('Stock pièces'!$B$5:$B$404,MATCH(D2033,'Stock pièces'!$A$5:$A$404,0)),"Réf. inconnue"))</f>
        <v/>
      </c>
      <c r="F2033" s="67" t="n"/>
      <c r="G2033" s="81">
        <f>IF(D2033="","",IFERROR(INDEX('Stock pièces'!$I$5:$I$404,MATCH(D2033,'Stock pièces'!$A$5:$A$404,0)),0))</f>
        <v/>
      </c>
      <c r="H2033" s="81">
        <f>IF(D2033="","",N(F2033)*N(G2033))</f>
        <v/>
      </c>
      <c r="I2033" s="7" t="n"/>
      <c r="J2033" s="9">
        <f>IF(I2033="","",IFERROR(INDEX('Ordres de travail'!$D$5:$D$3004,MATCH(I2033,'Ordres de travail'!$A$5:$A$3004,0)),""))</f>
        <v/>
      </c>
      <c r="K2033" s="9">
        <f>IF(D2033="","",IFERROR(INDEX('Stock pièces'!$D$5:$D$404,MATCH(D2033,'Stock pièces'!$A$5:$A$404,0)),""))</f>
        <v/>
      </c>
      <c r="L2033" s="7" t="n"/>
      <c r="M2033" s="7" t="n"/>
    </row>
    <row r="2034">
      <c r="A2034" s="7" t="n"/>
      <c r="B2034" s="75" t="n"/>
      <c r="C2034" s="7" t="n"/>
      <c r="D2034" s="7" t="n"/>
      <c r="E2034" s="9">
        <f>IF(D2034="","",IFERROR(INDEX('Stock pièces'!$B$5:$B$404,MATCH(D2034,'Stock pièces'!$A$5:$A$404,0)),"Réf. inconnue"))</f>
        <v/>
      </c>
      <c r="F2034" s="67" t="n"/>
      <c r="G2034" s="81">
        <f>IF(D2034="","",IFERROR(INDEX('Stock pièces'!$I$5:$I$404,MATCH(D2034,'Stock pièces'!$A$5:$A$404,0)),0))</f>
        <v/>
      </c>
      <c r="H2034" s="81">
        <f>IF(D2034="","",N(F2034)*N(G2034))</f>
        <v/>
      </c>
      <c r="I2034" s="7" t="n"/>
      <c r="J2034" s="9">
        <f>IF(I2034="","",IFERROR(INDEX('Ordres de travail'!$D$5:$D$3004,MATCH(I2034,'Ordres de travail'!$A$5:$A$3004,0)),""))</f>
        <v/>
      </c>
      <c r="K2034" s="9">
        <f>IF(D2034="","",IFERROR(INDEX('Stock pièces'!$D$5:$D$404,MATCH(D2034,'Stock pièces'!$A$5:$A$404,0)),""))</f>
        <v/>
      </c>
      <c r="L2034" s="7" t="n"/>
      <c r="M2034" s="7" t="n"/>
    </row>
    <row r="2035">
      <c r="A2035" s="7" t="n"/>
      <c r="B2035" s="75" t="n"/>
      <c r="C2035" s="7" t="n"/>
      <c r="D2035" s="7" t="n"/>
      <c r="E2035" s="9">
        <f>IF(D2035="","",IFERROR(INDEX('Stock pièces'!$B$5:$B$404,MATCH(D2035,'Stock pièces'!$A$5:$A$404,0)),"Réf. inconnue"))</f>
        <v/>
      </c>
      <c r="F2035" s="67" t="n"/>
      <c r="G2035" s="81">
        <f>IF(D2035="","",IFERROR(INDEX('Stock pièces'!$I$5:$I$404,MATCH(D2035,'Stock pièces'!$A$5:$A$404,0)),0))</f>
        <v/>
      </c>
      <c r="H2035" s="81">
        <f>IF(D2035="","",N(F2035)*N(G2035))</f>
        <v/>
      </c>
      <c r="I2035" s="7" t="n"/>
      <c r="J2035" s="9">
        <f>IF(I2035="","",IFERROR(INDEX('Ordres de travail'!$D$5:$D$3004,MATCH(I2035,'Ordres de travail'!$A$5:$A$3004,0)),""))</f>
        <v/>
      </c>
      <c r="K2035" s="9">
        <f>IF(D2035="","",IFERROR(INDEX('Stock pièces'!$D$5:$D$404,MATCH(D2035,'Stock pièces'!$A$5:$A$404,0)),""))</f>
        <v/>
      </c>
      <c r="L2035" s="7" t="n"/>
      <c r="M2035" s="7" t="n"/>
    </row>
    <row r="2036">
      <c r="A2036" s="7" t="n"/>
      <c r="B2036" s="75" t="n"/>
      <c r="C2036" s="7" t="n"/>
      <c r="D2036" s="7" t="n"/>
      <c r="E2036" s="9">
        <f>IF(D2036="","",IFERROR(INDEX('Stock pièces'!$B$5:$B$404,MATCH(D2036,'Stock pièces'!$A$5:$A$404,0)),"Réf. inconnue"))</f>
        <v/>
      </c>
      <c r="F2036" s="67" t="n"/>
      <c r="G2036" s="81">
        <f>IF(D2036="","",IFERROR(INDEX('Stock pièces'!$I$5:$I$404,MATCH(D2036,'Stock pièces'!$A$5:$A$404,0)),0))</f>
        <v/>
      </c>
      <c r="H2036" s="81">
        <f>IF(D2036="","",N(F2036)*N(G2036))</f>
        <v/>
      </c>
      <c r="I2036" s="7" t="n"/>
      <c r="J2036" s="9">
        <f>IF(I2036="","",IFERROR(INDEX('Ordres de travail'!$D$5:$D$3004,MATCH(I2036,'Ordres de travail'!$A$5:$A$3004,0)),""))</f>
        <v/>
      </c>
      <c r="K2036" s="9">
        <f>IF(D2036="","",IFERROR(INDEX('Stock pièces'!$D$5:$D$404,MATCH(D2036,'Stock pièces'!$A$5:$A$404,0)),""))</f>
        <v/>
      </c>
      <c r="L2036" s="7" t="n"/>
      <c r="M2036" s="7" t="n"/>
    </row>
    <row r="2037">
      <c r="A2037" s="7" t="n"/>
      <c r="B2037" s="75" t="n"/>
      <c r="C2037" s="7" t="n"/>
      <c r="D2037" s="7" t="n"/>
      <c r="E2037" s="9">
        <f>IF(D2037="","",IFERROR(INDEX('Stock pièces'!$B$5:$B$404,MATCH(D2037,'Stock pièces'!$A$5:$A$404,0)),"Réf. inconnue"))</f>
        <v/>
      </c>
      <c r="F2037" s="67" t="n"/>
      <c r="G2037" s="81">
        <f>IF(D2037="","",IFERROR(INDEX('Stock pièces'!$I$5:$I$404,MATCH(D2037,'Stock pièces'!$A$5:$A$404,0)),0))</f>
        <v/>
      </c>
      <c r="H2037" s="81">
        <f>IF(D2037="","",N(F2037)*N(G2037))</f>
        <v/>
      </c>
      <c r="I2037" s="7" t="n"/>
      <c r="J2037" s="9">
        <f>IF(I2037="","",IFERROR(INDEX('Ordres de travail'!$D$5:$D$3004,MATCH(I2037,'Ordres de travail'!$A$5:$A$3004,0)),""))</f>
        <v/>
      </c>
      <c r="K2037" s="9">
        <f>IF(D2037="","",IFERROR(INDEX('Stock pièces'!$D$5:$D$404,MATCH(D2037,'Stock pièces'!$A$5:$A$404,0)),""))</f>
        <v/>
      </c>
      <c r="L2037" s="7" t="n"/>
      <c r="M2037" s="7" t="n"/>
    </row>
    <row r="2038">
      <c r="A2038" s="7" t="n"/>
      <c r="B2038" s="75" t="n"/>
      <c r="C2038" s="7" t="n"/>
      <c r="D2038" s="7" t="n"/>
      <c r="E2038" s="9">
        <f>IF(D2038="","",IFERROR(INDEX('Stock pièces'!$B$5:$B$404,MATCH(D2038,'Stock pièces'!$A$5:$A$404,0)),"Réf. inconnue"))</f>
        <v/>
      </c>
      <c r="F2038" s="67" t="n"/>
      <c r="G2038" s="81">
        <f>IF(D2038="","",IFERROR(INDEX('Stock pièces'!$I$5:$I$404,MATCH(D2038,'Stock pièces'!$A$5:$A$404,0)),0))</f>
        <v/>
      </c>
      <c r="H2038" s="81">
        <f>IF(D2038="","",N(F2038)*N(G2038))</f>
        <v/>
      </c>
      <c r="I2038" s="7" t="n"/>
      <c r="J2038" s="9">
        <f>IF(I2038="","",IFERROR(INDEX('Ordres de travail'!$D$5:$D$3004,MATCH(I2038,'Ordres de travail'!$A$5:$A$3004,0)),""))</f>
        <v/>
      </c>
      <c r="K2038" s="9">
        <f>IF(D2038="","",IFERROR(INDEX('Stock pièces'!$D$5:$D$404,MATCH(D2038,'Stock pièces'!$A$5:$A$404,0)),""))</f>
        <v/>
      </c>
      <c r="L2038" s="7" t="n"/>
      <c r="M2038" s="7" t="n"/>
    </row>
    <row r="2039">
      <c r="A2039" s="7" t="n"/>
      <c r="B2039" s="75" t="n"/>
      <c r="C2039" s="7" t="n"/>
      <c r="D2039" s="7" t="n"/>
      <c r="E2039" s="9">
        <f>IF(D2039="","",IFERROR(INDEX('Stock pièces'!$B$5:$B$404,MATCH(D2039,'Stock pièces'!$A$5:$A$404,0)),"Réf. inconnue"))</f>
        <v/>
      </c>
      <c r="F2039" s="67" t="n"/>
      <c r="G2039" s="81">
        <f>IF(D2039="","",IFERROR(INDEX('Stock pièces'!$I$5:$I$404,MATCH(D2039,'Stock pièces'!$A$5:$A$404,0)),0))</f>
        <v/>
      </c>
      <c r="H2039" s="81">
        <f>IF(D2039="","",N(F2039)*N(G2039))</f>
        <v/>
      </c>
      <c r="I2039" s="7" t="n"/>
      <c r="J2039" s="9">
        <f>IF(I2039="","",IFERROR(INDEX('Ordres de travail'!$D$5:$D$3004,MATCH(I2039,'Ordres de travail'!$A$5:$A$3004,0)),""))</f>
        <v/>
      </c>
      <c r="K2039" s="9">
        <f>IF(D2039="","",IFERROR(INDEX('Stock pièces'!$D$5:$D$404,MATCH(D2039,'Stock pièces'!$A$5:$A$404,0)),""))</f>
        <v/>
      </c>
      <c r="L2039" s="7" t="n"/>
      <c r="M2039" s="7" t="n"/>
    </row>
    <row r="2040">
      <c r="A2040" s="7" t="n"/>
      <c r="B2040" s="75" t="n"/>
      <c r="C2040" s="7" t="n"/>
      <c r="D2040" s="7" t="n"/>
      <c r="E2040" s="9">
        <f>IF(D2040="","",IFERROR(INDEX('Stock pièces'!$B$5:$B$404,MATCH(D2040,'Stock pièces'!$A$5:$A$404,0)),"Réf. inconnue"))</f>
        <v/>
      </c>
      <c r="F2040" s="67" t="n"/>
      <c r="G2040" s="81">
        <f>IF(D2040="","",IFERROR(INDEX('Stock pièces'!$I$5:$I$404,MATCH(D2040,'Stock pièces'!$A$5:$A$404,0)),0))</f>
        <v/>
      </c>
      <c r="H2040" s="81">
        <f>IF(D2040="","",N(F2040)*N(G2040))</f>
        <v/>
      </c>
      <c r="I2040" s="7" t="n"/>
      <c r="J2040" s="9">
        <f>IF(I2040="","",IFERROR(INDEX('Ordres de travail'!$D$5:$D$3004,MATCH(I2040,'Ordres de travail'!$A$5:$A$3004,0)),""))</f>
        <v/>
      </c>
      <c r="K2040" s="9">
        <f>IF(D2040="","",IFERROR(INDEX('Stock pièces'!$D$5:$D$404,MATCH(D2040,'Stock pièces'!$A$5:$A$404,0)),""))</f>
        <v/>
      </c>
      <c r="L2040" s="7" t="n"/>
      <c r="M2040" s="7" t="n"/>
    </row>
    <row r="2041">
      <c r="A2041" s="7" t="n"/>
      <c r="B2041" s="75" t="n"/>
      <c r="C2041" s="7" t="n"/>
      <c r="D2041" s="7" t="n"/>
      <c r="E2041" s="9">
        <f>IF(D2041="","",IFERROR(INDEX('Stock pièces'!$B$5:$B$404,MATCH(D2041,'Stock pièces'!$A$5:$A$404,0)),"Réf. inconnue"))</f>
        <v/>
      </c>
      <c r="F2041" s="67" t="n"/>
      <c r="G2041" s="81">
        <f>IF(D2041="","",IFERROR(INDEX('Stock pièces'!$I$5:$I$404,MATCH(D2041,'Stock pièces'!$A$5:$A$404,0)),0))</f>
        <v/>
      </c>
      <c r="H2041" s="81">
        <f>IF(D2041="","",N(F2041)*N(G2041))</f>
        <v/>
      </c>
      <c r="I2041" s="7" t="n"/>
      <c r="J2041" s="9">
        <f>IF(I2041="","",IFERROR(INDEX('Ordres de travail'!$D$5:$D$3004,MATCH(I2041,'Ordres de travail'!$A$5:$A$3004,0)),""))</f>
        <v/>
      </c>
      <c r="K2041" s="9">
        <f>IF(D2041="","",IFERROR(INDEX('Stock pièces'!$D$5:$D$404,MATCH(D2041,'Stock pièces'!$A$5:$A$404,0)),""))</f>
        <v/>
      </c>
      <c r="L2041" s="7" t="n"/>
      <c r="M2041" s="7" t="n"/>
    </row>
    <row r="2042">
      <c r="A2042" s="7" t="n"/>
      <c r="B2042" s="75" t="n"/>
      <c r="C2042" s="7" t="n"/>
      <c r="D2042" s="7" t="n"/>
      <c r="E2042" s="9">
        <f>IF(D2042="","",IFERROR(INDEX('Stock pièces'!$B$5:$B$404,MATCH(D2042,'Stock pièces'!$A$5:$A$404,0)),"Réf. inconnue"))</f>
        <v/>
      </c>
      <c r="F2042" s="67" t="n"/>
      <c r="G2042" s="81">
        <f>IF(D2042="","",IFERROR(INDEX('Stock pièces'!$I$5:$I$404,MATCH(D2042,'Stock pièces'!$A$5:$A$404,0)),0))</f>
        <v/>
      </c>
      <c r="H2042" s="81">
        <f>IF(D2042="","",N(F2042)*N(G2042))</f>
        <v/>
      </c>
      <c r="I2042" s="7" t="n"/>
      <c r="J2042" s="9">
        <f>IF(I2042="","",IFERROR(INDEX('Ordres de travail'!$D$5:$D$3004,MATCH(I2042,'Ordres de travail'!$A$5:$A$3004,0)),""))</f>
        <v/>
      </c>
      <c r="K2042" s="9">
        <f>IF(D2042="","",IFERROR(INDEX('Stock pièces'!$D$5:$D$404,MATCH(D2042,'Stock pièces'!$A$5:$A$404,0)),""))</f>
        <v/>
      </c>
      <c r="L2042" s="7" t="n"/>
      <c r="M2042" s="7" t="n"/>
    </row>
    <row r="2043">
      <c r="A2043" s="7" t="n"/>
      <c r="B2043" s="75" t="n"/>
      <c r="C2043" s="7" t="n"/>
      <c r="D2043" s="7" t="n"/>
      <c r="E2043" s="9">
        <f>IF(D2043="","",IFERROR(INDEX('Stock pièces'!$B$5:$B$404,MATCH(D2043,'Stock pièces'!$A$5:$A$404,0)),"Réf. inconnue"))</f>
        <v/>
      </c>
      <c r="F2043" s="67" t="n"/>
      <c r="G2043" s="81">
        <f>IF(D2043="","",IFERROR(INDEX('Stock pièces'!$I$5:$I$404,MATCH(D2043,'Stock pièces'!$A$5:$A$404,0)),0))</f>
        <v/>
      </c>
      <c r="H2043" s="81">
        <f>IF(D2043="","",N(F2043)*N(G2043))</f>
        <v/>
      </c>
      <c r="I2043" s="7" t="n"/>
      <c r="J2043" s="9">
        <f>IF(I2043="","",IFERROR(INDEX('Ordres de travail'!$D$5:$D$3004,MATCH(I2043,'Ordres de travail'!$A$5:$A$3004,0)),""))</f>
        <v/>
      </c>
      <c r="K2043" s="9">
        <f>IF(D2043="","",IFERROR(INDEX('Stock pièces'!$D$5:$D$404,MATCH(D2043,'Stock pièces'!$A$5:$A$404,0)),""))</f>
        <v/>
      </c>
      <c r="L2043" s="7" t="n"/>
      <c r="M2043" s="7" t="n"/>
    </row>
    <row r="2044">
      <c r="A2044" s="7" t="n"/>
      <c r="B2044" s="75" t="n"/>
      <c r="C2044" s="7" t="n"/>
      <c r="D2044" s="7" t="n"/>
      <c r="E2044" s="9">
        <f>IF(D2044="","",IFERROR(INDEX('Stock pièces'!$B$5:$B$404,MATCH(D2044,'Stock pièces'!$A$5:$A$404,0)),"Réf. inconnue"))</f>
        <v/>
      </c>
      <c r="F2044" s="67" t="n"/>
      <c r="G2044" s="81">
        <f>IF(D2044="","",IFERROR(INDEX('Stock pièces'!$I$5:$I$404,MATCH(D2044,'Stock pièces'!$A$5:$A$404,0)),0))</f>
        <v/>
      </c>
      <c r="H2044" s="81">
        <f>IF(D2044="","",N(F2044)*N(G2044))</f>
        <v/>
      </c>
      <c r="I2044" s="7" t="n"/>
      <c r="J2044" s="9">
        <f>IF(I2044="","",IFERROR(INDEX('Ordres de travail'!$D$5:$D$3004,MATCH(I2044,'Ordres de travail'!$A$5:$A$3004,0)),""))</f>
        <v/>
      </c>
      <c r="K2044" s="9">
        <f>IF(D2044="","",IFERROR(INDEX('Stock pièces'!$D$5:$D$404,MATCH(D2044,'Stock pièces'!$A$5:$A$404,0)),""))</f>
        <v/>
      </c>
      <c r="L2044" s="7" t="n"/>
      <c r="M2044" s="7" t="n"/>
    </row>
    <row r="2045">
      <c r="A2045" s="7" t="n"/>
      <c r="B2045" s="75" t="n"/>
      <c r="C2045" s="7" t="n"/>
      <c r="D2045" s="7" t="n"/>
      <c r="E2045" s="9">
        <f>IF(D2045="","",IFERROR(INDEX('Stock pièces'!$B$5:$B$404,MATCH(D2045,'Stock pièces'!$A$5:$A$404,0)),"Réf. inconnue"))</f>
        <v/>
      </c>
      <c r="F2045" s="67" t="n"/>
      <c r="G2045" s="81">
        <f>IF(D2045="","",IFERROR(INDEX('Stock pièces'!$I$5:$I$404,MATCH(D2045,'Stock pièces'!$A$5:$A$404,0)),0))</f>
        <v/>
      </c>
      <c r="H2045" s="81">
        <f>IF(D2045="","",N(F2045)*N(G2045))</f>
        <v/>
      </c>
      <c r="I2045" s="7" t="n"/>
      <c r="J2045" s="9">
        <f>IF(I2045="","",IFERROR(INDEX('Ordres de travail'!$D$5:$D$3004,MATCH(I2045,'Ordres de travail'!$A$5:$A$3004,0)),""))</f>
        <v/>
      </c>
      <c r="K2045" s="9">
        <f>IF(D2045="","",IFERROR(INDEX('Stock pièces'!$D$5:$D$404,MATCH(D2045,'Stock pièces'!$A$5:$A$404,0)),""))</f>
        <v/>
      </c>
      <c r="L2045" s="7" t="n"/>
      <c r="M2045" s="7" t="n"/>
    </row>
    <row r="2046">
      <c r="A2046" s="7" t="n"/>
      <c r="B2046" s="75" t="n"/>
      <c r="C2046" s="7" t="n"/>
      <c r="D2046" s="7" t="n"/>
      <c r="E2046" s="9">
        <f>IF(D2046="","",IFERROR(INDEX('Stock pièces'!$B$5:$B$404,MATCH(D2046,'Stock pièces'!$A$5:$A$404,0)),"Réf. inconnue"))</f>
        <v/>
      </c>
      <c r="F2046" s="67" t="n"/>
      <c r="G2046" s="81">
        <f>IF(D2046="","",IFERROR(INDEX('Stock pièces'!$I$5:$I$404,MATCH(D2046,'Stock pièces'!$A$5:$A$404,0)),0))</f>
        <v/>
      </c>
      <c r="H2046" s="81">
        <f>IF(D2046="","",N(F2046)*N(G2046))</f>
        <v/>
      </c>
      <c r="I2046" s="7" t="n"/>
      <c r="J2046" s="9">
        <f>IF(I2046="","",IFERROR(INDEX('Ordres de travail'!$D$5:$D$3004,MATCH(I2046,'Ordres de travail'!$A$5:$A$3004,0)),""))</f>
        <v/>
      </c>
      <c r="K2046" s="9">
        <f>IF(D2046="","",IFERROR(INDEX('Stock pièces'!$D$5:$D$404,MATCH(D2046,'Stock pièces'!$A$5:$A$404,0)),""))</f>
        <v/>
      </c>
      <c r="L2046" s="7" t="n"/>
      <c r="M2046" s="7" t="n"/>
    </row>
    <row r="2047">
      <c r="A2047" s="7" t="n"/>
      <c r="B2047" s="75" t="n"/>
      <c r="C2047" s="7" t="n"/>
      <c r="D2047" s="7" t="n"/>
      <c r="E2047" s="9">
        <f>IF(D2047="","",IFERROR(INDEX('Stock pièces'!$B$5:$B$404,MATCH(D2047,'Stock pièces'!$A$5:$A$404,0)),"Réf. inconnue"))</f>
        <v/>
      </c>
      <c r="F2047" s="67" t="n"/>
      <c r="G2047" s="81">
        <f>IF(D2047="","",IFERROR(INDEX('Stock pièces'!$I$5:$I$404,MATCH(D2047,'Stock pièces'!$A$5:$A$404,0)),0))</f>
        <v/>
      </c>
      <c r="H2047" s="81">
        <f>IF(D2047="","",N(F2047)*N(G2047))</f>
        <v/>
      </c>
      <c r="I2047" s="7" t="n"/>
      <c r="J2047" s="9">
        <f>IF(I2047="","",IFERROR(INDEX('Ordres de travail'!$D$5:$D$3004,MATCH(I2047,'Ordres de travail'!$A$5:$A$3004,0)),""))</f>
        <v/>
      </c>
      <c r="K2047" s="9">
        <f>IF(D2047="","",IFERROR(INDEX('Stock pièces'!$D$5:$D$404,MATCH(D2047,'Stock pièces'!$A$5:$A$404,0)),""))</f>
        <v/>
      </c>
      <c r="L2047" s="7" t="n"/>
      <c r="M2047" s="7" t="n"/>
    </row>
    <row r="2048">
      <c r="A2048" s="7" t="n"/>
      <c r="B2048" s="75" t="n"/>
      <c r="C2048" s="7" t="n"/>
      <c r="D2048" s="7" t="n"/>
      <c r="E2048" s="9">
        <f>IF(D2048="","",IFERROR(INDEX('Stock pièces'!$B$5:$B$404,MATCH(D2048,'Stock pièces'!$A$5:$A$404,0)),"Réf. inconnue"))</f>
        <v/>
      </c>
      <c r="F2048" s="67" t="n"/>
      <c r="G2048" s="81">
        <f>IF(D2048="","",IFERROR(INDEX('Stock pièces'!$I$5:$I$404,MATCH(D2048,'Stock pièces'!$A$5:$A$404,0)),0))</f>
        <v/>
      </c>
      <c r="H2048" s="81">
        <f>IF(D2048="","",N(F2048)*N(G2048))</f>
        <v/>
      </c>
      <c r="I2048" s="7" t="n"/>
      <c r="J2048" s="9">
        <f>IF(I2048="","",IFERROR(INDEX('Ordres de travail'!$D$5:$D$3004,MATCH(I2048,'Ordres de travail'!$A$5:$A$3004,0)),""))</f>
        <v/>
      </c>
      <c r="K2048" s="9">
        <f>IF(D2048="","",IFERROR(INDEX('Stock pièces'!$D$5:$D$404,MATCH(D2048,'Stock pièces'!$A$5:$A$404,0)),""))</f>
        <v/>
      </c>
      <c r="L2048" s="7" t="n"/>
      <c r="M2048" s="7" t="n"/>
    </row>
    <row r="2049">
      <c r="A2049" s="7" t="n"/>
      <c r="B2049" s="75" t="n"/>
      <c r="C2049" s="7" t="n"/>
      <c r="D2049" s="7" t="n"/>
      <c r="E2049" s="9">
        <f>IF(D2049="","",IFERROR(INDEX('Stock pièces'!$B$5:$B$404,MATCH(D2049,'Stock pièces'!$A$5:$A$404,0)),"Réf. inconnue"))</f>
        <v/>
      </c>
      <c r="F2049" s="67" t="n"/>
      <c r="G2049" s="81">
        <f>IF(D2049="","",IFERROR(INDEX('Stock pièces'!$I$5:$I$404,MATCH(D2049,'Stock pièces'!$A$5:$A$404,0)),0))</f>
        <v/>
      </c>
      <c r="H2049" s="81">
        <f>IF(D2049="","",N(F2049)*N(G2049))</f>
        <v/>
      </c>
      <c r="I2049" s="7" t="n"/>
      <c r="J2049" s="9">
        <f>IF(I2049="","",IFERROR(INDEX('Ordres de travail'!$D$5:$D$3004,MATCH(I2049,'Ordres de travail'!$A$5:$A$3004,0)),""))</f>
        <v/>
      </c>
      <c r="K2049" s="9">
        <f>IF(D2049="","",IFERROR(INDEX('Stock pièces'!$D$5:$D$404,MATCH(D2049,'Stock pièces'!$A$5:$A$404,0)),""))</f>
        <v/>
      </c>
      <c r="L2049" s="7" t="n"/>
      <c r="M2049" s="7" t="n"/>
    </row>
    <row r="2050">
      <c r="A2050" s="7" t="n"/>
      <c r="B2050" s="75" t="n"/>
      <c r="C2050" s="7" t="n"/>
      <c r="D2050" s="7" t="n"/>
      <c r="E2050" s="9">
        <f>IF(D2050="","",IFERROR(INDEX('Stock pièces'!$B$5:$B$404,MATCH(D2050,'Stock pièces'!$A$5:$A$404,0)),"Réf. inconnue"))</f>
        <v/>
      </c>
      <c r="F2050" s="67" t="n"/>
      <c r="G2050" s="81">
        <f>IF(D2050="","",IFERROR(INDEX('Stock pièces'!$I$5:$I$404,MATCH(D2050,'Stock pièces'!$A$5:$A$404,0)),0))</f>
        <v/>
      </c>
      <c r="H2050" s="81">
        <f>IF(D2050="","",N(F2050)*N(G2050))</f>
        <v/>
      </c>
      <c r="I2050" s="7" t="n"/>
      <c r="J2050" s="9">
        <f>IF(I2050="","",IFERROR(INDEX('Ordres de travail'!$D$5:$D$3004,MATCH(I2050,'Ordres de travail'!$A$5:$A$3004,0)),""))</f>
        <v/>
      </c>
      <c r="K2050" s="9">
        <f>IF(D2050="","",IFERROR(INDEX('Stock pièces'!$D$5:$D$404,MATCH(D2050,'Stock pièces'!$A$5:$A$404,0)),""))</f>
        <v/>
      </c>
      <c r="L2050" s="7" t="n"/>
      <c r="M2050" s="7" t="n"/>
    </row>
    <row r="2051">
      <c r="A2051" s="7" t="n"/>
      <c r="B2051" s="75" t="n"/>
      <c r="C2051" s="7" t="n"/>
      <c r="D2051" s="7" t="n"/>
      <c r="E2051" s="9">
        <f>IF(D2051="","",IFERROR(INDEX('Stock pièces'!$B$5:$B$404,MATCH(D2051,'Stock pièces'!$A$5:$A$404,0)),"Réf. inconnue"))</f>
        <v/>
      </c>
      <c r="F2051" s="67" t="n"/>
      <c r="G2051" s="81">
        <f>IF(D2051="","",IFERROR(INDEX('Stock pièces'!$I$5:$I$404,MATCH(D2051,'Stock pièces'!$A$5:$A$404,0)),0))</f>
        <v/>
      </c>
      <c r="H2051" s="81">
        <f>IF(D2051="","",N(F2051)*N(G2051))</f>
        <v/>
      </c>
      <c r="I2051" s="7" t="n"/>
      <c r="J2051" s="9">
        <f>IF(I2051="","",IFERROR(INDEX('Ordres de travail'!$D$5:$D$3004,MATCH(I2051,'Ordres de travail'!$A$5:$A$3004,0)),""))</f>
        <v/>
      </c>
      <c r="K2051" s="9">
        <f>IF(D2051="","",IFERROR(INDEX('Stock pièces'!$D$5:$D$404,MATCH(D2051,'Stock pièces'!$A$5:$A$404,0)),""))</f>
        <v/>
      </c>
      <c r="L2051" s="7" t="n"/>
      <c r="M2051" s="7" t="n"/>
    </row>
    <row r="2052">
      <c r="A2052" s="7" t="n"/>
      <c r="B2052" s="75" t="n"/>
      <c r="C2052" s="7" t="n"/>
      <c r="D2052" s="7" t="n"/>
      <c r="E2052" s="9">
        <f>IF(D2052="","",IFERROR(INDEX('Stock pièces'!$B$5:$B$404,MATCH(D2052,'Stock pièces'!$A$5:$A$404,0)),"Réf. inconnue"))</f>
        <v/>
      </c>
      <c r="F2052" s="67" t="n"/>
      <c r="G2052" s="81">
        <f>IF(D2052="","",IFERROR(INDEX('Stock pièces'!$I$5:$I$404,MATCH(D2052,'Stock pièces'!$A$5:$A$404,0)),0))</f>
        <v/>
      </c>
      <c r="H2052" s="81">
        <f>IF(D2052="","",N(F2052)*N(G2052))</f>
        <v/>
      </c>
      <c r="I2052" s="7" t="n"/>
      <c r="J2052" s="9">
        <f>IF(I2052="","",IFERROR(INDEX('Ordres de travail'!$D$5:$D$3004,MATCH(I2052,'Ordres de travail'!$A$5:$A$3004,0)),""))</f>
        <v/>
      </c>
      <c r="K2052" s="9">
        <f>IF(D2052="","",IFERROR(INDEX('Stock pièces'!$D$5:$D$404,MATCH(D2052,'Stock pièces'!$A$5:$A$404,0)),""))</f>
        <v/>
      </c>
      <c r="L2052" s="7" t="n"/>
      <c r="M2052" s="7" t="n"/>
    </row>
    <row r="2053">
      <c r="A2053" s="7" t="n"/>
      <c r="B2053" s="75" t="n"/>
      <c r="C2053" s="7" t="n"/>
      <c r="D2053" s="7" t="n"/>
      <c r="E2053" s="9">
        <f>IF(D2053="","",IFERROR(INDEX('Stock pièces'!$B$5:$B$404,MATCH(D2053,'Stock pièces'!$A$5:$A$404,0)),"Réf. inconnue"))</f>
        <v/>
      </c>
      <c r="F2053" s="67" t="n"/>
      <c r="G2053" s="81">
        <f>IF(D2053="","",IFERROR(INDEX('Stock pièces'!$I$5:$I$404,MATCH(D2053,'Stock pièces'!$A$5:$A$404,0)),0))</f>
        <v/>
      </c>
      <c r="H2053" s="81">
        <f>IF(D2053="","",N(F2053)*N(G2053))</f>
        <v/>
      </c>
      <c r="I2053" s="7" t="n"/>
      <c r="J2053" s="9">
        <f>IF(I2053="","",IFERROR(INDEX('Ordres de travail'!$D$5:$D$3004,MATCH(I2053,'Ordres de travail'!$A$5:$A$3004,0)),""))</f>
        <v/>
      </c>
      <c r="K2053" s="9">
        <f>IF(D2053="","",IFERROR(INDEX('Stock pièces'!$D$5:$D$404,MATCH(D2053,'Stock pièces'!$A$5:$A$404,0)),""))</f>
        <v/>
      </c>
      <c r="L2053" s="7" t="n"/>
      <c r="M2053" s="7" t="n"/>
    </row>
    <row r="2054">
      <c r="A2054" s="7" t="n"/>
      <c r="B2054" s="75" t="n"/>
      <c r="C2054" s="7" t="n"/>
      <c r="D2054" s="7" t="n"/>
      <c r="E2054" s="9">
        <f>IF(D2054="","",IFERROR(INDEX('Stock pièces'!$B$5:$B$404,MATCH(D2054,'Stock pièces'!$A$5:$A$404,0)),"Réf. inconnue"))</f>
        <v/>
      </c>
      <c r="F2054" s="67" t="n"/>
      <c r="G2054" s="81">
        <f>IF(D2054="","",IFERROR(INDEX('Stock pièces'!$I$5:$I$404,MATCH(D2054,'Stock pièces'!$A$5:$A$404,0)),0))</f>
        <v/>
      </c>
      <c r="H2054" s="81">
        <f>IF(D2054="","",N(F2054)*N(G2054))</f>
        <v/>
      </c>
      <c r="I2054" s="7" t="n"/>
      <c r="J2054" s="9">
        <f>IF(I2054="","",IFERROR(INDEX('Ordres de travail'!$D$5:$D$3004,MATCH(I2054,'Ordres de travail'!$A$5:$A$3004,0)),""))</f>
        <v/>
      </c>
      <c r="K2054" s="9">
        <f>IF(D2054="","",IFERROR(INDEX('Stock pièces'!$D$5:$D$404,MATCH(D2054,'Stock pièces'!$A$5:$A$404,0)),""))</f>
        <v/>
      </c>
      <c r="L2054" s="7" t="n"/>
      <c r="M2054" s="7" t="n"/>
    </row>
    <row r="2055">
      <c r="A2055" s="7" t="n"/>
      <c r="B2055" s="75" t="n"/>
      <c r="C2055" s="7" t="n"/>
      <c r="D2055" s="7" t="n"/>
      <c r="E2055" s="9">
        <f>IF(D2055="","",IFERROR(INDEX('Stock pièces'!$B$5:$B$404,MATCH(D2055,'Stock pièces'!$A$5:$A$404,0)),"Réf. inconnue"))</f>
        <v/>
      </c>
      <c r="F2055" s="67" t="n"/>
      <c r="G2055" s="81">
        <f>IF(D2055="","",IFERROR(INDEX('Stock pièces'!$I$5:$I$404,MATCH(D2055,'Stock pièces'!$A$5:$A$404,0)),0))</f>
        <v/>
      </c>
      <c r="H2055" s="81">
        <f>IF(D2055="","",N(F2055)*N(G2055))</f>
        <v/>
      </c>
      <c r="I2055" s="7" t="n"/>
      <c r="J2055" s="9">
        <f>IF(I2055="","",IFERROR(INDEX('Ordres de travail'!$D$5:$D$3004,MATCH(I2055,'Ordres de travail'!$A$5:$A$3004,0)),""))</f>
        <v/>
      </c>
      <c r="K2055" s="9">
        <f>IF(D2055="","",IFERROR(INDEX('Stock pièces'!$D$5:$D$404,MATCH(D2055,'Stock pièces'!$A$5:$A$404,0)),""))</f>
        <v/>
      </c>
      <c r="L2055" s="7" t="n"/>
      <c r="M2055" s="7" t="n"/>
    </row>
    <row r="2056">
      <c r="A2056" s="7" t="n"/>
      <c r="B2056" s="75" t="n"/>
      <c r="C2056" s="7" t="n"/>
      <c r="D2056" s="7" t="n"/>
      <c r="E2056" s="9">
        <f>IF(D2056="","",IFERROR(INDEX('Stock pièces'!$B$5:$B$404,MATCH(D2056,'Stock pièces'!$A$5:$A$404,0)),"Réf. inconnue"))</f>
        <v/>
      </c>
      <c r="F2056" s="67" t="n"/>
      <c r="G2056" s="81">
        <f>IF(D2056="","",IFERROR(INDEX('Stock pièces'!$I$5:$I$404,MATCH(D2056,'Stock pièces'!$A$5:$A$404,0)),0))</f>
        <v/>
      </c>
      <c r="H2056" s="81">
        <f>IF(D2056="","",N(F2056)*N(G2056))</f>
        <v/>
      </c>
      <c r="I2056" s="7" t="n"/>
      <c r="J2056" s="9">
        <f>IF(I2056="","",IFERROR(INDEX('Ordres de travail'!$D$5:$D$3004,MATCH(I2056,'Ordres de travail'!$A$5:$A$3004,0)),""))</f>
        <v/>
      </c>
      <c r="K2056" s="9">
        <f>IF(D2056="","",IFERROR(INDEX('Stock pièces'!$D$5:$D$404,MATCH(D2056,'Stock pièces'!$A$5:$A$404,0)),""))</f>
        <v/>
      </c>
      <c r="L2056" s="7" t="n"/>
      <c r="M2056" s="7" t="n"/>
    </row>
    <row r="2057">
      <c r="A2057" s="7" t="n"/>
      <c r="B2057" s="75" t="n"/>
      <c r="C2057" s="7" t="n"/>
      <c r="D2057" s="7" t="n"/>
      <c r="E2057" s="9">
        <f>IF(D2057="","",IFERROR(INDEX('Stock pièces'!$B$5:$B$404,MATCH(D2057,'Stock pièces'!$A$5:$A$404,0)),"Réf. inconnue"))</f>
        <v/>
      </c>
      <c r="F2057" s="67" t="n"/>
      <c r="G2057" s="81">
        <f>IF(D2057="","",IFERROR(INDEX('Stock pièces'!$I$5:$I$404,MATCH(D2057,'Stock pièces'!$A$5:$A$404,0)),0))</f>
        <v/>
      </c>
      <c r="H2057" s="81">
        <f>IF(D2057="","",N(F2057)*N(G2057))</f>
        <v/>
      </c>
      <c r="I2057" s="7" t="n"/>
      <c r="J2057" s="9">
        <f>IF(I2057="","",IFERROR(INDEX('Ordres de travail'!$D$5:$D$3004,MATCH(I2057,'Ordres de travail'!$A$5:$A$3004,0)),""))</f>
        <v/>
      </c>
      <c r="K2057" s="9">
        <f>IF(D2057="","",IFERROR(INDEX('Stock pièces'!$D$5:$D$404,MATCH(D2057,'Stock pièces'!$A$5:$A$404,0)),""))</f>
        <v/>
      </c>
      <c r="L2057" s="7" t="n"/>
      <c r="M2057" s="7" t="n"/>
    </row>
    <row r="2058">
      <c r="A2058" s="7" t="n"/>
      <c r="B2058" s="75" t="n"/>
      <c r="C2058" s="7" t="n"/>
      <c r="D2058" s="7" t="n"/>
      <c r="E2058" s="9">
        <f>IF(D2058="","",IFERROR(INDEX('Stock pièces'!$B$5:$B$404,MATCH(D2058,'Stock pièces'!$A$5:$A$404,0)),"Réf. inconnue"))</f>
        <v/>
      </c>
      <c r="F2058" s="67" t="n"/>
      <c r="G2058" s="81">
        <f>IF(D2058="","",IFERROR(INDEX('Stock pièces'!$I$5:$I$404,MATCH(D2058,'Stock pièces'!$A$5:$A$404,0)),0))</f>
        <v/>
      </c>
      <c r="H2058" s="81">
        <f>IF(D2058="","",N(F2058)*N(G2058))</f>
        <v/>
      </c>
      <c r="I2058" s="7" t="n"/>
      <c r="J2058" s="9">
        <f>IF(I2058="","",IFERROR(INDEX('Ordres de travail'!$D$5:$D$3004,MATCH(I2058,'Ordres de travail'!$A$5:$A$3004,0)),""))</f>
        <v/>
      </c>
      <c r="K2058" s="9">
        <f>IF(D2058="","",IFERROR(INDEX('Stock pièces'!$D$5:$D$404,MATCH(D2058,'Stock pièces'!$A$5:$A$404,0)),""))</f>
        <v/>
      </c>
      <c r="L2058" s="7" t="n"/>
      <c r="M2058" s="7" t="n"/>
    </row>
    <row r="2059">
      <c r="A2059" s="7" t="n"/>
      <c r="B2059" s="75" t="n"/>
      <c r="C2059" s="7" t="n"/>
      <c r="D2059" s="7" t="n"/>
      <c r="E2059" s="9">
        <f>IF(D2059="","",IFERROR(INDEX('Stock pièces'!$B$5:$B$404,MATCH(D2059,'Stock pièces'!$A$5:$A$404,0)),"Réf. inconnue"))</f>
        <v/>
      </c>
      <c r="F2059" s="67" t="n"/>
      <c r="G2059" s="81">
        <f>IF(D2059="","",IFERROR(INDEX('Stock pièces'!$I$5:$I$404,MATCH(D2059,'Stock pièces'!$A$5:$A$404,0)),0))</f>
        <v/>
      </c>
      <c r="H2059" s="81">
        <f>IF(D2059="","",N(F2059)*N(G2059))</f>
        <v/>
      </c>
      <c r="I2059" s="7" t="n"/>
      <c r="J2059" s="9">
        <f>IF(I2059="","",IFERROR(INDEX('Ordres de travail'!$D$5:$D$3004,MATCH(I2059,'Ordres de travail'!$A$5:$A$3004,0)),""))</f>
        <v/>
      </c>
      <c r="K2059" s="9">
        <f>IF(D2059="","",IFERROR(INDEX('Stock pièces'!$D$5:$D$404,MATCH(D2059,'Stock pièces'!$A$5:$A$404,0)),""))</f>
        <v/>
      </c>
      <c r="L2059" s="7" t="n"/>
      <c r="M2059" s="7" t="n"/>
    </row>
    <row r="2060">
      <c r="A2060" s="7" t="n"/>
      <c r="B2060" s="75" t="n"/>
      <c r="C2060" s="7" t="n"/>
      <c r="D2060" s="7" t="n"/>
      <c r="E2060" s="9">
        <f>IF(D2060="","",IFERROR(INDEX('Stock pièces'!$B$5:$B$404,MATCH(D2060,'Stock pièces'!$A$5:$A$404,0)),"Réf. inconnue"))</f>
        <v/>
      </c>
      <c r="F2060" s="67" t="n"/>
      <c r="G2060" s="81">
        <f>IF(D2060="","",IFERROR(INDEX('Stock pièces'!$I$5:$I$404,MATCH(D2060,'Stock pièces'!$A$5:$A$404,0)),0))</f>
        <v/>
      </c>
      <c r="H2060" s="81">
        <f>IF(D2060="","",N(F2060)*N(G2060))</f>
        <v/>
      </c>
      <c r="I2060" s="7" t="n"/>
      <c r="J2060" s="9">
        <f>IF(I2060="","",IFERROR(INDEX('Ordres de travail'!$D$5:$D$3004,MATCH(I2060,'Ordres de travail'!$A$5:$A$3004,0)),""))</f>
        <v/>
      </c>
      <c r="K2060" s="9">
        <f>IF(D2060="","",IFERROR(INDEX('Stock pièces'!$D$5:$D$404,MATCH(D2060,'Stock pièces'!$A$5:$A$404,0)),""))</f>
        <v/>
      </c>
      <c r="L2060" s="7" t="n"/>
      <c r="M2060" s="7" t="n"/>
    </row>
    <row r="2061">
      <c r="A2061" s="7" t="n"/>
      <c r="B2061" s="75" t="n"/>
      <c r="C2061" s="7" t="n"/>
      <c r="D2061" s="7" t="n"/>
      <c r="E2061" s="9">
        <f>IF(D2061="","",IFERROR(INDEX('Stock pièces'!$B$5:$B$404,MATCH(D2061,'Stock pièces'!$A$5:$A$404,0)),"Réf. inconnue"))</f>
        <v/>
      </c>
      <c r="F2061" s="67" t="n"/>
      <c r="G2061" s="81">
        <f>IF(D2061="","",IFERROR(INDEX('Stock pièces'!$I$5:$I$404,MATCH(D2061,'Stock pièces'!$A$5:$A$404,0)),0))</f>
        <v/>
      </c>
      <c r="H2061" s="81">
        <f>IF(D2061="","",N(F2061)*N(G2061))</f>
        <v/>
      </c>
      <c r="I2061" s="7" t="n"/>
      <c r="J2061" s="9">
        <f>IF(I2061="","",IFERROR(INDEX('Ordres de travail'!$D$5:$D$3004,MATCH(I2061,'Ordres de travail'!$A$5:$A$3004,0)),""))</f>
        <v/>
      </c>
      <c r="K2061" s="9">
        <f>IF(D2061="","",IFERROR(INDEX('Stock pièces'!$D$5:$D$404,MATCH(D2061,'Stock pièces'!$A$5:$A$404,0)),""))</f>
        <v/>
      </c>
      <c r="L2061" s="7" t="n"/>
      <c r="M2061" s="7" t="n"/>
    </row>
    <row r="2062">
      <c r="A2062" s="7" t="n"/>
      <c r="B2062" s="75" t="n"/>
      <c r="C2062" s="7" t="n"/>
      <c r="D2062" s="7" t="n"/>
      <c r="E2062" s="9">
        <f>IF(D2062="","",IFERROR(INDEX('Stock pièces'!$B$5:$B$404,MATCH(D2062,'Stock pièces'!$A$5:$A$404,0)),"Réf. inconnue"))</f>
        <v/>
      </c>
      <c r="F2062" s="67" t="n"/>
      <c r="G2062" s="81">
        <f>IF(D2062="","",IFERROR(INDEX('Stock pièces'!$I$5:$I$404,MATCH(D2062,'Stock pièces'!$A$5:$A$404,0)),0))</f>
        <v/>
      </c>
      <c r="H2062" s="81">
        <f>IF(D2062="","",N(F2062)*N(G2062))</f>
        <v/>
      </c>
      <c r="I2062" s="7" t="n"/>
      <c r="J2062" s="9">
        <f>IF(I2062="","",IFERROR(INDEX('Ordres de travail'!$D$5:$D$3004,MATCH(I2062,'Ordres de travail'!$A$5:$A$3004,0)),""))</f>
        <v/>
      </c>
      <c r="K2062" s="9">
        <f>IF(D2062="","",IFERROR(INDEX('Stock pièces'!$D$5:$D$404,MATCH(D2062,'Stock pièces'!$A$5:$A$404,0)),""))</f>
        <v/>
      </c>
      <c r="L2062" s="7" t="n"/>
      <c r="M2062" s="7" t="n"/>
    </row>
    <row r="2063">
      <c r="A2063" s="7" t="n"/>
      <c r="B2063" s="75" t="n"/>
      <c r="C2063" s="7" t="n"/>
      <c r="D2063" s="7" t="n"/>
      <c r="E2063" s="9">
        <f>IF(D2063="","",IFERROR(INDEX('Stock pièces'!$B$5:$B$404,MATCH(D2063,'Stock pièces'!$A$5:$A$404,0)),"Réf. inconnue"))</f>
        <v/>
      </c>
      <c r="F2063" s="67" t="n"/>
      <c r="G2063" s="81">
        <f>IF(D2063="","",IFERROR(INDEX('Stock pièces'!$I$5:$I$404,MATCH(D2063,'Stock pièces'!$A$5:$A$404,0)),0))</f>
        <v/>
      </c>
      <c r="H2063" s="81">
        <f>IF(D2063="","",N(F2063)*N(G2063))</f>
        <v/>
      </c>
      <c r="I2063" s="7" t="n"/>
      <c r="J2063" s="9">
        <f>IF(I2063="","",IFERROR(INDEX('Ordres de travail'!$D$5:$D$3004,MATCH(I2063,'Ordres de travail'!$A$5:$A$3004,0)),""))</f>
        <v/>
      </c>
      <c r="K2063" s="9">
        <f>IF(D2063="","",IFERROR(INDEX('Stock pièces'!$D$5:$D$404,MATCH(D2063,'Stock pièces'!$A$5:$A$404,0)),""))</f>
        <v/>
      </c>
      <c r="L2063" s="7" t="n"/>
      <c r="M2063" s="7" t="n"/>
    </row>
    <row r="2064">
      <c r="A2064" s="7" t="n"/>
      <c r="B2064" s="75" t="n"/>
      <c r="C2064" s="7" t="n"/>
      <c r="D2064" s="7" t="n"/>
      <c r="E2064" s="9">
        <f>IF(D2064="","",IFERROR(INDEX('Stock pièces'!$B$5:$B$404,MATCH(D2064,'Stock pièces'!$A$5:$A$404,0)),"Réf. inconnue"))</f>
        <v/>
      </c>
      <c r="F2064" s="67" t="n"/>
      <c r="G2064" s="81">
        <f>IF(D2064="","",IFERROR(INDEX('Stock pièces'!$I$5:$I$404,MATCH(D2064,'Stock pièces'!$A$5:$A$404,0)),0))</f>
        <v/>
      </c>
      <c r="H2064" s="81">
        <f>IF(D2064="","",N(F2064)*N(G2064))</f>
        <v/>
      </c>
      <c r="I2064" s="7" t="n"/>
      <c r="J2064" s="9">
        <f>IF(I2064="","",IFERROR(INDEX('Ordres de travail'!$D$5:$D$3004,MATCH(I2064,'Ordres de travail'!$A$5:$A$3004,0)),""))</f>
        <v/>
      </c>
      <c r="K2064" s="9">
        <f>IF(D2064="","",IFERROR(INDEX('Stock pièces'!$D$5:$D$404,MATCH(D2064,'Stock pièces'!$A$5:$A$404,0)),""))</f>
        <v/>
      </c>
      <c r="L2064" s="7" t="n"/>
      <c r="M2064" s="7" t="n"/>
    </row>
    <row r="2065">
      <c r="A2065" s="7" t="n"/>
      <c r="B2065" s="75" t="n"/>
      <c r="C2065" s="7" t="n"/>
      <c r="D2065" s="7" t="n"/>
      <c r="E2065" s="9">
        <f>IF(D2065="","",IFERROR(INDEX('Stock pièces'!$B$5:$B$404,MATCH(D2065,'Stock pièces'!$A$5:$A$404,0)),"Réf. inconnue"))</f>
        <v/>
      </c>
      <c r="F2065" s="67" t="n"/>
      <c r="G2065" s="81">
        <f>IF(D2065="","",IFERROR(INDEX('Stock pièces'!$I$5:$I$404,MATCH(D2065,'Stock pièces'!$A$5:$A$404,0)),0))</f>
        <v/>
      </c>
      <c r="H2065" s="81">
        <f>IF(D2065="","",N(F2065)*N(G2065))</f>
        <v/>
      </c>
      <c r="I2065" s="7" t="n"/>
      <c r="J2065" s="9">
        <f>IF(I2065="","",IFERROR(INDEX('Ordres de travail'!$D$5:$D$3004,MATCH(I2065,'Ordres de travail'!$A$5:$A$3004,0)),""))</f>
        <v/>
      </c>
      <c r="K2065" s="9">
        <f>IF(D2065="","",IFERROR(INDEX('Stock pièces'!$D$5:$D$404,MATCH(D2065,'Stock pièces'!$A$5:$A$404,0)),""))</f>
        <v/>
      </c>
      <c r="L2065" s="7" t="n"/>
      <c r="M2065" s="7" t="n"/>
    </row>
    <row r="2066">
      <c r="A2066" s="7" t="n"/>
      <c r="B2066" s="75" t="n"/>
      <c r="C2066" s="7" t="n"/>
      <c r="D2066" s="7" t="n"/>
      <c r="E2066" s="9">
        <f>IF(D2066="","",IFERROR(INDEX('Stock pièces'!$B$5:$B$404,MATCH(D2066,'Stock pièces'!$A$5:$A$404,0)),"Réf. inconnue"))</f>
        <v/>
      </c>
      <c r="F2066" s="67" t="n"/>
      <c r="G2066" s="81">
        <f>IF(D2066="","",IFERROR(INDEX('Stock pièces'!$I$5:$I$404,MATCH(D2066,'Stock pièces'!$A$5:$A$404,0)),0))</f>
        <v/>
      </c>
      <c r="H2066" s="81">
        <f>IF(D2066="","",N(F2066)*N(G2066))</f>
        <v/>
      </c>
      <c r="I2066" s="7" t="n"/>
      <c r="J2066" s="9">
        <f>IF(I2066="","",IFERROR(INDEX('Ordres de travail'!$D$5:$D$3004,MATCH(I2066,'Ordres de travail'!$A$5:$A$3004,0)),""))</f>
        <v/>
      </c>
      <c r="K2066" s="9">
        <f>IF(D2066="","",IFERROR(INDEX('Stock pièces'!$D$5:$D$404,MATCH(D2066,'Stock pièces'!$A$5:$A$404,0)),""))</f>
        <v/>
      </c>
      <c r="L2066" s="7" t="n"/>
      <c r="M2066" s="7" t="n"/>
    </row>
    <row r="2067">
      <c r="A2067" s="7" t="n"/>
      <c r="B2067" s="75" t="n"/>
      <c r="C2067" s="7" t="n"/>
      <c r="D2067" s="7" t="n"/>
      <c r="E2067" s="9">
        <f>IF(D2067="","",IFERROR(INDEX('Stock pièces'!$B$5:$B$404,MATCH(D2067,'Stock pièces'!$A$5:$A$404,0)),"Réf. inconnue"))</f>
        <v/>
      </c>
      <c r="F2067" s="67" t="n"/>
      <c r="G2067" s="81">
        <f>IF(D2067="","",IFERROR(INDEX('Stock pièces'!$I$5:$I$404,MATCH(D2067,'Stock pièces'!$A$5:$A$404,0)),0))</f>
        <v/>
      </c>
      <c r="H2067" s="81">
        <f>IF(D2067="","",N(F2067)*N(G2067))</f>
        <v/>
      </c>
      <c r="I2067" s="7" t="n"/>
      <c r="J2067" s="9">
        <f>IF(I2067="","",IFERROR(INDEX('Ordres de travail'!$D$5:$D$3004,MATCH(I2067,'Ordres de travail'!$A$5:$A$3004,0)),""))</f>
        <v/>
      </c>
      <c r="K2067" s="9">
        <f>IF(D2067="","",IFERROR(INDEX('Stock pièces'!$D$5:$D$404,MATCH(D2067,'Stock pièces'!$A$5:$A$404,0)),""))</f>
        <v/>
      </c>
      <c r="L2067" s="7" t="n"/>
      <c r="M2067" s="7" t="n"/>
    </row>
    <row r="2068">
      <c r="A2068" s="7" t="n"/>
      <c r="B2068" s="75" t="n"/>
      <c r="C2068" s="7" t="n"/>
      <c r="D2068" s="7" t="n"/>
      <c r="E2068" s="9">
        <f>IF(D2068="","",IFERROR(INDEX('Stock pièces'!$B$5:$B$404,MATCH(D2068,'Stock pièces'!$A$5:$A$404,0)),"Réf. inconnue"))</f>
        <v/>
      </c>
      <c r="F2068" s="67" t="n"/>
      <c r="G2068" s="81">
        <f>IF(D2068="","",IFERROR(INDEX('Stock pièces'!$I$5:$I$404,MATCH(D2068,'Stock pièces'!$A$5:$A$404,0)),0))</f>
        <v/>
      </c>
      <c r="H2068" s="81">
        <f>IF(D2068="","",N(F2068)*N(G2068))</f>
        <v/>
      </c>
      <c r="I2068" s="7" t="n"/>
      <c r="J2068" s="9">
        <f>IF(I2068="","",IFERROR(INDEX('Ordres de travail'!$D$5:$D$3004,MATCH(I2068,'Ordres de travail'!$A$5:$A$3004,0)),""))</f>
        <v/>
      </c>
      <c r="K2068" s="9">
        <f>IF(D2068="","",IFERROR(INDEX('Stock pièces'!$D$5:$D$404,MATCH(D2068,'Stock pièces'!$A$5:$A$404,0)),""))</f>
        <v/>
      </c>
      <c r="L2068" s="7" t="n"/>
      <c r="M2068" s="7" t="n"/>
    </row>
    <row r="2069">
      <c r="A2069" s="7" t="n"/>
      <c r="B2069" s="75" t="n"/>
      <c r="C2069" s="7" t="n"/>
      <c r="D2069" s="7" t="n"/>
      <c r="E2069" s="9">
        <f>IF(D2069="","",IFERROR(INDEX('Stock pièces'!$B$5:$B$404,MATCH(D2069,'Stock pièces'!$A$5:$A$404,0)),"Réf. inconnue"))</f>
        <v/>
      </c>
      <c r="F2069" s="67" t="n"/>
      <c r="G2069" s="81">
        <f>IF(D2069="","",IFERROR(INDEX('Stock pièces'!$I$5:$I$404,MATCH(D2069,'Stock pièces'!$A$5:$A$404,0)),0))</f>
        <v/>
      </c>
      <c r="H2069" s="81">
        <f>IF(D2069="","",N(F2069)*N(G2069))</f>
        <v/>
      </c>
      <c r="I2069" s="7" t="n"/>
      <c r="J2069" s="9">
        <f>IF(I2069="","",IFERROR(INDEX('Ordres de travail'!$D$5:$D$3004,MATCH(I2069,'Ordres de travail'!$A$5:$A$3004,0)),""))</f>
        <v/>
      </c>
      <c r="K2069" s="9">
        <f>IF(D2069="","",IFERROR(INDEX('Stock pièces'!$D$5:$D$404,MATCH(D2069,'Stock pièces'!$A$5:$A$404,0)),""))</f>
        <v/>
      </c>
      <c r="L2069" s="7" t="n"/>
      <c r="M2069" s="7" t="n"/>
    </row>
    <row r="2070">
      <c r="A2070" s="7" t="n"/>
      <c r="B2070" s="75" t="n"/>
      <c r="C2070" s="7" t="n"/>
      <c r="D2070" s="7" t="n"/>
      <c r="E2070" s="9">
        <f>IF(D2070="","",IFERROR(INDEX('Stock pièces'!$B$5:$B$404,MATCH(D2070,'Stock pièces'!$A$5:$A$404,0)),"Réf. inconnue"))</f>
        <v/>
      </c>
      <c r="F2070" s="67" t="n"/>
      <c r="G2070" s="81">
        <f>IF(D2070="","",IFERROR(INDEX('Stock pièces'!$I$5:$I$404,MATCH(D2070,'Stock pièces'!$A$5:$A$404,0)),0))</f>
        <v/>
      </c>
      <c r="H2070" s="81">
        <f>IF(D2070="","",N(F2070)*N(G2070))</f>
        <v/>
      </c>
      <c r="I2070" s="7" t="n"/>
      <c r="J2070" s="9">
        <f>IF(I2070="","",IFERROR(INDEX('Ordres de travail'!$D$5:$D$3004,MATCH(I2070,'Ordres de travail'!$A$5:$A$3004,0)),""))</f>
        <v/>
      </c>
      <c r="K2070" s="9">
        <f>IF(D2070="","",IFERROR(INDEX('Stock pièces'!$D$5:$D$404,MATCH(D2070,'Stock pièces'!$A$5:$A$404,0)),""))</f>
        <v/>
      </c>
      <c r="L2070" s="7" t="n"/>
      <c r="M2070" s="7" t="n"/>
    </row>
    <row r="2071">
      <c r="A2071" s="7" t="n"/>
      <c r="B2071" s="75" t="n"/>
      <c r="C2071" s="7" t="n"/>
      <c r="D2071" s="7" t="n"/>
      <c r="E2071" s="9">
        <f>IF(D2071="","",IFERROR(INDEX('Stock pièces'!$B$5:$B$404,MATCH(D2071,'Stock pièces'!$A$5:$A$404,0)),"Réf. inconnue"))</f>
        <v/>
      </c>
      <c r="F2071" s="67" t="n"/>
      <c r="G2071" s="81">
        <f>IF(D2071="","",IFERROR(INDEX('Stock pièces'!$I$5:$I$404,MATCH(D2071,'Stock pièces'!$A$5:$A$404,0)),0))</f>
        <v/>
      </c>
      <c r="H2071" s="81">
        <f>IF(D2071="","",N(F2071)*N(G2071))</f>
        <v/>
      </c>
      <c r="I2071" s="7" t="n"/>
      <c r="J2071" s="9">
        <f>IF(I2071="","",IFERROR(INDEX('Ordres de travail'!$D$5:$D$3004,MATCH(I2071,'Ordres de travail'!$A$5:$A$3004,0)),""))</f>
        <v/>
      </c>
      <c r="K2071" s="9">
        <f>IF(D2071="","",IFERROR(INDEX('Stock pièces'!$D$5:$D$404,MATCH(D2071,'Stock pièces'!$A$5:$A$404,0)),""))</f>
        <v/>
      </c>
      <c r="L2071" s="7" t="n"/>
      <c r="M2071" s="7" t="n"/>
    </row>
    <row r="2072">
      <c r="A2072" s="7" t="n"/>
      <c r="B2072" s="75" t="n"/>
      <c r="C2072" s="7" t="n"/>
      <c r="D2072" s="7" t="n"/>
      <c r="E2072" s="9">
        <f>IF(D2072="","",IFERROR(INDEX('Stock pièces'!$B$5:$B$404,MATCH(D2072,'Stock pièces'!$A$5:$A$404,0)),"Réf. inconnue"))</f>
        <v/>
      </c>
      <c r="F2072" s="67" t="n"/>
      <c r="G2072" s="81">
        <f>IF(D2072="","",IFERROR(INDEX('Stock pièces'!$I$5:$I$404,MATCH(D2072,'Stock pièces'!$A$5:$A$404,0)),0))</f>
        <v/>
      </c>
      <c r="H2072" s="81">
        <f>IF(D2072="","",N(F2072)*N(G2072))</f>
        <v/>
      </c>
      <c r="I2072" s="7" t="n"/>
      <c r="J2072" s="9">
        <f>IF(I2072="","",IFERROR(INDEX('Ordres de travail'!$D$5:$D$3004,MATCH(I2072,'Ordres de travail'!$A$5:$A$3004,0)),""))</f>
        <v/>
      </c>
      <c r="K2072" s="9">
        <f>IF(D2072="","",IFERROR(INDEX('Stock pièces'!$D$5:$D$404,MATCH(D2072,'Stock pièces'!$A$5:$A$404,0)),""))</f>
        <v/>
      </c>
      <c r="L2072" s="7" t="n"/>
      <c r="M2072" s="7" t="n"/>
    </row>
    <row r="2073">
      <c r="A2073" s="7" t="n"/>
      <c r="B2073" s="75" t="n"/>
      <c r="C2073" s="7" t="n"/>
      <c r="D2073" s="7" t="n"/>
      <c r="E2073" s="9">
        <f>IF(D2073="","",IFERROR(INDEX('Stock pièces'!$B$5:$B$404,MATCH(D2073,'Stock pièces'!$A$5:$A$404,0)),"Réf. inconnue"))</f>
        <v/>
      </c>
      <c r="F2073" s="67" t="n"/>
      <c r="G2073" s="81">
        <f>IF(D2073="","",IFERROR(INDEX('Stock pièces'!$I$5:$I$404,MATCH(D2073,'Stock pièces'!$A$5:$A$404,0)),0))</f>
        <v/>
      </c>
      <c r="H2073" s="81">
        <f>IF(D2073="","",N(F2073)*N(G2073))</f>
        <v/>
      </c>
      <c r="I2073" s="7" t="n"/>
      <c r="J2073" s="9">
        <f>IF(I2073="","",IFERROR(INDEX('Ordres de travail'!$D$5:$D$3004,MATCH(I2073,'Ordres de travail'!$A$5:$A$3004,0)),""))</f>
        <v/>
      </c>
      <c r="K2073" s="9">
        <f>IF(D2073="","",IFERROR(INDEX('Stock pièces'!$D$5:$D$404,MATCH(D2073,'Stock pièces'!$A$5:$A$404,0)),""))</f>
        <v/>
      </c>
      <c r="L2073" s="7" t="n"/>
      <c r="M2073" s="7" t="n"/>
    </row>
    <row r="2074">
      <c r="A2074" s="7" t="n"/>
      <c r="B2074" s="75" t="n"/>
      <c r="C2074" s="7" t="n"/>
      <c r="D2074" s="7" t="n"/>
      <c r="E2074" s="9">
        <f>IF(D2074="","",IFERROR(INDEX('Stock pièces'!$B$5:$B$404,MATCH(D2074,'Stock pièces'!$A$5:$A$404,0)),"Réf. inconnue"))</f>
        <v/>
      </c>
      <c r="F2074" s="67" t="n"/>
      <c r="G2074" s="81">
        <f>IF(D2074="","",IFERROR(INDEX('Stock pièces'!$I$5:$I$404,MATCH(D2074,'Stock pièces'!$A$5:$A$404,0)),0))</f>
        <v/>
      </c>
      <c r="H2074" s="81">
        <f>IF(D2074="","",N(F2074)*N(G2074))</f>
        <v/>
      </c>
      <c r="I2074" s="7" t="n"/>
      <c r="J2074" s="9">
        <f>IF(I2074="","",IFERROR(INDEX('Ordres de travail'!$D$5:$D$3004,MATCH(I2074,'Ordres de travail'!$A$5:$A$3004,0)),""))</f>
        <v/>
      </c>
      <c r="K2074" s="9">
        <f>IF(D2074="","",IFERROR(INDEX('Stock pièces'!$D$5:$D$404,MATCH(D2074,'Stock pièces'!$A$5:$A$404,0)),""))</f>
        <v/>
      </c>
      <c r="L2074" s="7" t="n"/>
      <c r="M2074" s="7" t="n"/>
    </row>
    <row r="2075">
      <c r="A2075" s="7" t="n"/>
      <c r="B2075" s="75" t="n"/>
      <c r="C2075" s="7" t="n"/>
      <c r="D2075" s="7" t="n"/>
      <c r="E2075" s="9">
        <f>IF(D2075="","",IFERROR(INDEX('Stock pièces'!$B$5:$B$404,MATCH(D2075,'Stock pièces'!$A$5:$A$404,0)),"Réf. inconnue"))</f>
        <v/>
      </c>
      <c r="F2075" s="67" t="n"/>
      <c r="G2075" s="81">
        <f>IF(D2075="","",IFERROR(INDEX('Stock pièces'!$I$5:$I$404,MATCH(D2075,'Stock pièces'!$A$5:$A$404,0)),0))</f>
        <v/>
      </c>
      <c r="H2075" s="81">
        <f>IF(D2075="","",N(F2075)*N(G2075))</f>
        <v/>
      </c>
      <c r="I2075" s="7" t="n"/>
      <c r="J2075" s="9">
        <f>IF(I2075="","",IFERROR(INDEX('Ordres de travail'!$D$5:$D$3004,MATCH(I2075,'Ordres de travail'!$A$5:$A$3004,0)),""))</f>
        <v/>
      </c>
      <c r="K2075" s="9">
        <f>IF(D2075="","",IFERROR(INDEX('Stock pièces'!$D$5:$D$404,MATCH(D2075,'Stock pièces'!$A$5:$A$404,0)),""))</f>
        <v/>
      </c>
      <c r="L2075" s="7" t="n"/>
      <c r="M2075" s="7" t="n"/>
    </row>
    <row r="2076">
      <c r="A2076" s="7" t="n"/>
      <c r="B2076" s="75" t="n"/>
      <c r="C2076" s="7" t="n"/>
      <c r="D2076" s="7" t="n"/>
      <c r="E2076" s="9">
        <f>IF(D2076="","",IFERROR(INDEX('Stock pièces'!$B$5:$B$404,MATCH(D2076,'Stock pièces'!$A$5:$A$404,0)),"Réf. inconnue"))</f>
        <v/>
      </c>
      <c r="F2076" s="67" t="n"/>
      <c r="G2076" s="81">
        <f>IF(D2076="","",IFERROR(INDEX('Stock pièces'!$I$5:$I$404,MATCH(D2076,'Stock pièces'!$A$5:$A$404,0)),0))</f>
        <v/>
      </c>
      <c r="H2076" s="81">
        <f>IF(D2076="","",N(F2076)*N(G2076))</f>
        <v/>
      </c>
      <c r="I2076" s="7" t="n"/>
      <c r="J2076" s="9">
        <f>IF(I2076="","",IFERROR(INDEX('Ordres de travail'!$D$5:$D$3004,MATCH(I2076,'Ordres de travail'!$A$5:$A$3004,0)),""))</f>
        <v/>
      </c>
      <c r="K2076" s="9">
        <f>IF(D2076="","",IFERROR(INDEX('Stock pièces'!$D$5:$D$404,MATCH(D2076,'Stock pièces'!$A$5:$A$404,0)),""))</f>
        <v/>
      </c>
      <c r="L2076" s="7" t="n"/>
      <c r="M2076" s="7" t="n"/>
    </row>
    <row r="2077">
      <c r="A2077" s="7" t="n"/>
      <c r="B2077" s="75" t="n"/>
      <c r="C2077" s="7" t="n"/>
      <c r="D2077" s="7" t="n"/>
      <c r="E2077" s="9">
        <f>IF(D2077="","",IFERROR(INDEX('Stock pièces'!$B$5:$B$404,MATCH(D2077,'Stock pièces'!$A$5:$A$404,0)),"Réf. inconnue"))</f>
        <v/>
      </c>
      <c r="F2077" s="67" t="n"/>
      <c r="G2077" s="81">
        <f>IF(D2077="","",IFERROR(INDEX('Stock pièces'!$I$5:$I$404,MATCH(D2077,'Stock pièces'!$A$5:$A$404,0)),0))</f>
        <v/>
      </c>
      <c r="H2077" s="81">
        <f>IF(D2077="","",N(F2077)*N(G2077))</f>
        <v/>
      </c>
      <c r="I2077" s="7" t="n"/>
      <c r="J2077" s="9">
        <f>IF(I2077="","",IFERROR(INDEX('Ordres de travail'!$D$5:$D$3004,MATCH(I2077,'Ordres de travail'!$A$5:$A$3004,0)),""))</f>
        <v/>
      </c>
      <c r="K2077" s="9">
        <f>IF(D2077="","",IFERROR(INDEX('Stock pièces'!$D$5:$D$404,MATCH(D2077,'Stock pièces'!$A$5:$A$404,0)),""))</f>
        <v/>
      </c>
      <c r="L2077" s="7" t="n"/>
      <c r="M2077" s="7" t="n"/>
    </row>
    <row r="2078">
      <c r="A2078" s="7" t="n"/>
      <c r="B2078" s="75" t="n"/>
      <c r="C2078" s="7" t="n"/>
      <c r="D2078" s="7" t="n"/>
      <c r="E2078" s="9">
        <f>IF(D2078="","",IFERROR(INDEX('Stock pièces'!$B$5:$B$404,MATCH(D2078,'Stock pièces'!$A$5:$A$404,0)),"Réf. inconnue"))</f>
        <v/>
      </c>
      <c r="F2078" s="67" t="n"/>
      <c r="G2078" s="81">
        <f>IF(D2078="","",IFERROR(INDEX('Stock pièces'!$I$5:$I$404,MATCH(D2078,'Stock pièces'!$A$5:$A$404,0)),0))</f>
        <v/>
      </c>
      <c r="H2078" s="81">
        <f>IF(D2078="","",N(F2078)*N(G2078))</f>
        <v/>
      </c>
      <c r="I2078" s="7" t="n"/>
      <c r="J2078" s="9">
        <f>IF(I2078="","",IFERROR(INDEX('Ordres de travail'!$D$5:$D$3004,MATCH(I2078,'Ordres de travail'!$A$5:$A$3004,0)),""))</f>
        <v/>
      </c>
      <c r="K2078" s="9">
        <f>IF(D2078="","",IFERROR(INDEX('Stock pièces'!$D$5:$D$404,MATCH(D2078,'Stock pièces'!$A$5:$A$404,0)),""))</f>
        <v/>
      </c>
      <c r="L2078" s="7" t="n"/>
      <c r="M2078" s="7" t="n"/>
    </row>
    <row r="2079">
      <c r="A2079" s="7" t="n"/>
      <c r="B2079" s="75" t="n"/>
      <c r="C2079" s="7" t="n"/>
      <c r="D2079" s="7" t="n"/>
      <c r="E2079" s="9">
        <f>IF(D2079="","",IFERROR(INDEX('Stock pièces'!$B$5:$B$404,MATCH(D2079,'Stock pièces'!$A$5:$A$404,0)),"Réf. inconnue"))</f>
        <v/>
      </c>
      <c r="F2079" s="67" t="n"/>
      <c r="G2079" s="81">
        <f>IF(D2079="","",IFERROR(INDEX('Stock pièces'!$I$5:$I$404,MATCH(D2079,'Stock pièces'!$A$5:$A$404,0)),0))</f>
        <v/>
      </c>
      <c r="H2079" s="81">
        <f>IF(D2079="","",N(F2079)*N(G2079))</f>
        <v/>
      </c>
      <c r="I2079" s="7" t="n"/>
      <c r="J2079" s="9">
        <f>IF(I2079="","",IFERROR(INDEX('Ordres de travail'!$D$5:$D$3004,MATCH(I2079,'Ordres de travail'!$A$5:$A$3004,0)),""))</f>
        <v/>
      </c>
      <c r="K2079" s="9">
        <f>IF(D2079="","",IFERROR(INDEX('Stock pièces'!$D$5:$D$404,MATCH(D2079,'Stock pièces'!$A$5:$A$404,0)),""))</f>
        <v/>
      </c>
      <c r="L2079" s="7" t="n"/>
      <c r="M2079" s="7" t="n"/>
    </row>
    <row r="2080">
      <c r="A2080" s="7" t="n"/>
      <c r="B2080" s="75" t="n"/>
      <c r="C2080" s="7" t="n"/>
      <c r="D2080" s="7" t="n"/>
      <c r="E2080" s="9">
        <f>IF(D2080="","",IFERROR(INDEX('Stock pièces'!$B$5:$B$404,MATCH(D2080,'Stock pièces'!$A$5:$A$404,0)),"Réf. inconnue"))</f>
        <v/>
      </c>
      <c r="F2080" s="67" t="n"/>
      <c r="G2080" s="81">
        <f>IF(D2080="","",IFERROR(INDEX('Stock pièces'!$I$5:$I$404,MATCH(D2080,'Stock pièces'!$A$5:$A$404,0)),0))</f>
        <v/>
      </c>
      <c r="H2080" s="81">
        <f>IF(D2080="","",N(F2080)*N(G2080))</f>
        <v/>
      </c>
      <c r="I2080" s="7" t="n"/>
      <c r="J2080" s="9">
        <f>IF(I2080="","",IFERROR(INDEX('Ordres de travail'!$D$5:$D$3004,MATCH(I2080,'Ordres de travail'!$A$5:$A$3004,0)),""))</f>
        <v/>
      </c>
      <c r="K2080" s="9">
        <f>IF(D2080="","",IFERROR(INDEX('Stock pièces'!$D$5:$D$404,MATCH(D2080,'Stock pièces'!$A$5:$A$404,0)),""))</f>
        <v/>
      </c>
      <c r="L2080" s="7" t="n"/>
      <c r="M2080" s="7" t="n"/>
    </row>
    <row r="2081">
      <c r="A2081" s="7" t="n"/>
      <c r="B2081" s="75" t="n"/>
      <c r="C2081" s="7" t="n"/>
      <c r="D2081" s="7" t="n"/>
      <c r="E2081" s="9">
        <f>IF(D2081="","",IFERROR(INDEX('Stock pièces'!$B$5:$B$404,MATCH(D2081,'Stock pièces'!$A$5:$A$404,0)),"Réf. inconnue"))</f>
        <v/>
      </c>
      <c r="F2081" s="67" t="n"/>
      <c r="G2081" s="81">
        <f>IF(D2081="","",IFERROR(INDEX('Stock pièces'!$I$5:$I$404,MATCH(D2081,'Stock pièces'!$A$5:$A$404,0)),0))</f>
        <v/>
      </c>
      <c r="H2081" s="81">
        <f>IF(D2081="","",N(F2081)*N(G2081))</f>
        <v/>
      </c>
      <c r="I2081" s="7" t="n"/>
      <c r="J2081" s="9">
        <f>IF(I2081="","",IFERROR(INDEX('Ordres de travail'!$D$5:$D$3004,MATCH(I2081,'Ordres de travail'!$A$5:$A$3004,0)),""))</f>
        <v/>
      </c>
      <c r="K2081" s="9">
        <f>IF(D2081="","",IFERROR(INDEX('Stock pièces'!$D$5:$D$404,MATCH(D2081,'Stock pièces'!$A$5:$A$404,0)),""))</f>
        <v/>
      </c>
      <c r="L2081" s="7" t="n"/>
      <c r="M2081" s="7" t="n"/>
    </row>
    <row r="2082">
      <c r="A2082" s="7" t="n"/>
      <c r="B2082" s="75" t="n"/>
      <c r="C2082" s="7" t="n"/>
      <c r="D2082" s="7" t="n"/>
      <c r="E2082" s="9">
        <f>IF(D2082="","",IFERROR(INDEX('Stock pièces'!$B$5:$B$404,MATCH(D2082,'Stock pièces'!$A$5:$A$404,0)),"Réf. inconnue"))</f>
        <v/>
      </c>
      <c r="F2082" s="67" t="n"/>
      <c r="G2082" s="81">
        <f>IF(D2082="","",IFERROR(INDEX('Stock pièces'!$I$5:$I$404,MATCH(D2082,'Stock pièces'!$A$5:$A$404,0)),0))</f>
        <v/>
      </c>
      <c r="H2082" s="81">
        <f>IF(D2082="","",N(F2082)*N(G2082))</f>
        <v/>
      </c>
      <c r="I2082" s="7" t="n"/>
      <c r="J2082" s="9">
        <f>IF(I2082="","",IFERROR(INDEX('Ordres de travail'!$D$5:$D$3004,MATCH(I2082,'Ordres de travail'!$A$5:$A$3004,0)),""))</f>
        <v/>
      </c>
      <c r="K2082" s="9">
        <f>IF(D2082="","",IFERROR(INDEX('Stock pièces'!$D$5:$D$404,MATCH(D2082,'Stock pièces'!$A$5:$A$404,0)),""))</f>
        <v/>
      </c>
      <c r="L2082" s="7" t="n"/>
      <c r="M2082" s="7" t="n"/>
    </row>
    <row r="2083">
      <c r="A2083" s="7" t="n"/>
      <c r="B2083" s="75" t="n"/>
      <c r="C2083" s="7" t="n"/>
      <c r="D2083" s="7" t="n"/>
      <c r="E2083" s="9">
        <f>IF(D2083="","",IFERROR(INDEX('Stock pièces'!$B$5:$B$404,MATCH(D2083,'Stock pièces'!$A$5:$A$404,0)),"Réf. inconnue"))</f>
        <v/>
      </c>
      <c r="F2083" s="67" t="n"/>
      <c r="G2083" s="81">
        <f>IF(D2083="","",IFERROR(INDEX('Stock pièces'!$I$5:$I$404,MATCH(D2083,'Stock pièces'!$A$5:$A$404,0)),0))</f>
        <v/>
      </c>
      <c r="H2083" s="81">
        <f>IF(D2083="","",N(F2083)*N(G2083))</f>
        <v/>
      </c>
      <c r="I2083" s="7" t="n"/>
      <c r="J2083" s="9">
        <f>IF(I2083="","",IFERROR(INDEX('Ordres de travail'!$D$5:$D$3004,MATCH(I2083,'Ordres de travail'!$A$5:$A$3004,0)),""))</f>
        <v/>
      </c>
      <c r="K2083" s="9">
        <f>IF(D2083="","",IFERROR(INDEX('Stock pièces'!$D$5:$D$404,MATCH(D2083,'Stock pièces'!$A$5:$A$404,0)),""))</f>
        <v/>
      </c>
      <c r="L2083" s="7" t="n"/>
      <c r="M2083" s="7" t="n"/>
    </row>
    <row r="2084">
      <c r="A2084" s="7" t="n"/>
      <c r="B2084" s="75" t="n"/>
      <c r="C2084" s="7" t="n"/>
      <c r="D2084" s="7" t="n"/>
      <c r="E2084" s="9">
        <f>IF(D2084="","",IFERROR(INDEX('Stock pièces'!$B$5:$B$404,MATCH(D2084,'Stock pièces'!$A$5:$A$404,0)),"Réf. inconnue"))</f>
        <v/>
      </c>
      <c r="F2084" s="67" t="n"/>
      <c r="G2084" s="81">
        <f>IF(D2084="","",IFERROR(INDEX('Stock pièces'!$I$5:$I$404,MATCH(D2084,'Stock pièces'!$A$5:$A$404,0)),0))</f>
        <v/>
      </c>
      <c r="H2084" s="81">
        <f>IF(D2084="","",N(F2084)*N(G2084))</f>
        <v/>
      </c>
      <c r="I2084" s="7" t="n"/>
      <c r="J2084" s="9">
        <f>IF(I2084="","",IFERROR(INDEX('Ordres de travail'!$D$5:$D$3004,MATCH(I2084,'Ordres de travail'!$A$5:$A$3004,0)),""))</f>
        <v/>
      </c>
      <c r="K2084" s="9">
        <f>IF(D2084="","",IFERROR(INDEX('Stock pièces'!$D$5:$D$404,MATCH(D2084,'Stock pièces'!$A$5:$A$404,0)),""))</f>
        <v/>
      </c>
      <c r="L2084" s="7" t="n"/>
      <c r="M2084" s="7" t="n"/>
    </row>
    <row r="2085">
      <c r="A2085" s="7" t="n"/>
      <c r="B2085" s="75" t="n"/>
      <c r="C2085" s="7" t="n"/>
      <c r="D2085" s="7" t="n"/>
      <c r="E2085" s="9">
        <f>IF(D2085="","",IFERROR(INDEX('Stock pièces'!$B$5:$B$404,MATCH(D2085,'Stock pièces'!$A$5:$A$404,0)),"Réf. inconnue"))</f>
        <v/>
      </c>
      <c r="F2085" s="67" t="n"/>
      <c r="G2085" s="81">
        <f>IF(D2085="","",IFERROR(INDEX('Stock pièces'!$I$5:$I$404,MATCH(D2085,'Stock pièces'!$A$5:$A$404,0)),0))</f>
        <v/>
      </c>
      <c r="H2085" s="81">
        <f>IF(D2085="","",N(F2085)*N(G2085))</f>
        <v/>
      </c>
      <c r="I2085" s="7" t="n"/>
      <c r="J2085" s="9">
        <f>IF(I2085="","",IFERROR(INDEX('Ordres de travail'!$D$5:$D$3004,MATCH(I2085,'Ordres de travail'!$A$5:$A$3004,0)),""))</f>
        <v/>
      </c>
      <c r="K2085" s="9">
        <f>IF(D2085="","",IFERROR(INDEX('Stock pièces'!$D$5:$D$404,MATCH(D2085,'Stock pièces'!$A$5:$A$404,0)),""))</f>
        <v/>
      </c>
      <c r="L2085" s="7" t="n"/>
      <c r="M2085" s="7" t="n"/>
    </row>
    <row r="2086">
      <c r="A2086" s="7" t="n"/>
      <c r="B2086" s="75" t="n"/>
      <c r="C2086" s="7" t="n"/>
      <c r="D2086" s="7" t="n"/>
      <c r="E2086" s="9">
        <f>IF(D2086="","",IFERROR(INDEX('Stock pièces'!$B$5:$B$404,MATCH(D2086,'Stock pièces'!$A$5:$A$404,0)),"Réf. inconnue"))</f>
        <v/>
      </c>
      <c r="F2086" s="67" t="n"/>
      <c r="G2086" s="81">
        <f>IF(D2086="","",IFERROR(INDEX('Stock pièces'!$I$5:$I$404,MATCH(D2086,'Stock pièces'!$A$5:$A$404,0)),0))</f>
        <v/>
      </c>
      <c r="H2086" s="81">
        <f>IF(D2086="","",N(F2086)*N(G2086))</f>
        <v/>
      </c>
      <c r="I2086" s="7" t="n"/>
      <c r="J2086" s="9">
        <f>IF(I2086="","",IFERROR(INDEX('Ordres de travail'!$D$5:$D$3004,MATCH(I2086,'Ordres de travail'!$A$5:$A$3004,0)),""))</f>
        <v/>
      </c>
      <c r="K2086" s="9">
        <f>IF(D2086="","",IFERROR(INDEX('Stock pièces'!$D$5:$D$404,MATCH(D2086,'Stock pièces'!$A$5:$A$404,0)),""))</f>
        <v/>
      </c>
      <c r="L2086" s="7" t="n"/>
      <c r="M2086" s="7" t="n"/>
    </row>
    <row r="2087">
      <c r="A2087" s="7" t="n"/>
      <c r="B2087" s="75" t="n"/>
      <c r="C2087" s="7" t="n"/>
      <c r="D2087" s="7" t="n"/>
      <c r="E2087" s="9">
        <f>IF(D2087="","",IFERROR(INDEX('Stock pièces'!$B$5:$B$404,MATCH(D2087,'Stock pièces'!$A$5:$A$404,0)),"Réf. inconnue"))</f>
        <v/>
      </c>
      <c r="F2087" s="67" t="n"/>
      <c r="G2087" s="81">
        <f>IF(D2087="","",IFERROR(INDEX('Stock pièces'!$I$5:$I$404,MATCH(D2087,'Stock pièces'!$A$5:$A$404,0)),0))</f>
        <v/>
      </c>
      <c r="H2087" s="81">
        <f>IF(D2087="","",N(F2087)*N(G2087))</f>
        <v/>
      </c>
      <c r="I2087" s="7" t="n"/>
      <c r="J2087" s="9">
        <f>IF(I2087="","",IFERROR(INDEX('Ordres de travail'!$D$5:$D$3004,MATCH(I2087,'Ordres de travail'!$A$5:$A$3004,0)),""))</f>
        <v/>
      </c>
      <c r="K2087" s="9">
        <f>IF(D2087="","",IFERROR(INDEX('Stock pièces'!$D$5:$D$404,MATCH(D2087,'Stock pièces'!$A$5:$A$404,0)),""))</f>
        <v/>
      </c>
      <c r="L2087" s="7" t="n"/>
      <c r="M2087" s="7" t="n"/>
    </row>
    <row r="2088">
      <c r="A2088" s="7" t="n"/>
      <c r="B2088" s="75" t="n"/>
      <c r="C2088" s="7" t="n"/>
      <c r="D2088" s="7" t="n"/>
      <c r="E2088" s="9">
        <f>IF(D2088="","",IFERROR(INDEX('Stock pièces'!$B$5:$B$404,MATCH(D2088,'Stock pièces'!$A$5:$A$404,0)),"Réf. inconnue"))</f>
        <v/>
      </c>
      <c r="F2088" s="67" t="n"/>
      <c r="G2088" s="81">
        <f>IF(D2088="","",IFERROR(INDEX('Stock pièces'!$I$5:$I$404,MATCH(D2088,'Stock pièces'!$A$5:$A$404,0)),0))</f>
        <v/>
      </c>
      <c r="H2088" s="81">
        <f>IF(D2088="","",N(F2088)*N(G2088))</f>
        <v/>
      </c>
      <c r="I2088" s="7" t="n"/>
      <c r="J2088" s="9">
        <f>IF(I2088="","",IFERROR(INDEX('Ordres de travail'!$D$5:$D$3004,MATCH(I2088,'Ordres de travail'!$A$5:$A$3004,0)),""))</f>
        <v/>
      </c>
      <c r="K2088" s="9">
        <f>IF(D2088="","",IFERROR(INDEX('Stock pièces'!$D$5:$D$404,MATCH(D2088,'Stock pièces'!$A$5:$A$404,0)),""))</f>
        <v/>
      </c>
      <c r="L2088" s="7" t="n"/>
      <c r="M2088" s="7" t="n"/>
    </row>
    <row r="2089">
      <c r="A2089" s="7" t="n"/>
      <c r="B2089" s="75" t="n"/>
      <c r="C2089" s="7" t="n"/>
      <c r="D2089" s="7" t="n"/>
      <c r="E2089" s="9">
        <f>IF(D2089="","",IFERROR(INDEX('Stock pièces'!$B$5:$B$404,MATCH(D2089,'Stock pièces'!$A$5:$A$404,0)),"Réf. inconnue"))</f>
        <v/>
      </c>
      <c r="F2089" s="67" t="n"/>
      <c r="G2089" s="81">
        <f>IF(D2089="","",IFERROR(INDEX('Stock pièces'!$I$5:$I$404,MATCH(D2089,'Stock pièces'!$A$5:$A$404,0)),0))</f>
        <v/>
      </c>
      <c r="H2089" s="81">
        <f>IF(D2089="","",N(F2089)*N(G2089))</f>
        <v/>
      </c>
      <c r="I2089" s="7" t="n"/>
      <c r="J2089" s="9">
        <f>IF(I2089="","",IFERROR(INDEX('Ordres de travail'!$D$5:$D$3004,MATCH(I2089,'Ordres de travail'!$A$5:$A$3004,0)),""))</f>
        <v/>
      </c>
      <c r="K2089" s="9">
        <f>IF(D2089="","",IFERROR(INDEX('Stock pièces'!$D$5:$D$404,MATCH(D2089,'Stock pièces'!$A$5:$A$404,0)),""))</f>
        <v/>
      </c>
      <c r="L2089" s="7" t="n"/>
      <c r="M2089" s="7" t="n"/>
    </row>
    <row r="2090">
      <c r="A2090" s="7" t="n"/>
      <c r="B2090" s="75" t="n"/>
      <c r="C2090" s="7" t="n"/>
      <c r="D2090" s="7" t="n"/>
      <c r="E2090" s="9">
        <f>IF(D2090="","",IFERROR(INDEX('Stock pièces'!$B$5:$B$404,MATCH(D2090,'Stock pièces'!$A$5:$A$404,0)),"Réf. inconnue"))</f>
        <v/>
      </c>
      <c r="F2090" s="67" t="n"/>
      <c r="G2090" s="81">
        <f>IF(D2090="","",IFERROR(INDEX('Stock pièces'!$I$5:$I$404,MATCH(D2090,'Stock pièces'!$A$5:$A$404,0)),0))</f>
        <v/>
      </c>
      <c r="H2090" s="81">
        <f>IF(D2090="","",N(F2090)*N(G2090))</f>
        <v/>
      </c>
      <c r="I2090" s="7" t="n"/>
      <c r="J2090" s="9">
        <f>IF(I2090="","",IFERROR(INDEX('Ordres de travail'!$D$5:$D$3004,MATCH(I2090,'Ordres de travail'!$A$5:$A$3004,0)),""))</f>
        <v/>
      </c>
      <c r="K2090" s="9">
        <f>IF(D2090="","",IFERROR(INDEX('Stock pièces'!$D$5:$D$404,MATCH(D2090,'Stock pièces'!$A$5:$A$404,0)),""))</f>
        <v/>
      </c>
      <c r="L2090" s="7" t="n"/>
      <c r="M2090" s="7" t="n"/>
    </row>
    <row r="2091">
      <c r="A2091" s="7" t="n"/>
      <c r="B2091" s="75" t="n"/>
      <c r="C2091" s="7" t="n"/>
      <c r="D2091" s="7" t="n"/>
      <c r="E2091" s="9">
        <f>IF(D2091="","",IFERROR(INDEX('Stock pièces'!$B$5:$B$404,MATCH(D2091,'Stock pièces'!$A$5:$A$404,0)),"Réf. inconnue"))</f>
        <v/>
      </c>
      <c r="F2091" s="67" t="n"/>
      <c r="G2091" s="81">
        <f>IF(D2091="","",IFERROR(INDEX('Stock pièces'!$I$5:$I$404,MATCH(D2091,'Stock pièces'!$A$5:$A$404,0)),0))</f>
        <v/>
      </c>
      <c r="H2091" s="81">
        <f>IF(D2091="","",N(F2091)*N(G2091))</f>
        <v/>
      </c>
      <c r="I2091" s="7" t="n"/>
      <c r="J2091" s="9">
        <f>IF(I2091="","",IFERROR(INDEX('Ordres de travail'!$D$5:$D$3004,MATCH(I2091,'Ordres de travail'!$A$5:$A$3004,0)),""))</f>
        <v/>
      </c>
      <c r="K2091" s="9">
        <f>IF(D2091="","",IFERROR(INDEX('Stock pièces'!$D$5:$D$404,MATCH(D2091,'Stock pièces'!$A$5:$A$404,0)),""))</f>
        <v/>
      </c>
      <c r="L2091" s="7" t="n"/>
      <c r="M2091" s="7" t="n"/>
    </row>
    <row r="2092">
      <c r="A2092" s="7" t="n"/>
      <c r="B2092" s="75" t="n"/>
      <c r="C2092" s="7" t="n"/>
      <c r="D2092" s="7" t="n"/>
      <c r="E2092" s="9">
        <f>IF(D2092="","",IFERROR(INDEX('Stock pièces'!$B$5:$B$404,MATCH(D2092,'Stock pièces'!$A$5:$A$404,0)),"Réf. inconnue"))</f>
        <v/>
      </c>
      <c r="F2092" s="67" t="n"/>
      <c r="G2092" s="81">
        <f>IF(D2092="","",IFERROR(INDEX('Stock pièces'!$I$5:$I$404,MATCH(D2092,'Stock pièces'!$A$5:$A$404,0)),0))</f>
        <v/>
      </c>
      <c r="H2092" s="81">
        <f>IF(D2092="","",N(F2092)*N(G2092))</f>
        <v/>
      </c>
      <c r="I2092" s="7" t="n"/>
      <c r="J2092" s="9">
        <f>IF(I2092="","",IFERROR(INDEX('Ordres de travail'!$D$5:$D$3004,MATCH(I2092,'Ordres de travail'!$A$5:$A$3004,0)),""))</f>
        <v/>
      </c>
      <c r="K2092" s="9">
        <f>IF(D2092="","",IFERROR(INDEX('Stock pièces'!$D$5:$D$404,MATCH(D2092,'Stock pièces'!$A$5:$A$404,0)),""))</f>
        <v/>
      </c>
      <c r="L2092" s="7" t="n"/>
      <c r="M2092" s="7" t="n"/>
    </row>
    <row r="2093">
      <c r="A2093" s="7" t="n"/>
      <c r="B2093" s="75" t="n"/>
      <c r="C2093" s="7" t="n"/>
      <c r="D2093" s="7" t="n"/>
      <c r="E2093" s="9">
        <f>IF(D2093="","",IFERROR(INDEX('Stock pièces'!$B$5:$B$404,MATCH(D2093,'Stock pièces'!$A$5:$A$404,0)),"Réf. inconnue"))</f>
        <v/>
      </c>
      <c r="F2093" s="67" t="n"/>
      <c r="G2093" s="81">
        <f>IF(D2093="","",IFERROR(INDEX('Stock pièces'!$I$5:$I$404,MATCH(D2093,'Stock pièces'!$A$5:$A$404,0)),0))</f>
        <v/>
      </c>
      <c r="H2093" s="81">
        <f>IF(D2093="","",N(F2093)*N(G2093))</f>
        <v/>
      </c>
      <c r="I2093" s="7" t="n"/>
      <c r="J2093" s="9">
        <f>IF(I2093="","",IFERROR(INDEX('Ordres de travail'!$D$5:$D$3004,MATCH(I2093,'Ordres de travail'!$A$5:$A$3004,0)),""))</f>
        <v/>
      </c>
      <c r="K2093" s="9">
        <f>IF(D2093="","",IFERROR(INDEX('Stock pièces'!$D$5:$D$404,MATCH(D2093,'Stock pièces'!$A$5:$A$404,0)),""))</f>
        <v/>
      </c>
      <c r="L2093" s="7" t="n"/>
      <c r="M2093" s="7" t="n"/>
    </row>
    <row r="2094">
      <c r="A2094" s="7" t="n"/>
      <c r="B2094" s="75" t="n"/>
      <c r="C2094" s="7" t="n"/>
      <c r="D2094" s="7" t="n"/>
      <c r="E2094" s="9">
        <f>IF(D2094="","",IFERROR(INDEX('Stock pièces'!$B$5:$B$404,MATCH(D2094,'Stock pièces'!$A$5:$A$404,0)),"Réf. inconnue"))</f>
        <v/>
      </c>
      <c r="F2094" s="67" t="n"/>
      <c r="G2094" s="81">
        <f>IF(D2094="","",IFERROR(INDEX('Stock pièces'!$I$5:$I$404,MATCH(D2094,'Stock pièces'!$A$5:$A$404,0)),0))</f>
        <v/>
      </c>
      <c r="H2094" s="81">
        <f>IF(D2094="","",N(F2094)*N(G2094))</f>
        <v/>
      </c>
      <c r="I2094" s="7" t="n"/>
      <c r="J2094" s="9">
        <f>IF(I2094="","",IFERROR(INDEX('Ordres de travail'!$D$5:$D$3004,MATCH(I2094,'Ordres de travail'!$A$5:$A$3004,0)),""))</f>
        <v/>
      </c>
      <c r="K2094" s="9">
        <f>IF(D2094="","",IFERROR(INDEX('Stock pièces'!$D$5:$D$404,MATCH(D2094,'Stock pièces'!$A$5:$A$404,0)),""))</f>
        <v/>
      </c>
      <c r="L2094" s="7" t="n"/>
      <c r="M2094" s="7" t="n"/>
    </row>
    <row r="2095">
      <c r="A2095" s="7" t="n"/>
      <c r="B2095" s="75" t="n"/>
      <c r="C2095" s="7" t="n"/>
      <c r="D2095" s="7" t="n"/>
      <c r="E2095" s="9">
        <f>IF(D2095="","",IFERROR(INDEX('Stock pièces'!$B$5:$B$404,MATCH(D2095,'Stock pièces'!$A$5:$A$404,0)),"Réf. inconnue"))</f>
        <v/>
      </c>
      <c r="F2095" s="67" t="n"/>
      <c r="G2095" s="81">
        <f>IF(D2095="","",IFERROR(INDEX('Stock pièces'!$I$5:$I$404,MATCH(D2095,'Stock pièces'!$A$5:$A$404,0)),0))</f>
        <v/>
      </c>
      <c r="H2095" s="81">
        <f>IF(D2095="","",N(F2095)*N(G2095))</f>
        <v/>
      </c>
      <c r="I2095" s="7" t="n"/>
      <c r="J2095" s="9">
        <f>IF(I2095="","",IFERROR(INDEX('Ordres de travail'!$D$5:$D$3004,MATCH(I2095,'Ordres de travail'!$A$5:$A$3004,0)),""))</f>
        <v/>
      </c>
      <c r="K2095" s="9">
        <f>IF(D2095="","",IFERROR(INDEX('Stock pièces'!$D$5:$D$404,MATCH(D2095,'Stock pièces'!$A$5:$A$404,0)),""))</f>
        <v/>
      </c>
      <c r="L2095" s="7" t="n"/>
      <c r="M2095" s="7" t="n"/>
    </row>
    <row r="2096">
      <c r="A2096" s="7" t="n"/>
      <c r="B2096" s="75" t="n"/>
      <c r="C2096" s="7" t="n"/>
      <c r="D2096" s="7" t="n"/>
      <c r="E2096" s="9">
        <f>IF(D2096="","",IFERROR(INDEX('Stock pièces'!$B$5:$B$404,MATCH(D2096,'Stock pièces'!$A$5:$A$404,0)),"Réf. inconnue"))</f>
        <v/>
      </c>
      <c r="F2096" s="67" t="n"/>
      <c r="G2096" s="81">
        <f>IF(D2096="","",IFERROR(INDEX('Stock pièces'!$I$5:$I$404,MATCH(D2096,'Stock pièces'!$A$5:$A$404,0)),0))</f>
        <v/>
      </c>
      <c r="H2096" s="81">
        <f>IF(D2096="","",N(F2096)*N(G2096))</f>
        <v/>
      </c>
      <c r="I2096" s="7" t="n"/>
      <c r="J2096" s="9">
        <f>IF(I2096="","",IFERROR(INDEX('Ordres de travail'!$D$5:$D$3004,MATCH(I2096,'Ordres de travail'!$A$5:$A$3004,0)),""))</f>
        <v/>
      </c>
      <c r="K2096" s="9">
        <f>IF(D2096="","",IFERROR(INDEX('Stock pièces'!$D$5:$D$404,MATCH(D2096,'Stock pièces'!$A$5:$A$404,0)),""))</f>
        <v/>
      </c>
      <c r="L2096" s="7" t="n"/>
      <c r="M2096" s="7" t="n"/>
    </row>
    <row r="2097">
      <c r="A2097" s="7" t="n"/>
      <c r="B2097" s="75" t="n"/>
      <c r="C2097" s="7" t="n"/>
      <c r="D2097" s="7" t="n"/>
      <c r="E2097" s="9">
        <f>IF(D2097="","",IFERROR(INDEX('Stock pièces'!$B$5:$B$404,MATCH(D2097,'Stock pièces'!$A$5:$A$404,0)),"Réf. inconnue"))</f>
        <v/>
      </c>
      <c r="F2097" s="67" t="n"/>
      <c r="G2097" s="81">
        <f>IF(D2097="","",IFERROR(INDEX('Stock pièces'!$I$5:$I$404,MATCH(D2097,'Stock pièces'!$A$5:$A$404,0)),0))</f>
        <v/>
      </c>
      <c r="H2097" s="81">
        <f>IF(D2097="","",N(F2097)*N(G2097))</f>
        <v/>
      </c>
      <c r="I2097" s="7" t="n"/>
      <c r="J2097" s="9">
        <f>IF(I2097="","",IFERROR(INDEX('Ordres de travail'!$D$5:$D$3004,MATCH(I2097,'Ordres de travail'!$A$5:$A$3004,0)),""))</f>
        <v/>
      </c>
      <c r="K2097" s="9">
        <f>IF(D2097="","",IFERROR(INDEX('Stock pièces'!$D$5:$D$404,MATCH(D2097,'Stock pièces'!$A$5:$A$404,0)),""))</f>
        <v/>
      </c>
      <c r="L2097" s="7" t="n"/>
      <c r="M2097" s="7" t="n"/>
    </row>
    <row r="2098">
      <c r="A2098" s="7" t="n"/>
      <c r="B2098" s="75" t="n"/>
      <c r="C2098" s="7" t="n"/>
      <c r="D2098" s="7" t="n"/>
      <c r="E2098" s="9">
        <f>IF(D2098="","",IFERROR(INDEX('Stock pièces'!$B$5:$B$404,MATCH(D2098,'Stock pièces'!$A$5:$A$404,0)),"Réf. inconnue"))</f>
        <v/>
      </c>
      <c r="F2098" s="67" t="n"/>
      <c r="G2098" s="81">
        <f>IF(D2098="","",IFERROR(INDEX('Stock pièces'!$I$5:$I$404,MATCH(D2098,'Stock pièces'!$A$5:$A$404,0)),0))</f>
        <v/>
      </c>
      <c r="H2098" s="81">
        <f>IF(D2098="","",N(F2098)*N(G2098))</f>
        <v/>
      </c>
      <c r="I2098" s="7" t="n"/>
      <c r="J2098" s="9">
        <f>IF(I2098="","",IFERROR(INDEX('Ordres de travail'!$D$5:$D$3004,MATCH(I2098,'Ordres de travail'!$A$5:$A$3004,0)),""))</f>
        <v/>
      </c>
      <c r="K2098" s="9">
        <f>IF(D2098="","",IFERROR(INDEX('Stock pièces'!$D$5:$D$404,MATCH(D2098,'Stock pièces'!$A$5:$A$404,0)),""))</f>
        <v/>
      </c>
      <c r="L2098" s="7" t="n"/>
      <c r="M2098" s="7" t="n"/>
    </row>
    <row r="2099">
      <c r="A2099" s="7" t="n"/>
      <c r="B2099" s="75" t="n"/>
      <c r="C2099" s="7" t="n"/>
      <c r="D2099" s="7" t="n"/>
      <c r="E2099" s="9">
        <f>IF(D2099="","",IFERROR(INDEX('Stock pièces'!$B$5:$B$404,MATCH(D2099,'Stock pièces'!$A$5:$A$404,0)),"Réf. inconnue"))</f>
        <v/>
      </c>
      <c r="F2099" s="67" t="n"/>
      <c r="G2099" s="81">
        <f>IF(D2099="","",IFERROR(INDEX('Stock pièces'!$I$5:$I$404,MATCH(D2099,'Stock pièces'!$A$5:$A$404,0)),0))</f>
        <v/>
      </c>
      <c r="H2099" s="81">
        <f>IF(D2099="","",N(F2099)*N(G2099))</f>
        <v/>
      </c>
      <c r="I2099" s="7" t="n"/>
      <c r="J2099" s="9">
        <f>IF(I2099="","",IFERROR(INDEX('Ordres de travail'!$D$5:$D$3004,MATCH(I2099,'Ordres de travail'!$A$5:$A$3004,0)),""))</f>
        <v/>
      </c>
      <c r="K2099" s="9">
        <f>IF(D2099="","",IFERROR(INDEX('Stock pièces'!$D$5:$D$404,MATCH(D2099,'Stock pièces'!$A$5:$A$404,0)),""))</f>
        <v/>
      </c>
      <c r="L2099" s="7" t="n"/>
      <c r="M2099" s="7" t="n"/>
    </row>
    <row r="2100">
      <c r="A2100" s="7" t="n"/>
      <c r="B2100" s="75" t="n"/>
      <c r="C2100" s="7" t="n"/>
      <c r="D2100" s="7" t="n"/>
      <c r="E2100" s="9">
        <f>IF(D2100="","",IFERROR(INDEX('Stock pièces'!$B$5:$B$404,MATCH(D2100,'Stock pièces'!$A$5:$A$404,0)),"Réf. inconnue"))</f>
        <v/>
      </c>
      <c r="F2100" s="67" t="n"/>
      <c r="G2100" s="81">
        <f>IF(D2100="","",IFERROR(INDEX('Stock pièces'!$I$5:$I$404,MATCH(D2100,'Stock pièces'!$A$5:$A$404,0)),0))</f>
        <v/>
      </c>
      <c r="H2100" s="81">
        <f>IF(D2100="","",N(F2100)*N(G2100))</f>
        <v/>
      </c>
      <c r="I2100" s="7" t="n"/>
      <c r="J2100" s="9">
        <f>IF(I2100="","",IFERROR(INDEX('Ordres de travail'!$D$5:$D$3004,MATCH(I2100,'Ordres de travail'!$A$5:$A$3004,0)),""))</f>
        <v/>
      </c>
      <c r="K2100" s="9">
        <f>IF(D2100="","",IFERROR(INDEX('Stock pièces'!$D$5:$D$404,MATCH(D2100,'Stock pièces'!$A$5:$A$404,0)),""))</f>
        <v/>
      </c>
      <c r="L2100" s="7" t="n"/>
      <c r="M2100" s="7" t="n"/>
    </row>
    <row r="2101">
      <c r="A2101" s="7" t="n"/>
      <c r="B2101" s="75" t="n"/>
      <c r="C2101" s="7" t="n"/>
      <c r="D2101" s="7" t="n"/>
      <c r="E2101" s="9">
        <f>IF(D2101="","",IFERROR(INDEX('Stock pièces'!$B$5:$B$404,MATCH(D2101,'Stock pièces'!$A$5:$A$404,0)),"Réf. inconnue"))</f>
        <v/>
      </c>
      <c r="F2101" s="67" t="n"/>
      <c r="G2101" s="81">
        <f>IF(D2101="","",IFERROR(INDEX('Stock pièces'!$I$5:$I$404,MATCH(D2101,'Stock pièces'!$A$5:$A$404,0)),0))</f>
        <v/>
      </c>
      <c r="H2101" s="81">
        <f>IF(D2101="","",N(F2101)*N(G2101))</f>
        <v/>
      </c>
      <c r="I2101" s="7" t="n"/>
      <c r="J2101" s="9">
        <f>IF(I2101="","",IFERROR(INDEX('Ordres de travail'!$D$5:$D$3004,MATCH(I2101,'Ordres de travail'!$A$5:$A$3004,0)),""))</f>
        <v/>
      </c>
      <c r="K2101" s="9">
        <f>IF(D2101="","",IFERROR(INDEX('Stock pièces'!$D$5:$D$404,MATCH(D2101,'Stock pièces'!$A$5:$A$404,0)),""))</f>
        <v/>
      </c>
      <c r="L2101" s="7" t="n"/>
      <c r="M2101" s="7" t="n"/>
    </row>
    <row r="2102">
      <c r="A2102" s="7" t="n"/>
      <c r="B2102" s="75" t="n"/>
      <c r="C2102" s="7" t="n"/>
      <c r="D2102" s="7" t="n"/>
      <c r="E2102" s="9">
        <f>IF(D2102="","",IFERROR(INDEX('Stock pièces'!$B$5:$B$404,MATCH(D2102,'Stock pièces'!$A$5:$A$404,0)),"Réf. inconnue"))</f>
        <v/>
      </c>
      <c r="F2102" s="67" t="n"/>
      <c r="G2102" s="81">
        <f>IF(D2102="","",IFERROR(INDEX('Stock pièces'!$I$5:$I$404,MATCH(D2102,'Stock pièces'!$A$5:$A$404,0)),0))</f>
        <v/>
      </c>
      <c r="H2102" s="81">
        <f>IF(D2102="","",N(F2102)*N(G2102))</f>
        <v/>
      </c>
      <c r="I2102" s="7" t="n"/>
      <c r="J2102" s="9">
        <f>IF(I2102="","",IFERROR(INDEX('Ordres de travail'!$D$5:$D$3004,MATCH(I2102,'Ordres de travail'!$A$5:$A$3004,0)),""))</f>
        <v/>
      </c>
      <c r="K2102" s="9">
        <f>IF(D2102="","",IFERROR(INDEX('Stock pièces'!$D$5:$D$404,MATCH(D2102,'Stock pièces'!$A$5:$A$404,0)),""))</f>
        <v/>
      </c>
      <c r="L2102" s="7" t="n"/>
      <c r="M2102" s="7" t="n"/>
    </row>
    <row r="2103">
      <c r="A2103" s="7" t="n"/>
      <c r="B2103" s="75" t="n"/>
      <c r="C2103" s="7" t="n"/>
      <c r="D2103" s="7" t="n"/>
      <c r="E2103" s="9">
        <f>IF(D2103="","",IFERROR(INDEX('Stock pièces'!$B$5:$B$404,MATCH(D2103,'Stock pièces'!$A$5:$A$404,0)),"Réf. inconnue"))</f>
        <v/>
      </c>
      <c r="F2103" s="67" t="n"/>
      <c r="G2103" s="81">
        <f>IF(D2103="","",IFERROR(INDEX('Stock pièces'!$I$5:$I$404,MATCH(D2103,'Stock pièces'!$A$5:$A$404,0)),0))</f>
        <v/>
      </c>
      <c r="H2103" s="81">
        <f>IF(D2103="","",N(F2103)*N(G2103))</f>
        <v/>
      </c>
      <c r="I2103" s="7" t="n"/>
      <c r="J2103" s="9">
        <f>IF(I2103="","",IFERROR(INDEX('Ordres de travail'!$D$5:$D$3004,MATCH(I2103,'Ordres de travail'!$A$5:$A$3004,0)),""))</f>
        <v/>
      </c>
      <c r="K2103" s="9">
        <f>IF(D2103="","",IFERROR(INDEX('Stock pièces'!$D$5:$D$404,MATCH(D2103,'Stock pièces'!$A$5:$A$404,0)),""))</f>
        <v/>
      </c>
      <c r="L2103" s="7" t="n"/>
      <c r="M2103" s="7" t="n"/>
    </row>
    <row r="2104">
      <c r="A2104" s="7" t="n"/>
      <c r="B2104" s="75" t="n"/>
      <c r="C2104" s="7" t="n"/>
      <c r="D2104" s="7" t="n"/>
      <c r="E2104" s="9">
        <f>IF(D2104="","",IFERROR(INDEX('Stock pièces'!$B$5:$B$404,MATCH(D2104,'Stock pièces'!$A$5:$A$404,0)),"Réf. inconnue"))</f>
        <v/>
      </c>
      <c r="F2104" s="67" t="n"/>
      <c r="G2104" s="81">
        <f>IF(D2104="","",IFERROR(INDEX('Stock pièces'!$I$5:$I$404,MATCH(D2104,'Stock pièces'!$A$5:$A$404,0)),0))</f>
        <v/>
      </c>
      <c r="H2104" s="81">
        <f>IF(D2104="","",N(F2104)*N(G2104))</f>
        <v/>
      </c>
      <c r="I2104" s="7" t="n"/>
      <c r="J2104" s="9">
        <f>IF(I2104="","",IFERROR(INDEX('Ordres de travail'!$D$5:$D$3004,MATCH(I2104,'Ordres de travail'!$A$5:$A$3004,0)),""))</f>
        <v/>
      </c>
      <c r="K2104" s="9">
        <f>IF(D2104="","",IFERROR(INDEX('Stock pièces'!$D$5:$D$404,MATCH(D2104,'Stock pièces'!$A$5:$A$404,0)),""))</f>
        <v/>
      </c>
      <c r="L2104" s="7" t="n"/>
      <c r="M2104" s="7" t="n"/>
    </row>
    <row r="2105">
      <c r="A2105" s="7" t="n"/>
      <c r="B2105" s="75" t="n"/>
      <c r="C2105" s="7" t="n"/>
      <c r="D2105" s="7" t="n"/>
      <c r="E2105" s="9">
        <f>IF(D2105="","",IFERROR(INDEX('Stock pièces'!$B$5:$B$404,MATCH(D2105,'Stock pièces'!$A$5:$A$404,0)),"Réf. inconnue"))</f>
        <v/>
      </c>
      <c r="F2105" s="67" t="n"/>
      <c r="G2105" s="81">
        <f>IF(D2105="","",IFERROR(INDEX('Stock pièces'!$I$5:$I$404,MATCH(D2105,'Stock pièces'!$A$5:$A$404,0)),0))</f>
        <v/>
      </c>
      <c r="H2105" s="81">
        <f>IF(D2105="","",N(F2105)*N(G2105))</f>
        <v/>
      </c>
      <c r="I2105" s="7" t="n"/>
      <c r="J2105" s="9">
        <f>IF(I2105="","",IFERROR(INDEX('Ordres de travail'!$D$5:$D$3004,MATCH(I2105,'Ordres de travail'!$A$5:$A$3004,0)),""))</f>
        <v/>
      </c>
      <c r="K2105" s="9">
        <f>IF(D2105="","",IFERROR(INDEX('Stock pièces'!$D$5:$D$404,MATCH(D2105,'Stock pièces'!$A$5:$A$404,0)),""))</f>
        <v/>
      </c>
      <c r="L2105" s="7" t="n"/>
      <c r="M2105" s="7" t="n"/>
    </row>
    <row r="2106">
      <c r="A2106" s="7" t="n"/>
      <c r="B2106" s="75" t="n"/>
      <c r="C2106" s="7" t="n"/>
      <c r="D2106" s="7" t="n"/>
      <c r="E2106" s="9">
        <f>IF(D2106="","",IFERROR(INDEX('Stock pièces'!$B$5:$B$404,MATCH(D2106,'Stock pièces'!$A$5:$A$404,0)),"Réf. inconnue"))</f>
        <v/>
      </c>
      <c r="F2106" s="67" t="n"/>
      <c r="G2106" s="81">
        <f>IF(D2106="","",IFERROR(INDEX('Stock pièces'!$I$5:$I$404,MATCH(D2106,'Stock pièces'!$A$5:$A$404,0)),0))</f>
        <v/>
      </c>
      <c r="H2106" s="81">
        <f>IF(D2106="","",N(F2106)*N(G2106))</f>
        <v/>
      </c>
      <c r="I2106" s="7" t="n"/>
      <c r="J2106" s="9">
        <f>IF(I2106="","",IFERROR(INDEX('Ordres de travail'!$D$5:$D$3004,MATCH(I2106,'Ordres de travail'!$A$5:$A$3004,0)),""))</f>
        <v/>
      </c>
      <c r="K2106" s="9">
        <f>IF(D2106="","",IFERROR(INDEX('Stock pièces'!$D$5:$D$404,MATCH(D2106,'Stock pièces'!$A$5:$A$404,0)),""))</f>
        <v/>
      </c>
      <c r="L2106" s="7" t="n"/>
      <c r="M2106" s="7" t="n"/>
    </row>
    <row r="2107">
      <c r="A2107" s="7" t="n"/>
      <c r="B2107" s="75" t="n"/>
      <c r="C2107" s="7" t="n"/>
      <c r="D2107" s="7" t="n"/>
      <c r="E2107" s="9">
        <f>IF(D2107="","",IFERROR(INDEX('Stock pièces'!$B$5:$B$404,MATCH(D2107,'Stock pièces'!$A$5:$A$404,0)),"Réf. inconnue"))</f>
        <v/>
      </c>
      <c r="F2107" s="67" t="n"/>
      <c r="G2107" s="81">
        <f>IF(D2107="","",IFERROR(INDEX('Stock pièces'!$I$5:$I$404,MATCH(D2107,'Stock pièces'!$A$5:$A$404,0)),0))</f>
        <v/>
      </c>
      <c r="H2107" s="81">
        <f>IF(D2107="","",N(F2107)*N(G2107))</f>
        <v/>
      </c>
      <c r="I2107" s="7" t="n"/>
      <c r="J2107" s="9">
        <f>IF(I2107="","",IFERROR(INDEX('Ordres de travail'!$D$5:$D$3004,MATCH(I2107,'Ordres de travail'!$A$5:$A$3004,0)),""))</f>
        <v/>
      </c>
      <c r="K2107" s="9">
        <f>IF(D2107="","",IFERROR(INDEX('Stock pièces'!$D$5:$D$404,MATCH(D2107,'Stock pièces'!$A$5:$A$404,0)),""))</f>
        <v/>
      </c>
      <c r="L2107" s="7" t="n"/>
      <c r="M2107" s="7" t="n"/>
    </row>
    <row r="2108">
      <c r="A2108" s="7" t="n"/>
      <c r="B2108" s="75" t="n"/>
      <c r="C2108" s="7" t="n"/>
      <c r="D2108" s="7" t="n"/>
      <c r="E2108" s="9">
        <f>IF(D2108="","",IFERROR(INDEX('Stock pièces'!$B$5:$B$404,MATCH(D2108,'Stock pièces'!$A$5:$A$404,0)),"Réf. inconnue"))</f>
        <v/>
      </c>
      <c r="F2108" s="67" t="n"/>
      <c r="G2108" s="81">
        <f>IF(D2108="","",IFERROR(INDEX('Stock pièces'!$I$5:$I$404,MATCH(D2108,'Stock pièces'!$A$5:$A$404,0)),0))</f>
        <v/>
      </c>
      <c r="H2108" s="81">
        <f>IF(D2108="","",N(F2108)*N(G2108))</f>
        <v/>
      </c>
      <c r="I2108" s="7" t="n"/>
      <c r="J2108" s="9">
        <f>IF(I2108="","",IFERROR(INDEX('Ordres de travail'!$D$5:$D$3004,MATCH(I2108,'Ordres de travail'!$A$5:$A$3004,0)),""))</f>
        <v/>
      </c>
      <c r="K2108" s="9">
        <f>IF(D2108="","",IFERROR(INDEX('Stock pièces'!$D$5:$D$404,MATCH(D2108,'Stock pièces'!$A$5:$A$404,0)),""))</f>
        <v/>
      </c>
      <c r="L2108" s="7" t="n"/>
      <c r="M2108" s="7" t="n"/>
    </row>
    <row r="2109">
      <c r="A2109" s="7" t="n"/>
      <c r="B2109" s="75" t="n"/>
      <c r="C2109" s="7" t="n"/>
      <c r="D2109" s="7" t="n"/>
      <c r="E2109" s="9">
        <f>IF(D2109="","",IFERROR(INDEX('Stock pièces'!$B$5:$B$404,MATCH(D2109,'Stock pièces'!$A$5:$A$404,0)),"Réf. inconnue"))</f>
        <v/>
      </c>
      <c r="F2109" s="67" t="n"/>
      <c r="G2109" s="81">
        <f>IF(D2109="","",IFERROR(INDEX('Stock pièces'!$I$5:$I$404,MATCH(D2109,'Stock pièces'!$A$5:$A$404,0)),0))</f>
        <v/>
      </c>
      <c r="H2109" s="81">
        <f>IF(D2109="","",N(F2109)*N(G2109))</f>
        <v/>
      </c>
      <c r="I2109" s="7" t="n"/>
      <c r="J2109" s="9">
        <f>IF(I2109="","",IFERROR(INDEX('Ordres de travail'!$D$5:$D$3004,MATCH(I2109,'Ordres de travail'!$A$5:$A$3004,0)),""))</f>
        <v/>
      </c>
      <c r="K2109" s="9">
        <f>IF(D2109="","",IFERROR(INDEX('Stock pièces'!$D$5:$D$404,MATCH(D2109,'Stock pièces'!$A$5:$A$404,0)),""))</f>
        <v/>
      </c>
      <c r="L2109" s="7" t="n"/>
      <c r="M2109" s="7" t="n"/>
    </row>
    <row r="2110">
      <c r="A2110" s="7" t="n"/>
      <c r="B2110" s="75" t="n"/>
      <c r="C2110" s="7" t="n"/>
      <c r="D2110" s="7" t="n"/>
      <c r="E2110" s="9">
        <f>IF(D2110="","",IFERROR(INDEX('Stock pièces'!$B$5:$B$404,MATCH(D2110,'Stock pièces'!$A$5:$A$404,0)),"Réf. inconnue"))</f>
        <v/>
      </c>
      <c r="F2110" s="67" t="n"/>
      <c r="G2110" s="81">
        <f>IF(D2110="","",IFERROR(INDEX('Stock pièces'!$I$5:$I$404,MATCH(D2110,'Stock pièces'!$A$5:$A$404,0)),0))</f>
        <v/>
      </c>
      <c r="H2110" s="81">
        <f>IF(D2110="","",N(F2110)*N(G2110))</f>
        <v/>
      </c>
      <c r="I2110" s="7" t="n"/>
      <c r="J2110" s="9">
        <f>IF(I2110="","",IFERROR(INDEX('Ordres de travail'!$D$5:$D$3004,MATCH(I2110,'Ordres de travail'!$A$5:$A$3004,0)),""))</f>
        <v/>
      </c>
      <c r="K2110" s="9">
        <f>IF(D2110="","",IFERROR(INDEX('Stock pièces'!$D$5:$D$404,MATCH(D2110,'Stock pièces'!$A$5:$A$404,0)),""))</f>
        <v/>
      </c>
      <c r="L2110" s="7" t="n"/>
      <c r="M2110" s="7" t="n"/>
    </row>
    <row r="2111">
      <c r="A2111" s="7" t="n"/>
      <c r="B2111" s="75" t="n"/>
      <c r="C2111" s="7" t="n"/>
      <c r="D2111" s="7" t="n"/>
      <c r="E2111" s="9">
        <f>IF(D2111="","",IFERROR(INDEX('Stock pièces'!$B$5:$B$404,MATCH(D2111,'Stock pièces'!$A$5:$A$404,0)),"Réf. inconnue"))</f>
        <v/>
      </c>
      <c r="F2111" s="67" t="n"/>
      <c r="G2111" s="81">
        <f>IF(D2111="","",IFERROR(INDEX('Stock pièces'!$I$5:$I$404,MATCH(D2111,'Stock pièces'!$A$5:$A$404,0)),0))</f>
        <v/>
      </c>
      <c r="H2111" s="81">
        <f>IF(D2111="","",N(F2111)*N(G2111))</f>
        <v/>
      </c>
      <c r="I2111" s="7" t="n"/>
      <c r="J2111" s="9">
        <f>IF(I2111="","",IFERROR(INDEX('Ordres de travail'!$D$5:$D$3004,MATCH(I2111,'Ordres de travail'!$A$5:$A$3004,0)),""))</f>
        <v/>
      </c>
      <c r="K2111" s="9">
        <f>IF(D2111="","",IFERROR(INDEX('Stock pièces'!$D$5:$D$404,MATCH(D2111,'Stock pièces'!$A$5:$A$404,0)),""))</f>
        <v/>
      </c>
      <c r="L2111" s="7" t="n"/>
      <c r="M2111" s="7" t="n"/>
    </row>
    <row r="2112">
      <c r="A2112" s="7" t="n"/>
      <c r="B2112" s="75" t="n"/>
      <c r="C2112" s="7" t="n"/>
      <c r="D2112" s="7" t="n"/>
      <c r="E2112" s="9">
        <f>IF(D2112="","",IFERROR(INDEX('Stock pièces'!$B$5:$B$404,MATCH(D2112,'Stock pièces'!$A$5:$A$404,0)),"Réf. inconnue"))</f>
        <v/>
      </c>
      <c r="F2112" s="67" t="n"/>
      <c r="G2112" s="81">
        <f>IF(D2112="","",IFERROR(INDEX('Stock pièces'!$I$5:$I$404,MATCH(D2112,'Stock pièces'!$A$5:$A$404,0)),0))</f>
        <v/>
      </c>
      <c r="H2112" s="81">
        <f>IF(D2112="","",N(F2112)*N(G2112))</f>
        <v/>
      </c>
      <c r="I2112" s="7" t="n"/>
      <c r="J2112" s="9">
        <f>IF(I2112="","",IFERROR(INDEX('Ordres de travail'!$D$5:$D$3004,MATCH(I2112,'Ordres de travail'!$A$5:$A$3004,0)),""))</f>
        <v/>
      </c>
      <c r="K2112" s="9">
        <f>IF(D2112="","",IFERROR(INDEX('Stock pièces'!$D$5:$D$404,MATCH(D2112,'Stock pièces'!$A$5:$A$404,0)),""))</f>
        <v/>
      </c>
      <c r="L2112" s="7" t="n"/>
      <c r="M2112" s="7" t="n"/>
    </row>
    <row r="2113">
      <c r="A2113" s="7" t="n"/>
      <c r="B2113" s="75" t="n"/>
      <c r="C2113" s="7" t="n"/>
      <c r="D2113" s="7" t="n"/>
      <c r="E2113" s="9">
        <f>IF(D2113="","",IFERROR(INDEX('Stock pièces'!$B$5:$B$404,MATCH(D2113,'Stock pièces'!$A$5:$A$404,0)),"Réf. inconnue"))</f>
        <v/>
      </c>
      <c r="F2113" s="67" t="n"/>
      <c r="G2113" s="81">
        <f>IF(D2113="","",IFERROR(INDEX('Stock pièces'!$I$5:$I$404,MATCH(D2113,'Stock pièces'!$A$5:$A$404,0)),0))</f>
        <v/>
      </c>
      <c r="H2113" s="81">
        <f>IF(D2113="","",N(F2113)*N(G2113))</f>
        <v/>
      </c>
      <c r="I2113" s="7" t="n"/>
      <c r="J2113" s="9">
        <f>IF(I2113="","",IFERROR(INDEX('Ordres de travail'!$D$5:$D$3004,MATCH(I2113,'Ordres de travail'!$A$5:$A$3004,0)),""))</f>
        <v/>
      </c>
      <c r="K2113" s="9">
        <f>IF(D2113="","",IFERROR(INDEX('Stock pièces'!$D$5:$D$404,MATCH(D2113,'Stock pièces'!$A$5:$A$404,0)),""))</f>
        <v/>
      </c>
      <c r="L2113" s="7" t="n"/>
      <c r="M2113" s="7" t="n"/>
    </row>
    <row r="2114">
      <c r="A2114" s="7" t="n"/>
      <c r="B2114" s="75" t="n"/>
      <c r="C2114" s="7" t="n"/>
      <c r="D2114" s="7" t="n"/>
      <c r="E2114" s="9">
        <f>IF(D2114="","",IFERROR(INDEX('Stock pièces'!$B$5:$B$404,MATCH(D2114,'Stock pièces'!$A$5:$A$404,0)),"Réf. inconnue"))</f>
        <v/>
      </c>
      <c r="F2114" s="67" t="n"/>
      <c r="G2114" s="81">
        <f>IF(D2114="","",IFERROR(INDEX('Stock pièces'!$I$5:$I$404,MATCH(D2114,'Stock pièces'!$A$5:$A$404,0)),0))</f>
        <v/>
      </c>
      <c r="H2114" s="81">
        <f>IF(D2114="","",N(F2114)*N(G2114))</f>
        <v/>
      </c>
      <c r="I2114" s="7" t="n"/>
      <c r="J2114" s="9">
        <f>IF(I2114="","",IFERROR(INDEX('Ordres de travail'!$D$5:$D$3004,MATCH(I2114,'Ordres de travail'!$A$5:$A$3004,0)),""))</f>
        <v/>
      </c>
      <c r="K2114" s="9">
        <f>IF(D2114="","",IFERROR(INDEX('Stock pièces'!$D$5:$D$404,MATCH(D2114,'Stock pièces'!$A$5:$A$404,0)),""))</f>
        <v/>
      </c>
      <c r="L2114" s="7" t="n"/>
      <c r="M2114" s="7" t="n"/>
    </row>
    <row r="2115">
      <c r="A2115" s="7" t="n"/>
      <c r="B2115" s="75" t="n"/>
      <c r="C2115" s="7" t="n"/>
      <c r="D2115" s="7" t="n"/>
      <c r="E2115" s="9">
        <f>IF(D2115="","",IFERROR(INDEX('Stock pièces'!$B$5:$B$404,MATCH(D2115,'Stock pièces'!$A$5:$A$404,0)),"Réf. inconnue"))</f>
        <v/>
      </c>
      <c r="F2115" s="67" t="n"/>
      <c r="G2115" s="81">
        <f>IF(D2115="","",IFERROR(INDEX('Stock pièces'!$I$5:$I$404,MATCH(D2115,'Stock pièces'!$A$5:$A$404,0)),0))</f>
        <v/>
      </c>
      <c r="H2115" s="81">
        <f>IF(D2115="","",N(F2115)*N(G2115))</f>
        <v/>
      </c>
      <c r="I2115" s="7" t="n"/>
      <c r="J2115" s="9">
        <f>IF(I2115="","",IFERROR(INDEX('Ordres de travail'!$D$5:$D$3004,MATCH(I2115,'Ordres de travail'!$A$5:$A$3004,0)),""))</f>
        <v/>
      </c>
      <c r="K2115" s="9">
        <f>IF(D2115="","",IFERROR(INDEX('Stock pièces'!$D$5:$D$404,MATCH(D2115,'Stock pièces'!$A$5:$A$404,0)),""))</f>
        <v/>
      </c>
      <c r="L2115" s="7" t="n"/>
      <c r="M2115" s="7" t="n"/>
    </row>
    <row r="2116">
      <c r="A2116" s="7" t="n"/>
      <c r="B2116" s="75" t="n"/>
      <c r="C2116" s="7" t="n"/>
      <c r="D2116" s="7" t="n"/>
      <c r="E2116" s="9">
        <f>IF(D2116="","",IFERROR(INDEX('Stock pièces'!$B$5:$B$404,MATCH(D2116,'Stock pièces'!$A$5:$A$404,0)),"Réf. inconnue"))</f>
        <v/>
      </c>
      <c r="F2116" s="67" t="n"/>
      <c r="G2116" s="81">
        <f>IF(D2116="","",IFERROR(INDEX('Stock pièces'!$I$5:$I$404,MATCH(D2116,'Stock pièces'!$A$5:$A$404,0)),0))</f>
        <v/>
      </c>
      <c r="H2116" s="81">
        <f>IF(D2116="","",N(F2116)*N(G2116))</f>
        <v/>
      </c>
      <c r="I2116" s="7" t="n"/>
      <c r="J2116" s="9">
        <f>IF(I2116="","",IFERROR(INDEX('Ordres de travail'!$D$5:$D$3004,MATCH(I2116,'Ordres de travail'!$A$5:$A$3004,0)),""))</f>
        <v/>
      </c>
      <c r="K2116" s="9">
        <f>IF(D2116="","",IFERROR(INDEX('Stock pièces'!$D$5:$D$404,MATCH(D2116,'Stock pièces'!$A$5:$A$404,0)),""))</f>
        <v/>
      </c>
      <c r="L2116" s="7" t="n"/>
      <c r="M2116" s="7" t="n"/>
    </row>
    <row r="2117">
      <c r="A2117" s="7" t="n"/>
      <c r="B2117" s="75" t="n"/>
      <c r="C2117" s="7" t="n"/>
      <c r="D2117" s="7" t="n"/>
      <c r="E2117" s="9">
        <f>IF(D2117="","",IFERROR(INDEX('Stock pièces'!$B$5:$B$404,MATCH(D2117,'Stock pièces'!$A$5:$A$404,0)),"Réf. inconnue"))</f>
        <v/>
      </c>
      <c r="F2117" s="67" t="n"/>
      <c r="G2117" s="81">
        <f>IF(D2117="","",IFERROR(INDEX('Stock pièces'!$I$5:$I$404,MATCH(D2117,'Stock pièces'!$A$5:$A$404,0)),0))</f>
        <v/>
      </c>
      <c r="H2117" s="81">
        <f>IF(D2117="","",N(F2117)*N(G2117))</f>
        <v/>
      </c>
      <c r="I2117" s="7" t="n"/>
      <c r="J2117" s="9">
        <f>IF(I2117="","",IFERROR(INDEX('Ordres de travail'!$D$5:$D$3004,MATCH(I2117,'Ordres de travail'!$A$5:$A$3004,0)),""))</f>
        <v/>
      </c>
      <c r="K2117" s="9">
        <f>IF(D2117="","",IFERROR(INDEX('Stock pièces'!$D$5:$D$404,MATCH(D2117,'Stock pièces'!$A$5:$A$404,0)),""))</f>
        <v/>
      </c>
      <c r="L2117" s="7" t="n"/>
      <c r="M2117" s="7" t="n"/>
    </row>
    <row r="2118">
      <c r="A2118" s="7" t="n"/>
      <c r="B2118" s="75" t="n"/>
      <c r="C2118" s="7" t="n"/>
      <c r="D2118" s="7" t="n"/>
      <c r="E2118" s="9">
        <f>IF(D2118="","",IFERROR(INDEX('Stock pièces'!$B$5:$B$404,MATCH(D2118,'Stock pièces'!$A$5:$A$404,0)),"Réf. inconnue"))</f>
        <v/>
      </c>
      <c r="F2118" s="67" t="n"/>
      <c r="G2118" s="81">
        <f>IF(D2118="","",IFERROR(INDEX('Stock pièces'!$I$5:$I$404,MATCH(D2118,'Stock pièces'!$A$5:$A$404,0)),0))</f>
        <v/>
      </c>
      <c r="H2118" s="81">
        <f>IF(D2118="","",N(F2118)*N(G2118))</f>
        <v/>
      </c>
      <c r="I2118" s="7" t="n"/>
      <c r="J2118" s="9">
        <f>IF(I2118="","",IFERROR(INDEX('Ordres de travail'!$D$5:$D$3004,MATCH(I2118,'Ordres de travail'!$A$5:$A$3004,0)),""))</f>
        <v/>
      </c>
      <c r="K2118" s="9">
        <f>IF(D2118="","",IFERROR(INDEX('Stock pièces'!$D$5:$D$404,MATCH(D2118,'Stock pièces'!$A$5:$A$404,0)),""))</f>
        <v/>
      </c>
      <c r="L2118" s="7" t="n"/>
      <c r="M2118" s="7" t="n"/>
    </row>
    <row r="2119">
      <c r="A2119" s="7" t="n"/>
      <c r="B2119" s="75" t="n"/>
      <c r="C2119" s="7" t="n"/>
      <c r="D2119" s="7" t="n"/>
      <c r="E2119" s="9">
        <f>IF(D2119="","",IFERROR(INDEX('Stock pièces'!$B$5:$B$404,MATCH(D2119,'Stock pièces'!$A$5:$A$404,0)),"Réf. inconnue"))</f>
        <v/>
      </c>
      <c r="F2119" s="67" t="n"/>
      <c r="G2119" s="81">
        <f>IF(D2119="","",IFERROR(INDEX('Stock pièces'!$I$5:$I$404,MATCH(D2119,'Stock pièces'!$A$5:$A$404,0)),0))</f>
        <v/>
      </c>
      <c r="H2119" s="81">
        <f>IF(D2119="","",N(F2119)*N(G2119))</f>
        <v/>
      </c>
      <c r="I2119" s="7" t="n"/>
      <c r="J2119" s="9">
        <f>IF(I2119="","",IFERROR(INDEX('Ordres de travail'!$D$5:$D$3004,MATCH(I2119,'Ordres de travail'!$A$5:$A$3004,0)),""))</f>
        <v/>
      </c>
      <c r="K2119" s="9">
        <f>IF(D2119="","",IFERROR(INDEX('Stock pièces'!$D$5:$D$404,MATCH(D2119,'Stock pièces'!$A$5:$A$404,0)),""))</f>
        <v/>
      </c>
      <c r="L2119" s="7" t="n"/>
      <c r="M2119" s="7" t="n"/>
    </row>
    <row r="2120">
      <c r="A2120" s="7" t="n"/>
      <c r="B2120" s="75" t="n"/>
      <c r="C2120" s="7" t="n"/>
      <c r="D2120" s="7" t="n"/>
      <c r="E2120" s="9">
        <f>IF(D2120="","",IFERROR(INDEX('Stock pièces'!$B$5:$B$404,MATCH(D2120,'Stock pièces'!$A$5:$A$404,0)),"Réf. inconnue"))</f>
        <v/>
      </c>
      <c r="F2120" s="67" t="n"/>
      <c r="G2120" s="81">
        <f>IF(D2120="","",IFERROR(INDEX('Stock pièces'!$I$5:$I$404,MATCH(D2120,'Stock pièces'!$A$5:$A$404,0)),0))</f>
        <v/>
      </c>
      <c r="H2120" s="81">
        <f>IF(D2120="","",N(F2120)*N(G2120))</f>
        <v/>
      </c>
      <c r="I2120" s="7" t="n"/>
      <c r="J2120" s="9">
        <f>IF(I2120="","",IFERROR(INDEX('Ordres de travail'!$D$5:$D$3004,MATCH(I2120,'Ordres de travail'!$A$5:$A$3004,0)),""))</f>
        <v/>
      </c>
      <c r="K2120" s="9">
        <f>IF(D2120="","",IFERROR(INDEX('Stock pièces'!$D$5:$D$404,MATCH(D2120,'Stock pièces'!$A$5:$A$404,0)),""))</f>
        <v/>
      </c>
      <c r="L2120" s="7" t="n"/>
      <c r="M2120" s="7" t="n"/>
    </row>
    <row r="2121">
      <c r="A2121" s="7" t="n"/>
      <c r="B2121" s="75" t="n"/>
      <c r="C2121" s="7" t="n"/>
      <c r="D2121" s="7" t="n"/>
      <c r="E2121" s="9">
        <f>IF(D2121="","",IFERROR(INDEX('Stock pièces'!$B$5:$B$404,MATCH(D2121,'Stock pièces'!$A$5:$A$404,0)),"Réf. inconnue"))</f>
        <v/>
      </c>
      <c r="F2121" s="67" t="n"/>
      <c r="G2121" s="81">
        <f>IF(D2121="","",IFERROR(INDEX('Stock pièces'!$I$5:$I$404,MATCH(D2121,'Stock pièces'!$A$5:$A$404,0)),0))</f>
        <v/>
      </c>
      <c r="H2121" s="81">
        <f>IF(D2121="","",N(F2121)*N(G2121))</f>
        <v/>
      </c>
      <c r="I2121" s="7" t="n"/>
      <c r="J2121" s="9">
        <f>IF(I2121="","",IFERROR(INDEX('Ordres de travail'!$D$5:$D$3004,MATCH(I2121,'Ordres de travail'!$A$5:$A$3004,0)),""))</f>
        <v/>
      </c>
      <c r="K2121" s="9">
        <f>IF(D2121="","",IFERROR(INDEX('Stock pièces'!$D$5:$D$404,MATCH(D2121,'Stock pièces'!$A$5:$A$404,0)),""))</f>
        <v/>
      </c>
      <c r="L2121" s="7" t="n"/>
      <c r="M2121" s="7" t="n"/>
    </row>
    <row r="2122">
      <c r="A2122" s="7" t="n"/>
      <c r="B2122" s="75" t="n"/>
      <c r="C2122" s="7" t="n"/>
      <c r="D2122" s="7" t="n"/>
      <c r="E2122" s="9">
        <f>IF(D2122="","",IFERROR(INDEX('Stock pièces'!$B$5:$B$404,MATCH(D2122,'Stock pièces'!$A$5:$A$404,0)),"Réf. inconnue"))</f>
        <v/>
      </c>
      <c r="F2122" s="67" t="n"/>
      <c r="G2122" s="81">
        <f>IF(D2122="","",IFERROR(INDEX('Stock pièces'!$I$5:$I$404,MATCH(D2122,'Stock pièces'!$A$5:$A$404,0)),0))</f>
        <v/>
      </c>
      <c r="H2122" s="81">
        <f>IF(D2122="","",N(F2122)*N(G2122))</f>
        <v/>
      </c>
      <c r="I2122" s="7" t="n"/>
      <c r="J2122" s="9">
        <f>IF(I2122="","",IFERROR(INDEX('Ordres de travail'!$D$5:$D$3004,MATCH(I2122,'Ordres de travail'!$A$5:$A$3004,0)),""))</f>
        <v/>
      </c>
      <c r="K2122" s="9">
        <f>IF(D2122="","",IFERROR(INDEX('Stock pièces'!$D$5:$D$404,MATCH(D2122,'Stock pièces'!$A$5:$A$404,0)),""))</f>
        <v/>
      </c>
      <c r="L2122" s="7" t="n"/>
      <c r="M2122" s="7" t="n"/>
    </row>
    <row r="2123">
      <c r="A2123" s="7" t="n"/>
      <c r="B2123" s="75" t="n"/>
      <c r="C2123" s="7" t="n"/>
      <c r="D2123" s="7" t="n"/>
      <c r="E2123" s="9">
        <f>IF(D2123="","",IFERROR(INDEX('Stock pièces'!$B$5:$B$404,MATCH(D2123,'Stock pièces'!$A$5:$A$404,0)),"Réf. inconnue"))</f>
        <v/>
      </c>
      <c r="F2123" s="67" t="n"/>
      <c r="G2123" s="81">
        <f>IF(D2123="","",IFERROR(INDEX('Stock pièces'!$I$5:$I$404,MATCH(D2123,'Stock pièces'!$A$5:$A$404,0)),0))</f>
        <v/>
      </c>
      <c r="H2123" s="81">
        <f>IF(D2123="","",N(F2123)*N(G2123))</f>
        <v/>
      </c>
      <c r="I2123" s="7" t="n"/>
      <c r="J2123" s="9">
        <f>IF(I2123="","",IFERROR(INDEX('Ordres de travail'!$D$5:$D$3004,MATCH(I2123,'Ordres de travail'!$A$5:$A$3004,0)),""))</f>
        <v/>
      </c>
      <c r="K2123" s="9">
        <f>IF(D2123="","",IFERROR(INDEX('Stock pièces'!$D$5:$D$404,MATCH(D2123,'Stock pièces'!$A$5:$A$404,0)),""))</f>
        <v/>
      </c>
      <c r="L2123" s="7" t="n"/>
      <c r="M2123" s="7" t="n"/>
    </row>
    <row r="2124">
      <c r="A2124" s="7" t="n"/>
      <c r="B2124" s="75" t="n"/>
      <c r="C2124" s="7" t="n"/>
      <c r="D2124" s="7" t="n"/>
      <c r="E2124" s="9">
        <f>IF(D2124="","",IFERROR(INDEX('Stock pièces'!$B$5:$B$404,MATCH(D2124,'Stock pièces'!$A$5:$A$404,0)),"Réf. inconnue"))</f>
        <v/>
      </c>
      <c r="F2124" s="67" t="n"/>
      <c r="G2124" s="81">
        <f>IF(D2124="","",IFERROR(INDEX('Stock pièces'!$I$5:$I$404,MATCH(D2124,'Stock pièces'!$A$5:$A$404,0)),0))</f>
        <v/>
      </c>
      <c r="H2124" s="81">
        <f>IF(D2124="","",N(F2124)*N(G2124))</f>
        <v/>
      </c>
      <c r="I2124" s="7" t="n"/>
      <c r="J2124" s="9">
        <f>IF(I2124="","",IFERROR(INDEX('Ordres de travail'!$D$5:$D$3004,MATCH(I2124,'Ordres de travail'!$A$5:$A$3004,0)),""))</f>
        <v/>
      </c>
      <c r="K2124" s="9">
        <f>IF(D2124="","",IFERROR(INDEX('Stock pièces'!$D$5:$D$404,MATCH(D2124,'Stock pièces'!$A$5:$A$404,0)),""))</f>
        <v/>
      </c>
      <c r="L2124" s="7" t="n"/>
      <c r="M2124" s="7" t="n"/>
    </row>
    <row r="2125">
      <c r="A2125" s="7" t="n"/>
      <c r="B2125" s="75" t="n"/>
      <c r="C2125" s="7" t="n"/>
      <c r="D2125" s="7" t="n"/>
      <c r="E2125" s="9">
        <f>IF(D2125="","",IFERROR(INDEX('Stock pièces'!$B$5:$B$404,MATCH(D2125,'Stock pièces'!$A$5:$A$404,0)),"Réf. inconnue"))</f>
        <v/>
      </c>
      <c r="F2125" s="67" t="n"/>
      <c r="G2125" s="81">
        <f>IF(D2125="","",IFERROR(INDEX('Stock pièces'!$I$5:$I$404,MATCH(D2125,'Stock pièces'!$A$5:$A$404,0)),0))</f>
        <v/>
      </c>
      <c r="H2125" s="81">
        <f>IF(D2125="","",N(F2125)*N(G2125))</f>
        <v/>
      </c>
      <c r="I2125" s="7" t="n"/>
      <c r="J2125" s="9">
        <f>IF(I2125="","",IFERROR(INDEX('Ordres de travail'!$D$5:$D$3004,MATCH(I2125,'Ordres de travail'!$A$5:$A$3004,0)),""))</f>
        <v/>
      </c>
      <c r="K2125" s="9">
        <f>IF(D2125="","",IFERROR(INDEX('Stock pièces'!$D$5:$D$404,MATCH(D2125,'Stock pièces'!$A$5:$A$404,0)),""))</f>
        <v/>
      </c>
      <c r="L2125" s="7" t="n"/>
      <c r="M2125" s="7" t="n"/>
    </row>
    <row r="2126">
      <c r="A2126" s="7" t="n"/>
      <c r="B2126" s="75" t="n"/>
      <c r="C2126" s="7" t="n"/>
      <c r="D2126" s="7" t="n"/>
      <c r="E2126" s="9">
        <f>IF(D2126="","",IFERROR(INDEX('Stock pièces'!$B$5:$B$404,MATCH(D2126,'Stock pièces'!$A$5:$A$404,0)),"Réf. inconnue"))</f>
        <v/>
      </c>
      <c r="F2126" s="67" t="n"/>
      <c r="G2126" s="81">
        <f>IF(D2126="","",IFERROR(INDEX('Stock pièces'!$I$5:$I$404,MATCH(D2126,'Stock pièces'!$A$5:$A$404,0)),0))</f>
        <v/>
      </c>
      <c r="H2126" s="81">
        <f>IF(D2126="","",N(F2126)*N(G2126))</f>
        <v/>
      </c>
      <c r="I2126" s="7" t="n"/>
      <c r="J2126" s="9">
        <f>IF(I2126="","",IFERROR(INDEX('Ordres de travail'!$D$5:$D$3004,MATCH(I2126,'Ordres de travail'!$A$5:$A$3004,0)),""))</f>
        <v/>
      </c>
      <c r="K2126" s="9">
        <f>IF(D2126="","",IFERROR(INDEX('Stock pièces'!$D$5:$D$404,MATCH(D2126,'Stock pièces'!$A$5:$A$404,0)),""))</f>
        <v/>
      </c>
      <c r="L2126" s="7" t="n"/>
      <c r="M2126" s="7" t="n"/>
    </row>
    <row r="2127">
      <c r="A2127" s="7" t="n"/>
      <c r="B2127" s="75" t="n"/>
      <c r="C2127" s="7" t="n"/>
      <c r="D2127" s="7" t="n"/>
      <c r="E2127" s="9">
        <f>IF(D2127="","",IFERROR(INDEX('Stock pièces'!$B$5:$B$404,MATCH(D2127,'Stock pièces'!$A$5:$A$404,0)),"Réf. inconnue"))</f>
        <v/>
      </c>
      <c r="F2127" s="67" t="n"/>
      <c r="G2127" s="81">
        <f>IF(D2127="","",IFERROR(INDEX('Stock pièces'!$I$5:$I$404,MATCH(D2127,'Stock pièces'!$A$5:$A$404,0)),0))</f>
        <v/>
      </c>
      <c r="H2127" s="81">
        <f>IF(D2127="","",N(F2127)*N(G2127))</f>
        <v/>
      </c>
      <c r="I2127" s="7" t="n"/>
      <c r="J2127" s="9">
        <f>IF(I2127="","",IFERROR(INDEX('Ordres de travail'!$D$5:$D$3004,MATCH(I2127,'Ordres de travail'!$A$5:$A$3004,0)),""))</f>
        <v/>
      </c>
      <c r="K2127" s="9">
        <f>IF(D2127="","",IFERROR(INDEX('Stock pièces'!$D$5:$D$404,MATCH(D2127,'Stock pièces'!$A$5:$A$404,0)),""))</f>
        <v/>
      </c>
      <c r="L2127" s="7" t="n"/>
      <c r="M2127" s="7" t="n"/>
    </row>
    <row r="2128">
      <c r="A2128" s="7" t="n"/>
      <c r="B2128" s="75" t="n"/>
      <c r="C2128" s="7" t="n"/>
      <c r="D2128" s="7" t="n"/>
      <c r="E2128" s="9">
        <f>IF(D2128="","",IFERROR(INDEX('Stock pièces'!$B$5:$B$404,MATCH(D2128,'Stock pièces'!$A$5:$A$404,0)),"Réf. inconnue"))</f>
        <v/>
      </c>
      <c r="F2128" s="67" t="n"/>
      <c r="G2128" s="81">
        <f>IF(D2128="","",IFERROR(INDEX('Stock pièces'!$I$5:$I$404,MATCH(D2128,'Stock pièces'!$A$5:$A$404,0)),0))</f>
        <v/>
      </c>
      <c r="H2128" s="81">
        <f>IF(D2128="","",N(F2128)*N(G2128))</f>
        <v/>
      </c>
      <c r="I2128" s="7" t="n"/>
      <c r="J2128" s="9">
        <f>IF(I2128="","",IFERROR(INDEX('Ordres de travail'!$D$5:$D$3004,MATCH(I2128,'Ordres de travail'!$A$5:$A$3004,0)),""))</f>
        <v/>
      </c>
      <c r="K2128" s="9">
        <f>IF(D2128="","",IFERROR(INDEX('Stock pièces'!$D$5:$D$404,MATCH(D2128,'Stock pièces'!$A$5:$A$404,0)),""))</f>
        <v/>
      </c>
      <c r="L2128" s="7" t="n"/>
      <c r="M2128" s="7" t="n"/>
    </row>
    <row r="2129">
      <c r="A2129" s="7" t="n"/>
      <c r="B2129" s="75" t="n"/>
      <c r="C2129" s="7" t="n"/>
      <c r="D2129" s="7" t="n"/>
      <c r="E2129" s="9">
        <f>IF(D2129="","",IFERROR(INDEX('Stock pièces'!$B$5:$B$404,MATCH(D2129,'Stock pièces'!$A$5:$A$404,0)),"Réf. inconnue"))</f>
        <v/>
      </c>
      <c r="F2129" s="67" t="n"/>
      <c r="G2129" s="81">
        <f>IF(D2129="","",IFERROR(INDEX('Stock pièces'!$I$5:$I$404,MATCH(D2129,'Stock pièces'!$A$5:$A$404,0)),0))</f>
        <v/>
      </c>
      <c r="H2129" s="81">
        <f>IF(D2129="","",N(F2129)*N(G2129))</f>
        <v/>
      </c>
      <c r="I2129" s="7" t="n"/>
      <c r="J2129" s="9">
        <f>IF(I2129="","",IFERROR(INDEX('Ordres de travail'!$D$5:$D$3004,MATCH(I2129,'Ordres de travail'!$A$5:$A$3004,0)),""))</f>
        <v/>
      </c>
      <c r="K2129" s="9">
        <f>IF(D2129="","",IFERROR(INDEX('Stock pièces'!$D$5:$D$404,MATCH(D2129,'Stock pièces'!$A$5:$A$404,0)),""))</f>
        <v/>
      </c>
      <c r="L2129" s="7" t="n"/>
      <c r="M2129" s="7" t="n"/>
    </row>
    <row r="2130">
      <c r="A2130" s="7" t="n"/>
      <c r="B2130" s="75" t="n"/>
      <c r="C2130" s="7" t="n"/>
      <c r="D2130" s="7" t="n"/>
      <c r="E2130" s="9">
        <f>IF(D2130="","",IFERROR(INDEX('Stock pièces'!$B$5:$B$404,MATCH(D2130,'Stock pièces'!$A$5:$A$404,0)),"Réf. inconnue"))</f>
        <v/>
      </c>
      <c r="F2130" s="67" t="n"/>
      <c r="G2130" s="81">
        <f>IF(D2130="","",IFERROR(INDEX('Stock pièces'!$I$5:$I$404,MATCH(D2130,'Stock pièces'!$A$5:$A$404,0)),0))</f>
        <v/>
      </c>
      <c r="H2130" s="81">
        <f>IF(D2130="","",N(F2130)*N(G2130))</f>
        <v/>
      </c>
      <c r="I2130" s="7" t="n"/>
      <c r="J2130" s="9">
        <f>IF(I2130="","",IFERROR(INDEX('Ordres de travail'!$D$5:$D$3004,MATCH(I2130,'Ordres de travail'!$A$5:$A$3004,0)),""))</f>
        <v/>
      </c>
      <c r="K2130" s="9">
        <f>IF(D2130="","",IFERROR(INDEX('Stock pièces'!$D$5:$D$404,MATCH(D2130,'Stock pièces'!$A$5:$A$404,0)),""))</f>
        <v/>
      </c>
      <c r="L2130" s="7" t="n"/>
      <c r="M2130" s="7" t="n"/>
    </row>
    <row r="2131">
      <c r="A2131" s="7" t="n"/>
      <c r="B2131" s="75" t="n"/>
      <c r="C2131" s="7" t="n"/>
      <c r="D2131" s="7" t="n"/>
      <c r="E2131" s="9">
        <f>IF(D2131="","",IFERROR(INDEX('Stock pièces'!$B$5:$B$404,MATCH(D2131,'Stock pièces'!$A$5:$A$404,0)),"Réf. inconnue"))</f>
        <v/>
      </c>
      <c r="F2131" s="67" t="n"/>
      <c r="G2131" s="81">
        <f>IF(D2131="","",IFERROR(INDEX('Stock pièces'!$I$5:$I$404,MATCH(D2131,'Stock pièces'!$A$5:$A$404,0)),0))</f>
        <v/>
      </c>
      <c r="H2131" s="81">
        <f>IF(D2131="","",N(F2131)*N(G2131))</f>
        <v/>
      </c>
      <c r="I2131" s="7" t="n"/>
      <c r="J2131" s="9">
        <f>IF(I2131="","",IFERROR(INDEX('Ordres de travail'!$D$5:$D$3004,MATCH(I2131,'Ordres de travail'!$A$5:$A$3004,0)),""))</f>
        <v/>
      </c>
      <c r="K2131" s="9">
        <f>IF(D2131="","",IFERROR(INDEX('Stock pièces'!$D$5:$D$404,MATCH(D2131,'Stock pièces'!$A$5:$A$404,0)),""))</f>
        <v/>
      </c>
      <c r="L2131" s="7" t="n"/>
      <c r="M2131" s="7" t="n"/>
    </row>
    <row r="2132">
      <c r="A2132" s="7" t="n"/>
      <c r="B2132" s="75" t="n"/>
      <c r="C2132" s="7" t="n"/>
      <c r="D2132" s="7" t="n"/>
      <c r="E2132" s="9">
        <f>IF(D2132="","",IFERROR(INDEX('Stock pièces'!$B$5:$B$404,MATCH(D2132,'Stock pièces'!$A$5:$A$404,0)),"Réf. inconnue"))</f>
        <v/>
      </c>
      <c r="F2132" s="67" t="n"/>
      <c r="G2132" s="81">
        <f>IF(D2132="","",IFERROR(INDEX('Stock pièces'!$I$5:$I$404,MATCH(D2132,'Stock pièces'!$A$5:$A$404,0)),0))</f>
        <v/>
      </c>
      <c r="H2132" s="81">
        <f>IF(D2132="","",N(F2132)*N(G2132))</f>
        <v/>
      </c>
      <c r="I2132" s="7" t="n"/>
      <c r="J2132" s="9">
        <f>IF(I2132="","",IFERROR(INDEX('Ordres de travail'!$D$5:$D$3004,MATCH(I2132,'Ordres de travail'!$A$5:$A$3004,0)),""))</f>
        <v/>
      </c>
      <c r="K2132" s="9">
        <f>IF(D2132="","",IFERROR(INDEX('Stock pièces'!$D$5:$D$404,MATCH(D2132,'Stock pièces'!$A$5:$A$404,0)),""))</f>
        <v/>
      </c>
      <c r="L2132" s="7" t="n"/>
      <c r="M2132" s="7" t="n"/>
    </row>
    <row r="2133">
      <c r="A2133" s="7" t="n"/>
      <c r="B2133" s="75" t="n"/>
      <c r="C2133" s="7" t="n"/>
      <c r="D2133" s="7" t="n"/>
      <c r="E2133" s="9">
        <f>IF(D2133="","",IFERROR(INDEX('Stock pièces'!$B$5:$B$404,MATCH(D2133,'Stock pièces'!$A$5:$A$404,0)),"Réf. inconnue"))</f>
        <v/>
      </c>
      <c r="F2133" s="67" t="n"/>
      <c r="G2133" s="81">
        <f>IF(D2133="","",IFERROR(INDEX('Stock pièces'!$I$5:$I$404,MATCH(D2133,'Stock pièces'!$A$5:$A$404,0)),0))</f>
        <v/>
      </c>
      <c r="H2133" s="81">
        <f>IF(D2133="","",N(F2133)*N(G2133))</f>
        <v/>
      </c>
      <c r="I2133" s="7" t="n"/>
      <c r="J2133" s="9">
        <f>IF(I2133="","",IFERROR(INDEX('Ordres de travail'!$D$5:$D$3004,MATCH(I2133,'Ordres de travail'!$A$5:$A$3004,0)),""))</f>
        <v/>
      </c>
      <c r="K2133" s="9">
        <f>IF(D2133="","",IFERROR(INDEX('Stock pièces'!$D$5:$D$404,MATCH(D2133,'Stock pièces'!$A$5:$A$404,0)),""))</f>
        <v/>
      </c>
      <c r="L2133" s="7" t="n"/>
      <c r="M2133" s="7" t="n"/>
    </row>
    <row r="2134">
      <c r="A2134" s="7" t="n"/>
      <c r="B2134" s="75" t="n"/>
      <c r="C2134" s="7" t="n"/>
      <c r="D2134" s="7" t="n"/>
      <c r="E2134" s="9">
        <f>IF(D2134="","",IFERROR(INDEX('Stock pièces'!$B$5:$B$404,MATCH(D2134,'Stock pièces'!$A$5:$A$404,0)),"Réf. inconnue"))</f>
        <v/>
      </c>
      <c r="F2134" s="67" t="n"/>
      <c r="G2134" s="81">
        <f>IF(D2134="","",IFERROR(INDEX('Stock pièces'!$I$5:$I$404,MATCH(D2134,'Stock pièces'!$A$5:$A$404,0)),0))</f>
        <v/>
      </c>
      <c r="H2134" s="81">
        <f>IF(D2134="","",N(F2134)*N(G2134))</f>
        <v/>
      </c>
      <c r="I2134" s="7" t="n"/>
      <c r="J2134" s="9">
        <f>IF(I2134="","",IFERROR(INDEX('Ordres de travail'!$D$5:$D$3004,MATCH(I2134,'Ordres de travail'!$A$5:$A$3004,0)),""))</f>
        <v/>
      </c>
      <c r="K2134" s="9">
        <f>IF(D2134="","",IFERROR(INDEX('Stock pièces'!$D$5:$D$404,MATCH(D2134,'Stock pièces'!$A$5:$A$404,0)),""))</f>
        <v/>
      </c>
      <c r="L2134" s="7" t="n"/>
      <c r="M2134" s="7" t="n"/>
    </row>
    <row r="2135">
      <c r="A2135" s="7" t="n"/>
      <c r="B2135" s="75" t="n"/>
      <c r="C2135" s="7" t="n"/>
      <c r="D2135" s="7" t="n"/>
      <c r="E2135" s="9">
        <f>IF(D2135="","",IFERROR(INDEX('Stock pièces'!$B$5:$B$404,MATCH(D2135,'Stock pièces'!$A$5:$A$404,0)),"Réf. inconnue"))</f>
        <v/>
      </c>
      <c r="F2135" s="67" t="n"/>
      <c r="G2135" s="81">
        <f>IF(D2135="","",IFERROR(INDEX('Stock pièces'!$I$5:$I$404,MATCH(D2135,'Stock pièces'!$A$5:$A$404,0)),0))</f>
        <v/>
      </c>
      <c r="H2135" s="81">
        <f>IF(D2135="","",N(F2135)*N(G2135))</f>
        <v/>
      </c>
      <c r="I2135" s="7" t="n"/>
      <c r="J2135" s="9">
        <f>IF(I2135="","",IFERROR(INDEX('Ordres de travail'!$D$5:$D$3004,MATCH(I2135,'Ordres de travail'!$A$5:$A$3004,0)),""))</f>
        <v/>
      </c>
      <c r="K2135" s="9">
        <f>IF(D2135="","",IFERROR(INDEX('Stock pièces'!$D$5:$D$404,MATCH(D2135,'Stock pièces'!$A$5:$A$404,0)),""))</f>
        <v/>
      </c>
      <c r="L2135" s="7" t="n"/>
      <c r="M2135" s="7" t="n"/>
    </row>
    <row r="2136">
      <c r="A2136" s="7" t="n"/>
      <c r="B2136" s="75" t="n"/>
      <c r="C2136" s="7" t="n"/>
      <c r="D2136" s="7" t="n"/>
      <c r="E2136" s="9">
        <f>IF(D2136="","",IFERROR(INDEX('Stock pièces'!$B$5:$B$404,MATCH(D2136,'Stock pièces'!$A$5:$A$404,0)),"Réf. inconnue"))</f>
        <v/>
      </c>
      <c r="F2136" s="67" t="n"/>
      <c r="G2136" s="81">
        <f>IF(D2136="","",IFERROR(INDEX('Stock pièces'!$I$5:$I$404,MATCH(D2136,'Stock pièces'!$A$5:$A$404,0)),0))</f>
        <v/>
      </c>
      <c r="H2136" s="81">
        <f>IF(D2136="","",N(F2136)*N(G2136))</f>
        <v/>
      </c>
      <c r="I2136" s="7" t="n"/>
      <c r="J2136" s="9">
        <f>IF(I2136="","",IFERROR(INDEX('Ordres de travail'!$D$5:$D$3004,MATCH(I2136,'Ordres de travail'!$A$5:$A$3004,0)),""))</f>
        <v/>
      </c>
      <c r="K2136" s="9">
        <f>IF(D2136="","",IFERROR(INDEX('Stock pièces'!$D$5:$D$404,MATCH(D2136,'Stock pièces'!$A$5:$A$404,0)),""))</f>
        <v/>
      </c>
      <c r="L2136" s="7" t="n"/>
      <c r="M2136" s="7" t="n"/>
    </row>
    <row r="2137">
      <c r="A2137" s="7" t="n"/>
      <c r="B2137" s="75" t="n"/>
      <c r="C2137" s="7" t="n"/>
      <c r="D2137" s="7" t="n"/>
      <c r="E2137" s="9">
        <f>IF(D2137="","",IFERROR(INDEX('Stock pièces'!$B$5:$B$404,MATCH(D2137,'Stock pièces'!$A$5:$A$404,0)),"Réf. inconnue"))</f>
        <v/>
      </c>
      <c r="F2137" s="67" t="n"/>
      <c r="G2137" s="81">
        <f>IF(D2137="","",IFERROR(INDEX('Stock pièces'!$I$5:$I$404,MATCH(D2137,'Stock pièces'!$A$5:$A$404,0)),0))</f>
        <v/>
      </c>
      <c r="H2137" s="81">
        <f>IF(D2137="","",N(F2137)*N(G2137))</f>
        <v/>
      </c>
      <c r="I2137" s="7" t="n"/>
      <c r="J2137" s="9">
        <f>IF(I2137="","",IFERROR(INDEX('Ordres de travail'!$D$5:$D$3004,MATCH(I2137,'Ordres de travail'!$A$5:$A$3004,0)),""))</f>
        <v/>
      </c>
      <c r="K2137" s="9">
        <f>IF(D2137="","",IFERROR(INDEX('Stock pièces'!$D$5:$D$404,MATCH(D2137,'Stock pièces'!$A$5:$A$404,0)),""))</f>
        <v/>
      </c>
      <c r="L2137" s="7" t="n"/>
      <c r="M2137" s="7" t="n"/>
    </row>
    <row r="2138">
      <c r="A2138" s="7" t="n"/>
      <c r="B2138" s="75" t="n"/>
      <c r="C2138" s="7" t="n"/>
      <c r="D2138" s="7" t="n"/>
      <c r="E2138" s="9">
        <f>IF(D2138="","",IFERROR(INDEX('Stock pièces'!$B$5:$B$404,MATCH(D2138,'Stock pièces'!$A$5:$A$404,0)),"Réf. inconnue"))</f>
        <v/>
      </c>
      <c r="F2138" s="67" t="n"/>
      <c r="G2138" s="81">
        <f>IF(D2138="","",IFERROR(INDEX('Stock pièces'!$I$5:$I$404,MATCH(D2138,'Stock pièces'!$A$5:$A$404,0)),0))</f>
        <v/>
      </c>
      <c r="H2138" s="81">
        <f>IF(D2138="","",N(F2138)*N(G2138))</f>
        <v/>
      </c>
      <c r="I2138" s="7" t="n"/>
      <c r="J2138" s="9">
        <f>IF(I2138="","",IFERROR(INDEX('Ordres de travail'!$D$5:$D$3004,MATCH(I2138,'Ordres de travail'!$A$5:$A$3004,0)),""))</f>
        <v/>
      </c>
      <c r="K2138" s="9">
        <f>IF(D2138="","",IFERROR(INDEX('Stock pièces'!$D$5:$D$404,MATCH(D2138,'Stock pièces'!$A$5:$A$404,0)),""))</f>
        <v/>
      </c>
      <c r="L2138" s="7" t="n"/>
      <c r="M2138" s="7" t="n"/>
    </row>
    <row r="2139">
      <c r="A2139" s="7" t="n"/>
      <c r="B2139" s="75" t="n"/>
      <c r="C2139" s="7" t="n"/>
      <c r="D2139" s="7" t="n"/>
      <c r="E2139" s="9">
        <f>IF(D2139="","",IFERROR(INDEX('Stock pièces'!$B$5:$B$404,MATCH(D2139,'Stock pièces'!$A$5:$A$404,0)),"Réf. inconnue"))</f>
        <v/>
      </c>
      <c r="F2139" s="67" t="n"/>
      <c r="G2139" s="81">
        <f>IF(D2139="","",IFERROR(INDEX('Stock pièces'!$I$5:$I$404,MATCH(D2139,'Stock pièces'!$A$5:$A$404,0)),0))</f>
        <v/>
      </c>
      <c r="H2139" s="81">
        <f>IF(D2139="","",N(F2139)*N(G2139))</f>
        <v/>
      </c>
      <c r="I2139" s="7" t="n"/>
      <c r="J2139" s="9">
        <f>IF(I2139="","",IFERROR(INDEX('Ordres de travail'!$D$5:$D$3004,MATCH(I2139,'Ordres de travail'!$A$5:$A$3004,0)),""))</f>
        <v/>
      </c>
      <c r="K2139" s="9">
        <f>IF(D2139="","",IFERROR(INDEX('Stock pièces'!$D$5:$D$404,MATCH(D2139,'Stock pièces'!$A$5:$A$404,0)),""))</f>
        <v/>
      </c>
      <c r="L2139" s="7" t="n"/>
      <c r="M2139" s="7" t="n"/>
    </row>
    <row r="2140">
      <c r="A2140" s="7" t="n"/>
      <c r="B2140" s="75" t="n"/>
      <c r="C2140" s="7" t="n"/>
      <c r="D2140" s="7" t="n"/>
      <c r="E2140" s="9">
        <f>IF(D2140="","",IFERROR(INDEX('Stock pièces'!$B$5:$B$404,MATCH(D2140,'Stock pièces'!$A$5:$A$404,0)),"Réf. inconnue"))</f>
        <v/>
      </c>
      <c r="F2140" s="67" t="n"/>
      <c r="G2140" s="81">
        <f>IF(D2140="","",IFERROR(INDEX('Stock pièces'!$I$5:$I$404,MATCH(D2140,'Stock pièces'!$A$5:$A$404,0)),0))</f>
        <v/>
      </c>
      <c r="H2140" s="81">
        <f>IF(D2140="","",N(F2140)*N(G2140))</f>
        <v/>
      </c>
      <c r="I2140" s="7" t="n"/>
      <c r="J2140" s="9">
        <f>IF(I2140="","",IFERROR(INDEX('Ordres de travail'!$D$5:$D$3004,MATCH(I2140,'Ordres de travail'!$A$5:$A$3004,0)),""))</f>
        <v/>
      </c>
      <c r="K2140" s="9">
        <f>IF(D2140="","",IFERROR(INDEX('Stock pièces'!$D$5:$D$404,MATCH(D2140,'Stock pièces'!$A$5:$A$404,0)),""))</f>
        <v/>
      </c>
      <c r="L2140" s="7" t="n"/>
      <c r="M2140" s="7" t="n"/>
    </row>
    <row r="2141">
      <c r="A2141" s="7" t="n"/>
      <c r="B2141" s="75" t="n"/>
      <c r="C2141" s="7" t="n"/>
      <c r="D2141" s="7" t="n"/>
      <c r="E2141" s="9">
        <f>IF(D2141="","",IFERROR(INDEX('Stock pièces'!$B$5:$B$404,MATCH(D2141,'Stock pièces'!$A$5:$A$404,0)),"Réf. inconnue"))</f>
        <v/>
      </c>
      <c r="F2141" s="67" t="n"/>
      <c r="G2141" s="81">
        <f>IF(D2141="","",IFERROR(INDEX('Stock pièces'!$I$5:$I$404,MATCH(D2141,'Stock pièces'!$A$5:$A$404,0)),0))</f>
        <v/>
      </c>
      <c r="H2141" s="81">
        <f>IF(D2141="","",N(F2141)*N(G2141))</f>
        <v/>
      </c>
      <c r="I2141" s="7" t="n"/>
      <c r="J2141" s="9">
        <f>IF(I2141="","",IFERROR(INDEX('Ordres de travail'!$D$5:$D$3004,MATCH(I2141,'Ordres de travail'!$A$5:$A$3004,0)),""))</f>
        <v/>
      </c>
      <c r="K2141" s="9">
        <f>IF(D2141="","",IFERROR(INDEX('Stock pièces'!$D$5:$D$404,MATCH(D2141,'Stock pièces'!$A$5:$A$404,0)),""))</f>
        <v/>
      </c>
      <c r="L2141" s="7" t="n"/>
      <c r="M2141" s="7" t="n"/>
    </row>
    <row r="2142">
      <c r="A2142" s="7" t="n"/>
      <c r="B2142" s="75" t="n"/>
      <c r="C2142" s="7" t="n"/>
      <c r="D2142" s="7" t="n"/>
      <c r="E2142" s="9">
        <f>IF(D2142="","",IFERROR(INDEX('Stock pièces'!$B$5:$B$404,MATCH(D2142,'Stock pièces'!$A$5:$A$404,0)),"Réf. inconnue"))</f>
        <v/>
      </c>
      <c r="F2142" s="67" t="n"/>
      <c r="G2142" s="81">
        <f>IF(D2142="","",IFERROR(INDEX('Stock pièces'!$I$5:$I$404,MATCH(D2142,'Stock pièces'!$A$5:$A$404,0)),0))</f>
        <v/>
      </c>
      <c r="H2142" s="81">
        <f>IF(D2142="","",N(F2142)*N(G2142))</f>
        <v/>
      </c>
      <c r="I2142" s="7" t="n"/>
      <c r="J2142" s="9">
        <f>IF(I2142="","",IFERROR(INDEX('Ordres de travail'!$D$5:$D$3004,MATCH(I2142,'Ordres de travail'!$A$5:$A$3004,0)),""))</f>
        <v/>
      </c>
      <c r="K2142" s="9">
        <f>IF(D2142="","",IFERROR(INDEX('Stock pièces'!$D$5:$D$404,MATCH(D2142,'Stock pièces'!$A$5:$A$404,0)),""))</f>
        <v/>
      </c>
      <c r="L2142" s="7" t="n"/>
      <c r="M2142" s="7" t="n"/>
    </row>
    <row r="2143">
      <c r="A2143" s="7" t="n"/>
      <c r="B2143" s="75" t="n"/>
      <c r="C2143" s="7" t="n"/>
      <c r="D2143" s="7" t="n"/>
      <c r="E2143" s="9">
        <f>IF(D2143="","",IFERROR(INDEX('Stock pièces'!$B$5:$B$404,MATCH(D2143,'Stock pièces'!$A$5:$A$404,0)),"Réf. inconnue"))</f>
        <v/>
      </c>
      <c r="F2143" s="67" t="n"/>
      <c r="G2143" s="81">
        <f>IF(D2143="","",IFERROR(INDEX('Stock pièces'!$I$5:$I$404,MATCH(D2143,'Stock pièces'!$A$5:$A$404,0)),0))</f>
        <v/>
      </c>
      <c r="H2143" s="81">
        <f>IF(D2143="","",N(F2143)*N(G2143))</f>
        <v/>
      </c>
      <c r="I2143" s="7" t="n"/>
      <c r="J2143" s="9">
        <f>IF(I2143="","",IFERROR(INDEX('Ordres de travail'!$D$5:$D$3004,MATCH(I2143,'Ordres de travail'!$A$5:$A$3004,0)),""))</f>
        <v/>
      </c>
      <c r="K2143" s="9">
        <f>IF(D2143="","",IFERROR(INDEX('Stock pièces'!$D$5:$D$404,MATCH(D2143,'Stock pièces'!$A$5:$A$404,0)),""))</f>
        <v/>
      </c>
      <c r="L2143" s="7" t="n"/>
      <c r="M2143" s="7" t="n"/>
    </row>
    <row r="2144">
      <c r="A2144" s="7" t="n"/>
      <c r="B2144" s="75" t="n"/>
      <c r="C2144" s="7" t="n"/>
      <c r="D2144" s="7" t="n"/>
      <c r="E2144" s="9">
        <f>IF(D2144="","",IFERROR(INDEX('Stock pièces'!$B$5:$B$404,MATCH(D2144,'Stock pièces'!$A$5:$A$404,0)),"Réf. inconnue"))</f>
        <v/>
      </c>
      <c r="F2144" s="67" t="n"/>
      <c r="G2144" s="81">
        <f>IF(D2144="","",IFERROR(INDEX('Stock pièces'!$I$5:$I$404,MATCH(D2144,'Stock pièces'!$A$5:$A$404,0)),0))</f>
        <v/>
      </c>
      <c r="H2144" s="81">
        <f>IF(D2144="","",N(F2144)*N(G2144))</f>
        <v/>
      </c>
      <c r="I2144" s="7" t="n"/>
      <c r="J2144" s="9">
        <f>IF(I2144="","",IFERROR(INDEX('Ordres de travail'!$D$5:$D$3004,MATCH(I2144,'Ordres de travail'!$A$5:$A$3004,0)),""))</f>
        <v/>
      </c>
      <c r="K2144" s="9">
        <f>IF(D2144="","",IFERROR(INDEX('Stock pièces'!$D$5:$D$404,MATCH(D2144,'Stock pièces'!$A$5:$A$404,0)),""))</f>
        <v/>
      </c>
      <c r="L2144" s="7" t="n"/>
      <c r="M2144" s="7" t="n"/>
    </row>
    <row r="2145">
      <c r="A2145" s="7" t="n"/>
      <c r="B2145" s="75" t="n"/>
      <c r="C2145" s="7" t="n"/>
      <c r="D2145" s="7" t="n"/>
      <c r="E2145" s="9">
        <f>IF(D2145="","",IFERROR(INDEX('Stock pièces'!$B$5:$B$404,MATCH(D2145,'Stock pièces'!$A$5:$A$404,0)),"Réf. inconnue"))</f>
        <v/>
      </c>
      <c r="F2145" s="67" t="n"/>
      <c r="G2145" s="81">
        <f>IF(D2145="","",IFERROR(INDEX('Stock pièces'!$I$5:$I$404,MATCH(D2145,'Stock pièces'!$A$5:$A$404,0)),0))</f>
        <v/>
      </c>
      <c r="H2145" s="81">
        <f>IF(D2145="","",N(F2145)*N(G2145))</f>
        <v/>
      </c>
      <c r="I2145" s="7" t="n"/>
      <c r="J2145" s="9">
        <f>IF(I2145="","",IFERROR(INDEX('Ordres de travail'!$D$5:$D$3004,MATCH(I2145,'Ordres de travail'!$A$5:$A$3004,0)),""))</f>
        <v/>
      </c>
      <c r="K2145" s="9">
        <f>IF(D2145="","",IFERROR(INDEX('Stock pièces'!$D$5:$D$404,MATCH(D2145,'Stock pièces'!$A$5:$A$404,0)),""))</f>
        <v/>
      </c>
      <c r="L2145" s="7" t="n"/>
      <c r="M2145" s="7" t="n"/>
    </row>
    <row r="2146">
      <c r="A2146" s="7" t="n"/>
      <c r="B2146" s="75" t="n"/>
      <c r="C2146" s="7" t="n"/>
      <c r="D2146" s="7" t="n"/>
      <c r="E2146" s="9">
        <f>IF(D2146="","",IFERROR(INDEX('Stock pièces'!$B$5:$B$404,MATCH(D2146,'Stock pièces'!$A$5:$A$404,0)),"Réf. inconnue"))</f>
        <v/>
      </c>
      <c r="F2146" s="67" t="n"/>
      <c r="G2146" s="81">
        <f>IF(D2146="","",IFERROR(INDEX('Stock pièces'!$I$5:$I$404,MATCH(D2146,'Stock pièces'!$A$5:$A$404,0)),0))</f>
        <v/>
      </c>
      <c r="H2146" s="81">
        <f>IF(D2146="","",N(F2146)*N(G2146))</f>
        <v/>
      </c>
      <c r="I2146" s="7" t="n"/>
      <c r="J2146" s="9">
        <f>IF(I2146="","",IFERROR(INDEX('Ordres de travail'!$D$5:$D$3004,MATCH(I2146,'Ordres de travail'!$A$5:$A$3004,0)),""))</f>
        <v/>
      </c>
      <c r="K2146" s="9">
        <f>IF(D2146="","",IFERROR(INDEX('Stock pièces'!$D$5:$D$404,MATCH(D2146,'Stock pièces'!$A$5:$A$404,0)),""))</f>
        <v/>
      </c>
      <c r="L2146" s="7" t="n"/>
      <c r="M2146" s="7" t="n"/>
    </row>
    <row r="2147">
      <c r="A2147" s="7" t="n"/>
      <c r="B2147" s="75" t="n"/>
      <c r="C2147" s="7" t="n"/>
      <c r="D2147" s="7" t="n"/>
      <c r="E2147" s="9">
        <f>IF(D2147="","",IFERROR(INDEX('Stock pièces'!$B$5:$B$404,MATCH(D2147,'Stock pièces'!$A$5:$A$404,0)),"Réf. inconnue"))</f>
        <v/>
      </c>
      <c r="F2147" s="67" t="n"/>
      <c r="G2147" s="81">
        <f>IF(D2147="","",IFERROR(INDEX('Stock pièces'!$I$5:$I$404,MATCH(D2147,'Stock pièces'!$A$5:$A$404,0)),0))</f>
        <v/>
      </c>
      <c r="H2147" s="81">
        <f>IF(D2147="","",N(F2147)*N(G2147))</f>
        <v/>
      </c>
      <c r="I2147" s="7" t="n"/>
      <c r="J2147" s="9">
        <f>IF(I2147="","",IFERROR(INDEX('Ordres de travail'!$D$5:$D$3004,MATCH(I2147,'Ordres de travail'!$A$5:$A$3004,0)),""))</f>
        <v/>
      </c>
      <c r="K2147" s="9">
        <f>IF(D2147="","",IFERROR(INDEX('Stock pièces'!$D$5:$D$404,MATCH(D2147,'Stock pièces'!$A$5:$A$404,0)),""))</f>
        <v/>
      </c>
      <c r="L2147" s="7" t="n"/>
      <c r="M2147" s="7" t="n"/>
    </row>
    <row r="2148">
      <c r="A2148" s="7" t="n"/>
      <c r="B2148" s="75" t="n"/>
      <c r="C2148" s="7" t="n"/>
      <c r="D2148" s="7" t="n"/>
      <c r="E2148" s="9">
        <f>IF(D2148="","",IFERROR(INDEX('Stock pièces'!$B$5:$B$404,MATCH(D2148,'Stock pièces'!$A$5:$A$404,0)),"Réf. inconnue"))</f>
        <v/>
      </c>
      <c r="F2148" s="67" t="n"/>
      <c r="G2148" s="81">
        <f>IF(D2148="","",IFERROR(INDEX('Stock pièces'!$I$5:$I$404,MATCH(D2148,'Stock pièces'!$A$5:$A$404,0)),0))</f>
        <v/>
      </c>
      <c r="H2148" s="81">
        <f>IF(D2148="","",N(F2148)*N(G2148))</f>
        <v/>
      </c>
      <c r="I2148" s="7" t="n"/>
      <c r="J2148" s="9">
        <f>IF(I2148="","",IFERROR(INDEX('Ordres de travail'!$D$5:$D$3004,MATCH(I2148,'Ordres de travail'!$A$5:$A$3004,0)),""))</f>
        <v/>
      </c>
      <c r="K2148" s="9">
        <f>IF(D2148="","",IFERROR(INDEX('Stock pièces'!$D$5:$D$404,MATCH(D2148,'Stock pièces'!$A$5:$A$404,0)),""))</f>
        <v/>
      </c>
      <c r="L2148" s="7" t="n"/>
      <c r="M2148" s="7" t="n"/>
    </row>
    <row r="2149">
      <c r="A2149" s="7" t="n"/>
      <c r="B2149" s="75" t="n"/>
      <c r="C2149" s="7" t="n"/>
      <c r="D2149" s="7" t="n"/>
      <c r="E2149" s="9">
        <f>IF(D2149="","",IFERROR(INDEX('Stock pièces'!$B$5:$B$404,MATCH(D2149,'Stock pièces'!$A$5:$A$404,0)),"Réf. inconnue"))</f>
        <v/>
      </c>
      <c r="F2149" s="67" t="n"/>
      <c r="G2149" s="81">
        <f>IF(D2149="","",IFERROR(INDEX('Stock pièces'!$I$5:$I$404,MATCH(D2149,'Stock pièces'!$A$5:$A$404,0)),0))</f>
        <v/>
      </c>
      <c r="H2149" s="81">
        <f>IF(D2149="","",N(F2149)*N(G2149))</f>
        <v/>
      </c>
      <c r="I2149" s="7" t="n"/>
      <c r="J2149" s="9">
        <f>IF(I2149="","",IFERROR(INDEX('Ordres de travail'!$D$5:$D$3004,MATCH(I2149,'Ordres de travail'!$A$5:$A$3004,0)),""))</f>
        <v/>
      </c>
      <c r="K2149" s="9">
        <f>IF(D2149="","",IFERROR(INDEX('Stock pièces'!$D$5:$D$404,MATCH(D2149,'Stock pièces'!$A$5:$A$404,0)),""))</f>
        <v/>
      </c>
      <c r="L2149" s="7" t="n"/>
      <c r="M2149" s="7" t="n"/>
    </row>
    <row r="2150">
      <c r="A2150" s="7" t="n"/>
      <c r="B2150" s="75" t="n"/>
      <c r="C2150" s="7" t="n"/>
      <c r="D2150" s="7" t="n"/>
      <c r="E2150" s="9">
        <f>IF(D2150="","",IFERROR(INDEX('Stock pièces'!$B$5:$B$404,MATCH(D2150,'Stock pièces'!$A$5:$A$404,0)),"Réf. inconnue"))</f>
        <v/>
      </c>
      <c r="F2150" s="67" t="n"/>
      <c r="G2150" s="81">
        <f>IF(D2150="","",IFERROR(INDEX('Stock pièces'!$I$5:$I$404,MATCH(D2150,'Stock pièces'!$A$5:$A$404,0)),0))</f>
        <v/>
      </c>
      <c r="H2150" s="81">
        <f>IF(D2150="","",N(F2150)*N(G2150))</f>
        <v/>
      </c>
      <c r="I2150" s="7" t="n"/>
      <c r="J2150" s="9">
        <f>IF(I2150="","",IFERROR(INDEX('Ordres de travail'!$D$5:$D$3004,MATCH(I2150,'Ordres de travail'!$A$5:$A$3004,0)),""))</f>
        <v/>
      </c>
      <c r="K2150" s="9">
        <f>IF(D2150="","",IFERROR(INDEX('Stock pièces'!$D$5:$D$404,MATCH(D2150,'Stock pièces'!$A$5:$A$404,0)),""))</f>
        <v/>
      </c>
      <c r="L2150" s="7" t="n"/>
      <c r="M2150" s="7" t="n"/>
    </row>
    <row r="2151">
      <c r="A2151" s="7" t="n"/>
      <c r="B2151" s="75" t="n"/>
      <c r="C2151" s="7" t="n"/>
      <c r="D2151" s="7" t="n"/>
      <c r="E2151" s="9">
        <f>IF(D2151="","",IFERROR(INDEX('Stock pièces'!$B$5:$B$404,MATCH(D2151,'Stock pièces'!$A$5:$A$404,0)),"Réf. inconnue"))</f>
        <v/>
      </c>
      <c r="F2151" s="67" t="n"/>
      <c r="G2151" s="81">
        <f>IF(D2151="","",IFERROR(INDEX('Stock pièces'!$I$5:$I$404,MATCH(D2151,'Stock pièces'!$A$5:$A$404,0)),0))</f>
        <v/>
      </c>
      <c r="H2151" s="81">
        <f>IF(D2151="","",N(F2151)*N(G2151))</f>
        <v/>
      </c>
      <c r="I2151" s="7" t="n"/>
      <c r="J2151" s="9">
        <f>IF(I2151="","",IFERROR(INDEX('Ordres de travail'!$D$5:$D$3004,MATCH(I2151,'Ordres de travail'!$A$5:$A$3004,0)),""))</f>
        <v/>
      </c>
      <c r="K2151" s="9">
        <f>IF(D2151="","",IFERROR(INDEX('Stock pièces'!$D$5:$D$404,MATCH(D2151,'Stock pièces'!$A$5:$A$404,0)),""))</f>
        <v/>
      </c>
      <c r="L2151" s="7" t="n"/>
      <c r="M2151" s="7" t="n"/>
    </row>
    <row r="2152">
      <c r="A2152" s="7" t="n"/>
      <c r="B2152" s="75" t="n"/>
      <c r="C2152" s="7" t="n"/>
      <c r="D2152" s="7" t="n"/>
      <c r="E2152" s="9">
        <f>IF(D2152="","",IFERROR(INDEX('Stock pièces'!$B$5:$B$404,MATCH(D2152,'Stock pièces'!$A$5:$A$404,0)),"Réf. inconnue"))</f>
        <v/>
      </c>
      <c r="F2152" s="67" t="n"/>
      <c r="G2152" s="81">
        <f>IF(D2152="","",IFERROR(INDEX('Stock pièces'!$I$5:$I$404,MATCH(D2152,'Stock pièces'!$A$5:$A$404,0)),0))</f>
        <v/>
      </c>
      <c r="H2152" s="81">
        <f>IF(D2152="","",N(F2152)*N(G2152))</f>
        <v/>
      </c>
      <c r="I2152" s="7" t="n"/>
      <c r="J2152" s="9">
        <f>IF(I2152="","",IFERROR(INDEX('Ordres de travail'!$D$5:$D$3004,MATCH(I2152,'Ordres de travail'!$A$5:$A$3004,0)),""))</f>
        <v/>
      </c>
      <c r="K2152" s="9">
        <f>IF(D2152="","",IFERROR(INDEX('Stock pièces'!$D$5:$D$404,MATCH(D2152,'Stock pièces'!$A$5:$A$404,0)),""))</f>
        <v/>
      </c>
      <c r="L2152" s="7" t="n"/>
      <c r="M2152" s="7" t="n"/>
    </row>
    <row r="2153">
      <c r="A2153" s="7" t="n"/>
      <c r="B2153" s="75" t="n"/>
      <c r="C2153" s="7" t="n"/>
      <c r="D2153" s="7" t="n"/>
      <c r="E2153" s="9">
        <f>IF(D2153="","",IFERROR(INDEX('Stock pièces'!$B$5:$B$404,MATCH(D2153,'Stock pièces'!$A$5:$A$404,0)),"Réf. inconnue"))</f>
        <v/>
      </c>
      <c r="F2153" s="67" t="n"/>
      <c r="G2153" s="81">
        <f>IF(D2153="","",IFERROR(INDEX('Stock pièces'!$I$5:$I$404,MATCH(D2153,'Stock pièces'!$A$5:$A$404,0)),0))</f>
        <v/>
      </c>
      <c r="H2153" s="81">
        <f>IF(D2153="","",N(F2153)*N(G2153))</f>
        <v/>
      </c>
      <c r="I2153" s="7" t="n"/>
      <c r="J2153" s="9">
        <f>IF(I2153="","",IFERROR(INDEX('Ordres de travail'!$D$5:$D$3004,MATCH(I2153,'Ordres de travail'!$A$5:$A$3004,0)),""))</f>
        <v/>
      </c>
      <c r="K2153" s="9">
        <f>IF(D2153="","",IFERROR(INDEX('Stock pièces'!$D$5:$D$404,MATCH(D2153,'Stock pièces'!$A$5:$A$404,0)),""))</f>
        <v/>
      </c>
      <c r="L2153" s="7" t="n"/>
      <c r="M2153" s="7" t="n"/>
    </row>
    <row r="2154">
      <c r="A2154" s="7" t="n"/>
      <c r="B2154" s="75" t="n"/>
      <c r="C2154" s="7" t="n"/>
      <c r="D2154" s="7" t="n"/>
      <c r="E2154" s="9">
        <f>IF(D2154="","",IFERROR(INDEX('Stock pièces'!$B$5:$B$404,MATCH(D2154,'Stock pièces'!$A$5:$A$404,0)),"Réf. inconnue"))</f>
        <v/>
      </c>
      <c r="F2154" s="67" t="n"/>
      <c r="G2154" s="81">
        <f>IF(D2154="","",IFERROR(INDEX('Stock pièces'!$I$5:$I$404,MATCH(D2154,'Stock pièces'!$A$5:$A$404,0)),0))</f>
        <v/>
      </c>
      <c r="H2154" s="81">
        <f>IF(D2154="","",N(F2154)*N(G2154))</f>
        <v/>
      </c>
      <c r="I2154" s="7" t="n"/>
      <c r="J2154" s="9">
        <f>IF(I2154="","",IFERROR(INDEX('Ordres de travail'!$D$5:$D$3004,MATCH(I2154,'Ordres de travail'!$A$5:$A$3004,0)),""))</f>
        <v/>
      </c>
      <c r="K2154" s="9">
        <f>IF(D2154="","",IFERROR(INDEX('Stock pièces'!$D$5:$D$404,MATCH(D2154,'Stock pièces'!$A$5:$A$404,0)),""))</f>
        <v/>
      </c>
      <c r="L2154" s="7" t="n"/>
      <c r="M2154" s="7" t="n"/>
    </row>
    <row r="2155">
      <c r="A2155" s="7" t="n"/>
      <c r="B2155" s="75" t="n"/>
      <c r="C2155" s="7" t="n"/>
      <c r="D2155" s="7" t="n"/>
      <c r="E2155" s="9">
        <f>IF(D2155="","",IFERROR(INDEX('Stock pièces'!$B$5:$B$404,MATCH(D2155,'Stock pièces'!$A$5:$A$404,0)),"Réf. inconnue"))</f>
        <v/>
      </c>
      <c r="F2155" s="67" t="n"/>
      <c r="G2155" s="81">
        <f>IF(D2155="","",IFERROR(INDEX('Stock pièces'!$I$5:$I$404,MATCH(D2155,'Stock pièces'!$A$5:$A$404,0)),0))</f>
        <v/>
      </c>
      <c r="H2155" s="81">
        <f>IF(D2155="","",N(F2155)*N(G2155))</f>
        <v/>
      </c>
      <c r="I2155" s="7" t="n"/>
      <c r="J2155" s="9">
        <f>IF(I2155="","",IFERROR(INDEX('Ordres de travail'!$D$5:$D$3004,MATCH(I2155,'Ordres de travail'!$A$5:$A$3004,0)),""))</f>
        <v/>
      </c>
      <c r="K2155" s="9">
        <f>IF(D2155="","",IFERROR(INDEX('Stock pièces'!$D$5:$D$404,MATCH(D2155,'Stock pièces'!$A$5:$A$404,0)),""))</f>
        <v/>
      </c>
      <c r="L2155" s="7" t="n"/>
      <c r="M2155" s="7" t="n"/>
    </row>
    <row r="2156">
      <c r="A2156" s="7" t="n"/>
      <c r="B2156" s="75" t="n"/>
      <c r="C2156" s="7" t="n"/>
      <c r="D2156" s="7" t="n"/>
      <c r="E2156" s="9">
        <f>IF(D2156="","",IFERROR(INDEX('Stock pièces'!$B$5:$B$404,MATCH(D2156,'Stock pièces'!$A$5:$A$404,0)),"Réf. inconnue"))</f>
        <v/>
      </c>
      <c r="F2156" s="67" t="n"/>
      <c r="G2156" s="81">
        <f>IF(D2156="","",IFERROR(INDEX('Stock pièces'!$I$5:$I$404,MATCH(D2156,'Stock pièces'!$A$5:$A$404,0)),0))</f>
        <v/>
      </c>
      <c r="H2156" s="81">
        <f>IF(D2156="","",N(F2156)*N(G2156))</f>
        <v/>
      </c>
      <c r="I2156" s="7" t="n"/>
      <c r="J2156" s="9">
        <f>IF(I2156="","",IFERROR(INDEX('Ordres de travail'!$D$5:$D$3004,MATCH(I2156,'Ordres de travail'!$A$5:$A$3004,0)),""))</f>
        <v/>
      </c>
      <c r="K2156" s="9">
        <f>IF(D2156="","",IFERROR(INDEX('Stock pièces'!$D$5:$D$404,MATCH(D2156,'Stock pièces'!$A$5:$A$404,0)),""))</f>
        <v/>
      </c>
      <c r="L2156" s="7" t="n"/>
      <c r="M2156" s="7" t="n"/>
    </row>
    <row r="2157">
      <c r="A2157" s="7" t="n"/>
      <c r="B2157" s="75" t="n"/>
      <c r="C2157" s="7" t="n"/>
      <c r="D2157" s="7" t="n"/>
      <c r="E2157" s="9">
        <f>IF(D2157="","",IFERROR(INDEX('Stock pièces'!$B$5:$B$404,MATCH(D2157,'Stock pièces'!$A$5:$A$404,0)),"Réf. inconnue"))</f>
        <v/>
      </c>
      <c r="F2157" s="67" t="n"/>
      <c r="G2157" s="81">
        <f>IF(D2157="","",IFERROR(INDEX('Stock pièces'!$I$5:$I$404,MATCH(D2157,'Stock pièces'!$A$5:$A$404,0)),0))</f>
        <v/>
      </c>
      <c r="H2157" s="81">
        <f>IF(D2157="","",N(F2157)*N(G2157))</f>
        <v/>
      </c>
      <c r="I2157" s="7" t="n"/>
      <c r="J2157" s="9">
        <f>IF(I2157="","",IFERROR(INDEX('Ordres de travail'!$D$5:$D$3004,MATCH(I2157,'Ordres de travail'!$A$5:$A$3004,0)),""))</f>
        <v/>
      </c>
      <c r="K2157" s="9">
        <f>IF(D2157="","",IFERROR(INDEX('Stock pièces'!$D$5:$D$404,MATCH(D2157,'Stock pièces'!$A$5:$A$404,0)),""))</f>
        <v/>
      </c>
      <c r="L2157" s="7" t="n"/>
      <c r="M2157" s="7" t="n"/>
    </row>
    <row r="2158">
      <c r="A2158" s="7" t="n"/>
      <c r="B2158" s="75" t="n"/>
      <c r="C2158" s="7" t="n"/>
      <c r="D2158" s="7" t="n"/>
      <c r="E2158" s="9">
        <f>IF(D2158="","",IFERROR(INDEX('Stock pièces'!$B$5:$B$404,MATCH(D2158,'Stock pièces'!$A$5:$A$404,0)),"Réf. inconnue"))</f>
        <v/>
      </c>
      <c r="F2158" s="67" t="n"/>
      <c r="G2158" s="81">
        <f>IF(D2158="","",IFERROR(INDEX('Stock pièces'!$I$5:$I$404,MATCH(D2158,'Stock pièces'!$A$5:$A$404,0)),0))</f>
        <v/>
      </c>
      <c r="H2158" s="81">
        <f>IF(D2158="","",N(F2158)*N(G2158))</f>
        <v/>
      </c>
      <c r="I2158" s="7" t="n"/>
      <c r="J2158" s="9">
        <f>IF(I2158="","",IFERROR(INDEX('Ordres de travail'!$D$5:$D$3004,MATCH(I2158,'Ordres de travail'!$A$5:$A$3004,0)),""))</f>
        <v/>
      </c>
      <c r="K2158" s="9">
        <f>IF(D2158="","",IFERROR(INDEX('Stock pièces'!$D$5:$D$404,MATCH(D2158,'Stock pièces'!$A$5:$A$404,0)),""))</f>
        <v/>
      </c>
      <c r="L2158" s="7" t="n"/>
      <c r="M2158" s="7" t="n"/>
    </row>
    <row r="2159">
      <c r="A2159" s="7" t="n"/>
      <c r="B2159" s="75" t="n"/>
      <c r="C2159" s="7" t="n"/>
      <c r="D2159" s="7" t="n"/>
      <c r="E2159" s="9">
        <f>IF(D2159="","",IFERROR(INDEX('Stock pièces'!$B$5:$B$404,MATCH(D2159,'Stock pièces'!$A$5:$A$404,0)),"Réf. inconnue"))</f>
        <v/>
      </c>
      <c r="F2159" s="67" t="n"/>
      <c r="G2159" s="81">
        <f>IF(D2159="","",IFERROR(INDEX('Stock pièces'!$I$5:$I$404,MATCH(D2159,'Stock pièces'!$A$5:$A$404,0)),0))</f>
        <v/>
      </c>
      <c r="H2159" s="81">
        <f>IF(D2159="","",N(F2159)*N(G2159))</f>
        <v/>
      </c>
      <c r="I2159" s="7" t="n"/>
      <c r="J2159" s="9">
        <f>IF(I2159="","",IFERROR(INDEX('Ordres de travail'!$D$5:$D$3004,MATCH(I2159,'Ordres de travail'!$A$5:$A$3004,0)),""))</f>
        <v/>
      </c>
      <c r="K2159" s="9">
        <f>IF(D2159="","",IFERROR(INDEX('Stock pièces'!$D$5:$D$404,MATCH(D2159,'Stock pièces'!$A$5:$A$404,0)),""))</f>
        <v/>
      </c>
      <c r="L2159" s="7" t="n"/>
      <c r="M2159" s="7" t="n"/>
    </row>
    <row r="2160">
      <c r="A2160" s="7" t="n"/>
      <c r="B2160" s="75" t="n"/>
      <c r="C2160" s="7" t="n"/>
      <c r="D2160" s="7" t="n"/>
      <c r="E2160" s="9">
        <f>IF(D2160="","",IFERROR(INDEX('Stock pièces'!$B$5:$B$404,MATCH(D2160,'Stock pièces'!$A$5:$A$404,0)),"Réf. inconnue"))</f>
        <v/>
      </c>
      <c r="F2160" s="67" t="n"/>
      <c r="G2160" s="81">
        <f>IF(D2160="","",IFERROR(INDEX('Stock pièces'!$I$5:$I$404,MATCH(D2160,'Stock pièces'!$A$5:$A$404,0)),0))</f>
        <v/>
      </c>
      <c r="H2160" s="81">
        <f>IF(D2160="","",N(F2160)*N(G2160))</f>
        <v/>
      </c>
      <c r="I2160" s="7" t="n"/>
      <c r="J2160" s="9">
        <f>IF(I2160="","",IFERROR(INDEX('Ordres de travail'!$D$5:$D$3004,MATCH(I2160,'Ordres de travail'!$A$5:$A$3004,0)),""))</f>
        <v/>
      </c>
      <c r="K2160" s="9">
        <f>IF(D2160="","",IFERROR(INDEX('Stock pièces'!$D$5:$D$404,MATCH(D2160,'Stock pièces'!$A$5:$A$404,0)),""))</f>
        <v/>
      </c>
      <c r="L2160" s="7" t="n"/>
      <c r="M2160" s="7" t="n"/>
    </row>
    <row r="2161">
      <c r="A2161" s="7" t="n"/>
      <c r="B2161" s="75" t="n"/>
      <c r="C2161" s="7" t="n"/>
      <c r="D2161" s="7" t="n"/>
      <c r="E2161" s="9">
        <f>IF(D2161="","",IFERROR(INDEX('Stock pièces'!$B$5:$B$404,MATCH(D2161,'Stock pièces'!$A$5:$A$404,0)),"Réf. inconnue"))</f>
        <v/>
      </c>
      <c r="F2161" s="67" t="n"/>
      <c r="G2161" s="81">
        <f>IF(D2161="","",IFERROR(INDEX('Stock pièces'!$I$5:$I$404,MATCH(D2161,'Stock pièces'!$A$5:$A$404,0)),0))</f>
        <v/>
      </c>
      <c r="H2161" s="81">
        <f>IF(D2161="","",N(F2161)*N(G2161))</f>
        <v/>
      </c>
      <c r="I2161" s="7" t="n"/>
      <c r="J2161" s="9">
        <f>IF(I2161="","",IFERROR(INDEX('Ordres de travail'!$D$5:$D$3004,MATCH(I2161,'Ordres de travail'!$A$5:$A$3004,0)),""))</f>
        <v/>
      </c>
      <c r="K2161" s="9">
        <f>IF(D2161="","",IFERROR(INDEX('Stock pièces'!$D$5:$D$404,MATCH(D2161,'Stock pièces'!$A$5:$A$404,0)),""))</f>
        <v/>
      </c>
      <c r="L2161" s="7" t="n"/>
      <c r="M2161" s="7" t="n"/>
    </row>
    <row r="2162">
      <c r="A2162" s="7" t="n"/>
      <c r="B2162" s="75" t="n"/>
      <c r="C2162" s="7" t="n"/>
      <c r="D2162" s="7" t="n"/>
      <c r="E2162" s="9">
        <f>IF(D2162="","",IFERROR(INDEX('Stock pièces'!$B$5:$B$404,MATCH(D2162,'Stock pièces'!$A$5:$A$404,0)),"Réf. inconnue"))</f>
        <v/>
      </c>
      <c r="F2162" s="67" t="n"/>
      <c r="G2162" s="81">
        <f>IF(D2162="","",IFERROR(INDEX('Stock pièces'!$I$5:$I$404,MATCH(D2162,'Stock pièces'!$A$5:$A$404,0)),0))</f>
        <v/>
      </c>
      <c r="H2162" s="81">
        <f>IF(D2162="","",N(F2162)*N(G2162))</f>
        <v/>
      </c>
      <c r="I2162" s="7" t="n"/>
      <c r="J2162" s="9">
        <f>IF(I2162="","",IFERROR(INDEX('Ordres de travail'!$D$5:$D$3004,MATCH(I2162,'Ordres de travail'!$A$5:$A$3004,0)),""))</f>
        <v/>
      </c>
      <c r="K2162" s="9">
        <f>IF(D2162="","",IFERROR(INDEX('Stock pièces'!$D$5:$D$404,MATCH(D2162,'Stock pièces'!$A$5:$A$404,0)),""))</f>
        <v/>
      </c>
      <c r="L2162" s="7" t="n"/>
      <c r="M2162" s="7" t="n"/>
    </row>
    <row r="2163">
      <c r="A2163" s="7" t="n"/>
      <c r="B2163" s="75" t="n"/>
      <c r="C2163" s="7" t="n"/>
      <c r="D2163" s="7" t="n"/>
      <c r="E2163" s="9">
        <f>IF(D2163="","",IFERROR(INDEX('Stock pièces'!$B$5:$B$404,MATCH(D2163,'Stock pièces'!$A$5:$A$404,0)),"Réf. inconnue"))</f>
        <v/>
      </c>
      <c r="F2163" s="67" t="n"/>
      <c r="G2163" s="81">
        <f>IF(D2163="","",IFERROR(INDEX('Stock pièces'!$I$5:$I$404,MATCH(D2163,'Stock pièces'!$A$5:$A$404,0)),0))</f>
        <v/>
      </c>
      <c r="H2163" s="81">
        <f>IF(D2163="","",N(F2163)*N(G2163))</f>
        <v/>
      </c>
      <c r="I2163" s="7" t="n"/>
      <c r="J2163" s="9">
        <f>IF(I2163="","",IFERROR(INDEX('Ordres de travail'!$D$5:$D$3004,MATCH(I2163,'Ordres de travail'!$A$5:$A$3004,0)),""))</f>
        <v/>
      </c>
      <c r="K2163" s="9">
        <f>IF(D2163="","",IFERROR(INDEX('Stock pièces'!$D$5:$D$404,MATCH(D2163,'Stock pièces'!$A$5:$A$404,0)),""))</f>
        <v/>
      </c>
      <c r="L2163" s="7" t="n"/>
      <c r="M2163" s="7" t="n"/>
    </row>
    <row r="2164">
      <c r="A2164" s="7" t="n"/>
      <c r="B2164" s="75" t="n"/>
      <c r="C2164" s="7" t="n"/>
      <c r="D2164" s="7" t="n"/>
      <c r="E2164" s="9">
        <f>IF(D2164="","",IFERROR(INDEX('Stock pièces'!$B$5:$B$404,MATCH(D2164,'Stock pièces'!$A$5:$A$404,0)),"Réf. inconnue"))</f>
        <v/>
      </c>
      <c r="F2164" s="67" t="n"/>
      <c r="G2164" s="81">
        <f>IF(D2164="","",IFERROR(INDEX('Stock pièces'!$I$5:$I$404,MATCH(D2164,'Stock pièces'!$A$5:$A$404,0)),0))</f>
        <v/>
      </c>
      <c r="H2164" s="81">
        <f>IF(D2164="","",N(F2164)*N(G2164))</f>
        <v/>
      </c>
      <c r="I2164" s="7" t="n"/>
      <c r="J2164" s="9">
        <f>IF(I2164="","",IFERROR(INDEX('Ordres de travail'!$D$5:$D$3004,MATCH(I2164,'Ordres de travail'!$A$5:$A$3004,0)),""))</f>
        <v/>
      </c>
      <c r="K2164" s="9">
        <f>IF(D2164="","",IFERROR(INDEX('Stock pièces'!$D$5:$D$404,MATCH(D2164,'Stock pièces'!$A$5:$A$404,0)),""))</f>
        <v/>
      </c>
      <c r="L2164" s="7" t="n"/>
      <c r="M2164" s="7" t="n"/>
    </row>
    <row r="2165">
      <c r="A2165" s="7" t="n"/>
      <c r="B2165" s="75" t="n"/>
      <c r="C2165" s="7" t="n"/>
      <c r="D2165" s="7" t="n"/>
      <c r="E2165" s="9">
        <f>IF(D2165="","",IFERROR(INDEX('Stock pièces'!$B$5:$B$404,MATCH(D2165,'Stock pièces'!$A$5:$A$404,0)),"Réf. inconnue"))</f>
        <v/>
      </c>
      <c r="F2165" s="67" t="n"/>
      <c r="G2165" s="81">
        <f>IF(D2165="","",IFERROR(INDEX('Stock pièces'!$I$5:$I$404,MATCH(D2165,'Stock pièces'!$A$5:$A$404,0)),0))</f>
        <v/>
      </c>
      <c r="H2165" s="81">
        <f>IF(D2165="","",N(F2165)*N(G2165))</f>
        <v/>
      </c>
      <c r="I2165" s="7" t="n"/>
      <c r="J2165" s="9">
        <f>IF(I2165="","",IFERROR(INDEX('Ordres de travail'!$D$5:$D$3004,MATCH(I2165,'Ordres de travail'!$A$5:$A$3004,0)),""))</f>
        <v/>
      </c>
      <c r="K2165" s="9">
        <f>IF(D2165="","",IFERROR(INDEX('Stock pièces'!$D$5:$D$404,MATCH(D2165,'Stock pièces'!$A$5:$A$404,0)),""))</f>
        <v/>
      </c>
      <c r="L2165" s="7" t="n"/>
      <c r="M2165" s="7" t="n"/>
    </row>
    <row r="2166">
      <c r="A2166" s="7" t="n"/>
      <c r="B2166" s="75" t="n"/>
      <c r="C2166" s="7" t="n"/>
      <c r="D2166" s="7" t="n"/>
      <c r="E2166" s="9">
        <f>IF(D2166="","",IFERROR(INDEX('Stock pièces'!$B$5:$B$404,MATCH(D2166,'Stock pièces'!$A$5:$A$404,0)),"Réf. inconnue"))</f>
        <v/>
      </c>
      <c r="F2166" s="67" t="n"/>
      <c r="G2166" s="81">
        <f>IF(D2166="","",IFERROR(INDEX('Stock pièces'!$I$5:$I$404,MATCH(D2166,'Stock pièces'!$A$5:$A$404,0)),0))</f>
        <v/>
      </c>
      <c r="H2166" s="81">
        <f>IF(D2166="","",N(F2166)*N(G2166))</f>
        <v/>
      </c>
      <c r="I2166" s="7" t="n"/>
      <c r="J2166" s="9">
        <f>IF(I2166="","",IFERROR(INDEX('Ordres de travail'!$D$5:$D$3004,MATCH(I2166,'Ordres de travail'!$A$5:$A$3004,0)),""))</f>
        <v/>
      </c>
      <c r="K2166" s="9">
        <f>IF(D2166="","",IFERROR(INDEX('Stock pièces'!$D$5:$D$404,MATCH(D2166,'Stock pièces'!$A$5:$A$404,0)),""))</f>
        <v/>
      </c>
      <c r="L2166" s="7" t="n"/>
      <c r="M2166" s="7" t="n"/>
    </row>
    <row r="2167">
      <c r="A2167" s="7" t="n"/>
      <c r="B2167" s="75" t="n"/>
      <c r="C2167" s="7" t="n"/>
      <c r="D2167" s="7" t="n"/>
      <c r="E2167" s="9">
        <f>IF(D2167="","",IFERROR(INDEX('Stock pièces'!$B$5:$B$404,MATCH(D2167,'Stock pièces'!$A$5:$A$404,0)),"Réf. inconnue"))</f>
        <v/>
      </c>
      <c r="F2167" s="67" t="n"/>
      <c r="G2167" s="81">
        <f>IF(D2167="","",IFERROR(INDEX('Stock pièces'!$I$5:$I$404,MATCH(D2167,'Stock pièces'!$A$5:$A$404,0)),0))</f>
        <v/>
      </c>
      <c r="H2167" s="81">
        <f>IF(D2167="","",N(F2167)*N(G2167))</f>
        <v/>
      </c>
      <c r="I2167" s="7" t="n"/>
      <c r="J2167" s="9">
        <f>IF(I2167="","",IFERROR(INDEX('Ordres de travail'!$D$5:$D$3004,MATCH(I2167,'Ordres de travail'!$A$5:$A$3004,0)),""))</f>
        <v/>
      </c>
      <c r="K2167" s="9">
        <f>IF(D2167="","",IFERROR(INDEX('Stock pièces'!$D$5:$D$404,MATCH(D2167,'Stock pièces'!$A$5:$A$404,0)),""))</f>
        <v/>
      </c>
      <c r="L2167" s="7" t="n"/>
      <c r="M2167" s="7" t="n"/>
    </row>
    <row r="2168">
      <c r="A2168" s="7" t="n"/>
      <c r="B2168" s="75" t="n"/>
      <c r="C2168" s="7" t="n"/>
      <c r="D2168" s="7" t="n"/>
      <c r="E2168" s="9">
        <f>IF(D2168="","",IFERROR(INDEX('Stock pièces'!$B$5:$B$404,MATCH(D2168,'Stock pièces'!$A$5:$A$404,0)),"Réf. inconnue"))</f>
        <v/>
      </c>
      <c r="F2168" s="67" t="n"/>
      <c r="G2168" s="81">
        <f>IF(D2168="","",IFERROR(INDEX('Stock pièces'!$I$5:$I$404,MATCH(D2168,'Stock pièces'!$A$5:$A$404,0)),0))</f>
        <v/>
      </c>
      <c r="H2168" s="81">
        <f>IF(D2168="","",N(F2168)*N(G2168))</f>
        <v/>
      </c>
      <c r="I2168" s="7" t="n"/>
      <c r="J2168" s="9">
        <f>IF(I2168="","",IFERROR(INDEX('Ordres de travail'!$D$5:$D$3004,MATCH(I2168,'Ordres de travail'!$A$5:$A$3004,0)),""))</f>
        <v/>
      </c>
      <c r="K2168" s="9">
        <f>IF(D2168="","",IFERROR(INDEX('Stock pièces'!$D$5:$D$404,MATCH(D2168,'Stock pièces'!$A$5:$A$404,0)),""))</f>
        <v/>
      </c>
      <c r="L2168" s="7" t="n"/>
      <c r="M2168" s="7" t="n"/>
    </row>
    <row r="2169">
      <c r="A2169" s="7" t="n"/>
      <c r="B2169" s="75" t="n"/>
      <c r="C2169" s="7" t="n"/>
      <c r="D2169" s="7" t="n"/>
      <c r="E2169" s="9">
        <f>IF(D2169="","",IFERROR(INDEX('Stock pièces'!$B$5:$B$404,MATCH(D2169,'Stock pièces'!$A$5:$A$404,0)),"Réf. inconnue"))</f>
        <v/>
      </c>
      <c r="F2169" s="67" t="n"/>
      <c r="G2169" s="81">
        <f>IF(D2169="","",IFERROR(INDEX('Stock pièces'!$I$5:$I$404,MATCH(D2169,'Stock pièces'!$A$5:$A$404,0)),0))</f>
        <v/>
      </c>
      <c r="H2169" s="81">
        <f>IF(D2169="","",N(F2169)*N(G2169))</f>
        <v/>
      </c>
      <c r="I2169" s="7" t="n"/>
      <c r="J2169" s="9">
        <f>IF(I2169="","",IFERROR(INDEX('Ordres de travail'!$D$5:$D$3004,MATCH(I2169,'Ordres de travail'!$A$5:$A$3004,0)),""))</f>
        <v/>
      </c>
      <c r="K2169" s="9">
        <f>IF(D2169="","",IFERROR(INDEX('Stock pièces'!$D$5:$D$404,MATCH(D2169,'Stock pièces'!$A$5:$A$404,0)),""))</f>
        <v/>
      </c>
      <c r="L2169" s="7" t="n"/>
      <c r="M2169" s="7" t="n"/>
    </row>
    <row r="2170">
      <c r="A2170" s="7" t="n"/>
      <c r="B2170" s="75" t="n"/>
      <c r="C2170" s="7" t="n"/>
      <c r="D2170" s="7" t="n"/>
      <c r="E2170" s="9">
        <f>IF(D2170="","",IFERROR(INDEX('Stock pièces'!$B$5:$B$404,MATCH(D2170,'Stock pièces'!$A$5:$A$404,0)),"Réf. inconnue"))</f>
        <v/>
      </c>
      <c r="F2170" s="67" t="n"/>
      <c r="G2170" s="81">
        <f>IF(D2170="","",IFERROR(INDEX('Stock pièces'!$I$5:$I$404,MATCH(D2170,'Stock pièces'!$A$5:$A$404,0)),0))</f>
        <v/>
      </c>
      <c r="H2170" s="81">
        <f>IF(D2170="","",N(F2170)*N(G2170))</f>
        <v/>
      </c>
      <c r="I2170" s="7" t="n"/>
      <c r="J2170" s="9">
        <f>IF(I2170="","",IFERROR(INDEX('Ordres de travail'!$D$5:$D$3004,MATCH(I2170,'Ordres de travail'!$A$5:$A$3004,0)),""))</f>
        <v/>
      </c>
      <c r="K2170" s="9">
        <f>IF(D2170="","",IFERROR(INDEX('Stock pièces'!$D$5:$D$404,MATCH(D2170,'Stock pièces'!$A$5:$A$404,0)),""))</f>
        <v/>
      </c>
      <c r="L2170" s="7" t="n"/>
      <c r="M2170" s="7" t="n"/>
    </row>
    <row r="2171">
      <c r="A2171" s="7" t="n"/>
      <c r="B2171" s="75" t="n"/>
      <c r="C2171" s="7" t="n"/>
      <c r="D2171" s="7" t="n"/>
      <c r="E2171" s="9">
        <f>IF(D2171="","",IFERROR(INDEX('Stock pièces'!$B$5:$B$404,MATCH(D2171,'Stock pièces'!$A$5:$A$404,0)),"Réf. inconnue"))</f>
        <v/>
      </c>
      <c r="F2171" s="67" t="n"/>
      <c r="G2171" s="81">
        <f>IF(D2171="","",IFERROR(INDEX('Stock pièces'!$I$5:$I$404,MATCH(D2171,'Stock pièces'!$A$5:$A$404,0)),0))</f>
        <v/>
      </c>
      <c r="H2171" s="81">
        <f>IF(D2171="","",N(F2171)*N(G2171))</f>
        <v/>
      </c>
      <c r="I2171" s="7" t="n"/>
      <c r="J2171" s="9">
        <f>IF(I2171="","",IFERROR(INDEX('Ordres de travail'!$D$5:$D$3004,MATCH(I2171,'Ordres de travail'!$A$5:$A$3004,0)),""))</f>
        <v/>
      </c>
      <c r="K2171" s="9">
        <f>IF(D2171="","",IFERROR(INDEX('Stock pièces'!$D$5:$D$404,MATCH(D2171,'Stock pièces'!$A$5:$A$404,0)),""))</f>
        <v/>
      </c>
      <c r="L2171" s="7" t="n"/>
      <c r="M2171" s="7" t="n"/>
    </row>
    <row r="2172">
      <c r="A2172" s="7" t="n"/>
      <c r="B2172" s="75" t="n"/>
      <c r="C2172" s="7" t="n"/>
      <c r="D2172" s="7" t="n"/>
      <c r="E2172" s="9">
        <f>IF(D2172="","",IFERROR(INDEX('Stock pièces'!$B$5:$B$404,MATCH(D2172,'Stock pièces'!$A$5:$A$404,0)),"Réf. inconnue"))</f>
        <v/>
      </c>
      <c r="F2172" s="67" t="n"/>
      <c r="G2172" s="81">
        <f>IF(D2172="","",IFERROR(INDEX('Stock pièces'!$I$5:$I$404,MATCH(D2172,'Stock pièces'!$A$5:$A$404,0)),0))</f>
        <v/>
      </c>
      <c r="H2172" s="81">
        <f>IF(D2172="","",N(F2172)*N(G2172))</f>
        <v/>
      </c>
      <c r="I2172" s="7" t="n"/>
      <c r="J2172" s="9">
        <f>IF(I2172="","",IFERROR(INDEX('Ordres de travail'!$D$5:$D$3004,MATCH(I2172,'Ordres de travail'!$A$5:$A$3004,0)),""))</f>
        <v/>
      </c>
      <c r="K2172" s="9">
        <f>IF(D2172="","",IFERROR(INDEX('Stock pièces'!$D$5:$D$404,MATCH(D2172,'Stock pièces'!$A$5:$A$404,0)),""))</f>
        <v/>
      </c>
      <c r="L2172" s="7" t="n"/>
      <c r="M2172" s="7" t="n"/>
    </row>
    <row r="2173">
      <c r="A2173" s="7" t="n"/>
      <c r="B2173" s="75" t="n"/>
      <c r="C2173" s="7" t="n"/>
      <c r="D2173" s="7" t="n"/>
      <c r="E2173" s="9">
        <f>IF(D2173="","",IFERROR(INDEX('Stock pièces'!$B$5:$B$404,MATCH(D2173,'Stock pièces'!$A$5:$A$404,0)),"Réf. inconnue"))</f>
        <v/>
      </c>
      <c r="F2173" s="67" t="n"/>
      <c r="G2173" s="81">
        <f>IF(D2173="","",IFERROR(INDEX('Stock pièces'!$I$5:$I$404,MATCH(D2173,'Stock pièces'!$A$5:$A$404,0)),0))</f>
        <v/>
      </c>
      <c r="H2173" s="81">
        <f>IF(D2173="","",N(F2173)*N(G2173))</f>
        <v/>
      </c>
      <c r="I2173" s="7" t="n"/>
      <c r="J2173" s="9">
        <f>IF(I2173="","",IFERROR(INDEX('Ordres de travail'!$D$5:$D$3004,MATCH(I2173,'Ordres de travail'!$A$5:$A$3004,0)),""))</f>
        <v/>
      </c>
      <c r="K2173" s="9">
        <f>IF(D2173="","",IFERROR(INDEX('Stock pièces'!$D$5:$D$404,MATCH(D2173,'Stock pièces'!$A$5:$A$404,0)),""))</f>
        <v/>
      </c>
      <c r="L2173" s="7" t="n"/>
      <c r="M2173" s="7" t="n"/>
    </row>
    <row r="2174">
      <c r="A2174" s="7" t="n"/>
      <c r="B2174" s="75" t="n"/>
      <c r="C2174" s="7" t="n"/>
      <c r="D2174" s="7" t="n"/>
      <c r="E2174" s="9">
        <f>IF(D2174="","",IFERROR(INDEX('Stock pièces'!$B$5:$B$404,MATCH(D2174,'Stock pièces'!$A$5:$A$404,0)),"Réf. inconnue"))</f>
        <v/>
      </c>
      <c r="F2174" s="67" t="n"/>
      <c r="G2174" s="81">
        <f>IF(D2174="","",IFERROR(INDEX('Stock pièces'!$I$5:$I$404,MATCH(D2174,'Stock pièces'!$A$5:$A$404,0)),0))</f>
        <v/>
      </c>
      <c r="H2174" s="81">
        <f>IF(D2174="","",N(F2174)*N(G2174))</f>
        <v/>
      </c>
      <c r="I2174" s="7" t="n"/>
      <c r="J2174" s="9">
        <f>IF(I2174="","",IFERROR(INDEX('Ordres de travail'!$D$5:$D$3004,MATCH(I2174,'Ordres de travail'!$A$5:$A$3004,0)),""))</f>
        <v/>
      </c>
      <c r="K2174" s="9">
        <f>IF(D2174="","",IFERROR(INDEX('Stock pièces'!$D$5:$D$404,MATCH(D2174,'Stock pièces'!$A$5:$A$404,0)),""))</f>
        <v/>
      </c>
      <c r="L2174" s="7" t="n"/>
      <c r="M2174" s="7" t="n"/>
    </row>
    <row r="2175">
      <c r="A2175" s="7" t="n"/>
      <c r="B2175" s="75" t="n"/>
      <c r="C2175" s="7" t="n"/>
      <c r="D2175" s="7" t="n"/>
      <c r="E2175" s="9">
        <f>IF(D2175="","",IFERROR(INDEX('Stock pièces'!$B$5:$B$404,MATCH(D2175,'Stock pièces'!$A$5:$A$404,0)),"Réf. inconnue"))</f>
        <v/>
      </c>
      <c r="F2175" s="67" t="n"/>
      <c r="G2175" s="81">
        <f>IF(D2175="","",IFERROR(INDEX('Stock pièces'!$I$5:$I$404,MATCH(D2175,'Stock pièces'!$A$5:$A$404,0)),0))</f>
        <v/>
      </c>
      <c r="H2175" s="81">
        <f>IF(D2175="","",N(F2175)*N(G2175))</f>
        <v/>
      </c>
      <c r="I2175" s="7" t="n"/>
      <c r="J2175" s="9">
        <f>IF(I2175="","",IFERROR(INDEX('Ordres de travail'!$D$5:$D$3004,MATCH(I2175,'Ordres de travail'!$A$5:$A$3004,0)),""))</f>
        <v/>
      </c>
      <c r="K2175" s="9">
        <f>IF(D2175="","",IFERROR(INDEX('Stock pièces'!$D$5:$D$404,MATCH(D2175,'Stock pièces'!$A$5:$A$404,0)),""))</f>
        <v/>
      </c>
      <c r="L2175" s="7" t="n"/>
      <c r="M2175" s="7" t="n"/>
    </row>
    <row r="2176">
      <c r="A2176" s="7" t="n"/>
      <c r="B2176" s="75" t="n"/>
      <c r="C2176" s="7" t="n"/>
      <c r="D2176" s="7" t="n"/>
      <c r="E2176" s="9">
        <f>IF(D2176="","",IFERROR(INDEX('Stock pièces'!$B$5:$B$404,MATCH(D2176,'Stock pièces'!$A$5:$A$404,0)),"Réf. inconnue"))</f>
        <v/>
      </c>
      <c r="F2176" s="67" t="n"/>
      <c r="G2176" s="81">
        <f>IF(D2176="","",IFERROR(INDEX('Stock pièces'!$I$5:$I$404,MATCH(D2176,'Stock pièces'!$A$5:$A$404,0)),0))</f>
        <v/>
      </c>
      <c r="H2176" s="81">
        <f>IF(D2176="","",N(F2176)*N(G2176))</f>
        <v/>
      </c>
      <c r="I2176" s="7" t="n"/>
      <c r="J2176" s="9">
        <f>IF(I2176="","",IFERROR(INDEX('Ordres de travail'!$D$5:$D$3004,MATCH(I2176,'Ordres de travail'!$A$5:$A$3004,0)),""))</f>
        <v/>
      </c>
      <c r="K2176" s="9">
        <f>IF(D2176="","",IFERROR(INDEX('Stock pièces'!$D$5:$D$404,MATCH(D2176,'Stock pièces'!$A$5:$A$404,0)),""))</f>
        <v/>
      </c>
      <c r="L2176" s="7" t="n"/>
      <c r="M2176" s="7" t="n"/>
    </row>
    <row r="2177">
      <c r="A2177" s="7" t="n"/>
      <c r="B2177" s="75" t="n"/>
      <c r="C2177" s="7" t="n"/>
      <c r="D2177" s="7" t="n"/>
      <c r="E2177" s="9">
        <f>IF(D2177="","",IFERROR(INDEX('Stock pièces'!$B$5:$B$404,MATCH(D2177,'Stock pièces'!$A$5:$A$404,0)),"Réf. inconnue"))</f>
        <v/>
      </c>
      <c r="F2177" s="67" t="n"/>
      <c r="G2177" s="81">
        <f>IF(D2177="","",IFERROR(INDEX('Stock pièces'!$I$5:$I$404,MATCH(D2177,'Stock pièces'!$A$5:$A$404,0)),0))</f>
        <v/>
      </c>
      <c r="H2177" s="81">
        <f>IF(D2177="","",N(F2177)*N(G2177))</f>
        <v/>
      </c>
      <c r="I2177" s="7" t="n"/>
      <c r="J2177" s="9">
        <f>IF(I2177="","",IFERROR(INDEX('Ordres de travail'!$D$5:$D$3004,MATCH(I2177,'Ordres de travail'!$A$5:$A$3004,0)),""))</f>
        <v/>
      </c>
      <c r="K2177" s="9">
        <f>IF(D2177="","",IFERROR(INDEX('Stock pièces'!$D$5:$D$404,MATCH(D2177,'Stock pièces'!$A$5:$A$404,0)),""))</f>
        <v/>
      </c>
      <c r="L2177" s="7" t="n"/>
      <c r="M2177" s="7" t="n"/>
    </row>
    <row r="2178">
      <c r="A2178" s="7" t="n"/>
      <c r="B2178" s="75" t="n"/>
      <c r="C2178" s="7" t="n"/>
      <c r="D2178" s="7" t="n"/>
      <c r="E2178" s="9">
        <f>IF(D2178="","",IFERROR(INDEX('Stock pièces'!$B$5:$B$404,MATCH(D2178,'Stock pièces'!$A$5:$A$404,0)),"Réf. inconnue"))</f>
        <v/>
      </c>
      <c r="F2178" s="67" t="n"/>
      <c r="G2178" s="81">
        <f>IF(D2178="","",IFERROR(INDEX('Stock pièces'!$I$5:$I$404,MATCH(D2178,'Stock pièces'!$A$5:$A$404,0)),0))</f>
        <v/>
      </c>
      <c r="H2178" s="81">
        <f>IF(D2178="","",N(F2178)*N(G2178))</f>
        <v/>
      </c>
      <c r="I2178" s="7" t="n"/>
      <c r="J2178" s="9">
        <f>IF(I2178="","",IFERROR(INDEX('Ordres de travail'!$D$5:$D$3004,MATCH(I2178,'Ordres de travail'!$A$5:$A$3004,0)),""))</f>
        <v/>
      </c>
      <c r="K2178" s="9">
        <f>IF(D2178="","",IFERROR(INDEX('Stock pièces'!$D$5:$D$404,MATCH(D2178,'Stock pièces'!$A$5:$A$404,0)),""))</f>
        <v/>
      </c>
      <c r="L2178" s="7" t="n"/>
      <c r="M2178" s="7" t="n"/>
    </row>
    <row r="2179">
      <c r="A2179" s="7" t="n"/>
      <c r="B2179" s="75" t="n"/>
      <c r="C2179" s="7" t="n"/>
      <c r="D2179" s="7" t="n"/>
      <c r="E2179" s="9">
        <f>IF(D2179="","",IFERROR(INDEX('Stock pièces'!$B$5:$B$404,MATCH(D2179,'Stock pièces'!$A$5:$A$404,0)),"Réf. inconnue"))</f>
        <v/>
      </c>
      <c r="F2179" s="67" t="n"/>
      <c r="G2179" s="81">
        <f>IF(D2179="","",IFERROR(INDEX('Stock pièces'!$I$5:$I$404,MATCH(D2179,'Stock pièces'!$A$5:$A$404,0)),0))</f>
        <v/>
      </c>
      <c r="H2179" s="81">
        <f>IF(D2179="","",N(F2179)*N(G2179))</f>
        <v/>
      </c>
      <c r="I2179" s="7" t="n"/>
      <c r="J2179" s="9">
        <f>IF(I2179="","",IFERROR(INDEX('Ordres de travail'!$D$5:$D$3004,MATCH(I2179,'Ordres de travail'!$A$5:$A$3004,0)),""))</f>
        <v/>
      </c>
      <c r="K2179" s="9">
        <f>IF(D2179="","",IFERROR(INDEX('Stock pièces'!$D$5:$D$404,MATCH(D2179,'Stock pièces'!$A$5:$A$404,0)),""))</f>
        <v/>
      </c>
      <c r="L2179" s="7" t="n"/>
      <c r="M2179" s="7" t="n"/>
    </row>
    <row r="2180">
      <c r="A2180" s="7" t="n"/>
      <c r="B2180" s="75" t="n"/>
      <c r="C2180" s="7" t="n"/>
      <c r="D2180" s="7" t="n"/>
      <c r="E2180" s="9">
        <f>IF(D2180="","",IFERROR(INDEX('Stock pièces'!$B$5:$B$404,MATCH(D2180,'Stock pièces'!$A$5:$A$404,0)),"Réf. inconnue"))</f>
        <v/>
      </c>
      <c r="F2180" s="67" t="n"/>
      <c r="G2180" s="81">
        <f>IF(D2180="","",IFERROR(INDEX('Stock pièces'!$I$5:$I$404,MATCH(D2180,'Stock pièces'!$A$5:$A$404,0)),0))</f>
        <v/>
      </c>
      <c r="H2180" s="81">
        <f>IF(D2180="","",N(F2180)*N(G2180))</f>
        <v/>
      </c>
      <c r="I2180" s="7" t="n"/>
      <c r="J2180" s="9">
        <f>IF(I2180="","",IFERROR(INDEX('Ordres de travail'!$D$5:$D$3004,MATCH(I2180,'Ordres de travail'!$A$5:$A$3004,0)),""))</f>
        <v/>
      </c>
      <c r="K2180" s="9">
        <f>IF(D2180="","",IFERROR(INDEX('Stock pièces'!$D$5:$D$404,MATCH(D2180,'Stock pièces'!$A$5:$A$404,0)),""))</f>
        <v/>
      </c>
      <c r="L2180" s="7" t="n"/>
      <c r="M2180" s="7" t="n"/>
    </row>
    <row r="2181">
      <c r="A2181" s="7" t="n"/>
      <c r="B2181" s="75" t="n"/>
      <c r="C2181" s="7" t="n"/>
      <c r="D2181" s="7" t="n"/>
      <c r="E2181" s="9">
        <f>IF(D2181="","",IFERROR(INDEX('Stock pièces'!$B$5:$B$404,MATCH(D2181,'Stock pièces'!$A$5:$A$404,0)),"Réf. inconnue"))</f>
        <v/>
      </c>
      <c r="F2181" s="67" t="n"/>
      <c r="G2181" s="81">
        <f>IF(D2181="","",IFERROR(INDEX('Stock pièces'!$I$5:$I$404,MATCH(D2181,'Stock pièces'!$A$5:$A$404,0)),0))</f>
        <v/>
      </c>
      <c r="H2181" s="81">
        <f>IF(D2181="","",N(F2181)*N(G2181))</f>
        <v/>
      </c>
      <c r="I2181" s="7" t="n"/>
      <c r="J2181" s="9">
        <f>IF(I2181="","",IFERROR(INDEX('Ordres de travail'!$D$5:$D$3004,MATCH(I2181,'Ordres de travail'!$A$5:$A$3004,0)),""))</f>
        <v/>
      </c>
      <c r="K2181" s="9">
        <f>IF(D2181="","",IFERROR(INDEX('Stock pièces'!$D$5:$D$404,MATCH(D2181,'Stock pièces'!$A$5:$A$404,0)),""))</f>
        <v/>
      </c>
      <c r="L2181" s="7" t="n"/>
      <c r="M2181" s="7" t="n"/>
    </row>
    <row r="2182">
      <c r="A2182" s="7" t="n"/>
      <c r="B2182" s="75" t="n"/>
      <c r="C2182" s="7" t="n"/>
      <c r="D2182" s="7" t="n"/>
      <c r="E2182" s="9">
        <f>IF(D2182="","",IFERROR(INDEX('Stock pièces'!$B$5:$B$404,MATCH(D2182,'Stock pièces'!$A$5:$A$404,0)),"Réf. inconnue"))</f>
        <v/>
      </c>
      <c r="F2182" s="67" t="n"/>
      <c r="G2182" s="81">
        <f>IF(D2182="","",IFERROR(INDEX('Stock pièces'!$I$5:$I$404,MATCH(D2182,'Stock pièces'!$A$5:$A$404,0)),0))</f>
        <v/>
      </c>
      <c r="H2182" s="81">
        <f>IF(D2182="","",N(F2182)*N(G2182))</f>
        <v/>
      </c>
      <c r="I2182" s="7" t="n"/>
      <c r="J2182" s="9">
        <f>IF(I2182="","",IFERROR(INDEX('Ordres de travail'!$D$5:$D$3004,MATCH(I2182,'Ordres de travail'!$A$5:$A$3004,0)),""))</f>
        <v/>
      </c>
      <c r="K2182" s="9">
        <f>IF(D2182="","",IFERROR(INDEX('Stock pièces'!$D$5:$D$404,MATCH(D2182,'Stock pièces'!$A$5:$A$404,0)),""))</f>
        <v/>
      </c>
      <c r="L2182" s="7" t="n"/>
      <c r="M2182" s="7" t="n"/>
    </row>
    <row r="2183">
      <c r="A2183" s="7" t="n"/>
      <c r="B2183" s="75" t="n"/>
      <c r="C2183" s="7" t="n"/>
      <c r="D2183" s="7" t="n"/>
      <c r="E2183" s="9">
        <f>IF(D2183="","",IFERROR(INDEX('Stock pièces'!$B$5:$B$404,MATCH(D2183,'Stock pièces'!$A$5:$A$404,0)),"Réf. inconnue"))</f>
        <v/>
      </c>
      <c r="F2183" s="67" t="n"/>
      <c r="G2183" s="81">
        <f>IF(D2183="","",IFERROR(INDEX('Stock pièces'!$I$5:$I$404,MATCH(D2183,'Stock pièces'!$A$5:$A$404,0)),0))</f>
        <v/>
      </c>
      <c r="H2183" s="81">
        <f>IF(D2183="","",N(F2183)*N(G2183))</f>
        <v/>
      </c>
      <c r="I2183" s="7" t="n"/>
      <c r="J2183" s="9">
        <f>IF(I2183="","",IFERROR(INDEX('Ordres de travail'!$D$5:$D$3004,MATCH(I2183,'Ordres de travail'!$A$5:$A$3004,0)),""))</f>
        <v/>
      </c>
      <c r="K2183" s="9">
        <f>IF(D2183="","",IFERROR(INDEX('Stock pièces'!$D$5:$D$404,MATCH(D2183,'Stock pièces'!$A$5:$A$404,0)),""))</f>
        <v/>
      </c>
      <c r="L2183" s="7" t="n"/>
      <c r="M2183" s="7" t="n"/>
    </row>
    <row r="2184">
      <c r="A2184" s="7" t="n"/>
      <c r="B2184" s="75" t="n"/>
      <c r="C2184" s="7" t="n"/>
      <c r="D2184" s="7" t="n"/>
      <c r="E2184" s="9">
        <f>IF(D2184="","",IFERROR(INDEX('Stock pièces'!$B$5:$B$404,MATCH(D2184,'Stock pièces'!$A$5:$A$404,0)),"Réf. inconnue"))</f>
        <v/>
      </c>
      <c r="F2184" s="67" t="n"/>
      <c r="G2184" s="81">
        <f>IF(D2184="","",IFERROR(INDEX('Stock pièces'!$I$5:$I$404,MATCH(D2184,'Stock pièces'!$A$5:$A$404,0)),0))</f>
        <v/>
      </c>
      <c r="H2184" s="81">
        <f>IF(D2184="","",N(F2184)*N(G2184))</f>
        <v/>
      </c>
      <c r="I2184" s="7" t="n"/>
      <c r="J2184" s="9">
        <f>IF(I2184="","",IFERROR(INDEX('Ordres de travail'!$D$5:$D$3004,MATCH(I2184,'Ordres de travail'!$A$5:$A$3004,0)),""))</f>
        <v/>
      </c>
      <c r="K2184" s="9">
        <f>IF(D2184="","",IFERROR(INDEX('Stock pièces'!$D$5:$D$404,MATCH(D2184,'Stock pièces'!$A$5:$A$404,0)),""))</f>
        <v/>
      </c>
      <c r="L2184" s="7" t="n"/>
      <c r="M2184" s="7" t="n"/>
    </row>
    <row r="2185">
      <c r="A2185" s="7" t="n"/>
      <c r="B2185" s="75" t="n"/>
      <c r="C2185" s="7" t="n"/>
      <c r="D2185" s="7" t="n"/>
      <c r="E2185" s="9">
        <f>IF(D2185="","",IFERROR(INDEX('Stock pièces'!$B$5:$B$404,MATCH(D2185,'Stock pièces'!$A$5:$A$404,0)),"Réf. inconnue"))</f>
        <v/>
      </c>
      <c r="F2185" s="67" t="n"/>
      <c r="G2185" s="81">
        <f>IF(D2185="","",IFERROR(INDEX('Stock pièces'!$I$5:$I$404,MATCH(D2185,'Stock pièces'!$A$5:$A$404,0)),0))</f>
        <v/>
      </c>
      <c r="H2185" s="81">
        <f>IF(D2185="","",N(F2185)*N(G2185))</f>
        <v/>
      </c>
      <c r="I2185" s="7" t="n"/>
      <c r="J2185" s="9">
        <f>IF(I2185="","",IFERROR(INDEX('Ordres de travail'!$D$5:$D$3004,MATCH(I2185,'Ordres de travail'!$A$5:$A$3004,0)),""))</f>
        <v/>
      </c>
      <c r="K2185" s="9">
        <f>IF(D2185="","",IFERROR(INDEX('Stock pièces'!$D$5:$D$404,MATCH(D2185,'Stock pièces'!$A$5:$A$404,0)),""))</f>
        <v/>
      </c>
      <c r="L2185" s="7" t="n"/>
      <c r="M2185" s="7" t="n"/>
    </row>
    <row r="2186">
      <c r="A2186" s="7" t="n"/>
      <c r="B2186" s="75" t="n"/>
      <c r="C2186" s="7" t="n"/>
      <c r="D2186" s="7" t="n"/>
      <c r="E2186" s="9">
        <f>IF(D2186="","",IFERROR(INDEX('Stock pièces'!$B$5:$B$404,MATCH(D2186,'Stock pièces'!$A$5:$A$404,0)),"Réf. inconnue"))</f>
        <v/>
      </c>
      <c r="F2186" s="67" t="n"/>
      <c r="G2186" s="81">
        <f>IF(D2186="","",IFERROR(INDEX('Stock pièces'!$I$5:$I$404,MATCH(D2186,'Stock pièces'!$A$5:$A$404,0)),0))</f>
        <v/>
      </c>
      <c r="H2186" s="81">
        <f>IF(D2186="","",N(F2186)*N(G2186))</f>
        <v/>
      </c>
      <c r="I2186" s="7" t="n"/>
      <c r="J2186" s="9">
        <f>IF(I2186="","",IFERROR(INDEX('Ordres de travail'!$D$5:$D$3004,MATCH(I2186,'Ordres de travail'!$A$5:$A$3004,0)),""))</f>
        <v/>
      </c>
      <c r="K2186" s="9">
        <f>IF(D2186="","",IFERROR(INDEX('Stock pièces'!$D$5:$D$404,MATCH(D2186,'Stock pièces'!$A$5:$A$404,0)),""))</f>
        <v/>
      </c>
      <c r="L2186" s="7" t="n"/>
      <c r="M2186" s="7" t="n"/>
    </row>
    <row r="2187">
      <c r="A2187" s="7" t="n"/>
      <c r="B2187" s="75" t="n"/>
      <c r="C2187" s="7" t="n"/>
      <c r="D2187" s="7" t="n"/>
      <c r="E2187" s="9">
        <f>IF(D2187="","",IFERROR(INDEX('Stock pièces'!$B$5:$B$404,MATCH(D2187,'Stock pièces'!$A$5:$A$404,0)),"Réf. inconnue"))</f>
        <v/>
      </c>
      <c r="F2187" s="67" t="n"/>
      <c r="G2187" s="81">
        <f>IF(D2187="","",IFERROR(INDEX('Stock pièces'!$I$5:$I$404,MATCH(D2187,'Stock pièces'!$A$5:$A$404,0)),0))</f>
        <v/>
      </c>
      <c r="H2187" s="81">
        <f>IF(D2187="","",N(F2187)*N(G2187))</f>
        <v/>
      </c>
      <c r="I2187" s="7" t="n"/>
      <c r="J2187" s="9">
        <f>IF(I2187="","",IFERROR(INDEX('Ordres de travail'!$D$5:$D$3004,MATCH(I2187,'Ordres de travail'!$A$5:$A$3004,0)),""))</f>
        <v/>
      </c>
      <c r="K2187" s="9">
        <f>IF(D2187="","",IFERROR(INDEX('Stock pièces'!$D$5:$D$404,MATCH(D2187,'Stock pièces'!$A$5:$A$404,0)),""))</f>
        <v/>
      </c>
      <c r="L2187" s="7" t="n"/>
      <c r="M2187" s="7" t="n"/>
    </row>
    <row r="2188">
      <c r="A2188" s="7" t="n"/>
      <c r="B2188" s="75" t="n"/>
      <c r="C2188" s="7" t="n"/>
      <c r="D2188" s="7" t="n"/>
      <c r="E2188" s="9">
        <f>IF(D2188="","",IFERROR(INDEX('Stock pièces'!$B$5:$B$404,MATCH(D2188,'Stock pièces'!$A$5:$A$404,0)),"Réf. inconnue"))</f>
        <v/>
      </c>
      <c r="F2188" s="67" t="n"/>
      <c r="G2188" s="81">
        <f>IF(D2188="","",IFERROR(INDEX('Stock pièces'!$I$5:$I$404,MATCH(D2188,'Stock pièces'!$A$5:$A$404,0)),0))</f>
        <v/>
      </c>
      <c r="H2188" s="81">
        <f>IF(D2188="","",N(F2188)*N(G2188))</f>
        <v/>
      </c>
      <c r="I2188" s="7" t="n"/>
      <c r="J2188" s="9">
        <f>IF(I2188="","",IFERROR(INDEX('Ordres de travail'!$D$5:$D$3004,MATCH(I2188,'Ordres de travail'!$A$5:$A$3004,0)),""))</f>
        <v/>
      </c>
      <c r="K2188" s="9">
        <f>IF(D2188="","",IFERROR(INDEX('Stock pièces'!$D$5:$D$404,MATCH(D2188,'Stock pièces'!$A$5:$A$404,0)),""))</f>
        <v/>
      </c>
      <c r="L2188" s="7" t="n"/>
      <c r="M2188" s="7" t="n"/>
    </row>
    <row r="2189">
      <c r="A2189" s="7" t="n"/>
      <c r="B2189" s="75" t="n"/>
      <c r="C2189" s="7" t="n"/>
      <c r="D2189" s="7" t="n"/>
      <c r="E2189" s="9">
        <f>IF(D2189="","",IFERROR(INDEX('Stock pièces'!$B$5:$B$404,MATCH(D2189,'Stock pièces'!$A$5:$A$404,0)),"Réf. inconnue"))</f>
        <v/>
      </c>
      <c r="F2189" s="67" t="n"/>
      <c r="G2189" s="81">
        <f>IF(D2189="","",IFERROR(INDEX('Stock pièces'!$I$5:$I$404,MATCH(D2189,'Stock pièces'!$A$5:$A$404,0)),0))</f>
        <v/>
      </c>
      <c r="H2189" s="81">
        <f>IF(D2189="","",N(F2189)*N(G2189))</f>
        <v/>
      </c>
      <c r="I2189" s="7" t="n"/>
      <c r="J2189" s="9">
        <f>IF(I2189="","",IFERROR(INDEX('Ordres de travail'!$D$5:$D$3004,MATCH(I2189,'Ordres de travail'!$A$5:$A$3004,0)),""))</f>
        <v/>
      </c>
      <c r="K2189" s="9">
        <f>IF(D2189="","",IFERROR(INDEX('Stock pièces'!$D$5:$D$404,MATCH(D2189,'Stock pièces'!$A$5:$A$404,0)),""))</f>
        <v/>
      </c>
      <c r="L2189" s="7" t="n"/>
      <c r="M2189" s="7" t="n"/>
    </row>
    <row r="2190">
      <c r="A2190" s="7" t="n"/>
      <c r="B2190" s="75" t="n"/>
      <c r="C2190" s="7" t="n"/>
      <c r="D2190" s="7" t="n"/>
      <c r="E2190" s="9">
        <f>IF(D2190="","",IFERROR(INDEX('Stock pièces'!$B$5:$B$404,MATCH(D2190,'Stock pièces'!$A$5:$A$404,0)),"Réf. inconnue"))</f>
        <v/>
      </c>
      <c r="F2190" s="67" t="n"/>
      <c r="G2190" s="81">
        <f>IF(D2190="","",IFERROR(INDEX('Stock pièces'!$I$5:$I$404,MATCH(D2190,'Stock pièces'!$A$5:$A$404,0)),0))</f>
        <v/>
      </c>
      <c r="H2190" s="81">
        <f>IF(D2190="","",N(F2190)*N(G2190))</f>
        <v/>
      </c>
      <c r="I2190" s="7" t="n"/>
      <c r="J2190" s="9">
        <f>IF(I2190="","",IFERROR(INDEX('Ordres de travail'!$D$5:$D$3004,MATCH(I2190,'Ordres de travail'!$A$5:$A$3004,0)),""))</f>
        <v/>
      </c>
      <c r="K2190" s="9">
        <f>IF(D2190="","",IFERROR(INDEX('Stock pièces'!$D$5:$D$404,MATCH(D2190,'Stock pièces'!$A$5:$A$404,0)),""))</f>
        <v/>
      </c>
      <c r="L2190" s="7" t="n"/>
      <c r="M2190" s="7" t="n"/>
    </row>
    <row r="2191">
      <c r="A2191" s="7" t="n"/>
      <c r="B2191" s="75" t="n"/>
      <c r="C2191" s="7" t="n"/>
      <c r="D2191" s="7" t="n"/>
      <c r="E2191" s="9">
        <f>IF(D2191="","",IFERROR(INDEX('Stock pièces'!$B$5:$B$404,MATCH(D2191,'Stock pièces'!$A$5:$A$404,0)),"Réf. inconnue"))</f>
        <v/>
      </c>
      <c r="F2191" s="67" t="n"/>
      <c r="G2191" s="81">
        <f>IF(D2191="","",IFERROR(INDEX('Stock pièces'!$I$5:$I$404,MATCH(D2191,'Stock pièces'!$A$5:$A$404,0)),0))</f>
        <v/>
      </c>
      <c r="H2191" s="81">
        <f>IF(D2191="","",N(F2191)*N(G2191))</f>
        <v/>
      </c>
      <c r="I2191" s="7" t="n"/>
      <c r="J2191" s="9">
        <f>IF(I2191="","",IFERROR(INDEX('Ordres de travail'!$D$5:$D$3004,MATCH(I2191,'Ordres de travail'!$A$5:$A$3004,0)),""))</f>
        <v/>
      </c>
      <c r="K2191" s="9">
        <f>IF(D2191="","",IFERROR(INDEX('Stock pièces'!$D$5:$D$404,MATCH(D2191,'Stock pièces'!$A$5:$A$404,0)),""))</f>
        <v/>
      </c>
      <c r="L2191" s="7" t="n"/>
      <c r="M2191" s="7" t="n"/>
    </row>
    <row r="2192">
      <c r="A2192" s="7" t="n"/>
      <c r="B2192" s="75" t="n"/>
      <c r="C2192" s="7" t="n"/>
      <c r="D2192" s="7" t="n"/>
      <c r="E2192" s="9">
        <f>IF(D2192="","",IFERROR(INDEX('Stock pièces'!$B$5:$B$404,MATCH(D2192,'Stock pièces'!$A$5:$A$404,0)),"Réf. inconnue"))</f>
        <v/>
      </c>
      <c r="F2192" s="67" t="n"/>
      <c r="G2192" s="81">
        <f>IF(D2192="","",IFERROR(INDEX('Stock pièces'!$I$5:$I$404,MATCH(D2192,'Stock pièces'!$A$5:$A$404,0)),0))</f>
        <v/>
      </c>
      <c r="H2192" s="81">
        <f>IF(D2192="","",N(F2192)*N(G2192))</f>
        <v/>
      </c>
      <c r="I2192" s="7" t="n"/>
      <c r="J2192" s="9">
        <f>IF(I2192="","",IFERROR(INDEX('Ordres de travail'!$D$5:$D$3004,MATCH(I2192,'Ordres de travail'!$A$5:$A$3004,0)),""))</f>
        <v/>
      </c>
      <c r="K2192" s="9">
        <f>IF(D2192="","",IFERROR(INDEX('Stock pièces'!$D$5:$D$404,MATCH(D2192,'Stock pièces'!$A$5:$A$404,0)),""))</f>
        <v/>
      </c>
      <c r="L2192" s="7" t="n"/>
      <c r="M2192" s="7" t="n"/>
    </row>
    <row r="2193">
      <c r="A2193" s="7" t="n"/>
      <c r="B2193" s="75" t="n"/>
      <c r="C2193" s="7" t="n"/>
      <c r="D2193" s="7" t="n"/>
      <c r="E2193" s="9">
        <f>IF(D2193="","",IFERROR(INDEX('Stock pièces'!$B$5:$B$404,MATCH(D2193,'Stock pièces'!$A$5:$A$404,0)),"Réf. inconnue"))</f>
        <v/>
      </c>
      <c r="F2193" s="67" t="n"/>
      <c r="G2193" s="81">
        <f>IF(D2193="","",IFERROR(INDEX('Stock pièces'!$I$5:$I$404,MATCH(D2193,'Stock pièces'!$A$5:$A$404,0)),0))</f>
        <v/>
      </c>
      <c r="H2193" s="81">
        <f>IF(D2193="","",N(F2193)*N(G2193))</f>
        <v/>
      </c>
      <c r="I2193" s="7" t="n"/>
      <c r="J2193" s="9">
        <f>IF(I2193="","",IFERROR(INDEX('Ordres de travail'!$D$5:$D$3004,MATCH(I2193,'Ordres de travail'!$A$5:$A$3004,0)),""))</f>
        <v/>
      </c>
      <c r="K2193" s="9">
        <f>IF(D2193="","",IFERROR(INDEX('Stock pièces'!$D$5:$D$404,MATCH(D2193,'Stock pièces'!$A$5:$A$404,0)),""))</f>
        <v/>
      </c>
      <c r="L2193" s="7" t="n"/>
      <c r="M2193" s="7" t="n"/>
    </row>
    <row r="2194">
      <c r="A2194" s="7" t="n"/>
      <c r="B2194" s="75" t="n"/>
      <c r="C2194" s="7" t="n"/>
      <c r="D2194" s="7" t="n"/>
      <c r="E2194" s="9">
        <f>IF(D2194="","",IFERROR(INDEX('Stock pièces'!$B$5:$B$404,MATCH(D2194,'Stock pièces'!$A$5:$A$404,0)),"Réf. inconnue"))</f>
        <v/>
      </c>
      <c r="F2194" s="67" t="n"/>
      <c r="G2194" s="81">
        <f>IF(D2194="","",IFERROR(INDEX('Stock pièces'!$I$5:$I$404,MATCH(D2194,'Stock pièces'!$A$5:$A$404,0)),0))</f>
        <v/>
      </c>
      <c r="H2194" s="81">
        <f>IF(D2194="","",N(F2194)*N(G2194))</f>
        <v/>
      </c>
      <c r="I2194" s="7" t="n"/>
      <c r="J2194" s="9">
        <f>IF(I2194="","",IFERROR(INDEX('Ordres de travail'!$D$5:$D$3004,MATCH(I2194,'Ordres de travail'!$A$5:$A$3004,0)),""))</f>
        <v/>
      </c>
      <c r="K2194" s="9">
        <f>IF(D2194="","",IFERROR(INDEX('Stock pièces'!$D$5:$D$404,MATCH(D2194,'Stock pièces'!$A$5:$A$404,0)),""))</f>
        <v/>
      </c>
      <c r="L2194" s="7" t="n"/>
      <c r="M2194" s="7" t="n"/>
    </row>
    <row r="2195">
      <c r="A2195" s="7" t="n"/>
      <c r="B2195" s="75" t="n"/>
      <c r="C2195" s="7" t="n"/>
      <c r="D2195" s="7" t="n"/>
      <c r="E2195" s="9">
        <f>IF(D2195="","",IFERROR(INDEX('Stock pièces'!$B$5:$B$404,MATCH(D2195,'Stock pièces'!$A$5:$A$404,0)),"Réf. inconnue"))</f>
        <v/>
      </c>
      <c r="F2195" s="67" t="n"/>
      <c r="G2195" s="81">
        <f>IF(D2195="","",IFERROR(INDEX('Stock pièces'!$I$5:$I$404,MATCH(D2195,'Stock pièces'!$A$5:$A$404,0)),0))</f>
        <v/>
      </c>
      <c r="H2195" s="81">
        <f>IF(D2195="","",N(F2195)*N(G2195))</f>
        <v/>
      </c>
      <c r="I2195" s="7" t="n"/>
      <c r="J2195" s="9">
        <f>IF(I2195="","",IFERROR(INDEX('Ordres de travail'!$D$5:$D$3004,MATCH(I2195,'Ordres de travail'!$A$5:$A$3004,0)),""))</f>
        <v/>
      </c>
      <c r="K2195" s="9">
        <f>IF(D2195="","",IFERROR(INDEX('Stock pièces'!$D$5:$D$404,MATCH(D2195,'Stock pièces'!$A$5:$A$404,0)),""))</f>
        <v/>
      </c>
      <c r="L2195" s="7" t="n"/>
      <c r="M2195" s="7" t="n"/>
    </row>
    <row r="2196">
      <c r="A2196" s="7" t="n"/>
      <c r="B2196" s="75" t="n"/>
      <c r="C2196" s="7" t="n"/>
      <c r="D2196" s="7" t="n"/>
      <c r="E2196" s="9">
        <f>IF(D2196="","",IFERROR(INDEX('Stock pièces'!$B$5:$B$404,MATCH(D2196,'Stock pièces'!$A$5:$A$404,0)),"Réf. inconnue"))</f>
        <v/>
      </c>
      <c r="F2196" s="67" t="n"/>
      <c r="G2196" s="81">
        <f>IF(D2196="","",IFERROR(INDEX('Stock pièces'!$I$5:$I$404,MATCH(D2196,'Stock pièces'!$A$5:$A$404,0)),0))</f>
        <v/>
      </c>
      <c r="H2196" s="81">
        <f>IF(D2196="","",N(F2196)*N(G2196))</f>
        <v/>
      </c>
      <c r="I2196" s="7" t="n"/>
      <c r="J2196" s="9">
        <f>IF(I2196="","",IFERROR(INDEX('Ordres de travail'!$D$5:$D$3004,MATCH(I2196,'Ordres de travail'!$A$5:$A$3004,0)),""))</f>
        <v/>
      </c>
      <c r="K2196" s="9">
        <f>IF(D2196="","",IFERROR(INDEX('Stock pièces'!$D$5:$D$404,MATCH(D2196,'Stock pièces'!$A$5:$A$404,0)),""))</f>
        <v/>
      </c>
      <c r="L2196" s="7" t="n"/>
      <c r="M2196" s="7" t="n"/>
    </row>
    <row r="2197">
      <c r="A2197" s="7" t="n"/>
      <c r="B2197" s="75" t="n"/>
      <c r="C2197" s="7" t="n"/>
      <c r="D2197" s="7" t="n"/>
      <c r="E2197" s="9">
        <f>IF(D2197="","",IFERROR(INDEX('Stock pièces'!$B$5:$B$404,MATCH(D2197,'Stock pièces'!$A$5:$A$404,0)),"Réf. inconnue"))</f>
        <v/>
      </c>
      <c r="F2197" s="67" t="n"/>
      <c r="G2197" s="81">
        <f>IF(D2197="","",IFERROR(INDEX('Stock pièces'!$I$5:$I$404,MATCH(D2197,'Stock pièces'!$A$5:$A$404,0)),0))</f>
        <v/>
      </c>
      <c r="H2197" s="81">
        <f>IF(D2197="","",N(F2197)*N(G2197))</f>
        <v/>
      </c>
      <c r="I2197" s="7" t="n"/>
      <c r="J2197" s="9">
        <f>IF(I2197="","",IFERROR(INDEX('Ordres de travail'!$D$5:$D$3004,MATCH(I2197,'Ordres de travail'!$A$5:$A$3004,0)),""))</f>
        <v/>
      </c>
      <c r="K2197" s="9">
        <f>IF(D2197="","",IFERROR(INDEX('Stock pièces'!$D$5:$D$404,MATCH(D2197,'Stock pièces'!$A$5:$A$404,0)),""))</f>
        <v/>
      </c>
      <c r="L2197" s="7" t="n"/>
      <c r="M2197" s="7" t="n"/>
    </row>
    <row r="2198">
      <c r="A2198" s="7" t="n"/>
      <c r="B2198" s="75" t="n"/>
      <c r="C2198" s="7" t="n"/>
      <c r="D2198" s="7" t="n"/>
      <c r="E2198" s="9">
        <f>IF(D2198="","",IFERROR(INDEX('Stock pièces'!$B$5:$B$404,MATCH(D2198,'Stock pièces'!$A$5:$A$404,0)),"Réf. inconnue"))</f>
        <v/>
      </c>
      <c r="F2198" s="67" t="n"/>
      <c r="G2198" s="81">
        <f>IF(D2198="","",IFERROR(INDEX('Stock pièces'!$I$5:$I$404,MATCH(D2198,'Stock pièces'!$A$5:$A$404,0)),0))</f>
        <v/>
      </c>
      <c r="H2198" s="81">
        <f>IF(D2198="","",N(F2198)*N(G2198))</f>
        <v/>
      </c>
      <c r="I2198" s="7" t="n"/>
      <c r="J2198" s="9">
        <f>IF(I2198="","",IFERROR(INDEX('Ordres de travail'!$D$5:$D$3004,MATCH(I2198,'Ordres de travail'!$A$5:$A$3004,0)),""))</f>
        <v/>
      </c>
      <c r="K2198" s="9">
        <f>IF(D2198="","",IFERROR(INDEX('Stock pièces'!$D$5:$D$404,MATCH(D2198,'Stock pièces'!$A$5:$A$404,0)),""))</f>
        <v/>
      </c>
      <c r="L2198" s="7" t="n"/>
      <c r="M2198" s="7" t="n"/>
    </row>
    <row r="2199">
      <c r="A2199" s="7" t="n"/>
      <c r="B2199" s="75" t="n"/>
      <c r="C2199" s="7" t="n"/>
      <c r="D2199" s="7" t="n"/>
      <c r="E2199" s="9">
        <f>IF(D2199="","",IFERROR(INDEX('Stock pièces'!$B$5:$B$404,MATCH(D2199,'Stock pièces'!$A$5:$A$404,0)),"Réf. inconnue"))</f>
        <v/>
      </c>
      <c r="F2199" s="67" t="n"/>
      <c r="G2199" s="81">
        <f>IF(D2199="","",IFERROR(INDEX('Stock pièces'!$I$5:$I$404,MATCH(D2199,'Stock pièces'!$A$5:$A$404,0)),0))</f>
        <v/>
      </c>
      <c r="H2199" s="81">
        <f>IF(D2199="","",N(F2199)*N(G2199))</f>
        <v/>
      </c>
      <c r="I2199" s="7" t="n"/>
      <c r="J2199" s="9">
        <f>IF(I2199="","",IFERROR(INDEX('Ordres de travail'!$D$5:$D$3004,MATCH(I2199,'Ordres de travail'!$A$5:$A$3004,0)),""))</f>
        <v/>
      </c>
      <c r="K2199" s="9">
        <f>IF(D2199="","",IFERROR(INDEX('Stock pièces'!$D$5:$D$404,MATCH(D2199,'Stock pièces'!$A$5:$A$404,0)),""))</f>
        <v/>
      </c>
      <c r="L2199" s="7" t="n"/>
      <c r="M2199" s="7" t="n"/>
    </row>
    <row r="2200">
      <c r="A2200" s="7" t="n"/>
      <c r="B2200" s="75" t="n"/>
      <c r="C2200" s="7" t="n"/>
      <c r="D2200" s="7" t="n"/>
      <c r="E2200" s="9">
        <f>IF(D2200="","",IFERROR(INDEX('Stock pièces'!$B$5:$B$404,MATCH(D2200,'Stock pièces'!$A$5:$A$404,0)),"Réf. inconnue"))</f>
        <v/>
      </c>
      <c r="F2200" s="67" t="n"/>
      <c r="G2200" s="81">
        <f>IF(D2200="","",IFERROR(INDEX('Stock pièces'!$I$5:$I$404,MATCH(D2200,'Stock pièces'!$A$5:$A$404,0)),0))</f>
        <v/>
      </c>
      <c r="H2200" s="81">
        <f>IF(D2200="","",N(F2200)*N(G2200))</f>
        <v/>
      </c>
      <c r="I2200" s="7" t="n"/>
      <c r="J2200" s="9">
        <f>IF(I2200="","",IFERROR(INDEX('Ordres de travail'!$D$5:$D$3004,MATCH(I2200,'Ordres de travail'!$A$5:$A$3004,0)),""))</f>
        <v/>
      </c>
      <c r="K2200" s="9">
        <f>IF(D2200="","",IFERROR(INDEX('Stock pièces'!$D$5:$D$404,MATCH(D2200,'Stock pièces'!$A$5:$A$404,0)),""))</f>
        <v/>
      </c>
      <c r="L2200" s="7" t="n"/>
      <c r="M2200" s="7" t="n"/>
    </row>
    <row r="2201">
      <c r="A2201" s="7" t="n"/>
      <c r="B2201" s="75" t="n"/>
      <c r="C2201" s="7" t="n"/>
      <c r="D2201" s="7" t="n"/>
      <c r="E2201" s="9">
        <f>IF(D2201="","",IFERROR(INDEX('Stock pièces'!$B$5:$B$404,MATCH(D2201,'Stock pièces'!$A$5:$A$404,0)),"Réf. inconnue"))</f>
        <v/>
      </c>
      <c r="F2201" s="67" t="n"/>
      <c r="G2201" s="81">
        <f>IF(D2201="","",IFERROR(INDEX('Stock pièces'!$I$5:$I$404,MATCH(D2201,'Stock pièces'!$A$5:$A$404,0)),0))</f>
        <v/>
      </c>
      <c r="H2201" s="81">
        <f>IF(D2201="","",N(F2201)*N(G2201))</f>
        <v/>
      </c>
      <c r="I2201" s="7" t="n"/>
      <c r="J2201" s="9">
        <f>IF(I2201="","",IFERROR(INDEX('Ordres de travail'!$D$5:$D$3004,MATCH(I2201,'Ordres de travail'!$A$5:$A$3004,0)),""))</f>
        <v/>
      </c>
      <c r="K2201" s="9">
        <f>IF(D2201="","",IFERROR(INDEX('Stock pièces'!$D$5:$D$404,MATCH(D2201,'Stock pièces'!$A$5:$A$404,0)),""))</f>
        <v/>
      </c>
      <c r="L2201" s="7" t="n"/>
      <c r="M2201" s="7" t="n"/>
    </row>
    <row r="2202">
      <c r="A2202" s="7" t="n"/>
      <c r="B2202" s="75" t="n"/>
      <c r="C2202" s="7" t="n"/>
      <c r="D2202" s="7" t="n"/>
      <c r="E2202" s="9">
        <f>IF(D2202="","",IFERROR(INDEX('Stock pièces'!$B$5:$B$404,MATCH(D2202,'Stock pièces'!$A$5:$A$404,0)),"Réf. inconnue"))</f>
        <v/>
      </c>
      <c r="F2202" s="67" t="n"/>
      <c r="G2202" s="81">
        <f>IF(D2202="","",IFERROR(INDEX('Stock pièces'!$I$5:$I$404,MATCH(D2202,'Stock pièces'!$A$5:$A$404,0)),0))</f>
        <v/>
      </c>
      <c r="H2202" s="81">
        <f>IF(D2202="","",N(F2202)*N(G2202))</f>
        <v/>
      </c>
      <c r="I2202" s="7" t="n"/>
      <c r="J2202" s="9">
        <f>IF(I2202="","",IFERROR(INDEX('Ordres de travail'!$D$5:$D$3004,MATCH(I2202,'Ordres de travail'!$A$5:$A$3004,0)),""))</f>
        <v/>
      </c>
      <c r="K2202" s="9">
        <f>IF(D2202="","",IFERROR(INDEX('Stock pièces'!$D$5:$D$404,MATCH(D2202,'Stock pièces'!$A$5:$A$404,0)),""))</f>
        <v/>
      </c>
      <c r="L2202" s="7" t="n"/>
      <c r="M2202" s="7" t="n"/>
    </row>
    <row r="2203">
      <c r="A2203" s="7" t="n"/>
      <c r="B2203" s="75" t="n"/>
      <c r="C2203" s="7" t="n"/>
      <c r="D2203" s="7" t="n"/>
      <c r="E2203" s="9">
        <f>IF(D2203="","",IFERROR(INDEX('Stock pièces'!$B$5:$B$404,MATCH(D2203,'Stock pièces'!$A$5:$A$404,0)),"Réf. inconnue"))</f>
        <v/>
      </c>
      <c r="F2203" s="67" t="n"/>
      <c r="G2203" s="81">
        <f>IF(D2203="","",IFERROR(INDEX('Stock pièces'!$I$5:$I$404,MATCH(D2203,'Stock pièces'!$A$5:$A$404,0)),0))</f>
        <v/>
      </c>
      <c r="H2203" s="81">
        <f>IF(D2203="","",N(F2203)*N(G2203))</f>
        <v/>
      </c>
      <c r="I2203" s="7" t="n"/>
      <c r="J2203" s="9">
        <f>IF(I2203="","",IFERROR(INDEX('Ordres de travail'!$D$5:$D$3004,MATCH(I2203,'Ordres de travail'!$A$5:$A$3004,0)),""))</f>
        <v/>
      </c>
      <c r="K2203" s="9">
        <f>IF(D2203="","",IFERROR(INDEX('Stock pièces'!$D$5:$D$404,MATCH(D2203,'Stock pièces'!$A$5:$A$404,0)),""))</f>
        <v/>
      </c>
      <c r="L2203" s="7" t="n"/>
      <c r="M2203" s="7" t="n"/>
    </row>
    <row r="2204">
      <c r="A2204" s="7" t="n"/>
      <c r="B2204" s="75" t="n"/>
      <c r="C2204" s="7" t="n"/>
      <c r="D2204" s="7" t="n"/>
      <c r="E2204" s="9">
        <f>IF(D2204="","",IFERROR(INDEX('Stock pièces'!$B$5:$B$404,MATCH(D2204,'Stock pièces'!$A$5:$A$404,0)),"Réf. inconnue"))</f>
        <v/>
      </c>
      <c r="F2204" s="67" t="n"/>
      <c r="G2204" s="81">
        <f>IF(D2204="","",IFERROR(INDEX('Stock pièces'!$I$5:$I$404,MATCH(D2204,'Stock pièces'!$A$5:$A$404,0)),0))</f>
        <v/>
      </c>
      <c r="H2204" s="81">
        <f>IF(D2204="","",N(F2204)*N(G2204))</f>
        <v/>
      </c>
      <c r="I2204" s="7" t="n"/>
      <c r="J2204" s="9">
        <f>IF(I2204="","",IFERROR(INDEX('Ordres de travail'!$D$5:$D$3004,MATCH(I2204,'Ordres de travail'!$A$5:$A$3004,0)),""))</f>
        <v/>
      </c>
      <c r="K2204" s="9">
        <f>IF(D2204="","",IFERROR(INDEX('Stock pièces'!$D$5:$D$404,MATCH(D2204,'Stock pièces'!$A$5:$A$404,0)),""))</f>
        <v/>
      </c>
      <c r="L2204" s="7" t="n"/>
      <c r="M2204" s="7" t="n"/>
    </row>
    <row r="2205">
      <c r="A2205" s="7" t="n"/>
      <c r="B2205" s="75" t="n"/>
      <c r="C2205" s="7" t="n"/>
      <c r="D2205" s="7" t="n"/>
      <c r="E2205" s="9">
        <f>IF(D2205="","",IFERROR(INDEX('Stock pièces'!$B$5:$B$404,MATCH(D2205,'Stock pièces'!$A$5:$A$404,0)),"Réf. inconnue"))</f>
        <v/>
      </c>
      <c r="F2205" s="67" t="n"/>
      <c r="G2205" s="81">
        <f>IF(D2205="","",IFERROR(INDEX('Stock pièces'!$I$5:$I$404,MATCH(D2205,'Stock pièces'!$A$5:$A$404,0)),0))</f>
        <v/>
      </c>
      <c r="H2205" s="81">
        <f>IF(D2205="","",N(F2205)*N(G2205))</f>
        <v/>
      </c>
      <c r="I2205" s="7" t="n"/>
      <c r="J2205" s="9">
        <f>IF(I2205="","",IFERROR(INDEX('Ordres de travail'!$D$5:$D$3004,MATCH(I2205,'Ordres de travail'!$A$5:$A$3004,0)),""))</f>
        <v/>
      </c>
      <c r="K2205" s="9">
        <f>IF(D2205="","",IFERROR(INDEX('Stock pièces'!$D$5:$D$404,MATCH(D2205,'Stock pièces'!$A$5:$A$404,0)),""))</f>
        <v/>
      </c>
      <c r="L2205" s="7" t="n"/>
      <c r="M2205" s="7" t="n"/>
    </row>
    <row r="2206">
      <c r="A2206" s="7" t="n"/>
      <c r="B2206" s="75" t="n"/>
      <c r="C2206" s="7" t="n"/>
      <c r="D2206" s="7" t="n"/>
      <c r="E2206" s="9">
        <f>IF(D2206="","",IFERROR(INDEX('Stock pièces'!$B$5:$B$404,MATCH(D2206,'Stock pièces'!$A$5:$A$404,0)),"Réf. inconnue"))</f>
        <v/>
      </c>
      <c r="F2206" s="67" t="n"/>
      <c r="G2206" s="81">
        <f>IF(D2206="","",IFERROR(INDEX('Stock pièces'!$I$5:$I$404,MATCH(D2206,'Stock pièces'!$A$5:$A$404,0)),0))</f>
        <v/>
      </c>
      <c r="H2206" s="81">
        <f>IF(D2206="","",N(F2206)*N(G2206))</f>
        <v/>
      </c>
      <c r="I2206" s="7" t="n"/>
      <c r="J2206" s="9">
        <f>IF(I2206="","",IFERROR(INDEX('Ordres de travail'!$D$5:$D$3004,MATCH(I2206,'Ordres de travail'!$A$5:$A$3004,0)),""))</f>
        <v/>
      </c>
      <c r="K2206" s="9">
        <f>IF(D2206="","",IFERROR(INDEX('Stock pièces'!$D$5:$D$404,MATCH(D2206,'Stock pièces'!$A$5:$A$404,0)),""))</f>
        <v/>
      </c>
      <c r="L2206" s="7" t="n"/>
      <c r="M2206" s="7" t="n"/>
    </row>
    <row r="2207">
      <c r="A2207" s="7" t="n"/>
      <c r="B2207" s="75" t="n"/>
      <c r="C2207" s="7" t="n"/>
      <c r="D2207" s="7" t="n"/>
      <c r="E2207" s="9">
        <f>IF(D2207="","",IFERROR(INDEX('Stock pièces'!$B$5:$B$404,MATCH(D2207,'Stock pièces'!$A$5:$A$404,0)),"Réf. inconnue"))</f>
        <v/>
      </c>
      <c r="F2207" s="67" t="n"/>
      <c r="G2207" s="81">
        <f>IF(D2207="","",IFERROR(INDEX('Stock pièces'!$I$5:$I$404,MATCH(D2207,'Stock pièces'!$A$5:$A$404,0)),0))</f>
        <v/>
      </c>
      <c r="H2207" s="81">
        <f>IF(D2207="","",N(F2207)*N(G2207))</f>
        <v/>
      </c>
      <c r="I2207" s="7" t="n"/>
      <c r="J2207" s="9">
        <f>IF(I2207="","",IFERROR(INDEX('Ordres de travail'!$D$5:$D$3004,MATCH(I2207,'Ordres de travail'!$A$5:$A$3004,0)),""))</f>
        <v/>
      </c>
      <c r="K2207" s="9">
        <f>IF(D2207="","",IFERROR(INDEX('Stock pièces'!$D$5:$D$404,MATCH(D2207,'Stock pièces'!$A$5:$A$404,0)),""))</f>
        <v/>
      </c>
      <c r="L2207" s="7" t="n"/>
      <c r="M2207" s="7" t="n"/>
    </row>
    <row r="2208">
      <c r="A2208" s="7" t="n"/>
      <c r="B2208" s="75" t="n"/>
      <c r="C2208" s="7" t="n"/>
      <c r="D2208" s="7" t="n"/>
      <c r="E2208" s="9">
        <f>IF(D2208="","",IFERROR(INDEX('Stock pièces'!$B$5:$B$404,MATCH(D2208,'Stock pièces'!$A$5:$A$404,0)),"Réf. inconnue"))</f>
        <v/>
      </c>
      <c r="F2208" s="67" t="n"/>
      <c r="G2208" s="81">
        <f>IF(D2208="","",IFERROR(INDEX('Stock pièces'!$I$5:$I$404,MATCH(D2208,'Stock pièces'!$A$5:$A$404,0)),0))</f>
        <v/>
      </c>
      <c r="H2208" s="81">
        <f>IF(D2208="","",N(F2208)*N(G2208))</f>
        <v/>
      </c>
      <c r="I2208" s="7" t="n"/>
      <c r="J2208" s="9">
        <f>IF(I2208="","",IFERROR(INDEX('Ordres de travail'!$D$5:$D$3004,MATCH(I2208,'Ordres de travail'!$A$5:$A$3004,0)),""))</f>
        <v/>
      </c>
      <c r="K2208" s="9">
        <f>IF(D2208="","",IFERROR(INDEX('Stock pièces'!$D$5:$D$404,MATCH(D2208,'Stock pièces'!$A$5:$A$404,0)),""))</f>
        <v/>
      </c>
      <c r="L2208" s="7" t="n"/>
      <c r="M2208" s="7" t="n"/>
    </row>
    <row r="2209">
      <c r="A2209" s="7" t="n"/>
      <c r="B2209" s="75" t="n"/>
      <c r="C2209" s="7" t="n"/>
      <c r="D2209" s="7" t="n"/>
      <c r="E2209" s="9">
        <f>IF(D2209="","",IFERROR(INDEX('Stock pièces'!$B$5:$B$404,MATCH(D2209,'Stock pièces'!$A$5:$A$404,0)),"Réf. inconnue"))</f>
        <v/>
      </c>
      <c r="F2209" s="67" t="n"/>
      <c r="G2209" s="81">
        <f>IF(D2209="","",IFERROR(INDEX('Stock pièces'!$I$5:$I$404,MATCH(D2209,'Stock pièces'!$A$5:$A$404,0)),0))</f>
        <v/>
      </c>
      <c r="H2209" s="81">
        <f>IF(D2209="","",N(F2209)*N(G2209))</f>
        <v/>
      </c>
      <c r="I2209" s="7" t="n"/>
      <c r="J2209" s="9">
        <f>IF(I2209="","",IFERROR(INDEX('Ordres de travail'!$D$5:$D$3004,MATCH(I2209,'Ordres de travail'!$A$5:$A$3004,0)),""))</f>
        <v/>
      </c>
      <c r="K2209" s="9">
        <f>IF(D2209="","",IFERROR(INDEX('Stock pièces'!$D$5:$D$404,MATCH(D2209,'Stock pièces'!$A$5:$A$404,0)),""))</f>
        <v/>
      </c>
      <c r="L2209" s="7" t="n"/>
      <c r="M2209" s="7" t="n"/>
    </row>
    <row r="2210">
      <c r="A2210" s="7" t="n"/>
      <c r="B2210" s="75" t="n"/>
      <c r="C2210" s="7" t="n"/>
      <c r="D2210" s="7" t="n"/>
      <c r="E2210" s="9">
        <f>IF(D2210="","",IFERROR(INDEX('Stock pièces'!$B$5:$B$404,MATCH(D2210,'Stock pièces'!$A$5:$A$404,0)),"Réf. inconnue"))</f>
        <v/>
      </c>
      <c r="F2210" s="67" t="n"/>
      <c r="G2210" s="81">
        <f>IF(D2210="","",IFERROR(INDEX('Stock pièces'!$I$5:$I$404,MATCH(D2210,'Stock pièces'!$A$5:$A$404,0)),0))</f>
        <v/>
      </c>
      <c r="H2210" s="81">
        <f>IF(D2210="","",N(F2210)*N(G2210))</f>
        <v/>
      </c>
      <c r="I2210" s="7" t="n"/>
      <c r="J2210" s="9">
        <f>IF(I2210="","",IFERROR(INDEX('Ordres de travail'!$D$5:$D$3004,MATCH(I2210,'Ordres de travail'!$A$5:$A$3004,0)),""))</f>
        <v/>
      </c>
      <c r="K2210" s="9">
        <f>IF(D2210="","",IFERROR(INDEX('Stock pièces'!$D$5:$D$404,MATCH(D2210,'Stock pièces'!$A$5:$A$404,0)),""))</f>
        <v/>
      </c>
      <c r="L2210" s="7" t="n"/>
      <c r="M2210" s="7" t="n"/>
    </row>
    <row r="2211">
      <c r="A2211" s="7" t="n"/>
      <c r="B2211" s="75" t="n"/>
      <c r="C2211" s="7" t="n"/>
      <c r="D2211" s="7" t="n"/>
      <c r="E2211" s="9">
        <f>IF(D2211="","",IFERROR(INDEX('Stock pièces'!$B$5:$B$404,MATCH(D2211,'Stock pièces'!$A$5:$A$404,0)),"Réf. inconnue"))</f>
        <v/>
      </c>
      <c r="F2211" s="67" t="n"/>
      <c r="G2211" s="81">
        <f>IF(D2211="","",IFERROR(INDEX('Stock pièces'!$I$5:$I$404,MATCH(D2211,'Stock pièces'!$A$5:$A$404,0)),0))</f>
        <v/>
      </c>
      <c r="H2211" s="81">
        <f>IF(D2211="","",N(F2211)*N(G2211))</f>
        <v/>
      </c>
      <c r="I2211" s="7" t="n"/>
      <c r="J2211" s="9">
        <f>IF(I2211="","",IFERROR(INDEX('Ordres de travail'!$D$5:$D$3004,MATCH(I2211,'Ordres de travail'!$A$5:$A$3004,0)),""))</f>
        <v/>
      </c>
      <c r="K2211" s="9">
        <f>IF(D2211="","",IFERROR(INDEX('Stock pièces'!$D$5:$D$404,MATCH(D2211,'Stock pièces'!$A$5:$A$404,0)),""))</f>
        <v/>
      </c>
      <c r="L2211" s="7" t="n"/>
      <c r="M2211" s="7" t="n"/>
    </row>
    <row r="2212">
      <c r="A2212" s="7" t="n"/>
      <c r="B2212" s="75" t="n"/>
      <c r="C2212" s="7" t="n"/>
      <c r="D2212" s="7" t="n"/>
      <c r="E2212" s="9">
        <f>IF(D2212="","",IFERROR(INDEX('Stock pièces'!$B$5:$B$404,MATCH(D2212,'Stock pièces'!$A$5:$A$404,0)),"Réf. inconnue"))</f>
        <v/>
      </c>
      <c r="F2212" s="67" t="n"/>
      <c r="G2212" s="81">
        <f>IF(D2212="","",IFERROR(INDEX('Stock pièces'!$I$5:$I$404,MATCH(D2212,'Stock pièces'!$A$5:$A$404,0)),0))</f>
        <v/>
      </c>
      <c r="H2212" s="81">
        <f>IF(D2212="","",N(F2212)*N(G2212))</f>
        <v/>
      </c>
      <c r="I2212" s="7" t="n"/>
      <c r="J2212" s="9">
        <f>IF(I2212="","",IFERROR(INDEX('Ordres de travail'!$D$5:$D$3004,MATCH(I2212,'Ordres de travail'!$A$5:$A$3004,0)),""))</f>
        <v/>
      </c>
      <c r="K2212" s="9">
        <f>IF(D2212="","",IFERROR(INDEX('Stock pièces'!$D$5:$D$404,MATCH(D2212,'Stock pièces'!$A$5:$A$404,0)),""))</f>
        <v/>
      </c>
      <c r="L2212" s="7" t="n"/>
      <c r="M2212" s="7" t="n"/>
    </row>
    <row r="2213">
      <c r="A2213" s="7" t="n"/>
      <c r="B2213" s="75" t="n"/>
      <c r="C2213" s="7" t="n"/>
      <c r="D2213" s="7" t="n"/>
      <c r="E2213" s="9">
        <f>IF(D2213="","",IFERROR(INDEX('Stock pièces'!$B$5:$B$404,MATCH(D2213,'Stock pièces'!$A$5:$A$404,0)),"Réf. inconnue"))</f>
        <v/>
      </c>
      <c r="F2213" s="67" t="n"/>
      <c r="G2213" s="81">
        <f>IF(D2213="","",IFERROR(INDEX('Stock pièces'!$I$5:$I$404,MATCH(D2213,'Stock pièces'!$A$5:$A$404,0)),0))</f>
        <v/>
      </c>
      <c r="H2213" s="81">
        <f>IF(D2213="","",N(F2213)*N(G2213))</f>
        <v/>
      </c>
      <c r="I2213" s="7" t="n"/>
      <c r="J2213" s="9">
        <f>IF(I2213="","",IFERROR(INDEX('Ordres de travail'!$D$5:$D$3004,MATCH(I2213,'Ordres de travail'!$A$5:$A$3004,0)),""))</f>
        <v/>
      </c>
      <c r="K2213" s="9">
        <f>IF(D2213="","",IFERROR(INDEX('Stock pièces'!$D$5:$D$404,MATCH(D2213,'Stock pièces'!$A$5:$A$404,0)),""))</f>
        <v/>
      </c>
      <c r="L2213" s="7" t="n"/>
      <c r="M2213" s="7" t="n"/>
    </row>
    <row r="2214">
      <c r="A2214" s="7" t="n"/>
      <c r="B2214" s="75" t="n"/>
      <c r="C2214" s="7" t="n"/>
      <c r="D2214" s="7" t="n"/>
      <c r="E2214" s="9">
        <f>IF(D2214="","",IFERROR(INDEX('Stock pièces'!$B$5:$B$404,MATCH(D2214,'Stock pièces'!$A$5:$A$404,0)),"Réf. inconnue"))</f>
        <v/>
      </c>
      <c r="F2214" s="67" t="n"/>
      <c r="G2214" s="81">
        <f>IF(D2214="","",IFERROR(INDEX('Stock pièces'!$I$5:$I$404,MATCH(D2214,'Stock pièces'!$A$5:$A$404,0)),0))</f>
        <v/>
      </c>
      <c r="H2214" s="81">
        <f>IF(D2214="","",N(F2214)*N(G2214))</f>
        <v/>
      </c>
      <c r="I2214" s="7" t="n"/>
      <c r="J2214" s="9">
        <f>IF(I2214="","",IFERROR(INDEX('Ordres de travail'!$D$5:$D$3004,MATCH(I2214,'Ordres de travail'!$A$5:$A$3004,0)),""))</f>
        <v/>
      </c>
      <c r="K2214" s="9">
        <f>IF(D2214="","",IFERROR(INDEX('Stock pièces'!$D$5:$D$404,MATCH(D2214,'Stock pièces'!$A$5:$A$404,0)),""))</f>
        <v/>
      </c>
      <c r="L2214" s="7" t="n"/>
      <c r="M2214" s="7" t="n"/>
    </row>
    <row r="2215">
      <c r="A2215" s="7" t="n"/>
      <c r="B2215" s="75" t="n"/>
      <c r="C2215" s="7" t="n"/>
      <c r="D2215" s="7" t="n"/>
      <c r="E2215" s="9">
        <f>IF(D2215="","",IFERROR(INDEX('Stock pièces'!$B$5:$B$404,MATCH(D2215,'Stock pièces'!$A$5:$A$404,0)),"Réf. inconnue"))</f>
        <v/>
      </c>
      <c r="F2215" s="67" t="n"/>
      <c r="G2215" s="81">
        <f>IF(D2215="","",IFERROR(INDEX('Stock pièces'!$I$5:$I$404,MATCH(D2215,'Stock pièces'!$A$5:$A$404,0)),0))</f>
        <v/>
      </c>
      <c r="H2215" s="81">
        <f>IF(D2215="","",N(F2215)*N(G2215))</f>
        <v/>
      </c>
      <c r="I2215" s="7" t="n"/>
      <c r="J2215" s="9">
        <f>IF(I2215="","",IFERROR(INDEX('Ordres de travail'!$D$5:$D$3004,MATCH(I2215,'Ordres de travail'!$A$5:$A$3004,0)),""))</f>
        <v/>
      </c>
      <c r="K2215" s="9">
        <f>IF(D2215="","",IFERROR(INDEX('Stock pièces'!$D$5:$D$404,MATCH(D2215,'Stock pièces'!$A$5:$A$404,0)),""))</f>
        <v/>
      </c>
      <c r="L2215" s="7" t="n"/>
      <c r="M2215" s="7" t="n"/>
    </row>
    <row r="2216">
      <c r="A2216" s="7" t="n"/>
      <c r="B2216" s="75" t="n"/>
      <c r="C2216" s="7" t="n"/>
      <c r="D2216" s="7" t="n"/>
      <c r="E2216" s="9">
        <f>IF(D2216="","",IFERROR(INDEX('Stock pièces'!$B$5:$B$404,MATCH(D2216,'Stock pièces'!$A$5:$A$404,0)),"Réf. inconnue"))</f>
        <v/>
      </c>
      <c r="F2216" s="67" t="n"/>
      <c r="G2216" s="81">
        <f>IF(D2216="","",IFERROR(INDEX('Stock pièces'!$I$5:$I$404,MATCH(D2216,'Stock pièces'!$A$5:$A$404,0)),0))</f>
        <v/>
      </c>
      <c r="H2216" s="81">
        <f>IF(D2216="","",N(F2216)*N(G2216))</f>
        <v/>
      </c>
      <c r="I2216" s="7" t="n"/>
      <c r="J2216" s="9">
        <f>IF(I2216="","",IFERROR(INDEX('Ordres de travail'!$D$5:$D$3004,MATCH(I2216,'Ordres de travail'!$A$5:$A$3004,0)),""))</f>
        <v/>
      </c>
      <c r="K2216" s="9">
        <f>IF(D2216="","",IFERROR(INDEX('Stock pièces'!$D$5:$D$404,MATCH(D2216,'Stock pièces'!$A$5:$A$404,0)),""))</f>
        <v/>
      </c>
      <c r="L2216" s="7" t="n"/>
      <c r="M2216" s="7" t="n"/>
    </row>
    <row r="2217">
      <c r="A2217" s="7" t="n"/>
      <c r="B2217" s="75" t="n"/>
      <c r="C2217" s="7" t="n"/>
      <c r="D2217" s="7" t="n"/>
      <c r="E2217" s="9">
        <f>IF(D2217="","",IFERROR(INDEX('Stock pièces'!$B$5:$B$404,MATCH(D2217,'Stock pièces'!$A$5:$A$404,0)),"Réf. inconnue"))</f>
        <v/>
      </c>
      <c r="F2217" s="67" t="n"/>
      <c r="G2217" s="81">
        <f>IF(D2217="","",IFERROR(INDEX('Stock pièces'!$I$5:$I$404,MATCH(D2217,'Stock pièces'!$A$5:$A$404,0)),0))</f>
        <v/>
      </c>
      <c r="H2217" s="81">
        <f>IF(D2217="","",N(F2217)*N(G2217))</f>
        <v/>
      </c>
      <c r="I2217" s="7" t="n"/>
      <c r="J2217" s="9">
        <f>IF(I2217="","",IFERROR(INDEX('Ordres de travail'!$D$5:$D$3004,MATCH(I2217,'Ordres de travail'!$A$5:$A$3004,0)),""))</f>
        <v/>
      </c>
      <c r="K2217" s="9">
        <f>IF(D2217="","",IFERROR(INDEX('Stock pièces'!$D$5:$D$404,MATCH(D2217,'Stock pièces'!$A$5:$A$404,0)),""))</f>
        <v/>
      </c>
      <c r="L2217" s="7" t="n"/>
      <c r="M2217" s="7" t="n"/>
    </row>
    <row r="2218">
      <c r="A2218" s="7" t="n"/>
      <c r="B2218" s="75" t="n"/>
      <c r="C2218" s="7" t="n"/>
      <c r="D2218" s="7" t="n"/>
      <c r="E2218" s="9">
        <f>IF(D2218="","",IFERROR(INDEX('Stock pièces'!$B$5:$B$404,MATCH(D2218,'Stock pièces'!$A$5:$A$404,0)),"Réf. inconnue"))</f>
        <v/>
      </c>
      <c r="F2218" s="67" t="n"/>
      <c r="G2218" s="81">
        <f>IF(D2218="","",IFERROR(INDEX('Stock pièces'!$I$5:$I$404,MATCH(D2218,'Stock pièces'!$A$5:$A$404,0)),0))</f>
        <v/>
      </c>
      <c r="H2218" s="81">
        <f>IF(D2218="","",N(F2218)*N(G2218))</f>
        <v/>
      </c>
      <c r="I2218" s="7" t="n"/>
      <c r="J2218" s="9">
        <f>IF(I2218="","",IFERROR(INDEX('Ordres de travail'!$D$5:$D$3004,MATCH(I2218,'Ordres de travail'!$A$5:$A$3004,0)),""))</f>
        <v/>
      </c>
      <c r="K2218" s="9">
        <f>IF(D2218="","",IFERROR(INDEX('Stock pièces'!$D$5:$D$404,MATCH(D2218,'Stock pièces'!$A$5:$A$404,0)),""))</f>
        <v/>
      </c>
      <c r="L2218" s="7" t="n"/>
      <c r="M2218" s="7" t="n"/>
    </row>
    <row r="2219">
      <c r="A2219" s="7" t="n"/>
      <c r="B2219" s="75" t="n"/>
      <c r="C2219" s="7" t="n"/>
      <c r="D2219" s="7" t="n"/>
      <c r="E2219" s="9">
        <f>IF(D2219="","",IFERROR(INDEX('Stock pièces'!$B$5:$B$404,MATCH(D2219,'Stock pièces'!$A$5:$A$404,0)),"Réf. inconnue"))</f>
        <v/>
      </c>
      <c r="F2219" s="67" t="n"/>
      <c r="G2219" s="81">
        <f>IF(D2219="","",IFERROR(INDEX('Stock pièces'!$I$5:$I$404,MATCH(D2219,'Stock pièces'!$A$5:$A$404,0)),0))</f>
        <v/>
      </c>
      <c r="H2219" s="81">
        <f>IF(D2219="","",N(F2219)*N(G2219))</f>
        <v/>
      </c>
      <c r="I2219" s="7" t="n"/>
      <c r="J2219" s="9">
        <f>IF(I2219="","",IFERROR(INDEX('Ordres de travail'!$D$5:$D$3004,MATCH(I2219,'Ordres de travail'!$A$5:$A$3004,0)),""))</f>
        <v/>
      </c>
      <c r="K2219" s="9">
        <f>IF(D2219="","",IFERROR(INDEX('Stock pièces'!$D$5:$D$404,MATCH(D2219,'Stock pièces'!$A$5:$A$404,0)),""))</f>
        <v/>
      </c>
      <c r="L2219" s="7" t="n"/>
      <c r="M2219" s="7" t="n"/>
    </row>
    <row r="2220">
      <c r="A2220" s="7" t="n"/>
      <c r="B2220" s="75" t="n"/>
      <c r="C2220" s="7" t="n"/>
      <c r="D2220" s="7" t="n"/>
      <c r="E2220" s="9">
        <f>IF(D2220="","",IFERROR(INDEX('Stock pièces'!$B$5:$B$404,MATCH(D2220,'Stock pièces'!$A$5:$A$404,0)),"Réf. inconnue"))</f>
        <v/>
      </c>
      <c r="F2220" s="67" t="n"/>
      <c r="G2220" s="81">
        <f>IF(D2220="","",IFERROR(INDEX('Stock pièces'!$I$5:$I$404,MATCH(D2220,'Stock pièces'!$A$5:$A$404,0)),0))</f>
        <v/>
      </c>
      <c r="H2220" s="81">
        <f>IF(D2220="","",N(F2220)*N(G2220))</f>
        <v/>
      </c>
      <c r="I2220" s="7" t="n"/>
      <c r="J2220" s="9">
        <f>IF(I2220="","",IFERROR(INDEX('Ordres de travail'!$D$5:$D$3004,MATCH(I2220,'Ordres de travail'!$A$5:$A$3004,0)),""))</f>
        <v/>
      </c>
      <c r="K2220" s="9">
        <f>IF(D2220="","",IFERROR(INDEX('Stock pièces'!$D$5:$D$404,MATCH(D2220,'Stock pièces'!$A$5:$A$404,0)),""))</f>
        <v/>
      </c>
      <c r="L2220" s="7" t="n"/>
      <c r="M2220" s="7" t="n"/>
    </row>
    <row r="2221">
      <c r="A2221" s="7" t="n"/>
      <c r="B2221" s="75" t="n"/>
      <c r="C2221" s="7" t="n"/>
      <c r="D2221" s="7" t="n"/>
      <c r="E2221" s="9">
        <f>IF(D2221="","",IFERROR(INDEX('Stock pièces'!$B$5:$B$404,MATCH(D2221,'Stock pièces'!$A$5:$A$404,0)),"Réf. inconnue"))</f>
        <v/>
      </c>
      <c r="F2221" s="67" t="n"/>
      <c r="G2221" s="81">
        <f>IF(D2221="","",IFERROR(INDEX('Stock pièces'!$I$5:$I$404,MATCH(D2221,'Stock pièces'!$A$5:$A$404,0)),0))</f>
        <v/>
      </c>
      <c r="H2221" s="81">
        <f>IF(D2221="","",N(F2221)*N(G2221))</f>
        <v/>
      </c>
      <c r="I2221" s="7" t="n"/>
      <c r="J2221" s="9">
        <f>IF(I2221="","",IFERROR(INDEX('Ordres de travail'!$D$5:$D$3004,MATCH(I2221,'Ordres de travail'!$A$5:$A$3004,0)),""))</f>
        <v/>
      </c>
      <c r="K2221" s="9">
        <f>IF(D2221="","",IFERROR(INDEX('Stock pièces'!$D$5:$D$404,MATCH(D2221,'Stock pièces'!$A$5:$A$404,0)),""))</f>
        <v/>
      </c>
      <c r="L2221" s="7" t="n"/>
      <c r="M2221" s="7" t="n"/>
    </row>
    <row r="2222">
      <c r="A2222" s="7" t="n"/>
      <c r="B2222" s="75" t="n"/>
      <c r="C2222" s="7" t="n"/>
      <c r="D2222" s="7" t="n"/>
      <c r="E2222" s="9">
        <f>IF(D2222="","",IFERROR(INDEX('Stock pièces'!$B$5:$B$404,MATCH(D2222,'Stock pièces'!$A$5:$A$404,0)),"Réf. inconnue"))</f>
        <v/>
      </c>
      <c r="F2222" s="67" t="n"/>
      <c r="G2222" s="81">
        <f>IF(D2222="","",IFERROR(INDEX('Stock pièces'!$I$5:$I$404,MATCH(D2222,'Stock pièces'!$A$5:$A$404,0)),0))</f>
        <v/>
      </c>
      <c r="H2222" s="81">
        <f>IF(D2222="","",N(F2222)*N(G2222))</f>
        <v/>
      </c>
      <c r="I2222" s="7" t="n"/>
      <c r="J2222" s="9">
        <f>IF(I2222="","",IFERROR(INDEX('Ordres de travail'!$D$5:$D$3004,MATCH(I2222,'Ordres de travail'!$A$5:$A$3004,0)),""))</f>
        <v/>
      </c>
      <c r="K2222" s="9">
        <f>IF(D2222="","",IFERROR(INDEX('Stock pièces'!$D$5:$D$404,MATCH(D2222,'Stock pièces'!$A$5:$A$404,0)),""))</f>
        <v/>
      </c>
      <c r="L2222" s="7" t="n"/>
      <c r="M2222" s="7" t="n"/>
    </row>
    <row r="2223">
      <c r="A2223" s="7" t="n"/>
      <c r="B2223" s="75" t="n"/>
      <c r="C2223" s="7" t="n"/>
      <c r="D2223" s="7" t="n"/>
      <c r="E2223" s="9">
        <f>IF(D2223="","",IFERROR(INDEX('Stock pièces'!$B$5:$B$404,MATCH(D2223,'Stock pièces'!$A$5:$A$404,0)),"Réf. inconnue"))</f>
        <v/>
      </c>
      <c r="F2223" s="67" t="n"/>
      <c r="G2223" s="81">
        <f>IF(D2223="","",IFERROR(INDEX('Stock pièces'!$I$5:$I$404,MATCH(D2223,'Stock pièces'!$A$5:$A$404,0)),0))</f>
        <v/>
      </c>
      <c r="H2223" s="81">
        <f>IF(D2223="","",N(F2223)*N(G2223))</f>
        <v/>
      </c>
      <c r="I2223" s="7" t="n"/>
      <c r="J2223" s="9">
        <f>IF(I2223="","",IFERROR(INDEX('Ordres de travail'!$D$5:$D$3004,MATCH(I2223,'Ordres de travail'!$A$5:$A$3004,0)),""))</f>
        <v/>
      </c>
      <c r="K2223" s="9">
        <f>IF(D2223="","",IFERROR(INDEX('Stock pièces'!$D$5:$D$404,MATCH(D2223,'Stock pièces'!$A$5:$A$404,0)),""))</f>
        <v/>
      </c>
      <c r="L2223" s="7" t="n"/>
      <c r="M2223" s="7" t="n"/>
    </row>
    <row r="2224">
      <c r="A2224" s="7" t="n"/>
      <c r="B2224" s="75" t="n"/>
      <c r="C2224" s="7" t="n"/>
      <c r="D2224" s="7" t="n"/>
      <c r="E2224" s="9">
        <f>IF(D2224="","",IFERROR(INDEX('Stock pièces'!$B$5:$B$404,MATCH(D2224,'Stock pièces'!$A$5:$A$404,0)),"Réf. inconnue"))</f>
        <v/>
      </c>
      <c r="F2224" s="67" t="n"/>
      <c r="G2224" s="81">
        <f>IF(D2224="","",IFERROR(INDEX('Stock pièces'!$I$5:$I$404,MATCH(D2224,'Stock pièces'!$A$5:$A$404,0)),0))</f>
        <v/>
      </c>
      <c r="H2224" s="81">
        <f>IF(D2224="","",N(F2224)*N(G2224))</f>
        <v/>
      </c>
      <c r="I2224" s="7" t="n"/>
      <c r="J2224" s="9">
        <f>IF(I2224="","",IFERROR(INDEX('Ordres de travail'!$D$5:$D$3004,MATCH(I2224,'Ordres de travail'!$A$5:$A$3004,0)),""))</f>
        <v/>
      </c>
      <c r="K2224" s="9">
        <f>IF(D2224="","",IFERROR(INDEX('Stock pièces'!$D$5:$D$404,MATCH(D2224,'Stock pièces'!$A$5:$A$404,0)),""))</f>
        <v/>
      </c>
      <c r="L2224" s="7" t="n"/>
      <c r="M2224" s="7" t="n"/>
    </row>
    <row r="2225">
      <c r="A2225" s="7" t="n"/>
      <c r="B2225" s="75" t="n"/>
      <c r="C2225" s="7" t="n"/>
      <c r="D2225" s="7" t="n"/>
      <c r="E2225" s="9">
        <f>IF(D2225="","",IFERROR(INDEX('Stock pièces'!$B$5:$B$404,MATCH(D2225,'Stock pièces'!$A$5:$A$404,0)),"Réf. inconnue"))</f>
        <v/>
      </c>
      <c r="F2225" s="67" t="n"/>
      <c r="G2225" s="81">
        <f>IF(D2225="","",IFERROR(INDEX('Stock pièces'!$I$5:$I$404,MATCH(D2225,'Stock pièces'!$A$5:$A$404,0)),0))</f>
        <v/>
      </c>
      <c r="H2225" s="81">
        <f>IF(D2225="","",N(F2225)*N(G2225))</f>
        <v/>
      </c>
      <c r="I2225" s="7" t="n"/>
      <c r="J2225" s="9">
        <f>IF(I2225="","",IFERROR(INDEX('Ordres de travail'!$D$5:$D$3004,MATCH(I2225,'Ordres de travail'!$A$5:$A$3004,0)),""))</f>
        <v/>
      </c>
      <c r="K2225" s="9">
        <f>IF(D2225="","",IFERROR(INDEX('Stock pièces'!$D$5:$D$404,MATCH(D2225,'Stock pièces'!$A$5:$A$404,0)),""))</f>
        <v/>
      </c>
      <c r="L2225" s="7" t="n"/>
      <c r="M2225" s="7" t="n"/>
    </row>
    <row r="2226">
      <c r="A2226" s="7" t="n"/>
      <c r="B2226" s="75" t="n"/>
      <c r="C2226" s="7" t="n"/>
      <c r="D2226" s="7" t="n"/>
      <c r="E2226" s="9">
        <f>IF(D2226="","",IFERROR(INDEX('Stock pièces'!$B$5:$B$404,MATCH(D2226,'Stock pièces'!$A$5:$A$404,0)),"Réf. inconnue"))</f>
        <v/>
      </c>
      <c r="F2226" s="67" t="n"/>
      <c r="G2226" s="81">
        <f>IF(D2226="","",IFERROR(INDEX('Stock pièces'!$I$5:$I$404,MATCH(D2226,'Stock pièces'!$A$5:$A$404,0)),0))</f>
        <v/>
      </c>
      <c r="H2226" s="81">
        <f>IF(D2226="","",N(F2226)*N(G2226))</f>
        <v/>
      </c>
      <c r="I2226" s="7" t="n"/>
      <c r="J2226" s="9">
        <f>IF(I2226="","",IFERROR(INDEX('Ordres de travail'!$D$5:$D$3004,MATCH(I2226,'Ordres de travail'!$A$5:$A$3004,0)),""))</f>
        <v/>
      </c>
      <c r="K2226" s="9">
        <f>IF(D2226="","",IFERROR(INDEX('Stock pièces'!$D$5:$D$404,MATCH(D2226,'Stock pièces'!$A$5:$A$404,0)),""))</f>
        <v/>
      </c>
      <c r="L2226" s="7" t="n"/>
      <c r="M2226" s="7" t="n"/>
    </row>
    <row r="2227">
      <c r="A2227" s="7" t="n"/>
      <c r="B2227" s="75" t="n"/>
      <c r="C2227" s="7" t="n"/>
      <c r="D2227" s="7" t="n"/>
      <c r="E2227" s="9">
        <f>IF(D2227="","",IFERROR(INDEX('Stock pièces'!$B$5:$B$404,MATCH(D2227,'Stock pièces'!$A$5:$A$404,0)),"Réf. inconnue"))</f>
        <v/>
      </c>
      <c r="F2227" s="67" t="n"/>
      <c r="G2227" s="81">
        <f>IF(D2227="","",IFERROR(INDEX('Stock pièces'!$I$5:$I$404,MATCH(D2227,'Stock pièces'!$A$5:$A$404,0)),0))</f>
        <v/>
      </c>
      <c r="H2227" s="81">
        <f>IF(D2227="","",N(F2227)*N(G2227))</f>
        <v/>
      </c>
      <c r="I2227" s="7" t="n"/>
      <c r="J2227" s="9">
        <f>IF(I2227="","",IFERROR(INDEX('Ordres de travail'!$D$5:$D$3004,MATCH(I2227,'Ordres de travail'!$A$5:$A$3004,0)),""))</f>
        <v/>
      </c>
      <c r="K2227" s="9">
        <f>IF(D2227="","",IFERROR(INDEX('Stock pièces'!$D$5:$D$404,MATCH(D2227,'Stock pièces'!$A$5:$A$404,0)),""))</f>
        <v/>
      </c>
      <c r="L2227" s="7" t="n"/>
      <c r="M2227" s="7" t="n"/>
    </row>
    <row r="2228">
      <c r="A2228" s="7" t="n"/>
      <c r="B2228" s="75" t="n"/>
      <c r="C2228" s="7" t="n"/>
      <c r="D2228" s="7" t="n"/>
      <c r="E2228" s="9">
        <f>IF(D2228="","",IFERROR(INDEX('Stock pièces'!$B$5:$B$404,MATCH(D2228,'Stock pièces'!$A$5:$A$404,0)),"Réf. inconnue"))</f>
        <v/>
      </c>
      <c r="F2228" s="67" t="n"/>
      <c r="G2228" s="81">
        <f>IF(D2228="","",IFERROR(INDEX('Stock pièces'!$I$5:$I$404,MATCH(D2228,'Stock pièces'!$A$5:$A$404,0)),0))</f>
        <v/>
      </c>
      <c r="H2228" s="81">
        <f>IF(D2228="","",N(F2228)*N(G2228))</f>
        <v/>
      </c>
      <c r="I2228" s="7" t="n"/>
      <c r="J2228" s="9">
        <f>IF(I2228="","",IFERROR(INDEX('Ordres de travail'!$D$5:$D$3004,MATCH(I2228,'Ordres de travail'!$A$5:$A$3004,0)),""))</f>
        <v/>
      </c>
      <c r="K2228" s="9">
        <f>IF(D2228="","",IFERROR(INDEX('Stock pièces'!$D$5:$D$404,MATCH(D2228,'Stock pièces'!$A$5:$A$404,0)),""))</f>
        <v/>
      </c>
      <c r="L2228" s="7" t="n"/>
      <c r="M2228" s="7" t="n"/>
    </row>
    <row r="2229">
      <c r="A2229" s="7" t="n"/>
      <c r="B2229" s="75" t="n"/>
      <c r="C2229" s="7" t="n"/>
      <c r="D2229" s="7" t="n"/>
      <c r="E2229" s="9">
        <f>IF(D2229="","",IFERROR(INDEX('Stock pièces'!$B$5:$B$404,MATCH(D2229,'Stock pièces'!$A$5:$A$404,0)),"Réf. inconnue"))</f>
        <v/>
      </c>
      <c r="F2229" s="67" t="n"/>
      <c r="G2229" s="81">
        <f>IF(D2229="","",IFERROR(INDEX('Stock pièces'!$I$5:$I$404,MATCH(D2229,'Stock pièces'!$A$5:$A$404,0)),0))</f>
        <v/>
      </c>
      <c r="H2229" s="81">
        <f>IF(D2229="","",N(F2229)*N(G2229))</f>
        <v/>
      </c>
      <c r="I2229" s="7" t="n"/>
      <c r="J2229" s="9">
        <f>IF(I2229="","",IFERROR(INDEX('Ordres de travail'!$D$5:$D$3004,MATCH(I2229,'Ordres de travail'!$A$5:$A$3004,0)),""))</f>
        <v/>
      </c>
      <c r="K2229" s="9">
        <f>IF(D2229="","",IFERROR(INDEX('Stock pièces'!$D$5:$D$404,MATCH(D2229,'Stock pièces'!$A$5:$A$404,0)),""))</f>
        <v/>
      </c>
      <c r="L2229" s="7" t="n"/>
      <c r="M2229" s="7" t="n"/>
    </row>
    <row r="2230">
      <c r="A2230" s="7" t="n"/>
      <c r="B2230" s="75" t="n"/>
      <c r="C2230" s="7" t="n"/>
      <c r="D2230" s="7" t="n"/>
      <c r="E2230" s="9">
        <f>IF(D2230="","",IFERROR(INDEX('Stock pièces'!$B$5:$B$404,MATCH(D2230,'Stock pièces'!$A$5:$A$404,0)),"Réf. inconnue"))</f>
        <v/>
      </c>
      <c r="F2230" s="67" t="n"/>
      <c r="G2230" s="81">
        <f>IF(D2230="","",IFERROR(INDEX('Stock pièces'!$I$5:$I$404,MATCH(D2230,'Stock pièces'!$A$5:$A$404,0)),0))</f>
        <v/>
      </c>
      <c r="H2230" s="81">
        <f>IF(D2230="","",N(F2230)*N(G2230))</f>
        <v/>
      </c>
      <c r="I2230" s="7" t="n"/>
      <c r="J2230" s="9">
        <f>IF(I2230="","",IFERROR(INDEX('Ordres de travail'!$D$5:$D$3004,MATCH(I2230,'Ordres de travail'!$A$5:$A$3004,0)),""))</f>
        <v/>
      </c>
      <c r="K2230" s="9">
        <f>IF(D2230="","",IFERROR(INDEX('Stock pièces'!$D$5:$D$404,MATCH(D2230,'Stock pièces'!$A$5:$A$404,0)),""))</f>
        <v/>
      </c>
      <c r="L2230" s="7" t="n"/>
      <c r="M2230" s="7" t="n"/>
    </row>
    <row r="2231">
      <c r="A2231" s="7" t="n"/>
      <c r="B2231" s="75" t="n"/>
      <c r="C2231" s="7" t="n"/>
      <c r="D2231" s="7" t="n"/>
      <c r="E2231" s="9">
        <f>IF(D2231="","",IFERROR(INDEX('Stock pièces'!$B$5:$B$404,MATCH(D2231,'Stock pièces'!$A$5:$A$404,0)),"Réf. inconnue"))</f>
        <v/>
      </c>
      <c r="F2231" s="67" t="n"/>
      <c r="G2231" s="81">
        <f>IF(D2231="","",IFERROR(INDEX('Stock pièces'!$I$5:$I$404,MATCH(D2231,'Stock pièces'!$A$5:$A$404,0)),0))</f>
        <v/>
      </c>
      <c r="H2231" s="81">
        <f>IF(D2231="","",N(F2231)*N(G2231))</f>
        <v/>
      </c>
      <c r="I2231" s="7" t="n"/>
      <c r="J2231" s="9">
        <f>IF(I2231="","",IFERROR(INDEX('Ordres de travail'!$D$5:$D$3004,MATCH(I2231,'Ordres de travail'!$A$5:$A$3004,0)),""))</f>
        <v/>
      </c>
      <c r="K2231" s="9">
        <f>IF(D2231="","",IFERROR(INDEX('Stock pièces'!$D$5:$D$404,MATCH(D2231,'Stock pièces'!$A$5:$A$404,0)),""))</f>
        <v/>
      </c>
      <c r="L2231" s="7" t="n"/>
      <c r="M2231" s="7" t="n"/>
    </row>
    <row r="2232">
      <c r="A2232" s="7" t="n"/>
      <c r="B2232" s="75" t="n"/>
      <c r="C2232" s="7" t="n"/>
      <c r="D2232" s="7" t="n"/>
      <c r="E2232" s="9">
        <f>IF(D2232="","",IFERROR(INDEX('Stock pièces'!$B$5:$B$404,MATCH(D2232,'Stock pièces'!$A$5:$A$404,0)),"Réf. inconnue"))</f>
        <v/>
      </c>
      <c r="F2232" s="67" t="n"/>
      <c r="G2232" s="81">
        <f>IF(D2232="","",IFERROR(INDEX('Stock pièces'!$I$5:$I$404,MATCH(D2232,'Stock pièces'!$A$5:$A$404,0)),0))</f>
        <v/>
      </c>
      <c r="H2232" s="81">
        <f>IF(D2232="","",N(F2232)*N(G2232))</f>
        <v/>
      </c>
      <c r="I2232" s="7" t="n"/>
      <c r="J2232" s="9">
        <f>IF(I2232="","",IFERROR(INDEX('Ordres de travail'!$D$5:$D$3004,MATCH(I2232,'Ordres de travail'!$A$5:$A$3004,0)),""))</f>
        <v/>
      </c>
      <c r="K2232" s="9">
        <f>IF(D2232="","",IFERROR(INDEX('Stock pièces'!$D$5:$D$404,MATCH(D2232,'Stock pièces'!$A$5:$A$404,0)),""))</f>
        <v/>
      </c>
      <c r="L2232" s="7" t="n"/>
      <c r="M2232" s="7" t="n"/>
    </row>
    <row r="2233">
      <c r="A2233" s="7" t="n"/>
      <c r="B2233" s="75" t="n"/>
      <c r="C2233" s="7" t="n"/>
      <c r="D2233" s="7" t="n"/>
      <c r="E2233" s="9">
        <f>IF(D2233="","",IFERROR(INDEX('Stock pièces'!$B$5:$B$404,MATCH(D2233,'Stock pièces'!$A$5:$A$404,0)),"Réf. inconnue"))</f>
        <v/>
      </c>
      <c r="F2233" s="67" t="n"/>
      <c r="G2233" s="81">
        <f>IF(D2233="","",IFERROR(INDEX('Stock pièces'!$I$5:$I$404,MATCH(D2233,'Stock pièces'!$A$5:$A$404,0)),0))</f>
        <v/>
      </c>
      <c r="H2233" s="81">
        <f>IF(D2233="","",N(F2233)*N(G2233))</f>
        <v/>
      </c>
      <c r="I2233" s="7" t="n"/>
      <c r="J2233" s="9">
        <f>IF(I2233="","",IFERROR(INDEX('Ordres de travail'!$D$5:$D$3004,MATCH(I2233,'Ordres de travail'!$A$5:$A$3004,0)),""))</f>
        <v/>
      </c>
      <c r="K2233" s="9">
        <f>IF(D2233="","",IFERROR(INDEX('Stock pièces'!$D$5:$D$404,MATCH(D2233,'Stock pièces'!$A$5:$A$404,0)),""))</f>
        <v/>
      </c>
      <c r="L2233" s="7" t="n"/>
      <c r="M2233" s="7" t="n"/>
    </row>
    <row r="2234">
      <c r="A2234" s="7" t="n"/>
      <c r="B2234" s="75" t="n"/>
      <c r="C2234" s="7" t="n"/>
      <c r="D2234" s="7" t="n"/>
      <c r="E2234" s="9">
        <f>IF(D2234="","",IFERROR(INDEX('Stock pièces'!$B$5:$B$404,MATCH(D2234,'Stock pièces'!$A$5:$A$404,0)),"Réf. inconnue"))</f>
        <v/>
      </c>
      <c r="F2234" s="67" t="n"/>
      <c r="G2234" s="81">
        <f>IF(D2234="","",IFERROR(INDEX('Stock pièces'!$I$5:$I$404,MATCH(D2234,'Stock pièces'!$A$5:$A$404,0)),0))</f>
        <v/>
      </c>
      <c r="H2234" s="81">
        <f>IF(D2234="","",N(F2234)*N(G2234))</f>
        <v/>
      </c>
      <c r="I2234" s="7" t="n"/>
      <c r="J2234" s="9">
        <f>IF(I2234="","",IFERROR(INDEX('Ordres de travail'!$D$5:$D$3004,MATCH(I2234,'Ordres de travail'!$A$5:$A$3004,0)),""))</f>
        <v/>
      </c>
      <c r="K2234" s="9">
        <f>IF(D2234="","",IFERROR(INDEX('Stock pièces'!$D$5:$D$404,MATCH(D2234,'Stock pièces'!$A$5:$A$404,0)),""))</f>
        <v/>
      </c>
      <c r="L2234" s="7" t="n"/>
      <c r="M2234" s="7" t="n"/>
    </row>
    <row r="2235">
      <c r="A2235" s="7" t="n"/>
      <c r="B2235" s="75" t="n"/>
      <c r="C2235" s="7" t="n"/>
      <c r="D2235" s="7" t="n"/>
      <c r="E2235" s="9">
        <f>IF(D2235="","",IFERROR(INDEX('Stock pièces'!$B$5:$B$404,MATCH(D2235,'Stock pièces'!$A$5:$A$404,0)),"Réf. inconnue"))</f>
        <v/>
      </c>
      <c r="F2235" s="67" t="n"/>
      <c r="G2235" s="81">
        <f>IF(D2235="","",IFERROR(INDEX('Stock pièces'!$I$5:$I$404,MATCH(D2235,'Stock pièces'!$A$5:$A$404,0)),0))</f>
        <v/>
      </c>
      <c r="H2235" s="81">
        <f>IF(D2235="","",N(F2235)*N(G2235))</f>
        <v/>
      </c>
      <c r="I2235" s="7" t="n"/>
      <c r="J2235" s="9">
        <f>IF(I2235="","",IFERROR(INDEX('Ordres de travail'!$D$5:$D$3004,MATCH(I2235,'Ordres de travail'!$A$5:$A$3004,0)),""))</f>
        <v/>
      </c>
      <c r="K2235" s="9">
        <f>IF(D2235="","",IFERROR(INDEX('Stock pièces'!$D$5:$D$404,MATCH(D2235,'Stock pièces'!$A$5:$A$404,0)),""))</f>
        <v/>
      </c>
      <c r="L2235" s="7" t="n"/>
      <c r="M2235" s="7" t="n"/>
    </row>
    <row r="2236">
      <c r="A2236" s="7" t="n"/>
      <c r="B2236" s="75" t="n"/>
      <c r="C2236" s="7" t="n"/>
      <c r="D2236" s="7" t="n"/>
      <c r="E2236" s="9">
        <f>IF(D2236="","",IFERROR(INDEX('Stock pièces'!$B$5:$B$404,MATCH(D2236,'Stock pièces'!$A$5:$A$404,0)),"Réf. inconnue"))</f>
        <v/>
      </c>
      <c r="F2236" s="67" t="n"/>
      <c r="G2236" s="81">
        <f>IF(D2236="","",IFERROR(INDEX('Stock pièces'!$I$5:$I$404,MATCH(D2236,'Stock pièces'!$A$5:$A$404,0)),0))</f>
        <v/>
      </c>
      <c r="H2236" s="81">
        <f>IF(D2236="","",N(F2236)*N(G2236))</f>
        <v/>
      </c>
      <c r="I2236" s="7" t="n"/>
      <c r="J2236" s="9">
        <f>IF(I2236="","",IFERROR(INDEX('Ordres de travail'!$D$5:$D$3004,MATCH(I2236,'Ordres de travail'!$A$5:$A$3004,0)),""))</f>
        <v/>
      </c>
      <c r="K2236" s="9">
        <f>IF(D2236="","",IFERROR(INDEX('Stock pièces'!$D$5:$D$404,MATCH(D2236,'Stock pièces'!$A$5:$A$404,0)),""))</f>
        <v/>
      </c>
      <c r="L2236" s="7" t="n"/>
      <c r="M2236" s="7" t="n"/>
    </row>
    <row r="2237">
      <c r="A2237" s="7" t="n"/>
      <c r="B2237" s="75" t="n"/>
      <c r="C2237" s="7" t="n"/>
      <c r="D2237" s="7" t="n"/>
      <c r="E2237" s="9">
        <f>IF(D2237="","",IFERROR(INDEX('Stock pièces'!$B$5:$B$404,MATCH(D2237,'Stock pièces'!$A$5:$A$404,0)),"Réf. inconnue"))</f>
        <v/>
      </c>
      <c r="F2237" s="67" t="n"/>
      <c r="G2237" s="81">
        <f>IF(D2237="","",IFERROR(INDEX('Stock pièces'!$I$5:$I$404,MATCH(D2237,'Stock pièces'!$A$5:$A$404,0)),0))</f>
        <v/>
      </c>
      <c r="H2237" s="81">
        <f>IF(D2237="","",N(F2237)*N(G2237))</f>
        <v/>
      </c>
      <c r="I2237" s="7" t="n"/>
      <c r="J2237" s="9">
        <f>IF(I2237="","",IFERROR(INDEX('Ordres de travail'!$D$5:$D$3004,MATCH(I2237,'Ordres de travail'!$A$5:$A$3004,0)),""))</f>
        <v/>
      </c>
      <c r="K2237" s="9">
        <f>IF(D2237="","",IFERROR(INDEX('Stock pièces'!$D$5:$D$404,MATCH(D2237,'Stock pièces'!$A$5:$A$404,0)),""))</f>
        <v/>
      </c>
      <c r="L2237" s="7" t="n"/>
      <c r="M2237" s="7" t="n"/>
    </row>
    <row r="2238">
      <c r="A2238" s="7" t="n"/>
      <c r="B2238" s="75" t="n"/>
      <c r="C2238" s="7" t="n"/>
      <c r="D2238" s="7" t="n"/>
      <c r="E2238" s="9">
        <f>IF(D2238="","",IFERROR(INDEX('Stock pièces'!$B$5:$B$404,MATCH(D2238,'Stock pièces'!$A$5:$A$404,0)),"Réf. inconnue"))</f>
        <v/>
      </c>
      <c r="F2238" s="67" t="n"/>
      <c r="G2238" s="81">
        <f>IF(D2238="","",IFERROR(INDEX('Stock pièces'!$I$5:$I$404,MATCH(D2238,'Stock pièces'!$A$5:$A$404,0)),0))</f>
        <v/>
      </c>
      <c r="H2238" s="81">
        <f>IF(D2238="","",N(F2238)*N(G2238))</f>
        <v/>
      </c>
      <c r="I2238" s="7" t="n"/>
      <c r="J2238" s="9">
        <f>IF(I2238="","",IFERROR(INDEX('Ordres de travail'!$D$5:$D$3004,MATCH(I2238,'Ordres de travail'!$A$5:$A$3004,0)),""))</f>
        <v/>
      </c>
      <c r="K2238" s="9">
        <f>IF(D2238="","",IFERROR(INDEX('Stock pièces'!$D$5:$D$404,MATCH(D2238,'Stock pièces'!$A$5:$A$404,0)),""))</f>
        <v/>
      </c>
      <c r="L2238" s="7" t="n"/>
      <c r="M2238" s="7" t="n"/>
    </row>
    <row r="2239">
      <c r="A2239" s="7" t="n"/>
      <c r="B2239" s="75" t="n"/>
      <c r="C2239" s="7" t="n"/>
      <c r="D2239" s="7" t="n"/>
      <c r="E2239" s="9">
        <f>IF(D2239="","",IFERROR(INDEX('Stock pièces'!$B$5:$B$404,MATCH(D2239,'Stock pièces'!$A$5:$A$404,0)),"Réf. inconnue"))</f>
        <v/>
      </c>
      <c r="F2239" s="67" t="n"/>
      <c r="G2239" s="81">
        <f>IF(D2239="","",IFERROR(INDEX('Stock pièces'!$I$5:$I$404,MATCH(D2239,'Stock pièces'!$A$5:$A$404,0)),0))</f>
        <v/>
      </c>
      <c r="H2239" s="81">
        <f>IF(D2239="","",N(F2239)*N(G2239))</f>
        <v/>
      </c>
      <c r="I2239" s="7" t="n"/>
      <c r="J2239" s="9">
        <f>IF(I2239="","",IFERROR(INDEX('Ordres de travail'!$D$5:$D$3004,MATCH(I2239,'Ordres de travail'!$A$5:$A$3004,0)),""))</f>
        <v/>
      </c>
      <c r="K2239" s="9">
        <f>IF(D2239="","",IFERROR(INDEX('Stock pièces'!$D$5:$D$404,MATCH(D2239,'Stock pièces'!$A$5:$A$404,0)),""))</f>
        <v/>
      </c>
      <c r="L2239" s="7" t="n"/>
      <c r="M2239" s="7" t="n"/>
    </row>
    <row r="2240">
      <c r="A2240" s="7" t="n"/>
      <c r="B2240" s="75" t="n"/>
      <c r="C2240" s="7" t="n"/>
      <c r="D2240" s="7" t="n"/>
      <c r="E2240" s="9">
        <f>IF(D2240="","",IFERROR(INDEX('Stock pièces'!$B$5:$B$404,MATCH(D2240,'Stock pièces'!$A$5:$A$404,0)),"Réf. inconnue"))</f>
        <v/>
      </c>
      <c r="F2240" s="67" t="n"/>
      <c r="G2240" s="81">
        <f>IF(D2240="","",IFERROR(INDEX('Stock pièces'!$I$5:$I$404,MATCH(D2240,'Stock pièces'!$A$5:$A$404,0)),0))</f>
        <v/>
      </c>
      <c r="H2240" s="81">
        <f>IF(D2240="","",N(F2240)*N(G2240))</f>
        <v/>
      </c>
      <c r="I2240" s="7" t="n"/>
      <c r="J2240" s="9">
        <f>IF(I2240="","",IFERROR(INDEX('Ordres de travail'!$D$5:$D$3004,MATCH(I2240,'Ordres de travail'!$A$5:$A$3004,0)),""))</f>
        <v/>
      </c>
      <c r="K2240" s="9">
        <f>IF(D2240="","",IFERROR(INDEX('Stock pièces'!$D$5:$D$404,MATCH(D2240,'Stock pièces'!$A$5:$A$404,0)),""))</f>
        <v/>
      </c>
      <c r="L2240" s="7" t="n"/>
      <c r="M2240" s="7" t="n"/>
    </row>
    <row r="2241">
      <c r="A2241" s="7" t="n"/>
      <c r="B2241" s="75" t="n"/>
      <c r="C2241" s="7" t="n"/>
      <c r="D2241" s="7" t="n"/>
      <c r="E2241" s="9">
        <f>IF(D2241="","",IFERROR(INDEX('Stock pièces'!$B$5:$B$404,MATCH(D2241,'Stock pièces'!$A$5:$A$404,0)),"Réf. inconnue"))</f>
        <v/>
      </c>
      <c r="F2241" s="67" t="n"/>
      <c r="G2241" s="81">
        <f>IF(D2241="","",IFERROR(INDEX('Stock pièces'!$I$5:$I$404,MATCH(D2241,'Stock pièces'!$A$5:$A$404,0)),0))</f>
        <v/>
      </c>
      <c r="H2241" s="81">
        <f>IF(D2241="","",N(F2241)*N(G2241))</f>
        <v/>
      </c>
      <c r="I2241" s="7" t="n"/>
      <c r="J2241" s="9">
        <f>IF(I2241="","",IFERROR(INDEX('Ordres de travail'!$D$5:$D$3004,MATCH(I2241,'Ordres de travail'!$A$5:$A$3004,0)),""))</f>
        <v/>
      </c>
      <c r="K2241" s="9">
        <f>IF(D2241="","",IFERROR(INDEX('Stock pièces'!$D$5:$D$404,MATCH(D2241,'Stock pièces'!$A$5:$A$404,0)),""))</f>
        <v/>
      </c>
      <c r="L2241" s="7" t="n"/>
      <c r="M2241" s="7" t="n"/>
    </row>
    <row r="2242">
      <c r="A2242" s="7" t="n"/>
      <c r="B2242" s="75" t="n"/>
      <c r="C2242" s="7" t="n"/>
      <c r="D2242" s="7" t="n"/>
      <c r="E2242" s="9">
        <f>IF(D2242="","",IFERROR(INDEX('Stock pièces'!$B$5:$B$404,MATCH(D2242,'Stock pièces'!$A$5:$A$404,0)),"Réf. inconnue"))</f>
        <v/>
      </c>
      <c r="F2242" s="67" t="n"/>
      <c r="G2242" s="81">
        <f>IF(D2242="","",IFERROR(INDEX('Stock pièces'!$I$5:$I$404,MATCH(D2242,'Stock pièces'!$A$5:$A$404,0)),0))</f>
        <v/>
      </c>
      <c r="H2242" s="81">
        <f>IF(D2242="","",N(F2242)*N(G2242))</f>
        <v/>
      </c>
      <c r="I2242" s="7" t="n"/>
      <c r="J2242" s="9">
        <f>IF(I2242="","",IFERROR(INDEX('Ordres de travail'!$D$5:$D$3004,MATCH(I2242,'Ordres de travail'!$A$5:$A$3004,0)),""))</f>
        <v/>
      </c>
      <c r="K2242" s="9">
        <f>IF(D2242="","",IFERROR(INDEX('Stock pièces'!$D$5:$D$404,MATCH(D2242,'Stock pièces'!$A$5:$A$404,0)),""))</f>
        <v/>
      </c>
      <c r="L2242" s="7" t="n"/>
      <c r="M2242" s="7" t="n"/>
    </row>
    <row r="2243">
      <c r="A2243" s="7" t="n"/>
      <c r="B2243" s="75" t="n"/>
      <c r="C2243" s="7" t="n"/>
      <c r="D2243" s="7" t="n"/>
      <c r="E2243" s="9">
        <f>IF(D2243="","",IFERROR(INDEX('Stock pièces'!$B$5:$B$404,MATCH(D2243,'Stock pièces'!$A$5:$A$404,0)),"Réf. inconnue"))</f>
        <v/>
      </c>
      <c r="F2243" s="67" t="n"/>
      <c r="G2243" s="81">
        <f>IF(D2243="","",IFERROR(INDEX('Stock pièces'!$I$5:$I$404,MATCH(D2243,'Stock pièces'!$A$5:$A$404,0)),0))</f>
        <v/>
      </c>
      <c r="H2243" s="81">
        <f>IF(D2243="","",N(F2243)*N(G2243))</f>
        <v/>
      </c>
      <c r="I2243" s="7" t="n"/>
      <c r="J2243" s="9">
        <f>IF(I2243="","",IFERROR(INDEX('Ordres de travail'!$D$5:$D$3004,MATCH(I2243,'Ordres de travail'!$A$5:$A$3004,0)),""))</f>
        <v/>
      </c>
      <c r="K2243" s="9">
        <f>IF(D2243="","",IFERROR(INDEX('Stock pièces'!$D$5:$D$404,MATCH(D2243,'Stock pièces'!$A$5:$A$404,0)),""))</f>
        <v/>
      </c>
      <c r="L2243" s="7" t="n"/>
      <c r="M2243" s="7" t="n"/>
    </row>
    <row r="2244">
      <c r="A2244" s="7" t="n"/>
      <c r="B2244" s="75" t="n"/>
      <c r="C2244" s="7" t="n"/>
      <c r="D2244" s="7" t="n"/>
      <c r="E2244" s="9">
        <f>IF(D2244="","",IFERROR(INDEX('Stock pièces'!$B$5:$B$404,MATCH(D2244,'Stock pièces'!$A$5:$A$404,0)),"Réf. inconnue"))</f>
        <v/>
      </c>
      <c r="F2244" s="67" t="n"/>
      <c r="G2244" s="81">
        <f>IF(D2244="","",IFERROR(INDEX('Stock pièces'!$I$5:$I$404,MATCH(D2244,'Stock pièces'!$A$5:$A$404,0)),0))</f>
        <v/>
      </c>
      <c r="H2244" s="81">
        <f>IF(D2244="","",N(F2244)*N(G2244))</f>
        <v/>
      </c>
      <c r="I2244" s="7" t="n"/>
      <c r="J2244" s="9">
        <f>IF(I2244="","",IFERROR(INDEX('Ordres de travail'!$D$5:$D$3004,MATCH(I2244,'Ordres de travail'!$A$5:$A$3004,0)),""))</f>
        <v/>
      </c>
      <c r="K2244" s="9">
        <f>IF(D2244="","",IFERROR(INDEX('Stock pièces'!$D$5:$D$404,MATCH(D2244,'Stock pièces'!$A$5:$A$404,0)),""))</f>
        <v/>
      </c>
      <c r="L2244" s="7" t="n"/>
      <c r="M2244" s="7" t="n"/>
    </row>
    <row r="2245">
      <c r="A2245" s="7" t="n"/>
      <c r="B2245" s="75" t="n"/>
      <c r="C2245" s="7" t="n"/>
      <c r="D2245" s="7" t="n"/>
      <c r="E2245" s="9">
        <f>IF(D2245="","",IFERROR(INDEX('Stock pièces'!$B$5:$B$404,MATCH(D2245,'Stock pièces'!$A$5:$A$404,0)),"Réf. inconnue"))</f>
        <v/>
      </c>
      <c r="F2245" s="67" t="n"/>
      <c r="G2245" s="81">
        <f>IF(D2245="","",IFERROR(INDEX('Stock pièces'!$I$5:$I$404,MATCH(D2245,'Stock pièces'!$A$5:$A$404,0)),0))</f>
        <v/>
      </c>
      <c r="H2245" s="81">
        <f>IF(D2245="","",N(F2245)*N(G2245))</f>
        <v/>
      </c>
      <c r="I2245" s="7" t="n"/>
      <c r="J2245" s="9">
        <f>IF(I2245="","",IFERROR(INDEX('Ordres de travail'!$D$5:$D$3004,MATCH(I2245,'Ordres de travail'!$A$5:$A$3004,0)),""))</f>
        <v/>
      </c>
      <c r="K2245" s="9">
        <f>IF(D2245="","",IFERROR(INDEX('Stock pièces'!$D$5:$D$404,MATCH(D2245,'Stock pièces'!$A$5:$A$404,0)),""))</f>
        <v/>
      </c>
      <c r="L2245" s="7" t="n"/>
      <c r="M2245" s="7" t="n"/>
    </row>
    <row r="2246">
      <c r="A2246" s="7" t="n"/>
      <c r="B2246" s="75" t="n"/>
      <c r="C2246" s="7" t="n"/>
      <c r="D2246" s="7" t="n"/>
      <c r="E2246" s="9">
        <f>IF(D2246="","",IFERROR(INDEX('Stock pièces'!$B$5:$B$404,MATCH(D2246,'Stock pièces'!$A$5:$A$404,0)),"Réf. inconnue"))</f>
        <v/>
      </c>
      <c r="F2246" s="67" t="n"/>
      <c r="G2246" s="81">
        <f>IF(D2246="","",IFERROR(INDEX('Stock pièces'!$I$5:$I$404,MATCH(D2246,'Stock pièces'!$A$5:$A$404,0)),0))</f>
        <v/>
      </c>
      <c r="H2246" s="81">
        <f>IF(D2246="","",N(F2246)*N(G2246))</f>
        <v/>
      </c>
      <c r="I2246" s="7" t="n"/>
      <c r="J2246" s="9">
        <f>IF(I2246="","",IFERROR(INDEX('Ordres de travail'!$D$5:$D$3004,MATCH(I2246,'Ordres de travail'!$A$5:$A$3004,0)),""))</f>
        <v/>
      </c>
      <c r="K2246" s="9">
        <f>IF(D2246="","",IFERROR(INDEX('Stock pièces'!$D$5:$D$404,MATCH(D2246,'Stock pièces'!$A$5:$A$404,0)),""))</f>
        <v/>
      </c>
      <c r="L2246" s="7" t="n"/>
      <c r="M2246" s="7" t="n"/>
    </row>
    <row r="2247">
      <c r="A2247" s="7" t="n"/>
      <c r="B2247" s="75" t="n"/>
      <c r="C2247" s="7" t="n"/>
      <c r="D2247" s="7" t="n"/>
      <c r="E2247" s="9">
        <f>IF(D2247="","",IFERROR(INDEX('Stock pièces'!$B$5:$B$404,MATCH(D2247,'Stock pièces'!$A$5:$A$404,0)),"Réf. inconnue"))</f>
        <v/>
      </c>
      <c r="F2247" s="67" t="n"/>
      <c r="G2247" s="81">
        <f>IF(D2247="","",IFERROR(INDEX('Stock pièces'!$I$5:$I$404,MATCH(D2247,'Stock pièces'!$A$5:$A$404,0)),0))</f>
        <v/>
      </c>
      <c r="H2247" s="81">
        <f>IF(D2247="","",N(F2247)*N(G2247))</f>
        <v/>
      </c>
      <c r="I2247" s="7" t="n"/>
      <c r="J2247" s="9">
        <f>IF(I2247="","",IFERROR(INDEX('Ordres de travail'!$D$5:$D$3004,MATCH(I2247,'Ordres de travail'!$A$5:$A$3004,0)),""))</f>
        <v/>
      </c>
      <c r="K2247" s="9">
        <f>IF(D2247="","",IFERROR(INDEX('Stock pièces'!$D$5:$D$404,MATCH(D2247,'Stock pièces'!$A$5:$A$404,0)),""))</f>
        <v/>
      </c>
      <c r="L2247" s="7" t="n"/>
      <c r="M2247" s="7" t="n"/>
    </row>
    <row r="2248">
      <c r="A2248" s="7" t="n"/>
      <c r="B2248" s="75" t="n"/>
      <c r="C2248" s="7" t="n"/>
      <c r="D2248" s="7" t="n"/>
      <c r="E2248" s="9">
        <f>IF(D2248="","",IFERROR(INDEX('Stock pièces'!$B$5:$B$404,MATCH(D2248,'Stock pièces'!$A$5:$A$404,0)),"Réf. inconnue"))</f>
        <v/>
      </c>
      <c r="F2248" s="67" t="n"/>
      <c r="G2248" s="81">
        <f>IF(D2248="","",IFERROR(INDEX('Stock pièces'!$I$5:$I$404,MATCH(D2248,'Stock pièces'!$A$5:$A$404,0)),0))</f>
        <v/>
      </c>
      <c r="H2248" s="81">
        <f>IF(D2248="","",N(F2248)*N(G2248))</f>
        <v/>
      </c>
      <c r="I2248" s="7" t="n"/>
      <c r="J2248" s="9">
        <f>IF(I2248="","",IFERROR(INDEX('Ordres de travail'!$D$5:$D$3004,MATCH(I2248,'Ordres de travail'!$A$5:$A$3004,0)),""))</f>
        <v/>
      </c>
      <c r="K2248" s="9">
        <f>IF(D2248="","",IFERROR(INDEX('Stock pièces'!$D$5:$D$404,MATCH(D2248,'Stock pièces'!$A$5:$A$404,0)),""))</f>
        <v/>
      </c>
      <c r="L2248" s="7" t="n"/>
      <c r="M2248" s="7" t="n"/>
    </row>
    <row r="2249">
      <c r="A2249" s="7" t="n"/>
      <c r="B2249" s="75" t="n"/>
      <c r="C2249" s="7" t="n"/>
      <c r="D2249" s="7" t="n"/>
      <c r="E2249" s="9">
        <f>IF(D2249="","",IFERROR(INDEX('Stock pièces'!$B$5:$B$404,MATCH(D2249,'Stock pièces'!$A$5:$A$404,0)),"Réf. inconnue"))</f>
        <v/>
      </c>
      <c r="F2249" s="67" t="n"/>
      <c r="G2249" s="81">
        <f>IF(D2249="","",IFERROR(INDEX('Stock pièces'!$I$5:$I$404,MATCH(D2249,'Stock pièces'!$A$5:$A$404,0)),0))</f>
        <v/>
      </c>
      <c r="H2249" s="81">
        <f>IF(D2249="","",N(F2249)*N(G2249))</f>
        <v/>
      </c>
      <c r="I2249" s="7" t="n"/>
      <c r="J2249" s="9">
        <f>IF(I2249="","",IFERROR(INDEX('Ordres de travail'!$D$5:$D$3004,MATCH(I2249,'Ordres de travail'!$A$5:$A$3004,0)),""))</f>
        <v/>
      </c>
      <c r="K2249" s="9">
        <f>IF(D2249="","",IFERROR(INDEX('Stock pièces'!$D$5:$D$404,MATCH(D2249,'Stock pièces'!$A$5:$A$404,0)),""))</f>
        <v/>
      </c>
      <c r="L2249" s="7" t="n"/>
      <c r="M2249" s="7" t="n"/>
    </row>
    <row r="2250">
      <c r="A2250" s="7" t="n"/>
      <c r="B2250" s="75" t="n"/>
      <c r="C2250" s="7" t="n"/>
      <c r="D2250" s="7" t="n"/>
      <c r="E2250" s="9">
        <f>IF(D2250="","",IFERROR(INDEX('Stock pièces'!$B$5:$B$404,MATCH(D2250,'Stock pièces'!$A$5:$A$404,0)),"Réf. inconnue"))</f>
        <v/>
      </c>
      <c r="F2250" s="67" t="n"/>
      <c r="G2250" s="81">
        <f>IF(D2250="","",IFERROR(INDEX('Stock pièces'!$I$5:$I$404,MATCH(D2250,'Stock pièces'!$A$5:$A$404,0)),0))</f>
        <v/>
      </c>
      <c r="H2250" s="81">
        <f>IF(D2250="","",N(F2250)*N(G2250))</f>
        <v/>
      </c>
      <c r="I2250" s="7" t="n"/>
      <c r="J2250" s="9">
        <f>IF(I2250="","",IFERROR(INDEX('Ordres de travail'!$D$5:$D$3004,MATCH(I2250,'Ordres de travail'!$A$5:$A$3004,0)),""))</f>
        <v/>
      </c>
      <c r="K2250" s="9">
        <f>IF(D2250="","",IFERROR(INDEX('Stock pièces'!$D$5:$D$404,MATCH(D2250,'Stock pièces'!$A$5:$A$404,0)),""))</f>
        <v/>
      </c>
      <c r="L2250" s="7" t="n"/>
      <c r="M2250" s="7" t="n"/>
    </row>
    <row r="2251">
      <c r="A2251" s="7" t="n"/>
      <c r="B2251" s="75" t="n"/>
      <c r="C2251" s="7" t="n"/>
      <c r="D2251" s="7" t="n"/>
      <c r="E2251" s="9">
        <f>IF(D2251="","",IFERROR(INDEX('Stock pièces'!$B$5:$B$404,MATCH(D2251,'Stock pièces'!$A$5:$A$404,0)),"Réf. inconnue"))</f>
        <v/>
      </c>
      <c r="F2251" s="67" t="n"/>
      <c r="G2251" s="81">
        <f>IF(D2251="","",IFERROR(INDEX('Stock pièces'!$I$5:$I$404,MATCH(D2251,'Stock pièces'!$A$5:$A$404,0)),0))</f>
        <v/>
      </c>
      <c r="H2251" s="81">
        <f>IF(D2251="","",N(F2251)*N(G2251))</f>
        <v/>
      </c>
      <c r="I2251" s="7" t="n"/>
      <c r="J2251" s="9">
        <f>IF(I2251="","",IFERROR(INDEX('Ordres de travail'!$D$5:$D$3004,MATCH(I2251,'Ordres de travail'!$A$5:$A$3004,0)),""))</f>
        <v/>
      </c>
      <c r="K2251" s="9">
        <f>IF(D2251="","",IFERROR(INDEX('Stock pièces'!$D$5:$D$404,MATCH(D2251,'Stock pièces'!$A$5:$A$404,0)),""))</f>
        <v/>
      </c>
      <c r="L2251" s="7" t="n"/>
      <c r="M2251" s="7" t="n"/>
    </row>
    <row r="2252">
      <c r="A2252" s="7" t="n"/>
      <c r="B2252" s="75" t="n"/>
      <c r="C2252" s="7" t="n"/>
      <c r="D2252" s="7" t="n"/>
      <c r="E2252" s="9">
        <f>IF(D2252="","",IFERROR(INDEX('Stock pièces'!$B$5:$B$404,MATCH(D2252,'Stock pièces'!$A$5:$A$404,0)),"Réf. inconnue"))</f>
        <v/>
      </c>
      <c r="F2252" s="67" t="n"/>
      <c r="G2252" s="81">
        <f>IF(D2252="","",IFERROR(INDEX('Stock pièces'!$I$5:$I$404,MATCH(D2252,'Stock pièces'!$A$5:$A$404,0)),0))</f>
        <v/>
      </c>
      <c r="H2252" s="81">
        <f>IF(D2252="","",N(F2252)*N(G2252))</f>
        <v/>
      </c>
      <c r="I2252" s="7" t="n"/>
      <c r="J2252" s="9">
        <f>IF(I2252="","",IFERROR(INDEX('Ordres de travail'!$D$5:$D$3004,MATCH(I2252,'Ordres de travail'!$A$5:$A$3004,0)),""))</f>
        <v/>
      </c>
      <c r="K2252" s="9">
        <f>IF(D2252="","",IFERROR(INDEX('Stock pièces'!$D$5:$D$404,MATCH(D2252,'Stock pièces'!$A$5:$A$404,0)),""))</f>
        <v/>
      </c>
      <c r="L2252" s="7" t="n"/>
      <c r="M2252" s="7" t="n"/>
    </row>
    <row r="2253">
      <c r="A2253" s="7" t="n"/>
      <c r="B2253" s="75" t="n"/>
      <c r="C2253" s="7" t="n"/>
      <c r="D2253" s="7" t="n"/>
      <c r="E2253" s="9">
        <f>IF(D2253="","",IFERROR(INDEX('Stock pièces'!$B$5:$B$404,MATCH(D2253,'Stock pièces'!$A$5:$A$404,0)),"Réf. inconnue"))</f>
        <v/>
      </c>
      <c r="F2253" s="67" t="n"/>
      <c r="G2253" s="81">
        <f>IF(D2253="","",IFERROR(INDEX('Stock pièces'!$I$5:$I$404,MATCH(D2253,'Stock pièces'!$A$5:$A$404,0)),0))</f>
        <v/>
      </c>
      <c r="H2253" s="81">
        <f>IF(D2253="","",N(F2253)*N(G2253))</f>
        <v/>
      </c>
      <c r="I2253" s="7" t="n"/>
      <c r="J2253" s="9">
        <f>IF(I2253="","",IFERROR(INDEX('Ordres de travail'!$D$5:$D$3004,MATCH(I2253,'Ordres de travail'!$A$5:$A$3004,0)),""))</f>
        <v/>
      </c>
      <c r="K2253" s="9">
        <f>IF(D2253="","",IFERROR(INDEX('Stock pièces'!$D$5:$D$404,MATCH(D2253,'Stock pièces'!$A$5:$A$404,0)),""))</f>
        <v/>
      </c>
      <c r="L2253" s="7" t="n"/>
      <c r="M2253" s="7" t="n"/>
    </row>
    <row r="2254">
      <c r="A2254" s="7" t="n"/>
      <c r="B2254" s="75" t="n"/>
      <c r="C2254" s="7" t="n"/>
      <c r="D2254" s="7" t="n"/>
      <c r="E2254" s="9">
        <f>IF(D2254="","",IFERROR(INDEX('Stock pièces'!$B$5:$B$404,MATCH(D2254,'Stock pièces'!$A$5:$A$404,0)),"Réf. inconnue"))</f>
        <v/>
      </c>
      <c r="F2254" s="67" t="n"/>
      <c r="G2254" s="81">
        <f>IF(D2254="","",IFERROR(INDEX('Stock pièces'!$I$5:$I$404,MATCH(D2254,'Stock pièces'!$A$5:$A$404,0)),0))</f>
        <v/>
      </c>
      <c r="H2254" s="81">
        <f>IF(D2254="","",N(F2254)*N(G2254))</f>
        <v/>
      </c>
      <c r="I2254" s="7" t="n"/>
      <c r="J2254" s="9">
        <f>IF(I2254="","",IFERROR(INDEX('Ordres de travail'!$D$5:$D$3004,MATCH(I2254,'Ordres de travail'!$A$5:$A$3004,0)),""))</f>
        <v/>
      </c>
      <c r="K2254" s="9">
        <f>IF(D2254="","",IFERROR(INDEX('Stock pièces'!$D$5:$D$404,MATCH(D2254,'Stock pièces'!$A$5:$A$404,0)),""))</f>
        <v/>
      </c>
      <c r="L2254" s="7" t="n"/>
      <c r="M2254" s="7" t="n"/>
    </row>
    <row r="2255">
      <c r="A2255" s="7" t="n"/>
      <c r="B2255" s="75" t="n"/>
      <c r="C2255" s="7" t="n"/>
      <c r="D2255" s="7" t="n"/>
      <c r="E2255" s="9">
        <f>IF(D2255="","",IFERROR(INDEX('Stock pièces'!$B$5:$B$404,MATCH(D2255,'Stock pièces'!$A$5:$A$404,0)),"Réf. inconnue"))</f>
        <v/>
      </c>
      <c r="F2255" s="67" t="n"/>
      <c r="G2255" s="81">
        <f>IF(D2255="","",IFERROR(INDEX('Stock pièces'!$I$5:$I$404,MATCH(D2255,'Stock pièces'!$A$5:$A$404,0)),0))</f>
        <v/>
      </c>
      <c r="H2255" s="81">
        <f>IF(D2255="","",N(F2255)*N(G2255))</f>
        <v/>
      </c>
      <c r="I2255" s="7" t="n"/>
      <c r="J2255" s="9">
        <f>IF(I2255="","",IFERROR(INDEX('Ordres de travail'!$D$5:$D$3004,MATCH(I2255,'Ordres de travail'!$A$5:$A$3004,0)),""))</f>
        <v/>
      </c>
      <c r="K2255" s="9">
        <f>IF(D2255="","",IFERROR(INDEX('Stock pièces'!$D$5:$D$404,MATCH(D2255,'Stock pièces'!$A$5:$A$404,0)),""))</f>
        <v/>
      </c>
      <c r="L2255" s="7" t="n"/>
      <c r="M2255" s="7" t="n"/>
    </row>
    <row r="2256">
      <c r="A2256" s="7" t="n"/>
      <c r="B2256" s="75" t="n"/>
      <c r="C2256" s="7" t="n"/>
      <c r="D2256" s="7" t="n"/>
      <c r="E2256" s="9">
        <f>IF(D2256="","",IFERROR(INDEX('Stock pièces'!$B$5:$B$404,MATCH(D2256,'Stock pièces'!$A$5:$A$404,0)),"Réf. inconnue"))</f>
        <v/>
      </c>
      <c r="F2256" s="67" t="n"/>
      <c r="G2256" s="81">
        <f>IF(D2256="","",IFERROR(INDEX('Stock pièces'!$I$5:$I$404,MATCH(D2256,'Stock pièces'!$A$5:$A$404,0)),0))</f>
        <v/>
      </c>
      <c r="H2256" s="81">
        <f>IF(D2256="","",N(F2256)*N(G2256))</f>
        <v/>
      </c>
      <c r="I2256" s="7" t="n"/>
      <c r="J2256" s="9">
        <f>IF(I2256="","",IFERROR(INDEX('Ordres de travail'!$D$5:$D$3004,MATCH(I2256,'Ordres de travail'!$A$5:$A$3004,0)),""))</f>
        <v/>
      </c>
      <c r="K2256" s="9">
        <f>IF(D2256="","",IFERROR(INDEX('Stock pièces'!$D$5:$D$404,MATCH(D2256,'Stock pièces'!$A$5:$A$404,0)),""))</f>
        <v/>
      </c>
      <c r="L2256" s="7" t="n"/>
      <c r="M2256" s="7" t="n"/>
    </row>
    <row r="2257">
      <c r="A2257" s="7" t="n"/>
      <c r="B2257" s="75" t="n"/>
      <c r="C2257" s="7" t="n"/>
      <c r="D2257" s="7" t="n"/>
      <c r="E2257" s="9">
        <f>IF(D2257="","",IFERROR(INDEX('Stock pièces'!$B$5:$B$404,MATCH(D2257,'Stock pièces'!$A$5:$A$404,0)),"Réf. inconnue"))</f>
        <v/>
      </c>
      <c r="F2257" s="67" t="n"/>
      <c r="G2257" s="81">
        <f>IF(D2257="","",IFERROR(INDEX('Stock pièces'!$I$5:$I$404,MATCH(D2257,'Stock pièces'!$A$5:$A$404,0)),0))</f>
        <v/>
      </c>
      <c r="H2257" s="81">
        <f>IF(D2257="","",N(F2257)*N(G2257))</f>
        <v/>
      </c>
      <c r="I2257" s="7" t="n"/>
      <c r="J2257" s="9">
        <f>IF(I2257="","",IFERROR(INDEX('Ordres de travail'!$D$5:$D$3004,MATCH(I2257,'Ordres de travail'!$A$5:$A$3004,0)),""))</f>
        <v/>
      </c>
      <c r="K2257" s="9">
        <f>IF(D2257="","",IFERROR(INDEX('Stock pièces'!$D$5:$D$404,MATCH(D2257,'Stock pièces'!$A$5:$A$404,0)),""))</f>
        <v/>
      </c>
      <c r="L2257" s="7" t="n"/>
      <c r="M2257" s="7" t="n"/>
    </row>
    <row r="2258">
      <c r="A2258" s="7" t="n"/>
      <c r="B2258" s="75" t="n"/>
      <c r="C2258" s="7" t="n"/>
      <c r="D2258" s="7" t="n"/>
      <c r="E2258" s="9">
        <f>IF(D2258="","",IFERROR(INDEX('Stock pièces'!$B$5:$B$404,MATCH(D2258,'Stock pièces'!$A$5:$A$404,0)),"Réf. inconnue"))</f>
        <v/>
      </c>
      <c r="F2258" s="67" t="n"/>
      <c r="G2258" s="81">
        <f>IF(D2258="","",IFERROR(INDEX('Stock pièces'!$I$5:$I$404,MATCH(D2258,'Stock pièces'!$A$5:$A$404,0)),0))</f>
        <v/>
      </c>
      <c r="H2258" s="81">
        <f>IF(D2258="","",N(F2258)*N(G2258))</f>
        <v/>
      </c>
      <c r="I2258" s="7" t="n"/>
      <c r="J2258" s="9">
        <f>IF(I2258="","",IFERROR(INDEX('Ordres de travail'!$D$5:$D$3004,MATCH(I2258,'Ordres de travail'!$A$5:$A$3004,0)),""))</f>
        <v/>
      </c>
      <c r="K2258" s="9">
        <f>IF(D2258="","",IFERROR(INDEX('Stock pièces'!$D$5:$D$404,MATCH(D2258,'Stock pièces'!$A$5:$A$404,0)),""))</f>
        <v/>
      </c>
      <c r="L2258" s="7" t="n"/>
      <c r="M2258" s="7" t="n"/>
    </row>
    <row r="2259">
      <c r="A2259" s="7" t="n"/>
      <c r="B2259" s="75" t="n"/>
      <c r="C2259" s="7" t="n"/>
      <c r="D2259" s="7" t="n"/>
      <c r="E2259" s="9">
        <f>IF(D2259="","",IFERROR(INDEX('Stock pièces'!$B$5:$B$404,MATCH(D2259,'Stock pièces'!$A$5:$A$404,0)),"Réf. inconnue"))</f>
        <v/>
      </c>
      <c r="F2259" s="67" t="n"/>
      <c r="G2259" s="81">
        <f>IF(D2259="","",IFERROR(INDEX('Stock pièces'!$I$5:$I$404,MATCH(D2259,'Stock pièces'!$A$5:$A$404,0)),0))</f>
        <v/>
      </c>
      <c r="H2259" s="81">
        <f>IF(D2259="","",N(F2259)*N(G2259))</f>
        <v/>
      </c>
      <c r="I2259" s="7" t="n"/>
      <c r="J2259" s="9">
        <f>IF(I2259="","",IFERROR(INDEX('Ordres de travail'!$D$5:$D$3004,MATCH(I2259,'Ordres de travail'!$A$5:$A$3004,0)),""))</f>
        <v/>
      </c>
      <c r="K2259" s="9">
        <f>IF(D2259="","",IFERROR(INDEX('Stock pièces'!$D$5:$D$404,MATCH(D2259,'Stock pièces'!$A$5:$A$404,0)),""))</f>
        <v/>
      </c>
      <c r="L2259" s="7" t="n"/>
      <c r="M2259" s="7" t="n"/>
    </row>
    <row r="2260">
      <c r="A2260" s="7" t="n"/>
      <c r="B2260" s="75" t="n"/>
      <c r="C2260" s="7" t="n"/>
      <c r="D2260" s="7" t="n"/>
      <c r="E2260" s="9">
        <f>IF(D2260="","",IFERROR(INDEX('Stock pièces'!$B$5:$B$404,MATCH(D2260,'Stock pièces'!$A$5:$A$404,0)),"Réf. inconnue"))</f>
        <v/>
      </c>
      <c r="F2260" s="67" t="n"/>
      <c r="G2260" s="81">
        <f>IF(D2260="","",IFERROR(INDEX('Stock pièces'!$I$5:$I$404,MATCH(D2260,'Stock pièces'!$A$5:$A$404,0)),0))</f>
        <v/>
      </c>
      <c r="H2260" s="81">
        <f>IF(D2260="","",N(F2260)*N(G2260))</f>
        <v/>
      </c>
      <c r="I2260" s="7" t="n"/>
      <c r="J2260" s="9">
        <f>IF(I2260="","",IFERROR(INDEX('Ordres de travail'!$D$5:$D$3004,MATCH(I2260,'Ordres de travail'!$A$5:$A$3004,0)),""))</f>
        <v/>
      </c>
      <c r="K2260" s="9">
        <f>IF(D2260="","",IFERROR(INDEX('Stock pièces'!$D$5:$D$404,MATCH(D2260,'Stock pièces'!$A$5:$A$404,0)),""))</f>
        <v/>
      </c>
      <c r="L2260" s="7" t="n"/>
      <c r="M2260" s="7" t="n"/>
    </row>
    <row r="2261">
      <c r="A2261" s="7" t="n"/>
      <c r="B2261" s="75" t="n"/>
      <c r="C2261" s="7" t="n"/>
      <c r="D2261" s="7" t="n"/>
      <c r="E2261" s="9">
        <f>IF(D2261="","",IFERROR(INDEX('Stock pièces'!$B$5:$B$404,MATCH(D2261,'Stock pièces'!$A$5:$A$404,0)),"Réf. inconnue"))</f>
        <v/>
      </c>
      <c r="F2261" s="67" t="n"/>
      <c r="G2261" s="81">
        <f>IF(D2261="","",IFERROR(INDEX('Stock pièces'!$I$5:$I$404,MATCH(D2261,'Stock pièces'!$A$5:$A$404,0)),0))</f>
        <v/>
      </c>
      <c r="H2261" s="81">
        <f>IF(D2261="","",N(F2261)*N(G2261))</f>
        <v/>
      </c>
      <c r="I2261" s="7" t="n"/>
      <c r="J2261" s="9">
        <f>IF(I2261="","",IFERROR(INDEX('Ordres de travail'!$D$5:$D$3004,MATCH(I2261,'Ordres de travail'!$A$5:$A$3004,0)),""))</f>
        <v/>
      </c>
      <c r="K2261" s="9">
        <f>IF(D2261="","",IFERROR(INDEX('Stock pièces'!$D$5:$D$404,MATCH(D2261,'Stock pièces'!$A$5:$A$404,0)),""))</f>
        <v/>
      </c>
      <c r="L2261" s="7" t="n"/>
      <c r="M2261" s="7" t="n"/>
    </row>
    <row r="2262">
      <c r="A2262" s="7" t="n"/>
      <c r="B2262" s="75" t="n"/>
      <c r="C2262" s="7" t="n"/>
      <c r="D2262" s="7" t="n"/>
      <c r="E2262" s="9">
        <f>IF(D2262="","",IFERROR(INDEX('Stock pièces'!$B$5:$B$404,MATCH(D2262,'Stock pièces'!$A$5:$A$404,0)),"Réf. inconnue"))</f>
        <v/>
      </c>
      <c r="F2262" s="67" t="n"/>
      <c r="G2262" s="81">
        <f>IF(D2262="","",IFERROR(INDEX('Stock pièces'!$I$5:$I$404,MATCH(D2262,'Stock pièces'!$A$5:$A$404,0)),0))</f>
        <v/>
      </c>
      <c r="H2262" s="81">
        <f>IF(D2262="","",N(F2262)*N(G2262))</f>
        <v/>
      </c>
      <c r="I2262" s="7" t="n"/>
      <c r="J2262" s="9">
        <f>IF(I2262="","",IFERROR(INDEX('Ordres de travail'!$D$5:$D$3004,MATCH(I2262,'Ordres de travail'!$A$5:$A$3004,0)),""))</f>
        <v/>
      </c>
      <c r="K2262" s="9">
        <f>IF(D2262="","",IFERROR(INDEX('Stock pièces'!$D$5:$D$404,MATCH(D2262,'Stock pièces'!$A$5:$A$404,0)),""))</f>
        <v/>
      </c>
      <c r="L2262" s="7" t="n"/>
      <c r="M2262" s="7" t="n"/>
    </row>
    <row r="2263">
      <c r="A2263" s="7" t="n"/>
      <c r="B2263" s="75" t="n"/>
      <c r="C2263" s="7" t="n"/>
      <c r="D2263" s="7" t="n"/>
      <c r="E2263" s="9">
        <f>IF(D2263="","",IFERROR(INDEX('Stock pièces'!$B$5:$B$404,MATCH(D2263,'Stock pièces'!$A$5:$A$404,0)),"Réf. inconnue"))</f>
        <v/>
      </c>
      <c r="F2263" s="67" t="n"/>
      <c r="G2263" s="81">
        <f>IF(D2263="","",IFERROR(INDEX('Stock pièces'!$I$5:$I$404,MATCH(D2263,'Stock pièces'!$A$5:$A$404,0)),0))</f>
        <v/>
      </c>
      <c r="H2263" s="81">
        <f>IF(D2263="","",N(F2263)*N(G2263))</f>
        <v/>
      </c>
      <c r="I2263" s="7" t="n"/>
      <c r="J2263" s="9">
        <f>IF(I2263="","",IFERROR(INDEX('Ordres de travail'!$D$5:$D$3004,MATCH(I2263,'Ordres de travail'!$A$5:$A$3004,0)),""))</f>
        <v/>
      </c>
      <c r="K2263" s="9">
        <f>IF(D2263="","",IFERROR(INDEX('Stock pièces'!$D$5:$D$404,MATCH(D2263,'Stock pièces'!$A$5:$A$404,0)),""))</f>
        <v/>
      </c>
      <c r="L2263" s="7" t="n"/>
      <c r="M2263" s="7" t="n"/>
    </row>
    <row r="2264">
      <c r="A2264" s="7" t="n"/>
      <c r="B2264" s="75" t="n"/>
      <c r="C2264" s="7" t="n"/>
      <c r="D2264" s="7" t="n"/>
      <c r="E2264" s="9">
        <f>IF(D2264="","",IFERROR(INDEX('Stock pièces'!$B$5:$B$404,MATCH(D2264,'Stock pièces'!$A$5:$A$404,0)),"Réf. inconnue"))</f>
        <v/>
      </c>
      <c r="F2264" s="67" t="n"/>
      <c r="G2264" s="81">
        <f>IF(D2264="","",IFERROR(INDEX('Stock pièces'!$I$5:$I$404,MATCH(D2264,'Stock pièces'!$A$5:$A$404,0)),0))</f>
        <v/>
      </c>
      <c r="H2264" s="81">
        <f>IF(D2264="","",N(F2264)*N(G2264))</f>
        <v/>
      </c>
      <c r="I2264" s="7" t="n"/>
      <c r="J2264" s="9">
        <f>IF(I2264="","",IFERROR(INDEX('Ordres de travail'!$D$5:$D$3004,MATCH(I2264,'Ordres de travail'!$A$5:$A$3004,0)),""))</f>
        <v/>
      </c>
      <c r="K2264" s="9">
        <f>IF(D2264="","",IFERROR(INDEX('Stock pièces'!$D$5:$D$404,MATCH(D2264,'Stock pièces'!$A$5:$A$404,0)),""))</f>
        <v/>
      </c>
      <c r="L2264" s="7" t="n"/>
      <c r="M2264" s="7" t="n"/>
    </row>
    <row r="2265">
      <c r="A2265" s="7" t="n"/>
      <c r="B2265" s="75" t="n"/>
      <c r="C2265" s="7" t="n"/>
      <c r="D2265" s="7" t="n"/>
      <c r="E2265" s="9">
        <f>IF(D2265="","",IFERROR(INDEX('Stock pièces'!$B$5:$B$404,MATCH(D2265,'Stock pièces'!$A$5:$A$404,0)),"Réf. inconnue"))</f>
        <v/>
      </c>
      <c r="F2265" s="67" t="n"/>
      <c r="G2265" s="81">
        <f>IF(D2265="","",IFERROR(INDEX('Stock pièces'!$I$5:$I$404,MATCH(D2265,'Stock pièces'!$A$5:$A$404,0)),0))</f>
        <v/>
      </c>
      <c r="H2265" s="81">
        <f>IF(D2265="","",N(F2265)*N(G2265))</f>
        <v/>
      </c>
      <c r="I2265" s="7" t="n"/>
      <c r="J2265" s="9">
        <f>IF(I2265="","",IFERROR(INDEX('Ordres de travail'!$D$5:$D$3004,MATCH(I2265,'Ordres de travail'!$A$5:$A$3004,0)),""))</f>
        <v/>
      </c>
      <c r="K2265" s="9">
        <f>IF(D2265="","",IFERROR(INDEX('Stock pièces'!$D$5:$D$404,MATCH(D2265,'Stock pièces'!$A$5:$A$404,0)),""))</f>
        <v/>
      </c>
      <c r="L2265" s="7" t="n"/>
      <c r="M2265" s="7" t="n"/>
    </row>
    <row r="2266">
      <c r="A2266" s="7" t="n"/>
      <c r="B2266" s="75" t="n"/>
      <c r="C2266" s="7" t="n"/>
      <c r="D2266" s="7" t="n"/>
      <c r="E2266" s="9">
        <f>IF(D2266="","",IFERROR(INDEX('Stock pièces'!$B$5:$B$404,MATCH(D2266,'Stock pièces'!$A$5:$A$404,0)),"Réf. inconnue"))</f>
        <v/>
      </c>
      <c r="F2266" s="67" t="n"/>
      <c r="G2266" s="81">
        <f>IF(D2266="","",IFERROR(INDEX('Stock pièces'!$I$5:$I$404,MATCH(D2266,'Stock pièces'!$A$5:$A$404,0)),0))</f>
        <v/>
      </c>
      <c r="H2266" s="81">
        <f>IF(D2266="","",N(F2266)*N(G2266))</f>
        <v/>
      </c>
      <c r="I2266" s="7" t="n"/>
      <c r="J2266" s="9">
        <f>IF(I2266="","",IFERROR(INDEX('Ordres de travail'!$D$5:$D$3004,MATCH(I2266,'Ordres de travail'!$A$5:$A$3004,0)),""))</f>
        <v/>
      </c>
      <c r="K2266" s="9">
        <f>IF(D2266="","",IFERROR(INDEX('Stock pièces'!$D$5:$D$404,MATCH(D2266,'Stock pièces'!$A$5:$A$404,0)),""))</f>
        <v/>
      </c>
      <c r="L2266" s="7" t="n"/>
      <c r="M2266" s="7" t="n"/>
    </row>
    <row r="2267">
      <c r="A2267" s="7" t="n"/>
      <c r="B2267" s="75" t="n"/>
      <c r="C2267" s="7" t="n"/>
      <c r="D2267" s="7" t="n"/>
      <c r="E2267" s="9">
        <f>IF(D2267="","",IFERROR(INDEX('Stock pièces'!$B$5:$B$404,MATCH(D2267,'Stock pièces'!$A$5:$A$404,0)),"Réf. inconnue"))</f>
        <v/>
      </c>
      <c r="F2267" s="67" t="n"/>
      <c r="G2267" s="81">
        <f>IF(D2267="","",IFERROR(INDEX('Stock pièces'!$I$5:$I$404,MATCH(D2267,'Stock pièces'!$A$5:$A$404,0)),0))</f>
        <v/>
      </c>
      <c r="H2267" s="81">
        <f>IF(D2267="","",N(F2267)*N(G2267))</f>
        <v/>
      </c>
      <c r="I2267" s="7" t="n"/>
      <c r="J2267" s="9">
        <f>IF(I2267="","",IFERROR(INDEX('Ordres de travail'!$D$5:$D$3004,MATCH(I2267,'Ordres de travail'!$A$5:$A$3004,0)),""))</f>
        <v/>
      </c>
      <c r="K2267" s="9">
        <f>IF(D2267="","",IFERROR(INDEX('Stock pièces'!$D$5:$D$404,MATCH(D2267,'Stock pièces'!$A$5:$A$404,0)),""))</f>
        <v/>
      </c>
      <c r="L2267" s="7" t="n"/>
      <c r="M2267" s="7" t="n"/>
    </row>
    <row r="2268">
      <c r="A2268" s="7" t="n"/>
      <c r="B2268" s="75" t="n"/>
      <c r="C2268" s="7" t="n"/>
      <c r="D2268" s="7" t="n"/>
      <c r="E2268" s="9">
        <f>IF(D2268="","",IFERROR(INDEX('Stock pièces'!$B$5:$B$404,MATCH(D2268,'Stock pièces'!$A$5:$A$404,0)),"Réf. inconnue"))</f>
        <v/>
      </c>
      <c r="F2268" s="67" t="n"/>
      <c r="G2268" s="81">
        <f>IF(D2268="","",IFERROR(INDEX('Stock pièces'!$I$5:$I$404,MATCH(D2268,'Stock pièces'!$A$5:$A$404,0)),0))</f>
        <v/>
      </c>
      <c r="H2268" s="81">
        <f>IF(D2268="","",N(F2268)*N(G2268))</f>
        <v/>
      </c>
      <c r="I2268" s="7" t="n"/>
      <c r="J2268" s="9">
        <f>IF(I2268="","",IFERROR(INDEX('Ordres de travail'!$D$5:$D$3004,MATCH(I2268,'Ordres de travail'!$A$5:$A$3004,0)),""))</f>
        <v/>
      </c>
      <c r="K2268" s="9">
        <f>IF(D2268="","",IFERROR(INDEX('Stock pièces'!$D$5:$D$404,MATCH(D2268,'Stock pièces'!$A$5:$A$404,0)),""))</f>
        <v/>
      </c>
      <c r="L2268" s="7" t="n"/>
      <c r="M2268" s="7" t="n"/>
    </row>
    <row r="2269">
      <c r="A2269" s="7" t="n"/>
      <c r="B2269" s="75" t="n"/>
      <c r="C2269" s="7" t="n"/>
      <c r="D2269" s="7" t="n"/>
      <c r="E2269" s="9">
        <f>IF(D2269="","",IFERROR(INDEX('Stock pièces'!$B$5:$B$404,MATCH(D2269,'Stock pièces'!$A$5:$A$404,0)),"Réf. inconnue"))</f>
        <v/>
      </c>
      <c r="F2269" s="67" t="n"/>
      <c r="G2269" s="81">
        <f>IF(D2269="","",IFERROR(INDEX('Stock pièces'!$I$5:$I$404,MATCH(D2269,'Stock pièces'!$A$5:$A$404,0)),0))</f>
        <v/>
      </c>
      <c r="H2269" s="81">
        <f>IF(D2269="","",N(F2269)*N(G2269))</f>
        <v/>
      </c>
      <c r="I2269" s="7" t="n"/>
      <c r="J2269" s="9">
        <f>IF(I2269="","",IFERROR(INDEX('Ordres de travail'!$D$5:$D$3004,MATCH(I2269,'Ordres de travail'!$A$5:$A$3004,0)),""))</f>
        <v/>
      </c>
      <c r="K2269" s="9">
        <f>IF(D2269="","",IFERROR(INDEX('Stock pièces'!$D$5:$D$404,MATCH(D2269,'Stock pièces'!$A$5:$A$404,0)),""))</f>
        <v/>
      </c>
      <c r="L2269" s="7" t="n"/>
      <c r="M2269" s="7" t="n"/>
    </row>
    <row r="2270">
      <c r="A2270" s="7" t="n"/>
      <c r="B2270" s="75" t="n"/>
      <c r="C2270" s="7" t="n"/>
      <c r="D2270" s="7" t="n"/>
      <c r="E2270" s="9">
        <f>IF(D2270="","",IFERROR(INDEX('Stock pièces'!$B$5:$B$404,MATCH(D2270,'Stock pièces'!$A$5:$A$404,0)),"Réf. inconnue"))</f>
        <v/>
      </c>
      <c r="F2270" s="67" t="n"/>
      <c r="G2270" s="81">
        <f>IF(D2270="","",IFERROR(INDEX('Stock pièces'!$I$5:$I$404,MATCH(D2270,'Stock pièces'!$A$5:$A$404,0)),0))</f>
        <v/>
      </c>
      <c r="H2270" s="81">
        <f>IF(D2270="","",N(F2270)*N(G2270))</f>
        <v/>
      </c>
      <c r="I2270" s="7" t="n"/>
      <c r="J2270" s="9">
        <f>IF(I2270="","",IFERROR(INDEX('Ordres de travail'!$D$5:$D$3004,MATCH(I2270,'Ordres de travail'!$A$5:$A$3004,0)),""))</f>
        <v/>
      </c>
      <c r="K2270" s="9">
        <f>IF(D2270="","",IFERROR(INDEX('Stock pièces'!$D$5:$D$404,MATCH(D2270,'Stock pièces'!$A$5:$A$404,0)),""))</f>
        <v/>
      </c>
      <c r="L2270" s="7" t="n"/>
      <c r="M2270" s="7" t="n"/>
    </row>
    <row r="2271">
      <c r="A2271" s="7" t="n"/>
      <c r="B2271" s="75" t="n"/>
      <c r="C2271" s="7" t="n"/>
      <c r="D2271" s="7" t="n"/>
      <c r="E2271" s="9">
        <f>IF(D2271="","",IFERROR(INDEX('Stock pièces'!$B$5:$B$404,MATCH(D2271,'Stock pièces'!$A$5:$A$404,0)),"Réf. inconnue"))</f>
        <v/>
      </c>
      <c r="F2271" s="67" t="n"/>
      <c r="G2271" s="81">
        <f>IF(D2271="","",IFERROR(INDEX('Stock pièces'!$I$5:$I$404,MATCH(D2271,'Stock pièces'!$A$5:$A$404,0)),0))</f>
        <v/>
      </c>
      <c r="H2271" s="81">
        <f>IF(D2271="","",N(F2271)*N(G2271))</f>
        <v/>
      </c>
      <c r="I2271" s="7" t="n"/>
      <c r="J2271" s="9">
        <f>IF(I2271="","",IFERROR(INDEX('Ordres de travail'!$D$5:$D$3004,MATCH(I2271,'Ordres de travail'!$A$5:$A$3004,0)),""))</f>
        <v/>
      </c>
      <c r="K2271" s="9">
        <f>IF(D2271="","",IFERROR(INDEX('Stock pièces'!$D$5:$D$404,MATCH(D2271,'Stock pièces'!$A$5:$A$404,0)),""))</f>
        <v/>
      </c>
      <c r="L2271" s="7" t="n"/>
      <c r="M2271" s="7" t="n"/>
    </row>
    <row r="2272">
      <c r="A2272" s="7" t="n"/>
      <c r="B2272" s="75" t="n"/>
      <c r="C2272" s="7" t="n"/>
      <c r="D2272" s="7" t="n"/>
      <c r="E2272" s="9">
        <f>IF(D2272="","",IFERROR(INDEX('Stock pièces'!$B$5:$B$404,MATCH(D2272,'Stock pièces'!$A$5:$A$404,0)),"Réf. inconnue"))</f>
        <v/>
      </c>
      <c r="F2272" s="67" t="n"/>
      <c r="G2272" s="81">
        <f>IF(D2272="","",IFERROR(INDEX('Stock pièces'!$I$5:$I$404,MATCH(D2272,'Stock pièces'!$A$5:$A$404,0)),0))</f>
        <v/>
      </c>
      <c r="H2272" s="81">
        <f>IF(D2272="","",N(F2272)*N(G2272))</f>
        <v/>
      </c>
      <c r="I2272" s="7" t="n"/>
      <c r="J2272" s="9">
        <f>IF(I2272="","",IFERROR(INDEX('Ordres de travail'!$D$5:$D$3004,MATCH(I2272,'Ordres de travail'!$A$5:$A$3004,0)),""))</f>
        <v/>
      </c>
      <c r="K2272" s="9">
        <f>IF(D2272="","",IFERROR(INDEX('Stock pièces'!$D$5:$D$404,MATCH(D2272,'Stock pièces'!$A$5:$A$404,0)),""))</f>
        <v/>
      </c>
      <c r="L2272" s="7" t="n"/>
      <c r="M2272" s="7" t="n"/>
    </row>
    <row r="2273">
      <c r="A2273" s="7" t="n"/>
      <c r="B2273" s="75" t="n"/>
      <c r="C2273" s="7" t="n"/>
      <c r="D2273" s="7" t="n"/>
      <c r="E2273" s="9">
        <f>IF(D2273="","",IFERROR(INDEX('Stock pièces'!$B$5:$B$404,MATCH(D2273,'Stock pièces'!$A$5:$A$404,0)),"Réf. inconnue"))</f>
        <v/>
      </c>
      <c r="F2273" s="67" t="n"/>
      <c r="G2273" s="81">
        <f>IF(D2273="","",IFERROR(INDEX('Stock pièces'!$I$5:$I$404,MATCH(D2273,'Stock pièces'!$A$5:$A$404,0)),0))</f>
        <v/>
      </c>
      <c r="H2273" s="81">
        <f>IF(D2273="","",N(F2273)*N(G2273))</f>
        <v/>
      </c>
      <c r="I2273" s="7" t="n"/>
      <c r="J2273" s="9">
        <f>IF(I2273="","",IFERROR(INDEX('Ordres de travail'!$D$5:$D$3004,MATCH(I2273,'Ordres de travail'!$A$5:$A$3004,0)),""))</f>
        <v/>
      </c>
      <c r="K2273" s="9">
        <f>IF(D2273="","",IFERROR(INDEX('Stock pièces'!$D$5:$D$404,MATCH(D2273,'Stock pièces'!$A$5:$A$404,0)),""))</f>
        <v/>
      </c>
      <c r="L2273" s="7" t="n"/>
      <c r="M2273" s="7" t="n"/>
    </row>
    <row r="2274">
      <c r="A2274" s="7" t="n"/>
      <c r="B2274" s="75" t="n"/>
      <c r="C2274" s="7" t="n"/>
      <c r="D2274" s="7" t="n"/>
      <c r="E2274" s="9">
        <f>IF(D2274="","",IFERROR(INDEX('Stock pièces'!$B$5:$B$404,MATCH(D2274,'Stock pièces'!$A$5:$A$404,0)),"Réf. inconnue"))</f>
        <v/>
      </c>
      <c r="F2274" s="67" t="n"/>
      <c r="G2274" s="81">
        <f>IF(D2274="","",IFERROR(INDEX('Stock pièces'!$I$5:$I$404,MATCH(D2274,'Stock pièces'!$A$5:$A$404,0)),0))</f>
        <v/>
      </c>
      <c r="H2274" s="81">
        <f>IF(D2274="","",N(F2274)*N(G2274))</f>
        <v/>
      </c>
      <c r="I2274" s="7" t="n"/>
      <c r="J2274" s="9">
        <f>IF(I2274="","",IFERROR(INDEX('Ordres de travail'!$D$5:$D$3004,MATCH(I2274,'Ordres de travail'!$A$5:$A$3004,0)),""))</f>
        <v/>
      </c>
      <c r="K2274" s="9">
        <f>IF(D2274="","",IFERROR(INDEX('Stock pièces'!$D$5:$D$404,MATCH(D2274,'Stock pièces'!$A$5:$A$404,0)),""))</f>
        <v/>
      </c>
      <c r="L2274" s="7" t="n"/>
      <c r="M2274" s="7" t="n"/>
    </row>
    <row r="2275">
      <c r="A2275" s="7" t="n"/>
      <c r="B2275" s="75" t="n"/>
      <c r="C2275" s="7" t="n"/>
      <c r="D2275" s="7" t="n"/>
      <c r="E2275" s="9">
        <f>IF(D2275="","",IFERROR(INDEX('Stock pièces'!$B$5:$B$404,MATCH(D2275,'Stock pièces'!$A$5:$A$404,0)),"Réf. inconnue"))</f>
        <v/>
      </c>
      <c r="F2275" s="67" t="n"/>
      <c r="G2275" s="81">
        <f>IF(D2275="","",IFERROR(INDEX('Stock pièces'!$I$5:$I$404,MATCH(D2275,'Stock pièces'!$A$5:$A$404,0)),0))</f>
        <v/>
      </c>
      <c r="H2275" s="81">
        <f>IF(D2275="","",N(F2275)*N(G2275))</f>
        <v/>
      </c>
      <c r="I2275" s="7" t="n"/>
      <c r="J2275" s="9">
        <f>IF(I2275="","",IFERROR(INDEX('Ordres de travail'!$D$5:$D$3004,MATCH(I2275,'Ordres de travail'!$A$5:$A$3004,0)),""))</f>
        <v/>
      </c>
      <c r="K2275" s="9">
        <f>IF(D2275="","",IFERROR(INDEX('Stock pièces'!$D$5:$D$404,MATCH(D2275,'Stock pièces'!$A$5:$A$404,0)),""))</f>
        <v/>
      </c>
      <c r="L2275" s="7" t="n"/>
      <c r="M2275" s="7" t="n"/>
    </row>
    <row r="2276">
      <c r="A2276" s="7" t="n"/>
      <c r="B2276" s="75" t="n"/>
      <c r="C2276" s="7" t="n"/>
      <c r="D2276" s="7" t="n"/>
      <c r="E2276" s="9">
        <f>IF(D2276="","",IFERROR(INDEX('Stock pièces'!$B$5:$B$404,MATCH(D2276,'Stock pièces'!$A$5:$A$404,0)),"Réf. inconnue"))</f>
        <v/>
      </c>
      <c r="F2276" s="67" t="n"/>
      <c r="G2276" s="81">
        <f>IF(D2276="","",IFERROR(INDEX('Stock pièces'!$I$5:$I$404,MATCH(D2276,'Stock pièces'!$A$5:$A$404,0)),0))</f>
        <v/>
      </c>
      <c r="H2276" s="81">
        <f>IF(D2276="","",N(F2276)*N(G2276))</f>
        <v/>
      </c>
      <c r="I2276" s="7" t="n"/>
      <c r="J2276" s="9">
        <f>IF(I2276="","",IFERROR(INDEX('Ordres de travail'!$D$5:$D$3004,MATCH(I2276,'Ordres de travail'!$A$5:$A$3004,0)),""))</f>
        <v/>
      </c>
      <c r="K2276" s="9">
        <f>IF(D2276="","",IFERROR(INDEX('Stock pièces'!$D$5:$D$404,MATCH(D2276,'Stock pièces'!$A$5:$A$404,0)),""))</f>
        <v/>
      </c>
      <c r="L2276" s="7" t="n"/>
      <c r="M2276" s="7" t="n"/>
    </row>
    <row r="2277">
      <c r="A2277" s="7" t="n"/>
      <c r="B2277" s="75" t="n"/>
      <c r="C2277" s="7" t="n"/>
      <c r="D2277" s="7" t="n"/>
      <c r="E2277" s="9">
        <f>IF(D2277="","",IFERROR(INDEX('Stock pièces'!$B$5:$B$404,MATCH(D2277,'Stock pièces'!$A$5:$A$404,0)),"Réf. inconnue"))</f>
        <v/>
      </c>
      <c r="F2277" s="67" t="n"/>
      <c r="G2277" s="81">
        <f>IF(D2277="","",IFERROR(INDEX('Stock pièces'!$I$5:$I$404,MATCH(D2277,'Stock pièces'!$A$5:$A$404,0)),0))</f>
        <v/>
      </c>
      <c r="H2277" s="81">
        <f>IF(D2277="","",N(F2277)*N(G2277))</f>
        <v/>
      </c>
      <c r="I2277" s="7" t="n"/>
      <c r="J2277" s="9">
        <f>IF(I2277="","",IFERROR(INDEX('Ordres de travail'!$D$5:$D$3004,MATCH(I2277,'Ordres de travail'!$A$5:$A$3004,0)),""))</f>
        <v/>
      </c>
      <c r="K2277" s="9">
        <f>IF(D2277="","",IFERROR(INDEX('Stock pièces'!$D$5:$D$404,MATCH(D2277,'Stock pièces'!$A$5:$A$404,0)),""))</f>
        <v/>
      </c>
      <c r="L2277" s="7" t="n"/>
      <c r="M2277" s="7" t="n"/>
    </row>
    <row r="2278">
      <c r="A2278" s="7" t="n"/>
      <c r="B2278" s="75" t="n"/>
      <c r="C2278" s="7" t="n"/>
      <c r="D2278" s="7" t="n"/>
      <c r="E2278" s="9">
        <f>IF(D2278="","",IFERROR(INDEX('Stock pièces'!$B$5:$B$404,MATCH(D2278,'Stock pièces'!$A$5:$A$404,0)),"Réf. inconnue"))</f>
        <v/>
      </c>
      <c r="F2278" s="67" t="n"/>
      <c r="G2278" s="81">
        <f>IF(D2278="","",IFERROR(INDEX('Stock pièces'!$I$5:$I$404,MATCH(D2278,'Stock pièces'!$A$5:$A$404,0)),0))</f>
        <v/>
      </c>
      <c r="H2278" s="81">
        <f>IF(D2278="","",N(F2278)*N(G2278))</f>
        <v/>
      </c>
      <c r="I2278" s="7" t="n"/>
      <c r="J2278" s="9">
        <f>IF(I2278="","",IFERROR(INDEX('Ordres de travail'!$D$5:$D$3004,MATCH(I2278,'Ordres de travail'!$A$5:$A$3004,0)),""))</f>
        <v/>
      </c>
      <c r="K2278" s="9">
        <f>IF(D2278="","",IFERROR(INDEX('Stock pièces'!$D$5:$D$404,MATCH(D2278,'Stock pièces'!$A$5:$A$404,0)),""))</f>
        <v/>
      </c>
      <c r="L2278" s="7" t="n"/>
      <c r="M2278" s="7" t="n"/>
    </row>
    <row r="2279">
      <c r="A2279" s="7" t="n"/>
      <c r="B2279" s="75" t="n"/>
      <c r="C2279" s="7" t="n"/>
      <c r="D2279" s="7" t="n"/>
      <c r="E2279" s="9">
        <f>IF(D2279="","",IFERROR(INDEX('Stock pièces'!$B$5:$B$404,MATCH(D2279,'Stock pièces'!$A$5:$A$404,0)),"Réf. inconnue"))</f>
        <v/>
      </c>
      <c r="F2279" s="67" t="n"/>
      <c r="G2279" s="81">
        <f>IF(D2279="","",IFERROR(INDEX('Stock pièces'!$I$5:$I$404,MATCH(D2279,'Stock pièces'!$A$5:$A$404,0)),0))</f>
        <v/>
      </c>
      <c r="H2279" s="81">
        <f>IF(D2279="","",N(F2279)*N(G2279))</f>
        <v/>
      </c>
      <c r="I2279" s="7" t="n"/>
      <c r="J2279" s="9">
        <f>IF(I2279="","",IFERROR(INDEX('Ordres de travail'!$D$5:$D$3004,MATCH(I2279,'Ordres de travail'!$A$5:$A$3004,0)),""))</f>
        <v/>
      </c>
      <c r="K2279" s="9">
        <f>IF(D2279="","",IFERROR(INDEX('Stock pièces'!$D$5:$D$404,MATCH(D2279,'Stock pièces'!$A$5:$A$404,0)),""))</f>
        <v/>
      </c>
      <c r="L2279" s="7" t="n"/>
      <c r="M2279" s="7" t="n"/>
    </row>
    <row r="2280">
      <c r="A2280" s="7" t="n"/>
      <c r="B2280" s="75" t="n"/>
      <c r="C2280" s="7" t="n"/>
      <c r="D2280" s="7" t="n"/>
      <c r="E2280" s="9">
        <f>IF(D2280="","",IFERROR(INDEX('Stock pièces'!$B$5:$B$404,MATCH(D2280,'Stock pièces'!$A$5:$A$404,0)),"Réf. inconnue"))</f>
        <v/>
      </c>
      <c r="F2280" s="67" t="n"/>
      <c r="G2280" s="81">
        <f>IF(D2280="","",IFERROR(INDEX('Stock pièces'!$I$5:$I$404,MATCH(D2280,'Stock pièces'!$A$5:$A$404,0)),0))</f>
        <v/>
      </c>
      <c r="H2280" s="81">
        <f>IF(D2280="","",N(F2280)*N(G2280))</f>
        <v/>
      </c>
      <c r="I2280" s="7" t="n"/>
      <c r="J2280" s="9">
        <f>IF(I2280="","",IFERROR(INDEX('Ordres de travail'!$D$5:$D$3004,MATCH(I2280,'Ordres de travail'!$A$5:$A$3004,0)),""))</f>
        <v/>
      </c>
      <c r="K2280" s="9">
        <f>IF(D2280="","",IFERROR(INDEX('Stock pièces'!$D$5:$D$404,MATCH(D2280,'Stock pièces'!$A$5:$A$404,0)),""))</f>
        <v/>
      </c>
      <c r="L2280" s="7" t="n"/>
      <c r="M2280" s="7" t="n"/>
    </row>
    <row r="2281">
      <c r="A2281" s="7" t="n"/>
      <c r="B2281" s="75" t="n"/>
      <c r="C2281" s="7" t="n"/>
      <c r="D2281" s="7" t="n"/>
      <c r="E2281" s="9">
        <f>IF(D2281="","",IFERROR(INDEX('Stock pièces'!$B$5:$B$404,MATCH(D2281,'Stock pièces'!$A$5:$A$404,0)),"Réf. inconnue"))</f>
        <v/>
      </c>
      <c r="F2281" s="67" t="n"/>
      <c r="G2281" s="81">
        <f>IF(D2281="","",IFERROR(INDEX('Stock pièces'!$I$5:$I$404,MATCH(D2281,'Stock pièces'!$A$5:$A$404,0)),0))</f>
        <v/>
      </c>
      <c r="H2281" s="81">
        <f>IF(D2281="","",N(F2281)*N(G2281))</f>
        <v/>
      </c>
      <c r="I2281" s="7" t="n"/>
      <c r="J2281" s="9">
        <f>IF(I2281="","",IFERROR(INDEX('Ordres de travail'!$D$5:$D$3004,MATCH(I2281,'Ordres de travail'!$A$5:$A$3004,0)),""))</f>
        <v/>
      </c>
      <c r="K2281" s="9">
        <f>IF(D2281="","",IFERROR(INDEX('Stock pièces'!$D$5:$D$404,MATCH(D2281,'Stock pièces'!$A$5:$A$404,0)),""))</f>
        <v/>
      </c>
      <c r="L2281" s="7" t="n"/>
      <c r="M2281" s="7" t="n"/>
    </row>
    <row r="2282">
      <c r="A2282" s="7" t="n"/>
      <c r="B2282" s="75" t="n"/>
      <c r="C2282" s="7" t="n"/>
      <c r="D2282" s="7" t="n"/>
      <c r="E2282" s="9">
        <f>IF(D2282="","",IFERROR(INDEX('Stock pièces'!$B$5:$B$404,MATCH(D2282,'Stock pièces'!$A$5:$A$404,0)),"Réf. inconnue"))</f>
        <v/>
      </c>
      <c r="F2282" s="67" t="n"/>
      <c r="G2282" s="81">
        <f>IF(D2282="","",IFERROR(INDEX('Stock pièces'!$I$5:$I$404,MATCH(D2282,'Stock pièces'!$A$5:$A$404,0)),0))</f>
        <v/>
      </c>
      <c r="H2282" s="81">
        <f>IF(D2282="","",N(F2282)*N(G2282))</f>
        <v/>
      </c>
      <c r="I2282" s="7" t="n"/>
      <c r="J2282" s="9">
        <f>IF(I2282="","",IFERROR(INDEX('Ordres de travail'!$D$5:$D$3004,MATCH(I2282,'Ordres de travail'!$A$5:$A$3004,0)),""))</f>
        <v/>
      </c>
      <c r="K2282" s="9">
        <f>IF(D2282="","",IFERROR(INDEX('Stock pièces'!$D$5:$D$404,MATCH(D2282,'Stock pièces'!$A$5:$A$404,0)),""))</f>
        <v/>
      </c>
      <c r="L2282" s="7" t="n"/>
      <c r="M2282" s="7" t="n"/>
    </row>
    <row r="2283">
      <c r="A2283" s="7" t="n"/>
      <c r="B2283" s="75" t="n"/>
      <c r="C2283" s="7" t="n"/>
      <c r="D2283" s="7" t="n"/>
      <c r="E2283" s="9">
        <f>IF(D2283="","",IFERROR(INDEX('Stock pièces'!$B$5:$B$404,MATCH(D2283,'Stock pièces'!$A$5:$A$404,0)),"Réf. inconnue"))</f>
        <v/>
      </c>
      <c r="F2283" s="67" t="n"/>
      <c r="G2283" s="81">
        <f>IF(D2283="","",IFERROR(INDEX('Stock pièces'!$I$5:$I$404,MATCH(D2283,'Stock pièces'!$A$5:$A$404,0)),0))</f>
        <v/>
      </c>
      <c r="H2283" s="81">
        <f>IF(D2283="","",N(F2283)*N(G2283))</f>
        <v/>
      </c>
      <c r="I2283" s="7" t="n"/>
      <c r="J2283" s="9">
        <f>IF(I2283="","",IFERROR(INDEX('Ordres de travail'!$D$5:$D$3004,MATCH(I2283,'Ordres de travail'!$A$5:$A$3004,0)),""))</f>
        <v/>
      </c>
      <c r="K2283" s="9">
        <f>IF(D2283="","",IFERROR(INDEX('Stock pièces'!$D$5:$D$404,MATCH(D2283,'Stock pièces'!$A$5:$A$404,0)),""))</f>
        <v/>
      </c>
      <c r="L2283" s="7" t="n"/>
      <c r="M2283" s="7" t="n"/>
    </row>
    <row r="2284">
      <c r="A2284" s="7" t="n"/>
      <c r="B2284" s="75" t="n"/>
      <c r="C2284" s="7" t="n"/>
      <c r="D2284" s="7" t="n"/>
      <c r="E2284" s="9">
        <f>IF(D2284="","",IFERROR(INDEX('Stock pièces'!$B$5:$B$404,MATCH(D2284,'Stock pièces'!$A$5:$A$404,0)),"Réf. inconnue"))</f>
        <v/>
      </c>
      <c r="F2284" s="67" t="n"/>
      <c r="G2284" s="81">
        <f>IF(D2284="","",IFERROR(INDEX('Stock pièces'!$I$5:$I$404,MATCH(D2284,'Stock pièces'!$A$5:$A$404,0)),0))</f>
        <v/>
      </c>
      <c r="H2284" s="81">
        <f>IF(D2284="","",N(F2284)*N(G2284))</f>
        <v/>
      </c>
      <c r="I2284" s="7" t="n"/>
      <c r="J2284" s="9">
        <f>IF(I2284="","",IFERROR(INDEX('Ordres de travail'!$D$5:$D$3004,MATCH(I2284,'Ordres de travail'!$A$5:$A$3004,0)),""))</f>
        <v/>
      </c>
      <c r="K2284" s="9">
        <f>IF(D2284="","",IFERROR(INDEX('Stock pièces'!$D$5:$D$404,MATCH(D2284,'Stock pièces'!$A$5:$A$404,0)),""))</f>
        <v/>
      </c>
      <c r="L2284" s="7" t="n"/>
      <c r="M2284" s="7" t="n"/>
    </row>
    <row r="2285">
      <c r="A2285" s="7" t="n"/>
      <c r="B2285" s="75" t="n"/>
      <c r="C2285" s="7" t="n"/>
      <c r="D2285" s="7" t="n"/>
      <c r="E2285" s="9">
        <f>IF(D2285="","",IFERROR(INDEX('Stock pièces'!$B$5:$B$404,MATCH(D2285,'Stock pièces'!$A$5:$A$404,0)),"Réf. inconnue"))</f>
        <v/>
      </c>
      <c r="F2285" s="67" t="n"/>
      <c r="G2285" s="81">
        <f>IF(D2285="","",IFERROR(INDEX('Stock pièces'!$I$5:$I$404,MATCH(D2285,'Stock pièces'!$A$5:$A$404,0)),0))</f>
        <v/>
      </c>
      <c r="H2285" s="81">
        <f>IF(D2285="","",N(F2285)*N(G2285))</f>
        <v/>
      </c>
      <c r="I2285" s="7" t="n"/>
      <c r="J2285" s="9">
        <f>IF(I2285="","",IFERROR(INDEX('Ordres de travail'!$D$5:$D$3004,MATCH(I2285,'Ordres de travail'!$A$5:$A$3004,0)),""))</f>
        <v/>
      </c>
      <c r="K2285" s="9">
        <f>IF(D2285="","",IFERROR(INDEX('Stock pièces'!$D$5:$D$404,MATCH(D2285,'Stock pièces'!$A$5:$A$404,0)),""))</f>
        <v/>
      </c>
      <c r="L2285" s="7" t="n"/>
      <c r="M2285" s="7" t="n"/>
    </row>
    <row r="2286">
      <c r="A2286" s="7" t="n"/>
      <c r="B2286" s="75" t="n"/>
      <c r="C2286" s="7" t="n"/>
      <c r="D2286" s="7" t="n"/>
      <c r="E2286" s="9">
        <f>IF(D2286="","",IFERROR(INDEX('Stock pièces'!$B$5:$B$404,MATCH(D2286,'Stock pièces'!$A$5:$A$404,0)),"Réf. inconnue"))</f>
        <v/>
      </c>
      <c r="F2286" s="67" t="n"/>
      <c r="G2286" s="81">
        <f>IF(D2286="","",IFERROR(INDEX('Stock pièces'!$I$5:$I$404,MATCH(D2286,'Stock pièces'!$A$5:$A$404,0)),0))</f>
        <v/>
      </c>
      <c r="H2286" s="81">
        <f>IF(D2286="","",N(F2286)*N(G2286))</f>
        <v/>
      </c>
      <c r="I2286" s="7" t="n"/>
      <c r="J2286" s="9">
        <f>IF(I2286="","",IFERROR(INDEX('Ordres de travail'!$D$5:$D$3004,MATCH(I2286,'Ordres de travail'!$A$5:$A$3004,0)),""))</f>
        <v/>
      </c>
      <c r="K2286" s="9">
        <f>IF(D2286="","",IFERROR(INDEX('Stock pièces'!$D$5:$D$404,MATCH(D2286,'Stock pièces'!$A$5:$A$404,0)),""))</f>
        <v/>
      </c>
      <c r="L2286" s="7" t="n"/>
      <c r="M2286" s="7" t="n"/>
    </row>
    <row r="2287">
      <c r="A2287" s="7" t="n"/>
      <c r="B2287" s="75" t="n"/>
      <c r="C2287" s="7" t="n"/>
      <c r="D2287" s="7" t="n"/>
      <c r="E2287" s="9">
        <f>IF(D2287="","",IFERROR(INDEX('Stock pièces'!$B$5:$B$404,MATCH(D2287,'Stock pièces'!$A$5:$A$404,0)),"Réf. inconnue"))</f>
        <v/>
      </c>
      <c r="F2287" s="67" t="n"/>
      <c r="G2287" s="81">
        <f>IF(D2287="","",IFERROR(INDEX('Stock pièces'!$I$5:$I$404,MATCH(D2287,'Stock pièces'!$A$5:$A$404,0)),0))</f>
        <v/>
      </c>
      <c r="H2287" s="81">
        <f>IF(D2287="","",N(F2287)*N(G2287))</f>
        <v/>
      </c>
      <c r="I2287" s="7" t="n"/>
      <c r="J2287" s="9">
        <f>IF(I2287="","",IFERROR(INDEX('Ordres de travail'!$D$5:$D$3004,MATCH(I2287,'Ordres de travail'!$A$5:$A$3004,0)),""))</f>
        <v/>
      </c>
      <c r="K2287" s="9">
        <f>IF(D2287="","",IFERROR(INDEX('Stock pièces'!$D$5:$D$404,MATCH(D2287,'Stock pièces'!$A$5:$A$404,0)),""))</f>
        <v/>
      </c>
      <c r="L2287" s="7" t="n"/>
      <c r="M2287" s="7" t="n"/>
    </row>
    <row r="2288">
      <c r="A2288" s="7" t="n"/>
      <c r="B2288" s="75" t="n"/>
      <c r="C2288" s="7" t="n"/>
      <c r="D2288" s="7" t="n"/>
      <c r="E2288" s="9">
        <f>IF(D2288="","",IFERROR(INDEX('Stock pièces'!$B$5:$B$404,MATCH(D2288,'Stock pièces'!$A$5:$A$404,0)),"Réf. inconnue"))</f>
        <v/>
      </c>
      <c r="F2288" s="67" t="n"/>
      <c r="G2288" s="81">
        <f>IF(D2288="","",IFERROR(INDEX('Stock pièces'!$I$5:$I$404,MATCH(D2288,'Stock pièces'!$A$5:$A$404,0)),0))</f>
        <v/>
      </c>
      <c r="H2288" s="81">
        <f>IF(D2288="","",N(F2288)*N(G2288))</f>
        <v/>
      </c>
      <c r="I2288" s="7" t="n"/>
      <c r="J2288" s="9">
        <f>IF(I2288="","",IFERROR(INDEX('Ordres de travail'!$D$5:$D$3004,MATCH(I2288,'Ordres de travail'!$A$5:$A$3004,0)),""))</f>
        <v/>
      </c>
      <c r="K2288" s="9">
        <f>IF(D2288="","",IFERROR(INDEX('Stock pièces'!$D$5:$D$404,MATCH(D2288,'Stock pièces'!$A$5:$A$404,0)),""))</f>
        <v/>
      </c>
      <c r="L2288" s="7" t="n"/>
      <c r="M2288" s="7" t="n"/>
    </row>
    <row r="2289">
      <c r="A2289" s="7" t="n"/>
      <c r="B2289" s="75" t="n"/>
      <c r="C2289" s="7" t="n"/>
      <c r="D2289" s="7" t="n"/>
      <c r="E2289" s="9">
        <f>IF(D2289="","",IFERROR(INDEX('Stock pièces'!$B$5:$B$404,MATCH(D2289,'Stock pièces'!$A$5:$A$404,0)),"Réf. inconnue"))</f>
        <v/>
      </c>
      <c r="F2289" s="67" t="n"/>
      <c r="G2289" s="81">
        <f>IF(D2289="","",IFERROR(INDEX('Stock pièces'!$I$5:$I$404,MATCH(D2289,'Stock pièces'!$A$5:$A$404,0)),0))</f>
        <v/>
      </c>
      <c r="H2289" s="81">
        <f>IF(D2289="","",N(F2289)*N(G2289))</f>
        <v/>
      </c>
      <c r="I2289" s="7" t="n"/>
      <c r="J2289" s="9">
        <f>IF(I2289="","",IFERROR(INDEX('Ordres de travail'!$D$5:$D$3004,MATCH(I2289,'Ordres de travail'!$A$5:$A$3004,0)),""))</f>
        <v/>
      </c>
      <c r="K2289" s="9">
        <f>IF(D2289="","",IFERROR(INDEX('Stock pièces'!$D$5:$D$404,MATCH(D2289,'Stock pièces'!$A$5:$A$404,0)),""))</f>
        <v/>
      </c>
      <c r="L2289" s="7" t="n"/>
      <c r="M2289" s="7" t="n"/>
    </row>
    <row r="2290">
      <c r="A2290" s="7" t="n"/>
      <c r="B2290" s="75" t="n"/>
      <c r="C2290" s="7" t="n"/>
      <c r="D2290" s="7" t="n"/>
      <c r="E2290" s="9">
        <f>IF(D2290="","",IFERROR(INDEX('Stock pièces'!$B$5:$B$404,MATCH(D2290,'Stock pièces'!$A$5:$A$404,0)),"Réf. inconnue"))</f>
        <v/>
      </c>
      <c r="F2290" s="67" t="n"/>
      <c r="G2290" s="81">
        <f>IF(D2290="","",IFERROR(INDEX('Stock pièces'!$I$5:$I$404,MATCH(D2290,'Stock pièces'!$A$5:$A$404,0)),0))</f>
        <v/>
      </c>
      <c r="H2290" s="81">
        <f>IF(D2290="","",N(F2290)*N(G2290))</f>
        <v/>
      </c>
      <c r="I2290" s="7" t="n"/>
      <c r="J2290" s="9">
        <f>IF(I2290="","",IFERROR(INDEX('Ordres de travail'!$D$5:$D$3004,MATCH(I2290,'Ordres de travail'!$A$5:$A$3004,0)),""))</f>
        <v/>
      </c>
      <c r="K2290" s="9">
        <f>IF(D2290="","",IFERROR(INDEX('Stock pièces'!$D$5:$D$404,MATCH(D2290,'Stock pièces'!$A$5:$A$404,0)),""))</f>
        <v/>
      </c>
      <c r="L2290" s="7" t="n"/>
      <c r="M2290" s="7" t="n"/>
    </row>
    <row r="2291">
      <c r="A2291" s="7" t="n"/>
      <c r="B2291" s="75" t="n"/>
      <c r="C2291" s="7" t="n"/>
      <c r="D2291" s="7" t="n"/>
      <c r="E2291" s="9">
        <f>IF(D2291="","",IFERROR(INDEX('Stock pièces'!$B$5:$B$404,MATCH(D2291,'Stock pièces'!$A$5:$A$404,0)),"Réf. inconnue"))</f>
        <v/>
      </c>
      <c r="F2291" s="67" t="n"/>
      <c r="G2291" s="81">
        <f>IF(D2291="","",IFERROR(INDEX('Stock pièces'!$I$5:$I$404,MATCH(D2291,'Stock pièces'!$A$5:$A$404,0)),0))</f>
        <v/>
      </c>
      <c r="H2291" s="81">
        <f>IF(D2291="","",N(F2291)*N(G2291))</f>
        <v/>
      </c>
      <c r="I2291" s="7" t="n"/>
      <c r="J2291" s="9">
        <f>IF(I2291="","",IFERROR(INDEX('Ordres de travail'!$D$5:$D$3004,MATCH(I2291,'Ordres de travail'!$A$5:$A$3004,0)),""))</f>
        <v/>
      </c>
      <c r="K2291" s="9">
        <f>IF(D2291="","",IFERROR(INDEX('Stock pièces'!$D$5:$D$404,MATCH(D2291,'Stock pièces'!$A$5:$A$404,0)),""))</f>
        <v/>
      </c>
      <c r="L2291" s="7" t="n"/>
      <c r="M2291" s="7" t="n"/>
    </row>
    <row r="2292">
      <c r="A2292" s="7" t="n"/>
      <c r="B2292" s="75" t="n"/>
      <c r="C2292" s="7" t="n"/>
      <c r="D2292" s="7" t="n"/>
      <c r="E2292" s="9">
        <f>IF(D2292="","",IFERROR(INDEX('Stock pièces'!$B$5:$B$404,MATCH(D2292,'Stock pièces'!$A$5:$A$404,0)),"Réf. inconnue"))</f>
        <v/>
      </c>
      <c r="F2292" s="67" t="n"/>
      <c r="G2292" s="81">
        <f>IF(D2292="","",IFERROR(INDEX('Stock pièces'!$I$5:$I$404,MATCH(D2292,'Stock pièces'!$A$5:$A$404,0)),0))</f>
        <v/>
      </c>
      <c r="H2292" s="81">
        <f>IF(D2292="","",N(F2292)*N(G2292))</f>
        <v/>
      </c>
      <c r="I2292" s="7" t="n"/>
      <c r="J2292" s="9">
        <f>IF(I2292="","",IFERROR(INDEX('Ordres de travail'!$D$5:$D$3004,MATCH(I2292,'Ordres de travail'!$A$5:$A$3004,0)),""))</f>
        <v/>
      </c>
      <c r="K2292" s="9">
        <f>IF(D2292="","",IFERROR(INDEX('Stock pièces'!$D$5:$D$404,MATCH(D2292,'Stock pièces'!$A$5:$A$404,0)),""))</f>
        <v/>
      </c>
      <c r="L2292" s="7" t="n"/>
      <c r="M2292" s="7" t="n"/>
    </row>
    <row r="2293">
      <c r="A2293" s="7" t="n"/>
      <c r="B2293" s="75" t="n"/>
      <c r="C2293" s="7" t="n"/>
      <c r="D2293" s="7" t="n"/>
      <c r="E2293" s="9">
        <f>IF(D2293="","",IFERROR(INDEX('Stock pièces'!$B$5:$B$404,MATCH(D2293,'Stock pièces'!$A$5:$A$404,0)),"Réf. inconnue"))</f>
        <v/>
      </c>
      <c r="F2293" s="67" t="n"/>
      <c r="G2293" s="81">
        <f>IF(D2293="","",IFERROR(INDEX('Stock pièces'!$I$5:$I$404,MATCH(D2293,'Stock pièces'!$A$5:$A$404,0)),0))</f>
        <v/>
      </c>
      <c r="H2293" s="81">
        <f>IF(D2293="","",N(F2293)*N(G2293))</f>
        <v/>
      </c>
      <c r="I2293" s="7" t="n"/>
      <c r="J2293" s="9">
        <f>IF(I2293="","",IFERROR(INDEX('Ordres de travail'!$D$5:$D$3004,MATCH(I2293,'Ordres de travail'!$A$5:$A$3004,0)),""))</f>
        <v/>
      </c>
      <c r="K2293" s="9">
        <f>IF(D2293="","",IFERROR(INDEX('Stock pièces'!$D$5:$D$404,MATCH(D2293,'Stock pièces'!$A$5:$A$404,0)),""))</f>
        <v/>
      </c>
      <c r="L2293" s="7" t="n"/>
      <c r="M2293" s="7" t="n"/>
    </row>
    <row r="2294">
      <c r="A2294" s="7" t="n"/>
      <c r="B2294" s="75" t="n"/>
      <c r="C2294" s="7" t="n"/>
      <c r="D2294" s="7" t="n"/>
      <c r="E2294" s="9">
        <f>IF(D2294="","",IFERROR(INDEX('Stock pièces'!$B$5:$B$404,MATCH(D2294,'Stock pièces'!$A$5:$A$404,0)),"Réf. inconnue"))</f>
        <v/>
      </c>
      <c r="F2294" s="67" t="n"/>
      <c r="G2294" s="81">
        <f>IF(D2294="","",IFERROR(INDEX('Stock pièces'!$I$5:$I$404,MATCH(D2294,'Stock pièces'!$A$5:$A$404,0)),0))</f>
        <v/>
      </c>
      <c r="H2294" s="81">
        <f>IF(D2294="","",N(F2294)*N(G2294))</f>
        <v/>
      </c>
      <c r="I2294" s="7" t="n"/>
      <c r="J2294" s="9">
        <f>IF(I2294="","",IFERROR(INDEX('Ordres de travail'!$D$5:$D$3004,MATCH(I2294,'Ordres de travail'!$A$5:$A$3004,0)),""))</f>
        <v/>
      </c>
      <c r="K2294" s="9">
        <f>IF(D2294="","",IFERROR(INDEX('Stock pièces'!$D$5:$D$404,MATCH(D2294,'Stock pièces'!$A$5:$A$404,0)),""))</f>
        <v/>
      </c>
      <c r="L2294" s="7" t="n"/>
      <c r="M2294" s="7" t="n"/>
    </row>
    <row r="2295">
      <c r="A2295" s="7" t="n"/>
      <c r="B2295" s="75" t="n"/>
      <c r="C2295" s="7" t="n"/>
      <c r="D2295" s="7" t="n"/>
      <c r="E2295" s="9">
        <f>IF(D2295="","",IFERROR(INDEX('Stock pièces'!$B$5:$B$404,MATCH(D2295,'Stock pièces'!$A$5:$A$404,0)),"Réf. inconnue"))</f>
        <v/>
      </c>
      <c r="F2295" s="67" t="n"/>
      <c r="G2295" s="81">
        <f>IF(D2295="","",IFERROR(INDEX('Stock pièces'!$I$5:$I$404,MATCH(D2295,'Stock pièces'!$A$5:$A$404,0)),0))</f>
        <v/>
      </c>
      <c r="H2295" s="81">
        <f>IF(D2295="","",N(F2295)*N(G2295))</f>
        <v/>
      </c>
      <c r="I2295" s="7" t="n"/>
      <c r="J2295" s="9">
        <f>IF(I2295="","",IFERROR(INDEX('Ordres de travail'!$D$5:$D$3004,MATCH(I2295,'Ordres de travail'!$A$5:$A$3004,0)),""))</f>
        <v/>
      </c>
      <c r="K2295" s="9">
        <f>IF(D2295="","",IFERROR(INDEX('Stock pièces'!$D$5:$D$404,MATCH(D2295,'Stock pièces'!$A$5:$A$404,0)),""))</f>
        <v/>
      </c>
      <c r="L2295" s="7" t="n"/>
      <c r="M2295" s="7" t="n"/>
    </row>
    <row r="2296">
      <c r="A2296" s="7" t="n"/>
      <c r="B2296" s="75" t="n"/>
      <c r="C2296" s="7" t="n"/>
      <c r="D2296" s="7" t="n"/>
      <c r="E2296" s="9">
        <f>IF(D2296="","",IFERROR(INDEX('Stock pièces'!$B$5:$B$404,MATCH(D2296,'Stock pièces'!$A$5:$A$404,0)),"Réf. inconnue"))</f>
        <v/>
      </c>
      <c r="F2296" s="67" t="n"/>
      <c r="G2296" s="81">
        <f>IF(D2296="","",IFERROR(INDEX('Stock pièces'!$I$5:$I$404,MATCH(D2296,'Stock pièces'!$A$5:$A$404,0)),0))</f>
        <v/>
      </c>
      <c r="H2296" s="81">
        <f>IF(D2296="","",N(F2296)*N(G2296))</f>
        <v/>
      </c>
      <c r="I2296" s="7" t="n"/>
      <c r="J2296" s="9">
        <f>IF(I2296="","",IFERROR(INDEX('Ordres de travail'!$D$5:$D$3004,MATCH(I2296,'Ordres de travail'!$A$5:$A$3004,0)),""))</f>
        <v/>
      </c>
      <c r="K2296" s="9">
        <f>IF(D2296="","",IFERROR(INDEX('Stock pièces'!$D$5:$D$404,MATCH(D2296,'Stock pièces'!$A$5:$A$404,0)),""))</f>
        <v/>
      </c>
      <c r="L2296" s="7" t="n"/>
      <c r="M2296" s="7" t="n"/>
    </row>
    <row r="2297">
      <c r="A2297" s="7" t="n"/>
      <c r="B2297" s="75" t="n"/>
      <c r="C2297" s="7" t="n"/>
      <c r="D2297" s="7" t="n"/>
      <c r="E2297" s="9">
        <f>IF(D2297="","",IFERROR(INDEX('Stock pièces'!$B$5:$B$404,MATCH(D2297,'Stock pièces'!$A$5:$A$404,0)),"Réf. inconnue"))</f>
        <v/>
      </c>
      <c r="F2297" s="67" t="n"/>
      <c r="G2297" s="81">
        <f>IF(D2297="","",IFERROR(INDEX('Stock pièces'!$I$5:$I$404,MATCH(D2297,'Stock pièces'!$A$5:$A$404,0)),0))</f>
        <v/>
      </c>
      <c r="H2297" s="81">
        <f>IF(D2297="","",N(F2297)*N(G2297))</f>
        <v/>
      </c>
      <c r="I2297" s="7" t="n"/>
      <c r="J2297" s="9">
        <f>IF(I2297="","",IFERROR(INDEX('Ordres de travail'!$D$5:$D$3004,MATCH(I2297,'Ordres de travail'!$A$5:$A$3004,0)),""))</f>
        <v/>
      </c>
      <c r="K2297" s="9">
        <f>IF(D2297="","",IFERROR(INDEX('Stock pièces'!$D$5:$D$404,MATCH(D2297,'Stock pièces'!$A$5:$A$404,0)),""))</f>
        <v/>
      </c>
      <c r="L2297" s="7" t="n"/>
      <c r="M2297" s="7" t="n"/>
    </row>
    <row r="2298">
      <c r="A2298" s="7" t="n"/>
      <c r="B2298" s="75" t="n"/>
      <c r="C2298" s="7" t="n"/>
      <c r="D2298" s="7" t="n"/>
      <c r="E2298" s="9">
        <f>IF(D2298="","",IFERROR(INDEX('Stock pièces'!$B$5:$B$404,MATCH(D2298,'Stock pièces'!$A$5:$A$404,0)),"Réf. inconnue"))</f>
        <v/>
      </c>
      <c r="F2298" s="67" t="n"/>
      <c r="G2298" s="81">
        <f>IF(D2298="","",IFERROR(INDEX('Stock pièces'!$I$5:$I$404,MATCH(D2298,'Stock pièces'!$A$5:$A$404,0)),0))</f>
        <v/>
      </c>
      <c r="H2298" s="81">
        <f>IF(D2298="","",N(F2298)*N(G2298))</f>
        <v/>
      </c>
      <c r="I2298" s="7" t="n"/>
      <c r="J2298" s="9">
        <f>IF(I2298="","",IFERROR(INDEX('Ordres de travail'!$D$5:$D$3004,MATCH(I2298,'Ordres de travail'!$A$5:$A$3004,0)),""))</f>
        <v/>
      </c>
      <c r="K2298" s="9">
        <f>IF(D2298="","",IFERROR(INDEX('Stock pièces'!$D$5:$D$404,MATCH(D2298,'Stock pièces'!$A$5:$A$404,0)),""))</f>
        <v/>
      </c>
      <c r="L2298" s="7" t="n"/>
      <c r="M2298" s="7" t="n"/>
    </row>
    <row r="2299">
      <c r="A2299" s="7" t="n"/>
      <c r="B2299" s="75" t="n"/>
      <c r="C2299" s="7" t="n"/>
      <c r="D2299" s="7" t="n"/>
      <c r="E2299" s="9">
        <f>IF(D2299="","",IFERROR(INDEX('Stock pièces'!$B$5:$B$404,MATCH(D2299,'Stock pièces'!$A$5:$A$404,0)),"Réf. inconnue"))</f>
        <v/>
      </c>
      <c r="F2299" s="67" t="n"/>
      <c r="G2299" s="81">
        <f>IF(D2299="","",IFERROR(INDEX('Stock pièces'!$I$5:$I$404,MATCH(D2299,'Stock pièces'!$A$5:$A$404,0)),0))</f>
        <v/>
      </c>
      <c r="H2299" s="81">
        <f>IF(D2299="","",N(F2299)*N(G2299))</f>
        <v/>
      </c>
      <c r="I2299" s="7" t="n"/>
      <c r="J2299" s="9">
        <f>IF(I2299="","",IFERROR(INDEX('Ordres de travail'!$D$5:$D$3004,MATCH(I2299,'Ordres de travail'!$A$5:$A$3004,0)),""))</f>
        <v/>
      </c>
      <c r="K2299" s="9">
        <f>IF(D2299="","",IFERROR(INDEX('Stock pièces'!$D$5:$D$404,MATCH(D2299,'Stock pièces'!$A$5:$A$404,0)),""))</f>
        <v/>
      </c>
      <c r="L2299" s="7" t="n"/>
      <c r="M2299" s="7" t="n"/>
    </row>
    <row r="2300">
      <c r="A2300" s="7" t="n"/>
      <c r="B2300" s="75" t="n"/>
      <c r="C2300" s="7" t="n"/>
      <c r="D2300" s="7" t="n"/>
      <c r="E2300" s="9">
        <f>IF(D2300="","",IFERROR(INDEX('Stock pièces'!$B$5:$B$404,MATCH(D2300,'Stock pièces'!$A$5:$A$404,0)),"Réf. inconnue"))</f>
        <v/>
      </c>
      <c r="F2300" s="67" t="n"/>
      <c r="G2300" s="81">
        <f>IF(D2300="","",IFERROR(INDEX('Stock pièces'!$I$5:$I$404,MATCH(D2300,'Stock pièces'!$A$5:$A$404,0)),0))</f>
        <v/>
      </c>
      <c r="H2300" s="81">
        <f>IF(D2300="","",N(F2300)*N(G2300))</f>
        <v/>
      </c>
      <c r="I2300" s="7" t="n"/>
      <c r="J2300" s="9">
        <f>IF(I2300="","",IFERROR(INDEX('Ordres de travail'!$D$5:$D$3004,MATCH(I2300,'Ordres de travail'!$A$5:$A$3004,0)),""))</f>
        <v/>
      </c>
      <c r="K2300" s="9">
        <f>IF(D2300="","",IFERROR(INDEX('Stock pièces'!$D$5:$D$404,MATCH(D2300,'Stock pièces'!$A$5:$A$404,0)),""))</f>
        <v/>
      </c>
      <c r="L2300" s="7" t="n"/>
      <c r="M2300" s="7" t="n"/>
    </row>
    <row r="2301">
      <c r="A2301" s="7" t="n"/>
      <c r="B2301" s="75" t="n"/>
      <c r="C2301" s="7" t="n"/>
      <c r="D2301" s="7" t="n"/>
      <c r="E2301" s="9">
        <f>IF(D2301="","",IFERROR(INDEX('Stock pièces'!$B$5:$B$404,MATCH(D2301,'Stock pièces'!$A$5:$A$404,0)),"Réf. inconnue"))</f>
        <v/>
      </c>
      <c r="F2301" s="67" t="n"/>
      <c r="G2301" s="81">
        <f>IF(D2301="","",IFERROR(INDEX('Stock pièces'!$I$5:$I$404,MATCH(D2301,'Stock pièces'!$A$5:$A$404,0)),0))</f>
        <v/>
      </c>
      <c r="H2301" s="81">
        <f>IF(D2301="","",N(F2301)*N(G2301))</f>
        <v/>
      </c>
      <c r="I2301" s="7" t="n"/>
      <c r="J2301" s="9">
        <f>IF(I2301="","",IFERROR(INDEX('Ordres de travail'!$D$5:$D$3004,MATCH(I2301,'Ordres de travail'!$A$5:$A$3004,0)),""))</f>
        <v/>
      </c>
      <c r="K2301" s="9">
        <f>IF(D2301="","",IFERROR(INDEX('Stock pièces'!$D$5:$D$404,MATCH(D2301,'Stock pièces'!$A$5:$A$404,0)),""))</f>
        <v/>
      </c>
      <c r="L2301" s="7" t="n"/>
      <c r="M2301" s="7" t="n"/>
    </row>
    <row r="2302">
      <c r="A2302" s="7" t="n"/>
      <c r="B2302" s="75" t="n"/>
      <c r="C2302" s="7" t="n"/>
      <c r="D2302" s="7" t="n"/>
      <c r="E2302" s="9">
        <f>IF(D2302="","",IFERROR(INDEX('Stock pièces'!$B$5:$B$404,MATCH(D2302,'Stock pièces'!$A$5:$A$404,0)),"Réf. inconnue"))</f>
        <v/>
      </c>
      <c r="F2302" s="67" t="n"/>
      <c r="G2302" s="81">
        <f>IF(D2302="","",IFERROR(INDEX('Stock pièces'!$I$5:$I$404,MATCH(D2302,'Stock pièces'!$A$5:$A$404,0)),0))</f>
        <v/>
      </c>
      <c r="H2302" s="81">
        <f>IF(D2302="","",N(F2302)*N(G2302))</f>
        <v/>
      </c>
      <c r="I2302" s="7" t="n"/>
      <c r="J2302" s="9">
        <f>IF(I2302="","",IFERROR(INDEX('Ordres de travail'!$D$5:$D$3004,MATCH(I2302,'Ordres de travail'!$A$5:$A$3004,0)),""))</f>
        <v/>
      </c>
      <c r="K2302" s="9">
        <f>IF(D2302="","",IFERROR(INDEX('Stock pièces'!$D$5:$D$404,MATCH(D2302,'Stock pièces'!$A$5:$A$404,0)),""))</f>
        <v/>
      </c>
      <c r="L2302" s="7" t="n"/>
      <c r="M2302" s="7" t="n"/>
    </row>
    <row r="2303">
      <c r="A2303" s="7" t="n"/>
      <c r="B2303" s="75" t="n"/>
      <c r="C2303" s="7" t="n"/>
      <c r="D2303" s="7" t="n"/>
      <c r="E2303" s="9">
        <f>IF(D2303="","",IFERROR(INDEX('Stock pièces'!$B$5:$B$404,MATCH(D2303,'Stock pièces'!$A$5:$A$404,0)),"Réf. inconnue"))</f>
        <v/>
      </c>
      <c r="F2303" s="67" t="n"/>
      <c r="G2303" s="81">
        <f>IF(D2303="","",IFERROR(INDEX('Stock pièces'!$I$5:$I$404,MATCH(D2303,'Stock pièces'!$A$5:$A$404,0)),0))</f>
        <v/>
      </c>
      <c r="H2303" s="81">
        <f>IF(D2303="","",N(F2303)*N(G2303))</f>
        <v/>
      </c>
      <c r="I2303" s="7" t="n"/>
      <c r="J2303" s="9">
        <f>IF(I2303="","",IFERROR(INDEX('Ordres de travail'!$D$5:$D$3004,MATCH(I2303,'Ordres de travail'!$A$5:$A$3004,0)),""))</f>
        <v/>
      </c>
      <c r="K2303" s="9">
        <f>IF(D2303="","",IFERROR(INDEX('Stock pièces'!$D$5:$D$404,MATCH(D2303,'Stock pièces'!$A$5:$A$404,0)),""))</f>
        <v/>
      </c>
      <c r="L2303" s="7" t="n"/>
      <c r="M2303" s="7" t="n"/>
    </row>
    <row r="2304">
      <c r="A2304" s="7" t="n"/>
      <c r="B2304" s="75" t="n"/>
      <c r="C2304" s="7" t="n"/>
      <c r="D2304" s="7" t="n"/>
      <c r="E2304" s="9">
        <f>IF(D2304="","",IFERROR(INDEX('Stock pièces'!$B$5:$B$404,MATCH(D2304,'Stock pièces'!$A$5:$A$404,0)),"Réf. inconnue"))</f>
        <v/>
      </c>
      <c r="F2304" s="67" t="n"/>
      <c r="G2304" s="81">
        <f>IF(D2304="","",IFERROR(INDEX('Stock pièces'!$I$5:$I$404,MATCH(D2304,'Stock pièces'!$A$5:$A$404,0)),0))</f>
        <v/>
      </c>
      <c r="H2304" s="81">
        <f>IF(D2304="","",N(F2304)*N(G2304))</f>
        <v/>
      </c>
      <c r="I2304" s="7" t="n"/>
      <c r="J2304" s="9">
        <f>IF(I2304="","",IFERROR(INDEX('Ordres de travail'!$D$5:$D$3004,MATCH(I2304,'Ordres de travail'!$A$5:$A$3004,0)),""))</f>
        <v/>
      </c>
      <c r="K2304" s="9">
        <f>IF(D2304="","",IFERROR(INDEX('Stock pièces'!$D$5:$D$404,MATCH(D2304,'Stock pièces'!$A$5:$A$404,0)),""))</f>
        <v/>
      </c>
      <c r="L2304" s="7" t="n"/>
      <c r="M2304" s="7" t="n"/>
    </row>
    <row r="2305">
      <c r="A2305" s="7" t="n"/>
      <c r="B2305" s="75" t="n"/>
      <c r="C2305" s="7" t="n"/>
      <c r="D2305" s="7" t="n"/>
      <c r="E2305" s="9">
        <f>IF(D2305="","",IFERROR(INDEX('Stock pièces'!$B$5:$B$404,MATCH(D2305,'Stock pièces'!$A$5:$A$404,0)),"Réf. inconnue"))</f>
        <v/>
      </c>
      <c r="F2305" s="67" t="n"/>
      <c r="G2305" s="81">
        <f>IF(D2305="","",IFERROR(INDEX('Stock pièces'!$I$5:$I$404,MATCH(D2305,'Stock pièces'!$A$5:$A$404,0)),0))</f>
        <v/>
      </c>
      <c r="H2305" s="81">
        <f>IF(D2305="","",N(F2305)*N(G2305))</f>
        <v/>
      </c>
      <c r="I2305" s="7" t="n"/>
      <c r="J2305" s="9">
        <f>IF(I2305="","",IFERROR(INDEX('Ordres de travail'!$D$5:$D$3004,MATCH(I2305,'Ordres de travail'!$A$5:$A$3004,0)),""))</f>
        <v/>
      </c>
      <c r="K2305" s="9">
        <f>IF(D2305="","",IFERROR(INDEX('Stock pièces'!$D$5:$D$404,MATCH(D2305,'Stock pièces'!$A$5:$A$404,0)),""))</f>
        <v/>
      </c>
      <c r="L2305" s="7" t="n"/>
      <c r="M2305" s="7" t="n"/>
    </row>
    <row r="2306">
      <c r="A2306" s="7" t="n"/>
      <c r="B2306" s="75" t="n"/>
      <c r="C2306" s="7" t="n"/>
      <c r="D2306" s="7" t="n"/>
      <c r="E2306" s="9">
        <f>IF(D2306="","",IFERROR(INDEX('Stock pièces'!$B$5:$B$404,MATCH(D2306,'Stock pièces'!$A$5:$A$404,0)),"Réf. inconnue"))</f>
        <v/>
      </c>
      <c r="F2306" s="67" t="n"/>
      <c r="G2306" s="81">
        <f>IF(D2306="","",IFERROR(INDEX('Stock pièces'!$I$5:$I$404,MATCH(D2306,'Stock pièces'!$A$5:$A$404,0)),0))</f>
        <v/>
      </c>
      <c r="H2306" s="81">
        <f>IF(D2306="","",N(F2306)*N(G2306))</f>
        <v/>
      </c>
      <c r="I2306" s="7" t="n"/>
      <c r="J2306" s="9">
        <f>IF(I2306="","",IFERROR(INDEX('Ordres de travail'!$D$5:$D$3004,MATCH(I2306,'Ordres de travail'!$A$5:$A$3004,0)),""))</f>
        <v/>
      </c>
      <c r="K2306" s="9">
        <f>IF(D2306="","",IFERROR(INDEX('Stock pièces'!$D$5:$D$404,MATCH(D2306,'Stock pièces'!$A$5:$A$404,0)),""))</f>
        <v/>
      </c>
      <c r="L2306" s="7" t="n"/>
      <c r="M2306" s="7" t="n"/>
    </row>
    <row r="2307">
      <c r="A2307" s="7" t="n"/>
      <c r="B2307" s="75" t="n"/>
      <c r="C2307" s="7" t="n"/>
      <c r="D2307" s="7" t="n"/>
      <c r="E2307" s="9">
        <f>IF(D2307="","",IFERROR(INDEX('Stock pièces'!$B$5:$B$404,MATCH(D2307,'Stock pièces'!$A$5:$A$404,0)),"Réf. inconnue"))</f>
        <v/>
      </c>
      <c r="F2307" s="67" t="n"/>
      <c r="G2307" s="81">
        <f>IF(D2307="","",IFERROR(INDEX('Stock pièces'!$I$5:$I$404,MATCH(D2307,'Stock pièces'!$A$5:$A$404,0)),0))</f>
        <v/>
      </c>
      <c r="H2307" s="81">
        <f>IF(D2307="","",N(F2307)*N(G2307))</f>
        <v/>
      </c>
      <c r="I2307" s="7" t="n"/>
      <c r="J2307" s="9">
        <f>IF(I2307="","",IFERROR(INDEX('Ordres de travail'!$D$5:$D$3004,MATCH(I2307,'Ordres de travail'!$A$5:$A$3004,0)),""))</f>
        <v/>
      </c>
      <c r="K2307" s="9">
        <f>IF(D2307="","",IFERROR(INDEX('Stock pièces'!$D$5:$D$404,MATCH(D2307,'Stock pièces'!$A$5:$A$404,0)),""))</f>
        <v/>
      </c>
      <c r="L2307" s="7" t="n"/>
      <c r="M2307" s="7" t="n"/>
    </row>
    <row r="2308">
      <c r="A2308" s="7" t="n"/>
      <c r="B2308" s="75" t="n"/>
      <c r="C2308" s="7" t="n"/>
      <c r="D2308" s="7" t="n"/>
      <c r="E2308" s="9">
        <f>IF(D2308="","",IFERROR(INDEX('Stock pièces'!$B$5:$B$404,MATCH(D2308,'Stock pièces'!$A$5:$A$404,0)),"Réf. inconnue"))</f>
        <v/>
      </c>
      <c r="F2308" s="67" t="n"/>
      <c r="G2308" s="81">
        <f>IF(D2308="","",IFERROR(INDEX('Stock pièces'!$I$5:$I$404,MATCH(D2308,'Stock pièces'!$A$5:$A$404,0)),0))</f>
        <v/>
      </c>
      <c r="H2308" s="81">
        <f>IF(D2308="","",N(F2308)*N(G2308))</f>
        <v/>
      </c>
      <c r="I2308" s="7" t="n"/>
      <c r="J2308" s="9">
        <f>IF(I2308="","",IFERROR(INDEX('Ordres de travail'!$D$5:$D$3004,MATCH(I2308,'Ordres de travail'!$A$5:$A$3004,0)),""))</f>
        <v/>
      </c>
      <c r="K2308" s="9">
        <f>IF(D2308="","",IFERROR(INDEX('Stock pièces'!$D$5:$D$404,MATCH(D2308,'Stock pièces'!$A$5:$A$404,0)),""))</f>
        <v/>
      </c>
      <c r="L2308" s="7" t="n"/>
      <c r="M2308" s="7" t="n"/>
    </row>
    <row r="2309">
      <c r="A2309" s="7" t="n"/>
      <c r="B2309" s="75" t="n"/>
      <c r="C2309" s="7" t="n"/>
      <c r="D2309" s="7" t="n"/>
      <c r="E2309" s="9">
        <f>IF(D2309="","",IFERROR(INDEX('Stock pièces'!$B$5:$B$404,MATCH(D2309,'Stock pièces'!$A$5:$A$404,0)),"Réf. inconnue"))</f>
        <v/>
      </c>
      <c r="F2309" s="67" t="n"/>
      <c r="G2309" s="81">
        <f>IF(D2309="","",IFERROR(INDEX('Stock pièces'!$I$5:$I$404,MATCH(D2309,'Stock pièces'!$A$5:$A$404,0)),0))</f>
        <v/>
      </c>
      <c r="H2309" s="81">
        <f>IF(D2309="","",N(F2309)*N(G2309))</f>
        <v/>
      </c>
      <c r="I2309" s="7" t="n"/>
      <c r="J2309" s="9">
        <f>IF(I2309="","",IFERROR(INDEX('Ordres de travail'!$D$5:$D$3004,MATCH(I2309,'Ordres de travail'!$A$5:$A$3004,0)),""))</f>
        <v/>
      </c>
      <c r="K2309" s="9">
        <f>IF(D2309="","",IFERROR(INDEX('Stock pièces'!$D$5:$D$404,MATCH(D2309,'Stock pièces'!$A$5:$A$404,0)),""))</f>
        <v/>
      </c>
      <c r="L2309" s="7" t="n"/>
      <c r="M2309" s="7" t="n"/>
    </row>
    <row r="2310">
      <c r="A2310" s="7" t="n"/>
      <c r="B2310" s="75" t="n"/>
      <c r="C2310" s="7" t="n"/>
      <c r="D2310" s="7" t="n"/>
      <c r="E2310" s="9">
        <f>IF(D2310="","",IFERROR(INDEX('Stock pièces'!$B$5:$B$404,MATCH(D2310,'Stock pièces'!$A$5:$A$404,0)),"Réf. inconnue"))</f>
        <v/>
      </c>
      <c r="F2310" s="67" t="n"/>
      <c r="G2310" s="81">
        <f>IF(D2310="","",IFERROR(INDEX('Stock pièces'!$I$5:$I$404,MATCH(D2310,'Stock pièces'!$A$5:$A$404,0)),0))</f>
        <v/>
      </c>
      <c r="H2310" s="81">
        <f>IF(D2310="","",N(F2310)*N(G2310))</f>
        <v/>
      </c>
      <c r="I2310" s="7" t="n"/>
      <c r="J2310" s="9">
        <f>IF(I2310="","",IFERROR(INDEX('Ordres de travail'!$D$5:$D$3004,MATCH(I2310,'Ordres de travail'!$A$5:$A$3004,0)),""))</f>
        <v/>
      </c>
      <c r="K2310" s="9">
        <f>IF(D2310="","",IFERROR(INDEX('Stock pièces'!$D$5:$D$404,MATCH(D2310,'Stock pièces'!$A$5:$A$404,0)),""))</f>
        <v/>
      </c>
      <c r="L2310" s="7" t="n"/>
      <c r="M2310" s="7" t="n"/>
    </row>
    <row r="2311">
      <c r="A2311" s="7" t="n"/>
      <c r="B2311" s="75" t="n"/>
      <c r="C2311" s="7" t="n"/>
      <c r="D2311" s="7" t="n"/>
      <c r="E2311" s="9">
        <f>IF(D2311="","",IFERROR(INDEX('Stock pièces'!$B$5:$B$404,MATCH(D2311,'Stock pièces'!$A$5:$A$404,0)),"Réf. inconnue"))</f>
        <v/>
      </c>
      <c r="F2311" s="67" t="n"/>
      <c r="G2311" s="81">
        <f>IF(D2311="","",IFERROR(INDEX('Stock pièces'!$I$5:$I$404,MATCH(D2311,'Stock pièces'!$A$5:$A$404,0)),0))</f>
        <v/>
      </c>
      <c r="H2311" s="81">
        <f>IF(D2311="","",N(F2311)*N(G2311))</f>
        <v/>
      </c>
      <c r="I2311" s="7" t="n"/>
      <c r="J2311" s="9">
        <f>IF(I2311="","",IFERROR(INDEX('Ordres de travail'!$D$5:$D$3004,MATCH(I2311,'Ordres de travail'!$A$5:$A$3004,0)),""))</f>
        <v/>
      </c>
      <c r="K2311" s="9">
        <f>IF(D2311="","",IFERROR(INDEX('Stock pièces'!$D$5:$D$404,MATCH(D2311,'Stock pièces'!$A$5:$A$404,0)),""))</f>
        <v/>
      </c>
      <c r="L2311" s="7" t="n"/>
      <c r="M2311" s="7" t="n"/>
    </row>
    <row r="2312">
      <c r="A2312" s="7" t="n"/>
      <c r="B2312" s="75" t="n"/>
      <c r="C2312" s="7" t="n"/>
      <c r="D2312" s="7" t="n"/>
      <c r="E2312" s="9">
        <f>IF(D2312="","",IFERROR(INDEX('Stock pièces'!$B$5:$B$404,MATCH(D2312,'Stock pièces'!$A$5:$A$404,0)),"Réf. inconnue"))</f>
        <v/>
      </c>
      <c r="F2312" s="67" t="n"/>
      <c r="G2312" s="81">
        <f>IF(D2312="","",IFERROR(INDEX('Stock pièces'!$I$5:$I$404,MATCH(D2312,'Stock pièces'!$A$5:$A$404,0)),0))</f>
        <v/>
      </c>
      <c r="H2312" s="81">
        <f>IF(D2312="","",N(F2312)*N(G2312))</f>
        <v/>
      </c>
      <c r="I2312" s="7" t="n"/>
      <c r="J2312" s="9">
        <f>IF(I2312="","",IFERROR(INDEX('Ordres de travail'!$D$5:$D$3004,MATCH(I2312,'Ordres de travail'!$A$5:$A$3004,0)),""))</f>
        <v/>
      </c>
      <c r="K2312" s="9">
        <f>IF(D2312="","",IFERROR(INDEX('Stock pièces'!$D$5:$D$404,MATCH(D2312,'Stock pièces'!$A$5:$A$404,0)),""))</f>
        <v/>
      </c>
      <c r="L2312" s="7" t="n"/>
      <c r="M2312" s="7" t="n"/>
    </row>
    <row r="2313">
      <c r="A2313" s="7" t="n"/>
      <c r="B2313" s="75" t="n"/>
      <c r="C2313" s="7" t="n"/>
      <c r="D2313" s="7" t="n"/>
      <c r="E2313" s="9">
        <f>IF(D2313="","",IFERROR(INDEX('Stock pièces'!$B$5:$B$404,MATCH(D2313,'Stock pièces'!$A$5:$A$404,0)),"Réf. inconnue"))</f>
        <v/>
      </c>
      <c r="F2313" s="67" t="n"/>
      <c r="G2313" s="81">
        <f>IF(D2313="","",IFERROR(INDEX('Stock pièces'!$I$5:$I$404,MATCH(D2313,'Stock pièces'!$A$5:$A$404,0)),0))</f>
        <v/>
      </c>
      <c r="H2313" s="81">
        <f>IF(D2313="","",N(F2313)*N(G2313))</f>
        <v/>
      </c>
      <c r="I2313" s="7" t="n"/>
      <c r="J2313" s="9">
        <f>IF(I2313="","",IFERROR(INDEX('Ordres de travail'!$D$5:$D$3004,MATCH(I2313,'Ordres de travail'!$A$5:$A$3004,0)),""))</f>
        <v/>
      </c>
      <c r="K2313" s="9">
        <f>IF(D2313="","",IFERROR(INDEX('Stock pièces'!$D$5:$D$404,MATCH(D2313,'Stock pièces'!$A$5:$A$404,0)),""))</f>
        <v/>
      </c>
      <c r="L2313" s="7" t="n"/>
      <c r="M2313" s="7" t="n"/>
    </row>
    <row r="2314">
      <c r="A2314" s="7" t="n"/>
      <c r="B2314" s="75" t="n"/>
      <c r="C2314" s="7" t="n"/>
      <c r="D2314" s="7" t="n"/>
      <c r="E2314" s="9">
        <f>IF(D2314="","",IFERROR(INDEX('Stock pièces'!$B$5:$B$404,MATCH(D2314,'Stock pièces'!$A$5:$A$404,0)),"Réf. inconnue"))</f>
        <v/>
      </c>
      <c r="F2314" s="67" t="n"/>
      <c r="G2314" s="81">
        <f>IF(D2314="","",IFERROR(INDEX('Stock pièces'!$I$5:$I$404,MATCH(D2314,'Stock pièces'!$A$5:$A$404,0)),0))</f>
        <v/>
      </c>
      <c r="H2314" s="81">
        <f>IF(D2314="","",N(F2314)*N(G2314))</f>
        <v/>
      </c>
      <c r="I2314" s="7" t="n"/>
      <c r="J2314" s="9">
        <f>IF(I2314="","",IFERROR(INDEX('Ordres de travail'!$D$5:$D$3004,MATCH(I2314,'Ordres de travail'!$A$5:$A$3004,0)),""))</f>
        <v/>
      </c>
      <c r="K2314" s="9">
        <f>IF(D2314="","",IFERROR(INDEX('Stock pièces'!$D$5:$D$404,MATCH(D2314,'Stock pièces'!$A$5:$A$404,0)),""))</f>
        <v/>
      </c>
      <c r="L2314" s="7" t="n"/>
      <c r="M2314" s="7" t="n"/>
    </row>
    <row r="2315">
      <c r="A2315" s="7" t="n"/>
      <c r="B2315" s="75" t="n"/>
      <c r="C2315" s="7" t="n"/>
      <c r="D2315" s="7" t="n"/>
      <c r="E2315" s="9">
        <f>IF(D2315="","",IFERROR(INDEX('Stock pièces'!$B$5:$B$404,MATCH(D2315,'Stock pièces'!$A$5:$A$404,0)),"Réf. inconnue"))</f>
        <v/>
      </c>
      <c r="F2315" s="67" t="n"/>
      <c r="G2315" s="81">
        <f>IF(D2315="","",IFERROR(INDEX('Stock pièces'!$I$5:$I$404,MATCH(D2315,'Stock pièces'!$A$5:$A$404,0)),0))</f>
        <v/>
      </c>
      <c r="H2315" s="81">
        <f>IF(D2315="","",N(F2315)*N(G2315))</f>
        <v/>
      </c>
      <c r="I2315" s="7" t="n"/>
      <c r="J2315" s="9">
        <f>IF(I2315="","",IFERROR(INDEX('Ordres de travail'!$D$5:$D$3004,MATCH(I2315,'Ordres de travail'!$A$5:$A$3004,0)),""))</f>
        <v/>
      </c>
      <c r="K2315" s="9">
        <f>IF(D2315="","",IFERROR(INDEX('Stock pièces'!$D$5:$D$404,MATCH(D2315,'Stock pièces'!$A$5:$A$404,0)),""))</f>
        <v/>
      </c>
      <c r="L2315" s="7" t="n"/>
      <c r="M2315" s="7" t="n"/>
    </row>
    <row r="2316">
      <c r="A2316" s="7" t="n"/>
      <c r="B2316" s="75" t="n"/>
      <c r="C2316" s="7" t="n"/>
      <c r="D2316" s="7" t="n"/>
      <c r="E2316" s="9">
        <f>IF(D2316="","",IFERROR(INDEX('Stock pièces'!$B$5:$B$404,MATCH(D2316,'Stock pièces'!$A$5:$A$404,0)),"Réf. inconnue"))</f>
        <v/>
      </c>
      <c r="F2316" s="67" t="n"/>
      <c r="G2316" s="81">
        <f>IF(D2316="","",IFERROR(INDEX('Stock pièces'!$I$5:$I$404,MATCH(D2316,'Stock pièces'!$A$5:$A$404,0)),0))</f>
        <v/>
      </c>
      <c r="H2316" s="81">
        <f>IF(D2316="","",N(F2316)*N(G2316))</f>
        <v/>
      </c>
      <c r="I2316" s="7" t="n"/>
      <c r="J2316" s="9">
        <f>IF(I2316="","",IFERROR(INDEX('Ordres de travail'!$D$5:$D$3004,MATCH(I2316,'Ordres de travail'!$A$5:$A$3004,0)),""))</f>
        <v/>
      </c>
      <c r="K2316" s="9">
        <f>IF(D2316="","",IFERROR(INDEX('Stock pièces'!$D$5:$D$404,MATCH(D2316,'Stock pièces'!$A$5:$A$404,0)),""))</f>
        <v/>
      </c>
      <c r="L2316" s="7" t="n"/>
      <c r="M2316" s="7" t="n"/>
    </row>
    <row r="2317">
      <c r="A2317" s="7" t="n"/>
      <c r="B2317" s="75" t="n"/>
      <c r="C2317" s="7" t="n"/>
      <c r="D2317" s="7" t="n"/>
      <c r="E2317" s="9">
        <f>IF(D2317="","",IFERROR(INDEX('Stock pièces'!$B$5:$B$404,MATCH(D2317,'Stock pièces'!$A$5:$A$404,0)),"Réf. inconnue"))</f>
        <v/>
      </c>
      <c r="F2317" s="67" t="n"/>
      <c r="G2317" s="81">
        <f>IF(D2317="","",IFERROR(INDEX('Stock pièces'!$I$5:$I$404,MATCH(D2317,'Stock pièces'!$A$5:$A$404,0)),0))</f>
        <v/>
      </c>
      <c r="H2317" s="81">
        <f>IF(D2317="","",N(F2317)*N(G2317))</f>
        <v/>
      </c>
      <c r="I2317" s="7" t="n"/>
      <c r="J2317" s="9">
        <f>IF(I2317="","",IFERROR(INDEX('Ordres de travail'!$D$5:$D$3004,MATCH(I2317,'Ordres de travail'!$A$5:$A$3004,0)),""))</f>
        <v/>
      </c>
      <c r="K2317" s="9">
        <f>IF(D2317="","",IFERROR(INDEX('Stock pièces'!$D$5:$D$404,MATCH(D2317,'Stock pièces'!$A$5:$A$404,0)),""))</f>
        <v/>
      </c>
      <c r="L2317" s="7" t="n"/>
      <c r="M2317" s="7" t="n"/>
    </row>
    <row r="2318">
      <c r="A2318" s="7" t="n"/>
      <c r="B2318" s="75" t="n"/>
      <c r="C2318" s="7" t="n"/>
      <c r="D2318" s="7" t="n"/>
      <c r="E2318" s="9">
        <f>IF(D2318="","",IFERROR(INDEX('Stock pièces'!$B$5:$B$404,MATCH(D2318,'Stock pièces'!$A$5:$A$404,0)),"Réf. inconnue"))</f>
        <v/>
      </c>
      <c r="F2318" s="67" t="n"/>
      <c r="G2318" s="81">
        <f>IF(D2318="","",IFERROR(INDEX('Stock pièces'!$I$5:$I$404,MATCH(D2318,'Stock pièces'!$A$5:$A$404,0)),0))</f>
        <v/>
      </c>
      <c r="H2318" s="81">
        <f>IF(D2318="","",N(F2318)*N(G2318))</f>
        <v/>
      </c>
      <c r="I2318" s="7" t="n"/>
      <c r="J2318" s="9">
        <f>IF(I2318="","",IFERROR(INDEX('Ordres de travail'!$D$5:$D$3004,MATCH(I2318,'Ordres de travail'!$A$5:$A$3004,0)),""))</f>
        <v/>
      </c>
      <c r="K2318" s="9">
        <f>IF(D2318="","",IFERROR(INDEX('Stock pièces'!$D$5:$D$404,MATCH(D2318,'Stock pièces'!$A$5:$A$404,0)),""))</f>
        <v/>
      </c>
      <c r="L2318" s="7" t="n"/>
      <c r="M2318" s="7" t="n"/>
    </row>
    <row r="2319">
      <c r="A2319" s="7" t="n"/>
      <c r="B2319" s="75" t="n"/>
      <c r="C2319" s="7" t="n"/>
      <c r="D2319" s="7" t="n"/>
      <c r="E2319" s="9">
        <f>IF(D2319="","",IFERROR(INDEX('Stock pièces'!$B$5:$B$404,MATCH(D2319,'Stock pièces'!$A$5:$A$404,0)),"Réf. inconnue"))</f>
        <v/>
      </c>
      <c r="F2319" s="67" t="n"/>
      <c r="G2319" s="81">
        <f>IF(D2319="","",IFERROR(INDEX('Stock pièces'!$I$5:$I$404,MATCH(D2319,'Stock pièces'!$A$5:$A$404,0)),0))</f>
        <v/>
      </c>
      <c r="H2319" s="81">
        <f>IF(D2319="","",N(F2319)*N(G2319))</f>
        <v/>
      </c>
      <c r="I2319" s="7" t="n"/>
      <c r="J2319" s="9">
        <f>IF(I2319="","",IFERROR(INDEX('Ordres de travail'!$D$5:$D$3004,MATCH(I2319,'Ordres de travail'!$A$5:$A$3004,0)),""))</f>
        <v/>
      </c>
      <c r="K2319" s="9">
        <f>IF(D2319="","",IFERROR(INDEX('Stock pièces'!$D$5:$D$404,MATCH(D2319,'Stock pièces'!$A$5:$A$404,0)),""))</f>
        <v/>
      </c>
      <c r="L2319" s="7" t="n"/>
      <c r="M2319" s="7" t="n"/>
    </row>
    <row r="2320">
      <c r="A2320" s="7" t="n"/>
      <c r="B2320" s="75" t="n"/>
      <c r="C2320" s="7" t="n"/>
      <c r="D2320" s="7" t="n"/>
      <c r="E2320" s="9">
        <f>IF(D2320="","",IFERROR(INDEX('Stock pièces'!$B$5:$B$404,MATCH(D2320,'Stock pièces'!$A$5:$A$404,0)),"Réf. inconnue"))</f>
        <v/>
      </c>
      <c r="F2320" s="67" t="n"/>
      <c r="G2320" s="81">
        <f>IF(D2320="","",IFERROR(INDEX('Stock pièces'!$I$5:$I$404,MATCH(D2320,'Stock pièces'!$A$5:$A$404,0)),0))</f>
        <v/>
      </c>
      <c r="H2320" s="81">
        <f>IF(D2320="","",N(F2320)*N(G2320))</f>
        <v/>
      </c>
      <c r="I2320" s="7" t="n"/>
      <c r="J2320" s="9">
        <f>IF(I2320="","",IFERROR(INDEX('Ordres de travail'!$D$5:$D$3004,MATCH(I2320,'Ordres de travail'!$A$5:$A$3004,0)),""))</f>
        <v/>
      </c>
      <c r="K2320" s="9">
        <f>IF(D2320="","",IFERROR(INDEX('Stock pièces'!$D$5:$D$404,MATCH(D2320,'Stock pièces'!$A$5:$A$404,0)),""))</f>
        <v/>
      </c>
      <c r="L2320" s="7" t="n"/>
      <c r="M2320" s="7" t="n"/>
    </row>
    <row r="2321">
      <c r="A2321" s="7" t="n"/>
      <c r="B2321" s="75" t="n"/>
      <c r="C2321" s="7" t="n"/>
      <c r="D2321" s="7" t="n"/>
      <c r="E2321" s="9">
        <f>IF(D2321="","",IFERROR(INDEX('Stock pièces'!$B$5:$B$404,MATCH(D2321,'Stock pièces'!$A$5:$A$404,0)),"Réf. inconnue"))</f>
        <v/>
      </c>
      <c r="F2321" s="67" t="n"/>
      <c r="G2321" s="81">
        <f>IF(D2321="","",IFERROR(INDEX('Stock pièces'!$I$5:$I$404,MATCH(D2321,'Stock pièces'!$A$5:$A$404,0)),0))</f>
        <v/>
      </c>
      <c r="H2321" s="81">
        <f>IF(D2321="","",N(F2321)*N(G2321))</f>
        <v/>
      </c>
      <c r="I2321" s="7" t="n"/>
      <c r="J2321" s="9">
        <f>IF(I2321="","",IFERROR(INDEX('Ordres de travail'!$D$5:$D$3004,MATCH(I2321,'Ordres de travail'!$A$5:$A$3004,0)),""))</f>
        <v/>
      </c>
      <c r="K2321" s="9">
        <f>IF(D2321="","",IFERROR(INDEX('Stock pièces'!$D$5:$D$404,MATCH(D2321,'Stock pièces'!$A$5:$A$404,0)),""))</f>
        <v/>
      </c>
      <c r="L2321" s="7" t="n"/>
      <c r="M2321" s="7" t="n"/>
    </row>
    <row r="2322">
      <c r="A2322" s="7" t="n"/>
      <c r="B2322" s="75" t="n"/>
      <c r="C2322" s="7" t="n"/>
      <c r="D2322" s="7" t="n"/>
      <c r="E2322" s="9">
        <f>IF(D2322="","",IFERROR(INDEX('Stock pièces'!$B$5:$B$404,MATCH(D2322,'Stock pièces'!$A$5:$A$404,0)),"Réf. inconnue"))</f>
        <v/>
      </c>
      <c r="F2322" s="67" t="n"/>
      <c r="G2322" s="81">
        <f>IF(D2322="","",IFERROR(INDEX('Stock pièces'!$I$5:$I$404,MATCH(D2322,'Stock pièces'!$A$5:$A$404,0)),0))</f>
        <v/>
      </c>
      <c r="H2322" s="81">
        <f>IF(D2322="","",N(F2322)*N(G2322))</f>
        <v/>
      </c>
      <c r="I2322" s="7" t="n"/>
      <c r="J2322" s="9">
        <f>IF(I2322="","",IFERROR(INDEX('Ordres de travail'!$D$5:$D$3004,MATCH(I2322,'Ordres de travail'!$A$5:$A$3004,0)),""))</f>
        <v/>
      </c>
      <c r="K2322" s="9">
        <f>IF(D2322="","",IFERROR(INDEX('Stock pièces'!$D$5:$D$404,MATCH(D2322,'Stock pièces'!$A$5:$A$404,0)),""))</f>
        <v/>
      </c>
      <c r="L2322" s="7" t="n"/>
      <c r="M2322" s="7" t="n"/>
    </row>
    <row r="2323">
      <c r="A2323" s="7" t="n"/>
      <c r="B2323" s="75" t="n"/>
      <c r="C2323" s="7" t="n"/>
      <c r="D2323" s="7" t="n"/>
      <c r="E2323" s="9">
        <f>IF(D2323="","",IFERROR(INDEX('Stock pièces'!$B$5:$B$404,MATCH(D2323,'Stock pièces'!$A$5:$A$404,0)),"Réf. inconnue"))</f>
        <v/>
      </c>
      <c r="F2323" s="67" t="n"/>
      <c r="G2323" s="81">
        <f>IF(D2323="","",IFERROR(INDEX('Stock pièces'!$I$5:$I$404,MATCH(D2323,'Stock pièces'!$A$5:$A$404,0)),0))</f>
        <v/>
      </c>
      <c r="H2323" s="81">
        <f>IF(D2323="","",N(F2323)*N(G2323))</f>
        <v/>
      </c>
      <c r="I2323" s="7" t="n"/>
      <c r="J2323" s="9">
        <f>IF(I2323="","",IFERROR(INDEX('Ordres de travail'!$D$5:$D$3004,MATCH(I2323,'Ordres de travail'!$A$5:$A$3004,0)),""))</f>
        <v/>
      </c>
      <c r="K2323" s="9">
        <f>IF(D2323="","",IFERROR(INDEX('Stock pièces'!$D$5:$D$404,MATCH(D2323,'Stock pièces'!$A$5:$A$404,0)),""))</f>
        <v/>
      </c>
      <c r="L2323" s="7" t="n"/>
      <c r="M2323" s="7" t="n"/>
    </row>
    <row r="2324">
      <c r="A2324" s="7" t="n"/>
      <c r="B2324" s="75" t="n"/>
      <c r="C2324" s="7" t="n"/>
      <c r="D2324" s="7" t="n"/>
      <c r="E2324" s="9">
        <f>IF(D2324="","",IFERROR(INDEX('Stock pièces'!$B$5:$B$404,MATCH(D2324,'Stock pièces'!$A$5:$A$404,0)),"Réf. inconnue"))</f>
        <v/>
      </c>
      <c r="F2324" s="67" t="n"/>
      <c r="G2324" s="81">
        <f>IF(D2324="","",IFERROR(INDEX('Stock pièces'!$I$5:$I$404,MATCH(D2324,'Stock pièces'!$A$5:$A$404,0)),0))</f>
        <v/>
      </c>
      <c r="H2324" s="81">
        <f>IF(D2324="","",N(F2324)*N(G2324))</f>
        <v/>
      </c>
      <c r="I2324" s="7" t="n"/>
      <c r="J2324" s="9">
        <f>IF(I2324="","",IFERROR(INDEX('Ordres de travail'!$D$5:$D$3004,MATCH(I2324,'Ordres de travail'!$A$5:$A$3004,0)),""))</f>
        <v/>
      </c>
      <c r="K2324" s="9">
        <f>IF(D2324="","",IFERROR(INDEX('Stock pièces'!$D$5:$D$404,MATCH(D2324,'Stock pièces'!$A$5:$A$404,0)),""))</f>
        <v/>
      </c>
      <c r="L2324" s="7" t="n"/>
      <c r="M2324" s="7" t="n"/>
    </row>
    <row r="2325">
      <c r="A2325" s="7" t="n"/>
      <c r="B2325" s="75" t="n"/>
      <c r="C2325" s="7" t="n"/>
      <c r="D2325" s="7" t="n"/>
      <c r="E2325" s="9">
        <f>IF(D2325="","",IFERROR(INDEX('Stock pièces'!$B$5:$B$404,MATCH(D2325,'Stock pièces'!$A$5:$A$404,0)),"Réf. inconnue"))</f>
        <v/>
      </c>
      <c r="F2325" s="67" t="n"/>
      <c r="G2325" s="81">
        <f>IF(D2325="","",IFERROR(INDEX('Stock pièces'!$I$5:$I$404,MATCH(D2325,'Stock pièces'!$A$5:$A$404,0)),0))</f>
        <v/>
      </c>
      <c r="H2325" s="81">
        <f>IF(D2325="","",N(F2325)*N(G2325))</f>
        <v/>
      </c>
      <c r="I2325" s="7" t="n"/>
      <c r="J2325" s="9">
        <f>IF(I2325="","",IFERROR(INDEX('Ordres de travail'!$D$5:$D$3004,MATCH(I2325,'Ordres de travail'!$A$5:$A$3004,0)),""))</f>
        <v/>
      </c>
      <c r="K2325" s="9">
        <f>IF(D2325="","",IFERROR(INDEX('Stock pièces'!$D$5:$D$404,MATCH(D2325,'Stock pièces'!$A$5:$A$404,0)),""))</f>
        <v/>
      </c>
      <c r="L2325" s="7" t="n"/>
      <c r="M2325" s="7" t="n"/>
    </row>
    <row r="2326">
      <c r="A2326" s="7" t="n"/>
      <c r="B2326" s="75" t="n"/>
      <c r="C2326" s="7" t="n"/>
      <c r="D2326" s="7" t="n"/>
      <c r="E2326" s="9">
        <f>IF(D2326="","",IFERROR(INDEX('Stock pièces'!$B$5:$B$404,MATCH(D2326,'Stock pièces'!$A$5:$A$404,0)),"Réf. inconnue"))</f>
        <v/>
      </c>
      <c r="F2326" s="67" t="n"/>
      <c r="G2326" s="81">
        <f>IF(D2326="","",IFERROR(INDEX('Stock pièces'!$I$5:$I$404,MATCH(D2326,'Stock pièces'!$A$5:$A$404,0)),0))</f>
        <v/>
      </c>
      <c r="H2326" s="81">
        <f>IF(D2326="","",N(F2326)*N(G2326))</f>
        <v/>
      </c>
      <c r="I2326" s="7" t="n"/>
      <c r="J2326" s="9">
        <f>IF(I2326="","",IFERROR(INDEX('Ordres de travail'!$D$5:$D$3004,MATCH(I2326,'Ordres de travail'!$A$5:$A$3004,0)),""))</f>
        <v/>
      </c>
      <c r="K2326" s="9">
        <f>IF(D2326="","",IFERROR(INDEX('Stock pièces'!$D$5:$D$404,MATCH(D2326,'Stock pièces'!$A$5:$A$404,0)),""))</f>
        <v/>
      </c>
      <c r="L2326" s="7" t="n"/>
      <c r="M2326" s="7" t="n"/>
    </row>
    <row r="2327">
      <c r="A2327" s="7" t="n"/>
      <c r="B2327" s="75" t="n"/>
      <c r="C2327" s="7" t="n"/>
      <c r="D2327" s="7" t="n"/>
      <c r="E2327" s="9">
        <f>IF(D2327="","",IFERROR(INDEX('Stock pièces'!$B$5:$B$404,MATCH(D2327,'Stock pièces'!$A$5:$A$404,0)),"Réf. inconnue"))</f>
        <v/>
      </c>
      <c r="F2327" s="67" t="n"/>
      <c r="G2327" s="81">
        <f>IF(D2327="","",IFERROR(INDEX('Stock pièces'!$I$5:$I$404,MATCH(D2327,'Stock pièces'!$A$5:$A$404,0)),0))</f>
        <v/>
      </c>
      <c r="H2327" s="81">
        <f>IF(D2327="","",N(F2327)*N(G2327))</f>
        <v/>
      </c>
      <c r="I2327" s="7" t="n"/>
      <c r="J2327" s="9">
        <f>IF(I2327="","",IFERROR(INDEX('Ordres de travail'!$D$5:$D$3004,MATCH(I2327,'Ordres de travail'!$A$5:$A$3004,0)),""))</f>
        <v/>
      </c>
      <c r="K2327" s="9">
        <f>IF(D2327="","",IFERROR(INDEX('Stock pièces'!$D$5:$D$404,MATCH(D2327,'Stock pièces'!$A$5:$A$404,0)),""))</f>
        <v/>
      </c>
      <c r="L2327" s="7" t="n"/>
      <c r="M2327" s="7" t="n"/>
    </row>
    <row r="2328">
      <c r="A2328" s="7" t="n"/>
      <c r="B2328" s="75" t="n"/>
      <c r="C2328" s="7" t="n"/>
      <c r="D2328" s="7" t="n"/>
      <c r="E2328" s="9">
        <f>IF(D2328="","",IFERROR(INDEX('Stock pièces'!$B$5:$B$404,MATCH(D2328,'Stock pièces'!$A$5:$A$404,0)),"Réf. inconnue"))</f>
        <v/>
      </c>
      <c r="F2328" s="67" t="n"/>
      <c r="G2328" s="81">
        <f>IF(D2328="","",IFERROR(INDEX('Stock pièces'!$I$5:$I$404,MATCH(D2328,'Stock pièces'!$A$5:$A$404,0)),0))</f>
        <v/>
      </c>
      <c r="H2328" s="81">
        <f>IF(D2328="","",N(F2328)*N(G2328))</f>
        <v/>
      </c>
      <c r="I2328" s="7" t="n"/>
      <c r="J2328" s="9">
        <f>IF(I2328="","",IFERROR(INDEX('Ordres de travail'!$D$5:$D$3004,MATCH(I2328,'Ordres de travail'!$A$5:$A$3004,0)),""))</f>
        <v/>
      </c>
      <c r="K2328" s="9">
        <f>IF(D2328="","",IFERROR(INDEX('Stock pièces'!$D$5:$D$404,MATCH(D2328,'Stock pièces'!$A$5:$A$404,0)),""))</f>
        <v/>
      </c>
      <c r="L2328" s="7" t="n"/>
      <c r="M2328" s="7" t="n"/>
    </row>
    <row r="2329">
      <c r="A2329" s="7" t="n"/>
      <c r="B2329" s="75" t="n"/>
      <c r="C2329" s="7" t="n"/>
      <c r="D2329" s="7" t="n"/>
      <c r="E2329" s="9">
        <f>IF(D2329="","",IFERROR(INDEX('Stock pièces'!$B$5:$B$404,MATCH(D2329,'Stock pièces'!$A$5:$A$404,0)),"Réf. inconnue"))</f>
        <v/>
      </c>
      <c r="F2329" s="67" t="n"/>
      <c r="G2329" s="81">
        <f>IF(D2329="","",IFERROR(INDEX('Stock pièces'!$I$5:$I$404,MATCH(D2329,'Stock pièces'!$A$5:$A$404,0)),0))</f>
        <v/>
      </c>
      <c r="H2329" s="81">
        <f>IF(D2329="","",N(F2329)*N(G2329))</f>
        <v/>
      </c>
      <c r="I2329" s="7" t="n"/>
      <c r="J2329" s="9">
        <f>IF(I2329="","",IFERROR(INDEX('Ordres de travail'!$D$5:$D$3004,MATCH(I2329,'Ordres de travail'!$A$5:$A$3004,0)),""))</f>
        <v/>
      </c>
      <c r="K2329" s="9">
        <f>IF(D2329="","",IFERROR(INDEX('Stock pièces'!$D$5:$D$404,MATCH(D2329,'Stock pièces'!$A$5:$A$404,0)),""))</f>
        <v/>
      </c>
      <c r="L2329" s="7" t="n"/>
      <c r="M2329" s="7" t="n"/>
    </row>
    <row r="2330">
      <c r="A2330" s="7" t="n"/>
      <c r="B2330" s="75" t="n"/>
      <c r="C2330" s="7" t="n"/>
      <c r="D2330" s="7" t="n"/>
      <c r="E2330" s="9">
        <f>IF(D2330="","",IFERROR(INDEX('Stock pièces'!$B$5:$B$404,MATCH(D2330,'Stock pièces'!$A$5:$A$404,0)),"Réf. inconnue"))</f>
        <v/>
      </c>
      <c r="F2330" s="67" t="n"/>
      <c r="G2330" s="81">
        <f>IF(D2330="","",IFERROR(INDEX('Stock pièces'!$I$5:$I$404,MATCH(D2330,'Stock pièces'!$A$5:$A$404,0)),0))</f>
        <v/>
      </c>
      <c r="H2330" s="81">
        <f>IF(D2330="","",N(F2330)*N(G2330))</f>
        <v/>
      </c>
      <c r="I2330" s="7" t="n"/>
      <c r="J2330" s="9">
        <f>IF(I2330="","",IFERROR(INDEX('Ordres de travail'!$D$5:$D$3004,MATCH(I2330,'Ordres de travail'!$A$5:$A$3004,0)),""))</f>
        <v/>
      </c>
      <c r="K2330" s="9">
        <f>IF(D2330="","",IFERROR(INDEX('Stock pièces'!$D$5:$D$404,MATCH(D2330,'Stock pièces'!$A$5:$A$404,0)),""))</f>
        <v/>
      </c>
      <c r="L2330" s="7" t="n"/>
      <c r="M2330" s="7" t="n"/>
    </row>
    <row r="2331">
      <c r="A2331" s="7" t="n"/>
      <c r="B2331" s="75" t="n"/>
      <c r="C2331" s="7" t="n"/>
      <c r="D2331" s="7" t="n"/>
      <c r="E2331" s="9">
        <f>IF(D2331="","",IFERROR(INDEX('Stock pièces'!$B$5:$B$404,MATCH(D2331,'Stock pièces'!$A$5:$A$404,0)),"Réf. inconnue"))</f>
        <v/>
      </c>
      <c r="F2331" s="67" t="n"/>
      <c r="G2331" s="81">
        <f>IF(D2331="","",IFERROR(INDEX('Stock pièces'!$I$5:$I$404,MATCH(D2331,'Stock pièces'!$A$5:$A$404,0)),0))</f>
        <v/>
      </c>
      <c r="H2331" s="81">
        <f>IF(D2331="","",N(F2331)*N(G2331))</f>
        <v/>
      </c>
      <c r="I2331" s="7" t="n"/>
      <c r="J2331" s="9">
        <f>IF(I2331="","",IFERROR(INDEX('Ordres de travail'!$D$5:$D$3004,MATCH(I2331,'Ordres de travail'!$A$5:$A$3004,0)),""))</f>
        <v/>
      </c>
      <c r="K2331" s="9">
        <f>IF(D2331="","",IFERROR(INDEX('Stock pièces'!$D$5:$D$404,MATCH(D2331,'Stock pièces'!$A$5:$A$404,0)),""))</f>
        <v/>
      </c>
      <c r="L2331" s="7" t="n"/>
      <c r="M2331" s="7" t="n"/>
    </row>
    <row r="2332">
      <c r="A2332" s="7" t="n"/>
      <c r="B2332" s="75" t="n"/>
      <c r="C2332" s="7" t="n"/>
      <c r="D2332" s="7" t="n"/>
      <c r="E2332" s="9">
        <f>IF(D2332="","",IFERROR(INDEX('Stock pièces'!$B$5:$B$404,MATCH(D2332,'Stock pièces'!$A$5:$A$404,0)),"Réf. inconnue"))</f>
        <v/>
      </c>
      <c r="F2332" s="67" t="n"/>
      <c r="G2332" s="81">
        <f>IF(D2332="","",IFERROR(INDEX('Stock pièces'!$I$5:$I$404,MATCH(D2332,'Stock pièces'!$A$5:$A$404,0)),0))</f>
        <v/>
      </c>
      <c r="H2332" s="81">
        <f>IF(D2332="","",N(F2332)*N(G2332))</f>
        <v/>
      </c>
      <c r="I2332" s="7" t="n"/>
      <c r="J2332" s="9">
        <f>IF(I2332="","",IFERROR(INDEX('Ordres de travail'!$D$5:$D$3004,MATCH(I2332,'Ordres de travail'!$A$5:$A$3004,0)),""))</f>
        <v/>
      </c>
      <c r="K2332" s="9">
        <f>IF(D2332="","",IFERROR(INDEX('Stock pièces'!$D$5:$D$404,MATCH(D2332,'Stock pièces'!$A$5:$A$404,0)),""))</f>
        <v/>
      </c>
      <c r="L2332" s="7" t="n"/>
      <c r="M2332" s="7" t="n"/>
    </row>
    <row r="2333">
      <c r="A2333" s="7" t="n"/>
      <c r="B2333" s="75" t="n"/>
      <c r="C2333" s="7" t="n"/>
      <c r="D2333" s="7" t="n"/>
      <c r="E2333" s="9">
        <f>IF(D2333="","",IFERROR(INDEX('Stock pièces'!$B$5:$B$404,MATCH(D2333,'Stock pièces'!$A$5:$A$404,0)),"Réf. inconnue"))</f>
        <v/>
      </c>
      <c r="F2333" s="67" t="n"/>
      <c r="G2333" s="81">
        <f>IF(D2333="","",IFERROR(INDEX('Stock pièces'!$I$5:$I$404,MATCH(D2333,'Stock pièces'!$A$5:$A$404,0)),0))</f>
        <v/>
      </c>
      <c r="H2333" s="81">
        <f>IF(D2333="","",N(F2333)*N(G2333))</f>
        <v/>
      </c>
      <c r="I2333" s="7" t="n"/>
      <c r="J2333" s="9">
        <f>IF(I2333="","",IFERROR(INDEX('Ordres de travail'!$D$5:$D$3004,MATCH(I2333,'Ordres de travail'!$A$5:$A$3004,0)),""))</f>
        <v/>
      </c>
      <c r="K2333" s="9">
        <f>IF(D2333="","",IFERROR(INDEX('Stock pièces'!$D$5:$D$404,MATCH(D2333,'Stock pièces'!$A$5:$A$404,0)),""))</f>
        <v/>
      </c>
      <c r="L2333" s="7" t="n"/>
      <c r="M2333" s="7" t="n"/>
    </row>
    <row r="2334">
      <c r="A2334" s="7" t="n"/>
      <c r="B2334" s="75" t="n"/>
      <c r="C2334" s="7" t="n"/>
      <c r="D2334" s="7" t="n"/>
      <c r="E2334" s="9">
        <f>IF(D2334="","",IFERROR(INDEX('Stock pièces'!$B$5:$B$404,MATCH(D2334,'Stock pièces'!$A$5:$A$404,0)),"Réf. inconnue"))</f>
        <v/>
      </c>
      <c r="F2334" s="67" t="n"/>
      <c r="G2334" s="81">
        <f>IF(D2334="","",IFERROR(INDEX('Stock pièces'!$I$5:$I$404,MATCH(D2334,'Stock pièces'!$A$5:$A$404,0)),0))</f>
        <v/>
      </c>
      <c r="H2334" s="81">
        <f>IF(D2334="","",N(F2334)*N(G2334))</f>
        <v/>
      </c>
      <c r="I2334" s="7" t="n"/>
      <c r="J2334" s="9">
        <f>IF(I2334="","",IFERROR(INDEX('Ordres de travail'!$D$5:$D$3004,MATCH(I2334,'Ordres de travail'!$A$5:$A$3004,0)),""))</f>
        <v/>
      </c>
      <c r="K2334" s="9">
        <f>IF(D2334="","",IFERROR(INDEX('Stock pièces'!$D$5:$D$404,MATCH(D2334,'Stock pièces'!$A$5:$A$404,0)),""))</f>
        <v/>
      </c>
      <c r="L2334" s="7" t="n"/>
      <c r="M2334" s="7" t="n"/>
    </row>
    <row r="2335">
      <c r="A2335" s="7" t="n"/>
      <c r="B2335" s="75" t="n"/>
      <c r="C2335" s="7" t="n"/>
      <c r="D2335" s="7" t="n"/>
      <c r="E2335" s="9">
        <f>IF(D2335="","",IFERROR(INDEX('Stock pièces'!$B$5:$B$404,MATCH(D2335,'Stock pièces'!$A$5:$A$404,0)),"Réf. inconnue"))</f>
        <v/>
      </c>
      <c r="F2335" s="67" t="n"/>
      <c r="G2335" s="81">
        <f>IF(D2335="","",IFERROR(INDEX('Stock pièces'!$I$5:$I$404,MATCH(D2335,'Stock pièces'!$A$5:$A$404,0)),0))</f>
        <v/>
      </c>
      <c r="H2335" s="81">
        <f>IF(D2335="","",N(F2335)*N(G2335))</f>
        <v/>
      </c>
      <c r="I2335" s="7" t="n"/>
      <c r="J2335" s="9">
        <f>IF(I2335="","",IFERROR(INDEX('Ordres de travail'!$D$5:$D$3004,MATCH(I2335,'Ordres de travail'!$A$5:$A$3004,0)),""))</f>
        <v/>
      </c>
      <c r="K2335" s="9">
        <f>IF(D2335="","",IFERROR(INDEX('Stock pièces'!$D$5:$D$404,MATCH(D2335,'Stock pièces'!$A$5:$A$404,0)),""))</f>
        <v/>
      </c>
      <c r="L2335" s="7" t="n"/>
      <c r="M2335" s="7" t="n"/>
    </row>
    <row r="2336">
      <c r="A2336" s="7" t="n"/>
      <c r="B2336" s="75" t="n"/>
      <c r="C2336" s="7" t="n"/>
      <c r="D2336" s="7" t="n"/>
      <c r="E2336" s="9">
        <f>IF(D2336="","",IFERROR(INDEX('Stock pièces'!$B$5:$B$404,MATCH(D2336,'Stock pièces'!$A$5:$A$404,0)),"Réf. inconnue"))</f>
        <v/>
      </c>
      <c r="F2336" s="67" t="n"/>
      <c r="G2336" s="81">
        <f>IF(D2336="","",IFERROR(INDEX('Stock pièces'!$I$5:$I$404,MATCH(D2336,'Stock pièces'!$A$5:$A$404,0)),0))</f>
        <v/>
      </c>
      <c r="H2336" s="81">
        <f>IF(D2336="","",N(F2336)*N(G2336))</f>
        <v/>
      </c>
      <c r="I2336" s="7" t="n"/>
      <c r="J2336" s="9">
        <f>IF(I2336="","",IFERROR(INDEX('Ordres de travail'!$D$5:$D$3004,MATCH(I2336,'Ordres de travail'!$A$5:$A$3004,0)),""))</f>
        <v/>
      </c>
      <c r="K2336" s="9">
        <f>IF(D2336="","",IFERROR(INDEX('Stock pièces'!$D$5:$D$404,MATCH(D2336,'Stock pièces'!$A$5:$A$404,0)),""))</f>
        <v/>
      </c>
      <c r="L2336" s="7" t="n"/>
      <c r="M2336" s="7" t="n"/>
    </row>
    <row r="2337">
      <c r="A2337" s="7" t="n"/>
      <c r="B2337" s="75" t="n"/>
      <c r="C2337" s="7" t="n"/>
      <c r="D2337" s="7" t="n"/>
      <c r="E2337" s="9">
        <f>IF(D2337="","",IFERROR(INDEX('Stock pièces'!$B$5:$B$404,MATCH(D2337,'Stock pièces'!$A$5:$A$404,0)),"Réf. inconnue"))</f>
        <v/>
      </c>
      <c r="F2337" s="67" t="n"/>
      <c r="G2337" s="81">
        <f>IF(D2337="","",IFERROR(INDEX('Stock pièces'!$I$5:$I$404,MATCH(D2337,'Stock pièces'!$A$5:$A$404,0)),0))</f>
        <v/>
      </c>
      <c r="H2337" s="81">
        <f>IF(D2337="","",N(F2337)*N(G2337))</f>
        <v/>
      </c>
      <c r="I2337" s="7" t="n"/>
      <c r="J2337" s="9">
        <f>IF(I2337="","",IFERROR(INDEX('Ordres de travail'!$D$5:$D$3004,MATCH(I2337,'Ordres de travail'!$A$5:$A$3004,0)),""))</f>
        <v/>
      </c>
      <c r="K2337" s="9">
        <f>IF(D2337="","",IFERROR(INDEX('Stock pièces'!$D$5:$D$404,MATCH(D2337,'Stock pièces'!$A$5:$A$404,0)),""))</f>
        <v/>
      </c>
      <c r="L2337" s="7" t="n"/>
      <c r="M2337" s="7" t="n"/>
    </row>
    <row r="2338">
      <c r="A2338" s="7" t="n"/>
      <c r="B2338" s="75" t="n"/>
      <c r="C2338" s="7" t="n"/>
      <c r="D2338" s="7" t="n"/>
      <c r="E2338" s="9">
        <f>IF(D2338="","",IFERROR(INDEX('Stock pièces'!$B$5:$B$404,MATCH(D2338,'Stock pièces'!$A$5:$A$404,0)),"Réf. inconnue"))</f>
        <v/>
      </c>
      <c r="F2338" s="67" t="n"/>
      <c r="G2338" s="81">
        <f>IF(D2338="","",IFERROR(INDEX('Stock pièces'!$I$5:$I$404,MATCH(D2338,'Stock pièces'!$A$5:$A$404,0)),0))</f>
        <v/>
      </c>
      <c r="H2338" s="81">
        <f>IF(D2338="","",N(F2338)*N(G2338))</f>
        <v/>
      </c>
      <c r="I2338" s="7" t="n"/>
      <c r="J2338" s="9">
        <f>IF(I2338="","",IFERROR(INDEX('Ordres de travail'!$D$5:$D$3004,MATCH(I2338,'Ordres de travail'!$A$5:$A$3004,0)),""))</f>
        <v/>
      </c>
      <c r="K2338" s="9">
        <f>IF(D2338="","",IFERROR(INDEX('Stock pièces'!$D$5:$D$404,MATCH(D2338,'Stock pièces'!$A$5:$A$404,0)),""))</f>
        <v/>
      </c>
      <c r="L2338" s="7" t="n"/>
      <c r="M2338" s="7" t="n"/>
    </row>
    <row r="2339">
      <c r="A2339" s="7" t="n"/>
      <c r="B2339" s="75" t="n"/>
      <c r="C2339" s="7" t="n"/>
      <c r="D2339" s="7" t="n"/>
      <c r="E2339" s="9">
        <f>IF(D2339="","",IFERROR(INDEX('Stock pièces'!$B$5:$B$404,MATCH(D2339,'Stock pièces'!$A$5:$A$404,0)),"Réf. inconnue"))</f>
        <v/>
      </c>
      <c r="F2339" s="67" t="n"/>
      <c r="G2339" s="81">
        <f>IF(D2339="","",IFERROR(INDEX('Stock pièces'!$I$5:$I$404,MATCH(D2339,'Stock pièces'!$A$5:$A$404,0)),0))</f>
        <v/>
      </c>
      <c r="H2339" s="81">
        <f>IF(D2339="","",N(F2339)*N(G2339))</f>
        <v/>
      </c>
      <c r="I2339" s="7" t="n"/>
      <c r="J2339" s="9">
        <f>IF(I2339="","",IFERROR(INDEX('Ordres de travail'!$D$5:$D$3004,MATCH(I2339,'Ordres de travail'!$A$5:$A$3004,0)),""))</f>
        <v/>
      </c>
      <c r="K2339" s="9">
        <f>IF(D2339="","",IFERROR(INDEX('Stock pièces'!$D$5:$D$404,MATCH(D2339,'Stock pièces'!$A$5:$A$404,0)),""))</f>
        <v/>
      </c>
      <c r="L2339" s="7" t="n"/>
      <c r="M2339" s="7" t="n"/>
    </row>
    <row r="2340">
      <c r="A2340" s="7" t="n"/>
      <c r="B2340" s="75" t="n"/>
      <c r="C2340" s="7" t="n"/>
      <c r="D2340" s="7" t="n"/>
      <c r="E2340" s="9">
        <f>IF(D2340="","",IFERROR(INDEX('Stock pièces'!$B$5:$B$404,MATCH(D2340,'Stock pièces'!$A$5:$A$404,0)),"Réf. inconnue"))</f>
        <v/>
      </c>
      <c r="F2340" s="67" t="n"/>
      <c r="G2340" s="81">
        <f>IF(D2340="","",IFERROR(INDEX('Stock pièces'!$I$5:$I$404,MATCH(D2340,'Stock pièces'!$A$5:$A$404,0)),0))</f>
        <v/>
      </c>
      <c r="H2340" s="81">
        <f>IF(D2340="","",N(F2340)*N(G2340))</f>
        <v/>
      </c>
      <c r="I2340" s="7" t="n"/>
      <c r="J2340" s="9">
        <f>IF(I2340="","",IFERROR(INDEX('Ordres de travail'!$D$5:$D$3004,MATCH(I2340,'Ordres de travail'!$A$5:$A$3004,0)),""))</f>
        <v/>
      </c>
      <c r="K2340" s="9">
        <f>IF(D2340="","",IFERROR(INDEX('Stock pièces'!$D$5:$D$404,MATCH(D2340,'Stock pièces'!$A$5:$A$404,0)),""))</f>
        <v/>
      </c>
      <c r="L2340" s="7" t="n"/>
      <c r="M2340" s="7" t="n"/>
    </row>
    <row r="2341">
      <c r="A2341" s="7" t="n"/>
      <c r="B2341" s="75" t="n"/>
      <c r="C2341" s="7" t="n"/>
      <c r="D2341" s="7" t="n"/>
      <c r="E2341" s="9">
        <f>IF(D2341="","",IFERROR(INDEX('Stock pièces'!$B$5:$B$404,MATCH(D2341,'Stock pièces'!$A$5:$A$404,0)),"Réf. inconnue"))</f>
        <v/>
      </c>
      <c r="F2341" s="67" t="n"/>
      <c r="G2341" s="81">
        <f>IF(D2341="","",IFERROR(INDEX('Stock pièces'!$I$5:$I$404,MATCH(D2341,'Stock pièces'!$A$5:$A$404,0)),0))</f>
        <v/>
      </c>
      <c r="H2341" s="81">
        <f>IF(D2341="","",N(F2341)*N(G2341))</f>
        <v/>
      </c>
      <c r="I2341" s="7" t="n"/>
      <c r="J2341" s="9">
        <f>IF(I2341="","",IFERROR(INDEX('Ordres de travail'!$D$5:$D$3004,MATCH(I2341,'Ordres de travail'!$A$5:$A$3004,0)),""))</f>
        <v/>
      </c>
      <c r="K2341" s="9">
        <f>IF(D2341="","",IFERROR(INDEX('Stock pièces'!$D$5:$D$404,MATCH(D2341,'Stock pièces'!$A$5:$A$404,0)),""))</f>
        <v/>
      </c>
      <c r="L2341" s="7" t="n"/>
      <c r="M2341" s="7" t="n"/>
    </row>
    <row r="2342">
      <c r="A2342" s="7" t="n"/>
      <c r="B2342" s="75" t="n"/>
      <c r="C2342" s="7" t="n"/>
      <c r="D2342" s="7" t="n"/>
      <c r="E2342" s="9">
        <f>IF(D2342="","",IFERROR(INDEX('Stock pièces'!$B$5:$B$404,MATCH(D2342,'Stock pièces'!$A$5:$A$404,0)),"Réf. inconnue"))</f>
        <v/>
      </c>
      <c r="F2342" s="67" t="n"/>
      <c r="G2342" s="81">
        <f>IF(D2342="","",IFERROR(INDEX('Stock pièces'!$I$5:$I$404,MATCH(D2342,'Stock pièces'!$A$5:$A$404,0)),0))</f>
        <v/>
      </c>
      <c r="H2342" s="81">
        <f>IF(D2342="","",N(F2342)*N(G2342))</f>
        <v/>
      </c>
      <c r="I2342" s="7" t="n"/>
      <c r="J2342" s="9">
        <f>IF(I2342="","",IFERROR(INDEX('Ordres de travail'!$D$5:$D$3004,MATCH(I2342,'Ordres de travail'!$A$5:$A$3004,0)),""))</f>
        <v/>
      </c>
      <c r="K2342" s="9">
        <f>IF(D2342="","",IFERROR(INDEX('Stock pièces'!$D$5:$D$404,MATCH(D2342,'Stock pièces'!$A$5:$A$404,0)),""))</f>
        <v/>
      </c>
      <c r="L2342" s="7" t="n"/>
      <c r="M2342" s="7" t="n"/>
    </row>
    <row r="2343">
      <c r="A2343" s="7" t="n"/>
      <c r="B2343" s="75" t="n"/>
      <c r="C2343" s="7" t="n"/>
      <c r="D2343" s="7" t="n"/>
      <c r="E2343" s="9">
        <f>IF(D2343="","",IFERROR(INDEX('Stock pièces'!$B$5:$B$404,MATCH(D2343,'Stock pièces'!$A$5:$A$404,0)),"Réf. inconnue"))</f>
        <v/>
      </c>
      <c r="F2343" s="67" t="n"/>
      <c r="G2343" s="81">
        <f>IF(D2343="","",IFERROR(INDEX('Stock pièces'!$I$5:$I$404,MATCH(D2343,'Stock pièces'!$A$5:$A$404,0)),0))</f>
        <v/>
      </c>
      <c r="H2343" s="81">
        <f>IF(D2343="","",N(F2343)*N(G2343))</f>
        <v/>
      </c>
      <c r="I2343" s="7" t="n"/>
      <c r="J2343" s="9">
        <f>IF(I2343="","",IFERROR(INDEX('Ordres de travail'!$D$5:$D$3004,MATCH(I2343,'Ordres de travail'!$A$5:$A$3004,0)),""))</f>
        <v/>
      </c>
      <c r="K2343" s="9">
        <f>IF(D2343="","",IFERROR(INDEX('Stock pièces'!$D$5:$D$404,MATCH(D2343,'Stock pièces'!$A$5:$A$404,0)),""))</f>
        <v/>
      </c>
      <c r="L2343" s="7" t="n"/>
      <c r="M2343" s="7" t="n"/>
    </row>
    <row r="2344">
      <c r="A2344" s="7" t="n"/>
      <c r="B2344" s="75" t="n"/>
      <c r="C2344" s="7" t="n"/>
      <c r="D2344" s="7" t="n"/>
      <c r="E2344" s="9">
        <f>IF(D2344="","",IFERROR(INDEX('Stock pièces'!$B$5:$B$404,MATCH(D2344,'Stock pièces'!$A$5:$A$404,0)),"Réf. inconnue"))</f>
        <v/>
      </c>
      <c r="F2344" s="67" t="n"/>
      <c r="G2344" s="81">
        <f>IF(D2344="","",IFERROR(INDEX('Stock pièces'!$I$5:$I$404,MATCH(D2344,'Stock pièces'!$A$5:$A$404,0)),0))</f>
        <v/>
      </c>
      <c r="H2344" s="81">
        <f>IF(D2344="","",N(F2344)*N(G2344))</f>
        <v/>
      </c>
      <c r="I2344" s="7" t="n"/>
      <c r="J2344" s="9">
        <f>IF(I2344="","",IFERROR(INDEX('Ordres de travail'!$D$5:$D$3004,MATCH(I2344,'Ordres de travail'!$A$5:$A$3004,0)),""))</f>
        <v/>
      </c>
      <c r="K2344" s="9">
        <f>IF(D2344="","",IFERROR(INDEX('Stock pièces'!$D$5:$D$404,MATCH(D2344,'Stock pièces'!$A$5:$A$404,0)),""))</f>
        <v/>
      </c>
      <c r="L2344" s="7" t="n"/>
      <c r="M2344" s="7" t="n"/>
    </row>
    <row r="2345">
      <c r="A2345" s="7" t="n"/>
      <c r="B2345" s="75" t="n"/>
      <c r="C2345" s="7" t="n"/>
      <c r="D2345" s="7" t="n"/>
      <c r="E2345" s="9">
        <f>IF(D2345="","",IFERROR(INDEX('Stock pièces'!$B$5:$B$404,MATCH(D2345,'Stock pièces'!$A$5:$A$404,0)),"Réf. inconnue"))</f>
        <v/>
      </c>
      <c r="F2345" s="67" t="n"/>
      <c r="G2345" s="81">
        <f>IF(D2345="","",IFERROR(INDEX('Stock pièces'!$I$5:$I$404,MATCH(D2345,'Stock pièces'!$A$5:$A$404,0)),0))</f>
        <v/>
      </c>
      <c r="H2345" s="81">
        <f>IF(D2345="","",N(F2345)*N(G2345))</f>
        <v/>
      </c>
      <c r="I2345" s="7" t="n"/>
      <c r="J2345" s="9">
        <f>IF(I2345="","",IFERROR(INDEX('Ordres de travail'!$D$5:$D$3004,MATCH(I2345,'Ordres de travail'!$A$5:$A$3004,0)),""))</f>
        <v/>
      </c>
      <c r="K2345" s="9">
        <f>IF(D2345="","",IFERROR(INDEX('Stock pièces'!$D$5:$D$404,MATCH(D2345,'Stock pièces'!$A$5:$A$404,0)),""))</f>
        <v/>
      </c>
      <c r="L2345" s="7" t="n"/>
      <c r="M2345" s="7" t="n"/>
    </row>
    <row r="2346">
      <c r="A2346" s="7" t="n"/>
      <c r="B2346" s="75" t="n"/>
      <c r="C2346" s="7" t="n"/>
      <c r="D2346" s="7" t="n"/>
      <c r="E2346" s="9">
        <f>IF(D2346="","",IFERROR(INDEX('Stock pièces'!$B$5:$B$404,MATCH(D2346,'Stock pièces'!$A$5:$A$404,0)),"Réf. inconnue"))</f>
        <v/>
      </c>
      <c r="F2346" s="67" t="n"/>
      <c r="G2346" s="81">
        <f>IF(D2346="","",IFERROR(INDEX('Stock pièces'!$I$5:$I$404,MATCH(D2346,'Stock pièces'!$A$5:$A$404,0)),0))</f>
        <v/>
      </c>
      <c r="H2346" s="81">
        <f>IF(D2346="","",N(F2346)*N(G2346))</f>
        <v/>
      </c>
      <c r="I2346" s="7" t="n"/>
      <c r="J2346" s="9">
        <f>IF(I2346="","",IFERROR(INDEX('Ordres de travail'!$D$5:$D$3004,MATCH(I2346,'Ordres de travail'!$A$5:$A$3004,0)),""))</f>
        <v/>
      </c>
      <c r="K2346" s="9">
        <f>IF(D2346="","",IFERROR(INDEX('Stock pièces'!$D$5:$D$404,MATCH(D2346,'Stock pièces'!$A$5:$A$404,0)),""))</f>
        <v/>
      </c>
      <c r="L2346" s="7" t="n"/>
      <c r="M2346" s="7" t="n"/>
    </row>
    <row r="2347">
      <c r="A2347" s="7" t="n"/>
      <c r="B2347" s="75" t="n"/>
      <c r="C2347" s="7" t="n"/>
      <c r="D2347" s="7" t="n"/>
      <c r="E2347" s="9">
        <f>IF(D2347="","",IFERROR(INDEX('Stock pièces'!$B$5:$B$404,MATCH(D2347,'Stock pièces'!$A$5:$A$404,0)),"Réf. inconnue"))</f>
        <v/>
      </c>
      <c r="F2347" s="67" t="n"/>
      <c r="G2347" s="81">
        <f>IF(D2347="","",IFERROR(INDEX('Stock pièces'!$I$5:$I$404,MATCH(D2347,'Stock pièces'!$A$5:$A$404,0)),0))</f>
        <v/>
      </c>
      <c r="H2347" s="81">
        <f>IF(D2347="","",N(F2347)*N(G2347))</f>
        <v/>
      </c>
      <c r="I2347" s="7" t="n"/>
      <c r="J2347" s="9">
        <f>IF(I2347="","",IFERROR(INDEX('Ordres de travail'!$D$5:$D$3004,MATCH(I2347,'Ordres de travail'!$A$5:$A$3004,0)),""))</f>
        <v/>
      </c>
      <c r="K2347" s="9">
        <f>IF(D2347="","",IFERROR(INDEX('Stock pièces'!$D$5:$D$404,MATCH(D2347,'Stock pièces'!$A$5:$A$404,0)),""))</f>
        <v/>
      </c>
      <c r="L2347" s="7" t="n"/>
      <c r="M2347" s="7" t="n"/>
    </row>
    <row r="2348">
      <c r="A2348" s="7" t="n"/>
      <c r="B2348" s="75" t="n"/>
      <c r="C2348" s="7" t="n"/>
      <c r="D2348" s="7" t="n"/>
      <c r="E2348" s="9">
        <f>IF(D2348="","",IFERROR(INDEX('Stock pièces'!$B$5:$B$404,MATCH(D2348,'Stock pièces'!$A$5:$A$404,0)),"Réf. inconnue"))</f>
        <v/>
      </c>
      <c r="F2348" s="67" t="n"/>
      <c r="G2348" s="81">
        <f>IF(D2348="","",IFERROR(INDEX('Stock pièces'!$I$5:$I$404,MATCH(D2348,'Stock pièces'!$A$5:$A$404,0)),0))</f>
        <v/>
      </c>
      <c r="H2348" s="81">
        <f>IF(D2348="","",N(F2348)*N(G2348))</f>
        <v/>
      </c>
      <c r="I2348" s="7" t="n"/>
      <c r="J2348" s="9">
        <f>IF(I2348="","",IFERROR(INDEX('Ordres de travail'!$D$5:$D$3004,MATCH(I2348,'Ordres de travail'!$A$5:$A$3004,0)),""))</f>
        <v/>
      </c>
      <c r="K2348" s="9">
        <f>IF(D2348="","",IFERROR(INDEX('Stock pièces'!$D$5:$D$404,MATCH(D2348,'Stock pièces'!$A$5:$A$404,0)),""))</f>
        <v/>
      </c>
      <c r="L2348" s="7" t="n"/>
      <c r="M2348" s="7" t="n"/>
    </row>
    <row r="2349">
      <c r="A2349" s="7" t="n"/>
      <c r="B2349" s="75" t="n"/>
      <c r="C2349" s="7" t="n"/>
      <c r="D2349" s="7" t="n"/>
      <c r="E2349" s="9">
        <f>IF(D2349="","",IFERROR(INDEX('Stock pièces'!$B$5:$B$404,MATCH(D2349,'Stock pièces'!$A$5:$A$404,0)),"Réf. inconnue"))</f>
        <v/>
      </c>
      <c r="F2349" s="67" t="n"/>
      <c r="G2349" s="81">
        <f>IF(D2349="","",IFERROR(INDEX('Stock pièces'!$I$5:$I$404,MATCH(D2349,'Stock pièces'!$A$5:$A$404,0)),0))</f>
        <v/>
      </c>
      <c r="H2349" s="81">
        <f>IF(D2349="","",N(F2349)*N(G2349))</f>
        <v/>
      </c>
      <c r="I2349" s="7" t="n"/>
      <c r="J2349" s="9">
        <f>IF(I2349="","",IFERROR(INDEX('Ordres de travail'!$D$5:$D$3004,MATCH(I2349,'Ordres de travail'!$A$5:$A$3004,0)),""))</f>
        <v/>
      </c>
      <c r="K2349" s="9">
        <f>IF(D2349="","",IFERROR(INDEX('Stock pièces'!$D$5:$D$404,MATCH(D2349,'Stock pièces'!$A$5:$A$404,0)),""))</f>
        <v/>
      </c>
      <c r="L2349" s="7" t="n"/>
      <c r="M2349" s="7" t="n"/>
    </row>
    <row r="2350">
      <c r="A2350" s="7" t="n"/>
      <c r="B2350" s="75" t="n"/>
      <c r="C2350" s="7" t="n"/>
      <c r="D2350" s="7" t="n"/>
      <c r="E2350" s="9">
        <f>IF(D2350="","",IFERROR(INDEX('Stock pièces'!$B$5:$B$404,MATCH(D2350,'Stock pièces'!$A$5:$A$404,0)),"Réf. inconnue"))</f>
        <v/>
      </c>
      <c r="F2350" s="67" t="n"/>
      <c r="G2350" s="81">
        <f>IF(D2350="","",IFERROR(INDEX('Stock pièces'!$I$5:$I$404,MATCH(D2350,'Stock pièces'!$A$5:$A$404,0)),0))</f>
        <v/>
      </c>
      <c r="H2350" s="81">
        <f>IF(D2350="","",N(F2350)*N(G2350))</f>
        <v/>
      </c>
      <c r="I2350" s="7" t="n"/>
      <c r="J2350" s="9">
        <f>IF(I2350="","",IFERROR(INDEX('Ordres de travail'!$D$5:$D$3004,MATCH(I2350,'Ordres de travail'!$A$5:$A$3004,0)),""))</f>
        <v/>
      </c>
      <c r="K2350" s="9">
        <f>IF(D2350="","",IFERROR(INDEX('Stock pièces'!$D$5:$D$404,MATCH(D2350,'Stock pièces'!$A$5:$A$404,0)),""))</f>
        <v/>
      </c>
      <c r="L2350" s="7" t="n"/>
      <c r="M2350" s="7" t="n"/>
    </row>
    <row r="2351">
      <c r="A2351" s="7" t="n"/>
      <c r="B2351" s="75" t="n"/>
      <c r="C2351" s="7" t="n"/>
      <c r="D2351" s="7" t="n"/>
      <c r="E2351" s="9">
        <f>IF(D2351="","",IFERROR(INDEX('Stock pièces'!$B$5:$B$404,MATCH(D2351,'Stock pièces'!$A$5:$A$404,0)),"Réf. inconnue"))</f>
        <v/>
      </c>
      <c r="F2351" s="67" t="n"/>
      <c r="G2351" s="81">
        <f>IF(D2351="","",IFERROR(INDEX('Stock pièces'!$I$5:$I$404,MATCH(D2351,'Stock pièces'!$A$5:$A$404,0)),0))</f>
        <v/>
      </c>
      <c r="H2351" s="81">
        <f>IF(D2351="","",N(F2351)*N(G2351))</f>
        <v/>
      </c>
      <c r="I2351" s="7" t="n"/>
      <c r="J2351" s="9">
        <f>IF(I2351="","",IFERROR(INDEX('Ordres de travail'!$D$5:$D$3004,MATCH(I2351,'Ordres de travail'!$A$5:$A$3004,0)),""))</f>
        <v/>
      </c>
      <c r="K2351" s="9">
        <f>IF(D2351="","",IFERROR(INDEX('Stock pièces'!$D$5:$D$404,MATCH(D2351,'Stock pièces'!$A$5:$A$404,0)),""))</f>
        <v/>
      </c>
      <c r="L2351" s="7" t="n"/>
      <c r="M2351" s="7" t="n"/>
    </row>
    <row r="2352">
      <c r="A2352" s="7" t="n"/>
      <c r="B2352" s="75" t="n"/>
      <c r="C2352" s="7" t="n"/>
      <c r="D2352" s="7" t="n"/>
      <c r="E2352" s="9">
        <f>IF(D2352="","",IFERROR(INDEX('Stock pièces'!$B$5:$B$404,MATCH(D2352,'Stock pièces'!$A$5:$A$404,0)),"Réf. inconnue"))</f>
        <v/>
      </c>
      <c r="F2352" s="67" t="n"/>
      <c r="G2352" s="81">
        <f>IF(D2352="","",IFERROR(INDEX('Stock pièces'!$I$5:$I$404,MATCH(D2352,'Stock pièces'!$A$5:$A$404,0)),0))</f>
        <v/>
      </c>
      <c r="H2352" s="81">
        <f>IF(D2352="","",N(F2352)*N(G2352))</f>
        <v/>
      </c>
      <c r="I2352" s="7" t="n"/>
      <c r="J2352" s="9">
        <f>IF(I2352="","",IFERROR(INDEX('Ordres de travail'!$D$5:$D$3004,MATCH(I2352,'Ordres de travail'!$A$5:$A$3004,0)),""))</f>
        <v/>
      </c>
      <c r="K2352" s="9">
        <f>IF(D2352="","",IFERROR(INDEX('Stock pièces'!$D$5:$D$404,MATCH(D2352,'Stock pièces'!$A$5:$A$404,0)),""))</f>
        <v/>
      </c>
      <c r="L2352" s="7" t="n"/>
      <c r="M2352" s="7" t="n"/>
    </row>
    <row r="2353">
      <c r="A2353" s="7" t="n"/>
      <c r="B2353" s="75" t="n"/>
      <c r="C2353" s="7" t="n"/>
      <c r="D2353" s="7" t="n"/>
      <c r="E2353" s="9">
        <f>IF(D2353="","",IFERROR(INDEX('Stock pièces'!$B$5:$B$404,MATCH(D2353,'Stock pièces'!$A$5:$A$404,0)),"Réf. inconnue"))</f>
        <v/>
      </c>
      <c r="F2353" s="67" t="n"/>
      <c r="G2353" s="81">
        <f>IF(D2353="","",IFERROR(INDEX('Stock pièces'!$I$5:$I$404,MATCH(D2353,'Stock pièces'!$A$5:$A$404,0)),0))</f>
        <v/>
      </c>
      <c r="H2353" s="81">
        <f>IF(D2353="","",N(F2353)*N(G2353))</f>
        <v/>
      </c>
      <c r="I2353" s="7" t="n"/>
      <c r="J2353" s="9">
        <f>IF(I2353="","",IFERROR(INDEX('Ordres de travail'!$D$5:$D$3004,MATCH(I2353,'Ordres de travail'!$A$5:$A$3004,0)),""))</f>
        <v/>
      </c>
      <c r="K2353" s="9">
        <f>IF(D2353="","",IFERROR(INDEX('Stock pièces'!$D$5:$D$404,MATCH(D2353,'Stock pièces'!$A$5:$A$404,0)),""))</f>
        <v/>
      </c>
      <c r="L2353" s="7" t="n"/>
      <c r="M2353" s="7" t="n"/>
    </row>
    <row r="2354">
      <c r="A2354" s="7" t="n"/>
      <c r="B2354" s="75" t="n"/>
      <c r="C2354" s="7" t="n"/>
      <c r="D2354" s="7" t="n"/>
      <c r="E2354" s="9">
        <f>IF(D2354="","",IFERROR(INDEX('Stock pièces'!$B$5:$B$404,MATCH(D2354,'Stock pièces'!$A$5:$A$404,0)),"Réf. inconnue"))</f>
        <v/>
      </c>
      <c r="F2354" s="67" t="n"/>
      <c r="G2354" s="81">
        <f>IF(D2354="","",IFERROR(INDEX('Stock pièces'!$I$5:$I$404,MATCH(D2354,'Stock pièces'!$A$5:$A$404,0)),0))</f>
        <v/>
      </c>
      <c r="H2354" s="81">
        <f>IF(D2354="","",N(F2354)*N(G2354))</f>
        <v/>
      </c>
      <c r="I2354" s="7" t="n"/>
      <c r="J2354" s="9">
        <f>IF(I2354="","",IFERROR(INDEX('Ordres de travail'!$D$5:$D$3004,MATCH(I2354,'Ordres de travail'!$A$5:$A$3004,0)),""))</f>
        <v/>
      </c>
      <c r="K2354" s="9">
        <f>IF(D2354="","",IFERROR(INDEX('Stock pièces'!$D$5:$D$404,MATCH(D2354,'Stock pièces'!$A$5:$A$404,0)),""))</f>
        <v/>
      </c>
      <c r="L2354" s="7" t="n"/>
      <c r="M2354" s="7" t="n"/>
    </row>
    <row r="2355">
      <c r="A2355" s="7" t="n"/>
      <c r="B2355" s="75" t="n"/>
      <c r="C2355" s="7" t="n"/>
      <c r="D2355" s="7" t="n"/>
      <c r="E2355" s="9">
        <f>IF(D2355="","",IFERROR(INDEX('Stock pièces'!$B$5:$B$404,MATCH(D2355,'Stock pièces'!$A$5:$A$404,0)),"Réf. inconnue"))</f>
        <v/>
      </c>
      <c r="F2355" s="67" t="n"/>
      <c r="G2355" s="81">
        <f>IF(D2355="","",IFERROR(INDEX('Stock pièces'!$I$5:$I$404,MATCH(D2355,'Stock pièces'!$A$5:$A$404,0)),0))</f>
        <v/>
      </c>
      <c r="H2355" s="81">
        <f>IF(D2355="","",N(F2355)*N(G2355))</f>
        <v/>
      </c>
      <c r="I2355" s="7" t="n"/>
      <c r="J2355" s="9">
        <f>IF(I2355="","",IFERROR(INDEX('Ordres de travail'!$D$5:$D$3004,MATCH(I2355,'Ordres de travail'!$A$5:$A$3004,0)),""))</f>
        <v/>
      </c>
      <c r="K2355" s="9">
        <f>IF(D2355="","",IFERROR(INDEX('Stock pièces'!$D$5:$D$404,MATCH(D2355,'Stock pièces'!$A$5:$A$404,0)),""))</f>
        <v/>
      </c>
      <c r="L2355" s="7" t="n"/>
      <c r="M2355" s="7" t="n"/>
    </row>
    <row r="2356">
      <c r="A2356" s="7" t="n"/>
      <c r="B2356" s="75" t="n"/>
      <c r="C2356" s="7" t="n"/>
      <c r="D2356" s="7" t="n"/>
      <c r="E2356" s="9">
        <f>IF(D2356="","",IFERROR(INDEX('Stock pièces'!$B$5:$B$404,MATCH(D2356,'Stock pièces'!$A$5:$A$404,0)),"Réf. inconnue"))</f>
        <v/>
      </c>
      <c r="F2356" s="67" t="n"/>
      <c r="G2356" s="81">
        <f>IF(D2356="","",IFERROR(INDEX('Stock pièces'!$I$5:$I$404,MATCH(D2356,'Stock pièces'!$A$5:$A$404,0)),0))</f>
        <v/>
      </c>
      <c r="H2356" s="81">
        <f>IF(D2356="","",N(F2356)*N(G2356))</f>
        <v/>
      </c>
      <c r="I2356" s="7" t="n"/>
      <c r="J2356" s="9">
        <f>IF(I2356="","",IFERROR(INDEX('Ordres de travail'!$D$5:$D$3004,MATCH(I2356,'Ordres de travail'!$A$5:$A$3004,0)),""))</f>
        <v/>
      </c>
      <c r="K2356" s="9">
        <f>IF(D2356="","",IFERROR(INDEX('Stock pièces'!$D$5:$D$404,MATCH(D2356,'Stock pièces'!$A$5:$A$404,0)),""))</f>
        <v/>
      </c>
      <c r="L2356" s="7" t="n"/>
      <c r="M2356" s="7" t="n"/>
    </row>
    <row r="2357">
      <c r="A2357" s="7" t="n"/>
      <c r="B2357" s="75" t="n"/>
      <c r="C2357" s="7" t="n"/>
      <c r="D2357" s="7" t="n"/>
      <c r="E2357" s="9">
        <f>IF(D2357="","",IFERROR(INDEX('Stock pièces'!$B$5:$B$404,MATCH(D2357,'Stock pièces'!$A$5:$A$404,0)),"Réf. inconnue"))</f>
        <v/>
      </c>
      <c r="F2357" s="67" t="n"/>
      <c r="G2357" s="81">
        <f>IF(D2357="","",IFERROR(INDEX('Stock pièces'!$I$5:$I$404,MATCH(D2357,'Stock pièces'!$A$5:$A$404,0)),0))</f>
        <v/>
      </c>
      <c r="H2357" s="81">
        <f>IF(D2357="","",N(F2357)*N(G2357))</f>
        <v/>
      </c>
      <c r="I2357" s="7" t="n"/>
      <c r="J2357" s="9">
        <f>IF(I2357="","",IFERROR(INDEX('Ordres de travail'!$D$5:$D$3004,MATCH(I2357,'Ordres de travail'!$A$5:$A$3004,0)),""))</f>
        <v/>
      </c>
      <c r="K2357" s="9">
        <f>IF(D2357="","",IFERROR(INDEX('Stock pièces'!$D$5:$D$404,MATCH(D2357,'Stock pièces'!$A$5:$A$404,0)),""))</f>
        <v/>
      </c>
      <c r="L2357" s="7" t="n"/>
      <c r="M2357" s="7" t="n"/>
    </row>
    <row r="2358">
      <c r="A2358" s="7" t="n"/>
      <c r="B2358" s="75" t="n"/>
      <c r="C2358" s="7" t="n"/>
      <c r="D2358" s="7" t="n"/>
      <c r="E2358" s="9">
        <f>IF(D2358="","",IFERROR(INDEX('Stock pièces'!$B$5:$B$404,MATCH(D2358,'Stock pièces'!$A$5:$A$404,0)),"Réf. inconnue"))</f>
        <v/>
      </c>
      <c r="F2358" s="67" t="n"/>
      <c r="G2358" s="81">
        <f>IF(D2358="","",IFERROR(INDEX('Stock pièces'!$I$5:$I$404,MATCH(D2358,'Stock pièces'!$A$5:$A$404,0)),0))</f>
        <v/>
      </c>
      <c r="H2358" s="81">
        <f>IF(D2358="","",N(F2358)*N(G2358))</f>
        <v/>
      </c>
      <c r="I2358" s="7" t="n"/>
      <c r="J2358" s="9">
        <f>IF(I2358="","",IFERROR(INDEX('Ordres de travail'!$D$5:$D$3004,MATCH(I2358,'Ordres de travail'!$A$5:$A$3004,0)),""))</f>
        <v/>
      </c>
      <c r="K2358" s="9">
        <f>IF(D2358="","",IFERROR(INDEX('Stock pièces'!$D$5:$D$404,MATCH(D2358,'Stock pièces'!$A$5:$A$404,0)),""))</f>
        <v/>
      </c>
      <c r="L2358" s="7" t="n"/>
      <c r="M2358" s="7" t="n"/>
    </row>
    <row r="2359">
      <c r="A2359" s="7" t="n"/>
      <c r="B2359" s="75" t="n"/>
      <c r="C2359" s="7" t="n"/>
      <c r="D2359" s="7" t="n"/>
      <c r="E2359" s="9">
        <f>IF(D2359="","",IFERROR(INDEX('Stock pièces'!$B$5:$B$404,MATCH(D2359,'Stock pièces'!$A$5:$A$404,0)),"Réf. inconnue"))</f>
        <v/>
      </c>
      <c r="F2359" s="67" t="n"/>
      <c r="G2359" s="81">
        <f>IF(D2359="","",IFERROR(INDEX('Stock pièces'!$I$5:$I$404,MATCH(D2359,'Stock pièces'!$A$5:$A$404,0)),0))</f>
        <v/>
      </c>
      <c r="H2359" s="81">
        <f>IF(D2359="","",N(F2359)*N(G2359))</f>
        <v/>
      </c>
      <c r="I2359" s="7" t="n"/>
      <c r="J2359" s="9">
        <f>IF(I2359="","",IFERROR(INDEX('Ordres de travail'!$D$5:$D$3004,MATCH(I2359,'Ordres de travail'!$A$5:$A$3004,0)),""))</f>
        <v/>
      </c>
      <c r="K2359" s="9">
        <f>IF(D2359="","",IFERROR(INDEX('Stock pièces'!$D$5:$D$404,MATCH(D2359,'Stock pièces'!$A$5:$A$404,0)),""))</f>
        <v/>
      </c>
      <c r="L2359" s="7" t="n"/>
      <c r="M2359" s="7" t="n"/>
    </row>
    <row r="2360">
      <c r="A2360" s="7" t="n"/>
      <c r="B2360" s="75" t="n"/>
      <c r="C2360" s="7" t="n"/>
      <c r="D2360" s="7" t="n"/>
      <c r="E2360" s="9">
        <f>IF(D2360="","",IFERROR(INDEX('Stock pièces'!$B$5:$B$404,MATCH(D2360,'Stock pièces'!$A$5:$A$404,0)),"Réf. inconnue"))</f>
        <v/>
      </c>
      <c r="F2360" s="67" t="n"/>
      <c r="G2360" s="81">
        <f>IF(D2360="","",IFERROR(INDEX('Stock pièces'!$I$5:$I$404,MATCH(D2360,'Stock pièces'!$A$5:$A$404,0)),0))</f>
        <v/>
      </c>
      <c r="H2360" s="81">
        <f>IF(D2360="","",N(F2360)*N(G2360))</f>
        <v/>
      </c>
      <c r="I2360" s="7" t="n"/>
      <c r="J2360" s="9">
        <f>IF(I2360="","",IFERROR(INDEX('Ordres de travail'!$D$5:$D$3004,MATCH(I2360,'Ordres de travail'!$A$5:$A$3004,0)),""))</f>
        <v/>
      </c>
      <c r="K2360" s="9">
        <f>IF(D2360="","",IFERROR(INDEX('Stock pièces'!$D$5:$D$404,MATCH(D2360,'Stock pièces'!$A$5:$A$404,0)),""))</f>
        <v/>
      </c>
      <c r="L2360" s="7" t="n"/>
      <c r="M2360" s="7" t="n"/>
    </row>
    <row r="2361">
      <c r="A2361" s="7" t="n"/>
      <c r="B2361" s="75" t="n"/>
      <c r="C2361" s="7" t="n"/>
      <c r="D2361" s="7" t="n"/>
      <c r="E2361" s="9">
        <f>IF(D2361="","",IFERROR(INDEX('Stock pièces'!$B$5:$B$404,MATCH(D2361,'Stock pièces'!$A$5:$A$404,0)),"Réf. inconnue"))</f>
        <v/>
      </c>
      <c r="F2361" s="67" t="n"/>
      <c r="G2361" s="81">
        <f>IF(D2361="","",IFERROR(INDEX('Stock pièces'!$I$5:$I$404,MATCH(D2361,'Stock pièces'!$A$5:$A$404,0)),0))</f>
        <v/>
      </c>
      <c r="H2361" s="81">
        <f>IF(D2361="","",N(F2361)*N(G2361))</f>
        <v/>
      </c>
      <c r="I2361" s="7" t="n"/>
      <c r="J2361" s="9">
        <f>IF(I2361="","",IFERROR(INDEX('Ordres de travail'!$D$5:$D$3004,MATCH(I2361,'Ordres de travail'!$A$5:$A$3004,0)),""))</f>
        <v/>
      </c>
      <c r="K2361" s="9">
        <f>IF(D2361="","",IFERROR(INDEX('Stock pièces'!$D$5:$D$404,MATCH(D2361,'Stock pièces'!$A$5:$A$404,0)),""))</f>
        <v/>
      </c>
      <c r="L2361" s="7" t="n"/>
      <c r="M2361" s="7" t="n"/>
    </row>
    <row r="2362">
      <c r="A2362" s="7" t="n"/>
      <c r="B2362" s="75" t="n"/>
      <c r="C2362" s="7" t="n"/>
      <c r="D2362" s="7" t="n"/>
      <c r="E2362" s="9">
        <f>IF(D2362="","",IFERROR(INDEX('Stock pièces'!$B$5:$B$404,MATCH(D2362,'Stock pièces'!$A$5:$A$404,0)),"Réf. inconnue"))</f>
        <v/>
      </c>
      <c r="F2362" s="67" t="n"/>
      <c r="G2362" s="81">
        <f>IF(D2362="","",IFERROR(INDEX('Stock pièces'!$I$5:$I$404,MATCH(D2362,'Stock pièces'!$A$5:$A$404,0)),0))</f>
        <v/>
      </c>
      <c r="H2362" s="81">
        <f>IF(D2362="","",N(F2362)*N(G2362))</f>
        <v/>
      </c>
      <c r="I2362" s="7" t="n"/>
      <c r="J2362" s="9">
        <f>IF(I2362="","",IFERROR(INDEX('Ordres de travail'!$D$5:$D$3004,MATCH(I2362,'Ordres de travail'!$A$5:$A$3004,0)),""))</f>
        <v/>
      </c>
      <c r="K2362" s="9">
        <f>IF(D2362="","",IFERROR(INDEX('Stock pièces'!$D$5:$D$404,MATCH(D2362,'Stock pièces'!$A$5:$A$404,0)),""))</f>
        <v/>
      </c>
      <c r="L2362" s="7" t="n"/>
      <c r="M2362" s="7" t="n"/>
    </row>
    <row r="2363">
      <c r="A2363" s="7" t="n"/>
      <c r="B2363" s="75" t="n"/>
      <c r="C2363" s="7" t="n"/>
      <c r="D2363" s="7" t="n"/>
      <c r="E2363" s="9">
        <f>IF(D2363="","",IFERROR(INDEX('Stock pièces'!$B$5:$B$404,MATCH(D2363,'Stock pièces'!$A$5:$A$404,0)),"Réf. inconnue"))</f>
        <v/>
      </c>
      <c r="F2363" s="67" t="n"/>
      <c r="G2363" s="81">
        <f>IF(D2363="","",IFERROR(INDEX('Stock pièces'!$I$5:$I$404,MATCH(D2363,'Stock pièces'!$A$5:$A$404,0)),0))</f>
        <v/>
      </c>
      <c r="H2363" s="81">
        <f>IF(D2363="","",N(F2363)*N(G2363))</f>
        <v/>
      </c>
      <c r="I2363" s="7" t="n"/>
      <c r="J2363" s="9">
        <f>IF(I2363="","",IFERROR(INDEX('Ordres de travail'!$D$5:$D$3004,MATCH(I2363,'Ordres de travail'!$A$5:$A$3004,0)),""))</f>
        <v/>
      </c>
      <c r="K2363" s="9">
        <f>IF(D2363="","",IFERROR(INDEX('Stock pièces'!$D$5:$D$404,MATCH(D2363,'Stock pièces'!$A$5:$A$404,0)),""))</f>
        <v/>
      </c>
      <c r="L2363" s="7" t="n"/>
      <c r="M2363" s="7" t="n"/>
    </row>
    <row r="2364">
      <c r="A2364" s="7" t="n"/>
      <c r="B2364" s="75" t="n"/>
      <c r="C2364" s="7" t="n"/>
      <c r="D2364" s="7" t="n"/>
      <c r="E2364" s="9">
        <f>IF(D2364="","",IFERROR(INDEX('Stock pièces'!$B$5:$B$404,MATCH(D2364,'Stock pièces'!$A$5:$A$404,0)),"Réf. inconnue"))</f>
        <v/>
      </c>
      <c r="F2364" s="67" t="n"/>
      <c r="G2364" s="81">
        <f>IF(D2364="","",IFERROR(INDEX('Stock pièces'!$I$5:$I$404,MATCH(D2364,'Stock pièces'!$A$5:$A$404,0)),0))</f>
        <v/>
      </c>
      <c r="H2364" s="81">
        <f>IF(D2364="","",N(F2364)*N(G2364))</f>
        <v/>
      </c>
      <c r="I2364" s="7" t="n"/>
      <c r="J2364" s="9">
        <f>IF(I2364="","",IFERROR(INDEX('Ordres de travail'!$D$5:$D$3004,MATCH(I2364,'Ordres de travail'!$A$5:$A$3004,0)),""))</f>
        <v/>
      </c>
      <c r="K2364" s="9">
        <f>IF(D2364="","",IFERROR(INDEX('Stock pièces'!$D$5:$D$404,MATCH(D2364,'Stock pièces'!$A$5:$A$404,0)),""))</f>
        <v/>
      </c>
      <c r="L2364" s="7" t="n"/>
      <c r="M2364" s="7" t="n"/>
    </row>
    <row r="2365">
      <c r="A2365" s="7" t="n"/>
      <c r="B2365" s="75" t="n"/>
      <c r="C2365" s="7" t="n"/>
      <c r="D2365" s="7" t="n"/>
      <c r="E2365" s="9">
        <f>IF(D2365="","",IFERROR(INDEX('Stock pièces'!$B$5:$B$404,MATCH(D2365,'Stock pièces'!$A$5:$A$404,0)),"Réf. inconnue"))</f>
        <v/>
      </c>
      <c r="F2365" s="67" t="n"/>
      <c r="G2365" s="81">
        <f>IF(D2365="","",IFERROR(INDEX('Stock pièces'!$I$5:$I$404,MATCH(D2365,'Stock pièces'!$A$5:$A$404,0)),0))</f>
        <v/>
      </c>
      <c r="H2365" s="81">
        <f>IF(D2365="","",N(F2365)*N(G2365))</f>
        <v/>
      </c>
      <c r="I2365" s="7" t="n"/>
      <c r="J2365" s="9">
        <f>IF(I2365="","",IFERROR(INDEX('Ordres de travail'!$D$5:$D$3004,MATCH(I2365,'Ordres de travail'!$A$5:$A$3004,0)),""))</f>
        <v/>
      </c>
      <c r="K2365" s="9">
        <f>IF(D2365="","",IFERROR(INDEX('Stock pièces'!$D$5:$D$404,MATCH(D2365,'Stock pièces'!$A$5:$A$404,0)),""))</f>
        <v/>
      </c>
      <c r="L2365" s="7" t="n"/>
      <c r="M2365" s="7" t="n"/>
    </row>
    <row r="2366">
      <c r="A2366" s="7" t="n"/>
      <c r="B2366" s="75" t="n"/>
      <c r="C2366" s="7" t="n"/>
      <c r="D2366" s="7" t="n"/>
      <c r="E2366" s="9">
        <f>IF(D2366="","",IFERROR(INDEX('Stock pièces'!$B$5:$B$404,MATCH(D2366,'Stock pièces'!$A$5:$A$404,0)),"Réf. inconnue"))</f>
        <v/>
      </c>
      <c r="F2366" s="67" t="n"/>
      <c r="G2366" s="81">
        <f>IF(D2366="","",IFERROR(INDEX('Stock pièces'!$I$5:$I$404,MATCH(D2366,'Stock pièces'!$A$5:$A$404,0)),0))</f>
        <v/>
      </c>
      <c r="H2366" s="81">
        <f>IF(D2366="","",N(F2366)*N(G2366))</f>
        <v/>
      </c>
      <c r="I2366" s="7" t="n"/>
      <c r="J2366" s="9">
        <f>IF(I2366="","",IFERROR(INDEX('Ordres de travail'!$D$5:$D$3004,MATCH(I2366,'Ordres de travail'!$A$5:$A$3004,0)),""))</f>
        <v/>
      </c>
      <c r="K2366" s="9">
        <f>IF(D2366="","",IFERROR(INDEX('Stock pièces'!$D$5:$D$404,MATCH(D2366,'Stock pièces'!$A$5:$A$404,0)),""))</f>
        <v/>
      </c>
      <c r="L2366" s="7" t="n"/>
      <c r="M2366" s="7" t="n"/>
    </row>
    <row r="2367">
      <c r="A2367" s="7" t="n"/>
      <c r="B2367" s="75" t="n"/>
      <c r="C2367" s="7" t="n"/>
      <c r="D2367" s="7" t="n"/>
      <c r="E2367" s="9">
        <f>IF(D2367="","",IFERROR(INDEX('Stock pièces'!$B$5:$B$404,MATCH(D2367,'Stock pièces'!$A$5:$A$404,0)),"Réf. inconnue"))</f>
        <v/>
      </c>
      <c r="F2367" s="67" t="n"/>
      <c r="G2367" s="81">
        <f>IF(D2367="","",IFERROR(INDEX('Stock pièces'!$I$5:$I$404,MATCH(D2367,'Stock pièces'!$A$5:$A$404,0)),0))</f>
        <v/>
      </c>
      <c r="H2367" s="81">
        <f>IF(D2367="","",N(F2367)*N(G2367))</f>
        <v/>
      </c>
      <c r="I2367" s="7" t="n"/>
      <c r="J2367" s="9">
        <f>IF(I2367="","",IFERROR(INDEX('Ordres de travail'!$D$5:$D$3004,MATCH(I2367,'Ordres de travail'!$A$5:$A$3004,0)),""))</f>
        <v/>
      </c>
      <c r="K2367" s="9">
        <f>IF(D2367="","",IFERROR(INDEX('Stock pièces'!$D$5:$D$404,MATCH(D2367,'Stock pièces'!$A$5:$A$404,0)),""))</f>
        <v/>
      </c>
      <c r="L2367" s="7" t="n"/>
      <c r="M2367" s="7" t="n"/>
    </row>
    <row r="2368">
      <c r="A2368" s="7" t="n"/>
      <c r="B2368" s="75" t="n"/>
      <c r="C2368" s="7" t="n"/>
      <c r="D2368" s="7" t="n"/>
      <c r="E2368" s="9">
        <f>IF(D2368="","",IFERROR(INDEX('Stock pièces'!$B$5:$B$404,MATCH(D2368,'Stock pièces'!$A$5:$A$404,0)),"Réf. inconnue"))</f>
        <v/>
      </c>
      <c r="F2368" s="67" t="n"/>
      <c r="G2368" s="81">
        <f>IF(D2368="","",IFERROR(INDEX('Stock pièces'!$I$5:$I$404,MATCH(D2368,'Stock pièces'!$A$5:$A$404,0)),0))</f>
        <v/>
      </c>
      <c r="H2368" s="81">
        <f>IF(D2368="","",N(F2368)*N(G2368))</f>
        <v/>
      </c>
      <c r="I2368" s="7" t="n"/>
      <c r="J2368" s="9">
        <f>IF(I2368="","",IFERROR(INDEX('Ordres de travail'!$D$5:$D$3004,MATCH(I2368,'Ordres de travail'!$A$5:$A$3004,0)),""))</f>
        <v/>
      </c>
      <c r="K2368" s="9">
        <f>IF(D2368="","",IFERROR(INDEX('Stock pièces'!$D$5:$D$404,MATCH(D2368,'Stock pièces'!$A$5:$A$404,0)),""))</f>
        <v/>
      </c>
      <c r="L2368" s="7" t="n"/>
      <c r="M2368" s="7" t="n"/>
    </row>
    <row r="2369">
      <c r="A2369" s="7" t="n"/>
      <c r="B2369" s="75" t="n"/>
      <c r="C2369" s="7" t="n"/>
      <c r="D2369" s="7" t="n"/>
      <c r="E2369" s="9">
        <f>IF(D2369="","",IFERROR(INDEX('Stock pièces'!$B$5:$B$404,MATCH(D2369,'Stock pièces'!$A$5:$A$404,0)),"Réf. inconnue"))</f>
        <v/>
      </c>
      <c r="F2369" s="67" t="n"/>
      <c r="G2369" s="81">
        <f>IF(D2369="","",IFERROR(INDEX('Stock pièces'!$I$5:$I$404,MATCH(D2369,'Stock pièces'!$A$5:$A$404,0)),0))</f>
        <v/>
      </c>
      <c r="H2369" s="81">
        <f>IF(D2369="","",N(F2369)*N(G2369))</f>
        <v/>
      </c>
      <c r="I2369" s="7" t="n"/>
      <c r="J2369" s="9">
        <f>IF(I2369="","",IFERROR(INDEX('Ordres de travail'!$D$5:$D$3004,MATCH(I2369,'Ordres de travail'!$A$5:$A$3004,0)),""))</f>
        <v/>
      </c>
      <c r="K2369" s="9">
        <f>IF(D2369="","",IFERROR(INDEX('Stock pièces'!$D$5:$D$404,MATCH(D2369,'Stock pièces'!$A$5:$A$404,0)),""))</f>
        <v/>
      </c>
      <c r="L2369" s="7" t="n"/>
      <c r="M2369" s="7" t="n"/>
    </row>
    <row r="2370">
      <c r="A2370" s="7" t="n"/>
      <c r="B2370" s="75" t="n"/>
      <c r="C2370" s="7" t="n"/>
      <c r="D2370" s="7" t="n"/>
      <c r="E2370" s="9">
        <f>IF(D2370="","",IFERROR(INDEX('Stock pièces'!$B$5:$B$404,MATCH(D2370,'Stock pièces'!$A$5:$A$404,0)),"Réf. inconnue"))</f>
        <v/>
      </c>
      <c r="F2370" s="67" t="n"/>
      <c r="G2370" s="81">
        <f>IF(D2370="","",IFERROR(INDEX('Stock pièces'!$I$5:$I$404,MATCH(D2370,'Stock pièces'!$A$5:$A$404,0)),0))</f>
        <v/>
      </c>
      <c r="H2370" s="81">
        <f>IF(D2370="","",N(F2370)*N(G2370))</f>
        <v/>
      </c>
      <c r="I2370" s="7" t="n"/>
      <c r="J2370" s="9">
        <f>IF(I2370="","",IFERROR(INDEX('Ordres de travail'!$D$5:$D$3004,MATCH(I2370,'Ordres de travail'!$A$5:$A$3004,0)),""))</f>
        <v/>
      </c>
      <c r="K2370" s="9">
        <f>IF(D2370="","",IFERROR(INDEX('Stock pièces'!$D$5:$D$404,MATCH(D2370,'Stock pièces'!$A$5:$A$404,0)),""))</f>
        <v/>
      </c>
      <c r="L2370" s="7" t="n"/>
      <c r="M2370" s="7" t="n"/>
    </row>
    <row r="2371">
      <c r="A2371" s="7" t="n"/>
      <c r="B2371" s="75" t="n"/>
      <c r="C2371" s="7" t="n"/>
      <c r="D2371" s="7" t="n"/>
      <c r="E2371" s="9">
        <f>IF(D2371="","",IFERROR(INDEX('Stock pièces'!$B$5:$B$404,MATCH(D2371,'Stock pièces'!$A$5:$A$404,0)),"Réf. inconnue"))</f>
        <v/>
      </c>
      <c r="F2371" s="67" t="n"/>
      <c r="G2371" s="81">
        <f>IF(D2371="","",IFERROR(INDEX('Stock pièces'!$I$5:$I$404,MATCH(D2371,'Stock pièces'!$A$5:$A$404,0)),0))</f>
        <v/>
      </c>
      <c r="H2371" s="81">
        <f>IF(D2371="","",N(F2371)*N(G2371))</f>
        <v/>
      </c>
      <c r="I2371" s="7" t="n"/>
      <c r="J2371" s="9">
        <f>IF(I2371="","",IFERROR(INDEX('Ordres de travail'!$D$5:$D$3004,MATCH(I2371,'Ordres de travail'!$A$5:$A$3004,0)),""))</f>
        <v/>
      </c>
      <c r="K2371" s="9">
        <f>IF(D2371="","",IFERROR(INDEX('Stock pièces'!$D$5:$D$404,MATCH(D2371,'Stock pièces'!$A$5:$A$404,0)),""))</f>
        <v/>
      </c>
      <c r="L2371" s="7" t="n"/>
      <c r="M2371" s="7" t="n"/>
    </row>
    <row r="2372">
      <c r="A2372" s="7" t="n"/>
      <c r="B2372" s="75" t="n"/>
      <c r="C2372" s="7" t="n"/>
      <c r="D2372" s="7" t="n"/>
      <c r="E2372" s="9">
        <f>IF(D2372="","",IFERROR(INDEX('Stock pièces'!$B$5:$B$404,MATCH(D2372,'Stock pièces'!$A$5:$A$404,0)),"Réf. inconnue"))</f>
        <v/>
      </c>
      <c r="F2372" s="67" t="n"/>
      <c r="G2372" s="81">
        <f>IF(D2372="","",IFERROR(INDEX('Stock pièces'!$I$5:$I$404,MATCH(D2372,'Stock pièces'!$A$5:$A$404,0)),0))</f>
        <v/>
      </c>
      <c r="H2372" s="81">
        <f>IF(D2372="","",N(F2372)*N(G2372))</f>
        <v/>
      </c>
      <c r="I2372" s="7" t="n"/>
      <c r="J2372" s="9">
        <f>IF(I2372="","",IFERROR(INDEX('Ordres de travail'!$D$5:$D$3004,MATCH(I2372,'Ordres de travail'!$A$5:$A$3004,0)),""))</f>
        <v/>
      </c>
      <c r="K2372" s="9">
        <f>IF(D2372="","",IFERROR(INDEX('Stock pièces'!$D$5:$D$404,MATCH(D2372,'Stock pièces'!$A$5:$A$404,0)),""))</f>
        <v/>
      </c>
      <c r="L2372" s="7" t="n"/>
      <c r="M2372" s="7" t="n"/>
    </row>
    <row r="2373">
      <c r="A2373" s="7" t="n"/>
      <c r="B2373" s="75" t="n"/>
      <c r="C2373" s="7" t="n"/>
      <c r="D2373" s="7" t="n"/>
      <c r="E2373" s="9">
        <f>IF(D2373="","",IFERROR(INDEX('Stock pièces'!$B$5:$B$404,MATCH(D2373,'Stock pièces'!$A$5:$A$404,0)),"Réf. inconnue"))</f>
        <v/>
      </c>
      <c r="F2373" s="67" t="n"/>
      <c r="G2373" s="81">
        <f>IF(D2373="","",IFERROR(INDEX('Stock pièces'!$I$5:$I$404,MATCH(D2373,'Stock pièces'!$A$5:$A$404,0)),0))</f>
        <v/>
      </c>
      <c r="H2373" s="81">
        <f>IF(D2373="","",N(F2373)*N(G2373))</f>
        <v/>
      </c>
      <c r="I2373" s="7" t="n"/>
      <c r="J2373" s="9">
        <f>IF(I2373="","",IFERROR(INDEX('Ordres de travail'!$D$5:$D$3004,MATCH(I2373,'Ordres de travail'!$A$5:$A$3004,0)),""))</f>
        <v/>
      </c>
      <c r="K2373" s="9">
        <f>IF(D2373="","",IFERROR(INDEX('Stock pièces'!$D$5:$D$404,MATCH(D2373,'Stock pièces'!$A$5:$A$404,0)),""))</f>
        <v/>
      </c>
      <c r="L2373" s="7" t="n"/>
      <c r="M2373" s="7" t="n"/>
    </row>
    <row r="2374">
      <c r="A2374" s="7" t="n"/>
      <c r="B2374" s="75" t="n"/>
      <c r="C2374" s="7" t="n"/>
      <c r="D2374" s="7" t="n"/>
      <c r="E2374" s="9">
        <f>IF(D2374="","",IFERROR(INDEX('Stock pièces'!$B$5:$B$404,MATCH(D2374,'Stock pièces'!$A$5:$A$404,0)),"Réf. inconnue"))</f>
        <v/>
      </c>
      <c r="F2374" s="67" t="n"/>
      <c r="G2374" s="81">
        <f>IF(D2374="","",IFERROR(INDEX('Stock pièces'!$I$5:$I$404,MATCH(D2374,'Stock pièces'!$A$5:$A$404,0)),0))</f>
        <v/>
      </c>
      <c r="H2374" s="81">
        <f>IF(D2374="","",N(F2374)*N(G2374))</f>
        <v/>
      </c>
      <c r="I2374" s="7" t="n"/>
      <c r="J2374" s="9">
        <f>IF(I2374="","",IFERROR(INDEX('Ordres de travail'!$D$5:$D$3004,MATCH(I2374,'Ordres de travail'!$A$5:$A$3004,0)),""))</f>
        <v/>
      </c>
      <c r="K2374" s="9">
        <f>IF(D2374="","",IFERROR(INDEX('Stock pièces'!$D$5:$D$404,MATCH(D2374,'Stock pièces'!$A$5:$A$404,0)),""))</f>
        <v/>
      </c>
      <c r="L2374" s="7" t="n"/>
      <c r="M2374" s="7" t="n"/>
    </row>
    <row r="2375">
      <c r="A2375" s="7" t="n"/>
      <c r="B2375" s="75" t="n"/>
      <c r="C2375" s="7" t="n"/>
      <c r="D2375" s="7" t="n"/>
      <c r="E2375" s="9">
        <f>IF(D2375="","",IFERROR(INDEX('Stock pièces'!$B$5:$B$404,MATCH(D2375,'Stock pièces'!$A$5:$A$404,0)),"Réf. inconnue"))</f>
        <v/>
      </c>
      <c r="F2375" s="67" t="n"/>
      <c r="G2375" s="81">
        <f>IF(D2375="","",IFERROR(INDEX('Stock pièces'!$I$5:$I$404,MATCH(D2375,'Stock pièces'!$A$5:$A$404,0)),0))</f>
        <v/>
      </c>
      <c r="H2375" s="81">
        <f>IF(D2375="","",N(F2375)*N(G2375))</f>
        <v/>
      </c>
      <c r="I2375" s="7" t="n"/>
      <c r="J2375" s="9">
        <f>IF(I2375="","",IFERROR(INDEX('Ordres de travail'!$D$5:$D$3004,MATCH(I2375,'Ordres de travail'!$A$5:$A$3004,0)),""))</f>
        <v/>
      </c>
      <c r="K2375" s="9">
        <f>IF(D2375="","",IFERROR(INDEX('Stock pièces'!$D$5:$D$404,MATCH(D2375,'Stock pièces'!$A$5:$A$404,0)),""))</f>
        <v/>
      </c>
      <c r="L2375" s="7" t="n"/>
      <c r="M2375" s="7" t="n"/>
    </row>
    <row r="2376">
      <c r="A2376" s="7" t="n"/>
      <c r="B2376" s="75" t="n"/>
      <c r="C2376" s="7" t="n"/>
      <c r="D2376" s="7" t="n"/>
      <c r="E2376" s="9">
        <f>IF(D2376="","",IFERROR(INDEX('Stock pièces'!$B$5:$B$404,MATCH(D2376,'Stock pièces'!$A$5:$A$404,0)),"Réf. inconnue"))</f>
        <v/>
      </c>
      <c r="F2376" s="67" t="n"/>
      <c r="G2376" s="81">
        <f>IF(D2376="","",IFERROR(INDEX('Stock pièces'!$I$5:$I$404,MATCH(D2376,'Stock pièces'!$A$5:$A$404,0)),0))</f>
        <v/>
      </c>
      <c r="H2376" s="81">
        <f>IF(D2376="","",N(F2376)*N(G2376))</f>
        <v/>
      </c>
      <c r="I2376" s="7" t="n"/>
      <c r="J2376" s="9">
        <f>IF(I2376="","",IFERROR(INDEX('Ordres de travail'!$D$5:$D$3004,MATCH(I2376,'Ordres de travail'!$A$5:$A$3004,0)),""))</f>
        <v/>
      </c>
      <c r="K2376" s="9">
        <f>IF(D2376="","",IFERROR(INDEX('Stock pièces'!$D$5:$D$404,MATCH(D2376,'Stock pièces'!$A$5:$A$404,0)),""))</f>
        <v/>
      </c>
      <c r="L2376" s="7" t="n"/>
      <c r="M2376" s="7" t="n"/>
    </row>
    <row r="2377">
      <c r="A2377" s="7" t="n"/>
      <c r="B2377" s="75" t="n"/>
      <c r="C2377" s="7" t="n"/>
      <c r="D2377" s="7" t="n"/>
      <c r="E2377" s="9">
        <f>IF(D2377="","",IFERROR(INDEX('Stock pièces'!$B$5:$B$404,MATCH(D2377,'Stock pièces'!$A$5:$A$404,0)),"Réf. inconnue"))</f>
        <v/>
      </c>
      <c r="F2377" s="67" t="n"/>
      <c r="G2377" s="81">
        <f>IF(D2377="","",IFERROR(INDEX('Stock pièces'!$I$5:$I$404,MATCH(D2377,'Stock pièces'!$A$5:$A$404,0)),0))</f>
        <v/>
      </c>
      <c r="H2377" s="81">
        <f>IF(D2377="","",N(F2377)*N(G2377))</f>
        <v/>
      </c>
      <c r="I2377" s="7" t="n"/>
      <c r="J2377" s="9">
        <f>IF(I2377="","",IFERROR(INDEX('Ordres de travail'!$D$5:$D$3004,MATCH(I2377,'Ordres de travail'!$A$5:$A$3004,0)),""))</f>
        <v/>
      </c>
      <c r="K2377" s="9">
        <f>IF(D2377="","",IFERROR(INDEX('Stock pièces'!$D$5:$D$404,MATCH(D2377,'Stock pièces'!$A$5:$A$404,0)),""))</f>
        <v/>
      </c>
      <c r="L2377" s="7" t="n"/>
      <c r="M2377" s="7" t="n"/>
    </row>
    <row r="2378">
      <c r="A2378" s="7" t="n"/>
      <c r="B2378" s="75" t="n"/>
      <c r="C2378" s="7" t="n"/>
      <c r="D2378" s="7" t="n"/>
      <c r="E2378" s="9">
        <f>IF(D2378="","",IFERROR(INDEX('Stock pièces'!$B$5:$B$404,MATCH(D2378,'Stock pièces'!$A$5:$A$404,0)),"Réf. inconnue"))</f>
        <v/>
      </c>
      <c r="F2378" s="67" t="n"/>
      <c r="G2378" s="81">
        <f>IF(D2378="","",IFERROR(INDEX('Stock pièces'!$I$5:$I$404,MATCH(D2378,'Stock pièces'!$A$5:$A$404,0)),0))</f>
        <v/>
      </c>
      <c r="H2378" s="81">
        <f>IF(D2378="","",N(F2378)*N(G2378))</f>
        <v/>
      </c>
      <c r="I2378" s="7" t="n"/>
      <c r="J2378" s="9">
        <f>IF(I2378="","",IFERROR(INDEX('Ordres de travail'!$D$5:$D$3004,MATCH(I2378,'Ordres de travail'!$A$5:$A$3004,0)),""))</f>
        <v/>
      </c>
      <c r="K2378" s="9">
        <f>IF(D2378="","",IFERROR(INDEX('Stock pièces'!$D$5:$D$404,MATCH(D2378,'Stock pièces'!$A$5:$A$404,0)),""))</f>
        <v/>
      </c>
      <c r="L2378" s="7" t="n"/>
      <c r="M2378" s="7" t="n"/>
    </row>
    <row r="2379">
      <c r="A2379" s="7" t="n"/>
      <c r="B2379" s="75" t="n"/>
      <c r="C2379" s="7" t="n"/>
      <c r="D2379" s="7" t="n"/>
      <c r="E2379" s="9">
        <f>IF(D2379="","",IFERROR(INDEX('Stock pièces'!$B$5:$B$404,MATCH(D2379,'Stock pièces'!$A$5:$A$404,0)),"Réf. inconnue"))</f>
        <v/>
      </c>
      <c r="F2379" s="67" t="n"/>
      <c r="G2379" s="81">
        <f>IF(D2379="","",IFERROR(INDEX('Stock pièces'!$I$5:$I$404,MATCH(D2379,'Stock pièces'!$A$5:$A$404,0)),0))</f>
        <v/>
      </c>
      <c r="H2379" s="81">
        <f>IF(D2379="","",N(F2379)*N(G2379))</f>
        <v/>
      </c>
      <c r="I2379" s="7" t="n"/>
      <c r="J2379" s="9">
        <f>IF(I2379="","",IFERROR(INDEX('Ordres de travail'!$D$5:$D$3004,MATCH(I2379,'Ordres de travail'!$A$5:$A$3004,0)),""))</f>
        <v/>
      </c>
      <c r="K2379" s="9">
        <f>IF(D2379="","",IFERROR(INDEX('Stock pièces'!$D$5:$D$404,MATCH(D2379,'Stock pièces'!$A$5:$A$404,0)),""))</f>
        <v/>
      </c>
      <c r="L2379" s="7" t="n"/>
      <c r="M2379" s="7" t="n"/>
    </row>
    <row r="2380">
      <c r="A2380" s="7" t="n"/>
      <c r="B2380" s="75" t="n"/>
      <c r="C2380" s="7" t="n"/>
      <c r="D2380" s="7" t="n"/>
      <c r="E2380" s="9">
        <f>IF(D2380="","",IFERROR(INDEX('Stock pièces'!$B$5:$B$404,MATCH(D2380,'Stock pièces'!$A$5:$A$404,0)),"Réf. inconnue"))</f>
        <v/>
      </c>
      <c r="F2380" s="67" t="n"/>
      <c r="G2380" s="81">
        <f>IF(D2380="","",IFERROR(INDEX('Stock pièces'!$I$5:$I$404,MATCH(D2380,'Stock pièces'!$A$5:$A$404,0)),0))</f>
        <v/>
      </c>
      <c r="H2380" s="81">
        <f>IF(D2380="","",N(F2380)*N(G2380))</f>
        <v/>
      </c>
      <c r="I2380" s="7" t="n"/>
      <c r="J2380" s="9">
        <f>IF(I2380="","",IFERROR(INDEX('Ordres de travail'!$D$5:$D$3004,MATCH(I2380,'Ordres de travail'!$A$5:$A$3004,0)),""))</f>
        <v/>
      </c>
      <c r="K2380" s="9">
        <f>IF(D2380="","",IFERROR(INDEX('Stock pièces'!$D$5:$D$404,MATCH(D2380,'Stock pièces'!$A$5:$A$404,0)),""))</f>
        <v/>
      </c>
      <c r="L2380" s="7" t="n"/>
      <c r="M2380" s="7" t="n"/>
    </row>
    <row r="2381">
      <c r="A2381" s="7" t="n"/>
      <c r="B2381" s="75" t="n"/>
      <c r="C2381" s="7" t="n"/>
      <c r="D2381" s="7" t="n"/>
      <c r="E2381" s="9">
        <f>IF(D2381="","",IFERROR(INDEX('Stock pièces'!$B$5:$B$404,MATCH(D2381,'Stock pièces'!$A$5:$A$404,0)),"Réf. inconnue"))</f>
        <v/>
      </c>
      <c r="F2381" s="67" t="n"/>
      <c r="G2381" s="81">
        <f>IF(D2381="","",IFERROR(INDEX('Stock pièces'!$I$5:$I$404,MATCH(D2381,'Stock pièces'!$A$5:$A$404,0)),0))</f>
        <v/>
      </c>
      <c r="H2381" s="81">
        <f>IF(D2381="","",N(F2381)*N(G2381))</f>
        <v/>
      </c>
      <c r="I2381" s="7" t="n"/>
      <c r="J2381" s="9">
        <f>IF(I2381="","",IFERROR(INDEX('Ordres de travail'!$D$5:$D$3004,MATCH(I2381,'Ordres de travail'!$A$5:$A$3004,0)),""))</f>
        <v/>
      </c>
      <c r="K2381" s="9">
        <f>IF(D2381="","",IFERROR(INDEX('Stock pièces'!$D$5:$D$404,MATCH(D2381,'Stock pièces'!$A$5:$A$404,0)),""))</f>
        <v/>
      </c>
      <c r="L2381" s="7" t="n"/>
      <c r="M2381" s="7" t="n"/>
    </row>
    <row r="2382">
      <c r="A2382" s="7" t="n"/>
      <c r="B2382" s="75" t="n"/>
      <c r="C2382" s="7" t="n"/>
      <c r="D2382" s="7" t="n"/>
      <c r="E2382" s="9">
        <f>IF(D2382="","",IFERROR(INDEX('Stock pièces'!$B$5:$B$404,MATCH(D2382,'Stock pièces'!$A$5:$A$404,0)),"Réf. inconnue"))</f>
        <v/>
      </c>
      <c r="F2382" s="67" t="n"/>
      <c r="G2382" s="81">
        <f>IF(D2382="","",IFERROR(INDEX('Stock pièces'!$I$5:$I$404,MATCH(D2382,'Stock pièces'!$A$5:$A$404,0)),0))</f>
        <v/>
      </c>
      <c r="H2382" s="81">
        <f>IF(D2382="","",N(F2382)*N(G2382))</f>
        <v/>
      </c>
      <c r="I2382" s="7" t="n"/>
      <c r="J2382" s="9">
        <f>IF(I2382="","",IFERROR(INDEX('Ordres de travail'!$D$5:$D$3004,MATCH(I2382,'Ordres de travail'!$A$5:$A$3004,0)),""))</f>
        <v/>
      </c>
      <c r="K2382" s="9">
        <f>IF(D2382="","",IFERROR(INDEX('Stock pièces'!$D$5:$D$404,MATCH(D2382,'Stock pièces'!$A$5:$A$404,0)),""))</f>
        <v/>
      </c>
      <c r="L2382" s="7" t="n"/>
      <c r="M2382" s="7" t="n"/>
    </row>
    <row r="2383">
      <c r="A2383" s="7" t="n"/>
      <c r="B2383" s="75" t="n"/>
      <c r="C2383" s="7" t="n"/>
      <c r="D2383" s="7" t="n"/>
      <c r="E2383" s="9">
        <f>IF(D2383="","",IFERROR(INDEX('Stock pièces'!$B$5:$B$404,MATCH(D2383,'Stock pièces'!$A$5:$A$404,0)),"Réf. inconnue"))</f>
        <v/>
      </c>
      <c r="F2383" s="67" t="n"/>
      <c r="G2383" s="81">
        <f>IF(D2383="","",IFERROR(INDEX('Stock pièces'!$I$5:$I$404,MATCH(D2383,'Stock pièces'!$A$5:$A$404,0)),0))</f>
        <v/>
      </c>
      <c r="H2383" s="81">
        <f>IF(D2383="","",N(F2383)*N(G2383))</f>
        <v/>
      </c>
      <c r="I2383" s="7" t="n"/>
      <c r="J2383" s="9">
        <f>IF(I2383="","",IFERROR(INDEX('Ordres de travail'!$D$5:$D$3004,MATCH(I2383,'Ordres de travail'!$A$5:$A$3004,0)),""))</f>
        <v/>
      </c>
      <c r="K2383" s="9">
        <f>IF(D2383="","",IFERROR(INDEX('Stock pièces'!$D$5:$D$404,MATCH(D2383,'Stock pièces'!$A$5:$A$404,0)),""))</f>
        <v/>
      </c>
      <c r="L2383" s="7" t="n"/>
      <c r="M2383" s="7" t="n"/>
    </row>
    <row r="2384">
      <c r="A2384" s="7" t="n"/>
      <c r="B2384" s="75" t="n"/>
      <c r="C2384" s="7" t="n"/>
      <c r="D2384" s="7" t="n"/>
      <c r="E2384" s="9">
        <f>IF(D2384="","",IFERROR(INDEX('Stock pièces'!$B$5:$B$404,MATCH(D2384,'Stock pièces'!$A$5:$A$404,0)),"Réf. inconnue"))</f>
        <v/>
      </c>
      <c r="F2384" s="67" t="n"/>
      <c r="G2384" s="81">
        <f>IF(D2384="","",IFERROR(INDEX('Stock pièces'!$I$5:$I$404,MATCH(D2384,'Stock pièces'!$A$5:$A$404,0)),0))</f>
        <v/>
      </c>
      <c r="H2384" s="81">
        <f>IF(D2384="","",N(F2384)*N(G2384))</f>
        <v/>
      </c>
      <c r="I2384" s="7" t="n"/>
      <c r="J2384" s="9">
        <f>IF(I2384="","",IFERROR(INDEX('Ordres de travail'!$D$5:$D$3004,MATCH(I2384,'Ordres de travail'!$A$5:$A$3004,0)),""))</f>
        <v/>
      </c>
      <c r="K2384" s="9">
        <f>IF(D2384="","",IFERROR(INDEX('Stock pièces'!$D$5:$D$404,MATCH(D2384,'Stock pièces'!$A$5:$A$404,0)),""))</f>
        <v/>
      </c>
      <c r="L2384" s="7" t="n"/>
      <c r="M2384" s="7" t="n"/>
    </row>
    <row r="2385">
      <c r="A2385" s="7" t="n"/>
      <c r="B2385" s="75" t="n"/>
      <c r="C2385" s="7" t="n"/>
      <c r="D2385" s="7" t="n"/>
      <c r="E2385" s="9">
        <f>IF(D2385="","",IFERROR(INDEX('Stock pièces'!$B$5:$B$404,MATCH(D2385,'Stock pièces'!$A$5:$A$404,0)),"Réf. inconnue"))</f>
        <v/>
      </c>
      <c r="F2385" s="67" t="n"/>
      <c r="G2385" s="81">
        <f>IF(D2385="","",IFERROR(INDEX('Stock pièces'!$I$5:$I$404,MATCH(D2385,'Stock pièces'!$A$5:$A$404,0)),0))</f>
        <v/>
      </c>
      <c r="H2385" s="81">
        <f>IF(D2385="","",N(F2385)*N(G2385))</f>
        <v/>
      </c>
      <c r="I2385" s="7" t="n"/>
      <c r="J2385" s="9">
        <f>IF(I2385="","",IFERROR(INDEX('Ordres de travail'!$D$5:$D$3004,MATCH(I2385,'Ordres de travail'!$A$5:$A$3004,0)),""))</f>
        <v/>
      </c>
      <c r="K2385" s="9">
        <f>IF(D2385="","",IFERROR(INDEX('Stock pièces'!$D$5:$D$404,MATCH(D2385,'Stock pièces'!$A$5:$A$404,0)),""))</f>
        <v/>
      </c>
      <c r="L2385" s="7" t="n"/>
      <c r="M2385" s="7" t="n"/>
    </row>
    <row r="2386">
      <c r="A2386" s="7" t="n"/>
      <c r="B2386" s="75" t="n"/>
      <c r="C2386" s="7" t="n"/>
      <c r="D2386" s="7" t="n"/>
      <c r="E2386" s="9">
        <f>IF(D2386="","",IFERROR(INDEX('Stock pièces'!$B$5:$B$404,MATCH(D2386,'Stock pièces'!$A$5:$A$404,0)),"Réf. inconnue"))</f>
        <v/>
      </c>
      <c r="F2386" s="67" t="n"/>
      <c r="G2386" s="81">
        <f>IF(D2386="","",IFERROR(INDEX('Stock pièces'!$I$5:$I$404,MATCH(D2386,'Stock pièces'!$A$5:$A$404,0)),0))</f>
        <v/>
      </c>
      <c r="H2386" s="81">
        <f>IF(D2386="","",N(F2386)*N(G2386))</f>
        <v/>
      </c>
      <c r="I2386" s="7" t="n"/>
      <c r="J2386" s="9">
        <f>IF(I2386="","",IFERROR(INDEX('Ordres de travail'!$D$5:$D$3004,MATCH(I2386,'Ordres de travail'!$A$5:$A$3004,0)),""))</f>
        <v/>
      </c>
      <c r="K2386" s="9">
        <f>IF(D2386="","",IFERROR(INDEX('Stock pièces'!$D$5:$D$404,MATCH(D2386,'Stock pièces'!$A$5:$A$404,0)),""))</f>
        <v/>
      </c>
      <c r="L2386" s="7" t="n"/>
      <c r="M2386" s="7" t="n"/>
    </row>
    <row r="2387">
      <c r="A2387" s="7" t="n"/>
      <c r="B2387" s="75" t="n"/>
      <c r="C2387" s="7" t="n"/>
      <c r="D2387" s="7" t="n"/>
      <c r="E2387" s="9">
        <f>IF(D2387="","",IFERROR(INDEX('Stock pièces'!$B$5:$B$404,MATCH(D2387,'Stock pièces'!$A$5:$A$404,0)),"Réf. inconnue"))</f>
        <v/>
      </c>
      <c r="F2387" s="67" t="n"/>
      <c r="G2387" s="81">
        <f>IF(D2387="","",IFERROR(INDEX('Stock pièces'!$I$5:$I$404,MATCH(D2387,'Stock pièces'!$A$5:$A$404,0)),0))</f>
        <v/>
      </c>
      <c r="H2387" s="81">
        <f>IF(D2387="","",N(F2387)*N(G2387))</f>
        <v/>
      </c>
      <c r="I2387" s="7" t="n"/>
      <c r="J2387" s="9">
        <f>IF(I2387="","",IFERROR(INDEX('Ordres de travail'!$D$5:$D$3004,MATCH(I2387,'Ordres de travail'!$A$5:$A$3004,0)),""))</f>
        <v/>
      </c>
      <c r="K2387" s="9">
        <f>IF(D2387="","",IFERROR(INDEX('Stock pièces'!$D$5:$D$404,MATCH(D2387,'Stock pièces'!$A$5:$A$404,0)),""))</f>
        <v/>
      </c>
      <c r="L2387" s="7" t="n"/>
      <c r="M2387" s="7" t="n"/>
    </row>
    <row r="2388">
      <c r="A2388" s="7" t="n"/>
      <c r="B2388" s="75" t="n"/>
      <c r="C2388" s="7" t="n"/>
      <c r="D2388" s="7" t="n"/>
      <c r="E2388" s="9">
        <f>IF(D2388="","",IFERROR(INDEX('Stock pièces'!$B$5:$B$404,MATCH(D2388,'Stock pièces'!$A$5:$A$404,0)),"Réf. inconnue"))</f>
        <v/>
      </c>
      <c r="F2388" s="67" t="n"/>
      <c r="G2388" s="81">
        <f>IF(D2388="","",IFERROR(INDEX('Stock pièces'!$I$5:$I$404,MATCH(D2388,'Stock pièces'!$A$5:$A$404,0)),0))</f>
        <v/>
      </c>
      <c r="H2388" s="81">
        <f>IF(D2388="","",N(F2388)*N(G2388))</f>
        <v/>
      </c>
      <c r="I2388" s="7" t="n"/>
      <c r="J2388" s="9">
        <f>IF(I2388="","",IFERROR(INDEX('Ordres de travail'!$D$5:$D$3004,MATCH(I2388,'Ordres de travail'!$A$5:$A$3004,0)),""))</f>
        <v/>
      </c>
      <c r="K2388" s="9">
        <f>IF(D2388="","",IFERROR(INDEX('Stock pièces'!$D$5:$D$404,MATCH(D2388,'Stock pièces'!$A$5:$A$404,0)),""))</f>
        <v/>
      </c>
      <c r="L2388" s="7" t="n"/>
      <c r="M2388" s="7" t="n"/>
    </row>
    <row r="2389">
      <c r="A2389" s="7" t="n"/>
      <c r="B2389" s="75" t="n"/>
      <c r="C2389" s="7" t="n"/>
      <c r="D2389" s="7" t="n"/>
      <c r="E2389" s="9">
        <f>IF(D2389="","",IFERROR(INDEX('Stock pièces'!$B$5:$B$404,MATCH(D2389,'Stock pièces'!$A$5:$A$404,0)),"Réf. inconnue"))</f>
        <v/>
      </c>
      <c r="F2389" s="67" t="n"/>
      <c r="G2389" s="81">
        <f>IF(D2389="","",IFERROR(INDEX('Stock pièces'!$I$5:$I$404,MATCH(D2389,'Stock pièces'!$A$5:$A$404,0)),0))</f>
        <v/>
      </c>
      <c r="H2389" s="81">
        <f>IF(D2389="","",N(F2389)*N(G2389))</f>
        <v/>
      </c>
      <c r="I2389" s="7" t="n"/>
      <c r="J2389" s="9">
        <f>IF(I2389="","",IFERROR(INDEX('Ordres de travail'!$D$5:$D$3004,MATCH(I2389,'Ordres de travail'!$A$5:$A$3004,0)),""))</f>
        <v/>
      </c>
      <c r="K2389" s="9">
        <f>IF(D2389="","",IFERROR(INDEX('Stock pièces'!$D$5:$D$404,MATCH(D2389,'Stock pièces'!$A$5:$A$404,0)),""))</f>
        <v/>
      </c>
      <c r="L2389" s="7" t="n"/>
      <c r="M2389" s="7" t="n"/>
    </row>
    <row r="2390">
      <c r="A2390" s="7" t="n"/>
      <c r="B2390" s="75" t="n"/>
      <c r="C2390" s="7" t="n"/>
      <c r="D2390" s="7" t="n"/>
      <c r="E2390" s="9">
        <f>IF(D2390="","",IFERROR(INDEX('Stock pièces'!$B$5:$B$404,MATCH(D2390,'Stock pièces'!$A$5:$A$404,0)),"Réf. inconnue"))</f>
        <v/>
      </c>
      <c r="F2390" s="67" t="n"/>
      <c r="G2390" s="81">
        <f>IF(D2390="","",IFERROR(INDEX('Stock pièces'!$I$5:$I$404,MATCH(D2390,'Stock pièces'!$A$5:$A$404,0)),0))</f>
        <v/>
      </c>
      <c r="H2390" s="81">
        <f>IF(D2390="","",N(F2390)*N(G2390))</f>
        <v/>
      </c>
      <c r="I2390" s="7" t="n"/>
      <c r="J2390" s="9">
        <f>IF(I2390="","",IFERROR(INDEX('Ordres de travail'!$D$5:$D$3004,MATCH(I2390,'Ordres de travail'!$A$5:$A$3004,0)),""))</f>
        <v/>
      </c>
      <c r="K2390" s="9">
        <f>IF(D2390="","",IFERROR(INDEX('Stock pièces'!$D$5:$D$404,MATCH(D2390,'Stock pièces'!$A$5:$A$404,0)),""))</f>
        <v/>
      </c>
      <c r="L2390" s="7" t="n"/>
      <c r="M2390" s="7" t="n"/>
    </row>
    <row r="2391">
      <c r="A2391" s="7" t="n"/>
      <c r="B2391" s="75" t="n"/>
      <c r="C2391" s="7" t="n"/>
      <c r="D2391" s="7" t="n"/>
      <c r="E2391" s="9">
        <f>IF(D2391="","",IFERROR(INDEX('Stock pièces'!$B$5:$B$404,MATCH(D2391,'Stock pièces'!$A$5:$A$404,0)),"Réf. inconnue"))</f>
        <v/>
      </c>
      <c r="F2391" s="67" t="n"/>
      <c r="G2391" s="81">
        <f>IF(D2391="","",IFERROR(INDEX('Stock pièces'!$I$5:$I$404,MATCH(D2391,'Stock pièces'!$A$5:$A$404,0)),0))</f>
        <v/>
      </c>
      <c r="H2391" s="81">
        <f>IF(D2391="","",N(F2391)*N(G2391))</f>
        <v/>
      </c>
      <c r="I2391" s="7" t="n"/>
      <c r="J2391" s="9">
        <f>IF(I2391="","",IFERROR(INDEX('Ordres de travail'!$D$5:$D$3004,MATCH(I2391,'Ordres de travail'!$A$5:$A$3004,0)),""))</f>
        <v/>
      </c>
      <c r="K2391" s="9">
        <f>IF(D2391="","",IFERROR(INDEX('Stock pièces'!$D$5:$D$404,MATCH(D2391,'Stock pièces'!$A$5:$A$404,0)),""))</f>
        <v/>
      </c>
      <c r="L2391" s="7" t="n"/>
      <c r="M2391" s="7" t="n"/>
    </row>
    <row r="2392">
      <c r="A2392" s="7" t="n"/>
      <c r="B2392" s="75" t="n"/>
      <c r="C2392" s="7" t="n"/>
      <c r="D2392" s="7" t="n"/>
      <c r="E2392" s="9">
        <f>IF(D2392="","",IFERROR(INDEX('Stock pièces'!$B$5:$B$404,MATCH(D2392,'Stock pièces'!$A$5:$A$404,0)),"Réf. inconnue"))</f>
        <v/>
      </c>
      <c r="F2392" s="67" t="n"/>
      <c r="G2392" s="81">
        <f>IF(D2392="","",IFERROR(INDEX('Stock pièces'!$I$5:$I$404,MATCH(D2392,'Stock pièces'!$A$5:$A$404,0)),0))</f>
        <v/>
      </c>
      <c r="H2392" s="81">
        <f>IF(D2392="","",N(F2392)*N(G2392))</f>
        <v/>
      </c>
      <c r="I2392" s="7" t="n"/>
      <c r="J2392" s="9">
        <f>IF(I2392="","",IFERROR(INDEX('Ordres de travail'!$D$5:$D$3004,MATCH(I2392,'Ordres de travail'!$A$5:$A$3004,0)),""))</f>
        <v/>
      </c>
      <c r="K2392" s="9">
        <f>IF(D2392="","",IFERROR(INDEX('Stock pièces'!$D$5:$D$404,MATCH(D2392,'Stock pièces'!$A$5:$A$404,0)),""))</f>
        <v/>
      </c>
      <c r="L2392" s="7" t="n"/>
      <c r="M2392" s="7" t="n"/>
    </row>
    <row r="2393">
      <c r="A2393" s="7" t="n"/>
      <c r="B2393" s="75" t="n"/>
      <c r="C2393" s="7" t="n"/>
      <c r="D2393" s="7" t="n"/>
      <c r="E2393" s="9">
        <f>IF(D2393="","",IFERROR(INDEX('Stock pièces'!$B$5:$B$404,MATCH(D2393,'Stock pièces'!$A$5:$A$404,0)),"Réf. inconnue"))</f>
        <v/>
      </c>
      <c r="F2393" s="67" t="n"/>
      <c r="G2393" s="81">
        <f>IF(D2393="","",IFERROR(INDEX('Stock pièces'!$I$5:$I$404,MATCH(D2393,'Stock pièces'!$A$5:$A$404,0)),0))</f>
        <v/>
      </c>
      <c r="H2393" s="81">
        <f>IF(D2393="","",N(F2393)*N(G2393))</f>
        <v/>
      </c>
      <c r="I2393" s="7" t="n"/>
      <c r="J2393" s="9">
        <f>IF(I2393="","",IFERROR(INDEX('Ordres de travail'!$D$5:$D$3004,MATCH(I2393,'Ordres de travail'!$A$5:$A$3004,0)),""))</f>
        <v/>
      </c>
      <c r="K2393" s="9">
        <f>IF(D2393="","",IFERROR(INDEX('Stock pièces'!$D$5:$D$404,MATCH(D2393,'Stock pièces'!$A$5:$A$404,0)),""))</f>
        <v/>
      </c>
      <c r="L2393" s="7" t="n"/>
      <c r="M2393" s="7" t="n"/>
    </row>
    <row r="2394">
      <c r="A2394" s="7" t="n"/>
      <c r="B2394" s="75" t="n"/>
      <c r="C2394" s="7" t="n"/>
      <c r="D2394" s="7" t="n"/>
      <c r="E2394" s="9">
        <f>IF(D2394="","",IFERROR(INDEX('Stock pièces'!$B$5:$B$404,MATCH(D2394,'Stock pièces'!$A$5:$A$404,0)),"Réf. inconnue"))</f>
        <v/>
      </c>
      <c r="F2394" s="67" t="n"/>
      <c r="G2394" s="81">
        <f>IF(D2394="","",IFERROR(INDEX('Stock pièces'!$I$5:$I$404,MATCH(D2394,'Stock pièces'!$A$5:$A$404,0)),0))</f>
        <v/>
      </c>
      <c r="H2394" s="81">
        <f>IF(D2394="","",N(F2394)*N(G2394))</f>
        <v/>
      </c>
      <c r="I2394" s="7" t="n"/>
      <c r="J2394" s="9">
        <f>IF(I2394="","",IFERROR(INDEX('Ordres de travail'!$D$5:$D$3004,MATCH(I2394,'Ordres de travail'!$A$5:$A$3004,0)),""))</f>
        <v/>
      </c>
      <c r="K2394" s="9">
        <f>IF(D2394="","",IFERROR(INDEX('Stock pièces'!$D$5:$D$404,MATCH(D2394,'Stock pièces'!$A$5:$A$404,0)),""))</f>
        <v/>
      </c>
      <c r="L2394" s="7" t="n"/>
      <c r="M2394" s="7" t="n"/>
    </row>
    <row r="2395">
      <c r="A2395" s="7" t="n"/>
      <c r="B2395" s="75" t="n"/>
      <c r="C2395" s="7" t="n"/>
      <c r="D2395" s="7" t="n"/>
      <c r="E2395" s="9">
        <f>IF(D2395="","",IFERROR(INDEX('Stock pièces'!$B$5:$B$404,MATCH(D2395,'Stock pièces'!$A$5:$A$404,0)),"Réf. inconnue"))</f>
        <v/>
      </c>
      <c r="F2395" s="67" t="n"/>
      <c r="G2395" s="81">
        <f>IF(D2395="","",IFERROR(INDEX('Stock pièces'!$I$5:$I$404,MATCH(D2395,'Stock pièces'!$A$5:$A$404,0)),0))</f>
        <v/>
      </c>
      <c r="H2395" s="81">
        <f>IF(D2395="","",N(F2395)*N(G2395))</f>
        <v/>
      </c>
      <c r="I2395" s="7" t="n"/>
      <c r="J2395" s="9">
        <f>IF(I2395="","",IFERROR(INDEX('Ordres de travail'!$D$5:$D$3004,MATCH(I2395,'Ordres de travail'!$A$5:$A$3004,0)),""))</f>
        <v/>
      </c>
      <c r="K2395" s="9">
        <f>IF(D2395="","",IFERROR(INDEX('Stock pièces'!$D$5:$D$404,MATCH(D2395,'Stock pièces'!$A$5:$A$404,0)),""))</f>
        <v/>
      </c>
      <c r="L2395" s="7" t="n"/>
      <c r="M2395" s="7" t="n"/>
    </row>
    <row r="2396">
      <c r="A2396" s="7" t="n"/>
      <c r="B2396" s="75" t="n"/>
      <c r="C2396" s="7" t="n"/>
      <c r="D2396" s="7" t="n"/>
      <c r="E2396" s="9">
        <f>IF(D2396="","",IFERROR(INDEX('Stock pièces'!$B$5:$B$404,MATCH(D2396,'Stock pièces'!$A$5:$A$404,0)),"Réf. inconnue"))</f>
        <v/>
      </c>
      <c r="F2396" s="67" t="n"/>
      <c r="G2396" s="81">
        <f>IF(D2396="","",IFERROR(INDEX('Stock pièces'!$I$5:$I$404,MATCH(D2396,'Stock pièces'!$A$5:$A$404,0)),0))</f>
        <v/>
      </c>
      <c r="H2396" s="81">
        <f>IF(D2396="","",N(F2396)*N(G2396))</f>
        <v/>
      </c>
      <c r="I2396" s="7" t="n"/>
      <c r="J2396" s="9">
        <f>IF(I2396="","",IFERROR(INDEX('Ordres de travail'!$D$5:$D$3004,MATCH(I2396,'Ordres de travail'!$A$5:$A$3004,0)),""))</f>
        <v/>
      </c>
      <c r="K2396" s="9">
        <f>IF(D2396="","",IFERROR(INDEX('Stock pièces'!$D$5:$D$404,MATCH(D2396,'Stock pièces'!$A$5:$A$404,0)),""))</f>
        <v/>
      </c>
      <c r="L2396" s="7" t="n"/>
      <c r="M2396" s="7" t="n"/>
    </row>
    <row r="2397">
      <c r="A2397" s="7" t="n"/>
      <c r="B2397" s="75" t="n"/>
      <c r="C2397" s="7" t="n"/>
      <c r="D2397" s="7" t="n"/>
      <c r="E2397" s="9">
        <f>IF(D2397="","",IFERROR(INDEX('Stock pièces'!$B$5:$B$404,MATCH(D2397,'Stock pièces'!$A$5:$A$404,0)),"Réf. inconnue"))</f>
        <v/>
      </c>
      <c r="F2397" s="67" t="n"/>
      <c r="G2397" s="81">
        <f>IF(D2397="","",IFERROR(INDEX('Stock pièces'!$I$5:$I$404,MATCH(D2397,'Stock pièces'!$A$5:$A$404,0)),0))</f>
        <v/>
      </c>
      <c r="H2397" s="81">
        <f>IF(D2397="","",N(F2397)*N(G2397))</f>
        <v/>
      </c>
      <c r="I2397" s="7" t="n"/>
      <c r="J2397" s="9">
        <f>IF(I2397="","",IFERROR(INDEX('Ordres de travail'!$D$5:$D$3004,MATCH(I2397,'Ordres de travail'!$A$5:$A$3004,0)),""))</f>
        <v/>
      </c>
      <c r="K2397" s="9">
        <f>IF(D2397="","",IFERROR(INDEX('Stock pièces'!$D$5:$D$404,MATCH(D2397,'Stock pièces'!$A$5:$A$404,0)),""))</f>
        <v/>
      </c>
      <c r="L2397" s="7" t="n"/>
      <c r="M2397" s="7" t="n"/>
    </row>
    <row r="2398">
      <c r="A2398" s="7" t="n"/>
      <c r="B2398" s="75" t="n"/>
      <c r="C2398" s="7" t="n"/>
      <c r="D2398" s="7" t="n"/>
      <c r="E2398" s="9">
        <f>IF(D2398="","",IFERROR(INDEX('Stock pièces'!$B$5:$B$404,MATCH(D2398,'Stock pièces'!$A$5:$A$404,0)),"Réf. inconnue"))</f>
        <v/>
      </c>
      <c r="F2398" s="67" t="n"/>
      <c r="G2398" s="81">
        <f>IF(D2398="","",IFERROR(INDEX('Stock pièces'!$I$5:$I$404,MATCH(D2398,'Stock pièces'!$A$5:$A$404,0)),0))</f>
        <v/>
      </c>
      <c r="H2398" s="81">
        <f>IF(D2398="","",N(F2398)*N(G2398))</f>
        <v/>
      </c>
      <c r="I2398" s="7" t="n"/>
      <c r="J2398" s="9">
        <f>IF(I2398="","",IFERROR(INDEX('Ordres de travail'!$D$5:$D$3004,MATCH(I2398,'Ordres de travail'!$A$5:$A$3004,0)),""))</f>
        <v/>
      </c>
      <c r="K2398" s="9">
        <f>IF(D2398="","",IFERROR(INDEX('Stock pièces'!$D$5:$D$404,MATCH(D2398,'Stock pièces'!$A$5:$A$404,0)),""))</f>
        <v/>
      </c>
      <c r="L2398" s="7" t="n"/>
      <c r="M2398" s="7" t="n"/>
    </row>
    <row r="2399">
      <c r="A2399" s="7" t="n"/>
      <c r="B2399" s="75" t="n"/>
      <c r="C2399" s="7" t="n"/>
      <c r="D2399" s="7" t="n"/>
      <c r="E2399" s="9">
        <f>IF(D2399="","",IFERROR(INDEX('Stock pièces'!$B$5:$B$404,MATCH(D2399,'Stock pièces'!$A$5:$A$404,0)),"Réf. inconnue"))</f>
        <v/>
      </c>
      <c r="F2399" s="67" t="n"/>
      <c r="G2399" s="81">
        <f>IF(D2399="","",IFERROR(INDEX('Stock pièces'!$I$5:$I$404,MATCH(D2399,'Stock pièces'!$A$5:$A$404,0)),0))</f>
        <v/>
      </c>
      <c r="H2399" s="81">
        <f>IF(D2399="","",N(F2399)*N(G2399))</f>
        <v/>
      </c>
      <c r="I2399" s="7" t="n"/>
      <c r="J2399" s="9">
        <f>IF(I2399="","",IFERROR(INDEX('Ordres de travail'!$D$5:$D$3004,MATCH(I2399,'Ordres de travail'!$A$5:$A$3004,0)),""))</f>
        <v/>
      </c>
      <c r="K2399" s="9">
        <f>IF(D2399="","",IFERROR(INDEX('Stock pièces'!$D$5:$D$404,MATCH(D2399,'Stock pièces'!$A$5:$A$404,0)),""))</f>
        <v/>
      </c>
      <c r="L2399" s="7" t="n"/>
      <c r="M2399" s="7" t="n"/>
    </row>
    <row r="2400">
      <c r="A2400" s="7" t="n"/>
      <c r="B2400" s="75" t="n"/>
      <c r="C2400" s="7" t="n"/>
      <c r="D2400" s="7" t="n"/>
      <c r="E2400" s="9">
        <f>IF(D2400="","",IFERROR(INDEX('Stock pièces'!$B$5:$B$404,MATCH(D2400,'Stock pièces'!$A$5:$A$404,0)),"Réf. inconnue"))</f>
        <v/>
      </c>
      <c r="F2400" s="67" t="n"/>
      <c r="G2400" s="81">
        <f>IF(D2400="","",IFERROR(INDEX('Stock pièces'!$I$5:$I$404,MATCH(D2400,'Stock pièces'!$A$5:$A$404,0)),0))</f>
        <v/>
      </c>
      <c r="H2400" s="81">
        <f>IF(D2400="","",N(F2400)*N(G2400))</f>
        <v/>
      </c>
      <c r="I2400" s="7" t="n"/>
      <c r="J2400" s="9">
        <f>IF(I2400="","",IFERROR(INDEX('Ordres de travail'!$D$5:$D$3004,MATCH(I2400,'Ordres de travail'!$A$5:$A$3004,0)),""))</f>
        <v/>
      </c>
      <c r="K2400" s="9">
        <f>IF(D2400="","",IFERROR(INDEX('Stock pièces'!$D$5:$D$404,MATCH(D2400,'Stock pièces'!$A$5:$A$404,0)),""))</f>
        <v/>
      </c>
      <c r="L2400" s="7" t="n"/>
      <c r="M2400" s="7" t="n"/>
    </row>
    <row r="2401">
      <c r="A2401" s="7" t="n"/>
      <c r="B2401" s="75" t="n"/>
      <c r="C2401" s="7" t="n"/>
      <c r="D2401" s="7" t="n"/>
      <c r="E2401" s="9">
        <f>IF(D2401="","",IFERROR(INDEX('Stock pièces'!$B$5:$B$404,MATCH(D2401,'Stock pièces'!$A$5:$A$404,0)),"Réf. inconnue"))</f>
        <v/>
      </c>
      <c r="F2401" s="67" t="n"/>
      <c r="G2401" s="81">
        <f>IF(D2401="","",IFERROR(INDEX('Stock pièces'!$I$5:$I$404,MATCH(D2401,'Stock pièces'!$A$5:$A$404,0)),0))</f>
        <v/>
      </c>
      <c r="H2401" s="81">
        <f>IF(D2401="","",N(F2401)*N(G2401))</f>
        <v/>
      </c>
      <c r="I2401" s="7" t="n"/>
      <c r="J2401" s="9">
        <f>IF(I2401="","",IFERROR(INDEX('Ordres de travail'!$D$5:$D$3004,MATCH(I2401,'Ordres de travail'!$A$5:$A$3004,0)),""))</f>
        <v/>
      </c>
      <c r="K2401" s="9">
        <f>IF(D2401="","",IFERROR(INDEX('Stock pièces'!$D$5:$D$404,MATCH(D2401,'Stock pièces'!$A$5:$A$404,0)),""))</f>
        <v/>
      </c>
      <c r="L2401" s="7" t="n"/>
      <c r="M2401" s="7" t="n"/>
    </row>
    <row r="2402">
      <c r="A2402" s="7" t="n"/>
      <c r="B2402" s="75" t="n"/>
      <c r="C2402" s="7" t="n"/>
      <c r="D2402" s="7" t="n"/>
      <c r="E2402" s="9">
        <f>IF(D2402="","",IFERROR(INDEX('Stock pièces'!$B$5:$B$404,MATCH(D2402,'Stock pièces'!$A$5:$A$404,0)),"Réf. inconnue"))</f>
        <v/>
      </c>
      <c r="F2402" s="67" t="n"/>
      <c r="G2402" s="81">
        <f>IF(D2402="","",IFERROR(INDEX('Stock pièces'!$I$5:$I$404,MATCH(D2402,'Stock pièces'!$A$5:$A$404,0)),0))</f>
        <v/>
      </c>
      <c r="H2402" s="81">
        <f>IF(D2402="","",N(F2402)*N(G2402))</f>
        <v/>
      </c>
      <c r="I2402" s="7" t="n"/>
      <c r="J2402" s="9">
        <f>IF(I2402="","",IFERROR(INDEX('Ordres de travail'!$D$5:$D$3004,MATCH(I2402,'Ordres de travail'!$A$5:$A$3004,0)),""))</f>
        <v/>
      </c>
      <c r="K2402" s="9">
        <f>IF(D2402="","",IFERROR(INDEX('Stock pièces'!$D$5:$D$404,MATCH(D2402,'Stock pièces'!$A$5:$A$404,0)),""))</f>
        <v/>
      </c>
      <c r="L2402" s="7" t="n"/>
      <c r="M2402" s="7" t="n"/>
    </row>
    <row r="2403">
      <c r="A2403" s="7" t="n"/>
      <c r="B2403" s="75" t="n"/>
      <c r="C2403" s="7" t="n"/>
      <c r="D2403" s="7" t="n"/>
      <c r="E2403" s="9">
        <f>IF(D2403="","",IFERROR(INDEX('Stock pièces'!$B$5:$B$404,MATCH(D2403,'Stock pièces'!$A$5:$A$404,0)),"Réf. inconnue"))</f>
        <v/>
      </c>
      <c r="F2403" s="67" t="n"/>
      <c r="G2403" s="81">
        <f>IF(D2403="","",IFERROR(INDEX('Stock pièces'!$I$5:$I$404,MATCH(D2403,'Stock pièces'!$A$5:$A$404,0)),0))</f>
        <v/>
      </c>
      <c r="H2403" s="81">
        <f>IF(D2403="","",N(F2403)*N(G2403))</f>
        <v/>
      </c>
      <c r="I2403" s="7" t="n"/>
      <c r="J2403" s="9">
        <f>IF(I2403="","",IFERROR(INDEX('Ordres de travail'!$D$5:$D$3004,MATCH(I2403,'Ordres de travail'!$A$5:$A$3004,0)),""))</f>
        <v/>
      </c>
      <c r="K2403" s="9">
        <f>IF(D2403="","",IFERROR(INDEX('Stock pièces'!$D$5:$D$404,MATCH(D2403,'Stock pièces'!$A$5:$A$404,0)),""))</f>
        <v/>
      </c>
      <c r="L2403" s="7" t="n"/>
      <c r="M2403" s="7" t="n"/>
    </row>
    <row r="2404">
      <c r="A2404" s="7" t="n"/>
      <c r="B2404" s="75" t="n"/>
      <c r="C2404" s="7" t="n"/>
      <c r="D2404" s="7" t="n"/>
      <c r="E2404" s="9">
        <f>IF(D2404="","",IFERROR(INDEX('Stock pièces'!$B$5:$B$404,MATCH(D2404,'Stock pièces'!$A$5:$A$404,0)),"Réf. inconnue"))</f>
        <v/>
      </c>
      <c r="F2404" s="67" t="n"/>
      <c r="G2404" s="81">
        <f>IF(D2404="","",IFERROR(INDEX('Stock pièces'!$I$5:$I$404,MATCH(D2404,'Stock pièces'!$A$5:$A$404,0)),0))</f>
        <v/>
      </c>
      <c r="H2404" s="81">
        <f>IF(D2404="","",N(F2404)*N(G2404))</f>
        <v/>
      </c>
      <c r="I2404" s="7" t="n"/>
      <c r="J2404" s="9">
        <f>IF(I2404="","",IFERROR(INDEX('Ordres de travail'!$D$5:$D$3004,MATCH(I2404,'Ordres de travail'!$A$5:$A$3004,0)),""))</f>
        <v/>
      </c>
      <c r="K2404" s="9">
        <f>IF(D2404="","",IFERROR(INDEX('Stock pièces'!$D$5:$D$404,MATCH(D2404,'Stock pièces'!$A$5:$A$404,0)),""))</f>
        <v/>
      </c>
      <c r="L2404" s="7" t="n"/>
      <c r="M2404" s="7" t="n"/>
    </row>
    <row r="2405">
      <c r="A2405" s="7" t="n"/>
      <c r="B2405" s="75" t="n"/>
      <c r="C2405" s="7" t="n"/>
      <c r="D2405" s="7" t="n"/>
      <c r="E2405" s="9">
        <f>IF(D2405="","",IFERROR(INDEX('Stock pièces'!$B$5:$B$404,MATCH(D2405,'Stock pièces'!$A$5:$A$404,0)),"Réf. inconnue"))</f>
        <v/>
      </c>
      <c r="F2405" s="67" t="n"/>
      <c r="G2405" s="81">
        <f>IF(D2405="","",IFERROR(INDEX('Stock pièces'!$I$5:$I$404,MATCH(D2405,'Stock pièces'!$A$5:$A$404,0)),0))</f>
        <v/>
      </c>
      <c r="H2405" s="81">
        <f>IF(D2405="","",N(F2405)*N(G2405))</f>
        <v/>
      </c>
      <c r="I2405" s="7" t="n"/>
      <c r="J2405" s="9">
        <f>IF(I2405="","",IFERROR(INDEX('Ordres de travail'!$D$5:$D$3004,MATCH(I2405,'Ordres de travail'!$A$5:$A$3004,0)),""))</f>
        <v/>
      </c>
      <c r="K2405" s="9">
        <f>IF(D2405="","",IFERROR(INDEX('Stock pièces'!$D$5:$D$404,MATCH(D2405,'Stock pièces'!$A$5:$A$404,0)),""))</f>
        <v/>
      </c>
      <c r="L2405" s="7" t="n"/>
      <c r="M2405" s="7" t="n"/>
    </row>
    <row r="2406">
      <c r="A2406" s="7" t="n"/>
      <c r="B2406" s="75" t="n"/>
      <c r="C2406" s="7" t="n"/>
      <c r="D2406" s="7" t="n"/>
      <c r="E2406" s="9">
        <f>IF(D2406="","",IFERROR(INDEX('Stock pièces'!$B$5:$B$404,MATCH(D2406,'Stock pièces'!$A$5:$A$404,0)),"Réf. inconnue"))</f>
        <v/>
      </c>
      <c r="F2406" s="67" t="n"/>
      <c r="G2406" s="81">
        <f>IF(D2406="","",IFERROR(INDEX('Stock pièces'!$I$5:$I$404,MATCH(D2406,'Stock pièces'!$A$5:$A$404,0)),0))</f>
        <v/>
      </c>
      <c r="H2406" s="81">
        <f>IF(D2406="","",N(F2406)*N(G2406))</f>
        <v/>
      </c>
      <c r="I2406" s="7" t="n"/>
      <c r="J2406" s="9">
        <f>IF(I2406="","",IFERROR(INDEX('Ordres de travail'!$D$5:$D$3004,MATCH(I2406,'Ordres de travail'!$A$5:$A$3004,0)),""))</f>
        <v/>
      </c>
      <c r="K2406" s="9">
        <f>IF(D2406="","",IFERROR(INDEX('Stock pièces'!$D$5:$D$404,MATCH(D2406,'Stock pièces'!$A$5:$A$404,0)),""))</f>
        <v/>
      </c>
      <c r="L2406" s="7" t="n"/>
      <c r="M2406" s="7" t="n"/>
    </row>
    <row r="2407">
      <c r="A2407" s="7" t="n"/>
      <c r="B2407" s="75" t="n"/>
      <c r="C2407" s="7" t="n"/>
      <c r="D2407" s="7" t="n"/>
      <c r="E2407" s="9">
        <f>IF(D2407="","",IFERROR(INDEX('Stock pièces'!$B$5:$B$404,MATCH(D2407,'Stock pièces'!$A$5:$A$404,0)),"Réf. inconnue"))</f>
        <v/>
      </c>
      <c r="F2407" s="67" t="n"/>
      <c r="G2407" s="81">
        <f>IF(D2407="","",IFERROR(INDEX('Stock pièces'!$I$5:$I$404,MATCH(D2407,'Stock pièces'!$A$5:$A$404,0)),0))</f>
        <v/>
      </c>
      <c r="H2407" s="81">
        <f>IF(D2407="","",N(F2407)*N(G2407))</f>
        <v/>
      </c>
      <c r="I2407" s="7" t="n"/>
      <c r="J2407" s="9">
        <f>IF(I2407="","",IFERROR(INDEX('Ordres de travail'!$D$5:$D$3004,MATCH(I2407,'Ordres de travail'!$A$5:$A$3004,0)),""))</f>
        <v/>
      </c>
      <c r="K2407" s="9">
        <f>IF(D2407="","",IFERROR(INDEX('Stock pièces'!$D$5:$D$404,MATCH(D2407,'Stock pièces'!$A$5:$A$404,0)),""))</f>
        <v/>
      </c>
      <c r="L2407" s="7" t="n"/>
      <c r="M2407" s="7" t="n"/>
    </row>
    <row r="2408">
      <c r="A2408" s="7" t="n"/>
      <c r="B2408" s="75" t="n"/>
      <c r="C2408" s="7" t="n"/>
      <c r="D2408" s="7" t="n"/>
      <c r="E2408" s="9">
        <f>IF(D2408="","",IFERROR(INDEX('Stock pièces'!$B$5:$B$404,MATCH(D2408,'Stock pièces'!$A$5:$A$404,0)),"Réf. inconnue"))</f>
        <v/>
      </c>
      <c r="F2408" s="67" t="n"/>
      <c r="G2408" s="81">
        <f>IF(D2408="","",IFERROR(INDEX('Stock pièces'!$I$5:$I$404,MATCH(D2408,'Stock pièces'!$A$5:$A$404,0)),0))</f>
        <v/>
      </c>
      <c r="H2408" s="81">
        <f>IF(D2408="","",N(F2408)*N(G2408))</f>
        <v/>
      </c>
      <c r="I2408" s="7" t="n"/>
      <c r="J2408" s="9">
        <f>IF(I2408="","",IFERROR(INDEX('Ordres de travail'!$D$5:$D$3004,MATCH(I2408,'Ordres de travail'!$A$5:$A$3004,0)),""))</f>
        <v/>
      </c>
      <c r="K2408" s="9">
        <f>IF(D2408="","",IFERROR(INDEX('Stock pièces'!$D$5:$D$404,MATCH(D2408,'Stock pièces'!$A$5:$A$404,0)),""))</f>
        <v/>
      </c>
      <c r="L2408" s="7" t="n"/>
      <c r="M2408" s="7" t="n"/>
    </row>
    <row r="2409">
      <c r="A2409" s="7" t="n"/>
      <c r="B2409" s="75" t="n"/>
      <c r="C2409" s="7" t="n"/>
      <c r="D2409" s="7" t="n"/>
      <c r="E2409" s="9">
        <f>IF(D2409="","",IFERROR(INDEX('Stock pièces'!$B$5:$B$404,MATCH(D2409,'Stock pièces'!$A$5:$A$404,0)),"Réf. inconnue"))</f>
        <v/>
      </c>
      <c r="F2409" s="67" t="n"/>
      <c r="G2409" s="81">
        <f>IF(D2409="","",IFERROR(INDEX('Stock pièces'!$I$5:$I$404,MATCH(D2409,'Stock pièces'!$A$5:$A$404,0)),0))</f>
        <v/>
      </c>
      <c r="H2409" s="81">
        <f>IF(D2409="","",N(F2409)*N(G2409))</f>
        <v/>
      </c>
      <c r="I2409" s="7" t="n"/>
      <c r="J2409" s="9">
        <f>IF(I2409="","",IFERROR(INDEX('Ordres de travail'!$D$5:$D$3004,MATCH(I2409,'Ordres de travail'!$A$5:$A$3004,0)),""))</f>
        <v/>
      </c>
      <c r="K2409" s="9">
        <f>IF(D2409="","",IFERROR(INDEX('Stock pièces'!$D$5:$D$404,MATCH(D2409,'Stock pièces'!$A$5:$A$404,0)),""))</f>
        <v/>
      </c>
      <c r="L2409" s="7" t="n"/>
      <c r="M2409" s="7" t="n"/>
    </row>
    <row r="2410">
      <c r="A2410" s="7" t="n"/>
      <c r="B2410" s="75" t="n"/>
      <c r="C2410" s="7" t="n"/>
      <c r="D2410" s="7" t="n"/>
      <c r="E2410" s="9">
        <f>IF(D2410="","",IFERROR(INDEX('Stock pièces'!$B$5:$B$404,MATCH(D2410,'Stock pièces'!$A$5:$A$404,0)),"Réf. inconnue"))</f>
        <v/>
      </c>
      <c r="F2410" s="67" t="n"/>
      <c r="G2410" s="81">
        <f>IF(D2410="","",IFERROR(INDEX('Stock pièces'!$I$5:$I$404,MATCH(D2410,'Stock pièces'!$A$5:$A$404,0)),0))</f>
        <v/>
      </c>
      <c r="H2410" s="81">
        <f>IF(D2410="","",N(F2410)*N(G2410))</f>
        <v/>
      </c>
      <c r="I2410" s="7" t="n"/>
      <c r="J2410" s="9">
        <f>IF(I2410="","",IFERROR(INDEX('Ordres de travail'!$D$5:$D$3004,MATCH(I2410,'Ordres de travail'!$A$5:$A$3004,0)),""))</f>
        <v/>
      </c>
      <c r="K2410" s="9">
        <f>IF(D2410="","",IFERROR(INDEX('Stock pièces'!$D$5:$D$404,MATCH(D2410,'Stock pièces'!$A$5:$A$404,0)),""))</f>
        <v/>
      </c>
      <c r="L2410" s="7" t="n"/>
      <c r="M2410" s="7" t="n"/>
    </row>
    <row r="2411">
      <c r="A2411" s="7" t="n"/>
      <c r="B2411" s="75" t="n"/>
      <c r="C2411" s="7" t="n"/>
      <c r="D2411" s="7" t="n"/>
      <c r="E2411" s="9">
        <f>IF(D2411="","",IFERROR(INDEX('Stock pièces'!$B$5:$B$404,MATCH(D2411,'Stock pièces'!$A$5:$A$404,0)),"Réf. inconnue"))</f>
        <v/>
      </c>
      <c r="F2411" s="67" t="n"/>
      <c r="G2411" s="81">
        <f>IF(D2411="","",IFERROR(INDEX('Stock pièces'!$I$5:$I$404,MATCH(D2411,'Stock pièces'!$A$5:$A$404,0)),0))</f>
        <v/>
      </c>
      <c r="H2411" s="81">
        <f>IF(D2411="","",N(F2411)*N(G2411))</f>
        <v/>
      </c>
      <c r="I2411" s="7" t="n"/>
      <c r="J2411" s="9">
        <f>IF(I2411="","",IFERROR(INDEX('Ordres de travail'!$D$5:$D$3004,MATCH(I2411,'Ordres de travail'!$A$5:$A$3004,0)),""))</f>
        <v/>
      </c>
      <c r="K2411" s="9">
        <f>IF(D2411="","",IFERROR(INDEX('Stock pièces'!$D$5:$D$404,MATCH(D2411,'Stock pièces'!$A$5:$A$404,0)),""))</f>
        <v/>
      </c>
      <c r="L2411" s="7" t="n"/>
      <c r="M2411" s="7" t="n"/>
    </row>
    <row r="2412">
      <c r="A2412" s="7" t="n"/>
      <c r="B2412" s="75" t="n"/>
      <c r="C2412" s="7" t="n"/>
      <c r="D2412" s="7" t="n"/>
      <c r="E2412" s="9">
        <f>IF(D2412="","",IFERROR(INDEX('Stock pièces'!$B$5:$B$404,MATCH(D2412,'Stock pièces'!$A$5:$A$404,0)),"Réf. inconnue"))</f>
        <v/>
      </c>
      <c r="F2412" s="67" t="n"/>
      <c r="G2412" s="81">
        <f>IF(D2412="","",IFERROR(INDEX('Stock pièces'!$I$5:$I$404,MATCH(D2412,'Stock pièces'!$A$5:$A$404,0)),0))</f>
        <v/>
      </c>
      <c r="H2412" s="81">
        <f>IF(D2412="","",N(F2412)*N(G2412))</f>
        <v/>
      </c>
      <c r="I2412" s="7" t="n"/>
      <c r="J2412" s="9">
        <f>IF(I2412="","",IFERROR(INDEX('Ordres de travail'!$D$5:$D$3004,MATCH(I2412,'Ordres de travail'!$A$5:$A$3004,0)),""))</f>
        <v/>
      </c>
      <c r="K2412" s="9">
        <f>IF(D2412="","",IFERROR(INDEX('Stock pièces'!$D$5:$D$404,MATCH(D2412,'Stock pièces'!$A$5:$A$404,0)),""))</f>
        <v/>
      </c>
      <c r="L2412" s="7" t="n"/>
      <c r="M2412" s="7" t="n"/>
    </row>
    <row r="2413">
      <c r="A2413" s="7" t="n"/>
      <c r="B2413" s="75" t="n"/>
      <c r="C2413" s="7" t="n"/>
      <c r="D2413" s="7" t="n"/>
      <c r="E2413" s="9">
        <f>IF(D2413="","",IFERROR(INDEX('Stock pièces'!$B$5:$B$404,MATCH(D2413,'Stock pièces'!$A$5:$A$404,0)),"Réf. inconnue"))</f>
        <v/>
      </c>
      <c r="F2413" s="67" t="n"/>
      <c r="G2413" s="81">
        <f>IF(D2413="","",IFERROR(INDEX('Stock pièces'!$I$5:$I$404,MATCH(D2413,'Stock pièces'!$A$5:$A$404,0)),0))</f>
        <v/>
      </c>
      <c r="H2413" s="81">
        <f>IF(D2413="","",N(F2413)*N(G2413))</f>
        <v/>
      </c>
      <c r="I2413" s="7" t="n"/>
      <c r="J2413" s="9">
        <f>IF(I2413="","",IFERROR(INDEX('Ordres de travail'!$D$5:$D$3004,MATCH(I2413,'Ordres de travail'!$A$5:$A$3004,0)),""))</f>
        <v/>
      </c>
      <c r="K2413" s="9">
        <f>IF(D2413="","",IFERROR(INDEX('Stock pièces'!$D$5:$D$404,MATCH(D2413,'Stock pièces'!$A$5:$A$404,0)),""))</f>
        <v/>
      </c>
      <c r="L2413" s="7" t="n"/>
      <c r="M2413" s="7" t="n"/>
    </row>
    <row r="2414">
      <c r="A2414" s="7" t="n"/>
      <c r="B2414" s="75" t="n"/>
      <c r="C2414" s="7" t="n"/>
      <c r="D2414" s="7" t="n"/>
      <c r="E2414" s="9">
        <f>IF(D2414="","",IFERROR(INDEX('Stock pièces'!$B$5:$B$404,MATCH(D2414,'Stock pièces'!$A$5:$A$404,0)),"Réf. inconnue"))</f>
        <v/>
      </c>
      <c r="F2414" s="67" t="n"/>
      <c r="G2414" s="81">
        <f>IF(D2414="","",IFERROR(INDEX('Stock pièces'!$I$5:$I$404,MATCH(D2414,'Stock pièces'!$A$5:$A$404,0)),0))</f>
        <v/>
      </c>
      <c r="H2414" s="81">
        <f>IF(D2414="","",N(F2414)*N(G2414))</f>
        <v/>
      </c>
      <c r="I2414" s="7" t="n"/>
      <c r="J2414" s="9">
        <f>IF(I2414="","",IFERROR(INDEX('Ordres de travail'!$D$5:$D$3004,MATCH(I2414,'Ordres de travail'!$A$5:$A$3004,0)),""))</f>
        <v/>
      </c>
      <c r="K2414" s="9">
        <f>IF(D2414="","",IFERROR(INDEX('Stock pièces'!$D$5:$D$404,MATCH(D2414,'Stock pièces'!$A$5:$A$404,0)),""))</f>
        <v/>
      </c>
      <c r="L2414" s="7" t="n"/>
      <c r="M2414" s="7" t="n"/>
    </row>
    <row r="2415">
      <c r="A2415" s="7" t="n"/>
      <c r="B2415" s="75" t="n"/>
      <c r="C2415" s="7" t="n"/>
      <c r="D2415" s="7" t="n"/>
      <c r="E2415" s="9">
        <f>IF(D2415="","",IFERROR(INDEX('Stock pièces'!$B$5:$B$404,MATCH(D2415,'Stock pièces'!$A$5:$A$404,0)),"Réf. inconnue"))</f>
        <v/>
      </c>
      <c r="F2415" s="67" t="n"/>
      <c r="G2415" s="81">
        <f>IF(D2415="","",IFERROR(INDEX('Stock pièces'!$I$5:$I$404,MATCH(D2415,'Stock pièces'!$A$5:$A$404,0)),0))</f>
        <v/>
      </c>
      <c r="H2415" s="81">
        <f>IF(D2415="","",N(F2415)*N(G2415))</f>
        <v/>
      </c>
      <c r="I2415" s="7" t="n"/>
      <c r="J2415" s="9">
        <f>IF(I2415="","",IFERROR(INDEX('Ordres de travail'!$D$5:$D$3004,MATCH(I2415,'Ordres de travail'!$A$5:$A$3004,0)),""))</f>
        <v/>
      </c>
      <c r="K2415" s="9">
        <f>IF(D2415="","",IFERROR(INDEX('Stock pièces'!$D$5:$D$404,MATCH(D2415,'Stock pièces'!$A$5:$A$404,0)),""))</f>
        <v/>
      </c>
      <c r="L2415" s="7" t="n"/>
      <c r="M2415" s="7" t="n"/>
    </row>
    <row r="2416">
      <c r="A2416" s="7" t="n"/>
      <c r="B2416" s="75" t="n"/>
      <c r="C2416" s="7" t="n"/>
      <c r="D2416" s="7" t="n"/>
      <c r="E2416" s="9">
        <f>IF(D2416="","",IFERROR(INDEX('Stock pièces'!$B$5:$B$404,MATCH(D2416,'Stock pièces'!$A$5:$A$404,0)),"Réf. inconnue"))</f>
        <v/>
      </c>
      <c r="F2416" s="67" t="n"/>
      <c r="G2416" s="81">
        <f>IF(D2416="","",IFERROR(INDEX('Stock pièces'!$I$5:$I$404,MATCH(D2416,'Stock pièces'!$A$5:$A$404,0)),0))</f>
        <v/>
      </c>
      <c r="H2416" s="81">
        <f>IF(D2416="","",N(F2416)*N(G2416))</f>
        <v/>
      </c>
      <c r="I2416" s="7" t="n"/>
      <c r="J2416" s="9">
        <f>IF(I2416="","",IFERROR(INDEX('Ordres de travail'!$D$5:$D$3004,MATCH(I2416,'Ordres de travail'!$A$5:$A$3004,0)),""))</f>
        <v/>
      </c>
      <c r="K2416" s="9">
        <f>IF(D2416="","",IFERROR(INDEX('Stock pièces'!$D$5:$D$404,MATCH(D2416,'Stock pièces'!$A$5:$A$404,0)),""))</f>
        <v/>
      </c>
      <c r="L2416" s="7" t="n"/>
      <c r="M2416" s="7" t="n"/>
    </row>
    <row r="2417">
      <c r="A2417" s="7" t="n"/>
      <c r="B2417" s="75" t="n"/>
      <c r="C2417" s="7" t="n"/>
      <c r="D2417" s="7" t="n"/>
      <c r="E2417" s="9">
        <f>IF(D2417="","",IFERROR(INDEX('Stock pièces'!$B$5:$B$404,MATCH(D2417,'Stock pièces'!$A$5:$A$404,0)),"Réf. inconnue"))</f>
        <v/>
      </c>
      <c r="F2417" s="67" t="n"/>
      <c r="G2417" s="81">
        <f>IF(D2417="","",IFERROR(INDEX('Stock pièces'!$I$5:$I$404,MATCH(D2417,'Stock pièces'!$A$5:$A$404,0)),0))</f>
        <v/>
      </c>
      <c r="H2417" s="81">
        <f>IF(D2417="","",N(F2417)*N(G2417))</f>
        <v/>
      </c>
      <c r="I2417" s="7" t="n"/>
      <c r="J2417" s="9">
        <f>IF(I2417="","",IFERROR(INDEX('Ordres de travail'!$D$5:$D$3004,MATCH(I2417,'Ordres de travail'!$A$5:$A$3004,0)),""))</f>
        <v/>
      </c>
      <c r="K2417" s="9">
        <f>IF(D2417="","",IFERROR(INDEX('Stock pièces'!$D$5:$D$404,MATCH(D2417,'Stock pièces'!$A$5:$A$404,0)),""))</f>
        <v/>
      </c>
      <c r="L2417" s="7" t="n"/>
      <c r="M2417" s="7" t="n"/>
    </row>
    <row r="2418">
      <c r="A2418" s="7" t="n"/>
      <c r="B2418" s="75" t="n"/>
      <c r="C2418" s="7" t="n"/>
      <c r="D2418" s="7" t="n"/>
      <c r="E2418" s="9">
        <f>IF(D2418="","",IFERROR(INDEX('Stock pièces'!$B$5:$B$404,MATCH(D2418,'Stock pièces'!$A$5:$A$404,0)),"Réf. inconnue"))</f>
        <v/>
      </c>
      <c r="F2418" s="67" t="n"/>
      <c r="G2418" s="81">
        <f>IF(D2418="","",IFERROR(INDEX('Stock pièces'!$I$5:$I$404,MATCH(D2418,'Stock pièces'!$A$5:$A$404,0)),0))</f>
        <v/>
      </c>
      <c r="H2418" s="81">
        <f>IF(D2418="","",N(F2418)*N(G2418))</f>
        <v/>
      </c>
      <c r="I2418" s="7" t="n"/>
      <c r="J2418" s="9">
        <f>IF(I2418="","",IFERROR(INDEX('Ordres de travail'!$D$5:$D$3004,MATCH(I2418,'Ordres de travail'!$A$5:$A$3004,0)),""))</f>
        <v/>
      </c>
      <c r="K2418" s="9">
        <f>IF(D2418="","",IFERROR(INDEX('Stock pièces'!$D$5:$D$404,MATCH(D2418,'Stock pièces'!$A$5:$A$404,0)),""))</f>
        <v/>
      </c>
      <c r="L2418" s="7" t="n"/>
      <c r="M2418" s="7" t="n"/>
    </row>
    <row r="2419">
      <c r="A2419" s="7" t="n"/>
      <c r="B2419" s="75" t="n"/>
      <c r="C2419" s="7" t="n"/>
      <c r="D2419" s="7" t="n"/>
      <c r="E2419" s="9">
        <f>IF(D2419="","",IFERROR(INDEX('Stock pièces'!$B$5:$B$404,MATCH(D2419,'Stock pièces'!$A$5:$A$404,0)),"Réf. inconnue"))</f>
        <v/>
      </c>
      <c r="F2419" s="67" t="n"/>
      <c r="G2419" s="81">
        <f>IF(D2419="","",IFERROR(INDEX('Stock pièces'!$I$5:$I$404,MATCH(D2419,'Stock pièces'!$A$5:$A$404,0)),0))</f>
        <v/>
      </c>
      <c r="H2419" s="81">
        <f>IF(D2419="","",N(F2419)*N(G2419))</f>
        <v/>
      </c>
      <c r="I2419" s="7" t="n"/>
      <c r="J2419" s="9">
        <f>IF(I2419="","",IFERROR(INDEX('Ordres de travail'!$D$5:$D$3004,MATCH(I2419,'Ordres de travail'!$A$5:$A$3004,0)),""))</f>
        <v/>
      </c>
      <c r="K2419" s="9">
        <f>IF(D2419="","",IFERROR(INDEX('Stock pièces'!$D$5:$D$404,MATCH(D2419,'Stock pièces'!$A$5:$A$404,0)),""))</f>
        <v/>
      </c>
      <c r="L2419" s="7" t="n"/>
      <c r="M2419" s="7" t="n"/>
    </row>
    <row r="2420">
      <c r="A2420" s="7" t="n"/>
      <c r="B2420" s="75" t="n"/>
      <c r="C2420" s="7" t="n"/>
      <c r="D2420" s="7" t="n"/>
      <c r="E2420" s="9">
        <f>IF(D2420="","",IFERROR(INDEX('Stock pièces'!$B$5:$B$404,MATCH(D2420,'Stock pièces'!$A$5:$A$404,0)),"Réf. inconnue"))</f>
        <v/>
      </c>
      <c r="F2420" s="67" t="n"/>
      <c r="G2420" s="81">
        <f>IF(D2420="","",IFERROR(INDEX('Stock pièces'!$I$5:$I$404,MATCH(D2420,'Stock pièces'!$A$5:$A$404,0)),0))</f>
        <v/>
      </c>
      <c r="H2420" s="81">
        <f>IF(D2420="","",N(F2420)*N(G2420))</f>
        <v/>
      </c>
      <c r="I2420" s="7" t="n"/>
      <c r="J2420" s="9">
        <f>IF(I2420="","",IFERROR(INDEX('Ordres de travail'!$D$5:$D$3004,MATCH(I2420,'Ordres de travail'!$A$5:$A$3004,0)),""))</f>
        <v/>
      </c>
      <c r="K2420" s="9">
        <f>IF(D2420="","",IFERROR(INDEX('Stock pièces'!$D$5:$D$404,MATCH(D2420,'Stock pièces'!$A$5:$A$404,0)),""))</f>
        <v/>
      </c>
      <c r="L2420" s="7" t="n"/>
      <c r="M2420" s="7" t="n"/>
    </row>
    <row r="2421">
      <c r="A2421" s="7" t="n"/>
      <c r="B2421" s="75" t="n"/>
      <c r="C2421" s="7" t="n"/>
      <c r="D2421" s="7" t="n"/>
      <c r="E2421" s="9">
        <f>IF(D2421="","",IFERROR(INDEX('Stock pièces'!$B$5:$B$404,MATCH(D2421,'Stock pièces'!$A$5:$A$404,0)),"Réf. inconnue"))</f>
        <v/>
      </c>
      <c r="F2421" s="67" t="n"/>
      <c r="G2421" s="81">
        <f>IF(D2421="","",IFERROR(INDEX('Stock pièces'!$I$5:$I$404,MATCH(D2421,'Stock pièces'!$A$5:$A$404,0)),0))</f>
        <v/>
      </c>
      <c r="H2421" s="81">
        <f>IF(D2421="","",N(F2421)*N(G2421))</f>
        <v/>
      </c>
      <c r="I2421" s="7" t="n"/>
      <c r="J2421" s="9">
        <f>IF(I2421="","",IFERROR(INDEX('Ordres de travail'!$D$5:$D$3004,MATCH(I2421,'Ordres de travail'!$A$5:$A$3004,0)),""))</f>
        <v/>
      </c>
      <c r="K2421" s="9">
        <f>IF(D2421="","",IFERROR(INDEX('Stock pièces'!$D$5:$D$404,MATCH(D2421,'Stock pièces'!$A$5:$A$404,0)),""))</f>
        <v/>
      </c>
      <c r="L2421" s="7" t="n"/>
      <c r="M2421" s="7" t="n"/>
    </row>
    <row r="2422">
      <c r="A2422" s="7" t="n"/>
      <c r="B2422" s="75" t="n"/>
      <c r="C2422" s="7" t="n"/>
      <c r="D2422" s="7" t="n"/>
      <c r="E2422" s="9">
        <f>IF(D2422="","",IFERROR(INDEX('Stock pièces'!$B$5:$B$404,MATCH(D2422,'Stock pièces'!$A$5:$A$404,0)),"Réf. inconnue"))</f>
        <v/>
      </c>
      <c r="F2422" s="67" t="n"/>
      <c r="G2422" s="81">
        <f>IF(D2422="","",IFERROR(INDEX('Stock pièces'!$I$5:$I$404,MATCH(D2422,'Stock pièces'!$A$5:$A$404,0)),0))</f>
        <v/>
      </c>
      <c r="H2422" s="81">
        <f>IF(D2422="","",N(F2422)*N(G2422))</f>
        <v/>
      </c>
      <c r="I2422" s="7" t="n"/>
      <c r="J2422" s="9">
        <f>IF(I2422="","",IFERROR(INDEX('Ordres de travail'!$D$5:$D$3004,MATCH(I2422,'Ordres de travail'!$A$5:$A$3004,0)),""))</f>
        <v/>
      </c>
      <c r="K2422" s="9">
        <f>IF(D2422="","",IFERROR(INDEX('Stock pièces'!$D$5:$D$404,MATCH(D2422,'Stock pièces'!$A$5:$A$404,0)),""))</f>
        <v/>
      </c>
      <c r="L2422" s="7" t="n"/>
      <c r="M2422" s="7" t="n"/>
    </row>
    <row r="2423">
      <c r="A2423" s="7" t="n"/>
      <c r="B2423" s="75" t="n"/>
      <c r="C2423" s="7" t="n"/>
      <c r="D2423" s="7" t="n"/>
      <c r="E2423" s="9">
        <f>IF(D2423="","",IFERROR(INDEX('Stock pièces'!$B$5:$B$404,MATCH(D2423,'Stock pièces'!$A$5:$A$404,0)),"Réf. inconnue"))</f>
        <v/>
      </c>
      <c r="F2423" s="67" t="n"/>
      <c r="G2423" s="81">
        <f>IF(D2423="","",IFERROR(INDEX('Stock pièces'!$I$5:$I$404,MATCH(D2423,'Stock pièces'!$A$5:$A$404,0)),0))</f>
        <v/>
      </c>
      <c r="H2423" s="81">
        <f>IF(D2423="","",N(F2423)*N(G2423))</f>
        <v/>
      </c>
      <c r="I2423" s="7" t="n"/>
      <c r="J2423" s="9">
        <f>IF(I2423="","",IFERROR(INDEX('Ordres de travail'!$D$5:$D$3004,MATCH(I2423,'Ordres de travail'!$A$5:$A$3004,0)),""))</f>
        <v/>
      </c>
      <c r="K2423" s="9">
        <f>IF(D2423="","",IFERROR(INDEX('Stock pièces'!$D$5:$D$404,MATCH(D2423,'Stock pièces'!$A$5:$A$404,0)),""))</f>
        <v/>
      </c>
      <c r="L2423" s="7" t="n"/>
      <c r="M2423" s="7" t="n"/>
    </row>
    <row r="2424">
      <c r="A2424" s="7" t="n"/>
      <c r="B2424" s="75" t="n"/>
      <c r="C2424" s="7" t="n"/>
      <c r="D2424" s="7" t="n"/>
      <c r="E2424" s="9">
        <f>IF(D2424="","",IFERROR(INDEX('Stock pièces'!$B$5:$B$404,MATCH(D2424,'Stock pièces'!$A$5:$A$404,0)),"Réf. inconnue"))</f>
        <v/>
      </c>
      <c r="F2424" s="67" t="n"/>
      <c r="G2424" s="81">
        <f>IF(D2424="","",IFERROR(INDEX('Stock pièces'!$I$5:$I$404,MATCH(D2424,'Stock pièces'!$A$5:$A$404,0)),0))</f>
        <v/>
      </c>
      <c r="H2424" s="81">
        <f>IF(D2424="","",N(F2424)*N(G2424))</f>
        <v/>
      </c>
      <c r="I2424" s="7" t="n"/>
      <c r="J2424" s="9">
        <f>IF(I2424="","",IFERROR(INDEX('Ordres de travail'!$D$5:$D$3004,MATCH(I2424,'Ordres de travail'!$A$5:$A$3004,0)),""))</f>
        <v/>
      </c>
      <c r="K2424" s="9">
        <f>IF(D2424="","",IFERROR(INDEX('Stock pièces'!$D$5:$D$404,MATCH(D2424,'Stock pièces'!$A$5:$A$404,0)),""))</f>
        <v/>
      </c>
      <c r="L2424" s="7" t="n"/>
      <c r="M2424" s="7" t="n"/>
    </row>
    <row r="2425">
      <c r="A2425" s="7" t="n"/>
      <c r="B2425" s="75" t="n"/>
      <c r="C2425" s="7" t="n"/>
      <c r="D2425" s="7" t="n"/>
      <c r="E2425" s="9">
        <f>IF(D2425="","",IFERROR(INDEX('Stock pièces'!$B$5:$B$404,MATCH(D2425,'Stock pièces'!$A$5:$A$404,0)),"Réf. inconnue"))</f>
        <v/>
      </c>
      <c r="F2425" s="67" t="n"/>
      <c r="G2425" s="81">
        <f>IF(D2425="","",IFERROR(INDEX('Stock pièces'!$I$5:$I$404,MATCH(D2425,'Stock pièces'!$A$5:$A$404,0)),0))</f>
        <v/>
      </c>
      <c r="H2425" s="81">
        <f>IF(D2425="","",N(F2425)*N(G2425))</f>
        <v/>
      </c>
      <c r="I2425" s="7" t="n"/>
      <c r="J2425" s="9">
        <f>IF(I2425="","",IFERROR(INDEX('Ordres de travail'!$D$5:$D$3004,MATCH(I2425,'Ordres de travail'!$A$5:$A$3004,0)),""))</f>
        <v/>
      </c>
      <c r="K2425" s="9">
        <f>IF(D2425="","",IFERROR(INDEX('Stock pièces'!$D$5:$D$404,MATCH(D2425,'Stock pièces'!$A$5:$A$404,0)),""))</f>
        <v/>
      </c>
      <c r="L2425" s="7" t="n"/>
      <c r="M2425" s="7" t="n"/>
    </row>
    <row r="2426">
      <c r="A2426" s="7" t="n"/>
      <c r="B2426" s="75" t="n"/>
      <c r="C2426" s="7" t="n"/>
      <c r="D2426" s="7" t="n"/>
      <c r="E2426" s="9">
        <f>IF(D2426="","",IFERROR(INDEX('Stock pièces'!$B$5:$B$404,MATCH(D2426,'Stock pièces'!$A$5:$A$404,0)),"Réf. inconnue"))</f>
        <v/>
      </c>
      <c r="F2426" s="67" t="n"/>
      <c r="G2426" s="81">
        <f>IF(D2426="","",IFERROR(INDEX('Stock pièces'!$I$5:$I$404,MATCH(D2426,'Stock pièces'!$A$5:$A$404,0)),0))</f>
        <v/>
      </c>
      <c r="H2426" s="81">
        <f>IF(D2426="","",N(F2426)*N(G2426))</f>
        <v/>
      </c>
      <c r="I2426" s="7" t="n"/>
      <c r="J2426" s="9">
        <f>IF(I2426="","",IFERROR(INDEX('Ordres de travail'!$D$5:$D$3004,MATCH(I2426,'Ordres de travail'!$A$5:$A$3004,0)),""))</f>
        <v/>
      </c>
      <c r="K2426" s="9">
        <f>IF(D2426="","",IFERROR(INDEX('Stock pièces'!$D$5:$D$404,MATCH(D2426,'Stock pièces'!$A$5:$A$404,0)),""))</f>
        <v/>
      </c>
      <c r="L2426" s="7" t="n"/>
      <c r="M2426" s="7" t="n"/>
    </row>
    <row r="2427">
      <c r="A2427" s="7" t="n"/>
      <c r="B2427" s="75" t="n"/>
      <c r="C2427" s="7" t="n"/>
      <c r="D2427" s="7" t="n"/>
      <c r="E2427" s="9">
        <f>IF(D2427="","",IFERROR(INDEX('Stock pièces'!$B$5:$B$404,MATCH(D2427,'Stock pièces'!$A$5:$A$404,0)),"Réf. inconnue"))</f>
        <v/>
      </c>
      <c r="F2427" s="67" t="n"/>
      <c r="G2427" s="81">
        <f>IF(D2427="","",IFERROR(INDEX('Stock pièces'!$I$5:$I$404,MATCH(D2427,'Stock pièces'!$A$5:$A$404,0)),0))</f>
        <v/>
      </c>
      <c r="H2427" s="81">
        <f>IF(D2427="","",N(F2427)*N(G2427))</f>
        <v/>
      </c>
      <c r="I2427" s="7" t="n"/>
      <c r="J2427" s="9">
        <f>IF(I2427="","",IFERROR(INDEX('Ordres de travail'!$D$5:$D$3004,MATCH(I2427,'Ordres de travail'!$A$5:$A$3004,0)),""))</f>
        <v/>
      </c>
      <c r="K2427" s="9">
        <f>IF(D2427="","",IFERROR(INDEX('Stock pièces'!$D$5:$D$404,MATCH(D2427,'Stock pièces'!$A$5:$A$404,0)),""))</f>
        <v/>
      </c>
      <c r="L2427" s="7" t="n"/>
      <c r="M2427" s="7" t="n"/>
    </row>
    <row r="2428">
      <c r="A2428" s="7" t="n"/>
      <c r="B2428" s="75" t="n"/>
      <c r="C2428" s="7" t="n"/>
      <c r="D2428" s="7" t="n"/>
      <c r="E2428" s="9">
        <f>IF(D2428="","",IFERROR(INDEX('Stock pièces'!$B$5:$B$404,MATCH(D2428,'Stock pièces'!$A$5:$A$404,0)),"Réf. inconnue"))</f>
        <v/>
      </c>
      <c r="F2428" s="67" t="n"/>
      <c r="G2428" s="81">
        <f>IF(D2428="","",IFERROR(INDEX('Stock pièces'!$I$5:$I$404,MATCH(D2428,'Stock pièces'!$A$5:$A$404,0)),0))</f>
        <v/>
      </c>
      <c r="H2428" s="81">
        <f>IF(D2428="","",N(F2428)*N(G2428))</f>
        <v/>
      </c>
      <c r="I2428" s="7" t="n"/>
      <c r="J2428" s="9">
        <f>IF(I2428="","",IFERROR(INDEX('Ordres de travail'!$D$5:$D$3004,MATCH(I2428,'Ordres de travail'!$A$5:$A$3004,0)),""))</f>
        <v/>
      </c>
      <c r="K2428" s="9">
        <f>IF(D2428="","",IFERROR(INDEX('Stock pièces'!$D$5:$D$404,MATCH(D2428,'Stock pièces'!$A$5:$A$404,0)),""))</f>
        <v/>
      </c>
      <c r="L2428" s="7" t="n"/>
      <c r="M2428" s="7" t="n"/>
    </row>
    <row r="2429">
      <c r="A2429" s="7" t="n"/>
      <c r="B2429" s="75" t="n"/>
      <c r="C2429" s="7" t="n"/>
      <c r="D2429" s="7" t="n"/>
      <c r="E2429" s="9">
        <f>IF(D2429="","",IFERROR(INDEX('Stock pièces'!$B$5:$B$404,MATCH(D2429,'Stock pièces'!$A$5:$A$404,0)),"Réf. inconnue"))</f>
        <v/>
      </c>
      <c r="F2429" s="67" t="n"/>
      <c r="G2429" s="81">
        <f>IF(D2429="","",IFERROR(INDEX('Stock pièces'!$I$5:$I$404,MATCH(D2429,'Stock pièces'!$A$5:$A$404,0)),0))</f>
        <v/>
      </c>
      <c r="H2429" s="81">
        <f>IF(D2429="","",N(F2429)*N(G2429))</f>
        <v/>
      </c>
      <c r="I2429" s="7" t="n"/>
      <c r="J2429" s="9">
        <f>IF(I2429="","",IFERROR(INDEX('Ordres de travail'!$D$5:$D$3004,MATCH(I2429,'Ordres de travail'!$A$5:$A$3004,0)),""))</f>
        <v/>
      </c>
      <c r="K2429" s="9">
        <f>IF(D2429="","",IFERROR(INDEX('Stock pièces'!$D$5:$D$404,MATCH(D2429,'Stock pièces'!$A$5:$A$404,0)),""))</f>
        <v/>
      </c>
      <c r="L2429" s="7" t="n"/>
      <c r="M2429" s="7" t="n"/>
    </row>
    <row r="2430">
      <c r="A2430" s="7" t="n"/>
      <c r="B2430" s="75" t="n"/>
      <c r="C2430" s="7" t="n"/>
      <c r="D2430" s="7" t="n"/>
      <c r="E2430" s="9">
        <f>IF(D2430="","",IFERROR(INDEX('Stock pièces'!$B$5:$B$404,MATCH(D2430,'Stock pièces'!$A$5:$A$404,0)),"Réf. inconnue"))</f>
        <v/>
      </c>
      <c r="F2430" s="67" t="n"/>
      <c r="G2430" s="81">
        <f>IF(D2430="","",IFERROR(INDEX('Stock pièces'!$I$5:$I$404,MATCH(D2430,'Stock pièces'!$A$5:$A$404,0)),0))</f>
        <v/>
      </c>
      <c r="H2430" s="81">
        <f>IF(D2430="","",N(F2430)*N(G2430))</f>
        <v/>
      </c>
      <c r="I2430" s="7" t="n"/>
      <c r="J2430" s="9">
        <f>IF(I2430="","",IFERROR(INDEX('Ordres de travail'!$D$5:$D$3004,MATCH(I2430,'Ordres de travail'!$A$5:$A$3004,0)),""))</f>
        <v/>
      </c>
      <c r="K2430" s="9">
        <f>IF(D2430="","",IFERROR(INDEX('Stock pièces'!$D$5:$D$404,MATCH(D2430,'Stock pièces'!$A$5:$A$404,0)),""))</f>
        <v/>
      </c>
      <c r="L2430" s="7" t="n"/>
      <c r="M2430" s="7" t="n"/>
    </row>
    <row r="2431">
      <c r="A2431" s="7" t="n"/>
      <c r="B2431" s="75" t="n"/>
      <c r="C2431" s="7" t="n"/>
      <c r="D2431" s="7" t="n"/>
      <c r="E2431" s="9">
        <f>IF(D2431="","",IFERROR(INDEX('Stock pièces'!$B$5:$B$404,MATCH(D2431,'Stock pièces'!$A$5:$A$404,0)),"Réf. inconnue"))</f>
        <v/>
      </c>
      <c r="F2431" s="67" t="n"/>
      <c r="G2431" s="81">
        <f>IF(D2431="","",IFERROR(INDEX('Stock pièces'!$I$5:$I$404,MATCH(D2431,'Stock pièces'!$A$5:$A$404,0)),0))</f>
        <v/>
      </c>
      <c r="H2431" s="81">
        <f>IF(D2431="","",N(F2431)*N(G2431))</f>
        <v/>
      </c>
      <c r="I2431" s="7" t="n"/>
      <c r="J2431" s="9">
        <f>IF(I2431="","",IFERROR(INDEX('Ordres de travail'!$D$5:$D$3004,MATCH(I2431,'Ordres de travail'!$A$5:$A$3004,0)),""))</f>
        <v/>
      </c>
      <c r="K2431" s="9">
        <f>IF(D2431="","",IFERROR(INDEX('Stock pièces'!$D$5:$D$404,MATCH(D2431,'Stock pièces'!$A$5:$A$404,0)),""))</f>
        <v/>
      </c>
      <c r="L2431" s="7" t="n"/>
      <c r="M2431" s="7" t="n"/>
    </row>
    <row r="2432">
      <c r="A2432" s="7" t="n"/>
      <c r="B2432" s="75" t="n"/>
      <c r="C2432" s="7" t="n"/>
      <c r="D2432" s="7" t="n"/>
      <c r="E2432" s="9">
        <f>IF(D2432="","",IFERROR(INDEX('Stock pièces'!$B$5:$B$404,MATCH(D2432,'Stock pièces'!$A$5:$A$404,0)),"Réf. inconnue"))</f>
        <v/>
      </c>
      <c r="F2432" s="67" t="n"/>
      <c r="G2432" s="81">
        <f>IF(D2432="","",IFERROR(INDEX('Stock pièces'!$I$5:$I$404,MATCH(D2432,'Stock pièces'!$A$5:$A$404,0)),0))</f>
        <v/>
      </c>
      <c r="H2432" s="81">
        <f>IF(D2432="","",N(F2432)*N(G2432))</f>
        <v/>
      </c>
      <c r="I2432" s="7" t="n"/>
      <c r="J2432" s="9">
        <f>IF(I2432="","",IFERROR(INDEX('Ordres de travail'!$D$5:$D$3004,MATCH(I2432,'Ordres de travail'!$A$5:$A$3004,0)),""))</f>
        <v/>
      </c>
      <c r="K2432" s="9">
        <f>IF(D2432="","",IFERROR(INDEX('Stock pièces'!$D$5:$D$404,MATCH(D2432,'Stock pièces'!$A$5:$A$404,0)),""))</f>
        <v/>
      </c>
      <c r="L2432" s="7" t="n"/>
      <c r="M2432" s="7" t="n"/>
    </row>
    <row r="2433">
      <c r="A2433" s="7" t="n"/>
      <c r="B2433" s="75" t="n"/>
      <c r="C2433" s="7" t="n"/>
      <c r="D2433" s="7" t="n"/>
      <c r="E2433" s="9">
        <f>IF(D2433="","",IFERROR(INDEX('Stock pièces'!$B$5:$B$404,MATCH(D2433,'Stock pièces'!$A$5:$A$404,0)),"Réf. inconnue"))</f>
        <v/>
      </c>
      <c r="F2433" s="67" t="n"/>
      <c r="G2433" s="81">
        <f>IF(D2433="","",IFERROR(INDEX('Stock pièces'!$I$5:$I$404,MATCH(D2433,'Stock pièces'!$A$5:$A$404,0)),0))</f>
        <v/>
      </c>
      <c r="H2433" s="81">
        <f>IF(D2433="","",N(F2433)*N(G2433))</f>
        <v/>
      </c>
      <c r="I2433" s="7" t="n"/>
      <c r="J2433" s="9">
        <f>IF(I2433="","",IFERROR(INDEX('Ordres de travail'!$D$5:$D$3004,MATCH(I2433,'Ordres de travail'!$A$5:$A$3004,0)),""))</f>
        <v/>
      </c>
      <c r="K2433" s="9">
        <f>IF(D2433="","",IFERROR(INDEX('Stock pièces'!$D$5:$D$404,MATCH(D2433,'Stock pièces'!$A$5:$A$404,0)),""))</f>
        <v/>
      </c>
      <c r="L2433" s="7" t="n"/>
      <c r="M2433" s="7" t="n"/>
    </row>
    <row r="2434">
      <c r="A2434" s="7" t="n"/>
      <c r="B2434" s="75" t="n"/>
      <c r="C2434" s="7" t="n"/>
      <c r="D2434" s="7" t="n"/>
      <c r="E2434" s="9">
        <f>IF(D2434="","",IFERROR(INDEX('Stock pièces'!$B$5:$B$404,MATCH(D2434,'Stock pièces'!$A$5:$A$404,0)),"Réf. inconnue"))</f>
        <v/>
      </c>
      <c r="F2434" s="67" t="n"/>
      <c r="G2434" s="81">
        <f>IF(D2434="","",IFERROR(INDEX('Stock pièces'!$I$5:$I$404,MATCH(D2434,'Stock pièces'!$A$5:$A$404,0)),0))</f>
        <v/>
      </c>
      <c r="H2434" s="81">
        <f>IF(D2434="","",N(F2434)*N(G2434))</f>
        <v/>
      </c>
      <c r="I2434" s="7" t="n"/>
      <c r="J2434" s="9">
        <f>IF(I2434="","",IFERROR(INDEX('Ordres de travail'!$D$5:$D$3004,MATCH(I2434,'Ordres de travail'!$A$5:$A$3004,0)),""))</f>
        <v/>
      </c>
      <c r="K2434" s="9">
        <f>IF(D2434="","",IFERROR(INDEX('Stock pièces'!$D$5:$D$404,MATCH(D2434,'Stock pièces'!$A$5:$A$404,0)),""))</f>
        <v/>
      </c>
      <c r="L2434" s="7" t="n"/>
      <c r="M2434" s="7" t="n"/>
    </row>
    <row r="2435">
      <c r="A2435" s="7" t="n"/>
      <c r="B2435" s="75" t="n"/>
      <c r="C2435" s="7" t="n"/>
      <c r="D2435" s="7" t="n"/>
      <c r="E2435" s="9">
        <f>IF(D2435="","",IFERROR(INDEX('Stock pièces'!$B$5:$B$404,MATCH(D2435,'Stock pièces'!$A$5:$A$404,0)),"Réf. inconnue"))</f>
        <v/>
      </c>
      <c r="F2435" s="67" t="n"/>
      <c r="G2435" s="81">
        <f>IF(D2435="","",IFERROR(INDEX('Stock pièces'!$I$5:$I$404,MATCH(D2435,'Stock pièces'!$A$5:$A$404,0)),0))</f>
        <v/>
      </c>
      <c r="H2435" s="81">
        <f>IF(D2435="","",N(F2435)*N(G2435))</f>
        <v/>
      </c>
      <c r="I2435" s="7" t="n"/>
      <c r="J2435" s="9">
        <f>IF(I2435="","",IFERROR(INDEX('Ordres de travail'!$D$5:$D$3004,MATCH(I2435,'Ordres de travail'!$A$5:$A$3004,0)),""))</f>
        <v/>
      </c>
      <c r="K2435" s="9">
        <f>IF(D2435="","",IFERROR(INDEX('Stock pièces'!$D$5:$D$404,MATCH(D2435,'Stock pièces'!$A$5:$A$404,0)),""))</f>
        <v/>
      </c>
      <c r="L2435" s="7" t="n"/>
      <c r="M2435" s="7" t="n"/>
    </row>
    <row r="2436">
      <c r="A2436" s="7" t="n"/>
      <c r="B2436" s="75" t="n"/>
      <c r="C2436" s="7" t="n"/>
      <c r="D2436" s="7" t="n"/>
      <c r="E2436" s="9">
        <f>IF(D2436="","",IFERROR(INDEX('Stock pièces'!$B$5:$B$404,MATCH(D2436,'Stock pièces'!$A$5:$A$404,0)),"Réf. inconnue"))</f>
        <v/>
      </c>
      <c r="F2436" s="67" t="n"/>
      <c r="G2436" s="81">
        <f>IF(D2436="","",IFERROR(INDEX('Stock pièces'!$I$5:$I$404,MATCH(D2436,'Stock pièces'!$A$5:$A$404,0)),0))</f>
        <v/>
      </c>
      <c r="H2436" s="81">
        <f>IF(D2436="","",N(F2436)*N(G2436))</f>
        <v/>
      </c>
      <c r="I2436" s="7" t="n"/>
      <c r="J2436" s="9">
        <f>IF(I2436="","",IFERROR(INDEX('Ordres de travail'!$D$5:$D$3004,MATCH(I2436,'Ordres de travail'!$A$5:$A$3004,0)),""))</f>
        <v/>
      </c>
      <c r="K2436" s="9">
        <f>IF(D2436="","",IFERROR(INDEX('Stock pièces'!$D$5:$D$404,MATCH(D2436,'Stock pièces'!$A$5:$A$404,0)),""))</f>
        <v/>
      </c>
      <c r="L2436" s="7" t="n"/>
      <c r="M2436" s="7" t="n"/>
    </row>
    <row r="2437">
      <c r="A2437" s="7" t="n"/>
      <c r="B2437" s="75" t="n"/>
      <c r="C2437" s="7" t="n"/>
      <c r="D2437" s="7" t="n"/>
      <c r="E2437" s="9">
        <f>IF(D2437="","",IFERROR(INDEX('Stock pièces'!$B$5:$B$404,MATCH(D2437,'Stock pièces'!$A$5:$A$404,0)),"Réf. inconnue"))</f>
        <v/>
      </c>
      <c r="F2437" s="67" t="n"/>
      <c r="G2437" s="81">
        <f>IF(D2437="","",IFERROR(INDEX('Stock pièces'!$I$5:$I$404,MATCH(D2437,'Stock pièces'!$A$5:$A$404,0)),0))</f>
        <v/>
      </c>
      <c r="H2437" s="81">
        <f>IF(D2437="","",N(F2437)*N(G2437))</f>
        <v/>
      </c>
      <c r="I2437" s="7" t="n"/>
      <c r="J2437" s="9">
        <f>IF(I2437="","",IFERROR(INDEX('Ordres de travail'!$D$5:$D$3004,MATCH(I2437,'Ordres de travail'!$A$5:$A$3004,0)),""))</f>
        <v/>
      </c>
      <c r="K2437" s="9">
        <f>IF(D2437="","",IFERROR(INDEX('Stock pièces'!$D$5:$D$404,MATCH(D2437,'Stock pièces'!$A$5:$A$404,0)),""))</f>
        <v/>
      </c>
      <c r="L2437" s="7" t="n"/>
      <c r="M2437" s="7" t="n"/>
    </row>
    <row r="2438">
      <c r="A2438" s="7" t="n"/>
      <c r="B2438" s="75" t="n"/>
      <c r="C2438" s="7" t="n"/>
      <c r="D2438" s="7" t="n"/>
      <c r="E2438" s="9">
        <f>IF(D2438="","",IFERROR(INDEX('Stock pièces'!$B$5:$B$404,MATCH(D2438,'Stock pièces'!$A$5:$A$404,0)),"Réf. inconnue"))</f>
        <v/>
      </c>
      <c r="F2438" s="67" t="n"/>
      <c r="G2438" s="81">
        <f>IF(D2438="","",IFERROR(INDEX('Stock pièces'!$I$5:$I$404,MATCH(D2438,'Stock pièces'!$A$5:$A$404,0)),0))</f>
        <v/>
      </c>
      <c r="H2438" s="81">
        <f>IF(D2438="","",N(F2438)*N(G2438))</f>
        <v/>
      </c>
      <c r="I2438" s="7" t="n"/>
      <c r="J2438" s="9">
        <f>IF(I2438="","",IFERROR(INDEX('Ordres de travail'!$D$5:$D$3004,MATCH(I2438,'Ordres de travail'!$A$5:$A$3004,0)),""))</f>
        <v/>
      </c>
      <c r="K2438" s="9">
        <f>IF(D2438="","",IFERROR(INDEX('Stock pièces'!$D$5:$D$404,MATCH(D2438,'Stock pièces'!$A$5:$A$404,0)),""))</f>
        <v/>
      </c>
      <c r="L2438" s="7" t="n"/>
      <c r="M2438" s="7" t="n"/>
    </row>
    <row r="2439">
      <c r="A2439" s="7" t="n"/>
      <c r="B2439" s="75" t="n"/>
      <c r="C2439" s="7" t="n"/>
      <c r="D2439" s="7" t="n"/>
      <c r="E2439" s="9">
        <f>IF(D2439="","",IFERROR(INDEX('Stock pièces'!$B$5:$B$404,MATCH(D2439,'Stock pièces'!$A$5:$A$404,0)),"Réf. inconnue"))</f>
        <v/>
      </c>
      <c r="F2439" s="67" t="n"/>
      <c r="G2439" s="81">
        <f>IF(D2439="","",IFERROR(INDEX('Stock pièces'!$I$5:$I$404,MATCH(D2439,'Stock pièces'!$A$5:$A$404,0)),0))</f>
        <v/>
      </c>
      <c r="H2439" s="81">
        <f>IF(D2439="","",N(F2439)*N(G2439))</f>
        <v/>
      </c>
      <c r="I2439" s="7" t="n"/>
      <c r="J2439" s="9">
        <f>IF(I2439="","",IFERROR(INDEX('Ordres de travail'!$D$5:$D$3004,MATCH(I2439,'Ordres de travail'!$A$5:$A$3004,0)),""))</f>
        <v/>
      </c>
      <c r="K2439" s="9">
        <f>IF(D2439="","",IFERROR(INDEX('Stock pièces'!$D$5:$D$404,MATCH(D2439,'Stock pièces'!$A$5:$A$404,0)),""))</f>
        <v/>
      </c>
      <c r="L2439" s="7" t="n"/>
      <c r="M2439" s="7" t="n"/>
    </row>
    <row r="2440">
      <c r="A2440" s="7" t="n"/>
      <c r="B2440" s="75" t="n"/>
      <c r="C2440" s="7" t="n"/>
      <c r="D2440" s="7" t="n"/>
      <c r="E2440" s="9">
        <f>IF(D2440="","",IFERROR(INDEX('Stock pièces'!$B$5:$B$404,MATCH(D2440,'Stock pièces'!$A$5:$A$404,0)),"Réf. inconnue"))</f>
        <v/>
      </c>
      <c r="F2440" s="67" t="n"/>
      <c r="G2440" s="81">
        <f>IF(D2440="","",IFERROR(INDEX('Stock pièces'!$I$5:$I$404,MATCH(D2440,'Stock pièces'!$A$5:$A$404,0)),0))</f>
        <v/>
      </c>
      <c r="H2440" s="81">
        <f>IF(D2440="","",N(F2440)*N(G2440))</f>
        <v/>
      </c>
      <c r="I2440" s="7" t="n"/>
      <c r="J2440" s="9">
        <f>IF(I2440="","",IFERROR(INDEX('Ordres de travail'!$D$5:$D$3004,MATCH(I2440,'Ordres de travail'!$A$5:$A$3004,0)),""))</f>
        <v/>
      </c>
      <c r="K2440" s="9">
        <f>IF(D2440="","",IFERROR(INDEX('Stock pièces'!$D$5:$D$404,MATCH(D2440,'Stock pièces'!$A$5:$A$404,0)),""))</f>
        <v/>
      </c>
      <c r="L2440" s="7" t="n"/>
      <c r="M2440" s="7" t="n"/>
    </row>
    <row r="2441">
      <c r="A2441" s="7" t="n"/>
      <c r="B2441" s="75" t="n"/>
      <c r="C2441" s="7" t="n"/>
      <c r="D2441" s="7" t="n"/>
      <c r="E2441" s="9">
        <f>IF(D2441="","",IFERROR(INDEX('Stock pièces'!$B$5:$B$404,MATCH(D2441,'Stock pièces'!$A$5:$A$404,0)),"Réf. inconnue"))</f>
        <v/>
      </c>
      <c r="F2441" s="67" t="n"/>
      <c r="G2441" s="81">
        <f>IF(D2441="","",IFERROR(INDEX('Stock pièces'!$I$5:$I$404,MATCH(D2441,'Stock pièces'!$A$5:$A$404,0)),0))</f>
        <v/>
      </c>
      <c r="H2441" s="81">
        <f>IF(D2441="","",N(F2441)*N(G2441))</f>
        <v/>
      </c>
      <c r="I2441" s="7" t="n"/>
      <c r="J2441" s="9">
        <f>IF(I2441="","",IFERROR(INDEX('Ordres de travail'!$D$5:$D$3004,MATCH(I2441,'Ordres de travail'!$A$5:$A$3004,0)),""))</f>
        <v/>
      </c>
      <c r="K2441" s="9">
        <f>IF(D2441="","",IFERROR(INDEX('Stock pièces'!$D$5:$D$404,MATCH(D2441,'Stock pièces'!$A$5:$A$404,0)),""))</f>
        <v/>
      </c>
      <c r="L2441" s="7" t="n"/>
      <c r="M2441" s="7" t="n"/>
    </row>
    <row r="2442">
      <c r="A2442" s="7" t="n"/>
      <c r="B2442" s="75" t="n"/>
      <c r="C2442" s="7" t="n"/>
      <c r="D2442" s="7" t="n"/>
      <c r="E2442" s="9">
        <f>IF(D2442="","",IFERROR(INDEX('Stock pièces'!$B$5:$B$404,MATCH(D2442,'Stock pièces'!$A$5:$A$404,0)),"Réf. inconnue"))</f>
        <v/>
      </c>
      <c r="F2442" s="67" t="n"/>
      <c r="G2442" s="81">
        <f>IF(D2442="","",IFERROR(INDEX('Stock pièces'!$I$5:$I$404,MATCH(D2442,'Stock pièces'!$A$5:$A$404,0)),0))</f>
        <v/>
      </c>
      <c r="H2442" s="81">
        <f>IF(D2442="","",N(F2442)*N(G2442))</f>
        <v/>
      </c>
      <c r="I2442" s="7" t="n"/>
      <c r="J2442" s="9">
        <f>IF(I2442="","",IFERROR(INDEX('Ordres de travail'!$D$5:$D$3004,MATCH(I2442,'Ordres de travail'!$A$5:$A$3004,0)),""))</f>
        <v/>
      </c>
      <c r="K2442" s="9">
        <f>IF(D2442="","",IFERROR(INDEX('Stock pièces'!$D$5:$D$404,MATCH(D2442,'Stock pièces'!$A$5:$A$404,0)),""))</f>
        <v/>
      </c>
      <c r="L2442" s="7" t="n"/>
      <c r="M2442" s="7" t="n"/>
    </row>
    <row r="2443">
      <c r="A2443" s="7" t="n"/>
      <c r="B2443" s="75" t="n"/>
      <c r="C2443" s="7" t="n"/>
      <c r="D2443" s="7" t="n"/>
      <c r="E2443" s="9">
        <f>IF(D2443="","",IFERROR(INDEX('Stock pièces'!$B$5:$B$404,MATCH(D2443,'Stock pièces'!$A$5:$A$404,0)),"Réf. inconnue"))</f>
        <v/>
      </c>
      <c r="F2443" s="67" t="n"/>
      <c r="G2443" s="81">
        <f>IF(D2443="","",IFERROR(INDEX('Stock pièces'!$I$5:$I$404,MATCH(D2443,'Stock pièces'!$A$5:$A$404,0)),0))</f>
        <v/>
      </c>
      <c r="H2443" s="81">
        <f>IF(D2443="","",N(F2443)*N(G2443))</f>
        <v/>
      </c>
      <c r="I2443" s="7" t="n"/>
      <c r="J2443" s="9">
        <f>IF(I2443="","",IFERROR(INDEX('Ordres de travail'!$D$5:$D$3004,MATCH(I2443,'Ordres de travail'!$A$5:$A$3004,0)),""))</f>
        <v/>
      </c>
      <c r="K2443" s="9">
        <f>IF(D2443="","",IFERROR(INDEX('Stock pièces'!$D$5:$D$404,MATCH(D2443,'Stock pièces'!$A$5:$A$404,0)),""))</f>
        <v/>
      </c>
      <c r="L2443" s="7" t="n"/>
      <c r="M2443" s="7" t="n"/>
    </row>
    <row r="2444">
      <c r="A2444" s="7" t="n"/>
      <c r="B2444" s="75" t="n"/>
      <c r="C2444" s="7" t="n"/>
      <c r="D2444" s="7" t="n"/>
      <c r="E2444" s="9">
        <f>IF(D2444="","",IFERROR(INDEX('Stock pièces'!$B$5:$B$404,MATCH(D2444,'Stock pièces'!$A$5:$A$404,0)),"Réf. inconnue"))</f>
        <v/>
      </c>
      <c r="F2444" s="67" t="n"/>
      <c r="G2444" s="81">
        <f>IF(D2444="","",IFERROR(INDEX('Stock pièces'!$I$5:$I$404,MATCH(D2444,'Stock pièces'!$A$5:$A$404,0)),0))</f>
        <v/>
      </c>
      <c r="H2444" s="81">
        <f>IF(D2444="","",N(F2444)*N(G2444))</f>
        <v/>
      </c>
      <c r="I2444" s="7" t="n"/>
      <c r="J2444" s="9">
        <f>IF(I2444="","",IFERROR(INDEX('Ordres de travail'!$D$5:$D$3004,MATCH(I2444,'Ordres de travail'!$A$5:$A$3004,0)),""))</f>
        <v/>
      </c>
      <c r="K2444" s="9">
        <f>IF(D2444="","",IFERROR(INDEX('Stock pièces'!$D$5:$D$404,MATCH(D2444,'Stock pièces'!$A$5:$A$404,0)),""))</f>
        <v/>
      </c>
      <c r="L2444" s="7" t="n"/>
      <c r="M2444" s="7" t="n"/>
    </row>
    <row r="2445">
      <c r="A2445" s="7" t="n"/>
      <c r="B2445" s="75" t="n"/>
      <c r="C2445" s="7" t="n"/>
      <c r="D2445" s="7" t="n"/>
      <c r="E2445" s="9">
        <f>IF(D2445="","",IFERROR(INDEX('Stock pièces'!$B$5:$B$404,MATCH(D2445,'Stock pièces'!$A$5:$A$404,0)),"Réf. inconnue"))</f>
        <v/>
      </c>
      <c r="F2445" s="67" t="n"/>
      <c r="G2445" s="81">
        <f>IF(D2445="","",IFERROR(INDEX('Stock pièces'!$I$5:$I$404,MATCH(D2445,'Stock pièces'!$A$5:$A$404,0)),0))</f>
        <v/>
      </c>
      <c r="H2445" s="81">
        <f>IF(D2445="","",N(F2445)*N(G2445))</f>
        <v/>
      </c>
      <c r="I2445" s="7" t="n"/>
      <c r="J2445" s="9">
        <f>IF(I2445="","",IFERROR(INDEX('Ordres de travail'!$D$5:$D$3004,MATCH(I2445,'Ordres de travail'!$A$5:$A$3004,0)),""))</f>
        <v/>
      </c>
      <c r="K2445" s="9">
        <f>IF(D2445="","",IFERROR(INDEX('Stock pièces'!$D$5:$D$404,MATCH(D2445,'Stock pièces'!$A$5:$A$404,0)),""))</f>
        <v/>
      </c>
      <c r="L2445" s="7" t="n"/>
      <c r="M2445" s="7" t="n"/>
    </row>
    <row r="2446">
      <c r="A2446" s="7" t="n"/>
      <c r="B2446" s="75" t="n"/>
      <c r="C2446" s="7" t="n"/>
      <c r="D2446" s="7" t="n"/>
      <c r="E2446" s="9">
        <f>IF(D2446="","",IFERROR(INDEX('Stock pièces'!$B$5:$B$404,MATCH(D2446,'Stock pièces'!$A$5:$A$404,0)),"Réf. inconnue"))</f>
        <v/>
      </c>
      <c r="F2446" s="67" t="n"/>
      <c r="G2446" s="81">
        <f>IF(D2446="","",IFERROR(INDEX('Stock pièces'!$I$5:$I$404,MATCH(D2446,'Stock pièces'!$A$5:$A$404,0)),0))</f>
        <v/>
      </c>
      <c r="H2446" s="81">
        <f>IF(D2446="","",N(F2446)*N(G2446))</f>
        <v/>
      </c>
      <c r="I2446" s="7" t="n"/>
      <c r="J2446" s="9">
        <f>IF(I2446="","",IFERROR(INDEX('Ordres de travail'!$D$5:$D$3004,MATCH(I2446,'Ordres de travail'!$A$5:$A$3004,0)),""))</f>
        <v/>
      </c>
      <c r="K2446" s="9">
        <f>IF(D2446="","",IFERROR(INDEX('Stock pièces'!$D$5:$D$404,MATCH(D2446,'Stock pièces'!$A$5:$A$404,0)),""))</f>
        <v/>
      </c>
      <c r="L2446" s="7" t="n"/>
      <c r="M2446" s="7" t="n"/>
    </row>
    <row r="2447">
      <c r="A2447" s="7" t="n"/>
      <c r="B2447" s="75" t="n"/>
      <c r="C2447" s="7" t="n"/>
      <c r="D2447" s="7" t="n"/>
      <c r="E2447" s="9">
        <f>IF(D2447="","",IFERROR(INDEX('Stock pièces'!$B$5:$B$404,MATCH(D2447,'Stock pièces'!$A$5:$A$404,0)),"Réf. inconnue"))</f>
        <v/>
      </c>
      <c r="F2447" s="67" t="n"/>
      <c r="G2447" s="81">
        <f>IF(D2447="","",IFERROR(INDEX('Stock pièces'!$I$5:$I$404,MATCH(D2447,'Stock pièces'!$A$5:$A$404,0)),0))</f>
        <v/>
      </c>
      <c r="H2447" s="81">
        <f>IF(D2447="","",N(F2447)*N(G2447))</f>
        <v/>
      </c>
      <c r="I2447" s="7" t="n"/>
      <c r="J2447" s="9">
        <f>IF(I2447="","",IFERROR(INDEX('Ordres de travail'!$D$5:$D$3004,MATCH(I2447,'Ordres de travail'!$A$5:$A$3004,0)),""))</f>
        <v/>
      </c>
      <c r="K2447" s="9">
        <f>IF(D2447="","",IFERROR(INDEX('Stock pièces'!$D$5:$D$404,MATCH(D2447,'Stock pièces'!$A$5:$A$404,0)),""))</f>
        <v/>
      </c>
      <c r="L2447" s="7" t="n"/>
      <c r="M2447" s="7" t="n"/>
    </row>
    <row r="2448">
      <c r="A2448" s="7" t="n"/>
      <c r="B2448" s="75" t="n"/>
      <c r="C2448" s="7" t="n"/>
      <c r="D2448" s="7" t="n"/>
      <c r="E2448" s="9">
        <f>IF(D2448="","",IFERROR(INDEX('Stock pièces'!$B$5:$B$404,MATCH(D2448,'Stock pièces'!$A$5:$A$404,0)),"Réf. inconnue"))</f>
        <v/>
      </c>
      <c r="F2448" s="67" t="n"/>
      <c r="G2448" s="81">
        <f>IF(D2448="","",IFERROR(INDEX('Stock pièces'!$I$5:$I$404,MATCH(D2448,'Stock pièces'!$A$5:$A$404,0)),0))</f>
        <v/>
      </c>
      <c r="H2448" s="81">
        <f>IF(D2448="","",N(F2448)*N(G2448))</f>
        <v/>
      </c>
      <c r="I2448" s="7" t="n"/>
      <c r="J2448" s="9">
        <f>IF(I2448="","",IFERROR(INDEX('Ordres de travail'!$D$5:$D$3004,MATCH(I2448,'Ordres de travail'!$A$5:$A$3004,0)),""))</f>
        <v/>
      </c>
      <c r="K2448" s="9">
        <f>IF(D2448="","",IFERROR(INDEX('Stock pièces'!$D$5:$D$404,MATCH(D2448,'Stock pièces'!$A$5:$A$404,0)),""))</f>
        <v/>
      </c>
      <c r="L2448" s="7" t="n"/>
      <c r="M2448" s="7" t="n"/>
    </row>
    <row r="2449">
      <c r="A2449" s="7" t="n"/>
      <c r="B2449" s="75" t="n"/>
      <c r="C2449" s="7" t="n"/>
      <c r="D2449" s="7" t="n"/>
      <c r="E2449" s="9">
        <f>IF(D2449="","",IFERROR(INDEX('Stock pièces'!$B$5:$B$404,MATCH(D2449,'Stock pièces'!$A$5:$A$404,0)),"Réf. inconnue"))</f>
        <v/>
      </c>
      <c r="F2449" s="67" t="n"/>
      <c r="G2449" s="81">
        <f>IF(D2449="","",IFERROR(INDEX('Stock pièces'!$I$5:$I$404,MATCH(D2449,'Stock pièces'!$A$5:$A$404,0)),0))</f>
        <v/>
      </c>
      <c r="H2449" s="81">
        <f>IF(D2449="","",N(F2449)*N(G2449))</f>
        <v/>
      </c>
      <c r="I2449" s="7" t="n"/>
      <c r="J2449" s="9">
        <f>IF(I2449="","",IFERROR(INDEX('Ordres de travail'!$D$5:$D$3004,MATCH(I2449,'Ordres de travail'!$A$5:$A$3004,0)),""))</f>
        <v/>
      </c>
      <c r="K2449" s="9">
        <f>IF(D2449="","",IFERROR(INDEX('Stock pièces'!$D$5:$D$404,MATCH(D2449,'Stock pièces'!$A$5:$A$404,0)),""))</f>
        <v/>
      </c>
      <c r="L2449" s="7" t="n"/>
      <c r="M2449" s="7" t="n"/>
    </row>
    <row r="2450">
      <c r="A2450" s="7" t="n"/>
      <c r="B2450" s="75" t="n"/>
      <c r="C2450" s="7" t="n"/>
      <c r="D2450" s="7" t="n"/>
      <c r="E2450" s="9">
        <f>IF(D2450="","",IFERROR(INDEX('Stock pièces'!$B$5:$B$404,MATCH(D2450,'Stock pièces'!$A$5:$A$404,0)),"Réf. inconnue"))</f>
        <v/>
      </c>
      <c r="F2450" s="67" t="n"/>
      <c r="G2450" s="81">
        <f>IF(D2450="","",IFERROR(INDEX('Stock pièces'!$I$5:$I$404,MATCH(D2450,'Stock pièces'!$A$5:$A$404,0)),0))</f>
        <v/>
      </c>
      <c r="H2450" s="81">
        <f>IF(D2450="","",N(F2450)*N(G2450))</f>
        <v/>
      </c>
      <c r="I2450" s="7" t="n"/>
      <c r="J2450" s="9">
        <f>IF(I2450="","",IFERROR(INDEX('Ordres de travail'!$D$5:$D$3004,MATCH(I2450,'Ordres de travail'!$A$5:$A$3004,0)),""))</f>
        <v/>
      </c>
      <c r="K2450" s="9">
        <f>IF(D2450="","",IFERROR(INDEX('Stock pièces'!$D$5:$D$404,MATCH(D2450,'Stock pièces'!$A$5:$A$404,0)),""))</f>
        <v/>
      </c>
      <c r="L2450" s="7" t="n"/>
      <c r="M2450" s="7" t="n"/>
    </row>
    <row r="2451">
      <c r="A2451" s="7" t="n"/>
      <c r="B2451" s="75" t="n"/>
      <c r="C2451" s="7" t="n"/>
      <c r="D2451" s="7" t="n"/>
      <c r="E2451" s="9">
        <f>IF(D2451="","",IFERROR(INDEX('Stock pièces'!$B$5:$B$404,MATCH(D2451,'Stock pièces'!$A$5:$A$404,0)),"Réf. inconnue"))</f>
        <v/>
      </c>
      <c r="F2451" s="67" t="n"/>
      <c r="G2451" s="81">
        <f>IF(D2451="","",IFERROR(INDEX('Stock pièces'!$I$5:$I$404,MATCH(D2451,'Stock pièces'!$A$5:$A$404,0)),0))</f>
        <v/>
      </c>
      <c r="H2451" s="81">
        <f>IF(D2451="","",N(F2451)*N(G2451))</f>
        <v/>
      </c>
      <c r="I2451" s="7" t="n"/>
      <c r="J2451" s="9">
        <f>IF(I2451="","",IFERROR(INDEX('Ordres de travail'!$D$5:$D$3004,MATCH(I2451,'Ordres de travail'!$A$5:$A$3004,0)),""))</f>
        <v/>
      </c>
      <c r="K2451" s="9">
        <f>IF(D2451="","",IFERROR(INDEX('Stock pièces'!$D$5:$D$404,MATCH(D2451,'Stock pièces'!$A$5:$A$404,0)),""))</f>
        <v/>
      </c>
      <c r="L2451" s="7" t="n"/>
      <c r="M2451" s="7" t="n"/>
    </row>
    <row r="2452">
      <c r="A2452" s="7" t="n"/>
      <c r="B2452" s="75" t="n"/>
      <c r="C2452" s="7" t="n"/>
      <c r="D2452" s="7" t="n"/>
      <c r="E2452" s="9">
        <f>IF(D2452="","",IFERROR(INDEX('Stock pièces'!$B$5:$B$404,MATCH(D2452,'Stock pièces'!$A$5:$A$404,0)),"Réf. inconnue"))</f>
        <v/>
      </c>
      <c r="F2452" s="67" t="n"/>
      <c r="G2452" s="81">
        <f>IF(D2452="","",IFERROR(INDEX('Stock pièces'!$I$5:$I$404,MATCH(D2452,'Stock pièces'!$A$5:$A$404,0)),0))</f>
        <v/>
      </c>
      <c r="H2452" s="81">
        <f>IF(D2452="","",N(F2452)*N(G2452))</f>
        <v/>
      </c>
      <c r="I2452" s="7" t="n"/>
      <c r="J2452" s="9">
        <f>IF(I2452="","",IFERROR(INDEX('Ordres de travail'!$D$5:$D$3004,MATCH(I2452,'Ordres de travail'!$A$5:$A$3004,0)),""))</f>
        <v/>
      </c>
      <c r="K2452" s="9">
        <f>IF(D2452="","",IFERROR(INDEX('Stock pièces'!$D$5:$D$404,MATCH(D2452,'Stock pièces'!$A$5:$A$404,0)),""))</f>
        <v/>
      </c>
      <c r="L2452" s="7" t="n"/>
      <c r="M2452" s="7" t="n"/>
    </row>
    <row r="2453">
      <c r="A2453" s="7" t="n"/>
      <c r="B2453" s="75" t="n"/>
      <c r="C2453" s="7" t="n"/>
      <c r="D2453" s="7" t="n"/>
      <c r="E2453" s="9">
        <f>IF(D2453="","",IFERROR(INDEX('Stock pièces'!$B$5:$B$404,MATCH(D2453,'Stock pièces'!$A$5:$A$404,0)),"Réf. inconnue"))</f>
        <v/>
      </c>
      <c r="F2453" s="67" t="n"/>
      <c r="G2453" s="81">
        <f>IF(D2453="","",IFERROR(INDEX('Stock pièces'!$I$5:$I$404,MATCH(D2453,'Stock pièces'!$A$5:$A$404,0)),0))</f>
        <v/>
      </c>
      <c r="H2453" s="81">
        <f>IF(D2453="","",N(F2453)*N(G2453))</f>
        <v/>
      </c>
      <c r="I2453" s="7" t="n"/>
      <c r="J2453" s="9">
        <f>IF(I2453="","",IFERROR(INDEX('Ordres de travail'!$D$5:$D$3004,MATCH(I2453,'Ordres de travail'!$A$5:$A$3004,0)),""))</f>
        <v/>
      </c>
      <c r="K2453" s="9">
        <f>IF(D2453="","",IFERROR(INDEX('Stock pièces'!$D$5:$D$404,MATCH(D2453,'Stock pièces'!$A$5:$A$404,0)),""))</f>
        <v/>
      </c>
      <c r="L2453" s="7" t="n"/>
      <c r="M2453" s="7" t="n"/>
    </row>
    <row r="2454">
      <c r="A2454" s="7" t="n"/>
      <c r="B2454" s="75" t="n"/>
      <c r="C2454" s="7" t="n"/>
      <c r="D2454" s="7" t="n"/>
      <c r="E2454" s="9">
        <f>IF(D2454="","",IFERROR(INDEX('Stock pièces'!$B$5:$B$404,MATCH(D2454,'Stock pièces'!$A$5:$A$404,0)),"Réf. inconnue"))</f>
        <v/>
      </c>
      <c r="F2454" s="67" t="n"/>
      <c r="G2454" s="81">
        <f>IF(D2454="","",IFERROR(INDEX('Stock pièces'!$I$5:$I$404,MATCH(D2454,'Stock pièces'!$A$5:$A$404,0)),0))</f>
        <v/>
      </c>
      <c r="H2454" s="81">
        <f>IF(D2454="","",N(F2454)*N(G2454))</f>
        <v/>
      </c>
      <c r="I2454" s="7" t="n"/>
      <c r="J2454" s="9">
        <f>IF(I2454="","",IFERROR(INDEX('Ordres de travail'!$D$5:$D$3004,MATCH(I2454,'Ordres de travail'!$A$5:$A$3004,0)),""))</f>
        <v/>
      </c>
      <c r="K2454" s="9">
        <f>IF(D2454="","",IFERROR(INDEX('Stock pièces'!$D$5:$D$404,MATCH(D2454,'Stock pièces'!$A$5:$A$404,0)),""))</f>
        <v/>
      </c>
      <c r="L2454" s="7" t="n"/>
      <c r="M2454" s="7" t="n"/>
    </row>
    <row r="2455">
      <c r="A2455" s="7" t="n"/>
      <c r="B2455" s="75" t="n"/>
      <c r="C2455" s="7" t="n"/>
      <c r="D2455" s="7" t="n"/>
      <c r="E2455" s="9">
        <f>IF(D2455="","",IFERROR(INDEX('Stock pièces'!$B$5:$B$404,MATCH(D2455,'Stock pièces'!$A$5:$A$404,0)),"Réf. inconnue"))</f>
        <v/>
      </c>
      <c r="F2455" s="67" t="n"/>
      <c r="G2455" s="81">
        <f>IF(D2455="","",IFERROR(INDEX('Stock pièces'!$I$5:$I$404,MATCH(D2455,'Stock pièces'!$A$5:$A$404,0)),0))</f>
        <v/>
      </c>
      <c r="H2455" s="81">
        <f>IF(D2455="","",N(F2455)*N(G2455))</f>
        <v/>
      </c>
      <c r="I2455" s="7" t="n"/>
      <c r="J2455" s="9">
        <f>IF(I2455="","",IFERROR(INDEX('Ordres de travail'!$D$5:$D$3004,MATCH(I2455,'Ordres de travail'!$A$5:$A$3004,0)),""))</f>
        <v/>
      </c>
      <c r="K2455" s="9">
        <f>IF(D2455="","",IFERROR(INDEX('Stock pièces'!$D$5:$D$404,MATCH(D2455,'Stock pièces'!$A$5:$A$404,0)),""))</f>
        <v/>
      </c>
      <c r="L2455" s="7" t="n"/>
      <c r="M2455" s="7" t="n"/>
    </row>
    <row r="2456">
      <c r="A2456" s="7" t="n"/>
      <c r="B2456" s="75" t="n"/>
      <c r="C2456" s="7" t="n"/>
      <c r="D2456" s="7" t="n"/>
      <c r="E2456" s="9">
        <f>IF(D2456="","",IFERROR(INDEX('Stock pièces'!$B$5:$B$404,MATCH(D2456,'Stock pièces'!$A$5:$A$404,0)),"Réf. inconnue"))</f>
        <v/>
      </c>
      <c r="F2456" s="67" t="n"/>
      <c r="G2456" s="81">
        <f>IF(D2456="","",IFERROR(INDEX('Stock pièces'!$I$5:$I$404,MATCH(D2456,'Stock pièces'!$A$5:$A$404,0)),0))</f>
        <v/>
      </c>
      <c r="H2456" s="81">
        <f>IF(D2456="","",N(F2456)*N(G2456))</f>
        <v/>
      </c>
      <c r="I2456" s="7" t="n"/>
      <c r="J2456" s="9">
        <f>IF(I2456="","",IFERROR(INDEX('Ordres de travail'!$D$5:$D$3004,MATCH(I2456,'Ordres de travail'!$A$5:$A$3004,0)),""))</f>
        <v/>
      </c>
      <c r="K2456" s="9">
        <f>IF(D2456="","",IFERROR(INDEX('Stock pièces'!$D$5:$D$404,MATCH(D2456,'Stock pièces'!$A$5:$A$404,0)),""))</f>
        <v/>
      </c>
      <c r="L2456" s="7" t="n"/>
      <c r="M2456" s="7" t="n"/>
    </row>
    <row r="2457">
      <c r="A2457" s="7" t="n"/>
      <c r="B2457" s="75" t="n"/>
      <c r="C2457" s="7" t="n"/>
      <c r="D2457" s="7" t="n"/>
      <c r="E2457" s="9">
        <f>IF(D2457="","",IFERROR(INDEX('Stock pièces'!$B$5:$B$404,MATCH(D2457,'Stock pièces'!$A$5:$A$404,0)),"Réf. inconnue"))</f>
        <v/>
      </c>
      <c r="F2457" s="67" t="n"/>
      <c r="G2457" s="81">
        <f>IF(D2457="","",IFERROR(INDEX('Stock pièces'!$I$5:$I$404,MATCH(D2457,'Stock pièces'!$A$5:$A$404,0)),0))</f>
        <v/>
      </c>
      <c r="H2457" s="81">
        <f>IF(D2457="","",N(F2457)*N(G2457))</f>
        <v/>
      </c>
      <c r="I2457" s="7" t="n"/>
      <c r="J2457" s="9">
        <f>IF(I2457="","",IFERROR(INDEX('Ordres de travail'!$D$5:$D$3004,MATCH(I2457,'Ordres de travail'!$A$5:$A$3004,0)),""))</f>
        <v/>
      </c>
      <c r="K2457" s="9">
        <f>IF(D2457="","",IFERROR(INDEX('Stock pièces'!$D$5:$D$404,MATCH(D2457,'Stock pièces'!$A$5:$A$404,0)),""))</f>
        <v/>
      </c>
      <c r="L2457" s="7" t="n"/>
      <c r="M2457" s="7" t="n"/>
    </row>
    <row r="2458">
      <c r="A2458" s="7" t="n"/>
      <c r="B2458" s="75" t="n"/>
      <c r="C2458" s="7" t="n"/>
      <c r="D2458" s="7" t="n"/>
      <c r="E2458" s="9">
        <f>IF(D2458="","",IFERROR(INDEX('Stock pièces'!$B$5:$B$404,MATCH(D2458,'Stock pièces'!$A$5:$A$404,0)),"Réf. inconnue"))</f>
        <v/>
      </c>
      <c r="F2458" s="67" t="n"/>
      <c r="G2458" s="81">
        <f>IF(D2458="","",IFERROR(INDEX('Stock pièces'!$I$5:$I$404,MATCH(D2458,'Stock pièces'!$A$5:$A$404,0)),0))</f>
        <v/>
      </c>
      <c r="H2458" s="81">
        <f>IF(D2458="","",N(F2458)*N(G2458))</f>
        <v/>
      </c>
      <c r="I2458" s="7" t="n"/>
      <c r="J2458" s="9">
        <f>IF(I2458="","",IFERROR(INDEX('Ordres de travail'!$D$5:$D$3004,MATCH(I2458,'Ordres de travail'!$A$5:$A$3004,0)),""))</f>
        <v/>
      </c>
      <c r="K2458" s="9">
        <f>IF(D2458="","",IFERROR(INDEX('Stock pièces'!$D$5:$D$404,MATCH(D2458,'Stock pièces'!$A$5:$A$404,0)),""))</f>
        <v/>
      </c>
      <c r="L2458" s="7" t="n"/>
      <c r="M2458" s="7" t="n"/>
    </row>
    <row r="2459">
      <c r="A2459" s="7" t="n"/>
      <c r="B2459" s="75" t="n"/>
      <c r="C2459" s="7" t="n"/>
      <c r="D2459" s="7" t="n"/>
      <c r="E2459" s="9">
        <f>IF(D2459="","",IFERROR(INDEX('Stock pièces'!$B$5:$B$404,MATCH(D2459,'Stock pièces'!$A$5:$A$404,0)),"Réf. inconnue"))</f>
        <v/>
      </c>
      <c r="F2459" s="67" t="n"/>
      <c r="G2459" s="81">
        <f>IF(D2459="","",IFERROR(INDEX('Stock pièces'!$I$5:$I$404,MATCH(D2459,'Stock pièces'!$A$5:$A$404,0)),0))</f>
        <v/>
      </c>
      <c r="H2459" s="81">
        <f>IF(D2459="","",N(F2459)*N(G2459))</f>
        <v/>
      </c>
      <c r="I2459" s="7" t="n"/>
      <c r="J2459" s="9">
        <f>IF(I2459="","",IFERROR(INDEX('Ordres de travail'!$D$5:$D$3004,MATCH(I2459,'Ordres de travail'!$A$5:$A$3004,0)),""))</f>
        <v/>
      </c>
      <c r="K2459" s="9">
        <f>IF(D2459="","",IFERROR(INDEX('Stock pièces'!$D$5:$D$404,MATCH(D2459,'Stock pièces'!$A$5:$A$404,0)),""))</f>
        <v/>
      </c>
      <c r="L2459" s="7" t="n"/>
      <c r="M2459" s="7" t="n"/>
    </row>
    <row r="2460">
      <c r="A2460" s="7" t="n"/>
      <c r="B2460" s="75" t="n"/>
      <c r="C2460" s="7" t="n"/>
      <c r="D2460" s="7" t="n"/>
      <c r="E2460" s="9">
        <f>IF(D2460="","",IFERROR(INDEX('Stock pièces'!$B$5:$B$404,MATCH(D2460,'Stock pièces'!$A$5:$A$404,0)),"Réf. inconnue"))</f>
        <v/>
      </c>
      <c r="F2460" s="67" t="n"/>
      <c r="G2460" s="81">
        <f>IF(D2460="","",IFERROR(INDEX('Stock pièces'!$I$5:$I$404,MATCH(D2460,'Stock pièces'!$A$5:$A$404,0)),0))</f>
        <v/>
      </c>
      <c r="H2460" s="81">
        <f>IF(D2460="","",N(F2460)*N(G2460))</f>
        <v/>
      </c>
      <c r="I2460" s="7" t="n"/>
      <c r="J2460" s="9">
        <f>IF(I2460="","",IFERROR(INDEX('Ordres de travail'!$D$5:$D$3004,MATCH(I2460,'Ordres de travail'!$A$5:$A$3004,0)),""))</f>
        <v/>
      </c>
      <c r="K2460" s="9">
        <f>IF(D2460="","",IFERROR(INDEX('Stock pièces'!$D$5:$D$404,MATCH(D2460,'Stock pièces'!$A$5:$A$404,0)),""))</f>
        <v/>
      </c>
      <c r="L2460" s="7" t="n"/>
      <c r="M2460" s="7" t="n"/>
    </row>
    <row r="2461">
      <c r="A2461" s="7" t="n"/>
      <c r="B2461" s="75" t="n"/>
      <c r="C2461" s="7" t="n"/>
      <c r="D2461" s="7" t="n"/>
      <c r="E2461" s="9">
        <f>IF(D2461="","",IFERROR(INDEX('Stock pièces'!$B$5:$B$404,MATCH(D2461,'Stock pièces'!$A$5:$A$404,0)),"Réf. inconnue"))</f>
        <v/>
      </c>
      <c r="F2461" s="67" t="n"/>
      <c r="G2461" s="81">
        <f>IF(D2461="","",IFERROR(INDEX('Stock pièces'!$I$5:$I$404,MATCH(D2461,'Stock pièces'!$A$5:$A$404,0)),0))</f>
        <v/>
      </c>
      <c r="H2461" s="81">
        <f>IF(D2461="","",N(F2461)*N(G2461))</f>
        <v/>
      </c>
      <c r="I2461" s="7" t="n"/>
      <c r="J2461" s="9">
        <f>IF(I2461="","",IFERROR(INDEX('Ordres de travail'!$D$5:$D$3004,MATCH(I2461,'Ordres de travail'!$A$5:$A$3004,0)),""))</f>
        <v/>
      </c>
      <c r="K2461" s="9">
        <f>IF(D2461="","",IFERROR(INDEX('Stock pièces'!$D$5:$D$404,MATCH(D2461,'Stock pièces'!$A$5:$A$404,0)),""))</f>
        <v/>
      </c>
      <c r="L2461" s="7" t="n"/>
      <c r="M2461" s="7" t="n"/>
    </row>
    <row r="2462">
      <c r="A2462" s="7" t="n"/>
      <c r="B2462" s="75" t="n"/>
      <c r="C2462" s="7" t="n"/>
      <c r="D2462" s="7" t="n"/>
      <c r="E2462" s="9">
        <f>IF(D2462="","",IFERROR(INDEX('Stock pièces'!$B$5:$B$404,MATCH(D2462,'Stock pièces'!$A$5:$A$404,0)),"Réf. inconnue"))</f>
        <v/>
      </c>
      <c r="F2462" s="67" t="n"/>
      <c r="G2462" s="81">
        <f>IF(D2462="","",IFERROR(INDEX('Stock pièces'!$I$5:$I$404,MATCH(D2462,'Stock pièces'!$A$5:$A$404,0)),0))</f>
        <v/>
      </c>
      <c r="H2462" s="81">
        <f>IF(D2462="","",N(F2462)*N(G2462))</f>
        <v/>
      </c>
      <c r="I2462" s="7" t="n"/>
      <c r="J2462" s="9">
        <f>IF(I2462="","",IFERROR(INDEX('Ordres de travail'!$D$5:$D$3004,MATCH(I2462,'Ordres de travail'!$A$5:$A$3004,0)),""))</f>
        <v/>
      </c>
      <c r="K2462" s="9">
        <f>IF(D2462="","",IFERROR(INDEX('Stock pièces'!$D$5:$D$404,MATCH(D2462,'Stock pièces'!$A$5:$A$404,0)),""))</f>
        <v/>
      </c>
      <c r="L2462" s="7" t="n"/>
      <c r="M2462" s="7" t="n"/>
    </row>
    <row r="2463">
      <c r="A2463" s="7" t="n"/>
      <c r="B2463" s="75" t="n"/>
      <c r="C2463" s="7" t="n"/>
      <c r="D2463" s="7" t="n"/>
      <c r="E2463" s="9">
        <f>IF(D2463="","",IFERROR(INDEX('Stock pièces'!$B$5:$B$404,MATCH(D2463,'Stock pièces'!$A$5:$A$404,0)),"Réf. inconnue"))</f>
        <v/>
      </c>
      <c r="F2463" s="67" t="n"/>
      <c r="G2463" s="81">
        <f>IF(D2463="","",IFERROR(INDEX('Stock pièces'!$I$5:$I$404,MATCH(D2463,'Stock pièces'!$A$5:$A$404,0)),0))</f>
        <v/>
      </c>
      <c r="H2463" s="81">
        <f>IF(D2463="","",N(F2463)*N(G2463))</f>
        <v/>
      </c>
      <c r="I2463" s="7" t="n"/>
      <c r="J2463" s="9">
        <f>IF(I2463="","",IFERROR(INDEX('Ordres de travail'!$D$5:$D$3004,MATCH(I2463,'Ordres de travail'!$A$5:$A$3004,0)),""))</f>
        <v/>
      </c>
      <c r="K2463" s="9">
        <f>IF(D2463="","",IFERROR(INDEX('Stock pièces'!$D$5:$D$404,MATCH(D2463,'Stock pièces'!$A$5:$A$404,0)),""))</f>
        <v/>
      </c>
      <c r="L2463" s="7" t="n"/>
      <c r="M2463" s="7" t="n"/>
    </row>
    <row r="2464">
      <c r="A2464" s="7" t="n"/>
      <c r="B2464" s="75" t="n"/>
      <c r="C2464" s="7" t="n"/>
      <c r="D2464" s="7" t="n"/>
      <c r="E2464" s="9">
        <f>IF(D2464="","",IFERROR(INDEX('Stock pièces'!$B$5:$B$404,MATCH(D2464,'Stock pièces'!$A$5:$A$404,0)),"Réf. inconnue"))</f>
        <v/>
      </c>
      <c r="F2464" s="67" t="n"/>
      <c r="G2464" s="81">
        <f>IF(D2464="","",IFERROR(INDEX('Stock pièces'!$I$5:$I$404,MATCH(D2464,'Stock pièces'!$A$5:$A$404,0)),0))</f>
        <v/>
      </c>
      <c r="H2464" s="81">
        <f>IF(D2464="","",N(F2464)*N(G2464))</f>
        <v/>
      </c>
      <c r="I2464" s="7" t="n"/>
      <c r="J2464" s="9">
        <f>IF(I2464="","",IFERROR(INDEX('Ordres de travail'!$D$5:$D$3004,MATCH(I2464,'Ordres de travail'!$A$5:$A$3004,0)),""))</f>
        <v/>
      </c>
      <c r="K2464" s="9">
        <f>IF(D2464="","",IFERROR(INDEX('Stock pièces'!$D$5:$D$404,MATCH(D2464,'Stock pièces'!$A$5:$A$404,0)),""))</f>
        <v/>
      </c>
      <c r="L2464" s="7" t="n"/>
      <c r="M2464" s="7" t="n"/>
    </row>
    <row r="2465">
      <c r="A2465" s="7" t="n"/>
      <c r="B2465" s="75" t="n"/>
      <c r="C2465" s="7" t="n"/>
      <c r="D2465" s="7" t="n"/>
      <c r="E2465" s="9">
        <f>IF(D2465="","",IFERROR(INDEX('Stock pièces'!$B$5:$B$404,MATCH(D2465,'Stock pièces'!$A$5:$A$404,0)),"Réf. inconnue"))</f>
        <v/>
      </c>
      <c r="F2465" s="67" t="n"/>
      <c r="G2465" s="81">
        <f>IF(D2465="","",IFERROR(INDEX('Stock pièces'!$I$5:$I$404,MATCH(D2465,'Stock pièces'!$A$5:$A$404,0)),0))</f>
        <v/>
      </c>
      <c r="H2465" s="81">
        <f>IF(D2465="","",N(F2465)*N(G2465))</f>
        <v/>
      </c>
      <c r="I2465" s="7" t="n"/>
      <c r="J2465" s="9">
        <f>IF(I2465="","",IFERROR(INDEX('Ordres de travail'!$D$5:$D$3004,MATCH(I2465,'Ordres de travail'!$A$5:$A$3004,0)),""))</f>
        <v/>
      </c>
      <c r="K2465" s="9">
        <f>IF(D2465="","",IFERROR(INDEX('Stock pièces'!$D$5:$D$404,MATCH(D2465,'Stock pièces'!$A$5:$A$404,0)),""))</f>
        <v/>
      </c>
      <c r="L2465" s="7" t="n"/>
      <c r="M2465" s="7" t="n"/>
    </row>
    <row r="2466">
      <c r="A2466" s="7" t="n"/>
      <c r="B2466" s="75" t="n"/>
      <c r="C2466" s="7" t="n"/>
      <c r="D2466" s="7" t="n"/>
      <c r="E2466" s="9">
        <f>IF(D2466="","",IFERROR(INDEX('Stock pièces'!$B$5:$B$404,MATCH(D2466,'Stock pièces'!$A$5:$A$404,0)),"Réf. inconnue"))</f>
        <v/>
      </c>
      <c r="F2466" s="67" t="n"/>
      <c r="G2466" s="81">
        <f>IF(D2466="","",IFERROR(INDEX('Stock pièces'!$I$5:$I$404,MATCH(D2466,'Stock pièces'!$A$5:$A$404,0)),0))</f>
        <v/>
      </c>
      <c r="H2466" s="81">
        <f>IF(D2466="","",N(F2466)*N(G2466))</f>
        <v/>
      </c>
      <c r="I2466" s="7" t="n"/>
      <c r="J2466" s="9">
        <f>IF(I2466="","",IFERROR(INDEX('Ordres de travail'!$D$5:$D$3004,MATCH(I2466,'Ordres de travail'!$A$5:$A$3004,0)),""))</f>
        <v/>
      </c>
      <c r="K2466" s="9">
        <f>IF(D2466="","",IFERROR(INDEX('Stock pièces'!$D$5:$D$404,MATCH(D2466,'Stock pièces'!$A$5:$A$404,0)),""))</f>
        <v/>
      </c>
      <c r="L2466" s="7" t="n"/>
      <c r="M2466" s="7" t="n"/>
    </row>
    <row r="2467">
      <c r="A2467" s="7" t="n"/>
      <c r="B2467" s="75" t="n"/>
      <c r="C2467" s="7" t="n"/>
      <c r="D2467" s="7" t="n"/>
      <c r="E2467" s="9">
        <f>IF(D2467="","",IFERROR(INDEX('Stock pièces'!$B$5:$B$404,MATCH(D2467,'Stock pièces'!$A$5:$A$404,0)),"Réf. inconnue"))</f>
        <v/>
      </c>
      <c r="F2467" s="67" t="n"/>
      <c r="G2467" s="81">
        <f>IF(D2467="","",IFERROR(INDEX('Stock pièces'!$I$5:$I$404,MATCH(D2467,'Stock pièces'!$A$5:$A$404,0)),0))</f>
        <v/>
      </c>
      <c r="H2467" s="81">
        <f>IF(D2467="","",N(F2467)*N(G2467))</f>
        <v/>
      </c>
      <c r="I2467" s="7" t="n"/>
      <c r="J2467" s="9">
        <f>IF(I2467="","",IFERROR(INDEX('Ordres de travail'!$D$5:$D$3004,MATCH(I2467,'Ordres de travail'!$A$5:$A$3004,0)),""))</f>
        <v/>
      </c>
      <c r="K2467" s="9">
        <f>IF(D2467="","",IFERROR(INDEX('Stock pièces'!$D$5:$D$404,MATCH(D2467,'Stock pièces'!$A$5:$A$404,0)),""))</f>
        <v/>
      </c>
      <c r="L2467" s="7" t="n"/>
      <c r="M2467" s="7" t="n"/>
    </row>
    <row r="2468">
      <c r="A2468" s="7" t="n"/>
      <c r="B2468" s="75" t="n"/>
      <c r="C2468" s="7" t="n"/>
      <c r="D2468" s="7" t="n"/>
      <c r="E2468" s="9">
        <f>IF(D2468="","",IFERROR(INDEX('Stock pièces'!$B$5:$B$404,MATCH(D2468,'Stock pièces'!$A$5:$A$404,0)),"Réf. inconnue"))</f>
        <v/>
      </c>
      <c r="F2468" s="67" t="n"/>
      <c r="G2468" s="81">
        <f>IF(D2468="","",IFERROR(INDEX('Stock pièces'!$I$5:$I$404,MATCH(D2468,'Stock pièces'!$A$5:$A$404,0)),0))</f>
        <v/>
      </c>
      <c r="H2468" s="81">
        <f>IF(D2468="","",N(F2468)*N(G2468))</f>
        <v/>
      </c>
      <c r="I2468" s="7" t="n"/>
      <c r="J2468" s="9">
        <f>IF(I2468="","",IFERROR(INDEX('Ordres de travail'!$D$5:$D$3004,MATCH(I2468,'Ordres de travail'!$A$5:$A$3004,0)),""))</f>
        <v/>
      </c>
      <c r="K2468" s="9">
        <f>IF(D2468="","",IFERROR(INDEX('Stock pièces'!$D$5:$D$404,MATCH(D2468,'Stock pièces'!$A$5:$A$404,0)),""))</f>
        <v/>
      </c>
      <c r="L2468" s="7" t="n"/>
      <c r="M2468" s="7" t="n"/>
    </row>
    <row r="2469">
      <c r="A2469" s="7" t="n"/>
      <c r="B2469" s="75" t="n"/>
      <c r="C2469" s="7" t="n"/>
      <c r="D2469" s="7" t="n"/>
      <c r="E2469" s="9">
        <f>IF(D2469="","",IFERROR(INDEX('Stock pièces'!$B$5:$B$404,MATCH(D2469,'Stock pièces'!$A$5:$A$404,0)),"Réf. inconnue"))</f>
        <v/>
      </c>
      <c r="F2469" s="67" t="n"/>
      <c r="G2469" s="81">
        <f>IF(D2469="","",IFERROR(INDEX('Stock pièces'!$I$5:$I$404,MATCH(D2469,'Stock pièces'!$A$5:$A$404,0)),0))</f>
        <v/>
      </c>
      <c r="H2469" s="81">
        <f>IF(D2469="","",N(F2469)*N(G2469))</f>
        <v/>
      </c>
      <c r="I2469" s="7" t="n"/>
      <c r="J2469" s="9">
        <f>IF(I2469="","",IFERROR(INDEX('Ordres de travail'!$D$5:$D$3004,MATCH(I2469,'Ordres de travail'!$A$5:$A$3004,0)),""))</f>
        <v/>
      </c>
      <c r="K2469" s="9">
        <f>IF(D2469="","",IFERROR(INDEX('Stock pièces'!$D$5:$D$404,MATCH(D2469,'Stock pièces'!$A$5:$A$404,0)),""))</f>
        <v/>
      </c>
      <c r="L2469" s="7" t="n"/>
      <c r="M2469" s="7" t="n"/>
    </row>
    <row r="2470">
      <c r="A2470" s="7" t="n"/>
      <c r="B2470" s="75" t="n"/>
      <c r="C2470" s="7" t="n"/>
      <c r="D2470" s="7" t="n"/>
      <c r="E2470" s="9">
        <f>IF(D2470="","",IFERROR(INDEX('Stock pièces'!$B$5:$B$404,MATCH(D2470,'Stock pièces'!$A$5:$A$404,0)),"Réf. inconnue"))</f>
        <v/>
      </c>
      <c r="F2470" s="67" t="n"/>
      <c r="G2470" s="81">
        <f>IF(D2470="","",IFERROR(INDEX('Stock pièces'!$I$5:$I$404,MATCH(D2470,'Stock pièces'!$A$5:$A$404,0)),0))</f>
        <v/>
      </c>
      <c r="H2470" s="81">
        <f>IF(D2470="","",N(F2470)*N(G2470))</f>
        <v/>
      </c>
      <c r="I2470" s="7" t="n"/>
      <c r="J2470" s="9">
        <f>IF(I2470="","",IFERROR(INDEX('Ordres de travail'!$D$5:$D$3004,MATCH(I2470,'Ordres de travail'!$A$5:$A$3004,0)),""))</f>
        <v/>
      </c>
      <c r="K2470" s="9">
        <f>IF(D2470="","",IFERROR(INDEX('Stock pièces'!$D$5:$D$404,MATCH(D2470,'Stock pièces'!$A$5:$A$404,0)),""))</f>
        <v/>
      </c>
      <c r="L2470" s="7" t="n"/>
      <c r="M2470" s="7" t="n"/>
    </row>
    <row r="2471">
      <c r="A2471" s="7" t="n"/>
      <c r="B2471" s="75" t="n"/>
      <c r="C2471" s="7" t="n"/>
      <c r="D2471" s="7" t="n"/>
      <c r="E2471" s="9">
        <f>IF(D2471="","",IFERROR(INDEX('Stock pièces'!$B$5:$B$404,MATCH(D2471,'Stock pièces'!$A$5:$A$404,0)),"Réf. inconnue"))</f>
        <v/>
      </c>
      <c r="F2471" s="67" t="n"/>
      <c r="G2471" s="81">
        <f>IF(D2471="","",IFERROR(INDEX('Stock pièces'!$I$5:$I$404,MATCH(D2471,'Stock pièces'!$A$5:$A$404,0)),0))</f>
        <v/>
      </c>
      <c r="H2471" s="81">
        <f>IF(D2471="","",N(F2471)*N(G2471))</f>
        <v/>
      </c>
      <c r="I2471" s="7" t="n"/>
      <c r="J2471" s="9">
        <f>IF(I2471="","",IFERROR(INDEX('Ordres de travail'!$D$5:$D$3004,MATCH(I2471,'Ordres de travail'!$A$5:$A$3004,0)),""))</f>
        <v/>
      </c>
      <c r="K2471" s="9">
        <f>IF(D2471="","",IFERROR(INDEX('Stock pièces'!$D$5:$D$404,MATCH(D2471,'Stock pièces'!$A$5:$A$404,0)),""))</f>
        <v/>
      </c>
      <c r="L2471" s="7" t="n"/>
      <c r="M2471" s="7" t="n"/>
    </row>
    <row r="2472">
      <c r="A2472" s="7" t="n"/>
      <c r="B2472" s="75" t="n"/>
      <c r="C2472" s="7" t="n"/>
      <c r="D2472" s="7" t="n"/>
      <c r="E2472" s="9">
        <f>IF(D2472="","",IFERROR(INDEX('Stock pièces'!$B$5:$B$404,MATCH(D2472,'Stock pièces'!$A$5:$A$404,0)),"Réf. inconnue"))</f>
        <v/>
      </c>
      <c r="F2472" s="67" t="n"/>
      <c r="G2472" s="81">
        <f>IF(D2472="","",IFERROR(INDEX('Stock pièces'!$I$5:$I$404,MATCH(D2472,'Stock pièces'!$A$5:$A$404,0)),0))</f>
        <v/>
      </c>
      <c r="H2472" s="81">
        <f>IF(D2472="","",N(F2472)*N(G2472))</f>
        <v/>
      </c>
      <c r="I2472" s="7" t="n"/>
      <c r="J2472" s="9">
        <f>IF(I2472="","",IFERROR(INDEX('Ordres de travail'!$D$5:$D$3004,MATCH(I2472,'Ordres de travail'!$A$5:$A$3004,0)),""))</f>
        <v/>
      </c>
      <c r="K2472" s="9">
        <f>IF(D2472="","",IFERROR(INDEX('Stock pièces'!$D$5:$D$404,MATCH(D2472,'Stock pièces'!$A$5:$A$404,0)),""))</f>
        <v/>
      </c>
      <c r="L2472" s="7" t="n"/>
      <c r="M2472" s="7" t="n"/>
    </row>
    <row r="2473">
      <c r="A2473" s="7" t="n"/>
      <c r="B2473" s="75" t="n"/>
      <c r="C2473" s="7" t="n"/>
      <c r="D2473" s="7" t="n"/>
      <c r="E2473" s="9">
        <f>IF(D2473="","",IFERROR(INDEX('Stock pièces'!$B$5:$B$404,MATCH(D2473,'Stock pièces'!$A$5:$A$404,0)),"Réf. inconnue"))</f>
        <v/>
      </c>
      <c r="F2473" s="67" t="n"/>
      <c r="G2473" s="81">
        <f>IF(D2473="","",IFERROR(INDEX('Stock pièces'!$I$5:$I$404,MATCH(D2473,'Stock pièces'!$A$5:$A$404,0)),0))</f>
        <v/>
      </c>
      <c r="H2473" s="81">
        <f>IF(D2473="","",N(F2473)*N(G2473))</f>
        <v/>
      </c>
      <c r="I2473" s="7" t="n"/>
      <c r="J2473" s="9">
        <f>IF(I2473="","",IFERROR(INDEX('Ordres de travail'!$D$5:$D$3004,MATCH(I2473,'Ordres de travail'!$A$5:$A$3004,0)),""))</f>
        <v/>
      </c>
      <c r="K2473" s="9">
        <f>IF(D2473="","",IFERROR(INDEX('Stock pièces'!$D$5:$D$404,MATCH(D2473,'Stock pièces'!$A$5:$A$404,0)),""))</f>
        <v/>
      </c>
      <c r="L2473" s="7" t="n"/>
      <c r="M2473" s="7" t="n"/>
    </row>
    <row r="2474">
      <c r="A2474" s="7" t="n"/>
      <c r="B2474" s="75" t="n"/>
      <c r="C2474" s="7" t="n"/>
      <c r="D2474" s="7" t="n"/>
      <c r="E2474" s="9">
        <f>IF(D2474="","",IFERROR(INDEX('Stock pièces'!$B$5:$B$404,MATCH(D2474,'Stock pièces'!$A$5:$A$404,0)),"Réf. inconnue"))</f>
        <v/>
      </c>
      <c r="F2474" s="67" t="n"/>
      <c r="G2474" s="81">
        <f>IF(D2474="","",IFERROR(INDEX('Stock pièces'!$I$5:$I$404,MATCH(D2474,'Stock pièces'!$A$5:$A$404,0)),0))</f>
        <v/>
      </c>
      <c r="H2474" s="81">
        <f>IF(D2474="","",N(F2474)*N(G2474))</f>
        <v/>
      </c>
      <c r="I2474" s="7" t="n"/>
      <c r="J2474" s="9">
        <f>IF(I2474="","",IFERROR(INDEX('Ordres de travail'!$D$5:$D$3004,MATCH(I2474,'Ordres de travail'!$A$5:$A$3004,0)),""))</f>
        <v/>
      </c>
      <c r="K2474" s="9">
        <f>IF(D2474="","",IFERROR(INDEX('Stock pièces'!$D$5:$D$404,MATCH(D2474,'Stock pièces'!$A$5:$A$404,0)),""))</f>
        <v/>
      </c>
      <c r="L2474" s="7" t="n"/>
      <c r="M2474" s="7" t="n"/>
    </row>
    <row r="2475">
      <c r="A2475" s="7" t="n"/>
      <c r="B2475" s="75" t="n"/>
      <c r="C2475" s="7" t="n"/>
      <c r="D2475" s="7" t="n"/>
      <c r="E2475" s="9">
        <f>IF(D2475="","",IFERROR(INDEX('Stock pièces'!$B$5:$B$404,MATCH(D2475,'Stock pièces'!$A$5:$A$404,0)),"Réf. inconnue"))</f>
        <v/>
      </c>
      <c r="F2475" s="67" t="n"/>
      <c r="G2475" s="81">
        <f>IF(D2475="","",IFERROR(INDEX('Stock pièces'!$I$5:$I$404,MATCH(D2475,'Stock pièces'!$A$5:$A$404,0)),0))</f>
        <v/>
      </c>
      <c r="H2475" s="81">
        <f>IF(D2475="","",N(F2475)*N(G2475))</f>
        <v/>
      </c>
      <c r="I2475" s="7" t="n"/>
      <c r="J2475" s="9">
        <f>IF(I2475="","",IFERROR(INDEX('Ordres de travail'!$D$5:$D$3004,MATCH(I2475,'Ordres de travail'!$A$5:$A$3004,0)),""))</f>
        <v/>
      </c>
      <c r="K2475" s="9">
        <f>IF(D2475="","",IFERROR(INDEX('Stock pièces'!$D$5:$D$404,MATCH(D2475,'Stock pièces'!$A$5:$A$404,0)),""))</f>
        <v/>
      </c>
      <c r="L2475" s="7" t="n"/>
      <c r="M2475" s="7" t="n"/>
    </row>
    <row r="2476">
      <c r="A2476" s="7" t="n"/>
      <c r="B2476" s="75" t="n"/>
      <c r="C2476" s="7" t="n"/>
      <c r="D2476" s="7" t="n"/>
      <c r="E2476" s="9">
        <f>IF(D2476="","",IFERROR(INDEX('Stock pièces'!$B$5:$B$404,MATCH(D2476,'Stock pièces'!$A$5:$A$404,0)),"Réf. inconnue"))</f>
        <v/>
      </c>
      <c r="F2476" s="67" t="n"/>
      <c r="G2476" s="81">
        <f>IF(D2476="","",IFERROR(INDEX('Stock pièces'!$I$5:$I$404,MATCH(D2476,'Stock pièces'!$A$5:$A$404,0)),0))</f>
        <v/>
      </c>
      <c r="H2476" s="81">
        <f>IF(D2476="","",N(F2476)*N(G2476))</f>
        <v/>
      </c>
      <c r="I2476" s="7" t="n"/>
      <c r="J2476" s="9">
        <f>IF(I2476="","",IFERROR(INDEX('Ordres de travail'!$D$5:$D$3004,MATCH(I2476,'Ordres de travail'!$A$5:$A$3004,0)),""))</f>
        <v/>
      </c>
      <c r="K2476" s="9">
        <f>IF(D2476="","",IFERROR(INDEX('Stock pièces'!$D$5:$D$404,MATCH(D2476,'Stock pièces'!$A$5:$A$404,0)),""))</f>
        <v/>
      </c>
      <c r="L2476" s="7" t="n"/>
      <c r="M2476" s="7" t="n"/>
    </row>
    <row r="2477">
      <c r="A2477" s="7" t="n"/>
      <c r="B2477" s="75" t="n"/>
      <c r="C2477" s="7" t="n"/>
      <c r="D2477" s="7" t="n"/>
      <c r="E2477" s="9">
        <f>IF(D2477="","",IFERROR(INDEX('Stock pièces'!$B$5:$B$404,MATCH(D2477,'Stock pièces'!$A$5:$A$404,0)),"Réf. inconnue"))</f>
        <v/>
      </c>
      <c r="F2477" s="67" t="n"/>
      <c r="G2477" s="81">
        <f>IF(D2477="","",IFERROR(INDEX('Stock pièces'!$I$5:$I$404,MATCH(D2477,'Stock pièces'!$A$5:$A$404,0)),0))</f>
        <v/>
      </c>
      <c r="H2477" s="81">
        <f>IF(D2477="","",N(F2477)*N(G2477))</f>
        <v/>
      </c>
      <c r="I2477" s="7" t="n"/>
      <c r="J2477" s="9">
        <f>IF(I2477="","",IFERROR(INDEX('Ordres de travail'!$D$5:$D$3004,MATCH(I2477,'Ordres de travail'!$A$5:$A$3004,0)),""))</f>
        <v/>
      </c>
      <c r="K2477" s="9">
        <f>IF(D2477="","",IFERROR(INDEX('Stock pièces'!$D$5:$D$404,MATCH(D2477,'Stock pièces'!$A$5:$A$404,0)),""))</f>
        <v/>
      </c>
      <c r="L2477" s="7" t="n"/>
      <c r="M2477" s="7" t="n"/>
    </row>
    <row r="2478">
      <c r="A2478" s="7" t="n"/>
      <c r="B2478" s="75" t="n"/>
      <c r="C2478" s="7" t="n"/>
      <c r="D2478" s="7" t="n"/>
      <c r="E2478" s="9">
        <f>IF(D2478="","",IFERROR(INDEX('Stock pièces'!$B$5:$B$404,MATCH(D2478,'Stock pièces'!$A$5:$A$404,0)),"Réf. inconnue"))</f>
        <v/>
      </c>
      <c r="F2478" s="67" t="n"/>
      <c r="G2478" s="81">
        <f>IF(D2478="","",IFERROR(INDEX('Stock pièces'!$I$5:$I$404,MATCH(D2478,'Stock pièces'!$A$5:$A$404,0)),0))</f>
        <v/>
      </c>
      <c r="H2478" s="81">
        <f>IF(D2478="","",N(F2478)*N(G2478))</f>
        <v/>
      </c>
      <c r="I2478" s="7" t="n"/>
      <c r="J2478" s="9">
        <f>IF(I2478="","",IFERROR(INDEX('Ordres de travail'!$D$5:$D$3004,MATCH(I2478,'Ordres de travail'!$A$5:$A$3004,0)),""))</f>
        <v/>
      </c>
      <c r="K2478" s="9">
        <f>IF(D2478="","",IFERROR(INDEX('Stock pièces'!$D$5:$D$404,MATCH(D2478,'Stock pièces'!$A$5:$A$404,0)),""))</f>
        <v/>
      </c>
      <c r="L2478" s="7" t="n"/>
      <c r="M2478" s="7" t="n"/>
    </row>
    <row r="2479">
      <c r="A2479" s="7" t="n"/>
      <c r="B2479" s="75" t="n"/>
      <c r="C2479" s="7" t="n"/>
      <c r="D2479" s="7" t="n"/>
      <c r="E2479" s="9">
        <f>IF(D2479="","",IFERROR(INDEX('Stock pièces'!$B$5:$B$404,MATCH(D2479,'Stock pièces'!$A$5:$A$404,0)),"Réf. inconnue"))</f>
        <v/>
      </c>
      <c r="F2479" s="67" t="n"/>
      <c r="G2479" s="81">
        <f>IF(D2479="","",IFERROR(INDEX('Stock pièces'!$I$5:$I$404,MATCH(D2479,'Stock pièces'!$A$5:$A$404,0)),0))</f>
        <v/>
      </c>
      <c r="H2479" s="81">
        <f>IF(D2479="","",N(F2479)*N(G2479))</f>
        <v/>
      </c>
      <c r="I2479" s="7" t="n"/>
      <c r="J2479" s="9">
        <f>IF(I2479="","",IFERROR(INDEX('Ordres de travail'!$D$5:$D$3004,MATCH(I2479,'Ordres de travail'!$A$5:$A$3004,0)),""))</f>
        <v/>
      </c>
      <c r="K2479" s="9">
        <f>IF(D2479="","",IFERROR(INDEX('Stock pièces'!$D$5:$D$404,MATCH(D2479,'Stock pièces'!$A$5:$A$404,0)),""))</f>
        <v/>
      </c>
      <c r="L2479" s="7" t="n"/>
      <c r="M2479" s="7" t="n"/>
    </row>
    <row r="2480">
      <c r="A2480" s="7" t="n"/>
      <c r="B2480" s="75" t="n"/>
      <c r="C2480" s="7" t="n"/>
      <c r="D2480" s="7" t="n"/>
      <c r="E2480" s="9">
        <f>IF(D2480="","",IFERROR(INDEX('Stock pièces'!$B$5:$B$404,MATCH(D2480,'Stock pièces'!$A$5:$A$404,0)),"Réf. inconnue"))</f>
        <v/>
      </c>
      <c r="F2480" s="67" t="n"/>
      <c r="G2480" s="81">
        <f>IF(D2480="","",IFERROR(INDEX('Stock pièces'!$I$5:$I$404,MATCH(D2480,'Stock pièces'!$A$5:$A$404,0)),0))</f>
        <v/>
      </c>
      <c r="H2480" s="81">
        <f>IF(D2480="","",N(F2480)*N(G2480))</f>
        <v/>
      </c>
      <c r="I2480" s="7" t="n"/>
      <c r="J2480" s="9">
        <f>IF(I2480="","",IFERROR(INDEX('Ordres de travail'!$D$5:$D$3004,MATCH(I2480,'Ordres de travail'!$A$5:$A$3004,0)),""))</f>
        <v/>
      </c>
      <c r="K2480" s="9">
        <f>IF(D2480="","",IFERROR(INDEX('Stock pièces'!$D$5:$D$404,MATCH(D2480,'Stock pièces'!$A$5:$A$404,0)),""))</f>
        <v/>
      </c>
      <c r="L2480" s="7" t="n"/>
      <c r="M2480" s="7" t="n"/>
    </row>
    <row r="2481">
      <c r="A2481" s="7" t="n"/>
      <c r="B2481" s="75" t="n"/>
      <c r="C2481" s="7" t="n"/>
      <c r="D2481" s="7" t="n"/>
      <c r="E2481" s="9">
        <f>IF(D2481="","",IFERROR(INDEX('Stock pièces'!$B$5:$B$404,MATCH(D2481,'Stock pièces'!$A$5:$A$404,0)),"Réf. inconnue"))</f>
        <v/>
      </c>
      <c r="F2481" s="67" t="n"/>
      <c r="G2481" s="81">
        <f>IF(D2481="","",IFERROR(INDEX('Stock pièces'!$I$5:$I$404,MATCH(D2481,'Stock pièces'!$A$5:$A$404,0)),0))</f>
        <v/>
      </c>
      <c r="H2481" s="81">
        <f>IF(D2481="","",N(F2481)*N(G2481))</f>
        <v/>
      </c>
      <c r="I2481" s="7" t="n"/>
      <c r="J2481" s="9">
        <f>IF(I2481="","",IFERROR(INDEX('Ordres de travail'!$D$5:$D$3004,MATCH(I2481,'Ordres de travail'!$A$5:$A$3004,0)),""))</f>
        <v/>
      </c>
      <c r="K2481" s="9">
        <f>IF(D2481="","",IFERROR(INDEX('Stock pièces'!$D$5:$D$404,MATCH(D2481,'Stock pièces'!$A$5:$A$404,0)),""))</f>
        <v/>
      </c>
      <c r="L2481" s="7" t="n"/>
      <c r="M2481" s="7" t="n"/>
    </row>
    <row r="2482">
      <c r="A2482" s="7" t="n"/>
      <c r="B2482" s="75" t="n"/>
      <c r="C2482" s="7" t="n"/>
      <c r="D2482" s="7" t="n"/>
      <c r="E2482" s="9">
        <f>IF(D2482="","",IFERROR(INDEX('Stock pièces'!$B$5:$B$404,MATCH(D2482,'Stock pièces'!$A$5:$A$404,0)),"Réf. inconnue"))</f>
        <v/>
      </c>
      <c r="F2482" s="67" t="n"/>
      <c r="G2482" s="81">
        <f>IF(D2482="","",IFERROR(INDEX('Stock pièces'!$I$5:$I$404,MATCH(D2482,'Stock pièces'!$A$5:$A$404,0)),0))</f>
        <v/>
      </c>
      <c r="H2482" s="81">
        <f>IF(D2482="","",N(F2482)*N(G2482))</f>
        <v/>
      </c>
      <c r="I2482" s="7" t="n"/>
      <c r="J2482" s="9">
        <f>IF(I2482="","",IFERROR(INDEX('Ordres de travail'!$D$5:$D$3004,MATCH(I2482,'Ordres de travail'!$A$5:$A$3004,0)),""))</f>
        <v/>
      </c>
      <c r="K2482" s="9">
        <f>IF(D2482="","",IFERROR(INDEX('Stock pièces'!$D$5:$D$404,MATCH(D2482,'Stock pièces'!$A$5:$A$404,0)),""))</f>
        <v/>
      </c>
      <c r="L2482" s="7" t="n"/>
      <c r="M2482" s="7" t="n"/>
    </row>
    <row r="2483">
      <c r="A2483" s="7" t="n"/>
      <c r="B2483" s="75" t="n"/>
      <c r="C2483" s="7" t="n"/>
      <c r="D2483" s="7" t="n"/>
      <c r="E2483" s="9">
        <f>IF(D2483="","",IFERROR(INDEX('Stock pièces'!$B$5:$B$404,MATCH(D2483,'Stock pièces'!$A$5:$A$404,0)),"Réf. inconnue"))</f>
        <v/>
      </c>
      <c r="F2483" s="67" t="n"/>
      <c r="G2483" s="81">
        <f>IF(D2483="","",IFERROR(INDEX('Stock pièces'!$I$5:$I$404,MATCH(D2483,'Stock pièces'!$A$5:$A$404,0)),0))</f>
        <v/>
      </c>
      <c r="H2483" s="81">
        <f>IF(D2483="","",N(F2483)*N(G2483))</f>
        <v/>
      </c>
      <c r="I2483" s="7" t="n"/>
      <c r="J2483" s="9">
        <f>IF(I2483="","",IFERROR(INDEX('Ordres de travail'!$D$5:$D$3004,MATCH(I2483,'Ordres de travail'!$A$5:$A$3004,0)),""))</f>
        <v/>
      </c>
      <c r="K2483" s="9">
        <f>IF(D2483="","",IFERROR(INDEX('Stock pièces'!$D$5:$D$404,MATCH(D2483,'Stock pièces'!$A$5:$A$404,0)),""))</f>
        <v/>
      </c>
      <c r="L2483" s="7" t="n"/>
      <c r="M2483" s="7" t="n"/>
    </row>
    <row r="2484">
      <c r="A2484" s="7" t="n"/>
      <c r="B2484" s="75" t="n"/>
      <c r="C2484" s="7" t="n"/>
      <c r="D2484" s="7" t="n"/>
      <c r="E2484" s="9">
        <f>IF(D2484="","",IFERROR(INDEX('Stock pièces'!$B$5:$B$404,MATCH(D2484,'Stock pièces'!$A$5:$A$404,0)),"Réf. inconnue"))</f>
        <v/>
      </c>
      <c r="F2484" s="67" t="n"/>
      <c r="G2484" s="81">
        <f>IF(D2484="","",IFERROR(INDEX('Stock pièces'!$I$5:$I$404,MATCH(D2484,'Stock pièces'!$A$5:$A$404,0)),0))</f>
        <v/>
      </c>
      <c r="H2484" s="81">
        <f>IF(D2484="","",N(F2484)*N(G2484))</f>
        <v/>
      </c>
      <c r="I2484" s="7" t="n"/>
      <c r="J2484" s="9">
        <f>IF(I2484="","",IFERROR(INDEX('Ordres de travail'!$D$5:$D$3004,MATCH(I2484,'Ordres de travail'!$A$5:$A$3004,0)),""))</f>
        <v/>
      </c>
      <c r="K2484" s="9">
        <f>IF(D2484="","",IFERROR(INDEX('Stock pièces'!$D$5:$D$404,MATCH(D2484,'Stock pièces'!$A$5:$A$404,0)),""))</f>
        <v/>
      </c>
      <c r="L2484" s="7" t="n"/>
      <c r="M2484" s="7" t="n"/>
    </row>
    <row r="2485">
      <c r="A2485" s="7" t="n"/>
      <c r="B2485" s="75" t="n"/>
      <c r="C2485" s="7" t="n"/>
      <c r="D2485" s="7" t="n"/>
      <c r="E2485" s="9">
        <f>IF(D2485="","",IFERROR(INDEX('Stock pièces'!$B$5:$B$404,MATCH(D2485,'Stock pièces'!$A$5:$A$404,0)),"Réf. inconnue"))</f>
        <v/>
      </c>
      <c r="F2485" s="67" t="n"/>
      <c r="G2485" s="81">
        <f>IF(D2485="","",IFERROR(INDEX('Stock pièces'!$I$5:$I$404,MATCH(D2485,'Stock pièces'!$A$5:$A$404,0)),0))</f>
        <v/>
      </c>
      <c r="H2485" s="81">
        <f>IF(D2485="","",N(F2485)*N(G2485))</f>
        <v/>
      </c>
      <c r="I2485" s="7" t="n"/>
      <c r="J2485" s="9">
        <f>IF(I2485="","",IFERROR(INDEX('Ordres de travail'!$D$5:$D$3004,MATCH(I2485,'Ordres de travail'!$A$5:$A$3004,0)),""))</f>
        <v/>
      </c>
      <c r="K2485" s="9">
        <f>IF(D2485="","",IFERROR(INDEX('Stock pièces'!$D$5:$D$404,MATCH(D2485,'Stock pièces'!$A$5:$A$404,0)),""))</f>
        <v/>
      </c>
      <c r="L2485" s="7" t="n"/>
      <c r="M2485" s="7" t="n"/>
    </row>
    <row r="2486">
      <c r="A2486" s="7" t="n"/>
      <c r="B2486" s="75" t="n"/>
      <c r="C2486" s="7" t="n"/>
      <c r="D2486" s="7" t="n"/>
      <c r="E2486" s="9">
        <f>IF(D2486="","",IFERROR(INDEX('Stock pièces'!$B$5:$B$404,MATCH(D2486,'Stock pièces'!$A$5:$A$404,0)),"Réf. inconnue"))</f>
        <v/>
      </c>
      <c r="F2486" s="67" t="n"/>
      <c r="G2486" s="81">
        <f>IF(D2486="","",IFERROR(INDEX('Stock pièces'!$I$5:$I$404,MATCH(D2486,'Stock pièces'!$A$5:$A$404,0)),0))</f>
        <v/>
      </c>
      <c r="H2486" s="81">
        <f>IF(D2486="","",N(F2486)*N(G2486))</f>
        <v/>
      </c>
      <c r="I2486" s="7" t="n"/>
      <c r="J2486" s="9">
        <f>IF(I2486="","",IFERROR(INDEX('Ordres de travail'!$D$5:$D$3004,MATCH(I2486,'Ordres de travail'!$A$5:$A$3004,0)),""))</f>
        <v/>
      </c>
      <c r="K2486" s="9">
        <f>IF(D2486="","",IFERROR(INDEX('Stock pièces'!$D$5:$D$404,MATCH(D2486,'Stock pièces'!$A$5:$A$404,0)),""))</f>
        <v/>
      </c>
      <c r="L2486" s="7" t="n"/>
      <c r="M2486" s="7" t="n"/>
    </row>
    <row r="2487">
      <c r="A2487" s="7" t="n"/>
      <c r="B2487" s="75" t="n"/>
      <c r="C2487" s="7" t="n"/>
      <c r="D2487" s="7" t="n"/>
      <c r="E2487" s="9">
        <f>IF(D2487="","",IFERROR(INDEX('Stock pièces'!$B$5:$B$404,MATCH(D2487,'Stock pièces'!$A$5:$A$404,0)),"Réf. inconnue"))</f>
        <v/>
      </c>
      <c r="F2487" s="67" t="n"/>
      <c r="G2487" s="81">
        <f>IF(D2487="","",IFERROR(INDEX('Stock pièces'!$I$5:$I$404,MATCH(D2487,'Stock pièces'!$A$5:$A$404,0)),0))</f>
        <v/>
      </c>
      <c r="H2487" s="81">
        <f>IF(D2487="","",N(F2487)*N(G2487))</f>
        <v/>
      </c>
      <c r="I2487" s="7" t="n"/>
      <c r="J2487" s="9">
        <f>IF(I2487="","",IFERROR(INDEX('Ordres de travail'!$D$5:$D$3004,MATCH(I2487,'Ordres de travail'!$A$5:$A$3004,0)),""))</f>
        <v/>
      </c>
      <c r="K2487" s="9">
        <f>IF(D2487="","",IFERROR(INDEX('Stock pièces'!$D$5:$D$404,MATCH(D2487,'Stock pièces'!$A$5:$A$404,0)),""))</f>
        <v/>
      </c>
      <c r="L2487" s="7" t="n"/>
      <c r="M2487" s="7" t="n"/>
    </row>
    <row r="2488">
      <c r="A2488" s="7" t="n"/>
      <c r="B2488" s="75" t="n"/>
      <c r="C2488" s="7" t="n"/>
      <c r="D2488" s="7" t="n"/>
      <c r="E2488" s="9">
        <f>IF(D2488="","",IFERROR(INDEX('Stock pièces'!$B$5:$B$404,MATCH(D2488,'Stock pièces'!$A$5:$A$404,0)),"Réf. inconnue"))</f>
        <v/>
      </c>
      <c r="F2488" s="67" t="n"/>
      <c r="G2488" s="81">
        <f>IF(D2488="","",IFERROR(INDEX('Stock pièces'!$I$5:$I$404,MATCH(D2488,'Stock pièces'!$A$5:$A$404,0)),0))</f>
        <v/>
      </c>
      <c r="H2488" s="81">
        <f>IF(D2488="","",N(F2488)*N(G2488))</f>
        <v/>
      </c>
      <c r="I2488" s="7" t="n"/>
      <c r="J2488" s="9">
        <f>IF(I2488="","",IFERROR(INDEX('Ordres de travail'!$D$5:$D$3004,MATCH(I2488,'Ordres de travail'!$A$5:$A$3004,0)),""))</f>
        <v/>
      </c>
      <c r="K2488" s="9">
        <f>IF(D2488="","",IFERROR(INDEX('Stock pièces'!$D$5:$D$404,MATCH(D2488,'Stock pièces'!$A$5:$A$404,0)),""))</f>
        <v/>
      </c>
      <c r="L2488" s="7" t="n"/>
      <c r="M2488" s="7" t="n"/>
    </row>
    <row r="2489">
      <c r="A2489" s="7" t="n"/>
      <c r="B2489" s="75" t="n"/>
      <c r="C2489" s="7" t="n"/>
      <c r="D2489" s="7" t="n"/>
      <c r="E2489" s="9">
        <f>IF(D2489="","",IFERROR(INDEX('Stock pièces'!$B$5:$B$404,MATCH(D2489,'Stock pièces'!$A$5:$A$404,0)),"Réf. inconnue"))</f>
        <v/>
      </c>
      <c r="F2489" s="67" t="n"/>
      <c r="G2489" s="81">
        <f>IF(D2489="","",IFERROR(INDEX('Stock pièces'!$I$5:$I$404,MATCH(D2489,'Stock pièces'!$A$5:$A$404,0)),0))</f>
        <v/>
      </c>
      <c r="H2489" s="81">
        <f>IF(D2489="","",N(F2489)*N(G2489))</f>
        <v/>
      </c>
      <c r="I2489" s="7" t="n"/>
      <c r="J2489" s="9">
        <f>IF(I2489="","",IFERROR(INDEX('Ordres de travail'!$D$5:$D$3004,MATCH(I2489,'Ordres de travail'!$A$5:$A$3004,0)),""))</f>
        <v/>
      </c>
      <c r="K2489" s="9">
        <f>IF(D2489="","",IFERROR(INDEX('Stock pièces'!$D$5:$D$404,MATCH(D2489,'Stock pièces'!$A$5:$A$404,0)),""))</f>
        <v/>
      </c>
      <c r="L2489" s="7" t="n"/>
      <c r="M2489" s="7" t="n"/>
    </row>
    <row r="2490">
      <c r="A2490" s="7" t="n"/>
      <c r="B2490" s="75" t="n"/>
      <c r="C2490" s="7" t="n"/>
      <c r="D2490" s="7" t="n"/>
      <c r="E2490" s="9">
        <f>IF(D2490="","",IFERROR(INDEX('Stock pièces'!$B$5:$B$404,MATCH(D2490,'Stock pièces'!$A$5:$A$404,0)),"Réf. inconnue"))</f>
        <v/>
      </c>
      <c r="F2490" s="67" t="n"/>
      <c r="G2490" s="81">
        <f>IF(D2490="","",IFERROR(INDEX('Stock pièces'!$I$5:$I$404,MATCH(D2490,'Stock pièces'!$A$5:$A$404,0)),0))</f>
        <v/>
      </c>
      <c r="H2490" s="81">
        <f>IF(D2490="","",N(F2490)*N(G2490))</f>
        <v/>
      </c>
      <c r="I2490" s="7" t="n"/>
      <c r="J2490" s="9">
        <f>IF(I2490="","",IFERROR(INDEX('Ordres de travail'!$D$5:$D$3004,MATCH(I2490,'Ordres de travail'!$A$5:$A$3004,0)),""))</f>
        <v/>
      </c>
      <c r="K2490" s="9">
        <f>IF(D2490="","",IFERROR(INDEX('Stock pièces'!$D$5:$D$404,MATCH(D2490,'Stock pièces'!$A$5:$A$404,0)),""))</f>
        <v/>
      </c>
      <c r="L2490" s="7" t="n"/>
      <c r="M2490" s="7" t="n"/>
    </row>
    <row r="2491">
      <c r="A2491" s="7" t="n"/>
      <c r="B2491" s="75" t="n"/>
      <c r="C2491" s="7" t="n"/>
      <c r="D2491" s="7" t="n"/>
      <c r="E2491" s="9">
        <f>IF(D2491="","",IFERROR(INDEX('Stock pièces'!$B$5:$B$404,MATCH(D2491,'Stock pièces'!$A$5:$A$404,0)),"Réf. inconnue"))</f>
        <v/>
      </c>
      <c r="F2491" s="67" t="n"/>
      <c r="G2491" s="81">
        <f>IF(D2491="","",IFERROR(INDEX('Stock pièces'!$I$5:$I$404,MATCH(D2491,'Stock pièces'!$A$5:$A$404,0)),0))</f>
        <v/>
      </c>
      <c r="H2491" s="81">
        <f>IF(D2491="","",N(F2491)*N(G2491))</f>
        <v/>
      </c>
      <c r="I2491" s="7" t="n"/>
      <c r="J2491" s="9">
        <f>IF(I2491="","",IFERROR(INDEX('Ordres de travail'!$D$5:$D$3004,MATCH(I2491,'Ordres de travail'!$A$5:$A$3004,0)),""))</f>
        <v/>
      </c>
      <c r="K2491" s="9">
        <f>IF(D2491="","",IFERROR(INDEX('Stock pièces'!$D$5:$D$404,MATCH(D2491,'Stock pièces'!$A$5:$A$404,0)),""))</f>
        <v/>
      </c>
      <c r="L2491" s="7" t="n"/>
      <c r="M2491" s="7" t="n"/>
    </row>
    <row r="2492">
      <c r="A2492" s="7" t="n"/>
      <c r="B2492" s="75" t="n"/>
      <c r="C2492" s="7" t="n"/>
      <c r="D2492" s="7" t="n"/>
      <c r="E2492" s="9">
        <f>IF(D2492="","",IFERROR(INDEX('Stock pièces'!$B$5:$B$404,MATCH(D2492,'Stock pièces'!$A$5:$A$404,0)),"Réf. inconnue"))</f>
        <v/>
      </c>
      <c r="F2492" s="67" t="n"/>
      <c r="G2492" s="81">
        <f>IF(D2492="","",IFERROR(INDEX('Stock pièces'!$I$5:$I$404,MATCH(D2492,'Stock pièces'!$A$5:$A$404,0)),0))</f>
        <v/>
      </c>
      <c r="H2492" s="81">
        <f>IF(D2492="","",N(F2492)*N(G2492))</f>
        <v/>
      </c>
      <c r="I2492" s="7" t="n"/>
      <c r="J2492" s="9">
        <f>IF(I2492="","",IFERROR(INDEX('Ordres de travail'!$D$5:$D$3004,MATCH(I2492,'Ordres de travail'!$A$5:$A$3004,0)),""))</f>
        <v/>
      </c>
      <c r="K2492" s="9">
        <f>IF(D2492="","",IFERROR(INDEX('Stock pièces'!$D$5:$D$404,MATCH(D2492,'Stock pièces'!$A$5:$A$404,0)),""))</f>
        <v/>
      </c>
      <c r="L2492" s="7" t="n"/>
      <c r="M2492" s="7" t="n"/>
    </row>
    <row r="2493">
      <c r="A2493" s="7" t="n"/>
      <c r="B2493" s="75" t="n"/>
      <c r="C2493" s="7" t="n"/>
      <c r="D2493" s="7" t="n"/>
      <c r="E2493" s="9">
        <f>IF(D2493="","",IFERROR(INDEX('Stock pièces'!$B$5:$B$404,MATCH(D2493,'Stock pièces'!$A$5:$A$404,0)),"Réf. inconnue"))</f>
        <v/>
      </c>
      <c r="F2493" s="67" t="n"/>
      <c r="G2493" s="81">
        <f>IF(D2493="","",IFERROR(INDEX('Stock pièces'!$I$5:$I$404,MATCH(D2493,'Stock pièces'!$A$5:$A$404,0)),0))</f>
        <v/>
      </c>
      <c r="H2493" s="81">
        <f>IF(D2493="","",N(F2493)*N(G2493))</f>
        <v/>
      </c>
      <c r="I2493" s="7" t="n"/>
      <c r="J2493" s="9">
        <f>IF(I2493="","",IFERROR(INDEX('Ordres de travail'!$D$5:$D$3004,MATCH(I2493,'Ordres de travail'!$A$5:$A$3004,0)),""))</f>
        <v/>
      </c>
      <c r="K2493" s="9">
        <f>IF(D2493="","",IFERROR(INDEX('Stock pièces'!$D$5:$D$404,MATCH(D2493,'Stock pièces'!$A$5:$A$404,0)),""))</f>
        <v/>
      </c>
      <c r="L2493" s="7" t="n"/>
      <c r="M2493" s="7" t="n"/>
    </row>
    <row r="2494">
      <c r="A2494" s="7" t="n"/>
      <c r="B2494" s="75" t="n"/>
      <c r="C2494" s="7" t="n"/>
      <c r="D2494" s="7" t="n"/>
      <c r="E2494" s="9">
        <f>IF(D2494="","",IFERROR(INDEX('Stock pièces'!$B$5:$B$404,MATCH(D2494,'Stock pièces'!$A$5:$A$404,0)),"Réf. inconnue"))</f>
        <v/>
      </c>
      <c r="F2494" s="67" t="n"/>
      <c r="G2494" s="81">
        <f>IF(D2494="","",IFERROR(INDEX('Stock pièces'!$I$5:$I$404,MATCH(D2494,'Stock pièces'!$A$5:$A$404,0)),0))</f>
        <v/>
      </c>
      <c r="H2494" s="81">
        <f>IF(D2494="","",N(F2494)*N(G2494))</f>
        <v/>
      </c>
      <c r="I2494" s="7" t="n"/>
      <c r="J2494" s="9">
        <f>IF(I2494="","",IFERROR(INDEX('Ordres de travail'!$D$5:$D$3004,MATCH(I2494,'Ordres de travail'!$A$5:$A$3004,0)),""))</f>
        <v/>
      </c>
      <c r="K2494" s="9">
        <f>IF(D2494="","",IFERROR(INDEX('Stock pièces'!$D$5:$D$404,MATCH(D2494,'Stock pièces'!$A$5:$A$404,0)),""))</f>
        <v/>
      </c>
      <c r="L2494" s="7" t="n"/>
      <c r="M2494" s="7" t="n"/>
    </row>
    <row r="2495">
      <c r="A2495" s="7" t="n"/>
      <c r="B2495" s="75" t="n"/>
      <c r="C2495" s="7" t="n"/>
      <c r="D2495" s="7" t="n"/>
      <c r="E2495" s="9">
        <f>IF(D2495="","",IFERROR(INDEX('Stock pièces'!$B$5:$B$404,MATCH(D2495,'Stock pièces'!$A$5:$A$404,0)),"Réf. inconnue"))</f>
        <v/>
      </c>
      <c r="F2495" s="67" t="n"/>
      <c r="G2495" s="81">
        <f>IF(D2495="","",IFERROR(INDEX('Stock pièces'!$I$5:$I$404,MATCH(D2495,'Stock pièces'!$A$5:$A$404,0)),0))</f>
        <v/>
      </c>
      <c r="H2495" s="81">
        <f>IF(D2495="","",N(F2495)*N(G2495))</f>
        <v/>
      </c>
      <c r="I2495" s="7" t="n"/>
      <c r="J2495" s="9">
        <f>IF(I2495="","",IFERROR(INDEX('Ordres de travail'!$D$5:$D$3004,MATCH(I2495,'Ordres de travail'!$A$5:$A$3004,0)),""))</f>
        <v/>
      </c>
      <c r="K2495" s="9">
        <f>IF(D2495="","",IFERROR(INDEX('Stock pièces'!$D$5:$D$404,MATCH(D2495,'Stock pièces'!$A$5:$A$404,0)),""))</f>
        <v/>
      </c>
      <c r="L2495" s="7" t="n"/>
      <c r="M2495" s="7" t="n"/>
    </row>
    <row r="2496">
      <c r="A2496" s="7" t="n"/>
      <c r="B2496" s="75" t="n"/>
      <c r="C2496" s="7" t="n"/>
      <c r="D2496" s="7" t="n"/>
      <c r="E2496" s="9">
        <f>IF(D2496="","",IFERROR(INDEX('Stock pièces'!$B$5:$B$404,MATCH(D2496,'Stock pièces'!$A$5:$A$404,0)),"Réf. inconnue"))</f>
        <v/>
      </c>
      <c r="F2496" s="67" t="n"/>
      <c r="G2496" s="81">
        <f>IF(D2496="","",IFERROR(INDEX('Stock pièces'!$I$5:$I$404,MATCH(D2496,'Stock pièces'!$A$5:$A$404,0)),0))</f>
        <v/>
      </c>
      <c r="H2496" s="81">
        <f>IF(D2496="","",N(F2496)*N(G2496))</f>
        <v/>
      </c>
      <c r="I2496" s="7" t="n"/>
      <c r="J2496" s="9">
        <f>IF(I2496="","",IFERROR(INDEX('Ordres de travail'!$D$5:$D$3004,MATCH(I2496,'Ordres de travail'!$A$5:$A$3004,0)),""))</f>
        <v/>
      </c>
      <c r="K2496" s="9">
        <f>IF(D2496="","",IFERROR(INDEX('Stock pièces'!$D$5:$D$404,MATCH(D2496,'Stock pièces'!$A$5:$A$404,0)),""))</f>
        <v/>
      </c>
      <c r="L2496" s="7" t="n"/>
      <c r="M2496" s="7" t="n"/>
    </row>
    <row r="2497">
      <c r="A2497" s="7" t="n"/>
      <c r="B2497" s="75" t="n"/>
      <c r="C2497" s="7" t="n"/>
      <c r="D2497" s="7" t="n"/>
      <c r="E2497" s="9">
        <f>IF(D2497="","",IFERROR(INDEX('Stock pièces'!$B$5:$B$404,MATCH(D2497,'Stock pièces'!$A$5:$A$404,0)),"Réf. inconnue"))</f>
        <v/>
      </c>
      <c r="F2497" s="67" t="n"/>
      <c r="G2497" s="81">
        <f>IF(D2497="","",IFERROR(INDEX('Stock pièces'!$I$5:$I$404,MATCH(D2497,'Stock pièces'!$A$5:$A$404,0)),0))</f>
        <v/>
      </c>
      <c r="H2497" s="81">
        <f>IF(D2497="","",N(F2497)*N(G2497))</f>
        <v/>
      </c>
      <c r="I2497" s="7" t="n"/>
      <c r="J2497" s="9">
        <f>IF(I2497="","",IFERROR(INDEX('Ordres de travail'!$D$5:$D$3004,MATCH(I2497,'Ordres de travail'!$A$5:$A$3004,0)),""))</f>
        <v/>
      </c>
      <c r="K2497" s="9">
        <f>IF(D2497="","",IFERROR(INDEX('Stock pièces'!$D$5:$D$404,MATCH(D2497,'Stock pièces'!$A$5:$A$404,0)),""))</f>
        <v/>
      </c>
      <c r="L2497" s="7" t="n"/>
      <c r="M2497" s="7" t="n"/>
    </row>
    <row r="2498">
      <c r="A2498" s="7" t="n"/>
      <c r="B2498" s="75" t="n"/>
      <c r="C2498" s="7" t="n"/>
      <c r="D2498" s="7" t="n"/>
      <c r="E2498" s="9">
        <f>IF(D2498="","",IFERROR(INDEX('Stock pièces'!$B$5:$B$404,MATCH(D2498,'Stock pièces'!$A$5:$A$404,0)),"Réf. inconnue"))</f>
        <v/>
      </c>
      <c r="F2498" s="67" t="n"/>
      <c r="G2498" s="81">
        <f>IF(D2498="","",IFERROR(INDEX('Stock pièces'!$I$5:$I$404,MATCH(D2498,'Stock pièces'!$A$5:$A$404,0)),0))</f>
        <v/>
      </c>
      <c r="H2498" s="81">
        <f>IF(D2498="","",N(F2498)*N(G2498))</f>
        <v/>
      </c>
      <c r="I2498" s="7" t="n"/>
      <c r="J2498" s="9">
        <f>IF(I2498="","",IFERROR(INDEX('Ordres de travail'!$D$5:$D$3004,MATCH(I2498,'Ordres de travail'!$A$5:$A$3004,0)),""))</f>
        <v/>
      </c>
      <c r="K2498" s="9">
        <f>IF(D2498="","",IFERROR(INDEX('Stock pièces'!$D$5:$D$404,MATCH(D2498,'Stock pièces'!$A$5:$A$404,0)),""))</f>
        <v/>
      </c>
      <c r="L2498" s="7" t="n"/>
      <c r="M2498" s="7" t="n"/>
    </row>
    <row r="2499">
      <c r="A2499" s="7" t="n"/>
      <c r="B2499" s="75" t="n"/>
      <c r="C2499" s="7" t="n"/>
      <c r="D2499" s="7" t="n"/>
      <c r="E2499" s="9">
        <f>IF(D2499="","",IFERROR(INDEX('Stock pièces'!$B$5:$B$404,MATCH(D2499,'Stock pièces'!$A$5:$A$404,0)),"Réf. inconnue"))</f>
        <v/>
      </c>
      <c r="F2499" s="67" t="n"/>
      <c r="G2499" s="81">
        <f>IF(D2499="","",IFERROR(INDEX('Stock pièces'!$I$5:$I$404,MATCH(D2499,'Stock pièces'!$A$5:$A$404,0)),0))</f>
        <v/>
      </c>
      <c r="H2499" s="81">
        <f>IF(D2499="","",N(F2499)*N(G2499))</f>
        <v/>
      </c>
      <c r="I2499" s="7" t="n"/>
      <c r="J2499" s="9">
        <f>IF(I2499="","",IFERROR(INDEX('Ordres de travail'!$D$5:$D$3004,MATCH(I2499,'Ordres de travail'!$A$5:$A$3004,0)),""))</f>
        <v/>
      </c>
      <c r="K2499" s="9">
        <f>IF(D2499="","",IFERROR(INDEX('Stock pièces'!$D$5:$D$404,MATCH(D2499,'Stock pièces'!$A$5:$A$404,0)),""))</f>
        <v/>
      </c>
      <c r="L2499" s="7" t="n"/>
      <c r="M2499" s="7" t="n"/>
    </row>
    <row r="2500">
      <c r="A2500" s="7" t="n"/>
      <c r="B2500" s="75" t="n"/>
      <c r="C2500" s="7" t="n"/>
      <c r="D2500" s="7" t="n"/>
      <c r="E2500" s="9">
        <f>IF(D2500="","",IFERROR(INDEX('Stock pièces'!$B$5:$B$404,MATCH(D2500,'Stock pièces'!$A$5:$A$404,0)),"Réf. inconnue"))</f>
        <v/>
      </c>
      <c r="F2500" s="67" t="n"/>
      <c r="G2500" s="81">
        <f>IF(D2500="","",IFERROR(INDEX('Stock pièces'!$I$5:$I$404,MATCH(D2500,'Stock pièces'!$A$5:$A$404,0)),0))</f>
        <v/>
      </c>
      <c r="H2500" s="81">
        <f>IF(D2500="","",N(F2500)*N(G2500))</f>
        <v/>
      </c>
      <c r="I2500" s="7" t="n"/>
      <c r="J2500" s="9">
        <f>IF(I2500="","",IFERROR(INDEX('Ordres de travail'!$D$5:$D$3004,MATCH(I2500,'Ordres de travail'!$A$5:$A$3004,0)),""))</f>
        <v/>
      </c>
      <c r="K2500" s="9">
        <f>IF(D2500="","",IFERROR(INDEX('Stock pièces'!$D$5:$D$404,MATCH(D2500,'Stock pièces'!$A$5:$A$404,0)),""))</f>
        <v/>
      </c>
      <c r="L2500" s="7" t="n"/>
      <c r="M2500" s="7" t="n"/>
    </row>
    <row r="2501">
      <c r="A2501" s="7" t="n"/>
      <c r="B2501" s="75" t="n"/>
      <c r="C2501" s="7" t="n"/>
      <c r="D2501" s="7" t="n"/>
      <c r="E2501" s="9">
        <f>IF(D2501="","",IFERROR(INDEX('Stock pièces'!$B$5:$B$404,MATCH(D2501,'Stock pièces'!$A$5:$A$404,0)),"Réf. inconnue"))</f>
        <v/>
      </c>
      <c r="F2501" s="67" t="n"/>
      <c r="G2501" s="81">
        <f>IF(D2501="","",IFERROR(INDEX('Stock pièces'!$I$5:$I$404,MATCH(D2501,'Stock pièces'!$A$5:$A$404,0)),0))</f>
        <v/>
      </c>
      <c r="H2501" s="81">
        <f>IF(D2501="","",N(F2501)*N(G2501))</f>
        <v/>
      </c>
      <c r="I2501" s="7" t="n"/>
      <c r="J2501" s="9">
        <f>IF(I2501="","",IFERROR(INDEX('Ordres de travail'!$D$5:$D$3004,MATCH(I2501,'Ordres de travail'!$A$5:$A$3004,0)),""))</f>
        <v/>
      </c>
      <c r="K2501" s="9">
        <f>IF(D2501="","",IFERROR(INDEX('Stock pièces'!$D$5:$D$404,MATCH(D2501,'Stock pièces'!$A$5:$A$404,0)),""))</f>
        <v/>
      </c>
      <c r="L2501" s="7" t="n"/>
      <c r="M2501" s="7" t="n"/>
    </row>
    <row r="2502">
      <c r="A2502" s="7" t="n"/>
      <c r="B2502" s="75" t="n"/>
      <c r="C2502" s="7" t="n"/>
      <c r="D2502" s="7" t="n"/>
      <c r="E2502" s="9">
        <f>IF(D2502="","",IFERROR(INDEX('Stock pièces'!$B$5:$B$404,MATCH(D2502,'Stock pièces'!$A$5:$A$404,0)),"Réf. inconnue"))</f>
        <v/>
      </c>
      <c r="F2502" s="67" t="n"/>
      <c r="G2502" s="81">
        <f>IF(D2502="","",IFERROR(INDEX('Stock pièces'!$I$5:$I$404,MATCH(D2502,'Stock pièces'!$A$5:$A$404,0)),0))</f>
        <v/>
      </c>
      <c r="H2502" s="81">
        <f>IF(D2502="","",N(F2502)*N(G2502))</f>
        <v/>
      </c>
      <c r="I2502" s="7" t="n"/>
      <c r="J2502" s="9">
        <f>IF(I2502="","",IFERROR(INDEX('Ordres de travail'!$D$5:$D$3004,MATCH(I2502,'Ordres de travail'!$A$5:$A$3004,0)),""))</f>
        <v/>
      </c>
      <c r="K2502" s="9">
        <f>IF(D2502="","",IFERROR(INDEX('Stock pièces'!$D$5:$D$404,MATCH(D2502,'Stock pièces'!$A$5:$A$404,0)),""))</f>
        <v/>
      </c>
      <c r="L2502" s="7" t="n"/>
      <c r="M2502" s="7" t="n"/>
    </row>
    <row r="2503">
      <c r="A2503" s="7" t="n"/>
      <c r="B2503" s="75" t="n"/>
      <c r="C2503" s="7" t="n"/>
      <c r="D2503" s="7" t="n"/>
      <c r="E2503" s="9">
        <f>IF(D2503="","",IFERROR(INDEX('Stock pièces'!$B$5:$B$404,MATCH(D2503,'Stock pièces'!$A$5:$A$404,0)),"Réf. inconnue"))</f>
        <v/>
      </c>
      <c r="F2503" s="67" t="n"/>
      <c r="G2503" s="81">
        <f>IF(D2503="","",IFERROR(INDEX('Stock pièces'!$I$5:$I$404,MATCH(D2503,'Stock pièces'!$A$5:$A$404,0)),0))</f>
        <v/>
      </c>
      <c r="H2503" s="81">
        <f>IF(D2503="","",N(F2503)*N(G2503))</f>
        <v/>
      </c>
      <c r="I2503" s="7" t="n"/>
      <c r="J2503" s="9">
        <f>IF(I2503="","",IFERROR(INDEX('Ordres de travail'!$D$5:$D$3004,MATCH(I2503,'Ordres de travail'!$A$5:$A$3004,0)),""))</f>
        <v/>
      </c>
      <c r="K2503" s="9">
        <f>IF(D2503="","",IFERROR(INDEX('Stock pièces'!$D$5:$D$404,MATCH(D2503,'Stock pièces'!$A$5:$A$404,0)),""))</f>
        <v/>
      </c>
      <c r="L2503" s="7" t="n"/>
      <c r="M2503" s="7" t="n"/>
    </row>
    <row r="2504">
      <c r="A2504" s="7" t="n"/>
      <c r="B2504" s="75" t="n"/>
      <c r="C2504" s="7" t="n"/>
      <c r="D2504" s="7" t="n"/>
      <c r="E2504" s="9">
        <f>IF(D2504="","",IFERROR(INDEX('Stock pièces'!$B$5:$B$404,MATCH(D2504,'Stock pièces'!$A$5:$A$404,0)),"Réf. inconnue"))</f>
        <v/>
      </c>
      <c r="F2504" s="67" t="n"/>
      <c r="G2504" s="81">
        <f>IF(D2504="","",IFERROR(INDEX('Stock pièces'!$I$5:$I$404,MATCH(D2504,'Stock pièces'!$A$5:$A$404,0)),0))</f>
        <v/>
      </c>
      <c r="H2504" s="81">
        <f>IF(D2504="","",N(F2504)*N(G2504))</f>
        <v/>
      </c>
      <c r="I2504" s="7" t="n"/>
      <c r="J2504" s="9">
        <f>IF(I2504="","",IFERROR(INDEX('Ordres de travail'!$D$5:$D$3004,MATCH(I2504,'Ordres de travail'!$A$5:$A$3004,0)),""))</f>
        <v/>
      </c>
      <c r="K2504" s="9">
        <f>IF(D2504="","",IFERROR(INDEX('Stock pièces'!$D$5:$D$404,MATCH(D2504,'Stock pièces'!$A$5:$A$404,0)),""))</f>
        <v/>
      </c>
      <c r="L2504" s="7" t="n"/>
      <c r="M2504" s="7" t="n"/>
    </row>
    <row r="2505">
      <c r="A2505" s="7" t="n"/>
      <c r="B2505" s="75" t="n"/>
      <c r="C2505" s="7" t="n"/>
      <c r="D2505" s="7" t="n"/>
      <c r="E2505" s="9">
        <f>IF(D2505="","",IFERROR(INDEX('Stock pièces'!$B$5:$B$404,MATCH(D2505,'Stock pièces'!$A$5:$A$404,0)),"Réf. inconnue"))</f>
        <v/>
      </c>
      <c r="F2505" s="67" t="n"/>
      <c r="G2505" s="81">
        <f>IF(D2505="","",IFERROR(INDEX('Stock pièces'!$I$5:$I$404,MATCH(D2505,'Stock pièces'!$A$5:$A$404,0)),0))</f>
        <v/>
      </c>
      <c r="H2505" s="81">
        <f>IF(D2505="","",N(F2505)*N(G2505))</f>
        <v/>
      </c>
      <c r="I2505" s="7" t="n"/>
      <c r="J2505" s="9">
        <f>IF(I2505="","",IFERROR(INDEX('Ordres de travail'!$D$5:$D$3004,MATCH(I2505,'Ordres de travail'!$A$5:$A$3004,0)),""))</f>
        <v/>
      </c>
      <c r="K2505" s="9">
        <f>IF(D2505="","",IFERROR(INDEX('Stock pièces'!$D$5:$D$404,MATCH(D2505,'Stock pièces'!$A$5:$A$404,0)),""))</f>
        <v/>
      </c>
      <c r="L2505" s="7" t="n"/>
      <c r="M2505" s="7" t="n"/>
    </row>
    <row r="2506">
      <c r="A2506" s="7" t="n"/>
      <c r="B2506" s="75" t="n"/>
      <c r="C2506" s="7" t="n"/>
      <c r="D2506" s="7" t="n"/>
      <c r="E2506" s="9">
        <f>IF(D2506="","",IFERROR(INDEX('Stock pièces'!$B$5:$B$404,MATCH(D2506,'Stock pièces'!$A$5:$A$404,0)),"Réf. inconnue"))</f>
        <v/>
      </c>
      <c r="F2506" s="67" t="n"/>
      <c r="G2506" s="81">
        <f>IF(D2506="","",IFERROR(INDEX('Stock pièces'!$I$5:$I$404,MATCH(D2506,'Stock pièces'!$A$5:$A$404,0)),0))</f>
        <v/>
      </c>
      <c r="H2506" s="81">
        <f>IF(D2506="","",N(F2506)*N(G2506))</f>
        <v/>
      </c>
      <c r="I2506" s="7" t="n"/>
      <c r="J2506" s="9">
        <f>IF(I2506="","",IFERROR(INDEX('Ordres de travail'!$D$5:$D$3004,MATCH(I2506,'Ordres de travail'!$A$5:$A$3004,0)),""))</f>
        <v/>
      </c>
      <c r="K2506" s="9">
        <f>IF(D2506="","",IFERROR(INDEX('Stock pièces'!$D$5:$D$404,MATCH(D2506,'Stock pièces'!$A$5:$A$404,0)),""))</f>
        <v/>
      </c>
      <c r="L2506" s="7" t="n"/>
      <c r="M2506" s="7" t="n"/>
    </row>
    <row r="2507">
      <c r="A2507" s="7" t="n"/>
      <c r="B2507" s="75" t="n"/>
      <c r="C2507" s="7" t="n"/>
      <c r="D2507" s="7" t="n"/>
      <c r="E2507" s="9">
        <f>IF(D2507="","",IFERROR(INDEX('Stock pièces'!$B$5:$B$404,MATCH(D2507,'Stock pièces'!$A$5:$A$404,0)),"Réf. inconnue"))</f>
        <v/>
      </c>
      <c r="F2507" s="67" t="n"/>
      <c r="G2507" s="81">
        <f>IF(D2507="","",IFERROR(INDEX('Stock pièces'!$I$5:$I$404,MATCH(D2507,'Stock pièces'!$A$5:$A$404,0)),0))</f>
        <v/>
      </c>
      <c r="H2507" s="81">
        <f>IF(D2507="","",N(F2507)*N(G2507))</f>
        <v/>
      </c>
      <c r="I2507" s="7" t="n"/>
      <c r="J2507" s="9">
        <f>IF(I2507="","",IFERROR(INDEX('Ordres de travail'!$D$5:$D$3004,MATCH(I2507,'Ordres de travail'!$A$5:$A$3004,0)),""))</f>
        <v/>
      </c>
      <c r="K2507" s="9">
        <f>IF(D2507="","",IFERROR(INDEX('Stock pièces'!$D$5:$D$404,MATCH(D2507,'Stock pièces'!$A$5:$A$404,0)),""))</f>
        <v/>
      </c>
      <c r="L2507" s="7" t="n"/>
      <c r="M2507" s="7" t="n"/>
    </row>
    <row r="2508">
      <c r="A2508" s="7" t="n"/>
      <c r="B2508" s="75" t="n"/>
      <c r="C2508" s="7" t="n"/>
      <c r="D2508" s="7" t="n"/>
      <c r="E2508" s="9">
        <f>IF(D2508="","",IFERROR(INDEX('Stock pièces'!$B$5:$B$404,MATCH(D2508,'Stock pièces'!$A$5:$A$404,0)),"Réf. inconnue"))</f>
        <v/>
      </c>
      <c r="F2508" s="67" t="n"/>
      <c r="G2508" s="81">
        <f>IF(D2508="","",IFERROR(INDEX('Stock pièces'!$I$5:$I$404,MATCH(D2508,'Stock pièces'!$A$5:$A$404,0)),0))</f>
        <v/>
      </c>
      <c r="H2508" s="81">
        <f>IF(D2508="","",N(F2508)*N(G2508))</f>
        <v/>
      </c>
      <c r="I2508" s="7" t="n"/>
      <c r="J2508" s="9">
        <f>IF(I2508="","",IFERROR(INDEX('Ordres de travail'!$D$5:$D$3004,MATCH(I2508,'Ordres de travail'!$A$5:$A$3004,0)),""))</f>
        <v/>
      </c>
      <c r="K2508" s="9">
        <f>IF(D2508="","",IFERROR(INDEX('Stock pièces'!$D$5:$D$404,MATCH(D2508,'Stock pièces'!$A$5:$A$404,0)),""))</f>
        <v/>
      </c>
      <c r="L2508" s="7" t="n"/>
      <c r="M2508" s="7" t="n"/>
    </row>
    <row r="2509">
      <c r="A2509" s="7" t="n"/>
      <c r="B2509" s="75" t="n"/>
      <c r="C2509" s="7" t="n"/>
      <c r="D2509" s="7" t="n"/>
      <c r="E2509" s="9">
        <f>IF(D2509="","",IFERROR(INDEX('Stock pièces'!$B$5:$B$404,MATCH(D2509,'Stock pièces'!$A$5:$A$404,0)),"Réf. inconnue"))</f>
        <v/>
      </c>
      <c r="F2509" s="67" t="n"/>
      <c r="G2509" s="81">
        <f>IF(D2509="","",IFERROR(INDEX('Stock pièces'!$I$5:$I$404,MATCH(D2509,'Stock pièces'!$A$5:$A$404,0)),0))</f>
        <v/>
      </c>
      <c r="H2509" s="81">
        <f>IF(D2509="","",N(F2509)*N(G2509))</f>
        <v/>
      </c>
      <c r="I2509" s="7" t="n"/>
      <c r="J2509" s="9">
        <f>IF(I2509="","",IFERROR(INDEX('Ordres de travail'!$D$5:$D$3004,MATCH(I2509,'Ordres de travail'!$A$5:$A$3004,0)),""))</f>
        <v/>
      </c>
      <c r="K2509" s="9">
        <f>IF(D2509="","",IFERROR(INDEX('Stock pièces'!$D$5:$D$404,MATCH(D2509,'Stock pièces'!$A$5:$A$404,0)),""))</f>
        <v/>
      </c>
      <c r="L2509" s="7" t="n"/>
      <c r="M2509" s="7" t="n"/>
    </row>
    <row r="2510">
      <c r="A2510" s="7" t="n"/>
      <c r="B2510" s="75" t="n"/>
      <c r="C2510" s="7" t="n"/>
      <c r="D2510" s="7" t="n"/>
      <c r="E2510" s="9">
        <f>IF(D2510="","",IFERROR(INDEX('Stock pièces'!$B$5:$B$404,MATCH(D2510,'Stock pièces'!$A$5:$A$404,0)),"Réf. inconnue"))</f>
        <v/>
      </c>
      <c r="F2510" s="67" t="n"/>
      <c r="G2510" s="81">
        <f>IF(D2510="","",IFERROR(INDEX('Stock pièces'!$I$5:$I$404,MATCH(D2510,'Stock pièces'!$A$5:$A$404,0)),0))</f>
        <v/>
      </c>
      <c r="H2510" s="81">
        <f>IF(D2510="","",N(F2510)*N(G2510))</f>
        <v/>
      </c>
      <c r="I2510" s="7" t="n"/>
      <c r="J2510" s="9">
        <f>IF(I2510="","",IFERROR(INDEX('Ordres de travail'!$D$5:$D$3004,MATCH(I2510,'Ordres de travail'!$A$5:$A$3004,0)),""))</f>
        <v/>
      </c>
      <c r="K2510" s="9">
        <f>IF(D2510="","",IFERROR(INDEX('Stock pièces'!$D$5:$D$404,MATCH(D2510,'Stock pièces'!$A$5:$A$404,0)),""))</f>
        <v/>
      </c>
      <c r="L2510" s="7" t="n"/>
      <c r="M2510" s="7" t="n"/>
    </row>
    <row r="2511">
      <c r="A2511" s="7" t="n"/>
      <c r="B2511" s="75" t="n"/>
      <c r="C2511" s="7" t="n"/>
      <c r="D2511" s="7" t="n"/>
      <c r="E2511" s="9">
        <f>IF(D2511="","",IFERROR(INDEX('Stock pièces'!$B$5:$B$404,MATCH(D2511,'Stock pièces'!$A$5:$A$404,0)),"Réf. inconnue"))</f>
        <v/>
      </c>
      <c r="F2511" s="67" t="n"/>
      <c r="G2511" s="81">
        <f>IF(D2511="","",IFERROR(INDEX('Stock pièces'!$I$5:$I$404,MATCH(D2511,'Stock pièces'!$A$5:$A$404,0)),0))</f>
        <v/>
      </c>
      <c r="H2511" s="81">
        <f>IF(D2511="","",N(F2511)*N(G2511))</f>
        <v/>
      </c>
      <c r="I2511" s="7" t="n"/>
      <c r="J2511" s="9">
        <f>IF(I2511="","",IFERROR(INDEX('Ordres de travail'!$D$5:$D$3004,MATCH(I2511,'Ordres de travail'!$A$5:$A$3004,0)),""))</f>
        <v/>
      </c>
      <c r="K2511" s="9">
        <f>IF(D2511="","",IFERROR(INDEX('Stock pièces'!$D$5:$D$404,MATCH(D2511,'Stock pièces'!$A$5:$A$404,0)),""))</f>
        <v/>
      </c>
      <c r="L2511" s="7" t="n"/>
      <c r="M2511" s="7" t="n"/>
    </row>
    <row r="2512">
      <c r="A2512" s="7" t="n"/>
      <c r="B2512" s="75" t="n"/>
      <c r="C2512" s="7" t="n"/>
      <c r="D2512" s="7" t="n"/>
      <c r="E2512" s="9">
        <f>IF(D2512="","",IFERROR(INDEX('Stock pièces'!$B$5:$B$404,MATCH(D2512,'Stock pièces'!$A$5:$A$404,0)),"Réf. inconnue"))</f>
        <v/>
      </c>
      <c r="F2512" s="67" t="n"/>
      <c r="G2512" s="81">
        <f>IF(D2512="","",IFERROR(INDEX('Stock pièces'!$I$5:$I$404,MATCH(D2512,'Stock pièces'!$A$5:$A$404,0)),0))</f>
        <v/>
      </c>
      <c r="H2512" s="81">
        <f>IF(D2512="","",N(F2512)*N(G2512))</f>
        <v/>
      </c>
      <c r="I2512" s="7" t="n"/>
      <c r="J2512" s="9">
        <f>IF(I2512="","",IFERROR(INDEX('Ordres de travail'!$D$5:$D$3004,MATCH(I2512,'Ordres de travail'!$A$5:$A$3004,0)),""))</f>
        <v/>
      </c>
      <c r="K2512" s="9">
        <f>IF(D2512="","",IFERROR(INDEX('Stock pièces'!$D$5:$D$404,MATCH(D2512,'Stock pièces'!$A$5:$A$404,0)),""))</f>
        <v/>
      </c>
      <c r="L2512" s="7" t="n"/>
      <c r="M2512" s="7" t="n"/>
    </row>
    <row r="2513">
      <c r="A2513" s="7" t="n"/>
      <c r="B2513" s="75" t="n"/>
      <c r="C2513" s="7" t="n"/>
      <c r="D2513" s="7" t="n"/>
      <c r="E2513" s="9">
        <f>IF(D2513="","",IFERROR(INDEX('Stock pièces'!$B$5:$B$404,MATCH(D2513,'Stock pièces'!$A$5:$A$404,0)),"Réf. inconnue"))</f>
        <v/>
      </c>
      <c r="F2513" s="67" t="n"/>
      <c r="G2513" s="81">
        <f>IF(D2513="","",IFERROR(INDEX('Stock pièces'!$I$5:$I$404,MATCH(D2513,'Stock pièces'!$A$5:$A$404,0)),0))</f>
        <v/>
      </c>
      <c r="H2513" s="81">
        <f>IF(D2513="","",N(F2513)*N(G2513))</f>
        <v/>
      </c>
      <c r="I2513" s="7" t="n"/>
      <c r="J2513" s="9">
        <f>IF(I2513="","",IFERROR(INDEX('Ordres de travail'!$D$5:$D$3004,MATCH(I2513,'Ordres de travail'!$A$5:$A$3004,0)),""))</f>
        <v/>
      </c>
      <c r="K2513" s="9">
        <f>IF(D2513="","",IFERROR(INDEX('Stock pièces'!$D$5:$D$404,MATCH(D2513,'Stock pièces'!$A$5:$A$404,0)),""))</f>
        <v/>
      </c>
      <c r="L2513" s="7" t="n"/>
      <c r="M2513" s="7" t="n"/>
    </row>
    <row r="2514">
      <c r="A2514" s="7" t="n"/>
      <c r="B2514" s="75" t="n"/>
      <c r="C2514" s="7" t="n"/>
      <c r="D2514" s="7" t="n"/>
      <c r="E2514" s="9">
        <f>IF(D2514="","",IFERROR(INDEX('Stock pièces'!$B$5:$B$404,MATCH(D2514,'Stock pièces'!$A$5:$A$404,0)),"Réf. inconnue"))</f>
        <v/>
      </c>
      <c r="F2514" s="67" t="n"/>
      <c r="G2514" s="81">
        <f>IF(D2514="","",IFERROR(INDEX('Stock pièces'!$I$5:$I$404,MATCH(D2514,'Stock pièces'!$A$5:$A$404,0)),0))</f>
        <v/>
      </c>
      <c r="H2514" s="81">
        <f>IF(D2514="","",N(F2514)*N(G2514))</f>
        <v/>
      </c>
      <c r="I2514" s="7" t="n"/>
      <c r="J2514" s="9">
        <f>IF(I2514="","",IFERROR(INDEX('Ordres de travail'!$D$5:$D$3004,MATCH(I2514,'Ordres de travail'!$A$5:$A$3004,0)),""))</f>
        <v/>
      </c>
      <c r="K2514" s="9">
        <f>IF(D2514="","",IFERROR(INDEX('Stock pièces'!$D$5:$D$404,MATCH(D2514,'Stock pièces'!$A$5:$A$404,0)),""))</f>
        <v/>
      </c>
      <c r="L2514" s="7" t="n"/>
      <c r="M2514" s="7" t="n"/>
    </row>
    <row r="2515">
      <c r="A2515" s="7" t="n"/>
      <c r="B2515" s="75" t="n"/>
      <c r="C2515" s="7" t="n"/>
      <c r="D2515" s="7" t="n"/>
      <c r="E2515" s="9">
        <f>IF(D2515="","",IFERROR(INDEX('Stock pièces'!$B$5:$B$404,MATCH(D2515,'Stock pièces'!$A$5:$A$404,0)),"Réf. inconnue"))</f>
        <v/>
      </c>
      <c r="F2515" s="67" t="n"/>
      <c r="G2515" s="81">
        <f>IF(D2515="","",IFERROR(INDEX('Stock pièces'!$I$5:$I$404,MATCH(D2515,'Stock pièces'!$A$5:$A$404,0)),0))</f>
        <v/>
      </c>
      <c r="H2515" s="81">
        <f>IF(D2515="","",N(F2515)*N(G2515))</f>
        <v/>
      </c>
      <c r="I2515" s="7" t="n"/>
      <c r="J2515" s="9">
        <f>IF(I2515="","",IFERROR(INDEX('Ordres de travail'!$D$5:$D$3004,MATCH(I2515,'Ordres de travail'!$A$5:$A$3004,0)),""))</f>
        <v/>
      </c>
      <c r="K2515" s="9">
        <f>IF(D2515="","",IFERROR(INDEX('Stock pièces'!$D$5:$D$404,MATCH(D2515,'Stock pièces'!$A$5:$A$404,0)),""))</f>
        <v/>
      </c>
      <c r="L2515" s="7" t="n"/>
      <c r="M2515" s="7" t="n"/>
    </row>
    <row r="2516">
      <c r="A2516" s="7" t="n"/>
      <c r="B2516" s="75" t="n"/>
      <c r="C2516" s="7" t="n"/>
      <c r="D2516" s="7" t="n"/>
      <c r="E2516" s="9">
        <f>IF(D2516="","",IFERROR(INDEX('Stock pièces'!$B$5:$B$404,MATCH(D2516,'Stock pièces'!$A$5:$A$404,0)),"Réf. inconnue"))</f>
        <v/>
      </c>
      <c r="F2516" s="67" t="n"/>
      <c r="G2516" s="81">
        <f>IF(D2516="","",IFERROR(INDEX('Stock pièces'!$I$5:$I$404,MATCH(D2516,'Stock pièces'!$A$5:$A$404,0)),0))</f>
        <v/>
      </c>
      <c r="H2516" s="81">
        <f>IF(D2516="","",N(F2516)*N(G2516))</f>
        <v/>
      </c>
      <c r="I2516" s="7" t="n"/>
      <c r="J2516" s="9">
        <f>IF(I2516="","",IFERROR(INDEX('Ordres de travail'!$D$5:$D$3004,MATCH(I2516,'Ordres de travail'!$A$5:$A$3004,0)),""))</f>
        <v/>
      </c>
      <c r="K2516" s="9">
        <f>IF(D2516="","",IFERROR(INDEX('Stock pièces'!$D$5:$D$404,MATCH(D2516,'Stock pièces'!$A$5:$A$404,0)),""))</f>
        <v/>
      </c>
      <c r="L2516" s="7" t="n"/>
      <c r="M2516" s="7" t="n"/>
    </row>
    <row r="2517">
      <c r="A2517" s="7" t="n"/>
      <c r="B2517" s="75" t="n"/>
      <c r="C2517" s="7" t="n"/>
      <c r="D2517" s="7" t="n"/>
      <c r="E2517" s="9">
        <f>IF(D2517="","",IFERROR(INDEX('Stock pièces'!$B$5:$B$404,MATCH(D2517,'Stock pièces'!$A$5:$A$404,0)),"Réf. inconnue"))</f>
        <v/>
      </c>
      <c r="F2517" s="67" t="n"/>
      <c r="G2517" s="81">
        <f>IF(D2517="","",IFERROR(INDEX('Stock pièces'!$I$5:$I$404,MATCH(D2517,'Stock pièces'!$A$5:$A$404,0)),0))</f>
        <v/>
      </c>
      <c r="H2517" s="81">
        <f>IF(D2517="","",N(F2517)*N(G2517))</f>
        <v/>
      </c>
      <c r="I2517" s="7" t="n"/>
      <c r="J2517" s="9">
        <f>IF(I2517="","",IFERROR(INDEX('Ordres de travail'!$D$5:$D$3004,MATCH(I2517,'Ordres de travail'!$A$5:$A$3004,0)),""))</f>
        <v/>
      </c>
      <c r="K2517" s="9">
        <f>IF(D2517="","",IFERROR(INDEX('Stock pièces'!$D$5:$D$404,MATCH(D2517,'Stock pièces'!$A$5:$A$404,0)),""))</f>
        <v/>
      </c>
      <c r="L2517" s="7" t="n"/>
      <c r="M2517" s="7" t="n"/>
    </row>
    <row r="2518">
      <c r="A2518" s="7" t="n"/>
      <c r="B2518" s="75" t="n"/>
      <c r="C2518" s="7" t="n"/>
      <c r="D2518" s="7" t="n"/>
      <c r="E2518" s="9">
        <f>IF(D2518="","",IFERROR(INDEX('Stock pièces'!$B$5:$B$404,MATCH(D2518,'Stock pièces'!$A$5:$A$404,0)),"Réf. inconnue"))</f>
        <v/>
      </c>
      <c r="F2518" s="67" t="n"/>
      <c r="G2518" s="81">
        <f>IF(D2518="","",IFERROR(INDEX('Stock pièces'!$I$5:$I$404,MATCH(D2518,'Stock pièces'!$A$5:$A$404,0)),0))</f>
        <v/>
      </c>
      <c r="H2518" s="81">
        <f>IF(D2518="","",N(F2518)*N(G2518))</f>
        <v/>
      </c>
      <c r="I2518" s="7" t="n"/>
      <c r="J2518" s="9">
        <f>IF(I2518="","",IFERROR(INDEX('Ordres de travail'!$D$5:$D$3004,MATCH(I2518,'Ordres de travail'!$A$5:$A$3004,0)),""))</f>
        <v/>
      </c>
      <c r="K2518" s="9">
        <f>IF(D2518="","",IFERROR(INDEX('Stock pièces'!$D$5:$D$404,MATCH(D2518,'Stock pièces'!$A$5:$A$404,0)),""))</f>
        <v/>
      </c>
      <c r="L2518" s="7" t="n"/>
      <c r="M2518" s="7" t="n"/>
    </row>
    <row r="2519">
      <c r="A2519" s="7" t="n"/>
      <c r="B2519" s="75" t="n"/>
      <c r="C2519" s="7" t="n"/>
      <c r="D2519" s="7" t="n"/>
      <c r="E2519" s="9">
        <f>IF(D2519="","",IFERROR(INDEX('Stock pièces'!$B$5:$B$404,MATCH(D2519,'Stock pièces'!$A$5:$A$404,0)),"Réf. inconnue"))</f>
        <v/>
      </c>
      <c r="F2519" s="67" t="n"/>
      <c r="G2519" s="81">
        <f>IF(D2519="","",IFERROR(INDEX('Stock pièces'!$I$5:$I$404,MATCH(D2519,'Stock pièces'!$A$5:$A$404,0)),0))</f>
        <v/>
      </c>
      <c r="H2519" s="81">
        <f>IF(D2519="","",N(F2519)*N(G2519))</f>
        <v/>
      </c>
      <c r="I2519" s="7" t="n"/>
      <c r="J2519" s="9">
        <f>IF(I2519="","",IFERROR(INDEX('Ordres de travail'!$D$5:$D$3004,MATCH(I2519,'Ordres de travail'!$A$5:$A$3004,0)),""))</f>
        <v/>
      </c>
      <c r="K2519" s="9">
        <f>IF(D2519="","",IFERROR(INDEX('Stock pièces'!$D$5:$D$404,MATCH(D2519,'Stock pièces'!$A$5:$A$404,0)),""))</f>
        <v/>
      </c>
      <c r="L2519" s="7" t="n"/>
      <c r="M2519" s="7" t="n"/>
    </row>
    <row r="2520">
      <c r="A2520" s="7" t="n"/>
      <c r="B2520" s="75" t="n"/>
      <c r="C2520" s="7" t="n"/>
      <c r="D2520" s="7" t="n"/>
      <c r="E2520" s="9">
        <f>IF(D2520="","",IFERROR(INDEX('Stock pièces'!$B$5:$B$404,MATCH(D2520,'Stock pièces'!$A$5:$A$404,0)),"Réf. inconnue"))</f>
        <v/>
      </c>
      <c r="F2520" s="67" t="n"/>
      <c r="G2520" s="81">
        <f>IF(D2520="","",IFERROR(INDEX('Stock pièces'!$I$5:$I$404,MATCH(D2520,'Stock pièces'!$A$5:$A$404,0)),0))</f>
        <v/>
      </c>
      <c r="H2520" s="81">
        <f>IF(D2520="","",N(F2520)*N(G2520))</f>
        <v/>
      </c>
      <c r="I2520" s="7" t="n"/>
      <c r="J2520" s="9">
        <f>IF(I2520="","",IFERROR(INDEX('Ordres de travail'!$D$5:$D$3004,MATCH(I2520,'Ordres de travail'!$A$5:$A$3004,0)),""))</f>
        <v/>
      </c>
      <c r="K2520" s="9">
        <f>IF(D2520="","",IFERROR(INDEX('Stock pièces'!$D$5:$D$404,MATCH(D2520,'Stock pièces'!$A$5:$A$404,0)),""))</f>
        <v/>
      </c>
      <c r="L2520" s="7" t="n"/>
      <c r="M2520" s="7" t="n"/>
    </row>
    <row r="2521">
      <c r="A2521" s="7" t="n"/>
      <c r="B2521" s="75" t="n"/>
      <c r="C2521" s="7" t="n"/>
      <c r="D2521" s="7" t="n"/>
      <c r="E2521" s="9">
        <f>IF(D2521="","",IFERROR(INDEX('Stock pièces'!$B$5:$B$404,MATCH(D2521,'Stock pièces'!$A$5:$A$404,0)),"Réf. inconnue"))</f>
        <v/>
      </c>
      <c r="F2521" s="67" t="n"/>
      <c r="G2521" s="81">
        <f>IF(D2521="","",IFERROR(INDEX('Stock pièces'!$I$5:$I$404,MATCH(D2521,'Stock pièces'!$A$5:$A$404,0)),0))</f>
        <v/>
      </c>
      <c r="H2521" s="81">
        <f>IF(D2521="","",N(F2521)*N(G2521))</f>
        <v/>
      </c>
      <c r="I2521" s="7" t="n"/>
      <c r="J2521" s="9">
        <f>IF(I2521="","",IFERROR(INDEX('Ordres de travail'!$D$5:$D$3004,MATCH(I2521,'Ordres de travail'!$A$5:$A$3004,0)),""))</f>
        <v/>
      </c>
      <c r="K2521" s="9">
        <f>IF(D2521="","",IFERROR(INDEX('Stock pièces'!$D$5:$D$404,MATCH(D2521,'Stock pièces'!$A$5:$A$404,0)),""))</f>
        <v/>
      </c>
      <c r="L2521" s="7" t="n"/>
      <c r="M2521" s="7" t="n"/>
    </row>
    <row r="2522">
      <c r="A2522" s="7" t="n"/>
      <c r="B2522" s="75" t="n"/>
      <c r="C2522" s="7" t="n"/>
      <c r="D2522" s="7" t="n"/>
      <c r="E2522" s="9">
        <f>IF(D2522="","",IFERROR(INDEX('Stock pièces'!$B$5:$B$404,MATCH(D2522,'Stock pièces'!$A$5:$A$404,0)),"Réf. inconnue"))</f>
        <v/>
      </c>
      <c r="F2522" s="67" t="n"/>
      <c r="G2522" s="81">
        <f>IF(D2522="","",IFERROR(INDEX('Stock pièces'!$I$5:$I$404,MATCH(D2522,'Stock pièces'!$A$5:$A$404,0)),0))</f>
        <v/>
      </c>
      <c r="H2522" s="81">
        <f>IF(D2522="","",N(F2522)*N(G2522))</f>
        <v/>
      </c>
      <c r="I2522" s="7" t="n"/>
      <c r="J2522" s="9">
        <f>IF(I2522="","",IFERROR(INDEX('Ordres de travail'!$D$5:$D$3004,MATCH(I2522,'Ordres de travail'!$A$5:$A$3004,0)),""))</f>
        <v/>
      </c>
      <c r="K2522" s="9">
        <f>IF(D2522="","",IFERROR(INDEX('Stock pièces'!$D$5:$D$404,MATCH(D2522,'Stock pièces'!$A$5:$A$404,0)),""))</f>
        <v/>
      </c>
      <c r="L2522" s="7" t="n"/>
      <c r="M2522" s="7" t="n"/>
    </row>
    <row r="2523">
      <c r="A2523" s="7" t="n"/>
      <c r="B2523" s="75" t="n"/>
      <c r="C2523" s="7" t="n"/>
      <c r="D2523" s="7" t="n"/>
      <c r="E2523" s="9">
        <f>IF(D2523="","",IFERROR(INDEX('Stock pièces'!$B$5:$B$404,MATCH(D2523,'Stock pièces'!$A$5:$A$404,0)),"Réf. inconnue"))</f>
        <v/>
      </c>
      <c r="F2523" s="67" t="n"/>
      <c r="G2523" s="81">
        <f>IF(D2523="","",IFERROR(INDEX('Stock pièces'!$I$5:$I$404,MATCH(D2523,'Stock pièces'!$A$5:$A$404,0)),0))</f>
        <v/>
      </c>
      <c r="H2523" s="81">
        <f>IF(D2523="","",N(F2523)*N(G2523))</f>
        <v/>
      </c>
      <c r="I2523" s="7" t="n"/>
      <c r="J2523" s="9">
        <f>IF(I2523="","",IFERROR(INDEX('Ordres de travail'!$D$5:$D$3004,MATCH(I2523,'Ordres de travail'!$A$5:$A$3004,0)),""))</f>
        <v/>
      </c>
      <c r="K2523" s="9">
        <f>IF(D2523="","",IFERROR(INDEX('Stock pièces'!$D$5:$D$404,MATCH(D2523,'Stock pièces'!$A$5:$A$404,0)),""))</f>
        <v/>
      </c>
      <c r="L2523" s="7" t="n"/>
      <c r="M2523" s="7" t="n"/>
    </row>
    <row r="2524">
      <c r="A2524" s="7" t="n"/>
      <c r="B2524" s="75" t="n"/>
      <c r="C2524" s="7" t="n"/>
      <c r="D2524" s="7" t="n"/>
      <c r="E2524" s="9">
        <f>IF(D2524="","",IFERROR(INDEX('Stock pièces'!$B$5:$B$404,MATCH(D2524,'Stock pièces'!$A$5:$A$404,0)),"Réf. inconnue"))</f>
        <v/>
      </c>
      <c r="F2524" s="67" t="n"/>
      <c r="G2524" s="81">
        <f>IF(D2524="","",IFERROR(INDEX('Stock pièces'!$I$5:$I$404,MATCH(D2524,'Stock pièces'!$A$5:$A$404,0)),0))</f>
        <v/>
      </c>
      <c r="H2524" s="81">
        <f>IF(D2524="","",N(F2524)*N(G2524))</f>
        <v/>
      </c>
      <c r="I2524" s="7" t="n"/>
      <c r="J2524" s="9">
        <f>IF(I2524="","",IFERROR(INDEX('Ordres de travail'!$D$5:$D$3004,MATCH(I2524,'Ordres de travail'!$A$5:$A$3004,0)),""))</f>
        <v/>
      </c>
      <c r="K2524" s="9">
        <f>IF(D2524="","",IFERROR(INDEX('Stock pièces'!$D$5:$D$404,MATCH(D2524,'Stock pièces'!$A$5:$A$404,0)),""))</f>
        <v/>
      </c>
      <c r="L2524" s="7" t="n"/>
      <c r="M2524" s="7" t="n"/>
    </row>
    <row r="2525">
      <c r="A2525" s="7" t="n"/>
      <c r="B2525" s="75" t="n"/>
      <c r="C2525" s="7" t="n"/>
      <c r="D2525" s="7" t="n"/>
      <c r="E2525" s="9">
        <f>IF(D2525="","",IFERROR(INDEX('Stock pièces'!$B$5:$B$404,MATCH(D2525,'Stock pièces'!$A$5:$A$404,0)),"Réf. inconnue"))</f>
        <v/>
      </c>
      <c r="F2525" s="67" t="n"/>
      <c r="G2525" s="81">
        <f>IF(D2525="","",IFERROR(INDEX('Stock pièces'!$I$5:$I$404,MATCH(D2525,'Stock pièces'!$A$5:$A$404,0)),0))</f>
        <v/>
      </c>
      <c r="H2525" s="81">
        <f>IF(D2525="","",N(F2525)*N(G2525))</f>
        <v/>
      </c>
      <c r="I2525" s="7" t="n"/>
      <c r="J2525" s="9">
        <f>IF(I2525="","",IFERROR(INDEX('Ordres de travail'!$D$5:$D$3004,MATCH(I2525,'Ordres de travail'!$A$5:$A$3004,0)),""))</f>
        <v/>
      </c>
      <c r="K2525" s="9">
        <f>IF(D2525="","",IFERROR(INDEX('Stock pièces'!$D$5:$D$404,MATCH(D2525,'Stock pièces'!$A$5:$A$404,0)),""))</f>
        <v/>
      </c>
      <c r="L2525" s="7" t="n"/>
      <c r="M2525" s="7" t="n"/>
    </row>
    <row r="2526">
      <c r="A2526" s="7" t="n"/>
      <c r="B2526" s="75" t="n"/>
      <c r="C2526" s="7" t="n"/>
      <c r="D2526" s="7" t="n"/>
      <c r="E2526" s="9">
        <f>IF(D2526="","",IFERROR(INDEX('Stock pièces'!$B$5:$B$404,MATCH(D2526,'Stock pièces'!$A$5:$A$404,0)),"Réf. inconnue"))</f>
        <v/>
      </c>
      <c r="F2526" s="67" t="n"/>
      <c r="G2526" s="81">
        <f>IF(D2526="","",IFERROR(INDEX('Stock pièces'!$I$5:$I$404,MATCH(D2526,'Stock pièces'!$A$5:$A$404,0)),0))</f>
        <v/>
      </c>
      <c r="H2526" s="81">
        <f>IF(D2526="","",N(F2526)*N(G2526))</f>
        <v/>
      </c>
      <c r="I2526" s="7" t="n"/>
      <c r="J2526" s="9">
        <f>IF(I2526="","",IFERROR(INDEX('Ordres de travail'!$D$5:$D$3004,MATCH(I2526,'Ordres de travail'!$A$5:$A$3004,0)),""))</f>
        <v/>
      </c>
      <c r="K2526" s="9">
        <f>IF(D2526="","",IFERROR(INDEX('Stock pièces'!$D$5:$D$404,MATCH(D2526,'Stock pièces'!$A$5:$A$404,0)),""))</f>
        <v/>
      </c>
      <c r="L2526" s="7" t="n"/>
      <c r="M2526" s="7" t="n"/>
    </row>
    <row r="2527">
      <c r="A2527" s="7" t="n"/>
      <c r="B2527" s="75" t="n"/>
      <c r="C2527" s="7" t="n"/>
      <c r="D2527" s="7" t="n"/>
      <c r="E2527" s="9">
        <f>IF(D2527="","",IFERROR(INDEX('Stock pièces'!$B$5:$B$404,MATCH(D2527,'Stock pièces'!$A$5:$A$404,0)),"Réf. inconnue"))</f>
        <v/>
      </c>
      <c r="F2527" s="67" t="n"/>
      <c r="G2527" s="81">
        <f>IF(D2527="","",IFERROR(INDEX('Stock pièces'!$I$5:$I$404,MATCH(D2527,'Stock pièces'!$A$5:$A$404,0)),0))</f>
        <v/>
      </c>
      <c r="H2527" s="81">
        <f>IF(D2527="","",N(F2527)*N(G2527))</f>
        <v/>
      </c>
      <c r="I2527" s="7" t="n"/>
      <c r="J2527" s="9">
        <f>IF(I2527="","",IFERROR(INDEX('Ordres de travail'!$D$5:$D$3004,MATCH(I2527,'Ordres de travail'!$A$5:$A$3004,0)),""))</f>
        <v/>
      </c>
      <c r="K2527" s="9">
        <f>IF(D2527="","",IFERROR(INDEX('Stock pièces'!$D$5:$D$404,MATCH(D2527,'Stock pièces'!$A$5:$A$404,0)),""))</f>
        <v/>
      </c>
      <c r="L2527" s="7" t="n"/>
      <c r="M2527" s="7" t="n"/>
    </row>
    <row r="2528">
      <c r="A2528" s="7" t="n"/>
      <c r="B2528" s="75" t="n"/>
      <c r="C2528" s="7" t="n"/>
      <c r="D2528" s="7" t="n"/>
      <c r="E2528" s="9">
        <f>IF(D2528="","",IFERROR(INDEX('Stock pièces'!$B$5:$B$404,MATCH(D2528,'Stock pièces'!$A$5:$A$404,0)),"Réf. inconnue"))</f>
        <v/>
      </c>
      <c r="F2528" s="67" t="n"/>
      <c r="G2528" s="81">
        <f>IF(D2528="","",IFERROR(INDEX('Stock pièces'!$I$5:$I$404,MATCH(D2528,'Stock pièces'!$A$5:$A$404,0)),0))</f>
        <v/>
      </c>
      <c r="H2528" s="81">
        <f>IF(D2528="","",N(F2528)*N(G2528))</f>
        <v/>
      </c>
      <c r="I2528" s="7" t="n"/>
      <c r="J2528" s="9">
        <f>IF(I2528="","",IFERROR(INDEX('Ordres de travail'!$D$5:$D$3004,MATCH(I2528,'Ordres de travail'!$A$5:$A$3004,0)),""))</f>
        <v/>
      </c>
      <c r="K2528" s="9">
        <f>IF(D2528="","",IFERROR(INDEX('Stock pièces'!$D$5:$D$404,MATCH(D2528,'Stock pièces'!$A$5:$A$404,0)),""))</f>
        <v/>
      </c>
      <c r="L2528" s="7" t="n"/>
      <c r="M2528" s="7" t="n"/>
    </row>
    <row r="2529">
      <c r="A2529" s="7" t="n"/>
      <c r="B2529" s="75" t="n"/>
      <c r="C2529" s="7" t="n"/>
      <c r="D2529" s="7" t="n"/>
      <c r="E2529" s="9">
        <f>IF(D2529="","",IFERROR(INDEX('Stock pièces'!$B$5:$B$404,MATCH(D2529,'Stock pièces'!$A$5:$A$404,0)),"Réf. inconnue"))</f>
        <v/>
      </c>
      <c r="F2529" s="67" t="n"/>
      <c r="G2529" s="81">
        <f>IF(D2529="","",IFERROR(INDEX('Stock pièces'!$I$5:$I$404,MATCH(D2529,'Stock pièces'!$A$5:$A$404,0)),0))</f>
        <v/>
      </c>
      <c r="H2529" s="81">
        <f>IF(D2529="","",N(F2529)*N(G2529))</f>
        <v/>
      </c>
      <c r="I2529" s="7" t="n"/>
      <c r="J2529" s="9">
        <f>IF(I2529="","",IFERROR(INDEX('Ordres de travail'!$D$5:$D$3004,MATCH(I2529,'Ordres de travail'!$A$5:$A$3004,0)),""))</f>
        <v/>
      </c>
      <c r="K2529" s="9">
        <f>IF(D2529="","",IFERROR(INDEX('Stock pièces'!$D$5:$D$404,MATCH(D2529,'Stock pièces'!$A$5:$A$404,0)),""))</f>
        <v/>
      </c>
      <c r="L2529" s="7" t="n"/>
      <c r="M2529" s="7" t="n"/>
    </row>
    <row r="2530">
      <c r="A2530" s="7" t="n"/>
      <c r="B2530" s="75" t="n"/>
      <c r="C2530" s="7" t="n"/>
      <c r="D2530" s="7" t="n"/>
      <c r="E2530" s="9">
        <f>IF(D2530="","",IFERROR(INDEX('Stock pièces'!$B$5:$B$404,MATCH(D2530,'Stock pièces'!$A$5:$A$404,0)),"Réf. inconnue"))</f>
        <v/>
      </c>
      <c r="F2530" s="67" t="n"/>
      <c r="G2530" s="81">
        <f>IF(D2530="","",IFERROR(INDEX('Stock pièces'!$I$5:$I$404,MATCH(D2530,'Stock pièces'!$A$5:$A$404,0)),0))</f>
        <v/>
      </c>
      <c r="H2530" s="81">
        <f>IF(D2530="","",N(F2530)*N(G2530))</f>
        <v/>
      </c>
      <c r="I2530" s="7" t="n"/>
      <c r="J2530" s="9">
        <f>IF(I2530="","",IFERROR(INDEX('Ordres de travail'!$D$5:$D$3004,MATCH(I2530,'Ordres de travail'!$A$5:$A$3004,0)),""))</f>
        <v/>
      </c>
      <c r="K2530" s="9">
        <f>IF(D2530="","",IFERROR(INDEX('Stock pièces'!$D$5:$D$404,MATCH(D2530,'Stock pièces'!$A$5:$A$404,0)),""))</f>
        <v/>
      </c>
      <c r="L2530" s="7" t="n"/>
      <c r="M2530" s="7" t="n"/>
    </row>
    <row r="2531">
      <c r="A2531" s="7" t="n"/>
      <c r="B2531" s="75" t="n"/>
      <c r="C2531" s="7" t="n"/>
      <c r="D2531" s="7" t="n"/>
      <c r="E2531" s="9">
        <f>IF(D2531="","",IFERROR(INDEX('Stock pièces'!$B$5:$B$404,MATCH(D2531,'Stock pièces'!$A$5:$A$404,0)),"Réf. inconnue"))</f>
        <v/>
      </c>
      <c r="F2531" s="67" t="n"/>
      <c r="G2531" s="81">
        <f>IF(D2531="","",IFERROR(INDEX('Stock pièces'!$I$5:$I$404,MATCH(D2531,'Stock pièces'!$A$5:$A$404,0)),0))</f>
        <v/>
      </c>
      <c r="H2531" s="81">
        <f>IF(D2531="","",N(F2531)*N(G2531))</f>
        <v/>
      </c>
      <c r="I2531" s="7" t="n"/>
      <c r="J2531" s="9">
        <f>IF(I2531="","",IFERROR(INDEX('Ordres de travail'!$D$5:$D$3004,MATCH(I2531,'Ordres de travail'!$A$5:$A$3004,0)),""))</f>
        <v/>
      </c>
      <c r="K2531" s="9">
        <f>IF(D2531="","",IFERROR(INDEX('Stock pièces'!$D$5:$D$404,MATCH(D2531,'Stock pièces'!$A$5:$A$404,0)),""))</f>
        <v/>
      </c>
      <c r="L2531" s="7" t="n"/>
      <c r="M2531" s="7" t="n"/>
    </row>
    <row r="2532">
      <c r="A2532" s="7" t="n"/>
      <c r="B2532" s="75" t="n"/>
      <c r="C2532" s="7" t="n"/>
      <c r="D2532" s="7" t="n"/>
      <c r="E2532" s="9">
        <f>IF(D2532="","",IFERROR(INDEX('Stock pièces'!$B$5:$B$404,MATCH(D2532,'Stock pièces'!$A$5:$A$404,0)),"Réf. inconnue"))</f>
        <v/>
      </c>
      <c r="F2532" s="67" t="n"/>
      <c r="G2532" s="81">
        <f>IF(D2532="","",IFERROR(INDEX('Stock pièces'!$I$5:$I$404,MATCH(D2532,'Stock pièces'!$A$5:$A$404,0)),0))</f>
        <v/>
      </c>
      <c r="H2532" s="81">
        <f>IF(D2532="","",N(F2532)*N(G2532))</f>
        <v/>
      </c>
      <c r="I2532" s="7" t="n"/>
      <c r="J2532" s="9">
        <f>IF(I2532="","",IFERROR(INDEX('Ordres de travail'!$D$5:$D$3004,MATCH(I2532,'Ordres de travail'!$A$5:$A$3004,0)),""))</f>
        <v/>
      </c>
      <c r="K2532" s="9">
        <f>IF(D2532="","",IFERROR(INDEX('Stock pièces'!$D$5:$D$404,MATCH(D2532,'Stock pièces'!$A$5:$A$404,0)),""))</f>
        <v/>
      </c>
      <c r="L2532" s="7" t="n"/>
      <c r="M2532" s="7" t="n"/>
    </row>
    <row r="2533">
      <c r="A2533" s="7" t="n"/>
      <c r="B2533" s="75" t="n"/>
      <c r="C2533" s="7" t="n"/>
      <c r="D2533" s="7" t="n"/>
      <c r="E2533" s="9">
        <f>IF(D2533="","",IFERROR(INDEX('Stock pièces'!$B$5:$B$404,MATCH(D2533,'Stock pièces'!$A$5:$A$404,0)),"Réf. inconnue"))</f>
        <v/>
      </c>
      <c r="F2533" s="67" t="n"/>
      <c r="G2533" s="81">
        <f>IF(D2533="","",IFERROR(INDEX('Stock pièces'!$I$5:$I$404,MATCH(D2533,'Stock pièces'!$A$5:$A$404,0)),0))</f>
        <v/>
      </c>
      <c r="H2533" s="81">
        <f>IF(D2533="","",N(F2533)*N(G2533))</f>
        <v/>
      </c>
      <c r="I2533" s="7" t="n"/>
      <c r="J2533" s="9">
        <f>IF(I2533="","",IFERROR(INDEX('Ordres de travail'!$D$5:$D$3004,MATCH(I2533,'Ordres de travail'!$A$5:$A$3004,0)),""))</f>
        <v/>
      </c>
      <c r="K2533" s="9">
        <f>IF(D2533="","",IFERROR(INDEX('Stock pièces'!$D$5:$D$404,MATCH(D2533,'Stock pièces'!$A$5:$A$404,0)),""))</f>
        <v/>
      </c>
      <c r="L2533" s="7" t="n"/>
      <c r="M2533" s="7" t="n"/>
    </row>
    <row r="2534">
      <c r="A2534" s="7" t="n"/>
      <c r="B2534" s="75" t="n"/>
      <c r="C2534" s="7" t="n"/>
      <c r="D2534" s="7" t="n"/>
      <c r="E2534" s="9">
        <f>IF(D2534="","",IFERROR(INDEX('Stock pièces'!$B$5:$B$404,MATCH(D2534,'Stock pièces'!$A$5:$A$404,0)),"Réf. inconnue"))</f>
        <v/>
      </c>
      <c r="F2534" s="67" t="n"/>
      <c r="G2534" s="81">
        <f>IF(D2534="","",IFERROR(INDEX('Stock pièces'!$I$5:$I$404,MATCH(D2534,'Stock pièces'!$A$5:$A$404,0)),0))</f>
        <v/>
      </c>
      <c r="H2534" s="81">
        <f>IF(D2534="","",N(F2534)*N(G2534))</f>
        <v/>
      </c>
      <c r="I2534" s="7" t="n"/>
      <c r="J2534" s="9">
        <f>IF(I2534="","",IFERROR(INDEX('Ordres de travail'!$D$5:$D$3004,MATCH(I2534,'Ordres de travail'!$A$5:$A$3004,0)),""))</f>
        <v/>
      </c>
      <c r="K2534" s="9">
        <f>IF(D2534="","",IFERROR(INDEX('Stock pièces'!$D$5:$D$404,MATCH(D2534,'Stock pièces'!$A$5:$A$404,0)),""))</f>
        <v/>
      </c>
      <c r="L2534" s="7" t="n"/>
      <c r="M2534" s="7" t="n"/>
    </row>
    <row r="2535">
      <c r="A2535" s="7" t="n"/>
      <c r="B2535" s="75" t="n"/>
      <c r="C2535" s="7" t="n"/>
      <c r="D2535" s="7" t="n"/>
      <c r="E2535" s="9">
        <f>IF(D2535="","",IFERROR(INDEX('Stock pièces'!$B$5:$B$404,MATCH(D2535,'Stock pièces'!$A$5:$A$404,0)),"Réf. inconnue"))</f>
        <v/>
      </c>
      <c r="F2535" s="67" t="n"/>
      <c r="G2535" s="81">
        <f>IF(D2535="","",IFERROR(INDEX('Stock pièces'!$I$5:$I$404,MATCH(D2535,'Stock pièces'!$A$5:$A$404,0)),0))</f>
        <v/>
      </c>
      <c r="H2535" s="81">
        <f>IF(D2535="","",N(F2535)*N(G2535))</f>
        <v/>
      </c>
      <c r="I2535" s="7" t="n"/>
      <c r="J2535" s="9">
        <f>IF(I2535="","",IFERROR(INDEX('Ordres de travail'!$D$5:$D$3004,MATCH(I2535,'Ordres de travail'!$A$5:$A$3004,0)),""))</f>
        <v/>
      </c>
      <c r="K2535" s="9">
        <f>IF(D2535="","",IFERROR(INDEX('Stock pièces'!$D$5:$D$404,MATCH(D2535,'Stock pièces'!$A$5:$A$404,0)),""))</f>
        <v/>
      </c>
      <c r="L2535" s="7" t="n"/>
      <c r="M2535" s="7" t="n"/>
    </row>
    <row r="2536">
      <c r="A2536" s="7" t="n"/>
      <c r="B2536" s="75" t="n"/>
      <c r="C2536" s="7" t="n"/>
      <c r="D2536" s="7" t="n"/>
      <c r="E2536" s="9">
        <f>IF(D2536="","",IFERROR(INDEX('Stock pièces'!$B$5:$B$404,MATCH(D2536,'Stock pièces'!$A$5:$A$404,0)),"Réf. inconnue"))</f>
        <v/>
      </c>
      <c r="F2536" s="67" t="n"/>
      <c r="G2536" s="81">
        <f>IF(D2536="","",IFERROR(INDEX('Stock pièces'!$I$5:$I$404,MATCH(D2536,'Stock pièces'!$A$5:$A$404,0)),0))</f>
        <v/>
      </c>
      <c r="H2536" s="81">
        <f>IF(D2536="","",N(F2536)*N(G2536))</f>
        <v/>
      </c>
      <c r="I2536" s="7" t="n"/>
      <c r="J2536" s="9">
        <f>IF(I2536="","",IFERROR(INDEX('Ordres de travail'!$D$5:$D$3004,MATCH(I2536,'Ordres de travail'!$A$5:$A$3004,0)),""))</f>
        <v/>
      </c>
      <c r="K2536" s="9">
        <f>IF(D2536="","",IFERROR(INDEX('Stock pièces'!$D$5:$D$404,MATCH(D2536,'Stock pièces'!$A$5:$A$404,0)),""))</f>
        <v/>
      </c>
      <c r="L2536" s="7" t="n"/>
      <c r="M2536" s="7" t="n"/>
    </row>
    <row r="2537">
      <c r="A2537" s="7" t="n"/>
      <c r="B2537" s="75" t="n"/>
      <c r="C2537" s="7" t="n"/>
      <c r="D2537" s="7" t="n"/>
      <c r="E2537" s="9">
        <f>IF(D2537="","",IFERROR(INDEX('Stock pièces'!$B$5:$B$404,MATCH(D2537,'Stock pièces'!$A$5:$A$404,0)),"Réf. inconnue"))</f>
        <v/>
      </c>
      <c r="F2537" s="67" t="n"/>
      <c r="G2537" s="81">
        <f>IF(D2537="","",IFERROR(INDEX('Stock pièces'!$I$5:$I$404,MATCH(D2537,'Stock pièces'!$A$5:$A$404,0)),0))</f>
        <v/>
      </c>
      <c r="H2537" s="81">
        <f>IF(D2537="","",N(F2537)*N(G2537))</f>
        <v/>
      </c>
      <c r="I2537" s="7" t="n"/>
      <c r="J2537" s="9">
        <f>IF(I2537="","",IFERROR(INDEX('Ordres de travail'!$D$5:$D$3004,MATCH(I2537,'Ordres de travail'!$A$5:$A$3004,0)),""))</f>
        <v/>
      </c>
      <c r="K2537" s="9">
        <f>IF(D2537="","",IFERROR(INDEX('Stock pièces'!$D$5:$D$404,MATCH(D2537,'Stock pièces'!$A$5:$A$404,0)),""))</f>
        <v/>
      </c>
      <c r="L2537" s="7" t="n"/>
      <c r="M2537" s="7" t="n"/>
    </row>
    <row r="2538">
      <c r="A2538" s="7" t="n"/>
      <c r="B2538" s="75" t="n"/>
      <c r="C2538" s="7" t="n"/>
      <c r="D2538" s="7" t="n"/>
      <c r="E2538" s="9">
        <f>IF(D2538="","",IFERROR(INDEX('Stock pièces'!$B$5:$B$404,MATCH(D2538,'Stock pièces'!$A$5:$A$404,0)),"Réf. inconnue"))</f>
        <v/>
      </c>
      <c r="F2538" s="67" t="n"/>
      <c r="G2538" s="81">
        <f>IF(D2538="","",IFERROR(INDEX('Stock pièces'!$I$5:$I$404,MATCH(D2538,'Stock pièces'!$A$5:$A$404,0)),0))</f>
        <v/>
      </c>
      <c r="H2538" s="81">
        <f>IF(D2538="","",N(F2538)*N(G2538))</f>
        <v/>
      </c>
      <c r="I2538" s="7" t="n"/>
      <c r="J2538" s="9">
        <f>IF(I2538="","",IFERROR(INDEX('Ordres de travail'!$D$5:$D$3004,MATCH(I2538,'Ordres de travail'!$A$5:$A$3004,0)),""))</f>
        <v/>
      </c>
      <c r="K2538" s="9">
        <f>IF(D2538="","",IFERROR(INDEX('Stock pièces'!$D$5:$D$404,MATCH(D2538,'Stock pièces'!$A$5:$A$404,0)),""))</f>
        <v/>
      </c>
      <c r="L2538" s="7" t="n"/>
      <c r="M2538" s="7" t="n"/>
    </row>
    <row r="2539">
      <c r="A2539" s="7" t="n"/>
      <c r="B2539" s="75" t="n"/>
      <c r="C2539" s="7" t="n"/>
      <c r="D2539" s="7" t="n"/>
      <c r="E2539" s="9">
        <f>IF(D2539="","",IFERROR(INDEX('Stock pièces'!$B$5:$B$404,MATCH(D2539,'Stock pièces'!$A$5:$A$404,0)),"Réf. inconnue"))</f>
        <v/>
      </c>
      <c r="F2539" s="67" t="n"/>
      <c r="G2539" s="81">
        <f>IF(D2539="","",IFERROR(INDEX('Stock pièces'!$I$5:$I$404,MATCH(D2539,'Stock pièces'!$A$5:$A$404,0)),0))</f>
        <v/>
      </c>
      <c r="H2539" s="81">
        <f>IF(D2539="","",N(F2539)*N(G2539))</f>
        <v/>
      </c>
      <c r="I2539" s="7" t="n"/>
      <c r="J2539" s="9">
        <f>IF(I2539="","",IFERROR(INDEX('Ordres de travail'!$D$5:$D$3004,MATCH(I2539,'Ordres de travail'!$A$5:$A$3004,0)),""))</f>
        <v/>
      </c>
      <c r="K2539" s="9">
        <f>IF(D2539="","",IFERROR(INDEX('Stock pièces'!$D$5:$D$404,MATCH(D2539,'Stock pièces'!$A$5:$A$404,0)),""))</f>
        <v/>
      </c>
      <c r="L2539" s="7" t="n"/>
      <c r="M2539" s="7" t="n"/>
    </row>
    <row r="2540">
      <c r="A2540" s="7" t="n"/>
      <c r="B2540" s="75" t="n"/>
      <c r="C2540" s="7" t="n"/>
      <c r="D2540" s="7" t="n"/>
      <c r="E2540" s="9">
        <f>IF(D2540="","",IFERROR(INDEX('Stock pièces'!$B$5:$B$404,MATCH(D2540,'Stock pièces'!$A$5:$A$404,0)),"Réf. inconnue"))</f>
        <v/>
      </c>
      <c r="F2540" s="67" t="n"/>
      <c r="G2540" s="81">
        <f>IF(D2540="","",IFERROR(INDEX('Stock pièces'!$I$5:$I$404,MATCH(D2540,'Stock pièces'!$A$5:$A$404,0)),0))</f>
        <v/>
      </c>
      <c r="H2540" s="81">
        <f>IF(D2540="","",N(F2540)*N(G2540))</f>
        <v/>
      </c>
      <c r="I2540" s="7" t="n"/>
      <c r="J2540" s="9">
        <f>IF(I2540="","",IFERROR(INDEX('Ordres de travail'!$D$5:$D$3004,MATCH(I2540,'Ordres de travail'!$A$5:$A$3004,0)),""))</f>
        <v/>
      </c>
      <c r="K2540" s="9">
        <f>IF(D2540="","",IFERROR(INDEX('Stock pièces'!$D$5:$D$404,MATCH(D2540,'Stock pièces'!$A$5:$A$404,0)),""))</f>
        <v/>
      </c>
      <c r="L2540" s="7" t="n"/>
      <c r="M2540" s="7" t="n"/>
    </row>
    <row r="2541">
      <c r="A2541" s="7" t="n"/>
      <c r="B2541" s="75" t="n"/>
      <c r="C2541" s="7" t="n"/>
      <c r="D2541" s="7" t="n"/>
      <c r="E2541" s="9">
        <f>IF(D2541="","",IFERROR(INDEX('Stock pièces'!$B$5:$B$404,MATCH(D2541,'Stock pièces'!$A$5:$A$404,0)),"Réf. inconnue"))</f>
        <v/>
      </c>
      <c r="F2541" s="67" t="n"/>
      <c r="G2541" s="81">
        <f>IF(D2541="","",IFERROR(INDEX('Stock pièces'!$I$5:$I$404,MATCH(D2541,'Stock pièces'!$A$5:$A$404,0)),0))</f>
        <v/>
      </c>
      <c r="H2541" s="81">
        <f>IF(D2541="","",N(F2541)*N(G2541))</f>
        <v/>
      </c>
      <c r="I2541" s="7" t="n"/>
      <c r="J2541" s="9">
        <f>IF(I2541="","",IFERROR(INDEX('Ordres de travail'!$D$5:$D$3004,MATCH(I2541,'Ordres de travail'!$A$5:$A$3004,0)),""))</f>
        <v/>
      </c>
      <c r="K2541" s="9">
        <f>IF(D2541="","",IFERROR(INDEX('Stock pièces'!$D$5:$D$404,MATCH(D2541,'Stock pièces'!$A$5:$A$404,0)),""))</f>
        <v/>
      </c>
      <c r="L2541" s="7" t="n"/>
      <c r="M2541" s="7" t="n"/>
    </row>
    <row r="2542">
      <c r="A2542" s="7" t="n"/>
      <c r="B2542" s="75" t="n"/>
      <c r="C2542" s="7" t="n"/>
      <c r="D2542" s="7" t="n"/>
      <c r="E2542" s="9">
        <f>IF(D2542="","",IFERROR(INDEX('Stock pièces'!$B$5:$B$404,MATCH(D2542,'Stock pièces'!$A$5:$A$404,0)),"Réf. inconnue"))</f>
        <v/>
      </c>
      <c r="F2542" s="67" t="n"/>
      <c r="G2542" s="81">
        <f>IF(D2542="","",IFERROR(INDEX('Stock pièces'!$I$5:$I$404,MATCH(D2542,'Stock pièces'!$A$5:$A$404,0)),0))</f>
        <v/>
      </c>
      <c r="H2542" s="81">
        <f>IF(D2542="","",N(F2542)*N(G2542))</f>
        <v/>
      </c>
      <c r="I2542" s="7" t="n"/>
      <c r="J2542" s="9">
        <f>IF(I2542="","",IFERROR(INDEX('Ordres de travail'!$D$5:$D$3004,MATCH(I2542,'Ordres de travail'!$A$5:$A$3004,0)),""))</f>
        <v/>
      </c>
      <c r="K2542" s="9">
        <f>IF(D2542="","",IFERROR(INDEX('Stock pièces'!$D$5:$D$404,MATCH(D2542,'Stock pièces'!$A$5:$A$404,0)),""))</f>
        <v/>
      </c>
      <c r="L2542" s="7" t="n"/>
      <c r="M2542" s="7" t="n"/>
    </row>
    <row r="2543">
      <c r="A2543" s="7" t="n"/>
      <c r="B2543" s="75" t="n"/>
      <c r="C2543" s="7" t="n"/>
      <c r="D2543" s="7" t="n"/>
      <c r="E2543" s="9">
        <f>IF(D2543="","",IFERROR(INDEX('Stock pièces'!$B$5:$B$404,MATCH(D2543,'Stock pièces'!$A$5:$A$404,0)),"Réf. inconnue"))</f>
        <v/>
      </c>
      <c r="F2543" s="67" t="n"/>
      <c r="G2543" s="81">
        <f>IF(D2543="","",IFERROR(INDEX('Stock pièces'!$I$5:$I$404,MATCH(D2543,'Stock pièces'!$A$5:$A$404,0)),0))</f>
        <v/>
      </c>
      <c r="H2543" s="81">
        <f>IF(D2543="","",N(F2543)*N(G2543))</f>
        <v/>
      </c>
      <c r="I2543" s="7" t="n"/>
      <c r="J2543" s="9">
        <f>IF(I2543="","",IFERROR(INDEX('Ordres de travail'!$D$5:$D$3004,MATCH(I2543,'Ordres de travail'!$A$5:$A$3004,0)),""))</f>
        <v/>
      </c>
      <c r="K2543" s="9">
        <f>IF(D2543="","",IFERROR(INDEX('Stock pièces'!$D$5:$D$404,MATCH(D2543,'Stock pièces'!$A$5:$A$404,0)),""))</f>
        <v/>
      </c>
      <c r="L2543" s="7" t="n"/>
      <c r="M2543" s="7" t="n"/>
    </row>
    <row r="2544">
      <c r="A2544" s="7" t="n"/>
      <c r="B2544" s="75" t="n"/>
      <c r="C2544" s="7" t="n"/>
      <c r="D2544" s="7" t="n"/>
      <c r="E2544" s="9">
        <f>IF(D2544="","",IFERROR(INDEX('Stock pièces'!$B$5:$B$404,MATCH(D2544,'Stock pièces'!$A$5:$A$404,0)),"Réf. inconnue"))</f>
        <v/>
      </c>
      <c r="F2544" s="67" t="n"/>
      <c r="G2544" s="81">
        <f>IF(D2544="","",IFERROR(INDEX('Stock pièces'!$I$5:$I$404,MATCH(D2544,'Stock pièces'!$A$5:$A$404,0)),0))</f>
        <v/>
      </c>
      <c r="H2544" s="81">
        <f>IF(D2544="","",N(F2544)*N(G2544))</f>
        <v/>
      </c>
      <c r="I2544" s="7" t="n"/>
      <c r="J2544" s="9">
        <f>IF(I2544="","",IFERROR(INDEX('Ordres de travail'!$D$5:$D$3004,MATCH(I2544,'Ordres de travail'!$A$5:$A$3004,0)),""))</f>
        <v/>
      </c>
      <c r="K2544" s="9">
        <f>IF(D2544="","",IFERROR(INDEX('Stock pièces'!$D$5:$D$404,MATCH(D2544,'Stock pièces'!$A$5:$A$404,0)),""))</f>
        <v/>
      </c>
      <c r="L2544" s="7" t="n"/>
      <c r="M2544" s="7" t="n"/>
    </row>
    <row r="2545">
      <c r="A2545" s="7" t="n"/>
      <c r="B2545" s="75" t="n"/>
      <c r="C2545" s="7" t="n"/>
      <c r="D2545" s="7" t="n"/>
      <c r="E2545" s="9">
        <f>IF(D2545="","",IFERROR(INDEX('Stock pièces'!$B$5:$B$404,MATCH(D2545,'Stock pièces'!$A$5:$A$404,0)),"Réf. inconnue"))</f>
        <v/>
      </c>
      <c r="F2545" s="67" t="n"/>
      <c r="G2545" s="81">
        <f>IF(D2545="","",IFERROR(INDEX('Stock pièces'!$I$5:$I$404,MATCH(D2545,'Stock pièces'!$A$5:$A$404,0)),0))</f>
        <v/>
      </c>
      <c r="H2545" s="81">
        <f>IF(D2545="","",N(F2545)*N(G2545))</f>
        <v/>
      </c>
      <c r="I2545" s="7" t="n"/>
      <c r="J2545" s="9">
        <f>IF(I2545="","",IFERROR(INDEX('Ordres de travail'!$D$5:$D$3004,MATCH(I2545,'Ordres de travail'!$A$5:$A$3004,0)),""))</f>
        <v/>
      </c>
      <c r="K2545" s="9">
        <f>IF(D2545="","",IFERROR(INDEX('Stock pièces'!$D$5:$D$404,MATCH(D2545,'Stock pièces'!$A$5:$A$404,0)),""))</f>
        <v/>
      </c>
      <c r="L2545" s="7" t="n"/>
      <c r="M2545" s="7" t="n"/>
    </row>
    <row r="2546">
      <c r="A2546" s="7" t="n"/>
      <c r="B2546" s="75" t="n"/>
      <c r="C2546" s="7" t="n"/>
      <c r="D2546" s="7" t="n"/>
      <c r="E2546" s="9">
        <f>IF(D2546="","",IFERROR(INDEX('Stock pièces'!$B$5:$B$404,MATCH(D2546,'Stock pièces'!$A$5:$A$404,0)),"Réf. inconnue"))</f>
        <v/>
      </c>
      <c r="F2546" s="67" t="n"/>
      <c r="G2546" s="81">
        <f>IF(D2546="","",IFERROR(INDEX('Stock pièces'!$I$5:$I$404,MATCH(D2546,'Stock pièces'!$A$5:$A$404,0)),0))</f>
        <v/>
      </c>
      <c r="H2546" s="81">
        <f>IF(D2546="","",N(F2546)*N(G2546))</f>
        <v/>
      </c>
      <c r="I2546" s="7" t="n"/>
      <c r="J2546" s="9">
        <f>IF(I2546="","",IFERROR(INDEX('Ordres de travail'!$D$5:$D$3004,MATCH(I2546,'Ordres de travail'!$A$5:$A$3004,0)),""))</f>
        <v/>
      </c>
      <c r="K2546" s="9">
        <f>IF(D2546="","",IFERROR(INDEX('Stock pièces'!$D$5:$D$404,MATCH(D2546,'Stock pièces'!$A$5:$A$404,0)),""))</f>
        <v/>
      </c>
      <c r="L2546" s="7" t="n"/>
      <c r="M2546" s="7" t="n"/>
    </row>
    <row r="2547">
      <c r="A2547" s="7" t="n"/>
      <c r="B2547" s="75" t="n"/>
      <c r="C2547" s="7" t="n"/>
      <c r="D2547" s="7" t="n"/>
      <c r="E2547" s="9">
        <f>IF(D2547="","",IFERROR(INDEX('Stock pièces'!$B$5:$B$404,MATCH(D2547,'Stock pièces'!$A$5:$A$404,0)),"Réf. inconnue"))</f>
        <v/>
      </c>
      <c r="F2547" s="67" t="n"/>
      <c r="G2547" s="81">
        <f>IF(D2547="","",IFERROR(INDEX('Stock pièces'!$I$5:$I$404,MATCH(D2547,'Stock pièces'!$A$5:$A$404,0)),0))</f>
        <v/>
      </c>
      <c r="H2547" s="81">
        <f>IF(D2547="","",N(F2547)*N(G2547))</f>
        <v/>
      </c>
      <c r="I2547" s="7" t="n"/>
      <c r="J2547" s="9">
        <f>IF(I2547="","",IFERROR(INDEX('Ordres de travail'!$D$5:$D$3004,MATCH(I2547,'Ordres de travail'!$A$5:$A$3004,0)),""))</f>
        <v/>
      </c>
      <c r="K2547" s="9">
        <f>IF(D2547="","",IFERROR(INDEX('Stock pièces'!$D$5:$D$404,MATCH(D2547,'Stock pièces'!$A$5:$A$404,0)),""))</f>
        <v/>
      </c>
      <c r="L2547" s="7" t="n"/>
      <c r="M2547" s="7" t="n"/>
    </row>
    <row r="2548">
      <c r="A2548" s="7" t="n"/>
      <c r="B2548" s="75" t="n"/>
      <c r="C2548" s="7" t="n"/>
      <c r="D2548" s="7" t="n"/>
      <c r="E2548" s="9">
        <f>IF(D2548="","",IFERROR(INDEX('Stock pièces'!$B$5:$B$404,MATCH(D2548,'Stock pièces'!$A$5:$A$404,0)),"Réf. inconnue"))</f>
        <v/>
      </c>
      <c r="F2548" s="67" t="n"/>
      <c r="G2548" s="81">
        <f>IF(D2548="","",IFERROR(INDEX('Stock pièces'!$I$5:$I$404,MATCH(D2548,'Stock pièces'!$A$5:$A$404,0)),0))</f>
        <v/>
      </c>
      <c r="H2548" s="81">
        <f>IF(D2548="","",N(F2548)*N(G2548))</f>
        <v/>
      </c>
      <c r="I2548" s="7" t="n"/>
      <c r="J2548" s="9">
        <f>IF(I2548="","",IFERROR(INDEX('Ordres de travail'!$D$5:$D$3004,MATCH(I2548,'Ordres de travail'!$A$5:$A$3004,0)),""))</f>
        <v/>
      </c>
      <c r="K2548" s="9">
        <f>IF(D2548="","",IFERROR(INDEX('Stock pièces'!$D$5:$D$404,MATCH(D2548,'Stock pièces'!$A$5:$A$404,0)),""))</f>
        <v/>
      </c>
      <c r="L2548" s="7" t="n"/>
      <c r="M2548" s="7" t="n"/>
    </row>
    <row r="2549">
      <c r="A2549" s="7" t="n"/>
      <c r="B2549" s="75" t="n"/>
      <c r="C2549" s="7" t="n"/>
      <c r="D2549" s="7" t="n"/>
      <c r="E2549" s="9">
        <f>IF(D2549="","",IFERROR(INDEX('Stock pièces'!$B$5:$B$404,MATCH(D2549,'Stock pièces'!$A$5:$A$404,0)),"Réf. inconnue"))</f>
        <v/>
      </c>
      <c r="F2549" s="67" t="n"/>
      <c r="G2549" s="81">
        <f>IF(D2549="","",IFERROR(INDEX('Stock pièces'!$I$5:$I$404,MATCH(D2549,'Stock pièces'!$A$5:$A$404,0)),0))</f>
        <v/>
      </c>
      <c r="H2549" s="81">
        <f>IF(D2549="","",N(F2549)*N(G2549))</f>
        <v/>
      </c>
      <c r="I2549" s="7" t="n"/>
      <c r="J2549" s="9">
        <f>IF(I2549="","",IFERROR(INDEX('Ordres de travail'!$D$5:$D$3004,MATCH(I2549,'Ordres de travail'!$A$5:$A$3004,0)),""))</f>
        <v/>
      </c>
      <c r="K2549" s="9">
        <f>IF(D2549="","",IFERROR(INDEX('Stock pièces'!$D$5:$D$404,MATCH(D2549,'Stock pièces'!$A$5:$A$404,0)),""))</f>
        <v/>
      </c>
      <c r="L2549" s="7" t="n"/>
      <c r="M2549" s="7" t="n"/>
    </row>
    <row r="2550">
      <c r="A2550" s="7" t="n"/>
      <c r="B2550" s="75" t="n"/>
      <c r="C2550" s="7" t="n"/>
      <c r="D2550" s="7" t="n"/>
      <c r="E2550" s="9">
        <f>IF(D2550="","",IFERROR(INDEX('Stock pièces'!$B$5:$B$404,MATCH(D2550,'Stock pièces'!$A$5:$A$404,0)),"Réf. inconnue"))</f>
        <v/>
      </c>
      <c r="F2550" s="67" t="n"/>
      <c r="G2550" s="81">
        <f>IF(D2550="","",IFERROR(INDEX('Stock pièces'!$I$5:$I$404,MATCH(D2550,'Stock pièces'!$A$5:$A$404,0)),0))</f>
        <v/>
      </c>
      <c r="H2550" s="81">
        <f>IF(D2550="","",N(F2550)*N(G2550))</f>
        <v/>
      </c>
      <c r="I2550" s="7" t="n"/>
      <c r="J2550" s="9">
        <f>IF(I2550="","",IFERROR(INDEX('Ordres de travail'!$D$5:$D$3004,MATCH(I2550,'Ordres de travail'!$A$5:$A$3004,0)),""))</f>
        <v/>
      </c>
      <c r="K2550" s="9">
        <f>IF(D2550="","",IFERROR(INDEX('Stock pièces'!$D$5:$D$404,MATCH(D2550,'Stock pièces'!$A$5:$A$404,0)),""))</f>
        <v/>
      </c>
      <c r="L2550" s="7" t="n"/>
      <c r="M2550" s="7" t="n"/>
    </row>
    <row r="2551">
      <c r="A2551" s="7" t="n"/>
      <c r="B2551" s="75" t="n"/>
      <c r="C2551" s="7" t="n"/>
      <c r="D2551" s="7" t="n"/>
      <c r="E2551" s="9">
        <f>IF(D2551="","",IFERROR(INDEX('Stock pièces'!$B$5:$B$404,MATCH(D2551,'Stock pièces'!$A$5:$A$404,0)),"Réf. inconnue"))</f>
        <v/>
      </c>
      <c r="F2551" s="67" t="n"/>
      <c r="G2551" s="81">
        <f>IF(D2551="","",IFERROR(INDEX('Stock pièces'!$I$5:$I$404,MATCH(D2551,'Stock pièces'!$A$5:$A$404,0)),0))</f>
        <v/>
      </c>
      <c r="H2551" s="81">
        <f>IF(D2551="","",N(F2551)*N(G2551))</f>
        <v/>
      </c>
      <c r="I2551" s="7" t="n"/>
      <c r="J2551" s="9">
        <f>IF(I2551="","",IFERROR(INDEX('Ordres de travail'!$D$5:$D$3004,MATCH(I2551,'Ordres de travail'!$A$5:$A$3004,0)),""))</f>
        <v/>
      </c>
      <c r="K2551" s="9">
        <f>IF(D2551="","",IFERROR(INDEX('Stock pièces'!$D$5:$D$404,MATCH(D2551,'Stock pièces'!$A$5:$A$404,0)),""))</f>
        <v/>
      </c>
      <c r="L2551" s="7" t="n"/>
      <c r="M2551" s="7" t="n"/>
    </row>
    <row r="2552">
      <c r="A2552" s="7" t="n"/>
      <c r="B2552" s="75" t="n"/>
      <c r="C2552" s="7" t="n"/>
      <c r="D2552" s="7" t="n"/>
      <c r="E2552" s="9">
        <f>IF(D2552="","",IFERROR(INDEX('Stock pièces'!$B$5:$B$404,MATCH(D2552,'Stock pièces'!$A$5:$A$404,0)),"Réf. inconnue"))</f>
        <v/>
      </c>
      <c r="F2552" s="67" t="n"/>
      <c r="G2552" s="81">
        <f>IF(D2552="","",IFERROR(INDEX('Stock pièces'!$I$5:$I$404,MATCH(D2552,'Stock pièces'!$A$5:$A$404,0)),0))</f>
        <v/>
      </c>
      <c r="H2552" s="81">
        <f>IF(D2552="","",N(F2552)*N(G2552))</f>
        <v/>
      </c>
      <c r="I2552" s="7" t="n"/>
      <c r="J2552" s="9">
        <f>IF(I2552="","",IFERROR(INDEX('Ordres de travail'!$D$5:$D$3004,MATCH(I2552,'Ordres de travail'!$A$5:$A$3004,0)),""))</f>
        <v/>
      </c>
      <c r="K2552" s="9">
        <f>IF(D2552="","",IFERROR(INDEX('Stock pièces'!$D$5:$D$404,MATCH(D2552,'Stock pièces'!$A$5:$A$404,0)),""))</f>
        <v/>
      </c>
      <c r="L2552" s="7" t="n"/>
      <c r="M2552" s="7" t="n"/>
    </row>
    <row r="2553">
      <c r="A2553" s="7" t="n"/>
      <c r="B2553" s="75" t="n"/>
      <c r="C2553" s="7" t="n"/>
      <c r="D2553" s="7" t="n"/>
      <c r="E2553" s="9">
        <f>IF(D2553="","",IFERROR(INDEX('Stock pièces'!$B$5:$B$404,MATCH(D2553,'Stock pièces'!$A$5:$A$404,0)),"Réf. inconnue"))</f>
        <v/>
      </c>
      <c r="F2553" s="67" t="n"/>
      <c r="G2553" s="81">
        <f>IF(D2553="","",IFERROR(INDEX('Stock pièces'!$I$5:$I$404,MATCH(D2553,'Stock pièces'!$A$5:$A$404,0)),0))</f>
        <v/>
      </c>
      <c r="H2553" s="81">
        <f>IF(D2553="","",N(F2553)*N(G2553))</f>
        <v/>
      </c>
      <c r="I2553" s="7" t="n"/>
      <c r="J2553" s="9">
        <f>IF(I2553="","",IFERROR(INDEX('Ordres de travail'!$D$5:$D$3004,MATCH(I2553,'Ordres de travail'!$A$5:$A$3004,0)),""))</f>
        <v/>
      </c>
      <c r="K2553" s="9">
        <f>IF(D2553="","",IFERROR(INDEX('Stock pièces'!$D$5:$D$404,MATCH(D2553,'Stock pièces'!$A$5:$A$404,0)),""))</f>
        <v/>
      </c>
      <c r="L2553" s="7" t="n"/>
      <c r="M2553" s="7" t="n"/>
    </row>
    <row r="2554">
      <c r="A2554" s="7" t="n"/>
      <c r="B2554" s="75" t="n"/>
      <c r="C2554" s="7" t="n"/>
      <c r="D2554" s="7" t="n"/>
      <c r="E2554" s="9">
        <f>IF(D2554="","",IFERROR(INDEX('Stock pièces'!$B$5:$B$404,MATCH(D2554,'Stock pièces'!$A$5:$A$404,0)),"Réf. inconnue"))</f>
        <v/>
      </c>
      <c r="F2554" s="67" t="n"/>
      <c r="G2554" s="81">
        <f>IF(D2554="","",IFERROR(INDEX('Stock pièces'!$I$5:$I$404,MATCH(D2554,'Stock pièces'!$A$5:$A$404,0)),0))</f>
        <v/>
      </c>
      <c r="H2554" s="81">
        <f>IF(D2554="","",N(F2554)*N(G2554))</f>
        <v/>
      </c>
      <c r="I2554" s="7" t="n"/>
      <c r="J2554" s="9">
        <f>IF(I2554="","",IFERROR(INDEX('Ordres de travail'!$D$5:$D$3004,MATCH(I2554,'Ordres de travail'!$A$5:$A$3004,0)),""))</f>
        <v/>
      </c>
      <c r="K2554" s="9">
        <f>IF(D2554="","",IFERROR(INDEX('Stock pièces'!$D$5:$D$404,MATCH(D2554,'Stock pièces'!$A$5:$A$404,0)),""))</f>
        <v/>
      </c>
      <c r="L2554" s="7" t="n"/>
      <c r="M2554" s="7" t="n"/>
    </row>
    <row r="2555">
      <c r="A2555" s="7" t="n"/>
      <c r="B2555" s="75" t="n"/>
      <c r="C2555" s="7" t="n"/>
      <c r="D2555" s="7" t="n"/>
      <c r="E2555" s="9">
        <f>IF(D2555="","",IFERROR(INDEX('Stock pièces'!$B$5:$B$404,MATCH(D2555,'Stock pièces'!$A$5:$A$404,0)),"Réf. inconnue"))</f>
        <v/>
      </c>
      <c r="F2555" s="67" t="n"/>
      <c r="G2555" s="81">
        <f>IF(D2555="","",IFERROR(INDEX('Stock pièces'!$I$5:$I$404,MATCH(D2555,'Stock pièces'!$A$5:$A$404,0)),0))</f>
        <v/>
      </c>
      <c r="H2555" s="81">
        <f>IF(D2555="","",N(F2555)*N(G2555))</f>
        <v/>
      </c>
      <c r="I2555" s="7" t="n"/>
      <c r="J2555" s="9">
        <f>IF(I2555="","",IFERROR(INDEX('Ordres de travail'!$D$5:$D$3004,MATCH(I2555,'Ordres de travail'!$A$5:$A$3004,0)),""))</f>
        <v/>
      </c>
      <c r="K2555" s="9">
        <f>IF(D2555="","",IFERROR(INDEX('Stock pièces'!$D$5:$D$404,MATCH(D2555,'Stock pièces'!$A$5:$A$404,0)),""))</f>
        <v/>
      </c>
      <c r="L2555" s="7" t="n"/>
      <c r="M2555" s="7" t="n"/>
    </row>
    <row r="2556">
      <c r="A2556" s="7" t="n"/>
      <c r="B2556" s="75" t="n"/>
      <c r="C2556" s="7" t="n"/>
      <c r="D2556" s="7" t="n"/>
      <c r="E2556" s="9">
        <f>IF(D2556="","",IFERROR(INDEX('Stock pièces'!$B$5:$B$404,MATCH(D2556,'Stock pièces'!$A$5:$A$404,0)),"Réf. inconnue"))</f>
        <v/>
      </c>
      <c r="F2556" s="67" t="n"/>
      <c r="G2556" s="81">
        <f>IF(D2556="","",IFERROR(INDEX('Stock pièces'!$I$5:$I$404,MATCH(D2556,'Stock pièces'!$A$5:$A$404,0)),0))</f>
        <v/>
      </c>
      <c r="H2556" s="81">
        <f>IF(D2556="","",N(F2556)*N(G2556))</f>
        <v/>
      </c>
      <c r="I2556" s="7" t="n"/>
      <c r="J2556" s="9">
        <f>IF(I2556="","",IFERROR(INDEX('Ordres de travail'!$D$5:$D$3004,MATCH(I2556,'Ordres de travail'!$A$5:$A$3004,0)),""))</f>
        <v/>
      </c>
      <c r="K2556" s="9">
        <f>IF(D2556="","",IFERROR(INDEX('Stock pièces'!$D$5:$D$404,MATCH(D2556,'Stock pièces'!$A$5:$A$404,0)),""))</f>
        <v/>
      </c>
      <c r="L2556" s="7" t="n"/>
      <c r="M2556" s="7" t="n"/>
    </row>
    <row r="2557">
      <c r="A2557" s="7" t="n"/>
      <c r="B2557" s="75" t="n"/>
      <c r="C2557" s="7" t="n"/>
      <c r="D2557" s="7" t="n"/>
      <c r="E2557" s="9">
        <f>IF(D2557="","",IFERROR(INDEX('Stock pièces'!$B$5:$B$404,MATCH(D2557,'Stock pièces'!$A$5:$A$404,0)),"Réf. inconnue"))</f>
        <v/>
      </c>
      <c r="F2557" s="67" t="n"/>
      <c r="G2557" s="81">
        <f>IF(D2557="","",IFERROR(INDEX('Stock pièces'!$I$5:$I$404,MATCH(D2557,'Stock pièces'!$A$5:$A$404,0)),0))</f>
        <v/>
      </c>
      <c r="H2557" s="81">
        <f>IF(D2557="","",N(F2557)*N(G2557))</f>
        <v/>
      </c>
      <c r="I2557" s="7" t="n"/>
      <c r="J2557" s="9">
        <f>IF(I2557="","",IFERROR(INDEX('Ordres de travail'!$D$5:$D$3004,MATCH(I2557,'Ordres de travail'!$A$5:$A$3004,0)),""))</f>
        <v/>
      </c>
      <c r="K2557" s="9">
        <f>IF(D2557="","",IFERROR(INDEX('Stock pièces'!$D$5:$D$404,MATCH(D2557,'Stock pièces'!$A$5:$A$404,0)),""))</f>
        <v/>
      </c>
      <c r="L2557" s="7" t="n"/>
      <c r="M2557" s="7" t="n"/>
    </row>
    <row r="2558">
      <c r="A2558" s="7" t="n"/>
      <c r="B2558" s="75" t="n"/>
      <c r="C2558" s="7" t="n"/>
      <c r="D2558" s="7" t="n"/>
      <c r="E2558" s="9">
        <f>IF(D2558="","",IFERROR(INDEX('Stock pièces'!$B$5:$B$404,MATCH(D2558,'Stock pièces'!$A$5:$A$404,0)),"Réf. inconnue"))</f>
        <v/>
      </c>
      <c r="F2558" s="67" t="n"/>
      <c r="G2558" s="81">
        <f>IF(D2558="","",IFERROR(INDEX('Stock pièces'!$I$5:$I$404,MATCH(D2558,'Stock pièces'!$A$5:$A$404,0)),0))</f>
        <v/>
      </c>
      <c r="H2558" s="81">
        <f>IF(D2558="","",N(F2558)*N(G2558))</f>
        <v/>
      </c>
      <c r="I2558" s="7" t="n"/>
      <c r="J2558" s="9">
        <f>IF(I2558="","",IFERROR(INDEX('Ordres de travail'!$D$5:$D$3004,MATCH(I2558,'Ordres de travail'!$A$5:$A$3004,0)),""))</f>
        <v/>
      </c>
      <c r="K2558" s="9">
        <f>IF(D2558="","",IFERROR(INDEX('Stock pièces'!$D$5:$D$404,MATCH(D2558,'Stock pièces'!$A$5:$A$404,0)),""))</f>
        <v/>
      </c>
      <c r="L2558" s="7" t="n"/>
      <c r="M2558" s="7" t="n"/>
    </row>
    <row r="2559">
      <c r="A2559" s="7" t="n"/>
      <c r="B2559" s="75" t="n"/>
      <c r="C2559" s="7" t="n"/>
      <c r="D2559" s="7" t="n"/>
      <c r="E2559" s="9">
        <f>IF(D2559="","",IFERROR(INDEX('Stock pièces'!$B$5:$B$404,MATCH(D2559,'Stock pièces'!$A$5:$A$404,0)),"Réf. inconnue"))</f>
        <v/>
      </c>
      <c r="F2559" s="67" t="n"/>
      <c r="G2559" s="81">
        <f>IF(D2559="","",IFERROR(INDEX('Stock pièces'!$I$5:$I$404,MATCH(D2559,'Stock pièces'!$A$5:$A$404,0)),0))</f>
        <v/>
      </c>
      <c r="H2559" s="81">
        <f>IF(D2559="","",N(F2559)*N(G2559))</f>
        <v/>
      </c>
      <c r="I2559" s="7" t="n"/>
      <c r="J2559" s="9">
        <f>IF(I2559="","",IFERROR(INDEX('Ordres de travail'!$D$5:$D$3004,MATCH(I2559,'Ordres de travail'!$A$5:$A$3004,0)),""))</f>
        <v/>
      </c>
      <c r="K2559" s="9">
        <f>IF(D2559="","",IFERROR(INDEX('Stock pièces'!$D$5:$D$404,MATCH(D2559,'Stock pièces'!$A$5:$A$404,0)),""))</f>
        <v/>
      </c>
      <c r="L2559" s="7" t="n"/>
      <c r="M2559" s="7" t="n"/>
    </row>
    <row r="2560">
      <c r="A2560" s="7" t="n"/>
      <c r="B2560" s="75" t="n"/>
      <c r="C2560" s="7" t="n"/>
      <c r="D2560" s="7" t="n"/>
      <c r="E2560" s="9">
        <f>IF(D2560="","",IFERROR(INDEX('Stock pièces'!$B$5:$B$404,MATCH(D2560,'Stock pièces'!$A$5:$A$404,0)),"Réf. inconnue"))</f>
        <v/>
      </c>
      <c r="F2560" s="67" t="n"/>
      <c r="G2560" s="81">
        <f>IF(D2560="","",IFERROR(INDEX('Stock pièces'!$I$5:$I$404,MATCH(D2560,'Stock pièces'!$A$5:$A$404,0)),0))</f>
        <v/>
      </c>
      <c r="H2560" s="81">
        <f>IF(D2560="","",N(F2560)*N(G2560))</f>
        <v/>
      </c>
      <c r="I2560" s="7" t="n"/>
      <c r="J2560" s="9">
        <f>IF(I2560="","",IFERROR(INDEX('Ordres de travail'!$D$5:$D$3004,MATCH(I2560,'Ordres de travail'!$A$5:$A$3004,0)),""))</f>
        <v/>
      </c>
      <c r="K2560" s="9">
        <f>IF(D2560="","",IFERROR(INDEX('Stock pièces'!$D$5:$D$404,MATCH(D2560,'Stock pièces'!$A$5:$A$404,0)),""))</f>
        <v/>
      </c>
      <c r="L2560" s="7" t="n"/>
      <c r="M2560" s="7" t="n"/>
    </row>
    <row r="2561">
      <c r="A2561" s="7" t="n"/>
      <c r="B2561" s="75" t="n"/>
      <c r="C2561" s="7" t="n"/>
      <c r="D2561" s="7" t="n"/>
      <c r="E2561" s="9">
        <f>IF(D2561="","",IFERROR(INDEX('Stock pièces'!$B$5:$B$404,MATCH(D2561,'Stock pièces'!$A$5:$A$404,0)),"Réf. inconnue"))</f>
        <v/>
      </c>
      <c r="F2561" s="67" t="n"/>
      <c r="G2561" s="81">
        <f>IF(D2561="","",IFERROR(INDEX('Stock pièces'!$I$5:$I$404,MATCH(D2561,'Stock pièces'!$A$5:$A$404,0)),0))</f>
        <v/>
      </c>
      <c r="H2561" s="81">
        <f>IF(D2561="","",N(F2561)*N(G2561))</f>
        <v/>
      </c>
      <c r="I2561" s="7" t="n"/>
      <c r="J2561" s="9">
        <f>IF(I2561="","",IFERROR(INDEX('Ordres de travail'!$D$5:$D$3004,MATCH(I2561,'Ordres de travail'!$A$5:$A$3004,0)),""))</f>
        <v/>
      </c>
      <c r="K2561" s="9">
        <f>IF(D2561="","",IFERROR(INDEX('Stock pièces'!$D$5:$D$404,MATCH(D2561,'Stock pièces'!$A$5:$A$404,0)),""))</f>
        <v/>
      </c>
      <c r="L2561" s="7" t="n"/>
      <c r="M2561" s="7" t="n"/>
    </row>
    <row r="2562">
      <c r="A2562" s="7" t="n"/>
      <c r="B2562" s="75" t="n"/>
      <c r="C2562" s="7" t="n"/>
      <c r="D2562" s="7" t="n"/>
      <c r="E2562" s="9">
        <f>IF(D2562="","",IFERROR(INDEX('Stock pièces'!$B$5:$B$404,MATCH(D2562,'Stock pièces'!$A$5:$A$404,0)),"Réf. inconnue"))</f>
        <v/>
      </c>
      <c r="F2562" s="67" t="n"/>
      <c r="G2562" s="81">
        <f>IF(D2562="","",IFERROR(INDEX('Stock pièces'!$I$5:$I$404,MATCH(D2562,'Stock pièces'!$A$5:$A$404,0)),0))</f>
        <v/>
      </c>
      <c r="H2562" s="81">
        <f>IF(D2562="","",N(F2562)*N(G2562))</f>
        <v/>
      </c>
      <c r="I2562" s="7" t="n"/>
      <c r="J2562" s="9">
        <f>IF(I2562="","",IFERROR(INDEX('Ordres de travail'!$D$5:$D$3004,MATCH(I2562,'Ordres de travail'!$A$5:$A$3004,0)),""))</f>
        <v/>
      </c>
      <c r="K2562" s="9">
        <f>IF(D2562="","",IFERROR(INDEX('Stock pièces'!$D$5:$D$404,MATCH(D2562,'Stock pièces'!$A$5:$A$404,0)),""))</f>
        <v/>
      </c>
      <c r="L2562" s="7" t="n"/>
      <c r="M2562" s="7" t="n"/>
    </row>
    <row r="2563">
      <c r="A2563" s="7" t="n"/>
      <c r="B2563" s="75" t="n"/>
      <c r="C2563" s="7" t="n"/>
      <c r="D2563" s="7" t="n"/>
      <c r="E2563" s="9">
        <f>IF(D2563="","",IFERROR(INDEX('Stock pièces'!$B$5:$B$404,MATCH(D2563,'Stock pièces'!$A$5:$A$404,0)),"Réf. inconnue"))</f>
        <v/>
      </c>
      <c r="F2563" s="67" t="n"/>
      <c r="G2563" s="81">
        <f>IF(D2563="","",IFERROR(INDEX('Stock pièces'!$I$5:$I$404,MATCH(D2563,'Stock pièces'!$A$5:$A$404,0)),0))</f>
        <v/>
      </c>
      <c r="H2563" s="81">
        <f>IF(D2563="","",N(F2563)*N(G2563))</f>
        <v/>
      </c>
      <c r="I2563" s="7" t="n"/>
      <c r="J2563" s="9">
        <f>IF(I2563="","",IFERROR(INDEX('Ordres de travail'!$D$5:$D$3004,MATCH(I2563,'Ordres de travail'!$A$5:$A$3004,0)),""))</f>
        <v/>
      </c>
      <c r="K2563" s="9">
        <f>IF(D2563="","",IFERROR(INDEX('Stock pièces'!$D$5:$D$404,MATCH(D2563,'Stock pièces'!$A$5:$A$404,0)),""))</f>
        <v/>
      </c>
      <c r="L2563" s="7" t="n"/>
      <c r="M2563" s="7" t="n"/>
    </row>
    <row r="2564">
      <c r="A2564" s="7" t="n"/>
      <c r="B2564" s="75" t="n"/>
      <c r="C2564" s="7" t="n"/>
      <c r="D2564" s="7" t="n"/>
      <c r="E2564" s="9">
        <f>IF(D2564="","",IFERROR(INDEX('Stock pièces'!$B$5:$B$404,MATCH(D2564,'Stock pièces'!$A$5:$A$404,0)),"Réf. inconnue"))</f>
        <v/>
      </c>
      <c r="F2564" s="67" t="n"/>
      <c r="G2564" s="81">
        <f>IF(D2564="","",IFERROR(INDEX('Stock pièces'!$I$5:$I$404,MATCH(D2564,'Stock pièces'!$A$5:$A$404,0)),0))</f>
        <v/>
      </c>
      <c r="H2564" s="81">
        <f>IF(D2564="","",N(F2564)*N(G2564))</f>
        <v/>
      </c>
      <c r="I2564" s="7" t="n"/>
      <c r="J2564" s="9">
        <f>IF(I2564="","",IFERROR(INDEX('Ordres de travail'!$D$5:$D$3004,MATCH(I2564,'Ordres de travail'!$A$5:$A$3004,0)),""))</f>
        <v/>
      </c>
      <c r="K2564" s="9">
        <f>IF(D2564="","",IFERROR(INDEX('Stock pièces'!$D$5:$D$404,MATCH(D2564,'Stock pièces'!$A$5:$A$404,0)),""))</f>
        <v/>
      </c>
      <c r="L2564" s="7" t="n"/>
      <c r="M2564" s="7" t="n"/>
    </row>
    <row r="2565">
      <c r="A2565" s="7" t="n"/>
      <c r="B2565" s="75" t="n"/>
      <c r="C2565" s="7" t="n"/>
      <c r="D2565" s="7" t="n"/>
      <c r="E2565" s="9">
        <f>IF(D2565="","",IFERROR(INDEX('Stock pièces'!$B$5:$B$404,MATCH(D2565,'Stock pièces'!$A$5:$A$404,0)),"Réf. inconnue"))</f>
        <v/>
      </c>
      <c r="F2565" s="67" t="n"/>
      <c r="G2565" s="81">
        <f>IF(D2565="","",IFERROR(INDEX('Stock pièces'!$I$5:$I$404,MATCH(D2565,'Stock pièces'!$A$5:$A$404,0)),0))</f>
        <v/>
      </c>
      <c r="H2565" s="81">
        <f>IF(D2565="","",N(F2565)*N(G2565))</f>
        <v/>
      </c>
      <c r="I2565" s="7" t="n"/>
      <c r="J2565" s="9">
        <f>IF(I2565="","",IFERROR(INDEX('Ordres de travail'!$D$5:$D$3004,MATCH(I2565,'Ordres de travail'!$A$5:$A$3004,0)),""))</f>
        <v/>
      </c>
      <c r="K2565" s="9">
        <f>IF(D2565="","",IFERROR(INDEX('Stock pièces'!$D$5:$D$404,MATCH(D2565,'Stock pièces'!$A$5:$A$404,0)),""))</f>
        <v/>
      </c>
      <c r="L2565" s="7" t="n"/>
      <c r="M2565" s="7" t="n"/>
    </row>
    <row r="2566">
      <c r="A2566" s="7" t="n"/>
      <c r="B2566" s="75" t="n"/>
      <c r="C2566" s="7" t="n"/>
      <c r="D2566" s="7" t="n"/>
      <c r="E2566" s="9">
        <f>IF(D2566="","",IFERROR(INDEX('Stock pièces'!$B$5:$B$404,MATCH(D2566,'Stock pièces'!$A$5:$A$404,0)),"Réf. inconnue"))</f>
        <v/>
      </c>
      <c r="F2566" s="67" t="n"/>
      <c r="G2566" s="81">
        <f>IF(D2566="","",IFERROR(INDEX('Stock pièces'!$I$5:$I$404,MATCH(D2566,'Stock pièces'!$A$5:$A$404,0)),0))</f>
        <v/>
      </c>
      <c r="H2566" s="81">
        <f>IF(D2566="","",N(F2566)*N(G2566))</f>
        <v/>
      </c>
      <c r="I2566" s="7" t="n"/>
      <c r="J2566" s="9">
        <f>IF(I2566="","",IFERROR(INDEX('Ordres de travail'!$D$5:$D$3004,MATCH(I2566,'Ordres de travail'!$A$5:$A$3004,0)),""))</f>
        <v/>
      </c>
      <c r="K2566" s="9">
        <f>IF(D2566="","",IFERROR(INDEX('Stock pièces'!$D$5:$D$404,MATCH(D2566,'Stock pièces'!$A$5:$A$404,0)),""))</f>
        <v/>
      </c>
      <c r="L2566" s="7" t="n"/>
      <c r="M2566" s="7" t="n"/>
    </row>
    <row r="2567">
      <c r="A2567" s="7" t="n"/>
      <c r="B2567" s="75" t="n"/>
      <c r="C2567" s="7" t="n"/>
      <c r="D2567" s="7" t="n"/>
      <c r="E2567" s="9">
        <f>IF(D2567="","",IFERROR(INDEX('Stock pièces'!$B$5:$B$404,MATCH(D2567,'Stock pièces'!$A$5:$A$404,0)),"Réf. inconnue"))</f>
        <v/>
      </c>
      <c r="F2567" s="67" t="n"/>
      <c r="G2567" s="81">
        <f>IF(D2567="","",IFERROR(INDEX('Stock pièces'!$I$5:$I$404,MATCH(D2567,'Stock pièces'!$A$5:$A$404,0)),0))</f>
        <v/>
      </c>
      <c r="H2567" s="81">
        <f>IF(D2567="","",N(F2567)*N(G2567))</f>
        <v/>
      </c>
      <c r="I2567" s="7" t="n"/>
      <c r="J2567" s="9">
        <f>IF(I2567="","",IFERROR(INDEX('Ordres de travail'!$D$5:$D$3004,MATCH(I2567,'Ordres de travail'!$A$5:$A$3004,0)),""))</f>
        <v/>
      </c>
      <c r="K2567" s="9">
        <f>IF(D2567="","",IFERROR(INDEX('Stock pièces'!$D$5:$D$404,MATCH(D2567,'Stock pièces'!$A$5:$A$404,0)),""))</f>
        <v/>
      </c>
      <c r="L2567" s="7" t="n"/>
      <c r="M2567" s="7" t="n"/>
    </row>
    <row r="2568">
      <c r="A2568" s="7" t="n"/>
      <c r="B2568" s="75" t="n"/>
      <c r="C2568" s="7" t="n"/>
      <c r="D2568" s="7" t="n"/>
      <c r="E2568" s="9">
        <f>IF(D2568="","",IFERROR(INDEX('Stock pièces'!$B$5:$B$404,MATCH(D2568,'Stock pièces'!$A$5:$A$404,0)),"Réf. inconnue"))</f>
        <v/>
      </c>
      <c r="F2568" s="67" t="n"/>
      <c r="G2568" s="81">
        <f>IF(D2568="","",IFERROR(INDEX('Stock pièces'!$I$5:$I$404,MATCH(D2568,'Stock pièces'!$A$5:$A$404,0)),0))</f>
        <v/>
      </c>
      <c r="H2568" s="81">
        <f>IF(D2568="","",N(F2568)*N(G2568))</f>
        <v/>
      </c>
      <c r="I2568" s="7" t="n"/>
      <c r="J2568" s="9">
        <f>IF(I2568="","",IFERROR(INDEX('Ordres de travail'!$D$5:$D$3004,MATCH(I2568,'Ordres de travail'!$A$5:$A$3004,0)),""))</f>
        <v/>
      </c>
      <c r="K2568" s="9">
        <f>IF(D2568="","",IFERROR(INDEX('Stock pièces'!$D$5:$D$404,MATCH(D2568,'Stock pièces'!$A$5:$A$404,0)),""))</f>
        <v/>
      </c>
      <c r="L2568" s="7" t="n"/>
      <c r="M2568" s="7" t="n"/>
    </row>
    <row r="2569">
      <c r="A2569" s="7" t="n"/>
      <c r="B2569" s="75" t="n"/>
      <c r="C2569" s="7" t="n"/>
      <c r="D2569" s="7" t="n"/>
      <c r="E2569" s="9">
        <f>IF(D2569="","",IFERROR(INDEX('Stock pièces'!$B$5:$B$404,MATCH(D2569,'Stock pièces'!$A$5:$A$404,0)),"Réf. inconnue"))</f>
        <v/>
      </c>
      <c r="F2569" s="67" t="n"/>
      <c r="G2569" s="81">
        <f>IF(D2569="","",IFERROR(INDEX('Stock pièces'!$I$5:$I$404,MATCH(D2569,'Stock pièces'!$A$5:$A$404,0)),0))</f>
        <v/>
      </c>
      <c r="H2569" s="81">
        <f>IF(D2569="","",N(F2569)*N(G2569))</f>
        <v/>
      </c>
      <c r="I2569" s="7" t="n"/>
      <c r="J2569" s="9">
        <f>IF(I2569="","",IFERROR(INDEX('Ordres de travail'!$D$5:$D$3004,MATCH(I2569,'Ordres de travail'!$A$5:$A$3004,0)),""))</f>
        <v/>
      </c>
      <c r="K2569" s="9">
        <f>IF(D2569="","",IFERROR(INDEX('Stock pièces'!$D$5:$D$404,MATCH(D2569,'Stock pièces'!$A$5:$A$404,0)),""))</f>
        <v/>
      </c>
      <c r="L2569" s="7" t="n"/>
      <c r="M2569" s="7" t="n"/>
    </row>
    <row r="2570">
      <c r="A2570" s="7" t="n"/>
      <c r="B2570" s="75" t="n"/>
      <c r="C2570" s="7" t="n"/>
      <c r="D2570" s="7" t="n"/>
      <c r="E2570" s="9">
        <f>IF(D2570="","",IFERROR(INDEX('Stock pièces'!$B$5:$B$404,MATCH(D2570,'Stock pièces'!$A$5:$A$404,0)),"Réf. inconnue"))</f>
        <v/>
      </c>
      <c r="F2570" s="67" t="n"/>
      <c r="G2570" s="81">
        <f>IF(D2570="","",IFERROR(INDEX('Stock pièces'!$I$5:$I$404,MATCH(D2570,'Stock pièces'!$A$5:$A$404,0)),0))</f>
        <v/>
      </c>
      <c r="H2570" s="81">
        <f>IF(D2570="","",N(F2570)*N(G2570))</f>
        <v/>
      </c>
      <c r="I2570" s="7" t="n"/>
      <c r="J2570" s="9">
        <f>IF(I2570="","",IFERROR(INDEX('Ordres de travail'!$D$5:$D$3004,MATCH(I2570,'Ordres de travail'!$A$5:$A$3004,0)),""))</f>
        <v/>
      </c>
      <c r="K2570" s="9">
        <f>IF(D2570="","",IFERROR(INDEX('Stock pièces'!$D$5:$D$404,MATCH(D2570,'Stock pièces'!$A$5:$A$404,0)),""))</f>
        <v/>
      </c>
      <c r="L2570" s="7" t="n"/>
      <c r="M2570" s="7" t="n"/>
    </row>
    <row r="2571">
      <c r="A2571" s="7" t="n"/>
      <c r="B2571" s="75" t="n"/>
      <c r="C2571" s="7" t="n"/>
      <c r="D2571" s="7" t="n"/>
      <c r="E2571" s="9">
        <f>IF(D2571="","",IFERROR(INDEX('Stock pièces'!$B$5:$B$404,MATCH(D2571,'Stock pièces'!$A$5:$A$404,0)),"Réf. inconnue"))</f>
        <v/>
      </c>
      <c r="F2571" s="67" t="n"/>
      <c r="G2571" s="81">
        <f>IF(D2571="","",IFERROR(INDEX('Stock pièces'!$I$5:$I$404,MATCH(D2571,'Stock pièces'!$A$5:$A$404,0)),0))</f>
        <v/>
      </c>
      <c r="H2571" s="81">
        <f>IF(D2571="","",N(F2571)*N(G2571))</f>
        <v/>
      </c>
      <c r="I2571" s="7" t="n"/>
      <c r="J2571" s="9">
        <f>IF(I2571="","",IFERROR(INDEX('Ordres de travail'!$D$5:$D$3004,MATCH(I2571,'Ordres de travail'!$A$5:$A$3004,0)),""))</f>
        <v/>
      </c>
      <c r="K2571" s="9">
        <f>IF(D2571="","",IFERROR(INDEX('Stock pièces'!$D$5:$D$404,MATCH(D2571,'Stock pièces'!$A$5:$A$404,0)),""))</f>
        <v/>
      </c>
      <c r="L2571" s="7" t="n"/>
      <c r="M2571" s="7" t="n"/>
    </row>
    <row r="2572">
      <c r="A2572" s="7" t="n"/>
      <c r="B2572" s="75" t="n"/>
      <c r="C2572" s="7" t="n"/>
      <c r="D2572" s="7" t="n"/>
      <c r="E2572" s="9">
        <f>IF(D2572="","",IFERROR(INDEX('Stock pièces'!$B$5:$B$404,MATCH(D2572,'Stock pièces'!$A$5:$A$404,0)),"Réf. inconnue"))</f>
        <v/>
      </c>
      <c r="F2572" s="67" t="n"/>
      <c r="G2572" s="81">
        <f>IF(D2572="","",IFERROR(INDEX('Stock pièces'!$I$5:$I$404,MATCH(D2572,'Stock pièces'!$A$5:$A$404,0)),0))</f>
        <v/>
      </c>
      <c r="H2572" s="81">
        <f>IF(D2572="","",N(F2572)*N(G2572))</f>
        <v/>
      </c>
      <c r="I2572" s="7" t="n"/>
      <c r="J2572" s="9">
        <f>IF(I2572="","",IFERROR(INDEX('Ordres de travail'!$D$5:$D$3004,MATCH(I2572,'Ordres de travail'!$A$5:$A$3004,0)),""))</f>
        <v/>
      </c>
      <c r="K2572" s="9">
        <f>IF(D2572="","",IFERROR(INDEX('Stock pièces'!$D$5:$D$404,MATCH(D2572,'Stock pièces'!$A$5:$A$404,0)),""))</f>
        <v/>
      </c>
      <c r="L2572" s="7" t="n"/>
      <c r="M2572" s="7" t="n"/>
    </row>
    <row r="2573">
      <c r="A2573" s="7" t="n"/>
      <c r="B2573" s="75" t="n"/>
      <c r="C2573" s="7" t="n"/>
      <c r="D2573" s="7" t="n"/>
      <c r="E2573" s="9">
        <f>IF(D2573="","",IFERROR(INDEX('Stock pièces'!$B$5:$B$404,MATCH(D2573,'Stock pièces'!$A$5:$A$404,0)),"Réf. inconnue"))</f>
        <v/>
      </c>
      <c r="F2573" s="67" t="n"/>
      <c r="G2573" s="81">
        <f>IF(D2573="","",IFERROR(INDEX('Stock pièces'!$I$5:$I$404,MATCH(D2573,'Stock pièces'!$A$5:$A$404,0)),0))</f>
        <v/>
      </c>
      <c r="H2573" s="81">
        <f>IF(D2573="","",N(F2573)*N(G2573))</f>
        <v/>
      </c>
      <c r="I2573" s="7" t="n"/>
      <c r="J2573" s="9">
        <f>IF(I2573="","",IFERROR(INDEX('Ordres de travail'!$D$5:$D$3004,MATCH(I2573,'Ordres de travail'!$A$5:$A$3004,0)),""))</f>
        <v/>
      </c>
      <c r="K2573" s="9">
        <f>IF(D2573="","",IFERROR(INDEX('Stock pièces'!$D$5:$D$404,MATCH(D2573,'Stock pièces'!$A$5:$A$404,0)),""))</f>
        <v/>
      </c>
      <c r="L2573" s="7" t="n"/>
      <c r="M2573" s="7" t="n"/>
    </row>
    <row r="2574">
      <c r="A2574" s="7" t="n"/>
      <c r="B2574" s="75" t="n"/>
      <c r="C2574" s="7" t="n"/>
      <c r="D2574" s="7" t="n"/>
      <c r="E2574" s="9">
        <f>IF(D2574="","",IFERROR(INDEX('Stock pièces'!$B$5:$B$404,MATCH(D2574,'Stock pièces'!$A$5:$A$404,0)),"Réf. inconnue"))</f>
        <v/>
      </c>
      <c r="F2574" s="67" t="n"/>
      <c r="G2574" s="81">
        <f>IF(D2574="","",IFERROR(INDEX('Stock pièces'!$I$5:$I$404,MATCH(D2574,'Stock pièces'!$A$5:$A$404,0)),0))</f>
        <v/>
      </c>
      <c r="H2574" s="81">
        <f>IF(D2574="","",N(F2574)*N(G2574))</f>
        <v/>
      </c>
      <c r="I2574" s="7" t="n"/>
      <c r="J2574" s="9">
        <f>IF(I2574="","",IFERROR(INDEX('Ordres de travail'!$D$5:$D$3004,MATCH(I2574,'Ordres de travail'!$A$5:$A$3004,0)),""))</f>
        <v/>
      </c>
      <c r="K2574" s="9">
        <f>IF(D2574="","",IFERROR(INDEX('Stock pièces'!$D$5:$D$404,MATCH(D2574,'Stock pièces'!$A$5:$A$404,0)),""))</f>
        <v/>
      </c>
      <c r="L2574" s="7" t="n"/>
      <c r="M2574" s="7" t="n"/>
    </row>
    <row r="2575">
      <c r="A2575" s="7" t="n"/>
      <c r="B2575" s="75" t="n"/>
      <c r="C2575" s="7" t="n"/>
      <c r="D2575" s="7" t="n"/>
      <c r="E2575" s="9">
        <f>IF(D2575="","",IFERROR(INDEX('Stock pièces'!$B$5:$B$404,MATCH(D2575,'Stock pièces'!$A$5:$A$404,0)),"Réf. inconnue"))</f>
        <v/>
      </c>
      <c r="F2575" s="67" t="n"/>
      <c r="G2575" s="81">
        <f>IF(D2575="","",IFERROR(INDEX('Stock pièces'!$I$5:$I$404,MATCH(D2575,'Stock pièces'!$A$5:$A$404,0)),0))</f>
        <v/>
      </c>
      <c r="H2575" s="81">
        <f>IF(D2575="","",N(F2575)*N(G2575))</f>
        <v/>
      </c>
      <c r="I2575" s="7" t="n"/>
      <c r="J2575" s="9">
        <f>IF(I2575="","",IFERROR(INDEX('Ordres de travail'!$D$5:$D$3004,MATCH(I2575,'Ordres de travail'!$A$5:$A$3004,0)),""))</f>
        <v/>
      </c>
      <c r="K2575" s="9">
        <f>IF(D2575="","",IFERROR(INDEX('Stock pièces'!$D$5:$D$404,MATCH(D2575,'Stock pièces'!$A$5:$A$404,0)),""))</f>
        <v/>
      </c>
      <c r="L2575" s="7" t="n"/>
      <c r="M2575" s="7" t="n"/>
    </row>
    <row r="2576">
      <c r="A2576" s="7" t="n"/>
      <c r="B2576" s="75" t="n"/>
      <c r="C2576" s="7" t="n"/>
      <c r="D2576" s="7" t="n"/>
      <c r="E2576" s="9">
        <f>IF(D2576="","",IFERROR(INDEX('Stock pièces'!$B$5:$B$404,MATCH(D2576,'Stock pièces'!$A$5:$A$404,0)),"Réf. inconnue"))</f>
        <v/>
      </c>
      <c r="F2576" s="67" t="n"/>
      <c r="G2576" s="81">
        <f>IF(D2576="","",IFERROR(INDEX('Stock pièces'!$I$5:$I$404,MATCH(D2576,'Stock pièces'!$A$5:$A$404,0)),0))</f>
        <v/>
      </c>
      <c r="H2576" s="81">
        <f>IF(D2576="","",N(F2576)*N(G2576))</f>
        <v/>
      </c>
      <c r="I2576" s="7" t="n"/>
      <c r="J2576" s="9">
        <f>IF(I2576="","",IFERROR(INDEX('Ordres de travail'!$D$5:$D$3004,MATCH(I2576,'Ordres de travail'!$A$5:$A$3004,0)),""))</f>
        <v/>
      </c>
      <c r="K2576" s="9">
        <f>IF(D2576="","",IFERROR(INDEX('Stock pièces'!$D$5:$D$404,MATCH(D2576,'Stock pièces'!$A$5:$A$404,0)),""))</f>
        <v/>
      </c>
      <c r="L2576" s="7" t="n"/>
      <c r="M2576" s="7" t="n"/>
    </row>
    <row r="2577">
      <c r="A2577" s="7" t="n"/>
      <c r="B2577" s="75" t="n"/>
      <c r="C2577" s="7" t="n"/>
      <c r="D2577" s="7" t="n"/>
      <c r="E2577" s="9">
        <f>IF(D2577="","",IFERROR(INDEX('Stock pièces'!$B$5:$B$404,MATCH(D2577,'Stock pièces'!$A$5:$A$404,0)),"Réf. inconnue"))</f>
        <v/>
      </c>
      <c r="F2577" s="67" t="n"/>
      <c r="G2577" s="81">
        <f>IF(D2577="","",IFERROR(INDEX('Stock pièces'!$I$5:$I$404,MATCH(D2577,'Stock pièces'!$A$5:$A$404,0)),0))</f>
        <v/>
      </c>
      <c r="H2577" s="81">
        <f>IF(D2577="","",N(F2577)*N(G2577))</f>
        <v/>
      </c>
      <c r="I2577" s="7" t="n"/>
      <c r="J2577" s="9">
        <f>IF(I2577="","",IFERROR(INDEX('Ordres de travail'!$D$5:$D$3004,MATCH(I2577,'Ordres de travail'!$A$5:$A$3004,0)),""))</f>
        <v/>
      </c>
      <c r="K2577" s="9">
        <f>IF(D2577="","",IFERROR(INDEX('Stock pièces'!$D$5:$D$404,MATCH(D2577,'Stock pièces'!$A$5:$A$404,0)),""))</f>
        <v/>
      </c>
      <c r="L2577" s="7" t="n"/>
      <c r="M2577" s="7" t="n"/>
    </row>
    <row r="2578">
      <c r="A2578" s="7" t="n"/>
      <c r="B2578" s="75" t="n"/>
      <c r="C2578" s="7" t="n"/>
      <c r="D2578" s="7" t="n"/>
      <c r="E2578" s="9">
        <f>IF(D2578="","",IFERROR(INDEX('Stock pièces'!$B$5:$B$404,MATCH(D2578,'Stock pièces'!$A$5:$A$404,0)),"Réf. inconnue"))</f>
        <v/>
      </c>
      <c r="F2578" s="67" t="n"/>
      <c r="G2578" s="81">
        <f>IF(D2578="","",IFERROR(INDEX('Stock pièces'!$I$5:$I$404,MATCH(D2578,'Stock pièces'!$A$5:$A$404,0)),0))</f>
        <v/>
      </c>
      <c r="H2578" s="81">
        <f>IF(D2578="","",N(F2578)*N(G2578))</f>
        <v/>
      </c>
      <c r="I2578" s="7" t="n"/>
      <c r="J2578" s="9">
        <f>IF(I2578="","",IFERROR(INDEX('Ordres de travail'!$D$5:$D$3004,MATCH(I2578,'Ordres de travail'!$A$5:$A$3004,0)),""))</f>
        <v/>
      </c>
      <c r="K2578" s="9">
        <f>IF(D2578="","",IFERROR(INDEX('Stock pièces'!$D$5:$D$404,MATCH(D2578,'Stock pièces'!$A$5:$A$404,0)),""))</f>
        <v/>
      </c>
      <c r="L2578" s="7" t="n"/>
      <c r="M2578" s="7" t="n"/>
    </row>
    <row r="2579">
      <c r="A2579" s="7" t="n"/>
      <c r="B2579" s="75" t="n"/>
      <c r="C2579" s="7" t="n"/>
      <c r="D2579" s="7" t="n"/>
      <c r="E2579" s="9">
        <f>IF(D2579="","",IFERROR(INDEX('Stock pièces'!$B$5:$B$404,MATCH(D2579,'Stock pièces'!$A$5:$A$404,0)),"Réf. inconnue"))</f>
        <v/>
      </c>
      <c r="F2579" s="67" t="n"/>
      <c r="G2579" s="81">
        <f>IF(D2579="","",IFERROR(INDEX('Stock pièces'!$I$5:$I$404,MATCH(D2579,'Stock pièces'!$A$5:$A$404,0)),0))</f>
        <v/>
      </c>
      <c r="H2579" s="81">
        <f>IF(D2579="","",N(F2579)*N(G2579))</f>
        <v/>
      </c>
      <c r="I2579" s="7" t="n"/>
      <c r="J2579" s="9">
        <f>IF(I2579="","",IFERROR(INDEX('Ordres de travail'!$D$5:$D$3004,MATCH(I2579,'Ordres de travail'!$A$5:$A$3004,0)),""))</f>
        <v/>
      </c>
      <c r="K2579" s="9">
        <f>IF(D2579="","",IFERROR(INDEX('Stock pièces'!$D$5:$D$404,MATCH(D2579,'Stock pièces'!$A$5:$A$404,0)),""))</f>
        <v/>
      </c>
      <c r="L2579" s="7" t="n"/>
      <c r="M2579" s="7" t="n"/>
    </row>
    <row r="2580">
      <c r="A2580" s="7" t="n"/>
      <c r="B2580" s="75" t="n"/>
      <c r="C2580" s="7" t="n"/>
      <c r="D2580" s="7" t="n"/>
      <c r="E2580" s="9">
        <f>IF(D2580="","",IFERROR(INDEX('Stock pièces'!$B$5:$B$404,MATCH(D2580,'Stock pièces'!$A$5:$A$404,0)),"Réf. inconnue"))</f>
        <v/>
      </c>
      <c r="F2580" s="67" t="n"/>
      <c r="G2580" s="81">
        <f>IF(D2580="","",IFERROR(INDEX('Stock pièces'!$I$5:$I$404,MATCH(D2580,'Stock pièces'!$A$5:$A$404,0)),0))</f>
        <v/>
      </c>
      <c r="H2580" s="81">
        <f>IF(D2580="","",N(F2580)*N(G2580))</f>
        <v/>
      </c>
      <c r="I2580" s="7" t="n"/>
      <c r="J2580" s="9">
        <f>IF(I2580="","",IFERROR(INDEX('Ordres de travail'!$D$5:$D$3004,MATCH(I2580,'Ordres de travail'!$A$5:$A$3004,0)),""))</f>
        <v/>
      </c>
      <c r="K2580" s="9">
        <f>IF(D2580="","",IFERROR(INDEX('Stock pièces'!$D$5:$D$404,MATCH(D2580,'Stock pièces'!$A$5:$A$404,0)),""))</f>
        <v/>
      </c>
      <c r="L2580" s="7" t="n"/>
      <c r="M2580" s="7" t="n"/>
    </row>
    <row r="2581">
      <c r="A2581" s="7" t="n"/>
      <c r="B2581" s="75" t="n"/>
      <c r="C2581" s="7" t="n"/>
      <c r="D2581" s="7" t="n"/>
      <c r="E2581" s="9">
        <f>IF(D2581="","",IFERROR(INDEX('Stock pièces'!$B$5:$B$404,MATCH(D2581,'Stock pièces'!$A$5:$A$404,0)),"Réf. inconnue"))</f>
        <v/>
      </c>
      <c r="F2581" s="67" t="n"/>
      <c r="G2581" s="81">
        <f>IF(D2581="","",IFERROR(INDEX('Stock pièces'!$I$5:$I$404,MATCH(D2581,'Stock pièces'!$A$5:$A$404,0)),0))</f>
        <v/>
      </c>
      <c r="H2581" s="81">
        <f>IF(D2581="","",N(F2581)*N(G2581))</f>
        <v/>
      </c>
      <c r="I2581" s="7" t="n"/>
      <c r="J2581" s="9">
        <f>IF(I2581="","",IFERROR(INDEX('Ordres de travail'!$D$5:$D$3004,MATCH(I2581,'Ordres de travail'!$A$5:$A$3004,0)),""))</f>
        <v/>
      </c>
      <c r="K2581" s="9">
        <f>IF(D2581="","",IFERROR(INDEX('Stock pièces'!$D$5:$D$404,MATCH(D2581,'Stock pièces'!$A$5:$A$404,0)),""))</f>
        <v/>
      </c>
      <c r="L2581" s="7" t="n"/>
      <c r="M2581" s="7" t="n"/>
    </row>
    <row r="2582">
      <c r="A2582" s="7" t="n"/>
      <c r="B2582" s="75" t="n"/>
      <c r="C2582" s="7" t="n"/>
      <c r="D2582" s="7" t="n"/>
      <c r="E2582" s="9">
        <f>IF(D2582="","",IFERROR(INDEX('Stock pièces'!$B$5:$B$404,MATCH(D2582,'Stock pièces'!$A$5:$A$404,0)),"Réf. inconnue"))</f>
        <v/>
      </c>
      <c r="F2582" s="67" t="n"/>
      <c r="G2582" s="81">
        <f>IF(D2582="","",IFERROR(INDEX('Stock pièces'!$I$5:$I$404,MATCH(D2582,'Stock pièces'!$A$5:$A$404,0)),0))</f>
        <v/>
      </c>
      <c r="H2582" s="81">
        <f>IF(D2582="","",N(F2582)*N(G2582))</f>
        <v/>
      </c>
      <c r="I2582" s="7" t="n"/>
      <c r="J2582" s="9">
        <f>IF(I2582="","",IFERROR(INDEX('Ordres de travail'!$D$5:$D$3004,MATCH(I2582,'Ordres de travail'!$A$5:$A$3004,0)),""))</f>
        <v/>
      </c>
      <c r="K2582" s="9">
        <f>IF(D2582="","",IFERROR(INDEX('Stock pièces'!$D$5:$D$404,MATCH(D2582,'Stock pièces'!$A$5:$A$404,0)),""))</f>
        <v/>
      </c>
      <c r="L2582" s="7" t="n"/>
      <c r="M2582" s="7" t="n"/>
    </row>
    <row r="2583">
      <c r="A2583" s="7" t="n"/>
      <c r="B2583" s="75" t="n"/>
      <c r="C2583" s="7" t="n"/>
      <c r="D2583" s="7" t="n"/>
      <c r="E2583" s="9">
        <f>IF(D2583="","",IFERROR(INDEX('Stock pièces'!$B$5:$B$404,MATCH(D2583,'Stock pièces'!$A$5:$A$404,0)),"Réf. inconnue"))</f>
        <v/>
      </c>
      <c r="F2583" s="67" t="n"/>
      <c r="G2583" s="81">
        <f>IF(D2583="","",IFERROR(INDEX('Stock pièces'!$I$5:$I$404,MATCH(D2583,'Stock pièces'!$A$5:$A$404,0)),0))</f>
        <v/>
      </c>
      <c r="H2583" s="81">
        <f>IF(D2583="","",N(F2583)*N(G2583))</f>
        <v/>
      </c>
      <c r="I2583" s="7" t="n"/>
      <c r="J2583" s="9">
        <f>IF(I2583="","",IFERROR(INDEX('Ordres de travail'!$D$5:$D$3004,MATCH(I2583,'Ordres de travail'!$A$5:$A$3004,0)),""))</f>
        <v/>
      </c>
      <c r="K2583" s="9">
        <f>IF(D2583="","",IFERROR(INDEX('Stock pièces'!$D$5:$D$404,MATCH(D2583,'Stock pièces'!$A$5:$A$404,0)),""))</f>
        <v/>
      </c>
      <c r="L2583" s="7" t="n"/>
      <c r="M2583" s="7" t="n"/>
    </row>
    <row r="2584">
      <c r="A2584" s="7" t="n"/>
      <c r="B2584" s="75" t="n"/>
      <c r="C2584" s="7" t="n"/>
      <c r="D2584" s="7" t="n"/>
      <c r="E2584" s="9">
        <f>IF(D2584="","",IFERROR(INDEX('Stock pièces'!$B$5:$B$404,MATCH(D2584,'Stock pièces'!$A$5:$A$404,0)),"Réf. inconnue"))</f>
        <v/>
      </c>
      <c r="F2584" s="67" t="n"/>
      <c r="G2584" s="81">
        <f>IF(D2584="","",IFERROR(INDEX('Stock pièces'!$I$5:$I$404,MATCH(D2584,'Stock pièces'!$A$5:$A$404,0)),0))</f>
        <v/>
      </c>
      <c r="H2584" s="81">
        <f>IF(D2584="","",N(F2584)*N(G2584))</f>
        <v/>
      </c>
      <c r="I2584" s="7" t="n"/>
      <c r="J2584" s="9">
        <f>IF(I2584="","",IFERROR(INDEX('Ordres de travail'!$D$5:$D$3004,MATCH(I2584,'Ordres de travail'!$A$5:$A$3004,0)),""))</f>
        <v/>
      </c>
      <c r="K2584" s="9">
        <f>IF(D2584="","",IFERROR(INDEX('Stock pièces'!$D$5:$D$404,MATCH(D2584,'Stock pièces'!$A$5:$A$404,0)),""))</f>
        <v/>
      </c>
      <c r="L2584" s="7" t="n"/>
      <c r="M2584" s="7" t="n"/>
    </row>
    <row r="2585">
      <c r="A2585" s="7" t="n"/>
      <c r="B2585" s="75" t="n"/>
      <c r="C2585" s="7" t="n"/>
      <c r="D2585" s="7" t="n"/>
      <c r="E2585" s="9">
        <f>IF(D2585="","",IFERROR(INDEX('Stock pièces'!$B$5:$B$404,MATCH(D2585,'Stock pièces'!$A$5:$A$404,0)),"Réf. inconnue"))</f>
        <v/>
      </c>
      <c r="F2585" s="67" t="n"/>
      <c r="G2585" s="81">
        <f>IF(D2585="","",IFERROR(INDEX('Stock pièces'!$I$5:$I$404,MATCH(D2585,'Stock pièces'!$A$5:$A$404,0)),0))</f>
        <v/>
      </c>
      <c r="H2585" s="81">
        <f>IF(D2585="","",N(F2585)*N(G2585))</f>
        <v/>
      </c>
      <c r="I2585" s="7" t="n"/>
      <c r="J2585" s="9">
        <f>IF(I2585="","",IFERROR(INDEX('Ordres de travail'!$D$5:$D$3004,MATCH(I2585,'Ordres de travail'!$A$5:$A$3004,0)),""))</f>
        <v/>
      </c>
      <c r="K2585" s="9">
        <f>IF(D2585="","",IFERROR(INDEX('Stock pièces'!$D$5:$D$404,MATCH(D2585,'Stock pièces'!$A$5:$A$404,0)),""))</f>
        <v/>
      </c>
      <c r="L2585" s="7" t="n"/>
      <c r="M2585" s="7" t="n"/>
    </row>
    <row r="2586">
      <c r="A2586" s="7" t="n"/>
      <c r="B2586" s="75" t="n"/>
      <c r="C2586" s="7" t="n"/>
      <c r="D2586" s="7" t="n"/>
      <c r="E2586" s="9">
        <f>IF(D2586="","",IFERROR(INDEX('Stock pièces'!$B$5:$B$404,MATCH(D2586,'Stock pièces'!$A$5:$A$404,0)),"Réf. inconnue"))</f>
        <v/>
      </c>
      <c r="F2586" s="67" t="n"/>
      <c r="G2586" s="81">
        <f>IF(D2586="","",IFERROR(INDEX('Stock pièces'!$I$5:$I$404,MATCH(D2586,'Stock pièces'!$A$5:$A$404,0)),0))</f>
        <v/>
      </c>
      <c r="H2586" s="81">
        <f>IF(D2586="","",N(F2586)*N(G2586))</f>
        <v/>
      </c>
      <c r="I2586" s="7" t="n"/>
      <c r="J2586" s="9">
        <f>IF(I2586="","",IFERROR(INDEX('Ordres de travail'!$D$5:$D$3004,MATCH(I2586,'Ordres de travail'!$A$5:$A$3004,0)),""))</f>
        <v/>
      </c>
      <c r="K2586" s="9">
        <f>IF(D2586="","",IFERROR(INDEX('Stock pièces'!$D$5:$D$404,MATCH(D2586,'Stock pièces'!$A$5:$A$404,0)),""))</f>
        <v/>
      </c>
      <c r="L2586" s="7" t="n"/>
      <c r="M2586" s="7" t="n"/>
    </row>
    <row r="2587">
      <c r="A2587" s="7" t="n"/>
      <c r="B2587" s="75" t="n"/>
      <c r="C2587" s="7" t="n"/>
      <c r="D2587" s="7" t="n"/>
      <c r="E2587" s="9">
        <f>IF(D2587="","",IFERROR(INDEX('Stock pièces'!$B$5:$B$404,MATCH(D2587,'Stock pièces'!$A$5:$A$404,0)),"Réf. inconnue"))</f>
        <v/>
      </c>
      <c r="F2587" s="67" t="n"/>
      <c r="G2587" s="81">
        <f>IF(D2587="","",IFERROR(INDEX('Stock pièces'!$I$5:$I$404,MATCH(D2587,'Stock pièces'!$A$5:$A$404,0)),0))</f>
        <v/>
      </c>
      <c r="H2587" s="81">
        <f>IF(D2587="","",N(F2587)*N(G2587))</f>
        <v/>
      </c>
      <c r="I2587" s="7" t="n"/>
      <c r="J2587" s="9">
        <f>IF(I2587="","",IFERROR(INDEX('Ordres de travail'!$D$5:$D$3004,MATCH(I2587,'Ordres de travail'!$A$5:$A$3004,0)),""))</f>
        <v/>
      </c>
      <c r="K2587" s="9">
        <f>IF(D2587="","",IFERROR(INDEX('Stock pièces'!$D$5:$D$404,MATCH(D2587,'Stock pièces'!$A$5:$A$404,0)),""))</f>
        <v/>
      </c>
      <c r="L2587" s="7" t="n"/>
      <c r="M2587" s="7" t="n"/>
    </row>
    <row r="2588">
      <c r="A2588" s="7" t="n"/>
      <c r="B2588" s="75" t="n"/>
      <c r="C2588" s="7" t="n"/>
      <c r="D2588" s="7" t="n"/>
      <c r="E2588" s="9">
        <f>IF(D2588="","",IFERROR(INDEX('Stock pièces'!$B$5:$B$404,MATCH(D2588,'Stock pièces'!$A$5:$A$404,0)),"Réf. inconnue"))</f>
        <v/>
      </c>
      <c r="F2588" s="67" t="n"/>
      <c r="G2588" s="81">
        <f>IF(D2588="","",IFERROR(INDEX('Stock pièces'!$I$5:$I$404,MATCH(D2588,'Stock pièces'!$A$5:$A$404,0)),0))</f>
        <v/>
      </c>
      <c r="H2588" s="81">
        <f>IF(D2588="","",N(F2588)*N(G2588))</f>
        <v/>
      </c>
      <c r="I2588" s="7" t="n"/>
      <c r="J2588" s="9">
        <f>IF(I2588="","",IFERROR(INDEX('Ordres de travail'!$D$5:$D$3004,MATCH(I2588,'Ordres de travail'!$A$5:$A$3004,0)),""))</f>
        <v/>
      </c>
      <c r="K2588" s="9">
        <f>IF(D2588="","",IFERROR(INDEX('Stock pièces'!$D$5:$D$404,MATCH(D2588,'Stock pièces'!$A$5:$A$404,0)),""))</f>
        <v/>
      </c>
      <c r="L2588" s="7" t="n"/>
      <c r="M2588" s="7" t="n"/>
    </row>
    <row r="2589">
      <c r="A2589" s="7" t="n"/>
      <c r="B2589" s="75" t="n"/>
      <c r="C2589" s="7" t="n"/>
      <c r="D2589" s="7" t="n"/>
      <c r="E2589" s="9">
        <f>IF(D2589="","",IFERROR(INDEX('Stock pièces'!$B$5:$B$404,MATCH(D2589,'Stock pièces'!$A$5:$A$404,0)),"Réf. inconnue"))</f>
        <v/>
      </c>
      <c r="F2589" s="67" t="n"/>
      <c r="G2589" s="81">
        <f>IF(D2589="","",IFERROR(INDEX('Stock pièces'!$I$5:$I$404,MATCH(D2589,'Stock pièces'!$A$5:$A$404,0)),0))</f>
        <v/>
      </c>
      <c r="H2589" s="81">
        <f>IF(D2589="","",N(F2589)*N(G2589))</f>
        <v/>
      </c>
      <c r="I2589" s="7" t="n"/>
      <c r="J2589" s="9">
        <f>IF(I2589="","",IFERROR(INDEX('Ordres de travail'!$D$5:$D$3004,MATCH(I2589,'Ordres de travail'!$A$5:$A$3004,0)),""))</f>
        <v/>
      </c>
      <c r="K2589" s="9">
        <f>IF(D2589="","",IFERROR(INDEX('Stock pièces'!$D$5:$D$404,MATCH(D2589,'Stock pièces'!$A$5:$A$404,0)),""))</f>
        <v/>
      </c>
      <c r="L2589" s="7" t="n"/>
      <c r="M2589" s="7" t="n"/>
    </row>
    <row r="2590">
      <c r="A2590" s="7" t="n"/>
      <c r="B2590" s="75" t="n"/>
      <c r="C2590" s="7" t="n"/>
      <c r="D2590" s="7" t="n"/>
      <c r="E2590" s="9">
        <f>IF(D2590="","",IFERROR(INDEX('Stock pièces'!$B$5:$B$404,MATCH(D2590,'Stock pièces'!$A$5:$A$404,0)),"Réf. inconnue"))</f>
        <v/>
      </c>
      <c r="F2590" s="67" t="n"/>
      <c r="G2590" s="81">
        <f>IF(D2590="","",IFERROR(INDEX('Stock pièces'!$I$5:$I$404,MATCH(D2590,'Stock pièces'!$A$5:$A$404,0)),0))</f>
        <v/>
      </c>
      <c r="H2590" s="81">
        <f>IF(D2590="","",N(F2590)*N(G2590))</f>
        <v/>
      </c>
      <c r="I2590" s="7" t="n"/>
      <c r="J2590" s="9">
        <f>IF(I2590="","",IFERROR(INDEX('Ordres de travail'!$D$5:$D$3004,MATCH(I2590,'Ordres de travail'!$A$5:$A$3004,0)),""))</f>
        <v/>
      </c>
      <c r="K2590" s="9">
        <f>IF(D2590="","",IFERROR(INDEX('Stock pièces'!$D$5:$D$404,MATCH(D2590,'Stock pièces'!$A$5:$A$404,0)),""))</f>
        <v/>
      </c>
      <c r="L2590" s="7" t="n"/>
      <c r="M2590" s="7" t="n"/>
    </row>
    <row r="2591">
      <c r="A2591" s="7" t="n"/>
      <c r="B2591" s="75" t="n"/>
      <c r="C2591" s="7" t="n"/>
      <c r="D2591" s="7" t="n"/>
      <c r="E2591" s="9">
        <f>IF(D2591="","",IFERROR(INDEX('Stock pièces'!$B$5:$B$404,MATCH(D2591,'Stock pièces'!$A$5:$A$404,0)),"Réf. inconnue"))</f>
        <v/>
      </c>
      <c r="F2591" s="67" t="n"/>
      <c r="G2591" s="81">
        <f>IF(D2591="","",IFERROR(INDEX('Stock pièces'!$I$5:$I$404,MATCH(D2591,'Stock pièces'!$A$5:$A$404,0)),0))</f>
        <v/>
      </c>
      <c r="H2591" s="81">
        <f>IF(D2591="","",N(F2591)*N(G2591))</f>
        <v/>
      </c>
      <c r="I2591" s="7" t="n"/>
      <c r="J2591" s="9">
        <f>IF(I2591="","",IFERROR(INDEX('Ordres de travail'!$D$5:$D$3004,MATCH(I2591,'Ordres de travail'!$A$5:$A$3004,0)),""))</f>
        <v/>
      </c>
      <c r="K2591" s="9">
        <f>IF(D2591="","",IFERROR(INDEX('Stock pièces'!$D$5:$D$404,MATCH(D2591,'Stock pièces'!$A$5:$A$404,0)),""))</f>
        <v/>
      </c>
      <c r="L2591" s="7" t="n"/>
      <c r="M2591" s="7" t="n"/>
    </row>
    <row r="2592">
      <c r="A2592" s="7" t="n"/>
      <c r="B2592" s="75" t="n"/>
      <c r="C2592" s="7" t="n"/>
      <c r="D2592" s="7" t="n"/>
      <c r="E2592" s="9">
        <f>IF(D2592="","",IFERROR(INDEX('Stock pièces'!$B$5:$B$404,MATCH(D2592,'Stock pièces'!$A$5:$A$404,0)),"Réf. inconnue"))</f>
        <v/>
      </c>
      <c r="F2592" s="67" t="n"/>
      <c r="G2592" s="81">
        <f>IF(D2592="","",IFERROR(INDEX('Stock pièces'!$I$5:$I$404,MATCH(D2592,'Stock pièces'!$A$5:$A$404,0)),0))</f>
        <v/>
      </c>
      <c r="H2592" s="81">
        <f>IF(D2592="","",N(F2592)*N(G2592))</f>
        <v/>
      </c>
      <c r="I2592" s="7" t="n"/>
      <c r="J2592" s="9">
        <f>IF(I2592="","",IFERROR(INDEX('Ordres de travail'!$D$5:$D$3004,MATCH(I2592,'Ordres de travail'!$A$5:$A$3004,0)),""))</f>
        <v/>
      </c>
      <c r="K2592" s="9">
        <f>IF(D2592="","",IFERROR(INDEX('Stock pièces'!$D$5:$D$404,MATCH(D2592,'Stock pièces'!$A$5:$A$404,0)),""))</f>
        <v/>
      </c>
      <c r="L2592" s="7" t="n"/>
      <c r="M2592" s="7" t="n"/>
    </row>
    <row r="2593">
      <c r="A2593" s="7" t="n"/>
      <c r="B2593" s="75" t="n"/>
      <c r="C2593" s="7" t="n"/>
      <c r="D2593" s="7" t="n"/>
      <c r="E2593" s="9">
        <f>IF(D2593="","",IFERROR(INDEX('Stock pièces'!$B$5:$B$404,MATCH(D2593,'Stock pièces'!$A$5:$A$404,0)),"Réf. inconnue"))</f>
        <v/>
      </c>
      <c r="F2593" s="67" t="n"/>
      <c r="G2593" s="81">
        <f>IF(D2593="","",IFERROR(INDEX('Stock pièces'!$I$5:$I$404,MATCH(D2593,'Stock pièces'!$A$5:$A$404,0)),0))</f>
        <v/>
      </c>
      <c r="H2593" s="81">
        <f>IF(D2593="","",N(F2593)*N(G2593))</f>
        <v/>
      </c>
      <c r="I2593" s="7" t="n"/>
      <c r="J2593" s="9">
        <f>IF(I2593="","",IFERROR(INDEX('Ordres de travail'!$D$5:$D$3004,MATCH(I2593,'Ordres de travail'!$A$5:$A$3004,0)),""))</f>
        <v/>
      </c>
      <c r="K2593" s="9">
        <f>IF(D2593="","",IFERROR(INDEX('Stock pièces'!$D$5:$D$404,MATCH(D2593,'Stock pièces'!$A$5:$A$404,0)),""))</f>
        <v/>
      </c>
      <c r="L2593" s="7" t="n"/>
      <c r="M2593" s="7" t="n"/>
    </row>
    <row r="2594">
      <c r="A2594" s="7" t="n"/>
      <c r="B2594" s="75" t="n"/>
      <c r="C2594" s="7" t="n"/>
      <c r="D2594" s="7" t="n"/>
      <c r="E2594" s="9">
        <f>IF(D2594="","",IFERROR(INDEX('Stock pièces'!$B$5:$B$404,MATCH(D2594,'Stock pièces'!$A$5:$A$404,0)),"Réf. inconnue"))</f>
        <v/>
      </c>
      <c r="F2594" s="67" t="n"/>
      <c r="G2594" s="81">
        <f>IF(D2594="","",IFERROR(INDEX('Stock pièces'!$I$5:$I$404,MATCH(D2594,'Stock pièces'!$A$5:$A$404,0)),0))</f>
        <v/>
      </c>
      <c r="H2594" s="81">
        <f>IF(D2594="","",N(F2594)*N(G2594))</f>
        <v/>
      </c>
      <c r="I2594" s="7" t="n"/>
      <c r="J2594" s="9">
        <f>IF(I2594="","",IFERROR(INDEX('Ordres de travail'!$D$5:$D$3004,MATCH(I2594,'Ordres de travail'!$A$5:$A$3004,0)),""))</f>
        <v/>
      </c>
      <c r="K2594" s="9">
        <f>IF(D2594="","",IFERROR(INDEX('Stock pièces'!$D$5:$D$404,MATCH(D2594,'Stock pièces'!$A$5:$A$404,0)),""))</f>
        <v/>
      </c>
      <c r="L2594" s="7" t="n"/>
      <c r="M2594" s="7" t="n"/>
    </row>
    <row r="2595">
      <c r="A2595" s="7" t="n"/>
      <c r="B2595" s="75" t="n"/>
      <c r="C2595" s="7" t="n"/>
      <c r="D2595" s="7" t="n"/>
      <c r="E2595" s="9">
        <f>IF(D2595="","",IFERROR(INDEX('Stock pièces'!$B$5:$B$404,MATCH(D2595,'Stock pièces'!$A$5:$A$404,0)),"Réf. inconnue"))</f>
        <v/>
      </c>
      <c r="F2595" s="67" t="n"/>
      <c r="G2595" s="81">
        <f>IF(D2595="","",IFERROR(INDEX('Stock pièces'!$I$5:$I$404,MATCH(D2595,'Stock pièces'!$A$5:$A$404,0)),0))</f>
        <v/>
      </c>
      <c r="H2595" s="81">
        <f>IF(D2595="","",N(F2595)*N(G2595))</f>
        <v/>
      </c>
      <c r="I2595" s="7" t="n"/>
      <c r="J2595" s="9">
        <f>IF(I2595="","",IFERROR(INDEX('Ordres de travail'!$D$5:$D$3004,MATCH(I2595,'Ordres de travail'!$A$5:$A$3004,0)),""))</f>
        <v/>
      </c>
      <c r="K2595" s="9">
        <f>IF(D2595="","",IFERROR(INDEX('Stock pièces'!$D$5:$D$404,MATCH(D2595,'Stock pièces'!$A$5:$A$404,0)),""))</f>
        <v/>
      </c>
      <c r="L2595" s="7" t="n"/>
      <c r="M2595" s="7" t="n"/>
    </row>
    <row r="2596">
      <c r="A2596" s="7" t="n"/>
      <c r="B2596" s="75" t="n"/>
      <c r="C2596" s="7" t="n"/>
      <c r="D2596" s="7" t="n"/>
      <c r="E2596" s="9">
        <f>IF(D2596="","",IFERROR(INDEX('Stock pièces'!$B$5:$B$404,MATCH(D2596,'Stock pièces'!$A$5:$A$404,0)),"Réf. inconnue"))</f>
        <v/>
      </c>
      <c r="F2596" s="67" t="n"/>
      <c r="G2596" s="81">
        <f>IF(D2596="","",IFERROR(INDEX('Stock pièces'!$I$5:$I$404,MATCH(D2596,'Stock pièces'!$A$5:$A$404,0)),0))</f>
        <v/>
      </c>
      <c r="H2596" s="81">
        <f>IF(D2596="","",N(F2596)*N(G2596))</f>
        <v/>
      </c>
      <c r="I2596" s="7" t="n"/>
      <c r="J2596" s="9">
        <f>IF(I2596="","",IFERROR(INDEX('Ordres de travail'!$D$5:$D$3004,MATCH(I2596,'Ordres de travail'!$A$5:$A$3004,0)),""))</f>
        <v/>
      </c>
      <c r="K2596" s="9">
        <f>IF(D2596="","",IFERROR(INDEX('Stock pièces'!$D$5:$D$404,MATCH(D2596,'Stock pièces'!$A$5:$A$404,0)),""))</f>
        <v/>
      </c>
      <c r="L2596" s="7" t="n"/>
      <c r="M2596" s="7" t="n"/>
    </row>
    <row r="2597">
      <c r="A2597" s="7" t="n"/>
      <c r="B2597" s="75" t="n"/>
      <c r="C2597" s="7" t="n"/>
      <c r="D2597" s="7" t="n"/>
      <c r="E2597" s="9">
        <f>IF(D2597="","",IFERROR(INDEX('Stock pièces'!$B$5:$B$404,MATCH(D2597,'Stock pièces'!$A$5:$A$404,0)),"Réf. inconnue"))</f>
        <v/>
      </c>
      <c r="F2597" s="67" t="n"/>
      <c r="G2597" s="81">
        <f>IF(D2597="","",IFERROR(INDEX('Stock pièces'!$I$5:$I$404,MATCH(D2597,'Stock pièces'!$A$5:$A$404,0)),0))</f>
        <v/>
      </c>
      <c r="H2597" s="81">
        <f>IF(D2597="","",N(F2597)*N(G2597))</f>
        <v/>
      </c>
      <c r="I2597" s="7" t="n"/>
      <c r="J2597" s="9">
        <f>IF(I2597="","",IFERROR(INDEX('Ordres de travail'!$D$5:$D$3004,MATCH(I2597,'Ordres de travail'!$A$5:$A$3004,0)),""))</f>
        <v/>
      </c>
      <c r="K2597" s="9">
        <f>IF(D2597="","",IFERROR(INDEX('Stock pièces'!$D$5:$D$404,MATCH(D2597,'Stock pièces'!$A$5:$A$404,0)),""))</f>
        <v/>
      </c>
      <c r="L2597" s="7" t="n"/>
      <c r="M2597" s="7" t="n"/>
    </row>
    <row r="2598">
      <c r="A2598" s="7" t="n"/>
      <c r="B2598" s="75" t="n"/>
      <c r="C2598" s="7" t="n"/>
      <c r="D2598" s="7" t="n"/>
      <c r="E2598" s="9">
        <f>IF(D2598="","",IFERROR(INDEX('Stock pièces'!$B$5:$B$404,MATCH(D2598,'Stock pièces'!$A$5:$A$404,0)),"Réf. inconnue"))</f>
        <v/>
      </c>
      <c r="F2598" s="67" t="n"/>
      <c r="G2598" s="81">
        <f>IF(D2598="","",IFERROR(INDEX('Stock pièces'!$I$5:$I$404,MATCH(D2598,'Stock pièces'!$A$5:$A$404,0)),0))</f>
        <v/>
      </c>
      <c r="H2598" s="81">
        <f>IF(D2598="","",N(F2598)*N(G2598))</f>
        <v/>
      </c>
      <c r="I2598" s="7" t="n"/>
      <c r="J2598" s="9">
        <f>IF(I2598="","",IFERROR(INDEX('Ordres de travail'!$D$5:$D$3004,MATCH(I2598,'Ordres de travail'!$A$5:$A$3004,0)),""))</f>
        <v/>
      </c>
      <c r="K2598" s="9">
        <f>IF(D2598="","",IFERROR(INDEX('Stock pièces'!$D$5:$D$404,MATCH(D2598,'Stock pièces'!$A$5:$A$404,0)),""))</f>
        <v/>
      </c>
      <c r="L2598" s="7" t="n"/>
      <c r="M2598" s="7" t="n"/>
    </row>
    <row r="2599">
      <c r="A2599" s="7" t="n"/>
      <c r="B2599" s="75" t="n"/>
      <c r="C2599" s="7" t="n"/>
      <c r="D2599" s="7" t="n"/>
      <c r="E2599" s="9">
        <f>IF(D2599="","",IFERROR(INDEX('Stock pièces'!$B$5:$B$404,MATCH(D2599,'Stock pièces'!$A$5:$A$404,0)),"Réf. inconnue"))</f>
        <v/>
      </c>
      <c r="F2599" s="67" t="n"/>
      <c r="G2599" s="81">
        <f>IF(D2599="","",IFERROR(INDEX('Stock pièces'!$I$5:$I$404,MATCH(D2599,'Stock pièces'!$A$5:$A$404,0)),0))</f>
        <v/>
      </c>
      <c r="H2599" s="81">
        <f>IF(D2599="","",N(F2599)*N(G2599))</f>
        <v/>
      </c>
      <c r="I2599" s="7" t="n"/>
      <c r="J2599" s="9">
        <f>IF(I2599="","",IFERROR(INDEX('Ordres de travail'!$D$5:$D$3004,MATCH(I2599,'Ordres de travail'!$A$5:$A$3004,0)),""))</f>
        <v/>
      </c>
      <c r="K2599" s="9">
        <f>IF(D2599="","",IFERROR(INDEX('Stock pièces'!$D$5:$D$404,MATCH(D2599,'Stock pièces'!$A$5:$A$404,0)),""))</f>
        <v/>
      </c>
      <c r="L2599" s="7" t="n"/>
      <c r="M2599" s="7" t="n"/>
    </row>
    <row r="2600">
      <c r="A2600" s="7" t="n"/>
      <c r="B2600" s="75" t="n"/>
      <c r="C2600" s="7" t="n"/>
      <c r="D2600" s="7" t="n"/>
      <c r="E2600" s="9">
        <f>IF(D2600="","",IFERROR(INDEX('Stock pièces'!$B$5:$B$404,MATCH(D2600,'Stock pièces'!$A$5:$A$404,0)),"Réf. inconnue"))</f>
        <v/>
      </c>
      <c r="F2600" s="67" t="n"/>
      <c r="G2600" s="81">
        <f>IF(D2600="","",IFERROR(INDEX('Stock pièces'!$I$5:$I$404,MATCH(D2600,'Stock pièces'!$A$5:$A$404,0)),0))</f>
        <v/>
      </c>
      <c r="H2600" s="81">
        <f>IF(D2600="","",N(F2600)*N(G2600))</f>
        <v/>
      </c>
      <c r="I2600" s="7" t="n"/>
      <c r="J2600" s="9">
        <f>IF(I2600="","",IFERROR(INDEX('Ordres de travail'!$D$5:$D$3004,MATCH(I2600,'Ordres de travail'!$A$5:$A$3004,0)),""))</f>
        <v/>
      </c>
      <c r="K2600" s="9">
        <f>IF(D2600="","",IFERROR(INDEX('Stock pièces'!$D$5:$D$404,MATCH(D2600,'Stock pièces'!$A$5:$A$404,0)),""))</f>
        <v/>
      </c>
      <c r="L2600" s="7" t="n"/>
      <c r="M2600" s="7" t="n"/>
    </row>
    <row r="2601">
      <c r="A2601" s="7" t="n"/>
      <c r="B2601" s="75" t="n"/>
      <c r="C2601" s="7" t="n"/>
      <c r="D2601" s="7" t="n"/>
      <c r="E2601" s="9">
        <f>IF(D2601="","",IFERROR(INDEX('Stock pièces'!$B$5:$B$404,MATCH(D2601,'Stock pièces'!$A$5:$A$404,0)),"Réf. inconnue"))</f>
        <v/>
      </c>
      <c r="F2601" s="67" t="n"/>
      <c r="G2601" s="81">
        <f>IF(D2601="","",IFERROR(INDEX('Stock pièces'!$I$5:$I$404,MATCH(D2601,'Stock pièces'!$A$5:$A$404,0)),0))</f>
        <v/>
      </c>
      <c r="H2601" s="81">
        <f>IF(D2601="","",N(F2601)*N(G2601))</f>
        <v/>
      </c>
      <c r="I2601" s="7" t="n"/>
      <c r="J2601" s="9">
        <f>IF(I2601="","",IFERROR(INDEX('Ordres de travail'!$D$5:$D$3004,MATCH(I2601,'Ordres de travail'!$A$5:$A$3004,0)),""))</f>
        <v/>
      </c>
      <c r="K2601" s="9">
        <f>IF(D2601="","",IFERROR(INDEX('Stock pièces'!$D$5:$D$404,MATCH(D2601,'Stock pièces'!$A$5:$A$404,0)),""))</f>
        <v/>
      </c>
      <c r="L2601" s="7" t="n"/>
      <c r="M2601" s="7" t="n"/>
    </row>
    <row r="2602">
      <c r="A2602" s="7" t="n"/>
      <c r="B2602" s="75" t="n"/>
      <c r="C2602" s="7" t="n"/>
      <c r="D2602" s="7" t="n"/>
      <c r="E2602" s="9">
        <f>IF(D2602="","",IFERROR(INDEX('Stock pièces'!$B$5:$B$404,MATCH(D2602,'Stock pièces'!$A$5:$A$404,0)),"Réf. inconnue"))</f>
        <v/>
      </c>
      <c r="F2602" s="67" t="n"/>
      <c r="G2602" s="81">
        <f>IF(D2602="","",IFERROR(INDEX('Stock pièces'!$I$5:$I$404,MATCH(D2602,'Stock pièces'!$A$5:$A$404,0)),0))</f>
        <v/>
      </c>
      <c r="H2602" s="81">
        <f>IF(D2602="","",N(F2602)*N(G2602))</f>
        <v/>
      </c>
      <c r="I2602" s="7" t="n"/>
      <c r="J2602" s="9">
        <f>IF(I2602="","",IFERROR(INDEX('Ordres de travail'!$D$5:$D$3004,MATCH(I2602,'Ordres de travail'!$A$5:$A$3004,0)),""))</f>
        <v/>
      </c>
      <c r="K2602" s="9">
        <f>IF(D2602="","",IFERROR(INDEX('Stock pièces'!$D$5:$D$404,MATCH(D2602,'Stock pièces'!$A$5:$A$404,0)),""))</f>
        <v/>
      </c>
      <c r="L2602" s="7" t="n"/>
      <c r="M2602" s="7" t="n"/>
    </row>
    <row r="2603">
      <c r="A2603" s="7" t="n"/>
      <c r="B2603" s="75" t="n"/>
      <c r="C2603" s="7" t="n"/>
      <c r="D2603" s="7" t="n"/>
      <c r="E2603" s="9">
        <f>IF(D2603="","",IFERROR(INDEX('Stock pièces'!$B$5:$B$404,MATCH(D2603,'Stock pièces'!$A$5:$A$404,0)),"Réf. inconnue"))</f>
        <v/>
      </c>
      <c r="F2603" s="67" t="n"/>
      <c r="G2603" s="81">
        <f>IF(D2603="","",IFERROR(INDEX('Stock pièces'!$I$5:$I$404,MATCH(D2603,'Stock pièces'!$A$5:$A$404,0)),0))</f>
        <v/>
      </c>
      <c r="H2603" s="81">
        <f>IF(D2603="","",N(F2603)*N(G2603))</f>
        <v/>
      </c>
      <c r="I2603" s="7" t="n"/>
      <c r="J2603" s="9">
        <f>IF(I2603="","",IFERROR(INDEX('Ordres de travail'!$D$5:$D$3004,MATCH(I2603,'Ordres de travail'!$A$5:$A$3004,0)),""))</f>
        <v/>
      </c>
      <c r="K2603" s="9">
        <f>IF(D2603="","",IFERROR(INDEX('Stock pièces'!$D$5:$D$404,MATCH(D2603,'Stock pièces'!$A$5:$A$404,0)),""))</f>
        <v/>
      </c>
      <c r="L2603" s="7" t="n"/>
      <c r="M2603" s="7" t="n"/>
    </row>
    <row r="2604">
      <c r="A2604" s="7" t="n"/>
      <c r="B2604" s="75" t="n"/>
      <c r="C2604" s="7" t="n"/>
      <c r="D2604" s="7" t="n"/>
      <c r="E2604" s="9">
        <f>IF(D2604="","",IFERROR(INDEX('Stock pièces'!$B$5:$B$404,MATCH(D2604,'Stock pièces'!$A$5:$A$404,0)),"Réf. inconnue"))</f>
        <v/>
      </c>
      <c r="F2604" s="67" t="n"/>
      <c r="G2604" s="81">
        <f>IF(D2604="","",IFERROR(INDEX('Stock pièces'!$I$5:$I$404,MATCH(D2604,'Stock pièces'!$A$5:$A$404,0)),0))</f>
        <v/>
      </c>
      <c r="H2604" s="81">
        <f>IF(D2604="","",N(F2604)*N(G2604))</f>
        <v/>
      </c>
      <c r="I2604" s="7" t="n"/>
      <c r="J2604" s="9">
        <f>IF(I2604="","",IFERROR(INDEX('Ordres de travail'!$D$5:$D$3004,MATCH(I2604,'Ordres de travail'!$A$5:$A$3004,0)),""))</f>
        <v/>
      </c>
      <c r="K2604" s="9">
        <f>IF(D2604="","",IFERROR(INDEX('Stock pièces'!$D$5:$D$404,MATCH(D2604,'Stock pièces'!$A$5:$A$404,0)),""))</f>
        <v/>
      </c>
      <c r="L2604" s="7" t="n"/>
      <c r="M2604" s="7" t="n"/>
    </row>
    <row r="2605">
      <c r="A2605" s="7" t="n"/>
      <c r="B2605" s="75" t="n"/>
      <c r="C2605" s="7" t="n"/>
      <c r="D2605" s="7" t="n"/>
      <c r="E2605" s="9">
        <f>IF(D2605="","",IFERROR(INDEX('Stock pièces'!$B$5:$B$404,MATCH(D2605,'Stock pièces'!$A$5:$A$404,0)),"Réf. inconnue"))</f>
        <v/>
      </c>
      <c r="F2605" s="67" t="n"/>
      <c r="G2605" s="81">
        <f>IF(D2605="","",IFERROR(INDEX('Stock pièces'!$I$5:$I$404,MATCH(D2605,'Stock pièces'!$A$5:$A$404,0)),0))</f>
        <v/>
      </c>
      <c r="H2605" s="81">
        <f>IF(D2605="","",N(F2605)*N(G2605))</f>
        <v/>
      </c>
      <c r="I2605" s="7" t="n"/>
      <c r="J2605" s="9">
        <f>IF(I2605="","",IFERROR(INDEX('Ordres de travail'!$D$5:$D$3004,MATCH(I2605,'Ordres de travail'!$A$5:$A$3004,0)),""))</f>
        <v/>
      </c>
      <c r="K2605" s="9">
        <f>IF(D2605="","",IFERROR(INDEX('Stock pièces'!$D$5:$D$404,MATCH(D2605,'Stock pièces'!$A$5:$A$404,0)),""))</f>
        <v/>
      </c>
      <c r="L2605" s="7" t="n"/>
      <c r="M2605" s="7" t="n"/>
    </row>
    <row r="2606">
      <c r="A2606" s="7" t="n"/>
      <c r="B2606" s="75" t="n"/>
      <c r="C2606" s="7" t="n"/>
      <c r="D2606" s="7" t="n"/>
      <c r="E2606" s="9">
        <f>IF(D2606="","",IFERROR(INDEX('Stock pièces'!$B$5:$B$404,MATCH(D2606,'Stock pièces'!$A$5:$A$404,0)),"Réf. inconnue"))</f>
        <v/>
      </c>
      <c r="F2606" s="67" t="n"/>
      <c r="G2606" s="81">
        <f>IF(D2606="","",IFERROR(INDEX('Stock pièces'!$I$5:$I$404,MATCH(D2606,'Stock pièces'!$A$5:$A$404,0)),0))</f>
        <v/>
      </c>
      <c r="H2606" s="81">
        <f>IF(D2606="","",N(F2606)*N(G2606))</f>
        <v/>
      </c>
      <c r="I2606" s="7" t="n"/>
      <c r="J2606" s="9">
        <f>IF(I2606="","",IFERROR(INDEX('Ordres de travail'!$D$5:$D$3004,MATCH(I2606,'Ordres de travail'!$A$5:$A$3004,0)),""))</f>
        <v/>
      </c>
      <c r="K2606" s="9">
        <f>IF(D2606="","",IFERROR(INDEX('Stock pièces'!$D$5:$D$404,MATCH(D2606,'Stock pièces'!$A$5:$A$404,0)),""))</f>
        <v/>
      </c>
      <c r="L2606" s="7" t="n"/>
      <c r="M2606" s="7" t="n"/>
    </row>
    <row r="2607">
      <c r="A2607" s="7" t="n"/>
      <c r="B2607" s="75" t="n"/>
      <c r="C2607" s="7" t="n"/>
      <c r="D2607" s="7" t="n"/>
      <c r="E2607" s="9">
        <f>IF(D2607="","",IFERROR(INDEX('Stock pièces'!$B$5:$B$404,MATCH(D2607,'Stock pièces'!$A$5:$A$404,0)),"Réf. inconnue"))</f>
        <v/>
      </c>
      <c r="F2607" s="67" t="n"/>
      <c r="G2607" s="81">
        <f>IF(D2607="","",IFERROR(INDEX('Stock pièces'!$I$5:$I$404,MATCH(D2607,'Stock pièces'!$A$5:$A$404,0)),0))</f>
        <v/>
      </c>
      <c r="H2607" s="81">
        <f>IF(D2607="","",N(F2607)*N(G2607))</f>
        <v/>
      </c>
      <c r="I2607" s="7" t="n"/>
      <c r="J2607" s="9">
        <f>IF(I2607="","",IFERROR(INDEX('Ordres de travail'!$D$5:$D$3004,MATCH(I2607,'Ordres de travail'!$A$5:$A$3004,0)),""))</f>
        <v/>
      </c>
      <c r="K2607" s="9">
        <f>IF(D2607="","",IFERROR(INDEX('Stock pièces'!$D$5:$D$404,MATCH(D2607,'Stock pièces'!$A$5:$A$404,0)),""))</f>
        <v/>
      </c>
      <c r="L2607" s="7" t="n"/>
      <c r="M2607" s="7" t="n"/>
    </row>
    <row r="2608">
      <c r="A2608" s="7" t="n"/>
      <c r="B2608" s="75" t="n"/>
      <c r="C2608" s="7" t="n"/>
      <c r="D2608" s="7" t="n"/>
      <c r="E2608" s="9">
        <f>IF(D2608="","",IFERROR(INDEX('Stock pièces'!$B$5:$B$404,MATCH(D2608,'Stock pièces'!$A$5:$A$404,0)),"Réf. inconnue"))</f>
        <v/>
      </c>
      <c r="F2608" s="67" t="n"/>
      <c r="G2608" s="81">
        <f>IF(D2608="","",IFERROR(INDEX('Stock pièces'!$I$5:$I$404,MATCH(D2608,'Stock pièces'!$A$5:$A$404,0)),0))</f>
        <v/>
      </c>
      <c r="H2608" s="81">
        <f>IF(D2608="","",N(F2608)*N(G2608))</f>
        <v/>
      </c>
      <c r="I2608" s="7" t="n"/>
      <c r="J2608" s="9">
        <f>IF(I2608="","",IFERROR(INDEX('Ordres de travail'!$D$5:$D$3004,MATCH(I2608,'Ordres de travail'!$A$5:$A$3004,0)),""))</f>
        <v/>
      </c>
      <c r="K2608" s="9">
        <f>IF(D2608="","",IFERROR(INDEX('Stock pièces'!$D$5:$D$404,MATCH(D2608,'Stock pièces'!$A$5:$A$404,0)),""))</f>
        <v/>
      </c>
      <c r="L2608" s="7" t="n"/>
      <c r="M2608" s="7" t="n"/>
    </row>
    <row r="2609">
      <c r="A2609" s="7" t="n"/>
      <c r="B2609" s="75" t="n"/>
      <c r="C2609" s="7" t="n"/>
      <c r="D2609" s="7" t="n"/>
      <c r="E2609" s="9">
        <f>IF(D2609="","",IFERROR(INDEX('Stock pièces'!$B$5:$B$404,MATCH(D2609,'Stock pièces'!$A$5:$A$404,0)),"Réf. inconnue"))</f>
        <v/>
      </c>
      <c r="F2609" s="67" t="n"/>
      <c r="G2609" s="81">
        <f>IF(D2609="","",IFERROR(INDEX('Stock pièces'!$I$5:$I$404,MATCH(D2609,'Stock pièces'!$A$5:$A$404,0)),0))</f>
        <v/>
      </c>
      <c r="H2609" s="81">
        <f>IF(D2609="","",N(F2609)*N(G2609))</f>
        <v/>
      </c>
      <c r="I2609" s="7" t="n"/>
      <c r="J2609" s="9">
        <f>IF(I2609="","",IFERROR(INDEX('Ordres de travail'!$D$5:$D$3004,MATCH(I2609,'Ordres de travail'!$A$5:$A$3004,0)),""))</f>
        <v/>
      </c>
      <c r="K2609" s="9">
        <f>IF(D2609="","",IFERROR(INDEX('Stock pièces'!$D$5:$D$404,MATCH(D2609,'Stock pièces'!$A$5:$A$404,0)),""))</f>
        <v/>
      </c>
      <c r="L2609" s="7" t="n"/>
      <c r="M2609" s="7" t="n"/>
    </row>
    <row r="2610">
      <c r="A2610" s="7" t="n"/>
      <c r="B2610" s="75" t="n"/>
      <c r="C2610" s="7" t="n"/>
      <c r="D2610" s="7" t="n"/>
      <c r="E2610" s="9">
        <f>IF(D2610="","",IFERROR(INDEX('Stock pièces'!$B$5:$B$404,MATCH(D2610,'Stock pièces'!$A$5:$A$404,0)),"Réf. inconnue"))</f>
        <v/>
      </c>
      <c r="F2610" s="67" t="n"/>
      <c r="G2610" s="81">
        <f>IF(D2610="","",IFERROR(INDEX('Stock pièces'!$I$5:$I$404,MATCH(D2610,'Stock pièces'!$A$5:$A$404,0)),0))</f>
        <v/>
      </c>
      <c r="H2610" s="81">
        <f>IF(D2610="","",N(F2610)*N(G2610))</f>
        <v/>
      </c>
      <c r="I2610" s="7" t="n"/>
      <c r="J2610" s="9">
        <f>IF(I2610="","",IFERROR(INDEX('Ordres de travail'!$D$5:$D$3004,MATCH(I2610,'Ordres de travail'!$A$5:$A$3004,0)),""))</f>
        <v/>
      </c>
      <c r="K2610" s="9">
        <f>IF(D2610="","",IFERROR(INDEX('Stock pièces'!$D$5:$D$404,MATCH(D2610,'Stock pièces'!$A$5:$A$404,0)),""))</f>
        <v/>
      </c>
      <c r="L2610" s="7" t="n"/>
      <c r="M2610" s="7" t="n"/>
    </row>
    <row r="2611">
      <c r="A2611" s="7" t="n"/>
      <c r="B2611" s="75" t="n"/>
      <c r="C2611" s="7" t="n"/>
      <c r="D2611" s="7" t="n"/>
      <c r="E2611" s="9">
        <f>IF(D2611="","",IFERROR(INDEX('Stock pièces'!$B$5:$B$404,MATCH(D2611,'Stock pièces'!$A$5:$A$404,0)),"Réf. inconnue"))</f>
        <v/>
      </c>
      <c r="F2611" s="67" t="n"/>
      <c r="G2611" s="81">
        <f>IF(D2611="","",IFERROR(INDEX('Stock pièces'!$I$5:$I$404,MATCH(D2611,'Stock pièces'!$A$5:$A$404,0)),0))</f>
        <v/>
      </c>
      <c r="H2611" s="81">
        <f>IF(D2611="","",N(F2611)*N(G2611))</f>
        <v/>
      </c>
      <c r="I2611" s="7" t="n"/>
      <c r="J2611" s="9">
        <f>IF(I2611="","",IFERROR(INDEX('Ordres de travail'!$D$5:$D$3004,MATCH(I2611,'Ordres de travail'!$A$5:$A$3004,0)),""))</f>
        <v/>
      </c>
      <c r="K2611" s="9">
        <f>IF(D2611="","",IFERROR(INDEX('Stock pièces'!$D$5:$D$404,MATCH(D2611,'Stock pièces'!$A$5:$A$404,0)),""))</f>
        <v/>
      </c>
      <c r="L2611" s="7" t="n"/>
      <c r="M2611" s="7" t="n"/>
    </row>
    <row r="2612">
      <c r="A2612" s="7" t="n"/>
      <c r="B2612" s="75" t="n"/>
      <c r="C2612" s="7" t="n"/>
      <c r="D2612" s="7" t="n"/>
      <c r="E2612" s="9">
        <f>IF(D2612="","",IFERROR(INDEX('Stock pièces'!$B$5:$B$404,MATCH(D2612,'Stock pièces'!$A$5:$A$404,0)),"Réf. inconnue"))</f>
        <v/>
      </c>
      <c r="F2612" s="67" t="n"/>
      <c r="G2612" s="81">
        <f>IF(D2612="","",IFERROR(INDEX('Stock pièces'!$I$5:$I$404,MATCH(D2612,'Stock pièces'!$A$5:$A$404,0)),0))</f>
        <v/>
      </c>
      <c r="H2612" s="81">
        <f>IF(D2612="","",N(F2612)*N(G2612))</f>
        <v/>
      </c>
      <c r="I2612" s="7" t="n"/>
      <c r="J2612" s="9">
        <f>IF(I2612="","",IFERROR(INDEX('Ordres de travail'!$D$5:$D$3004,MATCH(I2612,'Ordres de travail'!$A$5:$A$3004,0)),""))</f>
        <v/>
      </c>
      <c r="K2612" s="9">
        <f>IF(D2612="","",IFERROR(INDEX('Stock pièces'!$D$5:$D$404,MATCH(D2612,'Stock pièces'!$A$5:$A$404,0)),""))</f>
        <v/>
      </c>
      <c r="L2612" s="7" t="n"/>
      <c r="M2612" s="7" t="n"/>
    </row>
    <row r="2613">
      <c r="A2613" s="7" t="n"/>
      <c r="B2613" s="75" t="n"/>
      <c r="C2613" s="7" t="n"/>
      <c r="D2613" s="7" t="n"/>
      <c r="E2613" s="9">
        <f>IF(D2613="","",IFERROR(INDEX('Stock pièces'!$B$5:$B$404,MATCH(D2613,'Stock pièces'!$A$5:$A$404,0)),"Réf. inconnue"))</f>
        <v/>
      </c>
      <c r="F2613" s="67" t="n"/>
      <c r="G2613" s="81">
        <f>IF(D2613="","",IFERROR(INDEX('Stock pièces'!$I$5:$I$404,MATCH(D2613,'Stock pièces'!$A$5:$A$404,0)),0))</f>
        <v/>
      </c>
      <c r="H2613" s="81">
        <f>IF(D2613="","",N(F2613)*N(G2613))</f>
        <v/>
      </c>
      <c r="I2613" s="7" t="n"/>
      <c r="J2613" s="9">
        <f>IF(I2613="","",IFERROR(INDEX('Ordres de travail'!$D$5:$D$3004,MATCH(I2613,'Ordres de travail'!$A$5:$A$3004,0)),""))</f>
        <v/>
      </c>
      <c r="K2613" s="9">
        <f>IF(D2613="","",IFERROR(INDEX('Stock pièces'!$D$5:$D$404,MATCH(D2613,'Stock pièces'!$A$5:$A$404,0)),""))</f>
        <v/>
      </c>
      <c r="L2613" s="7" t="n"/>
      <c r="M2613" s="7" t="n"/>
    </row>
    <row r="2614">
      <c r="A2614" s="7" t="n"/>
      <c r="B2614" s="75" t="n"/>
      <c r="C2614" s="7" t="n"/>
      <c r="D2614" s="7" t="n"/>
      <c r="E2614" s="9">
        <f>IF(D2614="","",IFERROR(INDEX('Stock pièces'!$B$5:$B$404,MATCH(D2614,'Stock pièces'!$A$5:$A$404,0)),"Réf. inconnue"))</f>
        <v/>
      </c>
      <c r="F2614" s="67" t="n"/>
      <c r="G2614" s="81">
        <f>IF(D2614="","",IFERROR(INDEX('Stock pièces'!$I$5:$I$404,MATCH(D2614,'Stock pièces'!$A$5:$A$404,0)),0))</f>
        <v/>
      </c>
      <c r="H2614" s="81">
        <f>IF(D2614="","",N(F2614)*N(G2614))</f>
        <v/>
      </c>
      <c r="I2614" s="7" t="n"/>
      <c r="J2614" s="9">
        <f>IF(I2614="","",IFERROR(INDEX('Ordres de travail'!$D$5:$D$3004,MATCH(I2614,'Ordres de travail'!$A$5:$A$3004,0)),""))</f>
        <v/>
      </c>
      <c r="K2614" s="9">
        <f>IF(D2614="","",IFERROR(INDEX('Stock pièces'!$D$5:$D$404,MATCH(D2614,'Stock pièces'!$A$5:$A$404,0)),""))</f>
        <v/>
      </c>
      <c r="L2614" s="7" t="n"/>
      <c r="M2614" s="7" t="n"/>
    </row>
    <row r="2615">
      <c r="A2615" s="7" t="n"/>
      <c r="B2615" s="75" t="n"/>
      <c r="C2615" s="7" t="n"/>
      <c r="D2615" s="7" t="n"/>
      <c r="E2615" s="9">
        <f>IF(D2615="","",IFERROR(INDEX('Stock pièces'!$B$5:$B$404,MATCH(D2615,'Stock pièces'!$A$5:$A$404,0)),"Réf. inconnue"))</f>
        <v/>
      </c>
      <c r="F2615" s="67" t="n"/>
      <c r="G2615" s="81">
        <f>IF(D2615="","",IFERROR(INDEX('Stock pièces'!$I$5:$I$404,MATCH(D2615,'Stock pièces'!$A$5:$A$404,0)),0))</f>
        <v/>
      </c>
      <c r="H2615" s="81">
        <f>IF(D2615="","",N(F2615)*N(G2615))</f>
        <v/>
      </c>
      <c r="I2615" s="7" t="n"/>
      <c r="J2615" s="9">
        <f>IF(I2615="","",IFERROR(INDEX('Ordres de travail'!$D$5:$D$3004,MATCH(I2615,'Ordres de travail'!$A$5:$A$3004,0)),""))</f>
        <v/>
      </c>
      <c r="K2615" s="9">
        <f>IF(D2615="","",IFERROR(INDEX('Stock pièces'!$D$5:$D$404,MATCH(D2615,'Stock pièces'!$A$5:$A$404,0)),""))</f>
        <v/>
      </c>
      <c r="L2615" s="7" t="n"/>
      <c r="M2615" s="7" t="n"/>
    </row>
    <row r="2616">
      <c r="A2616" s="7" t="n"/>
      <c r="B2616" s="75" t="n"/>
      <c r="C2616" s="7" t="n"/>
      <c r="D2616" s="7" t="n"/>
      <c r="E2616" s="9">
        <f>IF(D2616="","",IFERROR(INDEX('Stock pièces'!$B$5:$B$404,MATCH(D2616,'Stock pièces'!$A$5:$A$404,0)),"Réf. inconnue"))</f>
        <v/>
      </c>
      <c r="F2616" s="67" t="n"/>
      <c r="G2616" s="81">
        <f>IF(D2616="","",IFERROR(INDEX('Stock pièces'!$I$5:$I$404,MATCH(D2616,'Stock pièces'!$A$5:$A$404,0)),0))</f>
        <v/>
      </c>
      <c r="H2616" s="81">
        <f>IF(D2616="","",N(F2616)*N(G2616))</f>
        <v/>
      </c>
      <c r="I2616" s="7" t="n"/>
      <c r="J2616" s="9">
        <f>IF(I2616="","",IFERROR(INDEX('Ordres de travail'!$D$5:$D$3004,MATCH(I2616,'Ordres de travail'!$A$5:$A$3004,0)),""))</f>
        <v/>
      </c>
      <c r="K2616" s="9">
        <f>IF(D2616="","",IFERROR(INDEX('Stock pièces'!$D$5:$D$404,MATCH(D2616,'Stock pièces'!$A$5:$A$404,0)),""))</f>
        <v/>
      </c>
      <c r="L2616" s="7" t="n"/>
      <c r="M2616" s="7" t="n"/>
    </row>
    <row r="2617">
      <c r="A2617" s="7" t="n"/>
      <c r="B2617" s="75" t="n"/>
      <c r="C2617" s="7" t="n"/>
      <c r="D2617" s="7" t="n"/>
      <c r="E2617" s="9">
        <f>IF(D2617="","",IFERROR(INDEX('Stock pièces'!$B$5:$B$404,MATCH(D2617,'Stock pièces'!$A$5:$A$404,0)),"Réf. inconnue"))</f>
        <v/>
      </c>
      <c r="F2617" s="67" t="n"/>
      <c r="G2617" s="81">
        <f>IF(D2617="","",IFERROR(INDEX('Stock pièces'!$I$5:$I$404,MATCH(D2617,'Stock pièces'!$A$5:$A$404,0)),0))</f>
        <v/>
      </c>
      <c r="H2617" s="81">
        <f>IF(D2617="","",N(F2617)*N(G2617))</f>
        <v/>
      </c>
      <c r="I2617" s="7" t="n"/>
      <c r="J2617" s="9">
        <f>IF(I2617="","",IFERROR(INDEX('Ordres de travail'!$D$5:$D$3004,MATCH(I2617,'Ordres de travail'!$A$5:$A$3004,0)),""))</f>
        <v/>
      </c>
      <c r="K2617" s="9">
        <f>IF(D2617="","",IFERROR(INDEX('Stock pièces'!$D$5:$D$404,MATCH(D2617,'Stock pièces'!$A$5:$A$404,0)),""))</f>
        <v/>
      </c>
      <c r="L2617" s="7" t="n"/>
      <c r="M2617" s="7" t="n"/>
    </row>
    <row r="2618">
      <c r="A2618" s="7" t="n"/>
      <c r="B2618" s="75" t="n"/>
      <c r="C2618" s="7" t="n"/>
      <c r="D2618" s="7" t="n"/>
      <c r="E2618" s="9">
        <f>IF(D2618="","",IFERROR(INDEX('Stock pièces'!$B$5:$B$404,MATCH(D2618,'Stock pièces'!$A$5:$A$404,0)),"Réf. inconnue"))</f>
        <v/>
      </c>
      <c r="F2618" s="67" t="n"/>
      <c r="G2618" s="81">
        <f>IF(D2618="","",IFERROR(INDEX('Stock pièces'!$I$5:$I$404,MATCH(D2618,'Stock pièces'!$A$5:$A$404,0)),0))</f>
        <v/>
      </c>
      <c r="H2618" s="81">
        <f>IF(D2618="","",N(F2618)*N(G2618))</f>
        <v/>
      </c>
      <c r="I2618" s="7" t="n"/>
      <c r="J2618" s="9">
        <f>IF(I2618="","",IFERROR(INDEX('Ordres de travail'!$D$5:$D$3004,MATCH(I2618,'Ordres de travail'!$A$5:$A$3004,0)),""))</f>
        <v/>
      </c>
      <c r="K2618" s="9">
        <f>IF(D2618="","",IFERROR(INDEX('Stock pièces'!$D$5:$D$404,MATCH(D2618,'Stock pièces'!$A$5:$A$404,0)),""))</f>
        <v/>
      </c>
      <c r="L2618" s="7" t="n"/>
      <c r="M2618" s="7" t="n"/>
    </row>
    <row r="2619">
      <c r="A2619" s="7" t="n"/>
      <c r="B2619" s="75" t="n"/>
      <c r="C2619" s="7" t="n"/>
      <c r="D2619" s="7" t="n"/>
      <c r="E2619" s="9">
        <f>IF(D2619="","",IFERROR(INDEX('Stock pièces'!$B$5:$B$404,MATCH(D2619,'Stock pièces'!$A$5:$A$404,0)),"Réf. inconnue"))</f>
        <v/>
      </c>
      <c r="F2619" s="67" t="n"/>
      <c r="G2619" s="81">
        <f>IF(D2619="","",IFERROR(INDEX('Stock pièces'!$I$5:$I$404,MATCH(D2619,'Stock pièces'!$A$5:$A$404,0)),0))</f>
        <v/>
      </c>
      <c r="H2619" s="81">
        <f>IF(D2619="","",N(F2619)*N(G2619))</f>
        <v/>
      </c>
      <c r="I2619" s="7" t="n"/>
      <c r="J2619" s="9">
        <f>IF(I2619="","",IFERROR(INDEX('Ordres de travail'!$D$5:$D$3004,MATCH(I2619,'Ordres de travail'!$A$5:$A$3004,0)),""))</f>
        <v/>
      </c>
      <c r="K2619" s="9">
        <f>IF(D2619="","",IFERROR(INDEX('Stock pièces'!$D$5:$D$404,MATCH(D2619,'Stock pièces'!$A$5:$A$404,0)),""))</f>
        <v/>
      </c>
      <c r="L2619" s="7" t="n"/>
      <c r="M2619" s="7" t="n"/>
    </row>
    <row r="2620">
      <c r="A2620" s="7" t="n"/>
      <c r="B2620" s="75" t="n"/>
      <c r="C2620" s="7" t="n"/>
      <c r="D2620" s="7" t="n"/>
      <c r="E2620" s="9">
        <f>IF(D2620="","",IFERROR(INDEX('Stock pièces'!$B$5:$B$404,MATCH(D2620,'Stock pièces'!$A$5:$A$404,0)),"Réf. inconnue"))</f>
        <v/>
      </c>
      <c r="F2620" s="67" t="n"/>
      <c r="G2620" s="81">
        <f>IF(D2620="","",IFERROR(INDEX('Stock pièces'!$I$5:$I$404,MATCH(D2620,'Stock pièces'!$A$5:$A$404,0)),0))</f>
        <v/>
      </c>
      <c r="H2620" s="81">
        <f>IF(D2620="","",N(F2620)*N(G2620))</f>
        <v/>
      </c>
      <c r="I2620" s="7" t="n"/>
      <c r="J2620" s="9">
        <f>IF(I2620="","",IFERROR(INDEX('Ordres de travail'!$D$5:$D$3004,MATCH(I2620,'Ordres de travail'!$A$5:$A$3004,0)),""))</f>
        <v/>
      </c>
      <c r="K2620" s="9">
        <f>IF(D2620="","",IFERROR(INDEX('Stock pièces'!$D$5:$D$404,MATCH(D2620,'Stock pièces'!$A$5:$A$404,0)),""))</f>
        <v/>
      </c>
      <c r="L2620" s="7" t="n"/>
      <c r="M2620" s="7" t="n"/>
    </row>
    <row r="2621">
      <c r="A2621" s="7" t="n"/>
      <c r="B2621" s="75" t="n"/>
      <c r="C2621" s="7" t="n"/>
      <c r="D2621" s="7" t="n"/>
      <c r="E2621" s="9">
        <f>IF(D2621="","",IFERROR(INDEX('Stock pièces'!$B$5:$B$404,MATCH(D2621,'Stock pièces'!$A$5:$A$404,0)),"Réf. inconnue"))</f>
        <v/>
      </c>
      <c r="F2621" s="67" t="n"/>
      <c r="G2621" s="81">
        <f>IF(D2621="","",IFERROR(INDEX('Stock pièces'!$I$5:$I$404,MATCH(D2621,'Stock pièces'!$A$5:$A$404,0)),0))</f>
        <v/>
      </c>
      <c r="H2621" s="81">
        <f>IF(D2621="","",N(F2621)*N(G2621))</f>
        <v/>
      </c>
      <c r="I2621" s="7" t="n"/>
      <c r="J2621" s="9">
        <f>IF(I2621="","",IFERROR(INDEX('Ordres de travail'!$D$5:$D$3004,MATCH(I2621,'Ordres de travail'!$A$5:$A$3004,0)),""))</f>
        <v/>
      </c>
      <c r="K2621" s="9">
        <f>IF(D2621="","",IFERROR(INDEX('Stock pièces'!$D$5:$D$404,MATCH(D2621,'Stock pièces'!$A$5:$A$404,0)),""))</f>
        <v/>
      </c>
      <c r="L2621" s="7" t="n"/>
      <c r="M2621" s="7" t="n"/>
    </row>
    <row r="2622">
      <c r="A2622" s="7" t="n"/>
      <c r="B2622" s="75" t="n"/>
      <c r="C2622" s="7" t="n"/>
      <c r="D2622" s="7" t="n"/>
      <c r="E2622" s="9">
        <f>IF(D2622="","",IFERROR(INDEX('Stock pièces'!$B$5:$B$404,MATCH(D2622,'Stock pièces'!$A$5:$A$404,0)),"Réf. inconnue"))</f>
        <v/>
      </c>
      <c r="F2622" s="67" t="n"/>
      <c r="G2622" s="81">
        <f>IF(D2622="","",IFERROR(INDEX('Stock pièces'!$I$5:$I$404,MATCH(D2622,'Stock pièces'!$A$5:$A$404,0)),0))</f>
        <v/>
      </c>
      <c r="H2622" s="81">
        <f>IF(D2622="","",N(F2622)*N(G2622))</f>
        <v/>
      </c>
      <c r="I2622" s="7" t="n"/>
      <c r="J2622" s="9">
        <f>IF(I2622="","",IFERROR(INDEX('Ordres de travail'!$D$5:$D$3004,MATCH(I2622,'Ordres de travail'!$A$5:$A$3004,0)),""))</f>
        <v/>
      </c>
      <c r="K2622" s="9">
        <f>IF(D2622="","",IFERROR(INDEX('Stock pièces'!$D$5:$D$404,MATCH(D2622,'Stock pièces'!$A$5:$A$404,0)),""))</f>
        <v/>
      </c>
      <c r="L2622" s="7" t="n"/>
      <c r="M2622" s="7" t="n"/>
    </row>
    <row r="2623">
      <c r="A2623" s="7" t="n"/>
      <c r="B2623" s="75" t="n"/>
      <c r="C2623" s="7" t="n"/>
      <c r="D2623" s="7" t="n"/>
      <c r="E2623" s="9">
        <f>IF(D2623="","",IFERROR(INDEX('Stock pièces'!$B$5:$B$404,MATCH(D2623,'Stock pièces'!$A$5:$A$404,0)),"Réf. inconnue"))</f>
        <v/>
      </c>
      <c r="F2623" s="67" t="n"/>
      <c r="G2623" s="81">
        <f>IF(D2623="","",IFERROR(INDEX('Stock pièces'!$I$5:$I$404,MATCH(D2623,'Stock pièces'!$A$5:$A$404,0)),0))</f>
        <v/>
      </c>
      <c r="H2623" s="81">
        <f>IF(D2623="","",N(F2623)*N(G2623))</f>
        <v/>
      </c>
      <c r="I2623" s="7" t="n"/>
      <c r="J2623" s="9">
        <f>IF(I2623="","",IFERROR(INDEX('Ordres de travail'!$D$5:$D$3004,MATCH(I2623,'Ordres de travail'!$A$5:$A$3004,0)),""))</f>
        <v/>
      </c>
      <c r="K2623" s="9">
        <f>IF(D2623="","",IFERROR(INDEX('Stock pièces'!$D$5:$D$404,MATCH(D2623,'Stock pièces'!$A$5:$A$404,0)),""))</f>
        <v/>
      </c>
      <c r="L2623" s="7" t="n"/>
      <c r="M2623" s="7" t="n"/>
    </row>
    <row r="2624">
      <c r="A2624" s="7" t="n"/>
      <c r="B2624" s="75" t="n"/>
      <c r="C2624" s="7" t="n"/>
      <c r="D2624" s="7" t="n"/>
      <c r="E2624" s="9">
        <f>IF(D2624="","",IFERROR(INDEX('Stock pièces'!$B$5:$B$404,MATCH(D2624,'Stock pièces'!$A$5:$A$404,0)),"Réf. inconnue"))</f>
        <v/>
      </c>
      <c r="F2624" s="67" t="n"/>
      <c r="G2624" s="81">
        <f>IF(D2624="","",IFERROR(INDEX('Stock pièces'!$I$5:$I$404,MATCH(D2624,'Stock pièces'!$A$5:$A$404,0)),0))</f>
        <v/>
      </c>
      <c r="H2624" s="81">
        <f>IF(D2624="","",N(F2624)*N(G2624))</f>
        <v/>
      </c>
      <c r="I2624" s="7" t="n"/>
      <c r="J2624" s="9">
        <f>IF(I2624="","",IFERROR(INDEX('Ordres de travail'!$D$5:$D$3004,MATCH(I2624,'Ordres de travail'!$A$5:$A$3004,0)),""))</f>
        <v/>
      </c>
      <c r="K2624" s="9">
        <f>IF(D2624="","",IFERROR(INDEX('Stock pièces'!$D$5:$D$404,MATCH(D2624,'Stock pièces'!$A$5:$A$404,0)),""))</f>
        <v/>
      </c>
      <c r="L2624" s="7" t="n"/>
      <c r="M2624" s="7" t="n"/>
    </row>
    <row r="2625">
      <c r="A2625" s="7" t="n"/>
      <c r="B2625" s="75" t="n"/>
      <c r="C2625" s="7" t="n"/>
      <c r="D2625" s="7" t="n"/>
      <c r="E2625" s="9">
        <f>IF(D2625="","",IFERROR(INDEX('Stock pièces'!$B$5:$B$404,MATCH(D2625,'Stock pièces'!$A$5:$A$404,0)),"Réf. inconnue"))</f>
        <v/>
      </c>
      <c r="F2625" s="67" t="n"/>
      <c r="G2625" s="81">
        <f>IF(D2625="","",IFERROR(INDEX('Stock pièces'!$I$5:$I$404,MATCH(D2625,'Stock pièces'!$A$5:$A$404,0)),0))</f>
        <v/>
      </c>
      <c r="H2625" s="81">
        <f>IF(D2625="","",N(F2625)*N(G2625))</f>
        <v/>
      </c>
      <c r="I2625" s="7" t="n"/>
      <c r="J2625" s="9">
        <f>IF(I2625="","",IFERROR(INDEX('Ordres de travail'!$D$5:$D$3004,MATCH(I2625,'Ordres de travail'!$A$5:$A$3004,0)),""))</f>
        <v/>
      </c>
      <c r="K2625" s="9">
        <f>IF(D2625="","",IFERROR(INDEX('Stock pièces'!$D$5:$D$404,MATCH(D2625,'Stock pièces'!$A$5:$A$404,0)),""))</f>
        <v/>
      </c>
      <c r="L2625" s="7" t="n"/>
      <c r="M2625" s="7" t="n"/>
    </row>
    <row r="2626">
      <c r="A2626" s="7" t="n"/>
      <c r="B2626" s="75" t="n"/>
      <c r="C2626" s="7" t="n"/>
      <c r="D2626" s="7" t="n"/>
      <c r="E2626" s="9">
        <f>IF(D2626="","",IFERROR(INDEX('Stock pièces'!$B$5:$B$404,MATCH(D2626,'Stock pièces'!$A$5:$A$404,0)),"Réf. inconnue"))</f>
        <v/>
      </c>
      <c r="F2626" s="67" t="n"/>
      <c r="G2626" s="81">
        <f>IF(D2626="","",IFERROR(INDEX('Stock pièces'!$I$5:$I$404,MATCH(D2626,'Stock pièces'!$A$5:$A$404,0)),0))</f>
        <v/>
      </c>
      <c r="H2626" s="81">
        <f>IF(D2626="","",N(F2626)*N(G2626))</f>
        <v/>
      </c>
      <c r="I2626" s="7" t="n"/>
      <c r="J2626" s="9">
        <f>IF(I2626="","",IFERROR(INDEX('Ordres de travail'!$D$5:$D$3004,MATCH(I2626,'Ordres de travail'!$A$5:$A$3004,0)),""))</f>
        <v/>
      </c>
      <c r="K2626" s="9">
        <f>IF(D2626="","",IFERROR(INDEX('Stock pièces'!$D$5:$D$404,MATCH(D2626,'Stock pièces'!$A$5:$A$404,0)),""))</f>
        <v/>
      </c>
      <c r="L2626" s="7" t="n"/>
      <c r="M2626" s="7" t="n"/>
    </row>
    <row r="2627">
      <c r="A2627" s="7" t="n"/>
      <c r="B2627" s="75" t="n"/>
      <c r="C2627" s="7" t="n"/>
      <c r="D2627" s="7" t="n"/>
      <c r="E2627" s="9">
        <f>IF(D2627="","",IFERROR(INDEX('Stock pièces'!$B$5:$B$404,MATCH(D2627,'Stock pièces'!$A$5:$A$404,0)),"Réf. inconnue"))</f>
        <v/>
      </c>
      <c r="F2627" s="67" t="n"/>
      <c r="G2627" s="81">
        <f>IF(D2627="","",IFERROR(INDEX('Stock pièces'!$I$5:$I$404,MATCH(D2627,'Stock pièces'!$A$5:$A$404,0)),0))</f>
        <v/>
      </c>
      <c r="H2627" s="81">
        <f>IF(D2627="","",N(F2627)*N(G2627))</f>
        <v/>
      </c>
      <c r="I2627" s="7" t="n"/>
      <c r="J2627" s="9">
        <f>IF(I2627="","",IFERROR(INDEX('Ordres de travail'!$D$5:$D$3004,MATCH(I2627,'Ordres de travail'!$A$5:$A$3004,0)),""))</f>
        <v/>
      </c>
      <c r="K2627" s="9">
        <f>IF(D2627="","",IFERROR(INDEX('Stock pièces'!$D$5:$D$404,MATCH(D2627,'Stock pièces'!$A$5:$A$404,0)),""))</f>
        <v/>
      </c>
      <c r="L2627" s="7" t="n"/>
      <c r="M2627" s="7" t="n"/>
    </row>
    <row r="2628">
      <c r="A2628" s="7" t="n"/>
      <c r="B2628" s="75" t="n"/>
      <c r="C2628" s="7" t="n"/>
      <c r="D2628" s="7" t="n"/>
      <c r="E2628" s="9">
        <f>IF(D2628="","",IFERROR(INDEX('Stock pièces'!$B$5:$B$404,MATCH(D2628,'Stock pièces'!$A$5:$A$404,0)),"Réf. inconnue"))</f>
        <v/>
      </c>
      <c r="F2628" s="67" t="n"/>
      <c r="G2628" s="81">
        <f>IF(D2628="","",IFERROR(INDEX('Stock pièces'!$I$5:$I$404,MATCH(D2628,'Stock pièces'!$A$5:$A$404,0)),0))</f>
        <v/>
      </c>
      <c r="H2628" s="81">
        <f>IF(D2628="","",N(F2628)*N(G2628))</f>
        <v/>
      </c>
      <c r="I2628" s="7" t="n"/>
      <c r="J2628" s="9">
        <f>IF(I2628="","",IFERROR(INDEX('Ordres de travail'!$D$5:$D$3004,MATCH(I2628,'Ordres de travail'!$A$5:$A$3004,0)),""))</f>
        <v/>
      </c>
      <c r="K2628" s="9">
        <f>IF(D2628="","",IFERROR(INDEX('Stock pièces'!$D$5:$D$404,MATCH(D2628,'Stock pièces'!$A$5:$A$404,0)),""))</f>
        <v/>
      </c>
      <c r="L2628" s="7" t="n"/>
      <c r="M2628" s="7" t="n"/>
    </row>
    <row r="2629">
      <c r="A2629" s="7" t="n"/>
      <c r="B2629" s="75" t="n"/>
      <c r="C2629" s="7" t="n"/>
      <c r="D2629" s="7" t="n"/>
      <c r="E2629" s="9">
        <f>IF(D2629="","",IFERROR(INDEX('Stock pièces'!$B$5:$B$404,MATCH(D2629,'Stock pièces'!$A$5:$A$404,0)),"Réf. inconnue"))</f>
        <v/>
      </c>
      <c r="F2629" s="67" t="n"/>
      <c r="G2629" s="81">
        <f>IF(D2629="","",IFERROR(INDEX('Stock pièces'!$I$5:$I$404,MATCH(D2629,'Stock pièces'!$A$5:$A$404,0)),0))</f>
        <v/>
      </c>
      <c r="H2629" s="81">
        <f>IF(D2629="","",N(F2629)*N(G2629))</f>
        <v/>
      </c>
      <c r="I2629" s="7" t="n"/>
      <c r="J2629" s="9">
        <f>IF(I2629="","",IFERROR(INDEX('Ordres de travail'!$D$5:$D$3004,MATCH(I2629,'Ordres de travail'!$A$5:$A$3004,0)),""))</f>
        <v/>
      </c>
      <c r="K2629" s="9">
        <f>IF(D2629="","",IFERROR(INDEX('Stock pièces'!$D$5:$D$404,MATCH(D2629,'Stock pièces'!$A$5:$A$404,0)),""))</f>
        <v/>
      </c>
      <c r="L2629" s="7" t="n"/>
      <c r="M2629" s="7" t="n"/>
    </row>
    <row r="2630">
      <c r="A2630" s="7" t="n"/>
      <c r="B2630" s="75" t="n"/>
      <c r="C2630" s="7" t="n"/>
      <c r="D2630" s="7" t="n"/>
      <c r="E2630" s="9">
        <f>IF(D2630="","",IFERROR(INDEX('Stock pièces'!$B$5:$B$404,MATCH(D2630,'Stock pièces'!$A$5:$A$404,0)),"Réf. inconnue"))</f>
        <v/>
      </c>
      <c r="F2630" s="67" t="n"/>
      <c r="G2630" s="81">
        <f>IF(D2630="","",IFERROR(INDEX('Stock pièces'!$I$5:$I$404,MATCH(D2630,'Stock pièces'!$A$5:$A$404,0)),0))</f>
        <v/>
      </c>
      <c r="H2630" s="81">
        <f>IF(D2630="","",N(F2630)*N(G2630))</f>
        <v/>
      </c>
      <c r="I2630" s="7" t="n"/>
      <c r="J2630" s="9">
        <f>IF(I2630="","",IFERROR(INDEX('Ordres de travail'!$D$5:$D$3004,MATCH(I2630,'Ordres de travail'!$A$5:$A$3004,0)),""))</f>
        <v/>
      </c>
      <c r="K2630" s="9">
        <f>IF(D2630="","",IFERROR(INDEX('Stock pièces'!$D$5:$D$404,MATCH(D2630,'Stock pièces'!$A$5:$A$404,0)),""))</f>
        <v/>
      </c>
      <c r="L2630" s="7" t="n"/>
      <c r="M2630" s="7" t="n"/>
    </row>
    <row r="2631">
      <c r="A2631" s="7" t="n"/>
      <c r="B2631" s="75" t="n"/>
      <c r="C2631" s="7" t="n"/>
      <c r="D2631" s="7" t="n"/>
      <c r="E2631" s="9">
        <f>IF(D2631="","",IFERROR(INDEX('Stock pièces'!$B$5:$B$404,MATCH(D2631,'Stock pièces'!$A$5:$A$404,0)),"Réf. inconnue"))</f>
        <v/>
      </c>
      <c r="F2631" s="67" t="n"/>
      <c r="G2631" s="81">
        <f>IF(D2631="","",IFERROR(INDEX('Stock pièces'!$I$5:$I$404,MATCH(D2631,'Stock pièces'!$A$5:$A$404,0)),0))</f>
        <v/>
      </c>
      <c r="H2631" s="81">
        <f>IF(D2631="","",N(F2631)*N(G2631))</f>
        <v/>
      </c>
      <c r="I2631" s="7" t="n"/>
      <c r="J2631" s="9">
        <f>IF(I2631="","",IFERROR(INDEX('Ordres de travail'!$D$5:$D$3004,MATCH(I2631,'Ordres de travail'!$A$5:$A$3004,0)),""))</f>
        <v/>
      </c>
      <c r="K2631" s="9">
        <f>IF(D2631="","",IFERROR(INDEX('Stock pièces'!$D$5:$D$404,MATCH(D2631,'Stock pièces'!$A$5:$A$404,0)),""))</f>
        <v/>
      </c>
      <c r="L2631" s="7" t="n"/>
      <c r="M2631" s="7" t="n"/>
    </row>
    <row r="2632">
      <c r="A2632" s="7" t="n"/>
      <c r="B2632" s="75" t="n"/>
      <c r="C2632" s="7" t="n"/>
      <c r="D2632" s="7" t="n"/>
      <c r="E2632" s="9">
        <f>IF(D2632="","",IFERROR(INDEX('Stock pièces'!$B$5:$B$404,MATCH(D2632,'Stock pièces'!$A$5:$A$404,0)),"Réf. inconnue"))</f>
        <v/>
      </c>
      <c r="F2632" s="67" t="n"/>
      <c r="G2632" s="81">
        <f>IF(D2632="","",IFERROR(INDEX('Stock pièces'!$I$5:$I$404,MATCH(D2632,'Stock pièces'!$A$5:$A$404,0)),0))</f>
        <v/>
      </c>
      <c r="H2632" s="81">
        <f>IF(D2632="","",N(F2632)*N(G2632))</f>
        <v/>
      </c>
      <c r="I2632" s="7" t="n"/>
      <c r="J2632" s="9">
        <f>IF(I2632="","",IFERROR(INDEX('Ordres de travail'!$D$5:$D$3004,MATCH(I2632,'Ordres de travail'!$A$5:$A$3004,0)),""))</f>
        <v/>
      </c>
      <c r="K2632" s="9">
        <f>IF(D2632="","",IFERROR(INDEX('Stock pièces'!$D$5:$D$404,MATCH(D2632,'Stock pièces'!$A$5:$A$404,0)),""))</f>
        <v/>
      </c>
      <c r="L2632" s="7" t="n"/>
      <c r="M2632" s="7" t="n"/>
    </row>
    <row r="2633">
      <c r="A2633" s="7" t="n"/>
      <c r="B2633" s="75" t="n"/>
      <c r="C2633" s="7" t="n"/>
      <c r="D2633" s="7" t="n"/>
      <c r="E2633" s="9">
        <f>IF(D2633="","",IFERROR(INDEX('Stock pièces'!$B$5:$B$404,MATCH(D2633,'Stock pièces'!$A$5:$A$404,0)),"Réf. inconnue"))</f>
        <v/>
      </c>
      <c r="F2633" s="67" t="n"/>
      <c r="G2633" s="81">
        <f>IF(D2633="","",IFERROR(INDEX('Stock pièces'!$I$5:$I$404,MATCH(D2633,'Stock pièces'!$A$5:$A$404,0)),0))</f>
        <v/>
      </c>
      <c r="H2633" s="81">
        <f>IF(D2633="","",N(F2633)*N(G2633))</f>
        <v/>
      </c>
      <c r="I2633" s="7" t="n"/>
      <c r="J2633" s="9">
        <f>IF(I2633="","",IFERROR(INDEX('Ordres de travail'!$D$5:$D$3004,MATCH(I2633,'Ordres de travail'!$A$5:$A$3004,0)),""))</f>
        <v/>
      </c>
      <c r="K2633" s="9">
        <f>IF(D2633="","",IFERROR(INDEX('Stock pièces'!$D$5:$D$404,MATCH(D2633,'Stock pièces'!$A$5:$A$404,0)),""))</f>
        <v/>
      </c>
      <c r="L2633" s="7" t="n"/>
      <c r="M2633" s="7" t="n"/>
    </row>
    <row r="2634">
      <c r="A2634" s="7" t="n"/>
      <c r="B2634" s="75" t="n"/>
      <c r="C2634" s="7" t="n"/>
      <c r="D2634" s="7" t="n"/>
      <c r="E2634" s="9">
        <f>IF(D2634="","",IFERROR(INDEX('Stock pièces'!$B$5:$B$404,MATCH(D2634,'Stock pièces'!$A$5:$A$404,0)),"Réf. inconnue"))</f>
        <v/>
      </c>
      <c r="F2634" s="67" t="n"/>
      <c r="G2634" s="81">
        <f>IF(D2634="","",IFERROR(INDEX('Stock pièces'!$I$5:$I$404,MATCH(D2634,'Stock pièces'!$A$5:$A$404,0)),0))</f>
        <v/>
      </c>
      <c r="H2634" s="81">
        <f>IF(D2634="","",N(F2634)*N(G2634))</f>
        <v/>
      </c>
      <c r="I2634" s="7" t="n"/>
      <c r="J2634" s="9">
        <f>IF(I2634="","",IFERROR(INDEX('Ordres de travail'!$D$5:$D$3004,MATCH(I2634,'Ordres de travail'!$A$5:$A$3004,0)),""))</f>
        <v/>
      </c>
      <c r="K2634" s="9">
        <f>IF(D2634="","",IFERROR(INDEX('Stock pièces'!$D$5:$D$404,MATCH(D2634,'Stock pièces'!$A$5:$A$404,0)),""))</f>
        <v/>
      </c>
      <c r="L2634" s="7" t="n"/>
      <c r="M2634" s="7" t="n"/>
    </row>
    <row r="2635">
      <c r="A2635" s="7" t="n"/>
      <c r="B2635" s="75" t="n"/>
      <c r="C2635" s="7" t="n"/>
      <c r="D2635" s="7" t="n"/>
      <c r="E2635" s="9">
        <f>IF(D2635="","",IFERROR(INDEX('Stock pièces'!$B$5:$B$404,MATCH(D2635,'Stock pièces'!$A$5:$A$404,0)),"Réf. inconnue"))</f>
        <v/>
      </c>
      <c r="F2635" s="67" t="n"/>
      <c r="G2635" s="81">
        <f>IF(D2635="","",IFERROR(INDEX('Stock pièces'!$I$5:$I$404,MATCH(D2635,'Stock pièces'!$A$5:$A$404,0)),0))</f>
        <v/>
      </c>
      <c r="H2635" s="81">
        <f>IF(D2635="","",N(F2635)*N(G2635))</f>
        <v/>
      </c>
      <c r="I2635" s="7" t="n"/>
      <c r="J2635" s="9">
        <f>IF(I2635="","",IFERROR(INDEX('Ordres de travail'!$D$5:$D$3004,MATCH(I2635,'Ordres de travail'!$A$5:$A$3004,0)),""))</f>
        <v/>
      </c>
      <c r="K2635" s="9">
        <f>IF(D2635="","",IFERROR(INDEX('Stock pièces'!$D$5:$D$404,MATCH(D2635,'Stock pièces'!$A$5:$A$404,0)),""))</f>
        <v/>
      </c>
      <c r="L2635" s="7" t="n"/>
      <c r="M2635" s="7" t="n"/>
    </row>
    <row r="2636">
      <c r="A2636" s="7" t="n"/>
      <c r="B2636" s="75" t="n"/>
      <c r="C2636" s="7" t="n"/>
      <c r="D2636" s="7" t="n"/>
      <c r="E2636" s="9">
        <f>IF(D2636="","",IFERROR(INDEX('Stock pièces'!$B$5:$B$404,MATCH(D2636,'Stock pièces'!$A$5:$A$404,0)),"Réf. inconnue"))</f>
        <v/>
      </c>
      <c r="F2636" s="67" t="n"/>
      <c r="G2636" s="81">
        <f>IF(D2636="","",IFERROR(INDEX('Stock pièces'!$I$5:$I$404,MATCH(D2636,'Stock pièces'!$A$5:$A$404,0)),0))</f>
        <v/>
      </c>
      <c r="H2636" s="81">
        <f>IF(D2636="","",N(F2636)*N(G2636))</f>
        <v/>
      </c>
      <c r="I2636" s="7" t="n"/>
      <c r="J2636" s="9">
        <f>IF(I2636="","",IFERROR(INDEX('Ordres de travail'!$D$5:$D$3004,MATCH(I2636,'Ordres de travail'!$A$5:$A$3004,0)),""))</f>
        <v/>
      </c>
      <c r="K2636" s="9">
        <f>IF(D2636="","",IFERROR(INDEX('Stock pièces'!$D$5:$D$404,MATCH(D2636,'Stock pièces'!$A$5:$A$404,0)),""))</f>
        <v/>
      </c>
      <c r="L2636" s="7" t="n"/>
      <c r="M2636" s="7" t="n"/>
    </row>
    <row r="2637">
      <c r="A2637" s="7" t="n"/>
      <c r="B2637" s="75" t="n"/>
      <c r="C2637" s="7" t="n"/>
      <c r="D2637" s="7" t="n"/>
      <c r="E2637" s="9">
        <f>IF(D2637="","",IFERROR(INDEX('Stock pièces'!$B$5:$B$404,MATCH(D2637,'Stock pièces'!$A$5:$A$404,0)),"Réf. inconnue"))</f>
        <v/>
      </c>
      <c r="F2637" s="67" t="n"/>
      <c r="G2637" s="81">
        <f>IF(D2637="","",IFERROR(INDEX('Stock pièces'!$I$5:$I$404,MATCH(D2637,'Stock pièces'!$A$5:$A$404,0)),0))</f>
        <v/>
      </c>
      <c r="H2637" s="81">
        <f>IF(D2637="","",N(F2637)*N(G2637))</f>
        <v/>
      </c>
      <c r="I2637" s="7" t="n"/>
      <c r="J2637" s="9">
        <f>IF(I2637="","",IFERROR(INDEX('Ordres de travail'!$D$5:$D$3004,MATCH(I2637,'Ordres de travail'!$A$5:$A$3004,0)),""))</f>
        <v/>
      </c>
      <c r="K2637" s="9">
        <f>IF(D2637="","",IFERROR(INDEX('Stock pièces'!$D$5:$D$404,MATCH(D2637,'Stock pièces'!$A$5:$A$404,0)),""))</f>
        <v/>
      </c>
      <c r="L2637" s="7" t="n"/>
      <c r="M2637" s="7" t="n"/>
    </row>
    <row r="2638">
      <c r="A2638" s="7" t="n"/>
      <c r="B2638" s="75" t="n"/>
      <c r="C2638" s="7" t="n"/>
      <c r="D2638" s="7" t="n"/>
      <c r="E2638" s="9">
        <f>IF(D2638="","",IFERROR(INDEX('Stock pièces'!$B$5:$B$404,MATCH(D2638,'Stock pièces'!$A$5:$A$404,0)),"Réf. inconnue"))</f>
        <v/>
      </c>
      <c r="F2638" s="67" t="n"/>
      <c r="G2638" s="81">
        <f>IF(D2638="","",IFERROR(INDEX('Stock pièces'!$I$5:$I$404,MATCH(D2638,'Stock pièces'!$A$5:$A$404,0)),0))</f>
        <v/>
      </c>
      <c r="H2638" s="81">
        <f>IF(D2638="","",N(F2638)*N(G2638))</f>
        <v/>
      </c>
      <c r="I2638" s="7" t="n"/>
      <c r="J2638" s="9">
        <f>IF(I2638="","",IFERROR(INDEX('Ordres de travail'!$D$5:$D$3004,MATCH(I2638,'Ordres de travail'!$A$5:$A$3004,0)),""))</f>
        <v/>
      </c>
      <c r="K2638" s="9">
        <f>IF(D2638="","",IFERROR(INDEX('Stock pièces'!$D$5:$D$404,MATCH(D2638,'Stock pièces'!$A$5:$A$404,0)),""))</f>
        <v/>
      </c>
      <c r="L2638" s="7" t="n"/>
      <c r="M2638" s="7" t="n"/>
    </row>
    <row r="2639">
      <c r="A2639" s="7" t="n"/>
      <c r="B2639" s="75" t="n"/>
      <c r="C2639" s="7" t="n"/>
      <c r="D2639" s="7" t="n"/>
      <c r="E2639" s="9">
        <f>IF(D2639="","",IFERROR(INDEX('Stock pièces'!$B$5:$B$404,MATCH(D2639,'Stock pièces'!$A$5:$A$404,0)),"Réf. inconnue"))</f>
        <v/>
      </c>
      <c r="F2639" s="67" t="n"/>
      <c r="G2639" s="81">
        <f>IF(D2639="","",IFERROR(INDEX('Stock pièces'!$I$5:$I$404,MATCH(D2639,'Stock pièces'!$A$5:$A$404,0)),0))</f>
        <v/>
      </c>
      <c r="H2639" s="81">
        <f>IF(D2639="","",N(F2639)*N(G2639))</f>
        <v/>
      </c>
      <c r="I2639" s="7" t="n"/>
      <c r="J2639" s="9">
        <f>IF(I2639="","",IFERROR(INDEX('Ordres de travail'!$D$5:$D$3004,MATCH(I2639,'Ordres de travail'!$A$5:$A$3004,0)),""))</f>
        <v/>
      </c>
      <c r="K2639" s="9">
        <f>IF(D2639="","",IFERROR(INDEX('Stock pièces'!$D$5:$D$404,MATCH(D2639,'Stock pièces'!$A$5:$A$404,0)),""))</f>
        <v/>
      </c>
      <c r="L2639" s="7" t="n"/>
      <c r="M2639" s="7" t="n"/>
    </row>
    <row r="2640">
      <c r="A2640" s="7" t="n"/>
      <c r="B2640" s="75" t="n"/>
      <c r="C2640" s="7" t="n"/>
      <c r="D2640" s="7" t="n"/>
      <c r="E2640" s="9">
        <f>IF(D2640="","",IFERROR(INDEX('Stock pièces'!$B$5:$B$404,MATCH(D2640,'Stock pièces'!$A$5:$A$404,0)),"Réf. inconnue"))</f>
        <v/>
      </c>
      <c r="F2640" s="67" t="n"/>
      <c r="G2640" s="81">
        <f>IF(D2640="","",IFERROR(INDEX('Stock pièces'!$I$5:$I$404,MATCH(D2640,'Stock pièces'!$A$5:$A$404,0)),0))</f>
        <v/>
      </c>
      <c r="H2640" s="81">
        <f>IF(D2640="","",N(F2640)*N(G2640))</f>
        <v/>
      </c>
      <c r="I2640" s="7" t="n"/>
      <c r="J2640" s="9">
        <f>IF(I2640="","",IFERROR(INDEX('Ordres de travail'!$D$5:$D$3004,MATCH(I2640,'Ordres de travail'!$A$5:$A$3004,0)),""))</f>
        <v/>
      </c>
      <c r="K2640" s="9">
        <f>IF(D2640="","",IFERROR(INDEX('Stock pièces'!$D$5:$D$404,MATCH(D2640,'Stock pièces'!$A$5:$A$404,0)),""))</f>
        <v/>
      </c>
      <c r="L2640" s="7" t="n"/>
      <c r="M2640" s="7" t="n"/>
    </row>
    <row r="2641">
      <c r="A2641" s="7" t="n"/>
      <c r="B2641" s="75" t="n"/>
      <c r="C2641" s="7" t="n"/>
      <c r="D2641" s="7" t="n"/>
      <c r="E2641" s="9">
        <f>IF(D2641="","",IFERROR(INDEX('Stock pièces'!$B$5:$B$404,MATCH(D2641,'Stock pièces'!$A$5:$A$404,0)),"Réf. inconnue"))</f>
        <v/>
      </c>
      <c r="F2641" s="67" t="n"/>
      <c r="G2641" s="81">
        <f>IF(D2641="","",IFERROR(INDEX('Stock pièces'!$I$5:$I$404,MATCH(D2641,'Stock pièces'!$A$5:$A$404,0)),0))</f>
        <v/>
      </c>
      <c r="H2641" s="81">
        <f>IF(D2641="","",N(F2641)*N(G2641))</f>
        <v/>
      </c>
      <c r="I2641" s="7" t="n"/>
      <c r="J2641" s="9">
        <f>IF(I2641="","",IFERROR(INDEX('Ordres de travail'!$D$5:$D$3004,MATCH(I2641,'Ordres de travail'!$A$5:$A$3004,0)),""))</f>
        <v/>
      </c>
      <c r="K2641" s="9">
        <f>IF(D2641="","",IFERROR(INDEX('Stock pièces'!$D$5:$D$404,MATCH(D2641,'Stock pièces'!$A$5:$A$404,0)),""))</f>
        <v/>
      </c>
      <c r="L2641" s="7" t="n"/>
      <c r="M2641" s="7" t="n"/>
    </row>
    <row r="2642">
      <c r="A2642" s="7" t="n"/>
      <c r="B2642" s="75" t="n"/>
      <c r="C2642" s="7" t="n"/>
      <c r="D2642" s="7" t="n"/>
      <c r="E2642" s="9">
        <f>IF(D2642="","",IFERROR(INDEX('Stock pièces'!$B$5:$B$404,MATCH(D2642,'Stock pièces'!$A$5:$A$404,0)),"Réf. inconnue"))</f>
        <v/>
      </c>
      <c r="F2642" s="67" t="n"/>
      <c r="G2642" s="81">
        <f>IF(D2642="","",IFERROR(INDEX('Stock pièces'!$I$5:$I$404,MATCH(D2642,'Stock pièces'!$A$5:$A$404,0)),0))</f>
        <v/>
      </c>
      <c r="H2642" s="81">
        <f>IF(D2642="","",N(F2642)*N(G2642))</f>
        <v/>
      </c>
      <c r="I2642" s="7" t="n"/>
      <c r="J2642" s="9">
        <f>IF(I2642="","",IFERROR(INDEX('Ordres de travail'!$D$5:$D$3004,MATCH(I2642,'Ordres de travail'!$A$5:$A$3004,0)),""))</f>
        <v/>
      </c>
      <c r="K2642" s="9">
        <f>IF(D2642="","",IFERROR(INDEX('Stock pièces'!$D$5:$D$404,MATCH(D2642,'Stock pièces'!$A$5:$A$404,0)),""))</f>
        <v/>
      </c>
      <c r="L2642" s="7" t="n"/>
      <c r="M2642" s="7" t="n"/>
    </row>
    <row r="2643">
      <c r="A2643" s="7" t="n"/>
      <c r="B2643" s="75" t="n"/>
      <c r="C2643" s="7" t="n"/>
      <c r="D2643" s="7" t="n"/>
      <c r="E2643" s="9">
        <f>IF(D2643="","",IFERROR(INDEX('Stock pièces'!$B$5:$B$404,MATCH(D2643,'Stock pièces'!$A$5:$A$404,0)),"Réf. inconnue"))</f>
        <v/>
      </c>
      <c r="F2643" s="67" t="n"/>
      <c r="G2643" s="81">
        <f>IF(D2643="","",IFERROR(INDEX('Stock pièces'!$I$5:$I$404,MATCH(D2643,'Stock pièces'!$A$5:$A$404,0)),0))</f>
        <v/>
      </c>
      <c r="H2643" s="81">
        <f>IF(D2643="","",N(F2643)*N(G2643))</f>
        <v/>
      </c>
      <c r="I2643" s="7" t="n"/>
      <c r="J2643" s="9">
        <f>IF(I2643="","",IFERROR(INDEX('Ordres de travail'!$D$5:$D$3004,MATCH(I2643,'Ordres de travail'!$A$5:$A$3004,0)),""))</f>
        <v/>
      </c>
      <c r="K2643" s="9">
        <f>IF(D2643="","",IFERROR(INDEX('Stock pièces'!$D$5:$D$404,MATCH(D2643,'Stock pièces'!$A$5:$A$404,0)),""))</f>
        <v/>
      </c>
      <c r="L2643" s="7" t="n"/>
      <c r="M2643" s="7" t="n"/>
    </row>
    <row r="2644">
      <c r="A2644" s="7" t="n"/>
      <c r="B2644" s="75" t="n"/>
      <c r="C2644" s="7" t="n"/>
      <c r="D2644" s="7" t="n"/>
      <c r="E2644" s="9">
        <f>IF(D2644="","",IFERROR(INDEX('Stock pièces'!$B$5:$B$404,MATCH(D2644,'Stock pièces'!$A$5:$A$404,0)),"Réf. inconnue"))</f>
        <v/>
      </c>
      <c r="F2644" s="67" t="n"/>
      <c r="G2644" s="81">
        <f>IF(D2644="","",IFERROR(INDEX('Stock pièces'!$I$5:$I$404,MATCH(D2644,'Stock pièces'!$A$5:$A$404,0)),0))</f>
        <v/>
      </c>
      <c r="H2644" s="81">
        <f>IF(D2644="","",N(F2644)*N(G2644))</f>
        <v/>
      </c>
      <c r="I2644" s="7" t="n"/>
      <c r="J2644" s="9">
        <f>IF(I2644="","",IFERROR(INDEX('Ordres de travail'!$D$5:$D$3004,MATCH(I2644,'Ordres de travail'!$A$5:$A$3004,0)),""))</f>
        <v/>
      </c>
      <c r="K2644" s="9">
        <f>IF(D2644="","",IFERROR(INDEX('Stock pièces'!$D$5:$D$404,MATCH(D2644,'Stock pièces'!$A$5:$A$404,0)),""))</f>
        <v/>
      </c>
      <c r="L2644" s="7" t="n"/>
      <c r="M2644" s="7" t="n"/>
    </row>
    <row r="2645">
      <c r="A2645" s="7" t="n"/>
      <c r="B2645" s="75" t="n"/>
      <c r="C2645" s="7" t="n"/>
      <c r="D2645" s="7" t="n"/>
      <c r="E2645" s="9">
        <f>IF(D2645="","",IFERROR(INDEX('Stock pièces'!$B$5:$B$404,MATCH(D2645,'Stock pièces'!$A$5:$A$404,0)),"Réf. inconnue"))</f>
        <v/>
      </c>
      <c r="F2645" s="67" t="n"/>
      <c r="G2645" s="81">
        <f>IF(D2645="","",IFERROR(INDEX('Stock pièces'!$I$5:$I$404,MATCH(D2645,'Stock pièces'!$A$5:$A$404,0)),0))</f>
        <v/>
      </c>
      <c r="H2645" s="81">
        <f>IF(D2645="","",N(F2645)*N(G2645))</f>
        <v/>
      </c>
      <c r="I2645" s="7" t="n"/>
      <c r="J2645" s="9">
        <f>IF(I2645="","",IFERROR(INDEX('Ordres de travail'!$D$5:$D$3004,MATCH(I2645,'Ordres de travail'!$A$5:$A$3004,0)),""))</f>
        <v/>
      </c>
      <c r="K2645" s="9">
        <f>IF(D2645="","",IFERROR(INDEX('Stock pièces'!$D$5:$D$404,MATCH(D2645,'Stock pièces'!$A$5:$A$404,0)),""))</f>
        <v/>
      </c>
      <c r="L2645" s="7" t="n"/>
      <c r="M2645" s="7" t="n"/>
    </row>
    <row r="2646">
      <c r="A2646" s="7" t="n"/>
      <c r="B2646" s="75" t="n"/>
      <c r="C2646" s="7" t="n"/>
      <c r="D2646" s="7" t="n"/>
      <c r="E2646" s="9">
        <f>IF(D2646="","",IFERROR(INDEX('Stock pièces'!$B$5:$B$404,MATCH(D2646,'Stock pièces'!$A$5:$A$404,0)),"Réf. inconnue"))</f>
        <v/>
      </c>
      <c r="F2646" s="67" t="n"/>
      <c r="G2646" s="81">
        <f>IF(D2646="","",IFERROR(INDEX('Stock pièces'!$I$5:$I$404,MATCH(D2646,'Stock pièces'!$A$5:$A$404,0)),0))</f>
        <v/>
      </c>
      <c r="H2646" s="81">
        <f>IF(D2646="","",N(F2646)*N(G2646))</f>
        <v/>
      </c>
      <c r="I2646" s="7" t="n"/>
      <c r="J2646" s="9">
        <f>IF(I2646="","",IFERROR(INDEX('Ordres de travail'!$D$5:$D$3004,MATCH(I2646,'Ordres de travail'!$A$5:$A$3004,0)),""))</f>
        <v/>
      </c>
      <c r="K2646" s="9">
        <f>IF(D2646="","",IFERROR(INDEX('Stock pièces'!$D$5:$D$404,MATCH(D2646,'Stock pièces'!$A$5:$A$404,0)),""))</f>
        <v/>
      </c>
      <c r="L2646" s="7" t="n"/>
      <c r="M2646" s="7" t="n"/>
    </row>
    <row r="2647">
      <c r="A2647" s="7" t="n"/>
      <c r="B2647" s="75" t="n"/>
      <c r="C2647" s="7" t="n"/>
      <c r="D2647" s="7" t="n"/>
      <c r="E2647" s="9">
        <f>IF(D2647="","",IFERROR(INDEX('Stock pièces'!$B$5:$B$404,MATCH(D2647,'Stock pièces'!$A$5:$A$404,0)),"Réf. inconnue"))</f>
        <v/>
      </c>
      <c r="F2647" s="67" t="n"/>
      <c r="G2647" s="81">
        <f>IF(D2647="","",IFERROR(INDEX('Stock pièces'!$I$5:$I$404,MATCH(D2647,'Stock pièces'!$A$5:$A$404,0)),0))</f>
        <v/>
      </c>
      <c r="H2647" s="81">
        <f>IF(D2647="","",N(F2647)*N(G2647))</f>
        <v/>
      </c>
      <c r="I2647" s="7" t="n"/>
      <c r="J2647" s="9">
        <f>IF(I2647="","",IFERROR(INDEX('Ordres de travail'!$D$5:$D$3004,MATCH(I2647,'Ordres de travail'!$A$5:$A$3004,0)),""))</f>
        <v/>
      </c>
      <c r="K2647" s="9">
        <f>IF(D2647="","",IFERROR(INDEX('Stock pièces'!$D$5:$D$404,MATCH(D2647,'Stock pièces'!$A$5:$A$404,0)),""))</f>
        <v/>
      </c>
      <c r="L2647" s="7" t="n"/>
      <c r="M2647" s="7" t="n"/>
    </row>
    <row r="2648">
      <c r="A2648" s="7" t="n"/>
      <c r="B2648" s="75" t="n"/>
      <c r="C2648" s="7" t="n"/>
      <c r="D2648" s="7" t="n"/>
      <c r="E2648" s="9">
        <f>IF(D2648="","",IFERROR(INDEX('Stock pièces'!$B$5:$B$404,MATCH(D2648,'Stock pièces'!$A$5:$A$404,0)),"Réf. inconnue"))</f>
        <v/>
      </c>
      <c r="F2648" s="67" t="n"/>
      <c r="G2648" s="81">
        <f>IF(D2648="","",IFERROR(INDEX('Stock pièces'!$I$5:$I$404,MATCH(D2648,'Stock pièces'!$A$5:$A$404,0)),0))</f>
        <v/>
      </c>
      <c r="H2648" s="81">
        <f>IF(D2648="","",N(F2648)*N(G2648))</f>
        <v/>
      </c>
      <c r="I2648" s="7" t="n"/>
      <c r="J2648" s="9">
        <f>IF(I2648="","",IFERROR(INDEX('Ordres de travail'!$D$5:$D$3004,MATCH(I2648,'Ordres de travail'!$A$5:$A$3004,0)),""))</f>
        <v/>
      </c>
      <c r="K2648" s="9">
        <f>IF(D2648="","",IFERROR(INDEX('Stock pièces'!$D$5:$D$404,MATCH(D2648,'Stock pièces'!$A$5:$A$404,0)),""))</f>
        <v/>
      </c>
      <c r="L2648" s="7" t="n"/>
      <c r="M2648" s="7" t="n"/>
    </row>
    <row r="2649">
      <c r="A2649" s="7" t="n"/>
      <c r="B2649" s="75" t="n"/>
      <c r="C2649" s="7" t="n"/>
      <c r="D2649" s="7" t="n"/>
      <c r="E2649" s="9">
        <f>IF(D2649="","",IFERROR(INDEX('Stock pièces'!$B$5:$B$404,MATCH(D2649,'Stock pièces'!$A$5:$A$404,0)),"Réf. inconnue"))</f>
        <v/>
      </c>
      <c r="F2649" s="67" t="n"/>
      <c r="G2649" s="81">
        <f>IF(D2649="","",IFERROR(INDEX('Stock pièces'!$I$5:$I$404,MATCH(D2649,'Stock pièces'!$A$5:$A$404,0)),0))</f>
        <v/>
      </c>
      <c r="H2649" s="81">
        <f>IF(D2649="","",N(F2649)*N(G2649))</f>
        <v/>
      </c>
      <c r="I2649" s="7" t="n"/>
      <c r="J2649" s="9">
        <f>IF(I2649="","",IFERROR(INDEX('Ordres de travail'!$D$5:$D$3004,MATCH(I2649,'Ordres de travail'!$A$5:$A$3004,0)),""))</f>
        <v/>
      </c>
      <c r="K2649" s="9">
        <f>IF(D2649="","",IFERROR(INDEX('Stock pièces'!$D$5:$D$404,MATCH(D2649,'Stock pièces'!$A$5:$A$404,0)),""))</f>
        <v/>
      </c>
      <c r="L2649" s="7" t="n"/>
      <c r="M2649" s="7" t="n"/>
    </row>
    <row r="2650">
      <c r="A2650" s="7" t="n"/>
      <c r="B2650" s="75" t="n"/>
      <c r="C2650" s="7" t="n"/>
      <c r="D2650" s="7" t="n"/>
      <c r="E2650" s="9">
        <f>IF(D2650="","",IFERROR(INDEX('Stock pièces'!$B$5:$B$404,MATCH(D2650,'Stock pièces'!$A$5:$A$404,0)),"Réf. inconnue"))</f>
        <v/>
      </c>
      <c r="F2650" s="67" t="n"/>
      <c r="G2650" s="81">
        <f>IF(D2650="","",IFERROR(INDEX('Stock pièces'!$I$5:$I$404,MATCH(D2650,'Stock pièces'!$A$5:$A$404,0)),0))</f>
        <v/>
      </c>
      <c r="H2650" s="81">
        <f>IF(D2650="","",N(F2650)*N(G2650))</f>
        <v/>
      </c>
      <c r="I2650" s="7" t="n"/>
      <c r="J2650" s="9">
        <f>IF(I2650="","",IFERROR(INDEX('Ordres de travail'!$D$5:$D$3004,MATCH(I2650,'Ordres de travail'!$A$5:$A$3004,0)),""))</f>
        <v/>
      </c>
      <c r="K2650" s="9">
        <f>IF(D2650="","",IFERROR(INDEX('Stock pièces'!$D$5:$D$404,MATCH(D2650,'Stock pièces'!$A$5:$A$404,0)),""))</f>
        <v/>
      </c>
      <c r="L2650" s="7" t="n"/>
      <c r="M2650" s="7" t="n"/>
    </row>
    <row r="2651">
      <c r="A2651" s="7" t="n"/>
      <c r="B2651" s="75" t="n"/>
      <c r="C2651" s="7" t="n"/>
      <c r="D2651" s="7" t="n"/>
      <c r="E2651" s="9">
        <f>IF(D2651="","",IFERROR(INDEX('Stock pièces'!$B$5:$B$404,MATCH(D2651,'Stock pièces'!$A$5:$A$404,0)),"Réf. inconnue"))</f>
        <v/>
      </c>
      <c r="F2651" s="67" t="n"/>
      <c r="G2651" s="81">
        <f>IF(D2651="","",IFERROR(INDEX('Stock pièces'!$I$5:$I$404,MATCH(D2651,'Stock pièces'!$A$5:$A$404,0)),0))</f>
        <v/>
      </c>
      <c r="H2651" s="81">
        <f>IF(D2651="","",N(F2651)*N(G2651))</f>
        <v/>
      </c>
      <c r="I2651" s="7" t="n"/>
      <c r="J2651" s="9">
        <f>IF(I2651="","",IFERROR(INDEX('Ordres de travail'!$D$5:$D$3004,MATCH(I2651,'Ordres de travail'!$A$5:$A$3004,0)),""))</f>
        <v/>
      </c>
      <c r="K2651" s="9">
        <f>IF(D2651="","",IFERROR(INDEX('Stock pièces'!$D$5:$D$404,MATCH(D2651,'Stock pièces'!$A$5:$A$404,0)),""))</f>
        <v/>
      </c>
      <c r="L2651" s="7" t="n"/>
      <c r="M2651" s="7" t="n"/>
    </row>
    <row r="2652">
      <c r="A2652" s="7" t="n"/>
      <c r="B2652" s="75" t="n"/>
      <c r="C2652" s="7" t="n"/>
      <c r="D2652" s="7" t="n"/>
      <c r="E2652" s="9">
        <f>IF(D2652="","",IFERROR(INDEX('Stock pièces'!$B$5:$B$404,MATCH(D2652,'Stock pièces'!$A$5:$A$404,0)),"Réf. inconnue"))</f>
        <v/>
      </c>
      <c r="F2652" s="67" t="n"/>
      <c r="G2652" s="81">
        <f>IF(D2652="","",IFERROR(INDEX('Stock pièces'!$I$5:$I$404,MATCH(D2652,'Stock pièces'!$A$5:$A$404,0)),0))</f>
        <v/>
      </c>
      <c r="H2652" s="81">
        <f>IF(D2652="","",N(F2652)*N(G2652))</f>
        <v/>
      </c>
      <c r="I2652" s="7" t="n"/>
      <c r="J2652" s="9">
        <f>IF(I2652="","",IFERROR(INDEX('Ordres de travail'!$D$5:$D$3004,MATCH(I2652,'Ordres de travail'!$A$5:$A$3004,0)),""))</f>
        <v/>
      </c>
      <c r="K2652" s="9">
        <f>IF(D2652="","",IFERROR(INDEX('Stock pièces'!$D$5:$D$404,MATCH(D2652,'Stock pièces'!$A$5:$A$404,0)),""))</f>
        <v/>
      </c>
      <c r="L2652" s="7" t="n"/>
      <c r="M2652" s="7" t="n"/>
    </row>
    <row r="2653">
      <c r="A2653" s="7" t="n"/>
      <c r="B2653" s="75" t="n"/>
      <c r="C2653" s="7" t="n"/>
      <c r="D2653" s="7" t="n"/>
      <c r="E2653" s="9">
        <f>IF(D2653="","",IFERROR(INDEX('Stock pièces'!$B$5:$B$404,MATCH(D2653,'Stock pièces'!$A$5:$A$404,0)),"Réf. inconnue"))</f>
        <v/>
      </c>
      <c r="F2653" s="67" t="n"/>
      <c r="G2653" s="81">
        <f>IF(D2653="","",IFERROR(INDEX('Stock pièces'!$I$5:$I$404,MATCH(D2653,'Stock pièces'!$A$5:$A$404,0)),0))</f>
        <v/>
      </c>
      <c r="H2653" s="81">
        <f>IF(D2653="","",N(F2653)*N(G2653))</f>
        <v/>
      </c>
      <c r="I2653" s="7" t="n"/>
      <c r="J2653" s="9">
        <f>IF(I2653="","",IFERROR(INDEX('Ordres de travail'!$D$5:$D$3004,MATCH(I2653,'Ordres de travail'!$A$5:$A$3004,0)),""))</f>
        <v/>
      </c>
      <c r="K2653" s="9">
        <f>IF(D2653="","",IFERROR(INDEX('Stock pièces'!$D$5:$D$404,MATCH(D2653,'Stock pièces'!$A$5:$A$404,0)),""))</f>
        <v/>
      </c>
      <c r="L2653" s="7" t="n"/>
      <c r="M2653" s="7" t="n"/>
    </row>
    <row r="2654">
      <c r="A2654" s="7" t="n"/>
      <c r="B2654" s="75" t="n"/>
      <c r="C2654" s="7" t="n"/>
      <c r="D2654" s="7" t="n"/>
      <c r="E2654" s="9">
        <f>IF(D2654="","",IFERROR(INDEX('Stock pièces'!$B$5:$B$404,MATCH(D2654,'Stock pièces'!$A$5:$A$404,0)),"Réf. inconnue"))</f>
        <v/>
      </c>
      <c r="F2654" s="67" t="n"/>
      <c r="G2654" s="81">
        <f>IF(D2654="","",IFERROR(INDEX('Stock pièces'!$I$5:$I$404,MATCH(D2654,'Stock pièces'!$A$5:$A$404,0)),0))</f>
        <v/>
      </c>
      <c r="H2654" s="81">
        <f>IF(D2654="","",N(F2654)*N(G2654))</f>
        <v/>
      </c>
      <c r="I2654" s="7" t="n"/>
      <c r="J2654" s="9">
        <f>IF(I2654="","",IFERROR(INDEX('Ordres de travail'!$D$5:$D$3004,MATCH(I2654,'Ordres de travail'!$A$5:$A$3004,0)),""))</f>
        <v/>
      </c>
      <c r="K2654" s="9">
        <f>IF(D2654="","",IFERROR(INDEX('Stock pièces'!$D$5:$D$404,MATCH(D2654,'Stock pièces'!$A$5:$A$404,0)),""))</f>
        <v/>
      </c>
      <c r="L2654" s="7" t="n"/>
      <c r="M2654" s="7" t="n"/>
    </row>
    <row r="2655">
      <c r="A2655" s="7" t="n"/>
      <c r="B2655" s="75" t="n"/>
      <c r="C2655" s="7" t="n"/>
      <c r="D2655" s="7" t="n"/>
      <c r="E2655" s="9">
        <f>IF(D2655="","",IFERROR(INDEX('Stock pièces'!$B$5:$B$404,MATCH(D2655,'Stock pièces'!$A$5:$A$404,0)),"Réf. inconnue"))</f>
        <v/>
      </c>
      <c r="F2655" s="67" t="n"/>
      <c r="G2655" s="81">
        <f>IF(D2655="","",IFERROR(INDEX('Stock pièces'!$I$5:$I$404,MATCH(D2655,'Stock pièces'!$A$5:$A$404,0)),0))</f>
        <v/>
      </c>
      <c r="H2655" s="81">
        <f>IF(D2655="","",N(F2655)*N(G2655))</f>
        <v/>
      </c>
      <c r="I2655" s="7" t="n"/>
      <c r="J2655" s="9">
        <f>IF(I2655="","",IFERROR(INDEX('Ordres de travail'!$D$5:$D$3004,MATCH(I2655,'Ordres de travail'!$A$5:$A$3004,0)),""))</f>
        <v/>
      </c>
      <c r="K2655" s="9">
        <f>IF(D2655="","",IFERROR(INDEX('Stock pièces'!$D$5:$D$404,MATCH(D2655,'Stock pièces'!$A$5:$A$404,0)),""))</f>
        <v/>
      </c>
      <c r="L2655" s="7" t="n"/>
      <c r="M2655" s="7" t="n"/>
    </row>
    <row r="2656">
      <c r="A2656" s="7" t="n"/>
      <c r="B2656" s="75" t="n"/>
      <c r="C2656" s="7" t="n"/>
      <c r="D2656" s="7" t="n"/>
      <c r="E2656" s="9">
        <f>IF(D2656="","",IFERROR(INDEX('Stock pièces'!$B$5:$B$404,MATCH(D2656,'Stock pièces'!$A$5:$A$404,0)),"Réf. inconnue"))</f>
        <v/>
      </c>
      <c r="F2656" s="67" t="n"/>
      <c r="G2656" s="81">
        <f>IF(D2656="","",IFERROR(INDEX('Stock pièces'!$I$5:$I$404,MATCH(D2656,'Stock pièces'!$A$5:$A$404,0)),0))</f>
        <v/>
      </c>
      <c r="H2656" s="81">
        <f>IF(D2656="","",N(F2656)*N(G2656))</f>
        <v/>
      </c>
      <c r="I2656" s="7" t="n"/>
      <c r="J2656" s="9">
        <f>IF(I2656="","",IFERROR(INDEX('Ordres de travail'!$D$5:$D$3004,MATCH(I2656,'Ordres de travail'!$A$5:$A$3004,0)),""))</f>
        <v/>
      </c>
      <c r="K2656" s="9">
        <f>IF(D2656="","",IFERROR(INDEX('Stock pièces'!$D$5:$D$404,MATCH(D2656,'Stock pièces'!$A$5:$A$404,0)),""))</f>
        <v/>
      </c>
      <c r="L2656" s="7" t="n"/>
      <c r="M2656" s="7" t="n"/>
    </row>
    <row r="2657">
      <c r="A2657" s="7" t="n"/>
      <c r="B2657" s="75" t="n"/>
      <c r="C2657" s="7" t="n"/>
      <c r="D2657" s="7" t="n"/>
      <c r="E2657" s="9">
        <f>IF(D2657="","",IFERROR(INDEX('Stock pièces'!$B$5:$B$404,MATCH(D2657,'Stock pièces'!$A$5:$A$404,0)),"Réf. inconnue"))</f>
        <v/>
      </c>
      <c r="F2657" s="67" t="n"/>
      <c r="G2657" s="81">
        <f>IF(D2657="","",IFERROR(INDEX('Stock pièces'!$I$5:$I$404,MATCH(D2657,'Stock pièces'!$A$5:$A$404,0)),0))</f>
        <v/>
      </c>
      <c r="H2657" s="81">
        <f>IF(D2657="","",N(F2657)*N(G2657))</f>
        <v/>
      </c>
      <c r="I2657" s="7" t="n"/>
      <c r="J2657" s="9">
        <f>IF(I2657="","",IFERROR(INDEX('Ordres de travail'!$D$5:$D$3004,MATCH(I2657,'Ordres de travail'!$A$5:$A$3004,0)),""))</f>
        <v/>
      </c>
      <c r="K2657" s="9">
        <f>IF(D2657="","",IFERROR(INDEX('Stock pièces'!$D$5:$D$404,MATCH(D2657,'Stock pièces'!$A$5:$A$404,0)),""))</f>
        <v/>
      </c>
      <c r="L2657" s="7" t="n"/>
      <c r="M2657" s="7" t="n"/>
    </row>
    <row r="2658">
      <c r="A2658" s="7" t="n"/>
      <c r="B2658" s="75" t="n"/>
      <c r="C2658" s="7" t="n"/>
      <c r="D2658" s="7" t="n"/>
      <c r="E2658" s="9">
        <f>IF(D2658="","",IFERROR(INDEX('Stock pièces'!$B$5:$B$404,MATCH(D2658,'Stock pièces'!$A$5:$A$404,0)),"Réf. inconnue"))</f>
        <v/>
      </c>
      <c r="F2658" s="67" t="n"/>
      <c r="G2658" s="81">
        <f>IF(D2658="","",IFERROR(INDEX('Stock pièces'!$I$5:$I$404,MATCH(D2658,'Stock pièces'!$A$5:$A$404,0)),0))</f>
        <v/>
      </c>
      <c r="H2658" s="81">
        <f>IF(D2658="","",N(F2658)*N(G2658))</f>
        <v/>
      </c>
      <c r="I2658" s="7" t="n"/>
      <c r="J2658" s="9">
        <f>IF(I2658="","",IFERROR(INDEX('Ordres de travail'!$D$5:$D$3004,MATCH(I2658,'Ordres de travail'!$A$5:$A$3004,0)),""))</f>
        <v/>
      </c>
      <c r="K2658" s="9">
        <f>IF(D2658="","",IFERROR(INDEX('Stock pièces'!$D$5:$D$404,MATCH(D2658,'Stock pièces'!$A$5:$A$404,0)),""))</f>
        <v/>
      </c>
      <c r="L2658" s="7" t="n"/>
      <c r="M2658" s="7" t="n"/>
    </row>
    <row r="2659">
      <c r="A2659" s="7" t="n"/>
      <c r="B2659" s="75" t="n"/>
      <c r="C2659" s="7" t="n"/>
      <c r="D2659" s="7" t="n"/>
      <c r="E2659" s="9">
        <f>IF(D2659="","",IFERROR(INDEX('Stock pièces'!$B$5:$B$404,MATCH(D2659,'Stock pièces'!$A$5:$A$404,0)),"Réf. inconnue"))</f>
        <v/>
      </c>
      <c r="F2659" s="67" t="n"/>
      <c r="G2659" s="81">
        <f>IF(D2659="","",IFERROR(INDEX('Stock pièces'!$I$5:$I$404,MATCH(D2659,'Stock pièces'!$A$5:$A$404,0)),0))</f>
        <v/>
      </c>
      <c r="H2659" s="81">
        <f>IF(D2659="","",N(F2659)*N(G2659))</f>
        <v/>
      </c>
      <c r="I2659" s="7" t="n"/>
      <c r="J2659" s="9">
        <f>IF(I2659="","",IFERROR(INDEX('Ordres de travail'!$D$5:$D$3004,MATCH(I2659,'Ordres de travail'!$A$5:$A$3004,0)),""))</f>
        <v/>
      </c>
      <c r="K2659" s="9">
        <f>IF(D2659="","",IFERROR(INDEX('Stock pièces'!$D$5:$D$404,MATCH(D2659,'Stock pièces'!$A$5:$A$404,0)),""))</f>
        <v/>
      </c>
      <c r="L2659" s="7" t="n"/>
      <c r="M2659" s="7" t="n"/>
    </row>
    <row r="2660">
      <c r="A2660" s="7" t="n"/>
      <c r="B2660" s="75" t="n"/>
      <c r="C2660" s="7" t="n"/>
      <c r="D2660" s="7" t="n"/>
      <c r="E2660" s="9">
        <f>IF(D2660="","",IFERROR(INDEX('Stock pièces'!$B$5:$B$404,MATCH(D2660,'Stock pièces'!$A$5:$A$404,0)),"Réf. inconnue"))</f>
        <v/>
      </c>
      <c r="F2660" s="67" t="n"/>
      <c r="G2660" s="81">
        <f>IF(D2660="","",IFERROR(INDEX('Stock pièces'!$I$5:$I$404,MATCH(D2660,'Stock pièces'!$A$5:$A$404,0)),0))</f>
        <v/>
      </c>
      <c r="H2660" s="81">
        <f>IF(D2660="","",N(F2660)*N(G2660))</f>
        <v/>
      </c>
      <c r="I2660" s="7" t="n"/>
      <c r="J2660" s="9">
        <f>IF(I2660="","",IFERROR(INDEX('Ordres de travail'!$D$5:$D$3004,MATCH(I2660,'Ordres de travail'!$A$5:$A$3004,0)),""))</f>
        <v/>
      </c>
      <c r="K2660" s="9">
        <f>IF(D2660="","",IFERROR(INDEX('Stock pièces'!$D$5:$D$404,MATCH(D2660,'Stock pièces'!$A$5:$A$404,0)),""))</f>
        <v/>
      </c>
      <c r="L2660" s="7" t="n"/>
      <c r="M2660" s="7" t="n"/>
    </row>
    <row r="2661">
      <c r="A2661" s="7" t="n"/>
      <c r="B2661" s="75" t="n"/>
      <c r="C2661" s="7" t="n"/>
      <c r="D2661" s="7" t="n"/>
      <c r="E2661" s="9">
        <f>IF(D2661="","",IFERROR(INDEX('Stock pièces'!$B$5:$B$404,MATCH(D2661,'Stock pièces'!$A$5:$A$404,0)),"Réf. inconnue"))</f>
        <v/>
      </c>
      <c r="F2661" s="67" t="n"/>
      <c r="G2661" s="81">
        <f>IF(D2661="","",IFERROR(INDEX('Stock pièces'!$I$5:$I$404,MATCH(D2661,'Stock pièces'!$A$5:$A$404,0)),0))</f>
        <v/>
      </c>
      <c r="H2661" s="81">
        <f>IF(D2661="","",N(F2661)*N(G2661))</f>
        <v/>
      </c>
      <c r="I2661" s="7" t="n"/>
      <c r="J2661" s="9">
        <f>IF(I2661="","",IFERROR(INDEX('Ordres de travail'!$D$5:$D$3004,MATCH(I2661,'Ordres de travail'!$A$5:$A$3004,0)),""))</f>
        <v/>
      </c>
      <c r="K2661" s="9">
        <f>IF(D2661="","",IFERROR(INDEX('Stock pièces'!$D$5:$D$404,MATCH(D2661,'Stock pièces'!$A$5:$A$404,0)),""))</f>
        <v/>
      </c>
      <c r="L2661" s="7" t="n"/>
      <c r="M2661" s="7" t="n"/>
    </row>
    <row r="2662">
      <c r="A2662" s="7" t="n"/>
      <c r="B2662" s="75" t="n"/>
      <c r="C2662" s="7" t="n"/>
      <c r="D2662" s="7" t="n"/>
      <c r="E2662" s="9">
        <f>IF(D2662="","",IFERROR(INDEX('Stock pièces'!$B$5:$B$404,MATCH(D2662,'Stock pièces'!$A$5:$A$404,0)),"Réf. inconnue"))</f>
        <v/>
      </c>
      <c r="F2662" s="67" t="n"/>
      <c r="G2662" s="81">
        <f>IF(D2662="","",IFERROR(INDEX('Stock pièces'!$I$5:$I$404,MATCH(D2662,'Stock pièces'!$A$5:$A$404,0)),0))</f>
        <v/>
      </c>
      <c r="H2662" s="81">
        <f>IF(D2662="","",N(F2662)*N(G2662))</f>
        <v/>
      </c>
      <c r="I2662" s="7" t="n"/>
      <c r="J2662" s="9">
        <f>IF(I2662="","",IFERROR(INDEX('Ordres de travail'!$D$5:$D$3004,MATCH(I2662,'Ordres de travail'!$A$5:$A$3004,0)),""))</f>
        <v/>
      </c>
      <c r="K2662" s="9">
        <f>IF(D2662="","",IFERROR(INDEX('Stock pièces'!$D$5:$D$404,MATCH(D2662,'Stock pièces'!$A$5:$A$404,0)),""))</f>
        <v/>
      </c>
      <c r="L2662" s="7" t="n"/>
      <c r="M2662" s="7" t="n"/>
    </row>
    <row r="2663">
      <c r="A2663" s="7" t="n"/>
      <c r="B2663" s="75" t="n"/>
      <c r="C2663" s="7" t="n"/>
      <c r="D2663" s="7" t="n"/>
      <c r="E2663" s="9">
        <f>IF(D2663="","",IFERROR(INDEX('Stock pièces'!$B$5:$B$404,MATCH(D2663,'Stock pièces'!$A$5:$A$404,0)),"Réf. inconnue"))</f>
        <v/>
      </c>
      <c r="F2663" s="67" t="n"/>
      <c r="G2663" s="81">
        <f>IF(D2663="","",IFERROR(INDEX('Stock pièces'!$I$5:$I$404,MATCH(D2663,'Stock pièces'!$A$5:$A$404,0)),0))</f>
        <v/>
      </c>
      <c r="H2663" s="81">
        <f>IF(D2663="","",N(F2663)*N(G2663))</f>
        <v/>
      </c>
      <c r="I2663" s="7" t="n"/>
      <c r="J2663" s="9">
        <f>IF(I2663="","",IFERROR(INDEX('Ordres de travail'!$D$5:$D$3004,MATCH(I2663,'Ordres de travail'!$A$5:$A$3004,0)),""))</f>
        <v/>
      </c>
      <c r="K2663" s="9">
        <f>IF(D2663="","",IFERROR(INDEX('Stock pièces'!$D$5:$D$404,MATCH(D2663,'Stock pièces'!$A$5:$A$404,0)),""))</f>
        <v/>
      </c>
      <c r="L2663" s="7" t="n"/>
      <c r="M2663" s="7" t="n"/>
    </row>
    <row r="2664">
      <c r="A2664" s="7" t="n"/>
      <c r="B2664" s="75" t="n"/>
      <c r="C2664" s="7" t="n"/>
      <c r="D2664" s="7" t="n"/>
      <c r="E2664" s="9">
        <f>IF(D2664="","",IFERROR(INDEX('Stock pièces'!$B$5:$B$404,MATCH(D2664,'Stock pièces'!$A$5:$A$404,0)),"Réf. inconnue"))</f>
        <v/>
      </c>
      <c r="F2664" s="67" t="n"/>
      <c r="G2664" s="81">
        <f>IF(D2664="","",IFERROR(INDEX('Stock pièces'!$I$5:$I$404,MATCH(D2664,'Stock pièces'!$A$5:$A$404,0)),0))</f>
        <v/>
      </c>
      <c r="H2664" s="81">
        <f>IF(D2664="","",N(F2664)*N(G2664))</f>
        <v/>
      </c>
      <c r="I2664" s="7" t="n"/>
      <c r="J2664" s="9">
        <f>IF(I2664="","",IFERROR(INDEX('Ordres de travail'!$D$5:$D$3004,MATCH(I2664,'Ordres de travail'!$A$5:$A$3004,0)),""))</f>
        <v/>
      </c>
      <c r="K2664" s="9">
        <f>IF(D2664="","",IFERROR(INDEX('Stock pièces'!$D$5:$D$404,MATCH(D2664,'Stock pièces'!$A$5:$A$404,0)),""))</f>
        <v/>
      </c>
      <c r="L2664" s="7" t="n"/>
      <c r="M2664" s="7" t="n"/>
    </row>
    <row r="2665">
      <c r="A2665" s="7" t="n"/>
      <c r="B2665" s="75" t="n"/>
      <c r="C2665" s="7" t="n"/>
      <c r="D2665" s="7" t="n"/>
      <c r="E2665" s="9">
        <f>IF(D2665="","",IFERROR(INDEX('Stock pièces'!$B$5:$B$404,MATCH(D2665,'Stock pièces'!$A$5:$A$404,0)),"Réf. inconnue"))</f>
        <v/>
      </c>
      <c r="F2665" s="67" t="n"/>
      <c r="G2665" s="81">
        <f>IF(D2665="","",IFERROR(INDEX('Stock pièces'!$I$5:$I$404,MATCH(D2665,'Stock pièces'!$A$5:$A$404,0)),0))</f>
        <v/>
      </c>
      <c r="H2665" s="81">
        <f>IF(D2665="","",N(F2665)*N(G2665))</f>
        <v/>
      </c>
      <c r="I2665" s="7" t="n"/>
      <c r="J2665" s="9">
        <f>IF(I2665="","",IFERROR(INDEX('Ordres de travail'!$D$5:$D$3004,MATCH(I2665,'Ordres de travail'!$A$5:$A$3004,0)),""))</f>
        <v/>
      </c>
      <c r="K2665" s="9">
        <f>IF(D2665="","",IFERROR(INDEX('Stock pièces'!$D$5:$D$404,MATCH(D2665,'Stock pièces'!$A$5:$A$404,0)),""))</f>
        <v/>
      </c>
      <c r="L2665" s="7" t="n"/>
      <c r="M2665" s="7" t="n"/>
    </row>
    <row r="2666">
      <c r="A2666" s="7" t="n"/>
      <c r="B2666" s="75" t="n"/>
      <c r="C2666" s="7" t="n"/>
      <c r="D2666" s="7" t="n"/>
      <c r="E2666" s="9">
        <f>IF(D2666="","",IFERROR(INDEX('Stock pièces'!$B$5:$B$404,MATCH(D2666,'Stock pièces'!$A$5:$A$404,0)),"Réf. inconnue"))</f>
        <v/>
      </c>
      <c r="F2666" s="67" t="n"/>
      <c r="G2666" s="81">
        <f>IF(D2666="","",IFERROR(INDEX('Stock pièces'!$I$5:$I$404,MATCH(D2666,'Stock pièces'!$A$5:$A$404,0)),0))</f>
        <v/>
      </c>
      <c r="H2666" s="81">
        <f>IF(D2666="","",N(F2666)*N(G2666))</f>
        <v/>
      </c>
      <c r="I2666" s="7" t="n"/>
      <c r="J2666" s="9">
        <f>IF(I2666="","",IFERROR(INDEX('Ordres de travail'!$D$5:$D$3004,MATCH(I2666,'Ordres de travail'!$A$5:$A$3004,0)),""))</f>
        <v/>
      </c>
      <c r="K2666" s="9">
        <f>IF(D2666="","",IFERROR(INDEX('Stock pièces'!$D$5:$D$404,MATCH(D2666,'Stock pièces'!$A$5:$A$404,0)),""))</f>
        <v/>
      </c>
      <c r="L2666" s="7" t="n"/>
      <c r="M2666" s="7" t="n"/>
    </row>
    <row r="2667">
      <c r="A2667" s="7" t="n"/>
      <c r="B2667" s="75" t="n"/>
      <c r="C2667" s="7" t="n"/>
      <c r="D2667" s="7" t="n"/>
      <c r="E2667" s="9">
        <f>IF(D2667="","",IFERROR(INDEX('Stock pièces'!$B$5:$B$404,MATCH(D2667,'Stock pièces'!$A$5:$A$404,0)),"Réf. inconnue"))</f>
        <v/>
      </c>
      <c r="F2667" s="67" t="n"/>
      <c r="G2667" s="81">
        <f>IF(D2667="","",IFERROR(INDEX('Stock pièces'!$I$5:$I$404,MATCH(D2667,'Stock pièces'!$A$5:$A$404,0)),0))</f>
        <v/>
      </c>
      <c r="H2667" s="81">
        <f>IF(D2667="","",N(F2667)*N(G2667))</f>
        <v/>
      </c>
      <c r="I2667" s="7" t="n"/>
      <c r="J2667" s="9">
        <f>IF(I2667="","",IFERROR(INDEX('Ordres de travail'!$D$5:$D$3004,MATCH(I2667,'Ordres de travail'!$A$5:$A$3004,0)),""))</f>
        <v/>
      </c>
      <c r="K2667" s="9">
        <f>IF(D2667="","",IFERROR(INDEX('Stock pièces'!$D$5:$D$404,MATCH(D2667,'Stock pièces'!$A$5:$A$404,0)),""))</f>
        <v/>
      </c>
      <c r="L2667" s="7" t="n"/>
      <c r="M2667" s="7" t="n"/>
    </row>
    <row r="2668">
      <c r="A2668" s="7" t="n"/>
      <c r="B2668" s="75" t="n"/>
      <c r="C2668" s="7" t="n"/>
      <c r="D2668" s="7" t="n"/>
      <c r="E2668" s="9">
        <f>IF(D2668="","",IFERROR(INDEX('Stock pièces'!$B$5:$B$404,MATCH(D2668,'Stock pièces'!$A$5:$A$404,0)),"Réf. inconnue"))</f>
        <v/>
      </c>
      <c r="F2668" s="67" t="n"/>
      <c r="G2668" s="81">
        <f>IF(D2668="","",IFERROR(INDEX('Stock pièces'!$I$5:$I$404,MATCH(D2668,'Stock pièces'!$A$5:$A$404,0)),0))</f>
        <v/>
      </c>
      <c r="H2668" s="81">
        <f>IF(D2668="","",N(F2668)*N(G2668))</f>
        <v/>
      </c>
      <c r="I2668" s="7" t="n"/>
      <c r="J2668" s="9">
        <f>IF(I2668="","",IFERROR(INDEX('Ordres de travail'!$D$5:$D$3004,MATCH(I2668,'Ordres de travail'!$A$5:$A$3004,0)),""))</f>
        <v/>
      </c>
      <c r="K2668" s="9">
        <f>IF(D2668="","",IFERROR(INDEX('Stock pièces'!$D$5:$D$404,MATCH(D2668,'Stock pièces'!$A$5:$A$404,0)),""))</f>
        <v/>
      </c>
      <c r="L2668" s="7" t="n"/>
      <c r="M2668" s="7" t="n"/>
    </row>
    <row r="2669">
      <c r="A2669" s="7" t="n"/>
      <c r="B2669" s="75" t="n"/>
      <c r="C2669" s="7" t="n"/>
      <c r="D2669" s="7" t="n"/>
      <c r="E2669" s="9">
        <f>IF(D2669="","",IFERROR(INDEX('Stock pièces'!$B$5:$B$404,MATCH(D2669,'Stock pièces'!$A$5:$A$404,0)),"Réf. inconnue"))</f>
        <v/>
      </c>
      <c r="F2669" s="67" t="n"/>
      <c r="G2669" s="81">
        <f>IF(D2669="","",IFERROR(INDEX('Stock pièces'!$I$5:$I$404,MATCH(D2669,'Stock pièces'!$A$5:$A$404,0)),0))</f>
        <v/>
      </c>
      <c r="H2669" s="81">
        <f>IF(D2669="","",N(F2669)*N(G2669))</f>
        <v/>
      </c>
      <c r="I2669" s="7" t="n"/>
      <c r="J2669" s="9">
        <f>IF(I2669="","",IFERROR(INDEX('Ordres de travail'!$D$5:$D$3004,MATCH(I2669,'Ordres de travail'!$A$5:$A$3004,0)),""))</f>
        <v/>
      </c>
      <c r="K2669" s="9">
        <f>IF(D2669="","",IFERROR(INDEX('Stock pièces'!$D$5:$D$404,MATCH(D2669,'Stock pièces'!$A$5:$A$404,0)),""))</f>
        <v/>
      </c>
      <c r="L2669" s="7" t="n"/>
      <c r="M2669" s="7" t="n"/>
    </row>
    <row r="2670">
      <c r="A2670" s="7" t="n"/>
      <c r="B2670" s="75" t="n"/>
      <c r="C2670" s="7" t="n"/>
      <c r="D2670" s="7" t="n"/>
      <c r="E2670" s="9">
        <f>IF(D2670="","",IFERROR(INDEX('Stock pièces'!$B$5:$B$404,MATCH(D2670,'Stock pièces'!$A$5:$A$404,0)),"Réf. inconnue"))</f>
        <v/>
      </c>
      <c r="F2670" s="67" t="n"/>
      <c r="G2670" s="81">
        <f>IF(D2670="","",IFERROR(INDEX('Stock pièces'!$I$5:$I$404,MATCH(D2670,'Stock pièces'!$A$5:$A$404,0)),0))</f>
        <v/>
      </c>
      <c r="H2670" s="81">
        <f>IF(D2670="","",N(F2670)*N(G2670))</f>
        <v/>
      </c>
      <c r="I2670" s="7" t="n"/>
      <c r="J2670" s="9">
        <f>IF(I2670="","",IFERROR(INDEX('Ordres de travail'!$D$5:$D$3004,MATCH(I2670,'Ordres de travail'!$A$5:$A$3004,0)),""))</f>
        <v/>
      </c>
      <c r="K2670" s="9">
        <f>IF(D2670="","",IFERROR(INDEX('Stock pièces'!$D$5:$D$404,MATCH(D2670,'Stock pièces'!$A$5:$A$404,0)),""))</f>
        <v/>
      </c>
      <c r="L2670" s="7" t="n"/>
      <c r="M2670" s="7" t="n"/>
    </row>
    <row r="2671">
      <c r="A2671" s="7" t="n"/>
      <c r="B2671" s="75" t="n"/>
      <c r="C2671" s="7" t="n"/>
      <c r="D2671" s="7" t="n"/>
      <c r="E2671" s="9">
        <f>IF(D2671="","",IFERROR(INDEX('Stock pièces'!$B$5:$B$404,MATCH(D2671,'Stock pièces'!$A$5:$A$404,0)),"Réf. inconnue"))</f>
        <v/>
      </c>
      <c r="F2671" s="67" t="n"/>
      <c r="G2671" s="81">
        <f>IF(D2671="","",IFERROR(INDEX('Stock pièces'!$I$5:$I$404,MATCH(D2671,'Stock pièces'!$A$5:$A$404,0)),0))</f>
        <v/>
      </c>
      <c r="H2671" s="81">
        <f>IF(D2671="","",N(F2671)*N(G2671))</f>
        <v/>
      </c>
      <c r="I2671" s="7" t="n"/>
      <c r="J2671" s="9">
        <f>IF(I2671="","",IFERROR(INDEX('Ordres de travail'!$D$5:$D$3004,MATCH(I2671,'Ordres de travail'!$A$5:$A$3004,0)),""))</f>
        <v/>
      </c>
      <c r="K2671" s="9">
        <f>IF(D2671="","",IFERROR(INDEX('Stock pièces'!$D$5:$D$404,MATCH(D2671,'Stock pièces'!$A$5:$A$404,0)),""))</f>
        <v/>
      </c>
      <c r="L2671" s="7" t="n"/>
      <c r="M2671" s="7" t="n"/>
    </row>
    <row r="2672">
      <c r="A2672" s="7" t="n"/>
      <c r="B2672" s="75" t="n"/>
      <c r="C2672" s="7" t="n"/>
      <c r="D2672" s="7" t="n"/>
      <c r="E2672" s="9">
        <f>IF(D2672="","",IFERROR(INDEX('Stock pièces'!$B$5:$B$404,MATCH(D2672,'Stock pièces'!$A$5:$A$404,0)),"Réf. inconnue"))</f>
        <v/>
      </c>
      <c r="F2672" s="67" t="n"/>
      <c r="G2672" s="81">
        <f>IF(D2672="","",IFERROR(INDEX('Stock pièces'!$I$5:$I$404,MATCH(D2672,'Stock pièces'!$A$5:$A$404,0)),0))</f>
        <v/>
      </c>
      <c r="H2672" s="81">
        <f>IF(D2672="","",N(F2672)*N(G2672))</f>
        <v/>
      </c>
      <c r="I2672" s="7" t="n"/>
      <c r="J2672" s="9">
        <f>IF(I2672="","",IFERROR(INDEX('Ordres de travail'!$D$5:$D$3004,MATCH(I2672,'Ordres de travail'!$A$5:$A$3004,0)),""))</f>
        <v/>
      </c>
      <c r="K2672" s="9">
        <f>IF(D2672="","",IFERROR(INDEX('Stock pièces'!$D$5:$D$404,MATCH(D2672,'Stock pièces'!$A$5:$A$404,0)),""))</f>
        <v/>
      </c>
      <c r="L2672" s="7" t="n"/>
      <c r="M2672" s="7" t="n"/>
    </row>
    <row r="2673">
      <c r="A2673" s="7" t="n"/>
      <c r="B2673" s="75" t="n"/>
      <c r="C2673" s="7" t="n"/>
      <c r="D2673" s="7" t="n"/>
      <c r="E2673" s="9">
        <f>IF(D2673="","",IFERROR(INDEX('Stock pièces'!$B$5:$B$404,MATCH(D2673,'Stock pièces'!$A$5:$A$404,0)),"Réf. inconnue"))</f>
        <v/>
      </c>
      <c r="F2673" s="67" t="n"/>
      <c r="G2673" s="81">
        <f>IF(D2673="","",IFERROR(INDEX('Stock pièces'!$I$5:$I$404,MATCH(D2673,'Stock pièces'!$A$5:$A$404,0)),0))</f>
        <v/>
      </c>
      <c r="H2673" s="81">
        <f>IF(D2673="","",N(F2673)*N(G2673))</f>
        <v/>
      </c>
      <c r="I2673" s="7" t="n"/>
      <c r="J2673" s="9">
        <f>IF(I2673="","",IFERROR(INDEX('Ordres de travail'!$D$5:$D$3004,MATCH(I2673,'Ordres de travail'!$A$5:$A$3004,0)),""))</f>
        <v/>
      </c>
      <c r="K2673" s="9">
        <f>IF(D2673="","",IFERROR(INDEX('Stock pièces'!$D$5:$D$404,MATCH(D2673,'Stock pièces'!$A$5:$A$404,0)),""))</f>
        <v/>
      </c>
      <c r="L2673" s="7" t="n"/>
      <c r="M2673" s="7" t="n"/>
    </row>
    <row r="2674">
      <c r="A2674" s="7" t="n"/>
      <c r="B2674" s="75" t="n"/>
      <c r="C2674" s="7" t="n"/>
      <c r="D2674" s="7" t="n"/>
      <c r="E2674" s="9">
        <f>IF(D2674="","",IFERROR(INDEX('Stock pièces'!$B$5:$B$404,MATCH(D2674,'Stock pièces'!$A$5:$A$404,0)),"Réf. inconnue"))</f>
        <v/>
      </c>
      <c r="F2674" s="67" t="n"/>
      <c r="G2674" s="81">
        <f>IF(D2674="","",IFERROR(INDEX('Stock pièces'!$I$5:$I$404,MATCH(D2674,'Stock pièces'!$A$5:$A$404,0)),0))</f>
        <v/>
      </c>
      <c r="H2674" s="81">
        <f>IF(D2674="","",N(F2674)*N(G2674))</f>
        <v/>
      </c>
      <c r="I2674" s="7" t="n"/>
      <c r="J2674" s="9">
        <f>IF(I2674="","",IFERROR(INDEX('Ordres de travail'!$D$5:$D$3004,MATCH(I2674,'Ordres de travail'!$A$5:$A$3004,0)),""))</f>
        <v/>
      </c>
      <c r="K2674" s="9">
        <f>IF(D2674="","",IFERROR(INDEX('Stock pièces'!$D$5:$D$404,MATCH(D2674,'Stock pièces'!$A$5:$A$404,0)),""))</f>
        <v/>
      </c>
      <c r="L2674" s="7" t="n"/>
      <c r="M2674" s="7" t="n"/>
    </row>
    <row r="2675">
      <c r="A2675" s="7" t="n"/>
      <c r="B2675" s="75" t="n"/>
      <c r="C2675" s="7" t="n"/>
      <c r="D2675" s="7" t="n"/>
      <c r="E2675" s="9">
        <f>IF(D2675="","",IFERROR(INDEX('Stock pièces'!$B$5:$B$404,MATCH(D2675,'Stock pièces'!$A$5:$A$404,0)),"Réf. inconnue"))</f>
        <v/>
      </c>
      <c r="F2675" s="67" t="n"/>
      <c r="G2675" s="81">
        <f>IF(D2675="","",IFERROR(INDEX('Stock pièces'!$I$5:$I$404,MATCH(D2675,'Stock pièces'!$A$5:$A$404,0)),0))</f>
        <v/>
      </c>
      <c r="H2675" s="81">
        <f>IF(D2675="","",N(F2675)*N(G2675))</f>
        <v/>
      </c>
      <c r="I2675" s="7" t="n"/>
      <c r="J2675" s="9">
        <f>IF(I2675="","",IFERROR(INDEX('Ordres de travail'!$D$5:$D$3004,MATCH(I2675,'Ordres de travail'!$A$5:$A$3004,0)),""))</f>
        <v/>
      </c>
      <c r="K2675" s="9">
        <f>IF(D2675="","",IFERROR(INDEX('Stock pièces'!$D$5:$D$404,MATCH(D2675,'Stock pièces'!$A$5:$A$404,0)),""))</f>
        <v/>
      </c>
      <c r="L2675" s="7" t="n"/>
      <c r="M2675" s="7" t="n"/>
    </row>
    <row r="2676">
      <c r="A2676" s="7" t="n"/>
      <c r="B2676" s="75" t="n"/>
      <c r="C2676" s="7" t="n"/>
      <c r="D2676" s="7" t="n"/>
      <c r="E2676" s="9">
        <f>IF(D2676="","",IFERROR(INDEX('Stock pièces'!$B$5:$B$404,MATCH(D2676,'Stock pièces'!$A$5:$A$404,0)),"Réf. inconnue"))</f>
        <v/>
      </c>
      <c r="F2676" s="67" t="n"/>
      <c r="G2676" s="81">
        <f>IF(D2676="","",IFERROR(INDEX('Stock pièces'!$I$5:$I$404,MATCH(D2676,'Stock pièces'!$A$5:$A$404,0)),0))</f>
        <v/>
      </c>
      <c r="H2676" s="81">
        <f>IF(D2676="","",N(F2676)*N(G2676))</f>
        <v/>
      </c>
      <c r="I2676" s="7" t="n"/>
      <c r="J2676" s="9">
        <f>IF(I2676="","",IFERROR(INDEX('Ordres de travail'!$D$5:$D$3004,MATCH(I2676,'Ordres de travail'!$A$5:$A$3004,0)),""))</f>
        <v/>
      </c>
      <c r="K2676" s="9">
        <f>IF(D2676="","",IFERROR(INDEX('Stock pièces'!$D$5:$D$404,MATCH(D2676,'Stock pièces'!$A$5:$A$404,0)),""))</f>
        <v/>
      </c>
      <c r="L2676" s="7" t="n"/>
      <c r="M2676" s="7" t="n"/>
    </row>
    <row r="2677">
      <c r="A2677" s="7" t="n"/>
      <c r="B2677" s="75" t="n"/>
      <c r="C2677" s="7" t="n"/>
      <c r="D2677" s="7" t="n"/>
      <c r="E2677" s="9">
        <f>IF(D2677="","",IFERROR(INDEX('Stock pièces'!$B$5:$B$404,MATCH(D2677,'Stock pièces'!$A$5:$A$404,0)),"Réf. inconnue"))</f>
        <v/>
      </c>
      <c r="F2677" s="67" t="n"/>
      <c r="G2677" s="81">
        <f>IF(D2677="","",IFERROR(INDEX('Stock pièces'!$I$5:$I$404,MATCH(D2677,'Stock pièces'!$A$5:$A$404,0)),0))</f>
        <v/>
      </c>
      <c r="H2677" s="81">
        <f>IF(D2677="","",N(F2677)*N(G2677))</f>
        <v/>
      </c>
      <c r="I2677" s="7" t="n"/>
      <c r="J2677" s="9">
        <f>IF(I2677="","",IFERROR(INDEX('Ordres de travail'!$D$5:$D$3004,MATCH(I2677,'Ordres de travail'!$A$5:$A$3004,0)),""))</f>
        <v/>
      </c>
      <c r="K2677" s="9">
        <f>IF(D2677="","",IFERROR(INDEX('Stock pièces'!$D$5:$D$404,MATCH(D2677,'Stock pièces'!$A$5:$A$404,0)),""))</f>
        <v/>
      </c>
      <c r="L2677" s="7" t="n"/>
      <c r="M2677" s="7" t="n"/>
    </row>
    <row r="2678">
      <c r="A2678" s="7" t="n"/>
      <c r="B2678" s="75" t="n"/>
      <c r="C2678" s="7" t="n"/>
      <c r="D2678" s="7" t="n"/>
      <c r="E2678" s="9">
        <f>IF(D2678="","",IFERROR(INDEX('Stock pièces'!$B$5:$B$404,MATCH(D2678,'Stock pièces'!$A$5:$A$404,0)),"Réf. inconnue"))</f>
        <v/>
      </c>
      <c r="F2678" s="67" t="n"/>
      <c r="G2678" s="81">
        <f>IF(D2678="","",IFERROR(INDEX('Stock pièces'!$I$5:$I$404,MATCH(D2678,'Stock pièces'!$A$5:$A$404,0)),0))</f>
        <v/>
      </c>
      <c r="H2678" s="81">
        <f>IF(D2678="","",N(F2678)*N(G2678))</f>
        <v/>
      </c>
      <c r="I2678" s="7" t="n"/>
      <c r="J2678" s="9">
        <f>IF(I2678="","",IFERROR(INDEX('Ordres de travail'!$D$5:$D$3004,MATCH(I2678,'Ordres de travail'!$A$5:$A$3004,0)),""))</f>
        <v/>
      </c>
      <c r="K2678" s="9">
        <f>IF(D2678="","",IFERROR(INDEX('Stock pièces'!$D$5:$D$404,MATCH(D2678,'Stock pièces'!$A$5:$A$404,0)),""))</f>
        <v/>
      </c>
      <c r="L2678" s="7" t="n"/>
      <c r="M2678" s="7" t="n"/>
    </row>
    <row r="2679">
      <c r="A2679" s="7" t="n"/>
      <c r="B2679" s="75" t="n"/>
      <c r="C2679" s="7" t="n"/>
      <c r="D2679" s="7" t="n"/>
      <c r="E2679" s="9">
        <f>IF(D2679="","",IFERROR(INDEX('Stock pièces'!$B$5:$B$404,MATCH(D2679,'Stock pièces'!$A$5:$A$404,0)),"Réf. inconnue"))</f>
        <v/>
      </c>
      <c r="F2679" s="67" t="n"/>
      <c r="G2679" s="81">
        <f>IF(D2679="","",IFERROR(INDEX('Stock pièces'!$I$5:$I$404,MATCH(D2679,'Stock pièces'!$A$5:$A$404,0)),0))</f>
        <v/>
      </c>
      <c r="H2679" s="81">
        <f>IF(D2679="","",N(F2679)*N(G2679))</f>
        <v/>
      </c>
      <c r="I2679" s="7" t="n"/>
      <c r="J2679" s="9">
        <f>IF(I2679="","",IFERROR(INDEX('Ordres de travail'!$D$5:$D$3004,MATCH(I2679,'Ordres de travail'!$A$5:$A$3004,0)),""))</f>
        <v/>
      </c>
      <c r="K2679" s="9">
        <f>IF(D2679="","",IFERROR(INDEX('Stock pièces'!$D$5:$D$404,MATCH(D2679,'Stock pièces'!$A$5:$A$404,0)),""))</f>
        <v/>
      </c>
      <c r="L2679" s="7" t="n"/>
      <c r="M2679" s="7" t="n"/>
    </row>
    <row r="2680">
      <c r="A2680" s="7" t="n"/>
      <c r="B2680" s="75" t="n"/>
      <c r="C2680" s="7" t="n"/>
      <c r="D2680" s="7" t="n"/>
      <c r="E2680" s="9">
        <f>IF(D2680="","",IFERROR(INDEX('Stock pièces'!$B$5:$B$404,MATCH(D2680,'Stock pièces'!$A$5:$A$404,0)),"Réf. inconnue"))</f>
        <v/>
      </c>
      <c r="F2680" s="67" t="n"/>
      <c r="G2680" s="81">
        <f>IF(D2680="","",IFERROR(INDEX('Stock pièces'!$I$5:$I$404,MATCH(D2680,'Stock pièces'!$A$5:$A$404,0)),0))</f>
        <v/>
      </c>
      <c r="H2680" s="81">
        <f>IF(D2680="","",N(F2680)*N(G2680))</f>
        <v/>
      </c>
      <c r="I2680" s="7" t="n"/>
      <c r="J2680" s="9">
        <f>IF(I2680="","",IFERROR(INDEX('Ordres de travail'!$D$5:$D$3004,MATCH(I2680,'Ordres de travail'!$A$5:$A$3004,0)),""))</f>
        <v/>
      </c>
      <c r="K2680" s="9">
        <f>IF(D2680="","",IFERROR(INDEX('Stock pièces'!$D$5:$D$404,MATCH(D2680,'Stock pièces'!$A$5:$A$404,0)),""))</f>
        <v/>
      </c>
      <c r="L2680" s="7" t="n"/>
      <c r="M2680" s="7" t="n"/>
    </row>
    <row r="2681">
      <c r="A2681" s="7" t="n"/>
      <c r="B2681" s="75" t="n"/>
      <c r="C2681" s="7" t="n"/>
      <c r="D2681" s="7" t="n"/>
      <c r="E2681" s="9">
        <f>IF(D2681="","",IFERROR(INDEX('Stock pièces'!$B$5:$B$404,MATCH(D2681,'Stock pièces'!$A$5:$A$404,0)),"Réf. inconnue"))</f>
        <v/>
      </c>
      <c r="F2681" s="67" t="n"/>
      <c r="G2681" s="81">
        <f>IF(D2681="","",IFERROR(INDEX('Stock pièces'!$I$5:$I$404,MATCH(D2681,'Stock pièces'!$A$5:$A$404,0)),0))</f>
        <v/>
      </c>
      <c r="H2681" s="81">
        <f>IF(D2681="","",N(F2681)*N(G2681))</f>
        <v/>
      </c>
      <c r="I2681" s="7" t="n"/>
      <c r="J2681" s="9">
        <f>IF(I2681="","",IFERROR(INDEX('Ordres de travail'!$D$5:$D$3004,MATCH(I2681,'Ordres de travail'!$A$5:$A$3004,0)),""))</f>
        <v/>
      </c>
      <c r="K2681" s="9">
        <f>IF(D2681="","",IFERROR(INDEX('Stock pièces'!$D$5:$D$404,MATCH(D2681,'Stock pièces'!$A$5:$A$404,0)),""))</f>
        <v/>
      </c>
      <c r="L2681" s="7" t="n"/>
      <c r="M2681" s="7" t="n"/>
    </row>
    <row r="2682">
      <c r="A2682" s="7" t="n"/>
      <c r="B2682" s="75" t="n"/>
      <c r="C2682" s="7" t="n"/>
      <c r="D2682" s="7" t="n"/>
      <c r="E2682" s="9">
        <f>IF(D2682="","",IFERROR(INDEX('Stock pièces'!$B$5:$B$404,MATCH(D2682,'Stock pièces'!$A$5:$A$404,0)),"Réf. inconnue"))</f>
        <v/>
      </c>
      <c r="F2682" s="67" t="n"/>
      <c r="G2682" s="81">
        <f>IF(D2682="","",IFERROR(INDEX('Stock pièces'!$I$5:$I$404,MATCH(D2682,'Stock pièces'!$A$5:$A$404,0)),0))</f>
        <v/>
      </c>
      <c r="H2682" s="81">
        <f>IF(D2682="","",N(F2682)*N(G2682))</f>
        <v/>
      </c>
      <c r="I2682" s="7" t="n"/>
      <c r="J2682" s="9">
        <f>IF(I2682="","",IFERROR(INDEX('Ordres de travail'!$D$5:$D$3004,MATCH(I2682,'Ordres de travail'!$A$5:$A$3004,0)),""))</f>
        <v/>
      </c>
      <c r="K2682" s="9">
        <f>IF(D2682="","",IFERROR(INDEX('Stock pièces'!$D$5:$D$404,MATCH(D2682,'Stock pièces'!$A$5:$A$404,0)),""))</f>
        <v/>
      </c>
      <c r="L2682" s="7" t="n"/>
      <c r="M2682" s="7" t="n"/>
    </row>
    <row r="2683">
      <c r="A2683" s="7" t="n"/>
      <c r="B2683" s="75" t="n"/>
      <c r="C2683" s="7" t="n"/>
      <c r="D2683" s="7" t="n"/>
      <c r="E2683" s="9">
        <f>IF(D2683="","",IFERROR(INDEX('Stock pièces'!$B$5:$B$404,MATCH(D2683,'Stock pièces'!$A$5:$A$404,0)),"Réf. inconnue"))</f>
        <v/>
      </c>
      <c r="F2683" s="67" t="n"/>
      <c r="G2683" s="81">
        <f>IF(D2683="","",IFERROR(INDEX('Stock pièces'!$I$5:$I$404,MATCH(D2683,'Stock pièces'!$A$5:$A$404,0)),0))</f>
        <v/>
      </c>
      <c r="H2683" s="81">
        <f>IF(D2683="","",N(F2683)*N(G2683))</f>
        <v/>
      </c>
      <c r="I2683" s="7" t="n"/>
      <c r="J2683" s="9">
        <f>IF(I2683="","",IFERROR(INDEX('Ordres de travail'!$D$5:$D$3004,MATCH(I2683,'Ordres de travail'!$A$5:$A$3004,0)),""))</f>
        <v/>
      </c>
      <c r="K2683" s="9">
        <f>IF(D2683="","",IFERROR(INDEX('Stock pièces'!$D$5:$D$404,MATCH(D2683,'Stock pièces'!$A$5:$A$404,0)),""))</f>
        <v/>
      </c>
      <c r="L2683" s="7" t="n"/>
      <c r="M2683" s="7" t="n"/>
    </row>
    <row r="2684">
      <c r="A2684" s="7" t="n"/>
      <c r="B2684" s="75" t="n"/>
      <c r="C2684" s="7" t="n"/>
      <c r="D2684" s="7" t="n"/>
      <c r="E2684" s="9">
        <f>IF(D2684="","",IFERROR(INDEX('Stock pièces'!$B$5:$B$404,MATCH(D2684,'Stock pièces'!$A$5:$A$404,0)),"Réf. inconnue"))</f>
        <v/>
      </c>
      <c r="F2684" s="67" t="n"/>
      <c r="G2684" s="81">
        <f>IF(D2684="","",IFERROR(INDEX('Stock pièces'!$I$5:$I$404,MATCH(D2684,'Stock pièces'!$A$5:$A$404,0)),0))</f>
        <v/>
      </c>
      <c r="H2684" s="81">
        <f>IF(D2684="","",N(F2684)*N(G2684))</f>
        <v/>
      </c>
      <c r="I2684" s="7" t="n"/>
      <c r="J2684" s="9">
        <f>IF(I2684="","",IFERROR(INDEX('Ordres de travail'!$D$5:$D$3004,MATCH(I2684,'Ordres de travail'!$A$5:$A$3004,0)),""))</f>
        <v/>
      </c>
      <c r="K2684" s="9">
        <f>IF(D2684="","",IFERROR(INDEX('Stock pièces'!$D$5:$D$404,MATCH(D2684,'Stock pièces'!$A$5:$A$404,0)),""))</f>
        <v/>
      </c>
      <c r="L2684" s="7" t="n"/>
      <c r="M2684" s="7" t="n"/>
    </row>
    <row r="2685">
      <c r="A2685" s="7" t="n"/>
      <c r="B2685" s="75" t="n"/>
      <c r="C2685" s="7" t="n"/>
      <c r="D2685" s="7" t="n"/>
      <c r="E2685" s="9">
        <f>IF(D2685="","",IFERROR(INDEX('Stock pièces'!$B$5:$B$404,MATCH(D2685,'Stock pièces'!$A$5:$A$404,0)),"Réf. inconnue"))</f>
        <v/>
      </c>
      <c r="F2685" s="67" t="n"/>
      <c r="G2685" s="81">
        <f>IF(D2685="","",IFERROR(INDEX('Stock pièces'!$I$5:$I$404,MATCH(D2685,'Stock pièces'!$A$5:$A$404,0)),0))</f>
        <v/>
      </c>
      <c r="H2685" s="81">
        <f>IF(D2685="","",N(F2685)*N(G2685))</f>
        <v/>
      </c>
      <c r="I2685" s="7" t="n"/>
      <c r="J2685" s="9">
        <f>IF(I2685="","",IFERROR(INDEX('Ordres de travail'!$D$5:$D$3004,MATCH(I2685,'Ordres de travail'!$A$5:$A$3004,0)),""))</f>
        <v/>
      </c>
      <c r="K2685" s="9">
        <f>IF(D2685="","",IFERROR(INDEX('Stock pièces'!$D$5:$D$404,MATCH(D2685,'Stock pièces'!$A$5:$A$404,0)),""))</f>
        <v/>
      </c>
      <c r="L2685" s="7" t="n"/>
      <c r="M2685" s="7" t="n"/>
    </row>
    <row r="2686">
      <c r="A2686" s="7" t="n"/>
      <c r="B2686" s="75" t="n"/>
      <c r="C2686" s="7" t="n"/>
      <c r="D2686" s="7" t="n"/>
      <c r="E2686" s="9">
        <f>IF(D2686="","",IFERROR(INDEX('Stock pièces'!$B$5:$B$404,MATCH(D2686,'Stock pièces'!$A$5:$A$404,0)),"Réf. inconnue"))</f>
        <v/>
      </c>
      <c r="F2686" s="67" t="n"/>
      <c r="G2686" s="81">
        <f>IF(D2686="","",IFERROR(INDEX('Stock pièces'!$I$5:$I$404,MATCH(D2686,'Stock pièces'!$A$5:$A$404,0)),0))</f>
        <v/>
      </c>
      <c r="H2686" s="81">
        <f>IF(D2686="","",N(F2686)*N(G2686))</f>
        <v/>
      </c>
      <c r="I2686" s="7" t="n"/>
      <c r="J2686" s="9">
        <f>IF(I2686="","",IFERROR(INDEX('Ordres de travail'!$D$5:$D$3004,MATCH(I2686,'Ordres de travail'!$A$5:$A$3004,0)),""))</f>
        <v/>
      </c>
      <c r="K2686" s="9">
        <f>IF(D2686="","",IFERROR(INDEX('Stock pièces'!$D$5:$D$404,MATCH(D2686,'Stock pièces'!$A$5:$A$404,0)),""))</f>
        <v/>
      </c>
      <c r="L2686" s="7" t="n"/>
      <c r="M2686" s="7" t="n"/>
    </row>
    <row r="2687">
      <c r="A2687" s="7" t="n"/>
      <c r="B2687" s="75" t="n"/>
      <c r="C2687" s="7" t="n"/>
      <c r="D2687" s="7" t="n"/>
      <c r="E2687" s="9">
        <f>IF(D2687="","",IFERROR(INDEX('Stock pièces'!$B$5:$B$404,MATCH(D2687,'Stock pièces'!$A$5:$A$404,0)),"Réf. inconnue"))</f>
        <v/>
      </c>
      <c r="F2687" s="67" t="n"/>
      <c r="G2687" s="81">
        <f>IF(D2687="","",IFERROR(INDEX('Stock pièces'!$I$5:$I$404,MATCH(D2687,'Stock pièces'!$A$5:$A$404,0)),0))</f>
        <v/>
      </c>
      <c r="H2687" s="81">
        <f>IF(D2687="","",N(F2687)*N(G2687))</f>
        <v/>
      </c>
      <c r="I2687" s="7" t="n"/>
      <c r="J2687" s="9">
        <f>IF(I2687="","",IFERROR(INDEX('Ordres de travail'!$D$5:$D$3004,MATCH(I2687,'Ordres de travail'!$A$5:$A$3004,0)),""))</f>
        <v/>
      </c>
      <c r="K2687" s="9">
        <f>IF(D2687="","",IFERROR(INDEX('Stock pièces'!$D$5:$D$404,MATCH(D2687,'Stock pièces'!$A$5:$A$404,0)),""))</f>
        <v/>
      </c>
      <c r="L2687" s="7" t="n"/>
      <c r="M2687" s="7" t="n"/>
    </row>
    <row r="2688">
      <c r="A2688" s="7" t="n"/>
      <c r="B2688" s="75" t="n"/>
      <c r="C2688" s="7" t="n"/>
      <c r="D2688" s="7" t="n"/>
      <c r="E2688" s="9">
        <f>IF(D2688="","",IFERROR(INDEX('Stock pièces'!$B$5:$B$404,MATCH(D2688,'Stock pièces'!$A$5:$A$404,0)),"Réf. inconnue"))</f>
        <v/>
      </c>
      <c r="F2688" s="67" t="n"/>
      <c r="G2688" s="81">
        <f>IF(D2688="","",IFERROR(INDEX('Stock pièces'!$I$5:$I$404,MATCH(D2688,'Stock pièces'!$A$5:$A$404,0)),0))</f>
        <v/>
      </c>
      <c r="H2688" s="81">
        <f>IF(D2688="","",N(F2688)*N(G2688))</f>
        <v/>
      </c>
      <c r="I2688" s="7" t="n"/>
      <c r="J2688" s="9">
        <f>IF(I2688="","",IFERROR(INDEX('Ordres de travail'!$D$5:$D$3004,MATCH(I2688,'Ordres de travail'!$A$5:$A$3004,0)),""))</f>
        <v/>
      </c>
      <c r="K2688" s="9">
        <f>IF(D2688="","",IFERROR(INDEX('Stock pièces'!$D$5:$D$404,MATCH(D2688,'Stock pièces'!$A$5:$A$404,0)),""))</f>
        <v/>
      </c>
      <c r="L2688" s="7" t="n"/>
      <c r="M2688" s="7" t="n"/>
    </row>
    <row r="2689">
      <c r="A2689" s="7" t="n"/>
      <c r="B2689" s="75" t="n"/>
      <c r="C2689" s="7" t="n"/>
      <c r="D2689" s="7" t="n"/>
      <c r="E2689" s="9">
        <f>IF(D2689="","",IFERROR(INDEX('Stock pièces'!$B$5:$B$404,MATCH(D2689,'Stock pièces'!$A$5:$A$404,0)),"Réf. inconnue"))</f>
        <v/>
      </c>
      <c r="F2689" s="67" t="n"/>
      <c r="G2689" s="81">
        <f>IF(D2689="","",IFERROR(INDEX('Stock pièces'!$I$5:$I$404,MATCH(D2689,'Stock pièces'!$A$5:$A$404,0)),0))</f>
        <v/>
      </c>
      <c r="H2689" s="81">
        <f>IF(D2689="","",N(F2689)*N(G2689))</f>
        <v/>
      </c>
      <c r="I2689" s="7" t="n"/>
      <c r="J2689" s="9">
        <f>IF(I2689="","",IFERROR(INDEX('Ordres de travail'!$D$5:$D$3004,MATCH(I2689,'Ordres de travail'!$A$5:$A$3004,0)),""))</f>
        <v/>
      </c>
      <c r="K2689" s="9">
        <f>IF(D2689="","",IFERROR(INDEX('Stock pièces'!$D$5:$D$404,MATCH(D2689,'Stock pièces'!$A$5:$A$404,0)),""))</f>
        <v/>
      </c>
      <c r="L2689" s="7" t="n"/>
      <c r="M2689" s="7" t="n"/>
    </row>
    <row r="2690">
      <c r="A2690" s="7" t="n"/>
      <c r="B2690" s="75" t="n"/>
      <c r="C2690" s="7" t="n"/>
      <c r="D2690" s="7" t="n"/>
      <c r="E2690" s="9">
        <f>IF(D2690="","",IFERROR(INDEX('Stock pièces'!$B$5:$B$404,MATCH(D2690,'Stock pièces'!$A$5:$A$404,0)),"Réf. inconnue"))</f>
        <v/>
      </c>
      <c r="F2690" s="67" t="n"/>
      <c r="G2690" s="81">
        <f>IF(D2690="","",IFERROR(INDEX('Stock pièces'!$I$5:$I$404,MATCH(D2690,'Stock pièces'!$A$5:$A$404,0)),0))</f>
        <v/>
      </c>
      <c r="H2690" s="81">
        <f>IF(D2690="","",N(F2690)*N(G2690))</f>
        <v/>
      </c>
      <c r="I2690" s="7" t="n"/>
      <c r="J2690" s="9">
        <f>IF(I2690="","",IFERROR(INDEX('Ordres de travail'!$D$5:$D$3004,MATCH(I2690,'Ordres de travail'!$A$5:$A$3004,0)),""))</f>
        <v/>
      </c>
      <c r="K2690" s="9">
        <f>IF(D2690="","",IFERROR(INDEX('Stock pièces'!$D$5:$D$404,MATCH(D2690,'Stock pièces'!$A$5:$A$404,0)),""))</f>
        <v/>
      </c>
      <c r="L2690" s="7" t="n"/>
      <c r="M2690" s="7" t="n"/>
    </row>
    <row r="2691">
      <c r="A2691" s="7" t="n"/>
      <c r="B2691" s="75" t="n"/>
      <c r="C2691" s="7" t="n"/>
      <c r="D2691" s="7" t="n"/>
      <c r="E2691" s="9">
        <f>IF(D2691="","",IFERROR(INDEX('Stock pièces'!$B$5:$B$404,MATCH(D2691,'Stock pièces'!$A$5:$A$404,0)),"Réf. inconnue"))</f>
        <v/>
      </c>
      <c r="F2691" s="67" t="n"/>
      <c r="G2691" s="81">
        <f>IF(D2691="","",IFERROR(INDEX('Stock pièces'!$I$5:$I$404,MATCH(D2691,'Stock pièces'!$A$5:$A$404,0)),0))</f>
        <v/>
      </c>
      <c r="H2691" s="81">
        <f>IF(D2691="","",N(F2691)*N(G2691))</f>
        <v/>
      </c>
      <c r="I2691" s="7" t="n"/>
      <c r="J2691" s="9">
        <f>IF(I2691="","",IFERROR(INDEX('Ordres de travail'!$D$5:$D$3004,MATCH(I2691,'Ordres de travail'!$A$5:$A$3004,0)),""))</f>
        <v/>
      </c>
      <c r="K2691" s="9">
        <f>IF(D2691="","",IFERROR(INDEX('Stock pièces'!$D$5:$D$404,MATCH(D2691,'Stock pièces'!$A$5:$A$404,0)),""))</f>
        <v/>
      </c>
      <c r="L2691" s="7" t="n"/>
      <c r="M2691" s="7" t="n"/>
    </row>
    <row r="2692">
      <c r="A2692" s="7" t="n"/>
      <c r="B2692" s="75" t="n"/>
      <c r="C2692" s="7" t="n"/>
      <c r="D2692" s="7" t="n"/>
      <c r="E2692" s="9">
        <f>IF(D2692="","",IFERROR(INDEX('Stock pièces'!$B$5:$B$404,MATCH(D2692,'Stock pièces'!$A$5:$A$404,0)),"Réf. inconnue"))</f>
        <v/>
      </c>
      <c r="F2692" s="67" t="n"/>
      <c r="G2692" s="81">
        <f>IF(D2692="","",IFERROR(INDEX('Stock pièces'!$I$5:$I$404,MATCH(D2692,'Stock pièces'!$A$5:$A$404,0)),0))</f>
        <v/>
      </c>
      <c r="H2692" s="81">
        <f>IF(D2692="","",N(F2692)*N(G2692))</f>
        <v/>
      </c>
      <c r="I2692" s="7" t="n"/>
      <c r="J2692" s="9">
        <f>IF(I2692="","",IFERROR(INDEX('Ordres de travail'!$D$5:$D$3004,MATCH(I2692,'Ordres de travail'!$A$5:$A$3004,0)),""))</f>
        <v/>
      </c>
      <c r="K2692" s="9">
        <f>IF(D2692="","",IFERROR(INDEX('Stock pièces'!$D$5:$D$404,MATCH(D2692,'Stock pièces'!$A$5:$A$404,0)),""))</f>
        <v/>
      </c>
      <c r="L2692" s="7" t="n"/>
      <c r="M2692" s="7" t="n"/>
    </row>
    <row r="2693">
      <c r="A2693" s="7" t="n"/>
      <c r="B2693" s="75" t="n"/>
      <c r="C2693" s="7" t="n"/>
      <c r="D2693" s="7" t="n"/>
      <c r="E2693" s="9">
        <f>IF(D2693="","",IFERROR(INDEX('Stock pièces'!$B$5:$B$404,MATCH(D2693,'Stock pièces'!$A$5:$A$404,0)),"Réf. inconnue"))</f>
        <v/>
      </c>
      <c r="F2693" s="67" t="n"/>
      <c r="G2693" s="81">
        <f>IF(D2693="","",IFERROR(INDEX('Stock pièces'!$I$5:$I$404,MATCH(D2693,'Stock pièces'!$A$5:$A$404,0)),0))</f>
        <v/>
      </c>
      <c r="H2693" s="81">
        <f>IF(D2693="","",N(F2693)*N(G2693))</f>
        <v/>
      </c>
      <c r="I2693" s="7" t="n"/>
      <c r="J2693" s="9">
        <f>IF(I2693="","",IFERROR(INDEX('Ordres de travail'!$D$5:$D$3004,MATCH(I2693,'Ordres de travail'!$A$5:$A$3004,0)),""))</f>
        <v/>
      </c>
      <c r="K2693" s="9">
        <f>IF(D2693="","",IFERROR(INDEX('Stock pièces'!$D$5:$D$404,MATCH(D2693,'Stock pièces'!$A$5:$A$404,0)),""))</f>
        <v/>
      </c>
      <c r="L2693" s="7" t="n"/>
      <c r="M2693" s="7" t="n"/>
    </row>
    <row r="2694">
      <c r="A2694" s="7" t="n"/>
      <c r="B2694" s="75" t="n"/>
      <c r="C2694" s="7" t="n"/>
      <c r="D2694" s="7" t="n"/>
      <c r="E2694" s="9">
        <f>IF(D2694="","",IFERROR(INDEX('Stock pièces'!$B$5:$B$404,MATCH(D2694,'Stock pièces'!$A$5:$A$404,0)),"Réf. inconnue"))</f>
        <v/>
      </c>
      <c r="F2694" s="67" t="n"/>
      <c r="G2694" s="81">
        <f>IF(D2694="","",IFERROR(INDEX('Stock pièces'!$I$5:$I$404,MATCH(D2694,'Stock pièces'!$A$5:$A$404,0)),0))</f>
        <v/>
      </c>
      <c r="H2694" s="81">
        <f>IF(D2694="","",N(F2694)*N(G2694))</f>
        <v/>
      </c>
      <c r="I2694" s="7" t="n"/>
      <c r="J2694" s="9">
        <f>IF(I2694="","",IFERROR(INDEX('Ordres de travail'!$D$5:$D$3004,MATCH(I2694,'Ordres de travail'!$A$5:$A$3004,0)),""))</f>
        <v/>
      </c>
      <c r="K2694" s="9">
        <f>IF(D2694="","",IFERROR(INDEX('Stock pièces'!$D$5:$D$404,MATCH(D2694,'Stock pièces'!$A$5:$A$404,0)),""))</f>
        <v/>
      </c>
      <c r="L2694" s="7" t="n"/>
      <c r="M2694" s="7" t="n"/>
    </row>
    <row r="2695">
      <c r="A2695" s="7" t="n"/>
      <c r="B2695" s="75" t="n"/>
      <c r="C2695" s="7" t="n"/>
      <c r="D2695" s="7" t="n"/>
      <c r="E2695" s="9">
        <f>IF(D2695="","",IFERROR(INDEX('Stock pièces'!$B$5:$B$404,MATCH(D2695,'Stock pièces'!$A$5:$A$404,0)),"Réf. inconnue"))</f>
        <v/>
      </c>
      <c r="F2695" s="67" t="n"/>
      <c r="G2695" s="81">
        <f>IF(D2695="","",IFERROR(INDEX('Stock pièces'!$I$5:$I$404,MATCH(D2695,'Stock pièces'!$A$5:$A$404,0)),0))</f>
        <v/>
      </c>
      <c r="H2695" s="81">
        <f>IF(D2695="","",N(F2695)*N(G2695))</f>
        <v/>
      </c>
      <c r="I2695" s="7" t="n"/>
      <c r="J2695" s="9">
        <f>IF(I2695="","",IFERROR(INDEX('Ordres de travail'!$D$5:$D$3004,MATCH(I2695,'Ordres de travail'!$A$5:$A$3004,0)),""))</f>
        <v/>
      </c>
      <c r="K2695" s="9">
        <f>IF(D2695="","",IFERROR(INDEX('Stock pièces'!$D$5:$D$404,MATCH(D2695,'Stock pièces'!$A$5:$A$404,0)),""))</f>
        <v/>
      </c>
      <c r="L2695" s="7" t="n"/>
      <c r="M2695" s="7" t="n"/>
    </row>
    <row r="2696">
      <c r="A2696" s="7" t="n"/>
      <c r="B2696" s="75" t="n"/>
      <c r="C2696" s="7" t="n"/>
      <c r="D2696" s="7" t="n"/>
      <c r="E2696" s="9">
        <f>IF(D2696="","",IFERROR(INDEX('Stock pièces'!$B$5:$B$404,MATCH(D2696,'Stock pièces'!$A$5:$A$404,0)),"Réf. inconnue"))</f>
        <v/>
      </c>
      <c r="F2696" s="67" t="n"/>
      <c r="G2696" s="81">
        <f>IF(D2696="","",IFERROR(INDEX('Stock pièces'!$I$5:$I$404,MATCH(D2696,'Stock pièces'!$A$5:$A$404,0)),0))</f>
        <v/>
      </c>
      <c r="H2696" s="81">
        <f>IF(D2696="","",N(F2696)*N(G2696))</f>
        <v/>
      </c>
      <c r="I2696" s="7" t="n"/>
      <c r="J2696" s="9">
        <f>IF(I2696="","",IFERROR(INDEX('Ordres de travail'!$D$5:$D$3004,MATCH(I2696,'Ordres de travail'!$A$5:$A$3004,0)),""))</f>
        <v/>
      </c>
      <c r="K2696" s="9">
        <f>IF(D2696="","",IFERROR(INDEX('Stock pièces'!$D$5:$D$404,MATCH(D2696,'Stock pièces'!$A$5:$A$404,0)),""))</f>
        <v/>
      </c>
      <c r="L2696" s="7" t="n"/>
      <c r="M2696" s="7" t="n"/>
    </row>
    <row r="2697">
      <c r="A2697" s="7" t="n"/>
      <c r="B2697" s="75" t="n"/>
      <c r="C2697" s="7" t="n"/>
      <c r="D2697" s="7" t="n"/>
      <c r="E2697" s="9">
        <f>IF(D2697="","",IFERROR(INDEX('Stock pièces'!$B$5:$B$404,MATCH(D2697,'Stock pièces'!$A$5:$A$404,0)),"Réf. inconnue"))</f>
        <v/>
      </c>
      <c r="F2697" s="67" t="n"/>
      <c r="G2697" s="81">
        <f>IF(D2697="","",IFERROR(INDEX('Stock pièces'!$I$5:$I$404,MATCH(D2697,'Stock pièces'!$A$5:$A$404,0)),0))</f>
        <v/>
      </c>
      <c r="H2697" s="81">
        <f>IF(D2697="","",N(F2697)*N(G2697))</f>
        <v/>
      </c>
      <c r="I2697" s="7" t="n"/>
      <c r="J2697" s="9">
        <f>IF(I2697="","",IFERROR(INDEX('Ordres de travail'!$D$5:$D$3004,MATCH(I2697,'Ordres de travail'!$A$5:$A$3004,0)),""))</f>
        <v/>
      </c>
      <c r="K2697" s="9">
        <f>IF(D2697="","",IFERROR(INDEX('Stock pièces'!$D$5:$D$404,MATCH(D2697,'Stock pièces'!$A$5:$A$404,0)),""))</f>
        <v/>
      </c>
      <c r="L2697" s="7" t="n"/>
      <c r="M2697" s="7" t="n"/>
    </row>
    <row r="2698">
      <c r="A2698" s="7" t="n"/>
      <c r="B2698" s="75" t="n"/>
      <c r="C2698" s="7" t="n"/>
      <c r="D2698" s="7" t="n"/>
      <c r="E2698" s="9">
        <f>IF(D2698="","",IFERROR(INDEX('Stock pièces'!$B$5:$B$404,MATCH(D2698,'Stock pièces'!$A$5:$A$404,0)),"Réf. inconnue"))</f>
        <v/>
      </c>
      <c r="F2698" s="67" t="n"/>
      <c r="G2698" s="81">
        <f>IF(D2698="","",IFERROR(INDEX('Stock pièces'!$I$5:$I$404,MATCH(D2698,'Stock pièces'!$A$5:$A$404,0)),0))</f>
        <v/>
      </c>
      <c r="H2698" s="81">
        <f>IF(D2698="","",N(F2698)*N(G2698))</f>
        <v/>
      </c>
      <c r="I2698" s="7" t="n"/>
      <c r="J2698" s="9">
        <f>IF(I2698="","",IFERROR(INDEX('Ordres de travail'!$D$5:$D$3004,MATCH(I2698,'Ordres de travail'!$A$5:$A$3004,0)),""))</f>
        <v/>
      </c>
      <c r="K2698" s="9">
        <f>IF(D2698="","",IFERROR(INDEX('Stock pièces'!$D$5:$D$404,MATCH(D2698,'Stock pièces'!$A$5:$A$404,0)),""))</f>
        <v/>
      </c>
      <c r="L2698" s="7" t="n"/>
      <c r="M2698" s="7" t="n"/>
    </row>
    <row r="2699">
      <c r="A2699" s="7" t="n"/>
      <c r="B2699" s="75" t="n"/>
      <c r="C2699" s="7" t="n"/>
      <c r="D2699" s="7" t="n"/>
      <c r="E2699" s="9">
        <f>IF(D2699="","",IFERROR(INDEX('Stock pièces'!$B$5:$B$404,MATCH(D2699,'Stock pièces'!$A$5:$A$404,0)),"Réf. inconnue"))</f>
        <v/>
      </c>
      <c r="F2699" s="67" t="n"/>
      <c r="G2699" s="81">
        <f>IF(D2699="","",IFERROR(INDEX('Stock pièces'!$I$5:$I$404,MATCH(D2699,'Stock pièces'!$A$5:$A$404,0)),0))</f>
        <v/>
      </c>
      <c r="H2699" s="81">
        <f>IF(D2699="","",N(F2699)*N(G2699))</f>
        <v/>
      </c>
      <c r="I2699" s="7" t="n"/>
      <c r="J2699" s="9">
        <f>IF(I2699="","",IFERROR(INDEX('Ordres de travail'!$D$5:$D$3004,MATCH(I2699,'Ordres de travail'!$A$5:$A$3004,0)),""))</f>
        <v/>
      </c>
      <c r="K2699" s="9">
        <f>IF(D2699="","",IFERROR(INDEX('Stock pièces'!$D$5:$D$404,MATCH(D2699,'Stock pièces'!$A$5:$A$404,0)),""))</f>
        <v/>
      </c>
      <c r="L2699" s="7" t="n"/>
      <c r="M2699" s="7" t="n"/>
    </row>
    <row r="2700">
      <c r="A2700" s="7" t="n"/>
      <c r="B2700" s="75" t="n"/>
      <c r="C2700" s="7" t="n"/>
      <c r="D2700" s="7" t="n"/>
      <c r="E2700" s="9">
        <f>IF(D2700="","",IFERROR(INDEX('Stock pièces'!$B$5:$B$404,MATCH(D2700,'Stock pièces'!$A$5:$A$404,0)),"Réf. inconnue"))</f>
        <v/>
      </c>
      <c r="F2700" s="67" t="n"/>
      <c r="G2700" s="81">
        <f>IF(D2700="","",IFERROR(INDEX('Stock pièces'!$I$5:$I$404,MATCH(D2700,'Stock pièces'!$A$5:$A$404,0)),0))</f>
        <v/>
      </c>
      <c r="H2700" s="81">
        <f>IF(D2700="","",N(F2700)*N(G2700))</f>
        <v/>
      </c>
      <c r="I2700" s="7" t="n"/>
      <c r="J2700" s="9">
        <f>IF(I2700="","",IFERROR(INDEX('Ordres de travail'!$D$5:$D$3004,MATCH(I2700,'Ordres de travail'!$A$5:$A$3004,0)),""))</f>
        <v/>
      </c>
      <c r="K2700" s="9">
        <f>IF(D2700="","",IFERROR(INDEX('Stock pièces'!$D$5:$D$404,MATCH(D2700,'Stock pièces'!$A$5:$A$404,0)),""))</f>
        <v/>
      </c>
      <c r="L2700" s="7" t="n"/>
      <c r="M2700" s="7" t="n"/>
    </row>
    <row r="2701">
      <c r="A2701" s="7" t="n"/>
      <c r="B2701" s="75" t="n"/>
      <c r="C2701" s="7" t="n"/>
      <c r="D2701" s="7" t="n"/>
      <c r="E2701" s="9">
        <f>IF(D2701="","",IFERROR(INDEX('Stock pièces'!$B$5:$B$404,MATCH(D2701,'Stock pièces'!$A$5:$A$404,0)),"Réf. inconnue"))</f>
        <v/>
      </c>
      <c r="F2701" s="67" t="n"/>
      <c r="G2701" s="81">
        <f>IF(D2701="","",IFERROR(INDEX('Stock pièces'!$I$5:$I$404,MATCH(D2701,'Stock pièces'!$A$5:$A$404,0)),0))</f>
        <v/>
      </c>
      <c r="H2701" s="81">
        <f>IF(D2701="","",N(F2701)*N(G2701))</f>
        <v/>
      </c>
      <c r="I2701" s="7" t="n"/>
      <c r="J2701" s="9">
        <f>IF(I2701="","",IFERROR(INDEX('Ordres de travail'!$D$5:$D$3004,MATCH(I2701,'Ordres de travail'!$A$5:$A$3004,0)),""))</f>
        <v/>
      </c>
      <c r="K2701" s="9">
        <f>IF(D2701="","",IFERROR(INDEX('Stock pièces'!$D$5:$D$404,MATCH(D2701,'Stock pièces'!$A$5:$A$404,0)),""))</f>
        <v/>
      </c>
      <c r="L2701" s="7" t="n"/>
      <c r="M2701" s="7" t="n"/>
    </row>
    <row r="2702">
      <c r="A2702" s="7" t="n"/>
      <c r="B2702" s="75" t="n"/>
      <c r="C2702" s="7" t="n"/>
      <c r="D2702" s="7" t="n"/>
      <c r="E2702" s="9">
        <f>IF(D2702="","",IFERROR(INDEX('Stock pièces'!$B$5:$B$404,MATCH(D2702,'Stock pièces'!$A$5:$A$404,0)),"Réf. inconnue"))</f>
        <v/>
      </c>
      <c r="F2702" s="67" t="n"/>
      <c r="G2702" s="81">
        <f>IF(D2702="","",IFERROR(INDEX('Stock pièces'!$I$5:$I$404,MATCH(D2702,'Stock pièces'!$A$5:$A$404,0)),0))</f>
        <v/>
      </c>
      <c r="H2702" s="81">
        <f>IF(D2702="","",N(F2702)*N(G2702))</f>
        <v/>
      </c>
      <c r="I2702" s="7" t="n"/>
      <c r="J2702" s="9">
        <f>IF(I2702="","",IFERROR(INDEX('Ordres de travail'!$D$5:$D$3004,MATCH(I2702,'Ordres de travail'!$A$5:$A$3004,0)),""))</f>
        <v/>
      </c>
      <c r="K2702" s="9">
        <f>IF(D2702="","",IFERROR(INDEX('Stock pièces'!$D$5:$D$404,MATCH(D2702,'Stock pièces'!$A$5:$A$404,0)),""))</f>
        <v/>
      </c>
      <c r="L2702" s="7" t="n"/>
      <c r="M2702" s="7" t="n"/>
    </row>
    <row r="2703">
      <c r="A2703" s="7" t="n"/>
      <c r="B2703" s="75" t="n"/>
      <c r="C2703" s="7" t="n"/>
      <c r="D2703" s="7" t="n"/>
      <c r="E2703" s="9">
        <f>IF(D2703="","",IFERROR(INDEX('Stock pièces'!$B$5:$B$404,MATCH(D2703,'Stock pièces'!$A$5:$A$404,0)),"Réf. inconnue"))</f>
        <v/>
      </c>
      <c r="F2703" s="67" t="n"/>
      <c r="G2703" s="81">
        <f>IF(D2703="","",IFERROR(INDEX('Stock pièces'!$I$5:$I$404,MATCH(D2703,'Stock pièces'!$A$5:$A$404,0)),0))</f>
        <v/>
      </c>
      <c r="H2703" s="81">
        <f>IF(D2703="","",N(F2703)*N(G2703))</f>
        <v/>
      </c>
      <c r="I2703" s="7" t="n"/>
      <c r="J2703" s="9">
        <f>IF(I2703="","",IFERROR(INDEX('Ordres de travail'!$D$5:$D$3004,MATCH(I2703,'Ordres de travail'!$A$5:$A$3004,0)),""))</f>
        <v/>
      </c>
      <c r="K2703" s="9">
        <f>IF(D2703="","",IFERROR(INDEX('Stock pièces'!$D$5:$D$404,MATCH(D2703,'Stock pièces'!$A$5:$A$404,0)),""))</f>
        <v/>
      </c>
      <c r="L2703" s="7" t="n"/>
      <c r="M2703" s="7" t="n"/>
    </row>
    <row r="2704">
      <c r="A2704" s="7" t="n"/>
      <c r="B2704" s="75" t="n"/>
      <c r="C2704" s="7" t="n"/>
      <c r="D2704" s="7" t="n"/>
      <c r="E2704" s="9">
        <f>IF(D2704="","",IFERROR(INDEX('Stock pièces'!$B$5:$B$404,MATCH(D2704,'Stock pièces'!$A$5:$A$404,0)),"Réf. inconnue"))</f>
        <v/>
      </c>
      <c r="F2704" s="67" t="n"/>
      <c r="G2704" s="81">
        <f>IF(D2704="","",IFERROR(INDEX('Stock pièces'!$I$5:$I$404,MATCH(D2704,'Stock pièces'!$A$5:$A$404,0)),0))</f>
        <v/>
      </c>
      <c r="H2704" s="81">
        <f>IF(D2704="","",N(F2704)*N(G2704))</f>
        <v/>
      </c>
      <c r="I2704" s="7" t="n"/>
      <c r="J2704" s="9">
        <f>IF(I2704="","",IFERROR(INDEX('Ordres de travail'!$D$5:$D$3004,MATCH(I2704,'Ordres de travail'!$A$5:$A$3004,0)),""))</f>
        <v/>
      </c>
      <c r="K2704" s="9">
        <f>IF(D2704="","",IFERROR(INDEX('Stock pièces'!$D$5:$D$404,MATCH(D2704,'Stock pièces'!$A$5:$A$404,0)),""))</f>
        <v/>
      </c>
      <c r="L2704" s="7" t="n"/>
      <c r="M2704" s="7" t="n"/>
    </row>
    <row r="2705">
      <c r="A2705" s="7" t="n"/>
      <c r="B2705" s="75" t="n"/>
      <c r="C2705" s="7" t="n"/>
      <c r="D2705" s="7" t="n"/>
      <c r="E2705" s="9">
        <f>IF(D2705="","",IFERROR(INDEX('Stock pièces'!$B$5:$B$404,MATCH(D2705,'Stock pièces'!$A$5:$A$404,0)),"Réf. inconnue"))</f>
        <v/>
      </c>
      <c r="F2705" s="67" t="n"/>
      <c r="G2705" s="81">
        <f>IF(D2705="","",IFERROR(INDEX('Stock pièces'!$I$5:$I$404,MATCH(D2705,'Stock pièces'!$A$5:$A$404,0)),0))</f>
        <v/>
      </c>
      <c r="H2705" s="81">
        <f>IF(D2705="","",N(F2705)*N(G2705))</f>
        <v/>
      </c>
      <c r="I2705" s="7" t="n"/>
      <c r="J2705" s="9">
        <f>IF(I2705="","",IFERROR(INDEX('Ordres de travail'!$D$5:$D$3004,MATCH(I2705,'Ordres de travail'!$A$5:$A$3004,0)),""))</f>
        <v/>
      </c>
      <c r="K2705" s="9">
        <f>IF(D2705="","",IFERROR(INDEX('Stock pièces'!$D$5:$D$404,MATCH(D2705,'Stock pièces'!$A$5:$A$404,0)),""))</f>
        <v/>
      </c>
      <c r="L2705" s="7" t="n"/>
      <c r="M2705" s="7" t="n"/>
    </row>
    <row r="2706">
      <c r="A2706" s="7" t="n"/>
      <c r="B2706" s="75" t="n"/>
      <c r="C2706" s="7" t="n"/>
      <c r="D2706" s="7" t="n"/>
      <c r="E2706" s="9">
        <f>IF(D2706="","",IFERROR(INDEX('Stock pièces'!$B$5:$B$404,MATCH(D2706,'Stock pièces'!$A$5:$A$404,0)),"Réf. inconnue"))</f>
        <v/>
      </c>
      <c r="F2706" s="67" t="n"/>
      <c r="G2706" s="81">
        <f>IF(D2706="","",IFERROR(INDEX('Stock pièces'!$I$5:$I$404,MATCH(D2706,'Stock pièces'!$A$5:$A$404,0)),0))</f>
        <v/>
      </c>
      <c r="H2706" s="81">
        <f>IF(D2706="","",N(F2706)*N(G2706))</f>
        <v/>
      </c>
      <c r="I2706" s="7" t="n"/>
      <c r="J2706" s="9">
        <f>IF(I2706="","",IFERROR(INDEX('Ordres de travail'!$D$5:$D$3004,MATCH(I2706,'Ordres de travail'!$A$5:$A$3004,0)),""))</f>
        <v/>
      </c>
      <c r="K2706" s="9">
        <f>IF(D2706="","",IFERROR(INDEX('Stock pièces'!$D$5:$D$404,MATCH(D2706,'Stock pièces'!$A$5:$A$404,0)),""))</f>
        <v/>
      </c>
      <c r="L2706" s="7" t="n"/>
      <c r="M2706" s="7" t="n"/>
    </row>
    <row r="2707">
      <c r="A2707" s="7" t="n"/>
      <c r="B2707" s="75" t="n"/>
      <c r="C2707" s="7" t="n"/>
      <c r="D2707" s="7" t="n"/>
      <c r="E2707" s="9">
        <f>IF(D2707="","",IFERROR(INDEX('Stock pièces'!$B$5:$B$404,MATCH(D2707,'Stock pièces'!$A$5:$A$404,0)),"Réf. inconnue"))</f>
        <v/>
      </c>
      <c r="F2707" s="67" t="n"/>
      <c r="G2707" s="81">
        <f>IF(D2707="","",IFERROR(INDEX('Stock pièces'!$I$5:$I$404,MATCH(D2707,'Stock pièces'!$A$5:$A$404,0)),0))</f>
        <v/>
      </c>
      <c r="H2707" s="81">
        <f>IF(D2707="","",N(F2707)*N(G2707))</f>
        <v/>
      </c>
      <c r="I2707" s="7" t="n"/>
      <c r="J2707" s="9">
        <f>IF(I2707="","",IFERROR(INDEX('Ordres de travail'!$D$5:$D$3004,MATCH(I2707,'Ordres de travail'!$A$5:$A$3004,0)),""))</f>
        <v/>
      </c>
      <c r="K2707" s="9">
        <f>IF(D2707="","",IFERROR(INDEX('Stock pièces'!$D$5:$D$404,MATCH(D2707,'Stock pièces'!$A$5:$A$404,0)),""))</f>
        <v/>
      </c>
      <c r="L2707" s="7" t="n"/>
      <c r="M2707" s="7" t="n"/>
    </row>
    <row r="2708">
      <c r="A2708" s="7" t="n"/>
      <c r="B2708" s="75" t="n"/>
      <c r="C2708" s="7" t="n"/>
      <c r="D2708" s="7" t="n"/>
      <c r="E2708" s="9">
        <f>IF(D2708="","",IFERROR(INDEX('Stock pièces'!$B$5:$B$404,MATCH(D2708,'Stock pièces'!$A$5:$A$404,0)),"Réf. inconnue"))</f>
        <v/>
      </c>
      <c r="F2708" s="67" t="n"/>
      <c r="G2708" s="81">
        <f>IF(D2708="","",IFERROR(INDEX('Stock pièces'!$I$5:$I$404,MATCH(D2708,'Stock pièces'!$A$5:$A$404,0)),0))</f>
        <v/>
      </c>
      <c r="H2708" s="81">
        <f>IF(D2708="","",N(F2708)*N(G2708))</f>
        <v/>
      </c>
      <c r="I2708" s="7" t="n"/>
      <c r="J2708" s="9">
        <f>IF(I2708="","",IFERROR(INDEX('Ordres de travail'!$D$5:$D$3004,MATCH(I2708,'Ordres de travail'!$A$5:$A$3004,0)),""))</f>
        <v/>
      </c>
      <c r="K2708" s="9">
        <f>IF(D2708="","",IFERROR(INDEX('Stock pièces'!$D$5:$D$404,MATCH(D2708,'Stock pièces'!$A$5:$A$404,0)),""))</f>
        <v/>
      </c>
      <c r="L2708" s="7" t="n"/>
      <c r="M2708" s="7" t="n"/>
    </row>
    <row r="2709">
      <c r="A2709" s="7" t="n"/>
      <c r="B2709" s="75" t="n"/>
      <c r="C2709" s="7" t="n"/>
      <c r="D2709" s="7" t="n"/>
      <c r="E2709" s="9">
        <f>IF(D2709="","",IFERROR(INDEX('Stock pièces'!$B$5:$B$404,MATCH(D2709,'Stock pièces'!$A$5:$A$404,0)),"Réf. inconnue"))</f>
        <v/>
      </c>
      <c r="F2709" s="67" t="n"/>
      <c r="G2709" s="81">
        <f>IF(D2709="","",IFERROR(INDEX('Stock pièces'!$I$5:$I$404,MATCH(D2709,'Stock pièces'!$A$5:$A$404,0)),0))</f>
        <v/>
      </c>
      <c r="H2709" s="81">
        <f>IF(D2709="","",N(F2709)*N(G2709))</f>
        <v/>
      </c>
      <c r="I2709" s="7" t="n"/>
      <c r="J2709" s="9">
        <f>IF(I2709="","",IFERROR(INDEX('Ordres de travail'!$D$5:$D$3004,MATCH(I2709,'Ordres de travail'!$A$5:$A$3004,0)),""))</f>
        <v/>
      </c>
      <c r="K2709" s="9">
        <f>IF(D2709="","",IFERROR(INDEX('Stock pièces'!$D$5:$D$404,MATCH(D2709,'Stock pièces'!$A$5:$A$404,0)),""))</f>
        <v/>
      </c>
      <c r="L2709" s="7" t="n"/>
      <c r="M2709" s="7" t="n"/>
    </row>
    <row r="2710">
      <c r="A2710" s="7" t="n"/>
      <c r="B2710" s="75" t="n"/>
      <c r="C2710" s="7" t="n"/>
      <c r="D2710" s="7" t="n"/>
      <c r="E2710" s="9">
        <f>IF(D2710="","",IFERROR(INDEX('Stock pièces'!$B$5:$B$404,MATCH(D2710,'Stock pièces'!$A$5:$A$404,0)),"Réf. inconnue"))</f>
        <v/>
      </c>
      <c r="F2710" s="67" t="n"/>
      <c r="G2710" s="81">
        <f>IF(D2710="","",IFERROR(INDEX('Stock pièces'!$I$5:$I$404,MATCH(D2710,'Stock pièces'!$A$5:$A$404,0)),0))</f>
        <v/>
      </c>
      <c r="H2710" s="81">
        <f>IF(D2710="","",N(F2710)*N(G2710))</f>
        <v/>
      </c>
      <c r="I2710" s="7" t="n"/>
      <c r="J2710" s="9">
        <f>IF(I2710="","",IFERROR(INDEX('Ordres de travail'!$D$5:$D$3004,MATCH(I2710,'Ordres de travail'!$A$5:$A$3004,0)),""))</f>
        <v/>
      </c>
      <c r="K2710" s="9">
        <f>IF(D2710="","",IFERROR(INDEX('Stock pièces'!$D$5:$D$404,MATCH(D2710,'Stock pièces'!$A$5:$A$404,0)),""))</f>
        <v/>
      </c>
      <c r="L2710" s="7" t="n"/>
      <c r="M2710" s="7" t="n"/>
    </row>
    <row r="2711">
      <c r="A2711" s="7" t="n"/>
      <c r="B2711" s="75" t="n"/>
      <c r="C2711" s="7" t="n"/>
      <c r="D2711" s="7" t="n"/>
      <c r="E2711" s="9">
        <f>IF(D2711="","",IFERROR(INDEX('Stock pièces'!$B$5:$B$404,MATCH(D2711,'Stock pièces'!$A$5:$A$404,0)),"Réf. inconnue"))</f>
        <v/>
      </c>
      <c r="F2711" s="67" t="n"/>
      <c r="G2711" s="81">
        <f>IF(D2711="","",IFERROR(INDEX('Stock pièces'!$I$5:$I$404,MATCH(D2711,'Stock pièces'!$A$5:$A$404,0)),0))</f>
        <v/>
      </c>
      <c r="H2711" s="81">
        <f>IF(D2711="","",N(F2711)*N(G2711))</f>
        <v/>
      </c>
      <c r="I2711" s="7" t="n"/>
      <c r="J2711" s="9">
        <f>IF(I2711="","",IFERROR(INDEX('Ordres de travail'!$D$5:$D$3004,MATCH(I2711,'Ordres de travail'!$A$5:$A$3004,0)),""))</f>
        <v/>
      </c>
      <c r="K2711" s="9">
        <f>IF(D2711="","",IFERROR(INDEX('Stock pièces'!$D$5:$D$404,MATCH(D2711,'Stock pièces'!$A$5:$A$404,0)),""))</f>
        <v/>
      </c>
      <c r="L2711" s="7" t="n"/>
      <c r="M2711" s="7" t="n"/>
    </row>
    <row r="2712">
      <c r="A2712" s="7" t="n"/>
      <c r="B2712" s="75" t="n"/>
      <c r="C2712" s="7" t="n"/>
      <c r="D2712" s="7" t="n"/>
      <c r="E2712" s="9">
        <f>IF(D2712="","",IFERROR(INDEX('Stock pièces'!$B$5:$B$404,MATCH(D2712,'Stock pièces'!$A$5:$A$404,0)),"Réf. inconnue"))</f>
        <v/>
      </c>
      <c r="F2712" s="67" t="n"/>
      <c r="G2712" s="81">
        <f>IF(D2712="","",IFERROR(INDEX('Stock pièces'!$I$5:$I$404,MATCH(D2712,'Stock pièces'!$A$5:$A$404,0)),0))</f>
        <v/>
      </c>
      <c r="H2712" s="81">
        <f>IF(D2712="","",N(F2712)*N(G2712))</f>
        <v/>
      </c>
      <c r="I2712" s="7" t="n"/>
      <c r="J2712" s="9">
        <f>IF(I2712="","",IFERROR(INDEX('Ordres de travail'!$D$5:$D$3004,MATCH(I2712,'Ordres de travail'!$A$5:$A$3004,0)),""))</f>
        <v/>
      </c>
      <c r="K2712" s="9">
        <f>IF(D2712="","",IFERROR(INDEX('Stock pièces'!$D$5:$D$404,MATCH(D2712,'Stock pièces'!$A$5:$A$404,0)),""))</f>
        <v/>
      </c>
      <c r="L2712" s="7" t="n"/>
      <c r="M2712" s="7" t="n"/>
    </row>
    <row r="2713">
      <c r="A2713" s="7" t="n"/>
      <c r="B2713" s="75" t="n"/>
      <c r="C2713" s="7" t="n"/>
      <c r="D2713" s="7" t="n"/>
      <c r="E2713" s="9">
        <f>IF(D2713="","",IFERROR(INDEX('Stock pièces'!$B$5:$B$404,MATCH(D2713,'Stock pièces'!$A$5:$A$404,0)),"Réf. inconnue"))</f>
        <v/>
      </c>
      <c r="F2713" s="67" t="n"/>
      <c r="G2713" s="81">
        <f>IF(D2713="","",IFERROR(INDEX('Stock pièces'!$I$5:$I$404,MATCH(D2713,'Stock pièces'!$A$5:$A$404,0)),0))</f>
        <v/>
      </c>
      <c r="H2713" s="81">
        <f>IF(D2713="","",N(F2713)*N(G2713))</f>
        <v/>
      </c>
      <c r="I2713" s="7" t="n"/>
      <c r="J2713" s="9">
        <f>IF(I2713="","",IFERROR(INDEX('Ordres de travail'!$D$5:$D$3004,MATCH(I2713,'Ordres de travail'!$A$5:$A$3004,0)),""))</f>
        <v/>
      </c>
      <c r="K2713" s="9">
        <f>IF(D2713="","",IFERROR(INDEX('Stock pièces'!$D$5:$D$404,MATCH(D2713,'Stock pièces'!$A$5:$A$404,0)),""))</f>
        <v/>
      </c>
      <c r="L2713" s="7" t="n"/>
      <c r="M2713" s="7" t="n"/>
    </row>
    <row r="2714">
      <c r="A2714" s="7" t="n"/>
      <c r="B2714" s="75" t="n"/>
      <c r="C2714" s="7" t="n"/>
      <c r="D2714" s="7" t="n"/>
      <c r="E2714" s="9">
        <f>IF(D2714="","",IFERROR(INDEX('Stock pièces'!$B$5:$B$404,MATCH(D2714,'Stock pièces'!$A$5:$A$404,0)),"Réf. inconnue"))</f>
        <v/>
      </c>
      <c r="F2714" s="67" t="n"/>
      <c r="G2714" s="81">
        <f>IF(D2714="","",IFERROR(INDEX('Stock pièces'!$I$5:$I$404,MATCH(D2714,'Stock pièces'!$A$5:$A$404,0)),0))</f>
        <v/>
      </c>
      <c r="H2714" s="81">
        <f>IF(D2714="","",N(F2714)*N(G2714))</f>
        <v/>
      </c>
      <c r="I2714" s="7" t="n"/>
      <c r="J2714" s="9">
        <f>IF(I2714="","",IFERROR(INDEX('Ordres de travail'!$D$5:$D$3004,MATCH(I2714,'Ordres de travail'!$A$5:$A$3004,0)),""))</f>
        <v/>
      </c>
      <c r="K2714" s="9">
        <f>IF(D2714="","",IFERROR(INDEX('Stock pièces'!$D$5:$D$404,MATCH(D2714,'Stock pièces'!$A$5:$A$404,0)),""))</f>
        <v/>
      </c>
      <c r="L2714" s="7" t="n"/>
      <c r="M2714" s="7" t="n"/>
    </row>
    <row r="2715">
      <c r="A2715" s="7" t="n"/>
      <c r="B2715" s="75" t="n"/>
      <c r="C2715" s="7" t="n"/>
      <c r="D2715" s="7" t="n"/>
      <c r="E2715" s="9">
        <f>IF(D2715="","",IFERROR(INDEX('Stock pièces'!$B$5:$B$404,MATCH(D2715,'Stock pièces'!$A$5:$A$404,0)),"Réf. inconnue"))</f>
        <v/>
      </c>
      <c r="F2715" s="67" t="n"/>
      <c r="G2715" s="81">
        <f>IF(D2715="","",IFERROR(INDEX('Stock pièces'!$I$5:$I$404,MATCH(D2715,'Stock pièces'!$A$5:$A$404,0)),0))</f>
        <v/>
      </c>
      <c r="H2715" s="81">
        <f>IF(D2715="","",N(F2715)*N(G2715))</f>
        <v/>
      </c>
      <c r="I2715" s="7" t="n"/>
      <c r="J2715" s="9">
        <f>IF(I2715="","",IFERROR(INDEX('Ordres de travail'!$D$5:$D$3004,MATCH(I2715,'Ordres de travail'!$A$5:$A$3004,0)),""))</f>
        <v/>
      </c>
      <c r="K2715" s="9">
        <f>IF(D2715="","",IFERROR(INDEX('Stock pièces'!$D$5:$D$404,MATCH(D2715,'Stock pièces'!$A$5:$A$404,0)),""))</f>
        <v/>
      </c>
      <c r="L2715" s="7" t="n"/>
      <c r="M2715" s="7" t="n"/>
    </row>
    <row r="2716">
      <c r="A2716" s="7" t="n"/>
      <c r="B2716" s="75" t="n"/>
      <c r="C2716" s="7" t="n"/>
      <c r="D2716" s="7" t="n"/>
      <c r="E2716" s="9">
        <f>IF(D2716="","",IFERROR(INDEX('Stock pièces'!$B$5:$B$404,MATCH(D2716,'Stock pièces'!$A$5:$A$404,0)),"Réf. inconnue"))</f>
        <v/>
      </c>
      <c r="F2716" s="67" t="n"/>
      <c r="G2716" s="81">
        <f>IF(D2716="","",IFERROR(INDEX('Stock pièces'!$I$5:$I$404,MATCH(D2716,'Stock pièces'!$A$5:$A$404,0)),0))</f>
        <v/>
      </c>
      <c r="H2716" s="81">
        <f>IF(D2716="","",N(F2716)*N(G2716))</f>
        <v/>
      </c>
      <c r="I2716" s="7" t="n"/>
      <c r="J2716" s="9">
        <f>IF(I2716="","",IFERROR(INDEX('Ordres de travail'!$D$5:$D$3004,MATCH(I2716,'Ordres de travail'!$A$5:$A$3004,0)),""))</f>
        <v/>
      </c>
      <c r="K2716" s="9">
        <f>IF(D2716="","",IFERROR(INDEX('Stock pièces'!$D$5:$D$404,MATCH(D2716,'Stock pièces'!$A$5:$A$404,0)),""))</f>
        <v/>
      </c>
      <c r="L2716" s="7" t="n"/>
      <c r="M2716" s="7" t="n"/>
    </row>
    <row r="2717">
      <c r="A2717" s="7" t="n"/>
      <c r="B2717" s="75" t="n"/>
      <c r="C2717" s="7" t="n"/>
      <c r="D2717" s="7" t="n"/>
      <c r="E2717" s="9">
        <f>IF(D2717="","",IFERROR(INDEX('Stock pièces'!$B$5:$B$404,MATCH(D2717,'Stock pièces'!$A$5:$A$404,0)),"Réf. inconnue"))</f>
        <v/>
      </c>
      <c r="F2717" s="67" t="n"/>
      <c r="G2717" s="81">
        <f>IF(D2717="","",IFERROR(INDEX('Stock pièces'!$I$5:$I$404,MATCH(D2717,'Stock pièces'!$A$5:$A$404,0)),0))</f>
        <v/>
      </c>
      <c r="H2717" s="81">
        <f>IF(D2717="","",N(F2717)*N(G2717))</f>
        <v/>
      </c>
      <c r="I2717" s="7" t="n"/>
      <c r="J2717" s="9">
        <f>IF(I2717="","",IFERROR(INDEX('Ordres de travail'!$D$5:$D$3004,MATCH(I2717,'Ordres de travail'!$A$5:$A$3004,0)),""))</f>
        <v/>
      </c>
      <c r="K2717" s="9">
        <f>IF(D2717="","",IFERROR(INDEX('Stock pièces'!$D$5:$D$404,MATCH(D2717,'Stock pièces'!$A$5:$A$404,0)),""))</f>
        <v/>
      </c>
      <c r="L2717" s="7" t="n"/>
      <c r="M2717" s="7" t="n"/>
    </row>
    <row r="2718">
      <c r="A2718" s="7" t="n"/>
      <c r="B2718" s="75" t="n"/>
      <c r="C2718" s="7" t="n"/>
      <c r="D2718" s="7" t="n"/>
      <c r="E2718" s="9">
        <f>IF(D2718="","",IFERROR(INDEX('Stock pièces'!$B$5:$B$404,MATCH(D2718,'Stock pièces'!$A$5:$A$404,0)),"Réf. inconnue"))</f>
        <v/>
      </c>
      <c r="F2718" s="67" t="n"/>
      <c r="G2718" s="81">
        <f>IF(D2718="","",IFERROR(INDEX('Stock pièces'!$I$5:$I$404,MATCH(D2718,'Stock pièces'!$A$5:$A$404,0)),0))</f>
        <v/>
      </c>
      <c r="H2718" s="81">
        <f>IF(D2718="","",N(F2718)*N(G2718))</f>
        <v/>
      </c>
      <c r="I2718" s="7" t="n"/>
      <c r="J2718" s="9">
        <f>IF(I2718="","",IFERROR(INDEX('Ordres de travail'!$D$5:$D$3004,MATCH(I2718,'Ordres de travail'!$A$5:$A$3004,0)),""))</f>
        <v/>
      </c>
      <c r="K2718" s="9">
        <f>IF(D2718="","",IFERROR(INDEX('Stock pièces'!$D$5:$D$404,MATCH(D2718,'Stock pièces'!$A$5:$A$404,0)),""))</f>
        <v/>
      </c>
      <c r="L2718" s="7" t="n"/>
      <c r="M2718" s="7" t="n"/>
    </row>
    <row r="2719">
      <c r="A2719" s="7" t="n"/>
      <c r="B2719" s="75" t="n"/>
      <c r="C2719" s="7" t="n"/>
      <c r="D2719" s="7" t="n"/>
      <c r="E2719" s="9">
        <f>IF(D2719="","",IFERROR(INDEX('Stock pièces'!$B$5:$B$404,MATCH(D2719,'Stock pièces'!$A$5:$A$404,0)),"Réf. inconnue"))</f>
        <v/>
      </c>
      <c r="F2719" s="67" t="n"/>
      <c r="G2719" s="81">
        <f>IF(D2719="","",IFERROR(INDEX('Stock pièces'!$I$5:$I$404,MATCH(D2719,'Stock pièces'!$A$5:$A$404,0)),0))</f>
        <v/>
      </c>
      <c r="H2719" s="81">
        <f>IF(D2719="","",N(F2719)*N(G2719))</f>
        <v/>
      </c>
      <c r="I2719" s="7" t="n"/>
      <c r="J2719" s="9">
        <f>IF(I2719="","",IFERROR(INDEX('Ordres de travail'!$D$5:$D$3004,MATCH(I2719,'Ordres de travail'!$A$5:$A$3004,0)),""))</f>
        <v/>
      </c>
      <c r="K2719" s="9">
        <f>IF(D2719="","",IFERROR(INDEX('Stock pièces'!$D$5:$D$404,MATCH(D2719,'Stock pièces'!$A$5:$A$404,0)),""))</f>
        <v/>
      </c>
      <c r="L2719" s="7" t="n"/>
      <c r="M2719" s="7" t="n"/>
    </row>
    <row r="2720">
      <c r="A2720" s="7" t="n"/>
      <c r="B2720" s="75" t="n"/>
      <c r="C2720" s="7" t="n"/>
      <c r="D2720" s="7" t="n"/>
      <c r="E2720" s="9">
        <f>IF(D2720="","",IFERROR(INDEX('Stock pièces'!$B$5:$B$404,MATCH(D2720,'Stock pièces'!$A$5:$A$404,0)),"Réf. inconnue"))</f>
        <v/>
      </c>
      <c r="F2720" s="67" t="n"/>
      <c r="G2720" s="81">
        <f>IF(D2720="","",IFERROR(INDEX('Stock pièces'!$I$5:$I$404,MATCH(D2720,'Stock pièces'!$A$5:$A$404,0)),0))</f>
        <v/>
      </c>
      <c r="H2720" s="81">
        <f>IF(D2720="","",N(F2720)*N(G2720))</f>
        <v/>
      </c>
      <c r="I2720" s="7" t="n"/>
      <c r="J2720" s="9">
        <f>IF(I2720="","",IFERROR(INDEX('Ordres de travail'!$D$5:$D$3004,MATCH(I2720,'Ordres de travail'!$A$5:$A$3004,0)),""))</f>
        <v/>
      </c>
      <c r="K2720" s="9">
        <f>IF(D2720="","",IFERROR(INDEX('Stock pièces'!$D$5:$D$404,MATCH(D2720,'Stock pièces'!$A$5:$A$404,0)),""))</f>
        <v/>
      </c>
      <c r="L2720" s="7" t="n"/>
      <c r="M2720" s="7" t="n"/>
    </row>
    <row r="2721">
      <c r="A2721" s="7" t="n"/>
      <c r="B2721" s="75" t="n"/>
      <c r="C2721" s="7" t="n"/>
      <c r="D2721" s="7" t="n"/>
      <c r="E2721" s="9">
        <f>IF(D2721="","",IFERROR(INDEX('Stock pièces'!$B$5:$B$404,MATCH(D2721,'Stock pièces'!$A$5:$A$404,0)),"Réf. inconnue"))</f>
        <v/>
      </c>
      <c r="F2721" s="67" t="n"/>
      <c r="G2721" s="81">
        <f>IF(D2721="","",IFERROR(INDEX('Stock pièces'!$I$5:$I$404,MATCH(D2721,'Stock pièces'!$A$5:$A$404,0)),0))</f>
        <v/>
      </c>
      <c r="H2721" s="81">
        <f>IF(D2721="","",N(F2721)*N(G2721))</f>
        <v/>
      </c>
      <c r="I2721" s="7" t="n"/>
      <c r="J2721" s="9">
        <f>IF(I2721="","",IFERROR(INDEX('Ordres de travail'!$D$5:$D$3004,MATCH(I2721,'Ordres de travail'!$A$5:$A$3004,0)),""))</f>
        <v/>
      </c>
      <c r="K2721" s="9">
        <f>IF(D2721="","",IFERROR(INDEX('Stock pièces'!$D$5:$D$404,MATCH(D2721,'Stock pièces'!$A$5:$A$404,0)),""))</f>
        <v/>
      </c>
      <c r="L2721" s="7" t="n"/>
      <c r="M2721" s="7" t="n"/>
    </row>
    <row r="2722">
      <c r="A2722" s="7" t="n"/>
      <c r="B2722" s="75" t="n"/>
      <c r="C2722" s="7" t="n"/>
      <c r="D2722" s="7" t="n"/>
      <c r="E2722" s="9">
        <f>IF(D2722="","",IFERROR(INDEX('Stock pièces'!$B$5:$B$404,MATCH(D2722,'Stock pièces'!$A$5:$A$404,0)),"Réf. inconnue"))</f>
        <v/>
      </c>
      <c r="F2722" s="67" t="n"/>
      <c r="G2722" s="81">
        <f>IF(D2722="","",IFERROR(INDEX('Stock pièces'!$I$5:$I$404,MATCH(D2722,'Stock pièces'!$A$5:$A$404,0)),0))</f>
        <v/>
      </c>
      <c r="H2722" s="81">
        <f>IF(D2722="","",N(F2722)*N(G2722))</f>
        <v/>
      </c>
      <c r="I2722" s="7" t="n"/>
      <c r="J2722" s="9">
        <f>IF(I2722="","",IFERROR(INDEX('Ordres de travail'!$D$5:$D$3004,MATCH(I2722,'Ordres de travail'!$A$5:$A$3004,0)),""))</f>
        <v/>
      </c>
      <c r="K2722" s="9">
        <f>IF(D2722="","",IFERROR(INDEX('Stock pièces'!$D$5:$D$404,MATCH(D2722,'Stock pièces'!$A$5:$A$404,0)),""))</f>
        <v/>
      </c>
      <c r="L2722" s="7" t="n"/>
      <c r="M2722" s="7" t="n"/>
    </row>
    <row r="2723">
      <c r="A2723" s="7" t="n"/>
      <c r="B2723" s="75" t="n"/>
      <c r="C2723" s="7" t="n"/>
      <c r="D2723" s="7" t="n"/>
      <c r="E2723" s="9">
        <f>IF(D2723="","",IFERROR(INDEX('Stock pièces'!$B$5:$B$404,MATCH(D2723,'Stock pièces'!$A$5:$A$404,0)),"Réf. inconnue"))</f>
        <v/>
      </c>
      <c r="F2723" s="67" t="n"/>
      <c r="G2723" s="81">
        <f>IF(D2723="","",IFERROR(INDEX('Stock pièces'!$I$5:$I$404,MATCH(D2723,'Stock pièces'!$A$5:$A$404,0)),0))</f>
        <v/>
      </c>
      <c r="H2723" s="81">
        <f>IF(D2723="","",N(F2723)*N(G2723))</f>
        <v/>
      </c>
      <c r="I2723" s="7" t="n"/>
      <c r="J2723" s="9">
        <f>IF(I2723="","",IFERROR(INDEX('Ordres de travail'!$D$5:$D$3004,MATCH(I2723,'Ordres de travail'!$A$5:$A$3004,0)),""))</f>
        <v/>
      </c>
      <c r="K2723" s="9">
        <f>IF(D2723="","",IFERROR(INDEX('Stock pièces'!$D$5:$D$404,MATCH(D2723,'Stock pièces'!$A$5:$A$404,0)),""))</f>
        <v/>
      </c>
      <c r="L2723" s="7" t="n"/>
      <c r="M2723" s="7" t="n"/>
    </row>
    <row r="2724">
      <c r="A2724" s="7" t="n"/>
      <c r="B2724" s="75" t="n"/>
      <c r="C2724" s="7" t="n"/>
      <c r="D2724" s="7" t="n"/>
      <c r="E2724" s="9">
        <f>IF(D2724="","",IFERROR(INDEX('Stock pièces'!$B$5:$B$404,MATCH(D2724,'Stock pièces'!$A$5:$A$404,0)),"Réf. inconnue"))</f>
        <v/>
      </c>
      <c r="F2724" s="67" t="n"/>
      <c r="G2724" s="81">
        <f>IF(D2724="","",IFERROR(INDEX('Stock pièces'!$I$5:$I$404,MATCH(D2724,'Stock pièces'!$A$5:$A$404,0)),0))</f>
        <v/>
      </c>
      <c r="H2724" s="81">
        <f>IF(D2724="","",N(F2724)*N(G2724))</f>
        <v/>
      </c>
      <c r="I2724" s="7" t="n"/>
      <c r="J2724" s="9">
        <f>IF(I2724="","",IFERROR(INDEX('Ordres de travail'!$D$5:$D$3004,MATCH(I2724,'Ordres de travail'!$A$5:$A$3004,0)),""))</f>
        <v/>
      </c>
      <c r="K2724" s="9">
        <f>IF(D2724="","",IFERROR(INDEX('Stock pièces'!$D$5:$D$404,MATCH(D2724,'Stock pièces'!$A$5:$A$404,0)),""))</f>
        <v/>
      </c>
      <c r="L2724" s="7" t="n"/>
      <c r="M2724" s="7" t="n"/>
    </row>
    <row r="2725">
      <c r="A2725" s="7" t="n"/>
      <c r="B2725" s="75" t="n"/>
      <c r="C2725" s="7" t="n"/>
      <c r="D2725" s="7" t="n"/>
      <c r="E2725" s="9">
        <f>IF(D2725="","",IFERROR(INDEX('Stock pièces'!$B$5:$B$404,MATCH(D2725,'Stock pièces'!$A$5:$A$404,0)),"Réf. inconnue"))</f>
        <v/>
      </c>
      <c r="F2725" s="67" t="n"/>
      <c r="G2725" s="81">
        <f>IF(D2725="","",IFERROR(INDEX('Stock pièces'!$I$5:$I$404,MATCH(D2725,'Stock pièces'!$A$5:$A$404,0)),0))</f>
        <v/>
      </c>
      <c r="H2725" s="81">
        <f>IF(D2725="","",N(F2725)*N(G2725))</f>
        <v/>
      </c>
      <c r="I2725" s="7" t="n"/>
      <c r="J2725" s="9">
        <f>IF(I2725="","",IFERROR(INDEX('Ordres de travail'!$D$5:$D$3004,MATCH(I2725,'Ordres de travail'!$A$5:$A$3004,0)),""))</f>
        <v/>
      </c>
      <c r="K2725" s="9">
        <f>IF(D2725="","",IFERROR(INDEX('Stock pièces'!$D$5:$D$404,MATCH(D2725,'Stock pièces'!$A$5:$A$404,0)),""))</f>
        <v/>
      </c>
      <c r="L2725" s="7" t="n"/>
      <c r="M2725" s="7" t="n"/>
    </row>
    <row r="2726">
      <c r="A2726" s="7" t="n"/>
      <c r="B2726" s="75" t="n"/>
      <c r="C2726" s="7" t="n"/>
      <c r="D2726" s="7" t="n"/>
      <c r="E2726" s="9">
        <f>IF(D2726="","",IFERROR(INDEX('Stock pièces'!$B$5:$B$404,MATCH(D2726,'Stock pièces'!$A$5:$A$404,0)),"Réf. inconnue"))</f>
        <v/>
      </c>
      <c r="F2726" s="67" t="n"/>
      <c r="G2726" s="81">
        <f>IF(D2726="","",IFERROR(INDEX('Stock pièces'!$I$5:$I$404,MATCH(D2726,'Stock pièces'!$A$5:$A$404,0)),0))</f>
        <v/>
      </c>
      <c r="H2726" s="81">
        <f>IF(D2726="","",N(F2726)*N(G2726))</f>
        <v/>
      </c>
      <c r="I2726" s="7" t="n"/>
      <c r="J2726" s="9">
        <f>IF(I2726="","",IFERROR(INDEX('Ordres de travail'!$D$5:$D$3004,MATCH(I2726,'Ordres de travail'!$A$5:$A$3004,0)),""))</f>
        <v/>
      </c>
      <c r="K2726" s="9">
        <f>IF(D2726="","",IFERROR(INDEX('Stock pièces'!$D$5:$D$404,MATCH(D2726,'Stock pièces'!$A$5:$A$404,0)),""))</f>
        <v/>
      </c>
      <c r="L2726" s="7" t="n"/>
      <c r="M2726" s="7" t="n"/>
    </row>
    <row r="2727">
      <c r="A2727" s="7" t="n"/>
      <c r="B2727" s="75" t="n"/>
      <c r="C2727" s="7" t="n"/>
      <c r="D2727" s="7" t="n"/>
      <c r="E2727" s="9">
        <f>IF(D2727="","",IFERROR(INDEX('Stock pièces'!$B$5:$B$404,MATCH(D2727,'Stock pièces'!$A$5:$A$404,0)),"Réf. inconnue"))</f>
        <v/>
      </c>
      <c r="F2727" s="67" t="n"/>
      <c r="G2727" s="81">
        <f>IF(D2727="","",IFERROR(INDEX('Stock pièces'!$I$5:$I$404,MATCH(D2727,'Stock pièces'!$A$5:$A$404,0)),0))</f>
        <v/>
      </c>
      <c r="H2727" s="81">
        <f>IF(D2727="","",N(F2727)*N(G2727))</f>
        <v/>
      </c>
      <c r="I2727" s="7" t="n"/>
      <c r="J2727" s="9">
        <f>IF(I2727="","",IFERROR(INDEX('Ordres de travail'!$D$5:$D$3004,MATCH(I2727,'Ordres de travail'!$A$5:$A$3004,0)),""))</f>
        <v/>
      </c>
      <c r="K2727" s="9">
        <f>IF(D2727="","",IFERROR(INDEX('Stock pièces'!$D$5:$D$404,MATCH(D2727,'Stock pièces'!$A$5:$A$404,0)),""))</f>
        <v/>
      </c>
      <c r="L2727" s="7" t="n"/>
      <c r="M2727" s="7" t="n"/>
    </row>
    <row r="2728">
      <c r="A2728" s="7" t="n"/>
      <c r="B2728" s="75" t="n"/>
      <c r="C2728" s="7" t="n"/>
      <c r="D2728" s="7" t="n"/>
      <c r="E2728" s="9">
        <f>IF(D2728="","",IFERROR(INDEX('Stock pièces'!$B$5:$B$404,MATCH(D2728,'Stock pièces'!$A$5:$A$404,0)),"Réf. inconnue"))</f>
        <v/>
      </c>
      <c r="F2728" s="67" t="n"/>
      <c r="G2728" s="81">
        <f>IF(D2728="","",IFERROR(INDEX('Stock pièces'!$I$5:$I$404,MATCH(D2728,'Stock pièces'!$A$5:$A$404,0)),0))</f>
        <v/>
      </c>
      <c r="H2728" s="81">
        <f>IF(D2728="","",N(F2728)*N(G2728))</f>
        <v/>
      </c>
      <c r="I2728" s="7" t="n"/>
      <c r="J2728" s="9">
        <f>IF(I2728="","",IFERROR(INDEX('Ordres de travail'!$D$5:$D$3004,MATCH(I2728,'Ordres de travail'!$A$5:$A$3004,0)),""))</f>
        <v/>
      </c>
      <c r="K2728" s="9">
        <f>IF(D2728="","",IFERROR(INDEX('Stock pièces'!$D$5:$D$404,MATCH(D2728,'Stock pièces'!$A$5:$A$404,0)),""))</f>
        <v/>
      </c>
      <c r="L2728" s="7" t="n"/>
      <c r="M2728" s="7" t="n"/>
    </row>
    <row r="2729">
      <c r="A2729" s="7" t="n"/>
      <c r="B2729" s="75" t="n"/>
      <c r="C2729" s="7" t="n"/>
      <c r="D2729" s="7" t="n"/>
      <c r="E2729" s="9">
        <f>IF(D2729="","",IFERROR(INDEX('Stock pièces'!$B$5:$B$404,MATCH(D2729,'Stock pièces'!$A$5:$A$404,0)),"Réf. inconnue"))</f>
        <v/>
      </c>
      <c r="F2729" s="67" t="n"/>
      <c r="G2729" s="81">
        <f>IF(D2729="","",IFERROR(INDEX('Stock pièces'!$I$5:$I$404,MATCH(D2729,'Stock pièces'!$A$5:$A$404,0)),0))</f>
        <v/>
      </c>
      <c r="H2729" s="81">
        <f>IF(D2729="","",N(F2729)*N(G2729))</f>
        <v/>
      </c>
      <c r="I2729" s="7" t="n"/>
      <c r="J2729" s="9">
        <f>IF(I2729="","",IFERROR(INDEX('Ordres de travail'!$D$5:$D$3004,MATCH(I2729,'Ordres de travail'!$A$5:$A$3004,0)),""))</f>
        <v/>
      </c>
      <c r="K2729" s="9">
        <f>IF(D2729="","",IFERROR(INDEX('Stock pièces'!$D$5:$D$404,MATCH(D2729,'Stock pièces'!$A$5:$A$404,0)),""))</f>
        <v/>
      </c>
      <c r="L2729" s="7" t="n"/>
      <c r="M2729" s="7" t="n"/>
    </row>
    <row r="2730">
      <c r="A2730" s="7" t="n"/>
      <c r="B2730" s="75" t="n"/>
      <c r="C2730" s="7" t="n"/>
      <c r="D2730" s="7" t="n"/>
      <c r="E2730" s="9">
        <f>IF(D2730="","",IFERROR(INDEX('Stock pièces'!$B$5:$B$404,MATCH(D2730,'Stock pièces'!$A$5:$A$404,0)),"Réf. inconnue"))</f>
        <v/>
      </c>
      <c r="F2730" s="67" t="n"/>
      <c r="G2730" s="81">
        <f>IF(D2730="","",IFERROR(INDEX('Stock pièces'!$I$5:$I$404,MATCH(D2730,'Stock pièces'!$A$5:$A$404,0)),0))</f>
        <v/>
      </c>
      <c r="H2730" s="81">
        <f>IF(D2730="","",N(F2730)*N(G2730))</f>
        <v/>
      </c>
      <c r="I2730" s="7" t="n"/>
      <c r="J2730" s="9">
        <f>IF(I2730="","",IFERROR(INDEX('Ordres de travail'!$D$5:$D$3004,MATCH(I2730,'Ordres de travail'!$A$5:$A$3004,0)),""))</f>
        <v/>
      </c>
      <c r="K2730" s="9">
        <f>IF(D2730="","",IFERROR(INDEX('Stock pièces'!$D$5:$D$404,MATCH(D2730,'Stock pièces'!$A$5:$A$404,0)),""))</f>
        <v/>
      </c>
      <c r="L2730" s="7" t="n"/>
      <c r="M2730" s="7" t="n"/>
    </row>
    <row r="2731">
      <c r="A2731" s="7" t="n"/>
      <c r="B2731" s="75" t="n"/>
      <c r="C2731" s="7" t="n"/>
      <c r="D2731" s="7" t="n"/>
      <c r="E2731" s="9">
        <f>IF(D2731="","",IFERROR(INDEX('Stock pièces'!$B$5:$B$404,MATCH(D2731,'Stock pièces'!$A$5:$A$404,0)),"Réf. inconnue"))</f>
        <v/>
      </c>
      <c r="F2731" s="67" t="n"/>
      <c r="G2731" s="81">
        <f>IF(D2731="","",IFERROR(INDEX('Stock pièces'!$I$5:$I$404,MATCH(D2731,'Stock pièces'!$A$5:$A$404,0)),0))</f>
        <v/>
      </c>
      <c r="H2731" s="81">
        <f>IF(D2731="","",N(F2731)*N(G2731))</f>
        <v/>
      </c>
      <c r="I2731" s="7" t="n"/>
      <c r="J2731" s="9">
        <f>IF(I2731="","",IFERROR(INDEX('Ordres de travail'!$D$5:$D$3004,MATCH(I2731,'Ordres de travail'!$A$5:$A$3004,0)),""))</f>
        <v/>
      </c>
      <c r="K2731" s="9">
        <f>IF(D2731="","",IFERROR(INDEX('Stock pièces'!$D$5:$D$404,MATCH(D2731,'Stock pièces'!$A$5:$A$404,0)),""))</f>
        <v/>
      </c>
      <c r="L2731" s="7" t="n"/>
      <c r="M2731" s="7" t="n"/>
    </row>
    <row r="2732">
      <c r="A2732" s="7" t="n"/>
      <c r="B2732" s="75" t="n"/>
      <c r="C2732" s="7" t="n"/>
      <c r="D2732" s="7" t="n"/>
      <c r="E2732" s="9">
        <f>IF(D2732="","",IFERROR(INDEX('Stock pièces'!$B$5:$B$404,MATCH(D2732,'Stock pièces'!$A$5:$A$404,0)),"Réf. inconnue"))</f>
        <v/>
      </c>
      <c r="F2732" s="67" t="n"/>
      <c r="G2732" s="81">
        <f>IF(D2732="","",IFERROR(INDEX('Stock pièces'!$I$5:$I$404,MATCH(D2732,'Stock pièces'!$A$5:$A$404,0)),0))</f>
        <v/>
      </c>
      <c r="H2732" s="81">
        <f>IF(D2732="","",N(F2732)*N(G2732))</f>
        <v/>
      </c>
      <c r="I2732" s="7" t="n"/>
      <c r="J2732" s="9">
        <f>IF(I2732="","",IFERROR(INDEX('Ordres de travail'!$D$5:$D$3004,MATCH(I2732,'Ordres de travail'!$A$5:$A$3004,0)),""))</f>
        <v/>
      </c>
      <c r="K2732" s="9">
        <f>IF(D2732="","",IFERROR(INDEX('Stock pièces'!$D$5:$D$404,MATCH(D2732,'Stock pièces'!$A$5:$A$404,0)),""))</f>
        <v/>
      </c>
      <c r="L2732" s="7" t="n"/>
      <c r="M2732" s="7" t="n"/>
    </row>
    <row r="2733">
      <c r="A2733" s="7" t="n"/>
      <c r="B2733" s="75" t="n"/>
      <c r="C2733" s="7" t="n"/>
      <c r="D2733" s="7" t="n"/>
      <c r="E2733" s="9">
        <f>IF(D2733="","",IFERROR(INDEX('Stock pièces'!$B$5:$B$404,MATCH(D2733,'Stock pièces'!$A$5:$A$404,0)),"Réf. inconnue"))</f>
        <v/>
      </c>
      <c r="F2733" s="67" t="n"/>
      <c r="G2733" s="81">
        <f>IF(D2733="","",IFERROR(INDEX('Stock pièces'!$I$5:$I$404,MATCH(D2733,'Stock pièces'!$A$5:$A$404,0)),0))</f>
        <v/>
      </c>
      <c r="H2733" s="81">
        <f>IF(D2733="","",N(F2733)*N(G2733))</f>
        <v/>
      </c>
      <c r="I2733" s="7" t="n"/>
      <c r="J2733" s="9">
        <f>IF(I2733="","",IFERROR(INDEX('Ordres de travail'!$D$5:$D$3004,MATCH(I2733,'Ordres de travail'!$A$5:$A$3004,0)),""))</f>
        <v/>
      </c>
      <c r="K2733" s="9">
        <f>IF(D2733="","",IFERROR(INDEX('Stock pièces'!$D$5:$D$404,MATCH(D2733,'Stock pièces'!$A$5:$A$404,0)),""))</f>
        <v/>
      </c>
      <c r="L2733" s="7" t="n"/>
      <c r="M2733" s="7" t="n"/>
    </row>
    <row r="2734">
      <c r="A2734" s="7" t="n"/>
      <c r="B2734" s="75" t="n"/>
      <c r="C2734" s="7" t="n"/>
      <c r="D2734" s="7" t="n"/>
      <c r="E2734" s="9">
        <f>IF(D2734="","",IFERROR(INDEX('Stock pièces'!$B$5:$B$404,MATCH(D2734,'Stock pièces'!$A$5:$A$404,0)),"Réf. inconnue"))</f>
        <v/>
      </c>
      <c r="F2734" s="67" t="n"/>
      <c r="G2734" s="81">
        <f>IF(D2734="","",IFERROR(INDEX('Stock pièces'!$I$5:$I$404,MATCH(D2734,'Stock pièces'!$A$5:$A$404,0)),0))</f>
        <v/>
      </c>
      <c r="H2734" s="81">
        <f>IF(D2734="","",N(F2734)*N(G2734))</f>
        <v/>
      </c>
      <c r="I2734" s="7" t="n"/>
      <c r="J2734" s="9">
        <f>IF(I2734="","",IFERROR(INDEX('Ordres de travail'!$D$5:$D$3004,MATCH(I2734,'Ordres de travail'!$A$5:$A$3004,0)),""))</f>
        <v/>
      </c>
      <c r="K2734" s="9">
        <f>IF(D2734="","",IFERROR(INDEX('Stock pièces'!$D$5:$D$404,MATCH(D2734,'Stock pièces'!$A$5:$A$404,0)),""))</f>
        <v/>
      </c>
      <c r="L2734" s="7" t="n"/>
      <c r="M2734" s="7" t="n"/>
    </row>
    <row r="2735">
      <c r="A2735" s="7" t="n"/>
      <c r="B2735" s="75" t="n"/>
      <c r="C2735" s="7" t="n"/>
      <c r="D2735" s="7" t="n"/>
      <c r="E2735" s="9">
        <f>IF(D2735="","",IFERROR(INDEX('Stock pièces'!$B$5:$B$404,MATCH(D2735,'Stock pièces'!$A$5:$A$404,0)),"Réf. inconnue"))</f>
        <v/>
      </c>
      <c r="F2735" s="67" t="n"/>
      <c r="G2735" s="81">
        <f>IF(D2735="","",IFERROR(INDEX('Stock pièces'!$I$5:$I$404,MATCH(D2735,'Stock pièces'!$A$5:$A$404,0)),0))</f>
        <v/>
      </c>
      <c r="H2735" s="81">
        <f>IF(D2735="","",N(F2735)*N(G2735))</f>
        <v/>
      </c>
      <c r="I2735" s="7" t="n"/>
      <c r="J2735" s="9">
        <f>IF(I2735="","",IFERROR(INDEX('Ordres de travail'!$D$5:$D$3004,MATCH(I2735,'Ordres de travail'!$A$5:$A$3004,0)),""))</f>
        <v/>
      </c>
      <c r="K2735" s="9">
        <f>IF(D2735="","",IFERROR(INDEX('Stock pièces'!$D$5:$D$404,MATCH(D2735,'Stock pièces'!$A$5:$A$404,0)),""))</f>
        <v/>
      </c>
      <c r="L2735" s="7" t="n"/>
      <c r="M2735" s="7" t="n"/>
    </row>
    <row r="2736">
      <c r="A2736" s="7" t="n"/>
      <c r="B2736" s="75" t="n"/>
      <c r="C2736" s="7" t="n"/>
      <c r="D2736" s="7" t="n"/>
      <c r="E2736" s="9">
        <f>IF(D2736="","",IFERROR(INDEX('Stock pièces'!$B$5:$B$404,MATCH(D2736,'Stock pièces'!$A$5:$A$404,0)),"Réf. inconnue"))</f>
        <v/>
      </c>
      <c r="F2736" s="67" t="n"/>
      <c r="G2736" s="81">
        <f>IF(D2736="","",IFERROR(INDEX('Stock pièces'!$I$5:$I$404,MATCH(D2736,'Stock pièces'!$A$5:$A$404,0)),0))</f>
        <v/>
      </c>
      <c r="H2736" s="81">
        <f>IF(D2736="","",N(F2736)*N(G2736))</f>
        <v/>
      </c>
      <c r="I2736" s="7" t="n"/>
      <c r="J2736" s="9">
        <f>IF(I2736="","",IFERROR(INDEX('Ordres de travail'!$D$5:$D$3004,MATCH(I2736,'Ordres de travail'!$A$5:$A$3004,0)),""))</f>
        <v/>
      </c>
      <c r="K2736" s="9">
        <f>IF(D2736="","",IFERROR(INDEX('Stock pièces'!$D$5:$D$404,MATCH(D2736,'Stock pièces'!$A$5:$A$404,0)),""))</f>
        <v/>
      </c>
      <c r="L2736" s="7" t="n"/>
      <c r="M2736" s="7" t="n"/>
    </row>
    <row r="2737">
      <c r="A2737" s="7" t="n"/>
      <c r="B2737" s="75" t="n"/>
      <c r="C2737" s="7" t="n"/>
      <c r="D2737" s="7" t="n"/>
      <c r="E2737" s="9">
        <f>IF(D2737="","",IFERROR(INDEX('Stock pièces'!$B$5:$B$404,MATCH(D2737,'Stock pièces'!$A$5:$A$404,0)),"Réf. inconnue"))</f>
        <v/>
      </c>
      <c r="F2737" s="67" t="n"/>
      <c r="G2737" s="81">
        <f>IF(D2737="","",IFERROR(INDEX('Stock pièces'!$I$5:$I$404,MATCH(D2737,'Stock pièces'!$A$5:$A$404,0)),0))</f>
        <v/>
      </c>
      <c r="H2737" s="81">
        <f>IF(D2737="","",N(F2737)*N(G2737))</f>
        <v/>
      </c>
      <c r="I2737" s="7" t="n"/>
      <c r="J2737" s="9">
        <f>IF(I2737="","",IFERROR(INDEX('Ordres de travail'!$D$5:$D$3004,MATCH(I2737,'Ordres de travail'!$A$5:$A$3004,0)),""))</f>
        <v/>
      </c>
      <c r="K2737" s="9">
        <f>IF(D2737="","",IFERROR(INDEX('Stock pièces'!$D$5:$D$404,MATCH(D2737,'Stock pièces'!$A$5:$A$404,0)),""))</f>
        <v/>
      </c>
      <c r="L2737" s="7" t="n"/>
      <c r="M2737" s="7" t="n"/>
    </row>
    <row r="2738">
      <c r="A2738" s="7" t="n"/>
      <c r="B2738" s="75" t="n"/>
      <c r="C2738" s="7" t="n"/>
      <c r="D2738" s="7" t="n"/>
      <c r="E2738" s="9">
        <f>IF(D2738="","",IFERROR(INDEX('Stock pièces'!$B$5:$B$404,MATCH(D2738,'Stock pièces'!$A$5:$A$404,0)),"Réf. inconnue"))</f>
        <v/>
      </c>
      <c r="F2738" s="67" t="n"/>
      <c r="G2738" s="81">
        <f>IF(D2738="","",IFERROR(INDEX('Stock pièces'!$I$5:$I$404,MATCH(D2738,'Stock pièces'!$A$5:$A$404,0)),0))</f>
        <v/>
      </c>
      <c r="H2738" s="81">
        <f>IF(D2738="","",N(F2738)*N(G2738))</f>
        <v/>
      </c>
      <c r="I2738" s="7" t="n"/>
      <c r="J2738" s="9">
        <f>IF(I2738="","",IFERROR(INDEX('Ordres de travail'!$D$5:$D$3004,MATCH(I2738,'Ordres de travail'!$A$5:$A$3004,0)),""))</f>
        <v/>
      </c>
      <c r="K2738" s="9">
        <f>IF(D2738="","",IFERROR(INDEX('Stock pièces'!$D$5:$D$404,MATCH(D2738,'Stock pièces'!$A$5:$A$404,0)),""))</f>
        <v/>
      </c>
      <c r="L2738" s="7" t="n"/>
      <c r="M2738" s="7" t="n"/>
    </row>
    <row r="2739">
      <c r="A2739" s="7" t="n"/>
      <c r="B2739" s="75" t="n"/>
      <c r="C2739" s="7" t="n"/>
      <c r="D2739" s="7" t="n"/>
      <c r="E2739" s="9">
        <f>IF(D2739="","",IFERROR(INDEX('Stock pièces'!$B$5:$B$404,MATCH(D2739,'Stock pièces'!$A$5:$A$404,0)),"Réf. inconnue"))</f>
        <v/>
      </c>
      <c r="F2739" s="67" t="n"/>
      <c r="G2739" s="81">
        <f>IF(D2739="","",IFERROR(INDEX('Stock pièces'!$I$5:$I$404,MATCH(D2739,'Stock pièces'!$A$5:$A$404,0)),0))</f>
        <v/>
      </c>
      <c r="H2739" s="81">
        <f>IF(D2739="","",N(F2739)*N(G2739))</f>
        <v/>
      </c>
      <c r="I2739" s="7" t="n"/>
      <c r="J2739" s="9">
        <f>IF(I2739="","",IFERROR(INDEX('Ordres de travail'!$D$5:$D$3004,MATCH(I2739,'Ordres de travail'!$A$5:$A$3004,0)),""))</f>
        <v/>
      </c>
      <c r="K2739" s="9">
        <f>IF(D2739="","",IFERROR(INDEX('Stock pièces'!$D$5:$D$404,MATCH(D2739,'Stock pièces'!$A$5:$A$404,0)),""))</f>
        <v/>
      </c>
      <c r="L2739" s="7" t="n"/>
      <c r="M2739" s="7" t="n"/>
    </row>
    <row r="2740">
      <c r="A2740" s="7" t="n"/>
      <c r="B2740" s="75" t="n"/>
      <c r="C2740" s="7" t="n"/>
      <c r="D2740" s="7" t="n"/>
      <c r="E2740" s="9">
        <f>IF(D2740="","",IFERROR(INDEX('Stock pièces'!$B$5:$B$404,MATCH(D2740,'Stock pièces'!$A$5:$A$404,0)),"Réf. inconnue"))</f>
        <v/>
      </c>
      <c r="F2740" s="67" t="n"/>
      <c r="G2740" s="81">
        <f>IF(D2740="","",IFERROR(INDEX('Stock pièces'!$I$5:$I$404,MATCH(D2740,'Stock pièces'!$A$5:$A$404,0)),0))</f>
        <v/>
      </c>
      <c r="H2740" s="81">
        <f>IF(D2740="","",N(F2740)*N(G2740))</f>
        <v/>
      </c>
      <c r="I2740" s="7" t="n"/>
      <c r="J2740" s="9">
        <f>IF(I2740="","",IFERROR(INDEX('Ordres de travail'!$D$5:$D$3004,MATCH(I2740,'Ordres de travail'!$A$5:$A$3004,0)),""))</f>
        <v/>
      </c>
      <c r="K2740" s="9">
        <f>IF(D2740="","",IFERROR(INDEX('Stock pièces'!$D$5:$D$404,MATCH(D2740,'Stock pièces'!$A$5:$A$404,0)),""))</f>
        <v/>
      </c>
      <c r="L2740" s="7" t="n"/>
      <c r="M2740" s="7" t="n"/>
    </row>
    <row r="2741">
      <c r="A2741" s="7" t="n"/>
      <c r="B2741" s="75" t="n"/>
      <c r="C2741" s="7" t="n"/>
      <c r="D2741" s="7" t="n"/>
      <c r="E2741" s="9">
        <f>IF(D2741="","",IFERROR(INDEX('Stock pièces'!$B$5:$B$404,MATCH(D2741,'Stock pièces'!$A$5:$A$404,0)),"Réf. inconnue"))</f>
        <v/>
      </c>
      <c r="F2741" s="67" t="n"/>
      <c r="G2741" s="81">
        <f>IF(D2741="","",IFERROR(INDEX('Stock pièces'!$I$5:$I$404,MATCH(D2741,'Stock pièces'!$A$5:$A$404,0)),0))</f>
        <v/>
      </c>
      <c r="H2741" s="81">
        <f>IF(D2741="","",N(F2741)*N(G2741))</f>
        <v/>
      </c>
      <c r="I2741" s="7" t="n"/>
      <c r="J2741" s="9">
        <f>IF(I2741="","",IFERROR(INDEX('Ordres de travail'!$D$5:$D$3004,MATCH(I2741,'Ordres de travail'!$A$5:$A$3004,0)),""))</f>
        <v/>
      </c>
      <c r="K2741" s="9">
        <f>IF(D2741="","",IFERROR(INDEX('Stock pièces'!$D$5:$D$404,MATCH(D2741,'Stock pièces'!$A$5:$A$404,0)),""))</f>
        <v/>
      </c>
      <c r="L2741" s="7" t="n"/>
      <c r="M2741" s="7" t="n"/>
    </row>
    <row r="2742">
      <c r="A2742" s="7" t="n"/>
      <c r="B2742" s="75" t="n"/>
      <c r="C2742" s="7" t="n"/>
      <c r="D2742" s="7" t="n"/>
      <c r="E2742" s="9">
        <f>IF(D2742="","",IFERROR(INDEX('Stock pièces'!$B$5:$B$404,MATCH(D2742,'Stock pièces'!$A$5:$A$404,0)),"Réf. inconnue"))</f>
        <v/>
      </c>
      <c r="F2742" s="67" t="n"/>
      <c r="G2742" s="81">
        <f>IF(D2742="","",IFERROR(INDEX('Stock pièces'!$I$5:$I$404,MATCH(D2742,'Stock pièces'!$A$5:$A$404,0)),0))</f>
        <v/>
      </c>
      <c r="H2742" s="81">
        <f>IF(D2742="","",N(F2742)*N(G2742))</f>
        <v/>
      </c>
      <c r="I2742" s="7" t="n"/>
      <c r="J2742" s="9">
        <f>IF(I2742="","",IFERROR(INDEX('Ordres de travail'!$D$5:$D$3004,MATCH(I2742,'Ordres de travail'!$A$5:$A$3004,0)),""))</f>
        <v/>
      </c>
      <c r="K2742" s="9">
        <f>IF(D2742="","",IFERROR(INDEX('Stock pièces'!$D$5:$D$404,MATCH(D2742,'Stock pièces'!$A$5:$A$404,0)),""))</f>
        <v/>
      </c>
      <c r="L2742" s="7" t="n"/>
      <c r="M2742" s="7" t="n"/>
    </row>
    <row r="2743">
      <c r="A2743" s="7" t="n"/>
      <c r="B2743" s="75" t="n"/>
      <c r="C2743" s="7" t="n"/>
      <c r="D2743" s="7" t="n"/>
      <c r="E2743" s="9">
        <f>IF(D2743="","",IFERROR(INDEX('Stock pièces'!$B$5:$B$404,MATCH(D2743,'Stock pièces'!$A$5:$A$404,0)),"Réf. inconnue"))</f>
        <v/>
      </c>
      <c r="F2743" s="67" t="n"/>
      <c r="G2743" s="81">
        <f>IF(D2743="","",IFERROR(INDEX('Stock pièces'!$I$5:$I$404,MATCH(D2743,'Stock pièces'!$A$5:$A$404,0)),0))</f>
        <v/>
      </c>
      <c r="H2743" s="81">
        <f>IF(D2743="","",N(F2743)*N(G2743))</f>
        <v/>
      </c>
      <c r="I2743" s="7" t="n"/>
      <c r="J2743" s="9">
        <f>IF(I2743="","",IFERROR(INDEX('Ordres de travail'!$D$5:$D$3004,MATCH(I2743,'Ordres de travail'!$A$5:$A$3004,0)),""))</f>
        <v/>
      </c>
      <c r="K2743" s="9">
        <f>IF(D2743="","",IFERROR(INDEX('Stock pièces'!$D$5:$D$404,MATCH(D2743,'Stock pièces'!$A$5:$A$404,0)),""))</f>
        <v/>
      </c>
      <c r="L2743" s="7" t="n"/>
      <c r="M2743" s="7" t="n"/>
    </row>
    <row r="2744">
      <c r="A2744" s="7" t="n"/>
      <c r="B2744" s="75" t="n"/>
      <c r="C2744" s="7" t="n"/>
      <c r="D2744" s="7" t="n"/>
      <c r="E2744" s="9">
        <f>IF(D2744="","",IFERROR(INDEX('Stock pièces'!$B$5:$B$404,MATCH(D2744,'Stock pièces'!$A$5:$A$404,0)),"Réf. inconnue"))</f>
        <v/>
      </c>
      <c r="F2744" s="67" t="n"/>
      <c r="G2744" s="81">
        <f>IF(D2744="","",IFERROR(INDEX('Stock pièces'!$I$5:$I$404,MATCH(D2744,'Stock pièces'!$A$5:$A$404,0)),0))</f>
        <v/>
      </c>
      <c r="H2744" s="81">
        <f>IF(D2744="","",N(F2744)*N(G2744))</f>
        <v/>
      </c>
      <c r="I2744" s="7" t="n"/>
      <c r="J2744" s="9">
        <f>IF(I2744="","",IFERROR(INDEX('Ordres de travail'!$D$5:$D$3004,MATCH(I2744,'Ordres de travail'!$A$5:$A$3004,0)),""))</f>
        <v/>
      </c>
      <c r="K2744" s="9">
        <f>IF(D2744="","",IFERROR(INDEX('Stock pièces'!$D$5:$D$404,MATCH(D2744,'Stock pièces'!$A$5:$A$404,0)),""))</f>
        <v/>
      </c>
      <c r="L2744" s="7" t="n"/>
      <c r="M2744" s="7" t="n"/>
    </row>
    <row r="2745">
      <c r="A2745" s="7" t="n"/>
      <c r="B2745" s="75" t="n"/>
      <c r="C2745" s="7" t="n"/>
      <c r="D2745" s="7" t="n"/>
      <c r="E2745" s="9">
        <f>IF(D2745="","",IFERROR(INDEX('Stock pièces'!$B$5:$B$404,MATCH(D2745,'Stock pièces'!$A$5:$A$404,0)),"Réf. inconnue"))</f>
        <v/>
      </c>
      <c r="F2745" s="67" t="n"/>
      <c r="G2745" s="81">
        <f>IF(D2745="","",IFERROR(INDEX('Stock pièces'!$I$5:$I$404,MATCH(D2745,'Stock pièces'!$A$5:$A$404,0)),0))</f>
        <v/>
      </c>
      <c r="H2745" s="81">
        <f>IF(D2745="","",N(F2745)*N(G2745))</f>
        <v/>
      </c>
      <c r="I2745" s="7" t="n"/>
      <c r="J2745" s="9">
        <f>IF(I2745="","",IFERROR(INDEX('Ordres de travail'!$D$5:$D$3004,MATCH(I2745,'Ordres de travail'!$A$5:$A$3004,0)),""))</f>
        <v/>
      </c>
      <c r="K2745" s="9">
        <f>IF(D2745="","",IFERROR(INDEX('Stock pièces'!$D$5:$D$404,MATCH(D2745,'Stock pièces'!$A$5:$A$404,0)),""))</f>
        <v/>
      </c>
      <c r="L2745" s="7" t="n"/>
      <c r="M2745" s="7" t="n"/>
    </row>
    <row r="2746">
      <c r="A2746" s="7" t="n"/>
      <c r="B2746" s="75" t="n"/>
      <c r="C2746" s="7" t="n"/>
      <c r="D2746" s="7" t="n"/>
      <c r="E2746" s="9">
        <f>IF(D2746="","",IFERROR(INDEX('Stock pièces'!$B$5:$B$404,MATCH(D2746,'Stock pièces'!$A$5:$A$404,0)),"Réf. inconnue"))</f>
        <v/>
      </c>
      <c r="F2746" s="67" t="n"/>
      <c r="G2746" s="81">
        <f>IF(D2746="","",IFERROR(INDEX('Stock pièces'!$I$5:$I$404,MATCH(D2746,'Stock pièces'!$A$5:$A$404,0)),0))</f>
        <v/>
      </c>
      <c r="H2746" s="81">
        <f>IF(D2746="","",N(F2746)*N(G2746))</f>
        <v/>
      </c>
      <c r="I2746" s="7" t="n"/>
      <c r="J2746" s="9">
        <f>IF(I2746="","",IFERROR(INDEX('Ordres de travail'!$D$5:$D$3004,MATCH(I2746,'Ordres de travail'!$A$5:$A$3004,0)),""))</f>
        <v/>
      </c>
      <c r="K2746" s="9">
        <f>IF(D2746="","",IFERROR(INDEX('Stock pièces'!$D$5:$D$404,MATCH(D2746,'Stock pièces'!$A$5:$A$404,0)),""))</f>
        <v/>
      </c>
      <c r="L2746" s="7" t="n"/>
      <c r="M2746" s="7" t="n"/>
    </row>
    <row r="2747">
      <c r="A2747" s="7" t="n"/>
      <c r="B2747" s="75" t="n"/>
      <c r="C2747" s="7" t="n"/>
      <c r="D2747" s="7" t="n"/>
      <c r="E2747" s="9">
        <f>IF(D2747="","",IFERROR(INDEX('Stock pièces'!$B$5:$B$404,MATCH(D2747,'Stock pièces'!$A$5:$A$404,0)),"Réf. inconnue"))</f>
        <v/>
      </c>
      <c r="F2747" s="67" t="n"/>
      <c r="G2747" s="81">
        <f>IF(D2747="","",IFERROR(INDEX('Stock pièces'!$I$5:$I$404,MATCH(D2747,'Stock pièces'!$A$5:$A$404,0)),0))</f>
        <v/>
      </c>
      <c r="H2747" s="81">
        <f>IF(D2747="","",N(F2747)*N(G2747))</f>
        <v/>
      </c>
      <c r="I2747" s="7" t="n"/>
      <c r="J2747" s="9">
        <f>IF(I2747="","",IFERROR(INDEX('Ordres de travail'!$D$5:$D$3004,MATCH(I2747,'Ordres de travail'!$A$5:$A$3004,0)),""))</f>
        <v/>
      </c>
      <c r="K2747" s="9">
        <f>IF(D2747="","",IFERROR(INDEX('Stock pièces'!$D$5:$D$404,MATCH(D2747,'Stock pièces'!$A$5:$A$404,0)),""))</f>
        <v/>
      </c>
      <c r="L2747" s="7" t="n"/>
      <c r="M2747" s="7" t="n"/>
    </row>
    <row r="2748">
      <c r="A2748" s="7" t="n"/>
      <c r="B2748" s="75" t="n"/>
      <c r="C2748" s="7" t="n"/>
      <c r="D2748" s="7" t="n"/>
      <c r="E2748" s="9">
        <f>IF(D2748="","",IFERROR(INDEX('Stock pièces'!$B$5:$B$404,MATCH(D2748,'Stock pièces'!$A$5:$A$404,0)),"Réf. inconnue"))</f>
        <v/>
      </c>
      <c r="F2748" s="67" t="n"/>
      <c r="G2748" s="81">
        <f>IF(D2748="","",IFERROR(INDEX('Stock pièces'!$I$5:$I$404,MATCH(D2748,'Stock pièces'!$A$5:$A$404,0)),0))</f>
        <v/>
      </c>
      <c r="H2748" s="81">
        <f>IF(D2748="","",N(F2748)*N(G2748))</f>
        <v/>
      </c>
      <c r="I2748" s="7" t="n"/>
      <c r="J2748" s="9">
        <f>IF(I2748="","",IFERROR(INDEX('Ordres de travail'!$D$5:$D$3004,MATCH(I2748,'Ordres de travail'!$A$5:$A$3004,0)),""))</f>
        <v/>
      </c>
      <c r="K2748" s="9">
        <f>IF(D2748="","",IFERROR(INDEX('Stock pièces'!$D$5:$D$404,MATCH(D2748,'Stock pièces'!$A$5:$A$404,0)),""))</f>
        <v/>
      </c>
      <c r="L2748" s="7" t="n"/>
      <c r="M2748" s="7" t="n"/>
    </row>
    <row r="2749">
      <c r="A2749" s="7" t="n"/>
      <c r="B2749" s="75" t="n"/>
      <c r="C2749" s="7" t="n"/>
      <c r="D2749" s="7" t="n"/>
      <c r="E2749" s="9">
        <f>IF(D2749="","",IFERROR(INDEX('Stock pièces'!$B$5:$B$404,MATCH(D2749,'Stock pièces'!$A$5:$A$404,0)),"Réf. inconnue"))</f>
        <v/>
      </c>
      <c r="F2749" s="67" t="n"/>
      <c r="G2749" s="81">
        <f>IF(D2749="","",IFERROR(INDEX('Stock pièces'!$I$5:$I$404,MATCH(D2749,'Stock pièces'!$A$5:$A$404,0)),0))</f>
        <v/>
      </c>
      <c r="H2749" s="81">
        <f>IF(D2749="","",N(F2749)*N(G2749))</f>
        <v/>
      </c>
      <c r="I2749" s="7" t="n"/>
      <c r="J2749" s="9">
        <f>IF(I2749="","",IFERROR(INDEX('Ordres de travail'!$D$5:$D$3004,MATCH(I2749,'Ordres de travail'!$A$5:$A$3004,0)),""))</f>
        <v/>
      </c>
      <c r="K2749" s="9">
        <f>IF(D2749="","",IFERROR(INDEX('Stock pièces'!$D$5:$D$404,MATCH(D2749,'Stock pièces'!$A$5:$A$404,0)),""))</f>
        <v/>
      </c>
      <c r="L2749" s="7" t="n"/>
      <c r="M2749" s="7" t="n"/>
    </row>
    <row r="2750">
      <c r="A2750" s="7" t="n"/>
      <c r="B2750" s="75" t="n"/>
      <c r="C2750" s="7" t="n"/>
      <c r="D2750" s="7" t="n"/>
      <c r="E2750" s="9">
        <f>IF(D2750="","",IFERROR(INDEX('Stock pièces'!$B$5:$B$404,MATCH(D2750,'Stock pièces'!$A$5:$A$404,0)),"Réf. inconnue"))</f>
        <v/>
      </c>
      <c r="F2750" s="67" t="n"/>
      <c r="G2750" s="81">
        <f>IF(D2750="","",IFERROR(INDEX('Stock pièces'!$I$5:$I$404,MATCH(D2750,'Stock pièces'!$A$5:$A$404,0)),0))</f>
        <v/>
      </c>
      <c r="H2750" s="81">
        <f>IF(D2750="","",N(F2750)*N(G2750))</f>
        <v/>
      </c>
      <c r="I2750" s="7" t="n"/>
      <c r="J2750" s="9">
        <f>IF(I2750="","",IFERROR(INDEX('Ordres de travail'!$D$5:$D$3004,MATCH(I2750,'Ordres de travail'!$A$5:$A$3004,0)),""))</f>
        <v/>
      </c>
      <c r="K2750" s="9">
        <f>IF(D2750="","",IFERROR(INDEX('Stock pièces'!$D$5:$D$404,MATCH(D2750,'Stock pièces'!$A$5:$A$404,0)),""))</f>
        <v/>
      </c>
      <c r="L2750" s="7" t="n"/>
      <c r="M2750" s="7" t="n"/>
    </row>
    <row r="2751">
      <c r="A2751" s="7" t="n"/>
      <c r="B2751" s="75" t="n"/>
      <c r="C2751" s="7" t="n"/>
      <c r="D2751" s="7" t="n"/>
      <c r="E2751" s="9">
        <f>IF(D2751="","",IFERROR(INDEX('Stock pièces'!$B$5:$B$404,MATCH(D2751,'Stock pièces'!$A$5:$A$404,0)),"Réf. inconnue"))</f>
        <v/>
      </c>
      <c r="F2751" s="67" t="n"/>
      <c r="G2751" s="81">
        <f>IF(D2751="","",IFERROR(INDEX('Stock pièces'!$I$5:$I$404,MATCH(D2751,'Stock pièces'!$A$5:$A$404,0)),0))</f>
        <v/>
      </c>
      <c r="H2751" s="81">
        <f>IF(D2751="","",N(F2751)*N(G2751))</f>
        <v/>
      </c>
      <c r="I2751" s="7" t="n"/>
      <c r="J2751" s="9">
        <f>IF(I2751="","",IFERROR(INDEX('Ordres de travail'!$D$5:$D$3004,MATCH(I2751,'Ordres de travail'!$A$5:$A$3004,0)),""))</f>
        <v/>
      </c>
      <c r="K2751" s="9">
        <f>IF(D2751="","",IFERROR(INDEX('Stock pièces'!$D$5:$D$404,MATCH(D2751,'Stock pièces'!$A$5:$A$404,0)),""))</f>
        <v/>
      </c>
      <c r="L2751" s="7" t="n"/>
      <c r="M2751" s="7" t="n"/>
    </row>
    <row r="2752">
      <c r="A2752" s="7" t="n"/>
      <c r="B2752" s="75" t="n"/>
      <c r="C2752" s="7" t="n"/>
      <c r="D2752" s="7" t="n"/>
      <c r="E2752" s="9">
        <f>IF(D2752="","",IFERROR(INDEX('Stock pièces'!$B$5:$B$404,MATCH(D2752,'Stock pièces'!$A$5:$A$404,0)),"Réf. inconnue"))</f>
        <v/>
      </c>
      <c r="F2752" s="67" t="n"/>
      <c r="G2752" s="81">
        <f>IF(D2752="","",IFERROR(INDEX('Stock pièces'!$I$5:$I$404,MATCH(D2752,'Stock pièces'!$A$5:$A$404,0)),0))</f>
        <v/>
      </c>
      <c r="H2752" s="81">
        <f>IF(D2752="","",N(F2752)*N(G2752))</f>
        <v/>
      </c>
      <c r="I2752" s="7" t="n"/>
      <c r="J2752" s="9">
        <f>IF(I2752="","",IFERROR(INDEX('Ordres de travail'!$D$5:$D$3004,MATCH(I2752,'Ordres de travail'!$A$5:$A$3004,0)),""))</f>
        <v/>
      </c>
      <c r="K2752" s="9">
        <f>IF(D2752="","",IFERROR(INDEX('Stock pièces'!$D$5:$D$404,MATCH(D2752,'Stock pièces'!$A$5:$A$404,0)),""))</f>
        <v/>
      </c>
      <c r="L2752" s="7" t="n"/>
      <c r="M2752" s="7" t="n"/>
    </row>
    <row r="2753">
      <c r="A2753" s="7" t="n"/>
      <c r="B2753" s="75" t="n"/>
      <c r="C2753" s="7" t="n"/>
      <c r="D2753" s="7" t="n"/>
      <c r="E2753" s="9">
        <f>IF(D2753="","",IFERROR(INDEX('Stock pièces'!$B$5:$B$404,MATCH(D2753,'Stock pièces'!$A$5:$A$404,0)),"Réf. inconnue"))</f>
        <v/>
      </c>
      <c r="F2753" s="67" t="n"/>
      <c r="G2753" s="81">
        <f>IF(D2753="","",IFERROR(INDEX('Stock pièces'!$I$5:$I$404,MATCH(D2753,'Stock pièces'!$A$5:$A$404,0)),0))</f>
        <v/>
      </c>
      <c r="H2753" s="81">
        <f>IF(D2753="","",N(F2753)*N(G2753))</f>
        <v/>
      </c>
      <c r="I2753" s="7" t="n"/>
      <c r="J2753" s="9">
        <f>IF(I2753="","",IFERROR(INDEX('Ordres de travail'!$D$5:$D$3004,MATCH(I2753,'Ordres de travail'!$A$5:$A$3004,0)),""))</f>
        <v/>
      </c>
      <c r="K2753" s="9">
        <f>IF(D2753="","",IFERROR(INDEX('Stock pièces'!$D$5:$D$404,MATCH(D2753,'Stock pièces'!$A$5:$A$404,0)),""))</f>
        <v/>
      </c>
      <c r="L2753" s="7" t="n"/>
      <c r="M2753" s="7" t="n"/>
    </row>
    <row r="2754">
      <c r="A2754" s="7" t="n"/>
      <c r="B2754" s="75" t="n"/>
      <c r="C2754" s="7" t="n"/>
      <c r="D2754" s="7" t="n"/>
      <c r="E2754" s="9">
        <f>IF(D2754="","",IFERROR(INDEX('Stock pièces'!$B$5:$B$404,MATCH(D2754,'Stock pièces'!$A$5:$A$404,0)),"Réf. inconnue"))</f>
        <v/>
      </c>
      <c r="F2754" s="67" t="n"/>
      <c r="G2754" s="81">
        <f>IF(D2754="","",IFERROR(INDEX('Stock pièces'!$I$5:$I$404,MATCH(D2754,'Stock pièces'!$A$5:$A$404,0)),0))</f>
        <v/>
      </c>
      <c r="H2754" s="81">
        <f>IF(D2754="","",N(F2754)*N(G2754))</f>
        <v/>
      </c>
      <c r="I2754" s="7" t="n"/>
      <c r="J2754" s="9">
        <f>IF(I2754="","",IFERROR(INDEX('Ordres de travail'!$D$5:$D$3004,MATCH(I2754,'Ordres de travail'!$A$5:$A$3004,0)),""))</f>
        <v/>
      </c>
      <c r="K2754" s="9">
        <f>IF(D2754="","",IFERROR(INDEX('Stock pièces'!$D$5:$D$404,MATCH(D2754,'Stock pièces'!$A$5:$A$404,0)),""))</f>
        <v/>
      </c>
      <c r="L2754" s="7" t="n"/>
      <c r="M2754" s="7" t="n"/>
    </row>
    <row r="2755">
      <c r="A2755" s="7" t="n"/>
      <c r="B2755" s="75" t="n"/>
      <c r="C2755" s="7" t="n"/>
      <c r="D2755" s="7" t="n"/>
      <c r="E2755" s="9">
        <f>IF(D2755="","",IFERROR(INDEX('Stock pièces'!$B$5:$B$404,MATCH(D2755,'Stock pièces'!$A$5:$A$404,0)),"Réf. inconnue"))</f>
        <v/>
      </c>
      <c r="F2755" s="67" t="n"/>
      <c r="G2755" s="81">
        <f>IF(D2755="","",IFERROR(INDEX('Stock pièces'!$I$5:$I$404,MATCH(D2755,'Stock pièces'!$A$5:$A$404,0)),0))</f>
        <v/>
      </c>
      <c r="H2755" s="81">
        <f>IF(D2755="","",N(F2755)*N(G2755))</f>
        <v/>
      </c>
      <c r="I2755" s="7" t="n"/>
      <c r="J2755" s="9">
        <f>IF(I2755="","",IFERROR(INDEX('Ordres de travail'!$D$5:$D$3004,MATCH(I2755,'Ordres de travail'!$A$5:$A$3004,0)),""))</f>
        <v/>
      </c>
      <c r="K2755" s="9">
        <f>IF(D2755="","",IFERROR(INDEX('Stock pièces'!$D$5:$D$404,MATCH(D2755,'Stock pièces'!$A$5:$A$404,0)),""))</f>
        <v/>
      </c>
      <c r="L2755" s="7" t="n"/>
      <c r="M2755" s="7" t="n"/>
    </row>
    <row r="2756">
      <c r="A2756" s="7" t="n"/>
      <c r="B2756" s="75" t="n"/>
      <c r="C2756" s="7" t="n"/>
      <c r="D2756" s="7" t="n"/>
      <c r="E2756" s="9">
        <f>IF(D2756="","",IFERROR(INDEX('Stock pièces'!$B$5:$B$404,MATCH(D2756,'Stock pièces'!$A$5:$A$404,0)),"Réf. inconnue"))</f>
        <v/>
      </c>
      <c r="F2756" s="67" t="n"/>
      <c r="G2756" s="81">
        <f>IF(D2756="","",IFERROR(INDEX('Stock pièces'!$I$5:$I$404,MATCH(D2756,'Stock pièces'!$A$5:$A$404,0)),0))</f>
        <v/>
      </c>
      <c r="H2756" s="81">
        <f>IF(D2756="","",N(F2756)*N(G2756))</f>
        <v/>
      </c>
      <c r="I2756" s="7" t="n"/>
      <c r="J2756" s="9">
        <f>IF(I2756="","",IFERROR(INDEX('Ordres de travail'!$D$5:$D$3004,MATCH(I2756,'Ordres de travail'!$A$5:$A$3004,0)),""))</f>
        <v/>
      </c>
      <c r="K2756" s="9">
        <f>IF(D2756="","",IFERROR(INDEX('Stock pièces'!$D$5:$D$404,MATCH(D2756,'Stock pièces'!$A$5:$A$404,0)),""))</f>
        <v/>
      </c>
      <c r="L2756" s="7" t="n"/>
      <c r="M2756" s="7" t="n"/>
    </row>
    <row r="2757">
      <c r="A2757" s="7" t="n"/>
      <c r="B2757" s="75" t="n"/>
      <c r="C2757" s="7" t="n"/>
      <c r="D2757" s="7" t="n"/>
      <c r="E2757" s="9">
        <f>IF(D2757="","",IFERROR(INDEX('Stock pièces'!$B$5:$B$404,MATCH(D2757,'Stock pièces'!$A$5:$A$404,0)),"Réf. inconnue"))</f>
        <v/>
      </c>
      <c r="F2757" s="67" t="n"/>
      <c r="G2757" s="81">
        <f>IF(D2757="","",IFERROR(INDEX('Stock pièces'!$I$5:$I$404,MATCH(D2757,'Stock pièces'!$A$5:$A$404,0)),0))</f>
        <v/>
      </c>
      <c r="H2757" s="81">
        <f>IF(D2757="","",N(F2757)*N(G2757))</f>
        <v/>
      </c>
      <c r="I2757" s="7" t="n"/>
      <c r="J2757" s="9">
        <f>IF(I2757="","",IFERROR(INDEX('Ordres de travail'!$D$5:$D$3004,MATCH(I2757,'Ordres de travail'!$A$5:$A$3004,0)),""))</f>
        <v/>
      </c>
      <c r="K2757" s="9">
        <f>IF(D2757="","",IFERROR(INDEX('Stock pièces'!$D$5:$D$404,MATCH(D2757,'Stock pièces'!$A$5:$A$404,0)),""))</f>
        <v/>
      </c>
      <c r="L2757" s="7" t="n"/>
      <c r="M2757" s="7" t="n"/>
    </row>
    <row r="2758">
      <c r="A2758" s="7" t="n"/>
      <c r="B2758" s="75" t="n"/>
      <c r="C2758" s="7" t="n"/>
      <c r="D2758" s="7" t="n"/>
      <c r="E2758" s="9">
        <f>IF(D2758="","",IFERROR(INDEX('Stock pièces'!$B$5:$B$404,MATCH(D2758,'Stock pièces'!$A$5:$A$404,0)),"Réf. inconnue"))</f>
        <v/>
      </c>
      <c r="F2758" s="67" t="n"/>
      <c r="G2758" s="81">
        <f>IF(D2758="","",IFERROR(INDEX('Stock pièces'!$I$5:$I$404,MATCH(D2758,'Stock pièces'!$A$5:$A$404,0)),0))</f>
        <v/>
      </c>
      <c r="H2758" s="81">
        <f>IF(D2758="","",N(F2758)*N(G2758))</f>
        <v/>
      </c>
      <c r="I2758" s="7" t="n"/>
      <c r="J2758" s="9">
        <f>IF(I2758="","",IFERROR(INDEX('Ordres de travail'!$D$5:$D$3004,MATCH(I2758,'Ordres de travail'!$A$5:$A$3004,0)),""))</f>
        <v/>
      </c>
      <c r="K2758" s="9">
        <f>IF(D2758="","",IFERROR(INDEX('Stock pièces'!$D$5:$D$404,MATCH(D2758,'Stock pièces'!$A$5:$A$404,0)),""))</f>
        <v/>
      </c>
      <c r="L2758" s="7" t="n"/>
      <c r="M2758" s="7" t="n"/>
    </row>
    <row r="2759">
      <c r="A2759" s="7" t="n"/>
      <c r="B2759" s="75" t="n"/>
      <c r="C2759" s="7" t="n"/>
      <c r="D2759" s="7" t="n"/>
      <c r="E2759" s="9">
        <f>IF(D2759="","",IFERROR(INDEX('Stock pièces'!$B$5:$B$404,MATCH(D2759,'Stock pièces'!$A$5:$A$404,0)),"Réf. inconnue"))</f>
        <v/>
      </c>
      <c r="F2759" s="67" t="n"/>
      <c r="G2759" s="81">
        <f>IF(D2759="","",IFERROR(INDEX('Stock pièces'!$I$5:$I$404,MATCH(D2759,'Stock pièces'!$A$5:$A$404,0)),0))</f>
        <v/>
      </c>
      <c r="H2759" s="81">
        <f>IF(D2759="","",N(F2759)*N(G2759))</f>
        <v/>
      </c>
      <c r="I2759" s="7" t="n"/>
      <c r="J2759" s="9">
        <f>IF(I2759="","",IFERROR(INDEX('Ordres de travail'!$D$5:$D$3004,MATCH(I2759,'Ordres de travail'!$A$5:$A$3004,0)),""))</f>
        <v/>
      </c>
      <c r="K2759" s="9">
        <f>IF(D2759="","",IFERROR(INDEX('Stock pièces'!$D$5:$D$404,MATCH(D2759,'Stock pièces'!$A$5:$A$404,0)),""))</f>
        <v/>
      </c>
      <c r="L2759" s="7" t="n"/>
      <c r="M2759" s="7" t="n"/>
    </row>
    <row r="2760">
      <c r="A2760" s="7" t="n"/>
      <c r="B2760" s="75" t="n"/>
      <c r="C2760" s="7" t="n"/>
      <c r="D2760" s="7" t="n"/>
      <c r="E2760" s="9">
        <f>IF(D2760="","",IFERROR(INDEX('Stock pièces'!$B$5:$B$404,MATCH(D2760,'Stock pièces'!$A$5:$A$404,0)),"Réf. inconnue"))</f>
        <v/>
      </c>
      <c r="F2760" s="67" t="n"/>
      <c r="G2760" s="81">
        <f>IF(D2760="","",IFERROR(INDEX('Stock pièces'!$I$5:$I$404,MATCH(D2760,'Stock pièces'!$A$5:$A$404,0)),0))</f>
        <v/>
      </c>
      <c r="H2760" s="81">
        <f>IF(D2760="","",N(F2760)*N(G2760))</f>
        <v/>
      </c>
      <c r="I2760" s="7" t="n"/>
      <c r="J2760" s="9">
        <f>IF(I2760="","",IFERROR(INDEX('Ordres de travail'!$D$5:$D$3004,MATCH(I2760,'Ordres de travail'!$A$5:$A$3004,0)),""))</f>
        <v/>
      </c>
      <c r="K2760" s="9">
        <f>IF(D2760="","",IFERROR(INDEX('Stock pièces'!$D$5:$D$404,MATCH(D2760,'Stock pièces'!$A$5:$A$404,0)),""))</f>
        <v/>
      </c>
      <c r="L2760" s="7" t="n"/>
      <c r="M2760" s="7" t="n"/>
    </row>
    <row r="2761">
      <c r="A2761" s="7" t="n"/>
      <c r="B2761" s="75" t="n"/>
      <c r="C2761" s="7" t="n"/>
      <c r="D2761" s="7" t="n"/>
      <c r="E2761" s="9">
        <f>IF(D2761="","",IFERROR(INDEX('Stock pièces'!$B$5:$B$404,MATCH(D2761,'Stock pièces'!$A$5:$A$404,0)),"Réf. inconnue"))</f>
        <v/>
      </c>
      <c r="F2761" s="67" t="n"/>
      <c r="G2761" s="81">
        <f>IF(D2761="","",IFERROR(INDEX('Stock pièces'!$I$5:$I$404,MATCH(D2761,'Stock pièces'!$A$5:$A$404,0)),0))</f>
        <v/>
      </c>
      <c r="H2761" s="81">
        <f>IF(D2761="","",N(F2761)*N(G2761))</f>
        <v/>
      </c>
      <c r="I2761" s="7" t="n"/>
      <c r="J2761" s="9">
        <f>IF(I2761="","",IFERROR(INDEX('Ordres de travail'!$D$5:$D$3004,MATCH(I2761,'Ordres de travail'!$A$5:$A$3004,0)),""))</f>
        <v/>
      </c>
      <c r="K2761" s="9">
        <f>IF(D2761="","",IFERROR(INDEX('Stock pièces'!$D$5:$D$404,MATCH(D2761,'Stock pièces'!$A$5:$A$404,0)),""))</f>
        <v/>
      </c>
      <c r="L2761" s="7" t="n"/>
      <c r="M2761" s="7" t="n"/>
    </row>
    <row r="2762">
      <c r="A2762" s="7" t="n"/>
      <c r="B2762" s="75" t="n"/>
      <c r="C2762" s="7" t="n"/>
      <c r="D2762" s="7" t="n"/>
      <c r="E2762" s="9">
        <f>IF(D2762="","",IFERROR(INDEX('Stock pièces'!$B$5:$B$404,MATCH(D2762,'Stock pièces'!$A$5:$A$404,0)),"Réf. inconnue"))</f>
        <v/>
      </c>
      <c r="F2762" s="67" t="n"/>
      <c r="G2762" s="81">
        <f>IF(D2762="","",IFERROR(INDEX('Stock pièces'!$I$5:$I$404,MATCH(D2762,'Stock pièces'!$A$5:$A$404,0)),0))</f>
        <v/>
      </c>
      <c r="H2762" s="81">
        <f>IF(D2762="","",N(F2762)*N(G2762))</f>
        <v/>
      </c>
      <c r="I2762" s="7" t="n"/>
      <c r="J2762" s="9">
        <f>IF(I2762="","",IFERROR(INDEX('Ordres de travail'!$D$5:$D$3004,MATCH(I2762,'Ordres de travail'!$A$5:$A$3004,0)),""))</f>
        <v/>
      </c>
      <c r="K2762" s="9">
        <f>IF(D2762="","",IFERROR(INDEX('Stock pièces'!$D$5:$D$404,MATCH(D2762,'Stock pièces'!$A$5:$A$404,0)),""))</f>
        <v/>
      </c>
      <c r="L2762" s="7" t="n"/>
      <c r="M2762" s="7" t="n"/>
    </row>
    <row r="2763">
      <c r="A2763" s="7" t="n"/>
      <c r="B2763" s="75" t="n"/>
      <c r="C2763" s="7" t="n"/>
      <c r="D2763" s="7" t="n"/>
      <c r="E2763" s="9">
        <f>IF(D2763="","",IFERROR(INDEX('Stock pièces'!$B$5:$B$404,MATCH(D2763,'Stock pièces'!$A$5:$A$404,0)),"Réf. inconnue"))</f>
        <v/>
      </c>
      <c r="F2763" s="67" t="n"/>
      <c r="G2763" s="81">
        <f>IF(D2763="","",IFERROR(INDEX('Stock pièces'!$I$5:$I$404,MATCH(D2763,'Stock pièces'!$A$5:$A$404,0)),0))</f>
        <v/>
      </c>
      <c r="H2763" s="81">
        <f>IF(D2763="","",N(F2763)*N(G2763))</f>
        <v/>
      </c>
      <c r="I2763" s="7" t="n"/>
      <c r="J2763" s="9">
        <f>IF(I2763="","",IFERROR(INDEX('Ordres de travail'!$D$5:$D$3004,MATCH(I2763,'Ordres de travail'!$A$5:$A$3004,0)),""))</f>
        <v/>
      </c>
      <c r="K2763" s="9">
        <f>IF(D2763="","",IFERROR(INDEX('Stock pièces'!$D$5:$D$404,MATCH(D2763,'Stock pièces'!$A$5:$A$404,0)),""))</f>
        <v/>
      </c>
      <c r="L2763" s="7" t="n"/>
      <c r="M2763" s="7" t="n"/>
    </row>
    <row r="2764">
      <c r="A2764" s="7" t="n"/>
      <c r="B2764" s="75" t="n"/>
      <c r="C2764" s="7" t="n"/>
      <c r="D2764" s="7" t="n"/>
      <c r="E2764" s="9">
        <f>IF(D2764="","",IFERROR(INDEX('Stock pièces'!$B$5:$B$404,MATCH(D2764,'Stock pièces'!$A$5:$A$404,0)),"Réf. inconnue"))</f>
        <v/>
      </c>
      <c r="F2764" s="67" t="n"/>
      <c r="G2764" s="81">
        <f>IF(D2764="","",IFERROR(INDEX('Stock pièces'!$I$5:$I$404,MATCH(D2764,'Stock pièces'!$A$5:$A$404,0)),0))</f>
        <v/>
      </c>
      <c r="H2764" s="81">
        <f>IF(D2764="","",N(F2764)*N(G2764))</f>
        <v/>
      </c>
      <c r="I2764" s="7" t="n"/>
      <c r="J2764" s="9">
        <f>IF(I2764="","",IFERROR(INDEX('Ordres de travail'!$D$5:$D$3004,MATCH(I2764,'Ordres de travail'!$A$5:$A$3004,0)),""))</f>
        <v/>
      </c>
      <c r="K2764" s="9">
        <f>IF(D2764="","",IFERROR(INDEX('Stock pièces'!$D$5:$D$404,MATCH(D2764,'Stock pièces'!$A$5:$A$404,0)),""))</f>
        <v/>
      </c>
      <c r="L2764" s="7" t="n"/>
      <c r="M2764" s="7" t="n"/>
    </row>
    <row r="2765">
      <c r="A2765" s="7" t="n"/>
      <c r="B2765" s="75" t="n"/>
      <c r="C2765" s="7" t="n"/>
      <c r="D2765" s="7" t="n"/>
      <c r="E2765" s="9">
        <f>IF(D2765="","",IFERROR(INDEX('Stock pièces'!$B$5:$B$404,MATCH(D2765,'Stock pièces'!$A$5:$A$404,0)),"Réf. inconnue"))</f>
        <v/>
      </c>
      <c r="F2765" s="67" t="n"/>
      <c r="G2765" s="81">
        <f>IF(D2765="","",IFERROR(INDEX('Stock pièces'!$I$5:$I$404,MATCH(D2765,'Stock pièces'!$A$5:$A$404,0)),0))</f>
        <v/>
      </c>
      <c r="H2765" s="81">
        <f>IF(D2765="","",N(F2765)*N(G2765))</f>
        <v/>
      </c>
      <c r="I2765" s="7" t="n"/>
      <c r="J2765" s="9">
        <f>IF(I2765="","",IFERROR(INDEX('Ordres de travail'!$D$5:$D$3004,MATCH(I2765,'Ordres de travail'!$A$5:$A$3004,0)),""))</f>
        <v/>
      </c>
      <c r="K2765" s="9">
        <f>IF(D2765="","",IFERROR(INDEX('Stock pièces'!$D$5:$D$404,MATCH(D2765,'Stock pièces'!$A$5:$A$404,0)),""))</f>
        <v/>
      </c>
      <c r="L2765" s="7" t="n"/>
      <c r="M2765" s="7" t="n"/>
    </row>
    <row r="2766">
      <c r="A2766" s="7" t="n"/>
      <c r="B2766" s="75" t="n"/>
      <c r="C2766" s="7" t="n"/>
      <c r="D2766" s="7" t="n"/>
      <c r="E2766" s="9">
        <f>IF(D2766="","",IFERROR(INDEX('Stock pièces'!$B$5:$B$404,MATCH(D2766,'Stock pièces'!$A$5:$A$404,0)),"Réf. inconnue"))</f>
        <v/>
      </c>
      <c r="F2766" s="67" t="n"/>
      <c r="G2766" s="81">
        <f>IF(D2766="","",IFERROR(INDEX('Stock pièces'!$I$5:$I$404,MATCH(D2766,'Stock pièces'!$A$5:$A$404,0)),0))</f>
        <v/>
      </c>
      <c r="H2766" s="81">
        <f>IF(D2766="","",N(F2766)*N(G2766))</f>
        <v/>
      </c>
      <c r="I2766" s="7" t="n"/>
      <c r="J2766" s="9">
        <f>IF(I2766="","",IFERROR(INDEX('Ordres de travail'!$D$5:$D$3004,MATCH(I2766,'Ordres de travail'!$A$5:$A$3004,0)),""))</f>
        <v/>
      </c>
      <c r="K2766" s="9">
        <f>IF(D2766="","",IFERROR(INDEX('Stock pièces'!$D$5:$D$404,MATCH(D2766,'Stock pièces'!$A$5:$A$404,0)),""))</f>
        <v/>
      </c>
      <c r="L2766" s="7" t="n"/>
      <c r="M2766" s="7" t="n"/>
    </row>
    <row r="2767">
      <c r="A2767" s="7" t="n"/>
      <c r="B2767" s="75" t="n"/>
      <c r="C2767" s="7" t="n"/>
      <c r="D2767" s="7" t="n"/>
      <c r="E2767" s="9">
        <f>IF(D2767="","",IFERROR(INDEX('Stock pièces'!$B$5:$B$404,MATCH(D2767,'Stock pièces'!$A$5:$A$404,0)),"Réf. inconnue"))</f>
        <v/>
      </c>
      <c r="F2767" s="67" t="n"/>
      <c r="G2767" s="81">
        <f>IF(D2767="","",IFERROR(INDEX('Stock pièces'!$I$5:$I$404,MATCH(D2767,'Stock pièces'!$A$5:$A$404,0)),0))</f>
        <v/>
      </c>
      <c r="H2767" s="81">
        <f>IF(D2767="","",N(F2767)*N(G2767))</f>
        <v/>
      </c>
      <c r="I2767" s="7" t="n"/>
      <c r="J2767" s="9">
        <f>IF(I2767="","",IFERROR(INDEX('Ordres de travail'!$D$5:$D$3004,MATCH(I2767,'Ordres de travail'!$A$5:$A$3004,0)),""))</f>
        <v/>
      </c>
      <c r="K2767" s="9">
        <f>IF(D2767="","",IFERROR(INDEX('Stock pièces'!$D$5:$D$404,MATCH(D2767,'Stock pièces'!$A$5:$A$404,0)),""))</f>
        <v/>
      </c>
      <c r="L2767" s="7" t="n"/>
      <c r="M2767" s="7" t="n"/>
    </row>
    <row r="2768">
      <c r="A2768" s="7" t="n"/>
      <c r="B2768" s="75" t="n"/>
      <c r="C2768" s="7" t="n"/>
      <c r="D2768" s="7" t="n"/>
      <c r="E2768" s="9">
        <f>IF(D2768="","",IFERROR(INDEX('Stock pièces'!$B$5:$B$404,MATCH(D2768,'Stock pièces'!$A$5:$A$404,0)),"Réf. inconnue"))</f>
        <v/>
      </c>
      <c r="F2768" s="67" t="n"/>
      <c r="G2768" s="81">
        <f>IF(D2768="","",IFERROR(INDEX('Stock pièces'!$I$5:$I$404,MATCH(D2768,'Stock pièces'!$A$5:$A$404,0)),0))</f>
        <v/>
      </c>
      <c r="H2768" s="81">
        <f>IF(D2768="","",N(F2768)*N(G2768))</f>
        <v/>
      </c>
      <c r="I2768" s="7" t="n"/>
      <c r="J2768" s="9">
        <f>IF(I2768="","",IFERROR(INDEX('Ordres de travail'!$D$5:$D$3004,MATCH(I2768,'Ordres de travail'!$A$5:$A$3004,0)),""))</f>
        <v/>
      </c>
      <c r="K2768" s="9">
        <f>IF(D2768="","",IFERROR(INDEX('Stock pièces'!$D$5:$D$404,MATCH(D2768,'Stock pièces'!$A$5:$A$404,0)),""))</f>
        <v/>
      </c>
      <c r="L2768" s="7" t="n"/>
      <c r="M2768" s="7" t="n"/>
    </row>
    <row r="2769">
      <c r="A2769" s="7" t="n"/>
      <c r="B2769" s="75" t="n"/>
      <c r="C2769" s="7" t="n"/>
      <c r="D2769" s="7" t="n"/>
      <c r="E2769" s="9">
        <f>IF(D2769="","",IFERROR(INDEX('Stock pièces'!$B$5:$B$404,MATCH(D2769,'Stock pièces'!$A$5:$A$404,0)),"Réf. inconnue"))</f>
        <v/>
      </c>
      <c r="F2769" s="67" t="n"/>
      <c r="G2769" s="81">
        <f>IF(D2769="","",IFERROR(INDEX('Stock pièces'!$I$5:$I$404,MATCH(D2769,'Stock pièces'!$A$5:$A$404,0)),0))</f>
        <v/>
      </c>
      <c r="H2769" s="81">
        <f>IF(D2769="","",N(F2769)*N(G2769))</f>
        <v/>
      </c>
      <c r="I2769" s="7" t="n"/>
      <c r="J2769" s="9">
        <f>IF(I2769="","",IFERROR(INDEX('Ordres de travail'!$D$5:$D$3004,MATCH(I2769,'Ordres de travail'!$A$5:$A$3004,0)),""))</f>
        <v/>
      </c>
      <c r="K2769" s="9">
        <f>IF(D2769="","",IFERROR(INDEX('Stock pièces'!$D$5:$D$404,MATCH(D2769,'Stock pièces'!$A$5:$A$404,0)),""))</f>
        <v/>
      </c>
      <c r="L2769" s="7" t="n"/>
      <c r="M2769" s="7" t="n"/>
    </row>
    <row r="2770">
      <c r="A2770" s="7" t="n"/>
      <c r="B2770" s="75" t="n"/>
      <c r="C2770" s="7" t="n"/>
      <c r="D2770" s="7" t="n"/>
      <c r="E2770" s="9">
        <f>IF(D2770="","",IFERROR(INDEX('Stock pièces'!$B$5:$B$404,MATCH(D2770,'Stock pièces'!$A$5:$A$404,0)),"Réf. inconnue"))</f>
        <v/>
      </c>
      <c r="F2770" s="67" t="n"/>
      <c r="G2770" s="81">
        <f>IF(D2770="","",IFERROR(INDEX('Stock pièces'!$I$5:$I$404,MATCH(D2770,'Stock pièces'!$A$5:$A$404,0)),0))</f>
        <v/>
      </c>
      <c r="H2770" s="81">
        <f>IF(D2770="","",N(F2770)*N(G2770))</f>
        <v/>
      </c>
      <c r="I2770" s="7" t="n"/>
      <c r="J2770" s="9">
        <f>IF(I2770="","",IFERROR(INDEX('Ordres de travail'!$D$5:$D$3004,MATCH(I2770,'Ordres de travail'!$A$5:$A$3004,0)),""))</f>
        <v/>
      </c>
      <c r="K2770" s="9">
        <f>IF(D2770="","",IFERROR(INDEX('Stock pièces'!$D$5:$D$404,MATCH(D2770,'Stock pièces'!$A$5:$A$404,0)),""))</f>
        <v/>
      </c>
      <c r="L2770" s="7" t="n"/>
      <c r="M2770" s="7" t="n"/>
    </row>
    <row r="2771">
      <c r="A2771" s="7" t="n"/>
      <c r="B2771" s="75" t="n"/>
      <c r="C2771" s="7" t="n"/>
      <c r="D2771" s="7" t="n"/>
      <c r="E2771" s="9">
        <f>IF(D2771="","",IFERROR(INDEX('Stock pièces'!$B$5:$B$404,MATCH(D2771,'Stock pièces'!$A$5:$A$404,0)),"Réf. inconnue"))</f>
        <v/>
      </c>
      <c r="F2771" s="67" t="n"/>
      <c r="G2771" s="81">
        <f>IF(D2771="","",IFERROR(INDEX('Stock pièces'!$I$5:$I$404,MATCH(D2771,'Stock pièces'!$A$5:$A$404,0)),0))</f>
        <v/>
      </c>
      <c r="H2771" s="81">
        <f>IF(D2771="","",N(F2771)*N(G2771))</f>
        <v/>
      </c>
      <c r="I2771" s="7" t="n"/>
      <c r="J2771" s="9">
        <f>IF(I2771="","",IFERROR(INDEX('Ordres de travail'!$D$5:$D$3004,MATCH(I2771,'Ordres de travail'!$A$5:$A$3004,0)),""))</f>
        <v/>
      </c>
      <c r="K2771" s="9">
        <f>IF(D2771="","",IFERROR(INDEX('Stock pièces'!$D$5:$D$404,MATCH(D2771,'Stock pièces'!$A$5:$A$404,0)),""))</f>
        <v/>
      </c>
      <c r="L2771" s="7" t="n"/>
      <c r="M2771" s="7" t="n"/>
    </row>
    <row r="2772">
      <c r="A2772" s="7" t="n"/>
      <c r="B2772" s="75" t="n"/>
      <c r="C2772" s="7" t="n"/>
      <c r="D2772" s="7" t="n"/>
      <c r="E2772" s="9">
        <f>IF(D2772="","",IFERROR(INDEX('Stock pièces'!$B$5:$B$404,MATCH(D2772,'Stock pièces'!$A$5:$A$404,0)),"Réf. inconnue"))</f>
        <v/>
      </c>
      <c r="F2772" s="67" t="n"/>
      <c r="G2772" s="81">
        <f>IF(D2772="","",IFERROR(INDEX('Stock pièces'!$I$5:$I$404,MATCH(D2772,'Stock pièces'!$A$5:$A$404,0)),0))</f>
        <v/>
      </c>
      <c r="H2772" s="81">
        <f>IF(D2772="","",N(F2772)*N(G2772))</f>
        <v/>
      </c>
      <c r="I2772" s="7" t="n"/>
      <c r="J2772" s="9">
        <f>IF(I2772="","",IFERROR(INDEX('Ordres de travail'!$D$5:$D$3004,MATCH(I2772,'Ordres de travail'!$A$5:$A$3004,0)),""))</f>
        <v/>
      </c>
      <c r="K2772" s="9">
        <f>IF(D2772="","",IFERROR(INDEX('Stock pièces'!$D$5:$D$404,MATCH(D2772,'Stock pièces'!$A$5:$A$404,0)),""))</f>
        <v/>
      </c>
      <c r="L2772" s="7" t="n"/>
      <c r="M2772" s="7" t="n"/>
    </row>
    <row r="2773">
      <c r="A2773" s="7" t="n"/>
      <c r="B2773" s="75" t="n"/>
      <c r="C2773" s="7" t="n"/>
      <c r="D2773" s="7" t="n"/>
      <c r="E2773" s="9">
        <f>IF(D2773="","",IFERROR(INDEX('Stock pièces'!$B$5:$B$404,MATCH(D2773,'Stock pièces'!$A$5:$A$404,0)),"Réf. inconnue"))</f>
        <v/>
      </c>
      <c r="F2773" s="67" t="n"/>
      <c r="G2773" s="81">
        <f>IF(D2773="","",IFERROR(INDEX('Stock pièces'!$I$5:$I$404,MATCH(D2773,'Stock pièces'!$A$5:$A$404,0)),0))</f>
        <v/>
      </c>
      <c r="H2773" s="81">
        <f>IF(D2773="","",N(F2773)*N(G2773))</f>
        <v/>
      </c>
      <c r="I2773" s="7" t="n"/>
      <c r="J2773" s="9">
        <f>IF(I2773="","",IFERROR(INDEX('Ordres de travail'!$D$5:$D$3004,MATCH(I2773,'Ordres de travail'!$A$5:$A$3004,0)),""))</f>
        <v/>
      </c>
      <c r="K2773" s="9">
        <f>IF(D2773="","",IFERROR(INDEX('Stock pièces'!$D$5:$D$404,MATCH(D2773,'Stock pièces'!$A$5:$A$404,0)),""))</f>
        <v/>
      </c>
      <c r="L2773" s="7" t="n"/>
      <c r="M2773" s="7" t="n"/>
    </row>
    <row r="2774">
      <c r="A2774" s="7" t="n"/>
      <c r="B2774" s="75" t="n"/>
      <c r="C2774" s="7" t="n"/>
      <c r="D2774" s="7" t="n"/>
      <c r="E2774" s="9">
        <f>IF(D2774="","",IFERROR(INDEX('Stock pièces'!$B$5:$B$404,MATCH(D2774,'Stock pièces'!$A$5:$A$404,0)),"Réf. inconnue"))</f>
        <v/>
      </c>
      <c r="F2774" s="67" t="n"/>
      <c r="G2774" s="81">
        <f>IF(D2774="","",IFERROR(INDEX('Stock pièces'!$I$5:$I$404,MATCH(D2774,'Stock pièces'!$A$5:$A$404,0)),0))</f>
        <v/>
      </c>
      <c r="H2774" s="81">
        <f>IF(D2774="","",N(F2774)*N(G2774))</f>
        <v/>
      </c>
      <c r="I2774" s="7" t="n"/>
      <c r="J2774" s="9">
        <f>IF(I2774="","",IFERROR(INDEX('Ordres de travail'!$D$5:$D$3004,MATCH(I2774,'Ordres de travail'!$A$5:$A$3004,0)),""))</f>
        <v/>
      </c>
      <c r="K2774" s="9">
        <f>IF(D2774="","",IFERROR(INDEX('Stock pièces'!$D$5:$D$404,MATCH(D2774,'Stock pièces'!$A$5:$A$404,0)),""))</f>
        <v/>
      </c>
      <c r="L2774" s="7" t="n"/>
      <c r="M2774" s="7" t="n"/>
    </row>
    <row r="2775">
      <c r="A2775" s="7" t="n"/>
      <c r="B2775" s="75" t="n"/>
      <c r="C2775" s="7" t="n"/>
      <c r="D2775" s="7" t="n"/>
      <c r="E2775" s="9">
        <f>IF(D2775="","",IFERROR(INDEX('Stock pièces'!$B$5:$B$404,MATCH(D2775,'Stock pièces'!$A$5:$A$404,0)),"Réf. inconnue"))</f>
        <v/>
      </c>
      <c r="F2775" s="67" t="n"/>
      <c r="G2775" s="81">
        <f>IF(D2775="","",IFERROR(INDEX('Stock pièces'!$I$5:$I$404,MATCH(D2775,'Stock pièces'!$A$5:$A$404,0)),0))</f>
        <v/>
      </c>
      <c r="H2775" s="81">
        <f>IF(D2775="","",N(F2775)*N(G2775))</f>
        <v/>
      </c>
      <c r="I2775" s="7" t="n"/>
      <c r="J2775" s="9">
        <f>IF(I2775="","",IFERROR(INDEX('Ordres de travail'!$D$5:$D$3004,MATCH(I2775,'Ordres de travail'!$A$5:$A$3004,0)),""))</f>
        <v/>
      </c>
      <c r="K2775" s="9">
        <f>IF(D2775="","",IFERROR(INDEX('Stock pièces'!$D$5:$D$404,MATCH(D2775,'Stock pièces'!$A$5:$A$404,0)),""))</f>
        <v/>
      </c>
      <c r="L2775" s="7" t="n"/>
      <c r="M2775" s="7" t="n"/>
    </row>
    <row r="2776">
      <c r="A2776" s="7" t="n"/>
      <c r="B2776" s="75" t="n"/>
      <c r="C2776" s="7" t="n"/>
      <c r="D2776" s="7" t="n"/>
      <c r="E2776" s="9">
        <f>IF(D2776="","",IFERROR(INDEX('Stock pièces'!$B$5:$B$404,MATCH(D2776,'Stock pièces'!$A$5:$A$404,0)),"Réf. inconnue"))</f>
        <v/>
      </c>
      <c r="F2776" s="67" t="n"/>
      <c r="G2776" s="81">
        <f>IF(D2776="","",IFERROR(INDEX('Stock pièces'!$I$5:$I$404,MATCH(D2776,'Stock pièces'!$A$5:$A$404,0)),0))</f>
        <v/>
      </c>
      <c r="H2776" s="81">
        <f>IF(D2776="","",N(F2776)*N(G2776))</f>
        <v/>
      </c>
      <c r="I2776" s="7" t="n"/>
      <c r="J2776" s="9">
        <f>IF(I2776="","",IFERROR(INDEX('Ordres de travail'!$D$5:$D$3004,MATCH(I2776,'Ordres de travail'!$A$5:$A$3004,0)),""))</f>
        <v/>
      </c>
      <c r="K2776" s="9">
        <f>IF(D2776="","",IFERROR(INDEX('Stock pièces'!$D$5:$D$404,MATCH(D2776,'Stock pièces'!$A$5:$A$404,0)),""))</f>
        <v/>
      </c>
      <c r="L2776" s="7" t="n"/>
      <c r="M2776" s="7" t="n"/>
    </row>
    <row r="2777">
      <c r="A2777" s="7" t="n"/>
      <c r="B2777" s="75" t="n"/>
      <c r="C2777" s="7" t="n"/>
      <c r="D2777" s="7" t="n"/>
      <c r="E2777" s="9">
        <f>IF(D2777="","",IFERROR(INDEX('Stock pièces'!$B$5:$B$404,MATCH(D2777,'Stock pièces'!$A$5:$A$404,0)),"Réf. inconnue"))</f>
        <v/>
      </c>
      <c r="F2777" s="67" t="n"/>
      <c r="G2777" s="81">
        <f>IF(D2777="","",IFERROR(INDEX('Stock pièces'!$I$5:$I$404,MATCH(D2777,'Stock pièces'!$A$5:$A$404,0)),0))</f>
        <v/>
      </c>
      <c r="H2777" s="81">
        <f>IF(D2777="","",N(F2777)*N(G2777))</f>
        <v/>
      </c>
      <c r="I2777" s="7" t="n"/>
      <c r="J2777" s="9">
        <f>IF(I2777="","",IFERROR(INDEX('Ordres de travail'!$D$5:$D$3004,MATCH(I2777,'Ordres de travail'!$A$5:$A$3004,0)),""))</f>
        <v/>
      </c>
      <c r="K2777" s="9">
        <f>IF(D2777="","",IFERROR(INDEX('Stock pièces'!$D$5:$D$404,MATCH(D2777,'Stock pièces'!$A$5:$A$404,0)),""))</f>
        <v/>
      </c>
      <c r="L2777" s="7" t="n"/>
      <c r="M2777" s="7" t="n"/>
    </row>
    <row r="2778">
      <c r="A2778" s="7" t="n"/>
      <c r="B2778" s="75" t="n"/>
      <c r="C2778" s="7" t="n"/>
      <c r="D2778" s="7" t="n"/>
      <c r="E2778" s="9">
        <f>IF(D2778="","",IFERROR(INDEX('Stock pièces'!$B$5:$B$404,MATCH(D2778,'Stock pièces'!$A$5:$A$404,0)),"Réf. inconnue"))</f>
        <v/>
      </c>
      <c r="F2778" s="67" t="n"/>
      <c r="G2778" s="81">
        <f>IF(D2778="","",IFERROR(INDEX('Stock pièces'!$I$5:$I$404,MATCH(D2778,'Stock pièces'!$A$5:$A$404,0)),0))</f>
        <v/>
      </c>
      <c r="H2778" s="81">
        <f>IF(D2778="","",N(F2778)*N(G2778))</f>
        <v/>
      </c>
      <c r="I2778" s="7" t="n"/>
      <c r="J2778" s="9">
        <f>IF(I2778="","",IFERROR(INDEX('Ordres de travail'!$D$5:$D$3004,MATCH(I2778,'Ordres de travail'!$A$5:$A$3004,0)),""))</f>
        <v/>
      </c>
      <c r="K2778" s="9">
        <f>IF(D2778="","",IFERROR(INDEX('Stock pièces'!$D$5:$D$404,MATCH(D2778,'Stock pièces'!$A$5:$A$404,0)),""))</f>
        <v/>
      </c>
      <c r="L2778" s="7" t="n"/>
      <c r="M2778" s="7" t="n"/>
    </row>
    <row r="2779">
      <c r="A2779" s="7" t="n"/>
      <c r="B2779" s="75" t="n"/>
      <c r="C2779" s="7" t="n"/>
      <c r="D2779" s="7" t="n"/>
      <c r="E2779" s="9">
        <f>IF(D2779="","",IFERROR(INDEX('Stock pièces'!$B$5:$B$404,MATCH(D2779,'Stock pièces'!$A$5:$A$404,0)),"Réf. inconnue"))</f>
        <v/>
      </c>
      <c r="F2779" s="67" t="n"/>
      <c r="G2779" s="81">
        <f>IF(D2779="","",IFERROR(INDEX('Stock pièces'!$I$5:$I$404,MATCH(D2779,'Stock pièces'!$A$5:$A$404,0)),0))</f>
        <v/>
      </c>
      <c r="H2779" s="81">
        <f>IF(D2779="","",N(F2779)*N(G2779))</f>
        <v/>
      </c>
      <c r="I2779" s="7" t="n"/>
      <c r="J2779" s="9">
        <f>IF(I2779="","",IFERROR(INDEX('Ordres de travail'!$D$5:$D$3004,MATCH(I2779,'Ordres de travail'!$A$5:$A$3004,0)),""))</f>
        <v/>
      </c>
      <c r="K2779" s="9">
        <f>IF(D2779="","",IFERROR(INDEX('Stock pièces'!$D$5:$D$404,MATCH(D2779,'Stock pièces'!$A$5:$A$404,0)),""))</f>
        <v/>
      </c>
      <c r="L2779" s="7" t="n"/>
      <c r="M2779" s="7" t="n"/>
    </row>
    <row r="2780">
      <c r="A2780" s="7" t="n"/>
      <c r="B2780" s="75" t="n"/>
      <c r="C2780" s="7" t="n"/>
      <c r="D2780" s="7" t="n"/>
      <c r="E2780" s="9">
        <f>IF(D2780="","",IFERROR(INDEX('Stock pièces'!$B$5:$B$404,MATCH(D2780,'Stock pièces'!$A$5:$A$404,0)),"Réf. inconnue"))</f>
        <v/>
      </c>
      <c r="F2780" s="67" t="n"/>
      <c r="G2780" s="81">
        <f>IF(D2780="","",IFERROR(INDEX('Stock pièces'!$I$5:$I$404,MATCH(D2780,'Stock pièces'!$A$5:$A$404,0)),0))</f>
        <v/>
      </c>
      <c r="H2780" s="81">
        <f>IF(D2780="","",N(F2780)*N(G2780))</f>
        <v/>
      </c>
      <c r="I2780" s="7" t="n"/>
      <c r="J2780" s="9">
        <f>IF(I2780="","",IFERROR(INDEX('Ordres de travail'!$D$5:$D$3004,MATCH(I2780,'Ordres de travail'!$A$5:$A$3004,0)),""))</f>
        <v/>
      </c>
      <c r="K2780" s="9">
        <f>IF(D2780="","",IFERROR(INDEX('Stock pièces'!$D$5:$D$404,MATCH(D2780,'Stock pièces'!$A$5:$A$404,0)),""))</f>
        <v/>
      </c>
      <c r="L2780" s="7" t="n"/>
      <c r="M2780" s="7" t="n"/>
    </row>
    <row r="2781">
      <c r="A2781" s="7" t="n"/>
      <c r="B2781" s="75" t="n"/>
      <c r="C2781" s="7" t="n"/>
      <c r="D2781" s="7" t="n"/>
      <c r="E2781" s="9">
        <f>IF(D2781="","",IFERROR(INDEX('Stock pièces'!$B$5:$B$404,MATCH(D2781,'Stock pièces'!$A$5:$A$404,0)),"Réf. inconnue"))</f>
        <v/>
      </c>
      <c r="F2781" s="67" t="n"/>
      <c r="G2781" s="81">
        <f>IF(D2781="","",IFERROR(INDEX('Stock pièces'!$I$5:$I$404,MATCH(D2781,'Stock pièces'!$A$5:$A$404,0)),0))</f>
        <v/>
      </c>
      <c r="H2781" s="81">
        <f>IF(D2781="","",N(F2781)*N(G2781))</f>
        <v/>
      </c>
      <c r="I2781" s="7" t="n"/>
      <c r="J2781" s="9">
        <f>IF(I2781="","",IFERROR(INDEX('Ordres de travail'!$D$5:$D$3004,MATCH(I2781,'Ordres de travail'!$A$5:$A$3004,0)),""))</f>
        <v/>
      </c>
      <c r="K2781" s="9">
        <f>IF(D2781="","",IFERROR(INDEX('Stock pièces'!$D$5:$D$404,MATCH(D2781,'Stock pièces'!$A$5:$A$404,0)),""))</f>
        <v/>
      </c>
      <c r="L2781" s="7" t="n"/>
      <c r="M2781" s="7" t="n"/>
    </row>
    <row r="2782">
      <c r="A2782" s="7" t="n"/>
      <c r="B2782" s="75" t="n"/>
      <c r="C2782" s="7" t="n"/>
      <c r="D2782" s="7" t="n"/>
      <c r="E2782" s="9">
        <f>IF(D2782="","",IFERROR(INDEX('Stock pièces'!$B$5:$B$404,MATCH(D2782,'Stock pièces'!$A$5:$A$404,0)),"Réf. inconnue"))</f>
        <v/>
      </c>
      <c r="F2782" s="67" t="n"/>
      <c r="G2782" s="81">
        <f>IF(D2782="","",IFERROR(INDEX('Stock pièces'!$I$5:$I$404,MATCH(D2782,'Stock pièces'!$A$5:$A$404,0)),0))</f>
        <v/>
      </c>
      <c r="H2782" s="81">
        <f>IF(D2782="","",N(F2782)*N(G2782))</f>
        <v/>
      </c>
      <c r="I2782" s="7" t="n"/>
      <c r="J2782" s="9">
        <f>IF(I2782="","",IFERROR(INDEX('Ordres de travail'!$D$5:$D$3004,MATCH(I2782,'Ordres de travail'!$A$5:$A$3004,0)),""))</f>
        <v/>
      </c>
      <c r="K2782" s="9">
        <f>IF(D2782="","",IFERROR(INDEX('Stock pièces'!$D$5:$D$404,MATCH(D2782,'Stock pièces'!$A$5:$A$404,0)),""))</f>
        <v/>
      </c>
      <c r="L2782" s="7" t="n"/>
      <c r="M2782" s="7" t="n"/>
    </row>
    <row r="2783">
      <c r="A2783" s="7" t="n"/>
      <c r="B2783" s="75" t="n"/>
      <c r="C2783" s="7" t="n"/>
      <c r="D2783" s="7" t="n"/>
      <c r="E2783" s="9">
        <f>IF(D2783="","",IFERROR(INDEX('Stock pièces'!$B$5:$B$404,MATCH(D2783,'Stock pièces'!$A$5:$A$404,0)),"Réf. inconnue"))</f>
        <v/>
      </c>
      <c r="F2783" s="67" t="n"/>
      <c r="G2783" s="81">
        <f>IF(D2783="","",IFERROR(INDEX('Stock pièces'!$I$5:$I$404,MATCH(D2783,'Stock pièces'!$A$5:$A$404,0)),0))</f>
        <v/>
      </c>
      <c r="H2783" s="81">
        <f>IF(D2783="","",N(F2783)*N(G2783))</f>
        <v/>
      </c>
      <c r="I2783" s="7" t="n"/>
      <c r="J2783" s="9">
        <f>IF(I2783="","",IFERROR(INDEX('Ordres de travail'!$D$5:$D$3004,MATCH(I2783,'Ordres de travail'!$A$5:$A$3004,0)),""))</f>
        <v/>
      </c>
      <c r="K2783" s="9">
        <f>IF(D2783="","",IFERROR(INDEX('Stock pièces'!$D$5:$D$404,MATCH(D2783,'Stock pièces'!$A$5:$A$404,0)),""))</f>
        <v/>
      </c>
      <c r="L2783" s="7" t="n"/>
      <c r="M2783" s="7" t="n"/>
    </row>
    <row r="2784">
      <c r="A2784" s="7" t="n"/>
      <c r="B2784" s="75" t="n"/>
      <c r="C2784" s="7" t="n"/>
      <c r="D2784" s="7" t="n"/>
      <c r="E2784" s="9">
        <f>IF(D2784="","",IFERROR(INDEX('Stock pièces'!$B$5:$B$404,MATCH(D2784,'Stock pièces'!$A$5:$A$404,0)),"Réf. inconnue"))</f>
        <v/>
      </c>
      <c r="F2784" s="67" t="n"/>
      <c r="G2784" s="81">
        <f>IF(D2784="","",IFERROR(INDEX('Stock pièces'!$I$5:$I$404,MATCH(D2784,'Stock pièces'!$A$5:$A$404,0)),0))</f>
        <v/>
      </c>
      <c r="H2784" s="81">
        <f>IF(D2784="","",N(F2784)*N(G2784))</f>
        <v/>
      </c>
      <c r="I2784" s="7" t="n"/>
      <c r="J2784" s="9">
        <f>IF(I2784="","",IFERROR(INDEX('Ordres de travail'!$D$5:$D$3004,MATCH(I2784,'Ordres de travail'!$A$5:$A$3004,0)),""))</f>
        <v/>
      </c>
      <c r="K2784" s="9">
        <f>IF(D2784="","",IFERROR(INDEX('Stock pièces'!$D$5:$D$404,MATCH(D2784,'Stock pièces'!$A$5:$A$404,0)),""))</f>
        <v/>
      </c>
      <c r="L2784" s="7" t="n"/>
      <c r="M2784" s="7" t="n"/>
    </row>
    <row r="2785">
      <c r="A2785" s="7" t="n"/>
      <c r="B2785" s="75" t="n"/>
      <c r="C2785" s="7" t="n"/>
      <c r="D2785" s="7" t="n"/>
      <c r="E2785" s="9">
        <f>IF(D2785="","",IFERROR(INDEX('Stock pièces'!$B$5:$B$404,MATCH(D2785,'Stock pièces'!$A$5:$A$404,0)),"Réf. inconnue"))</f>
        <v/>
      </c>
      <c r="F2785" s="67" t="n"/>
      <c r="G2785" s="81">
        <f>IF(D2785="","",IFERROR(INDEX('Stock pièces'!$I$5:$I$404,MATCH(D2785,'Stock pièces'!$A$5:$A$404,0)),0))</f>
        <v/>
      </c>
      <c r="H2785" s="81">
        <f>IF(D2785="","",N(F2785)*N(G2785))</f>
        <v/>
      </c>
      <c r="I2785" s="7" t="n"/>
      <c r="J2785" s="9">
        <f>IF(I2785="","",IFERROR(INDEX('Ordres de travail'!$D$5:$D$3004,MATCH(I2785,'Ordres de travail'!$A$5:$A$3004,0)),""))</f>
        <v/>
      </c>
      <c r="K2785" s="9">
        <f>IF(D2785="","",IFERROR(INDEX('Stock pièces'!$D$5:$D$404,MATCH(D2785,'Stock pièces'!$A$5:$A$404,0)),""))</f>
        <v/>
      </c>
      <c r="L2785" s="7" t="n"/>
      <c r="M2785" s="7" t="n"/>
    </row>
    <row r="2786">
      <c r="A2786" s="7" t="n"/>
      <c r="B2786" s="75" t="n"/>
      <c r="C2786" s="7" t="n"/>
      <c r="D2786" s="7" t="n"/>
      <c r="E2786" s="9">
        <f>IF(D2786="","",IFERROR(INDEX('Stock pièces'!$B$5:$B$404,MATCH(D2786,'Stock pièces'!$A$5:$A$404,0)),"Réf. inconnue"))</f>
        <v/>
      </c>
      <c r="F2786" s="67" t="n"/>
      <c r="G2786" s="81">
        <f>IF(D2786="","",IFERROR(INDEX('Stock pièces'!$I$5:$I$404,MATCH(D2786,'Stock pièces'!$A$5:$A$404,0)),0))</f>
        <v/>
      </c>
      <c r="H2786" s="81">
        <f>IF(D2786="","",N(F2786)*N(G2786))</f>
        <v/>
      </c>
      <c r="I2786" s="7" t="n"/>
      <c r="J2786" s="9">
        <f>IF(I2786="","",IFERROR(INDEX('Ordres de travail'!$D$5:$D$3004,MATCH(I2786,'Ordres de travail'!$A$5:$A$3004,0)),""))</f>
        <v/>
      </c>
      <c r="K2786" s="9">
        <f>IF(D2786="","",IFERROR(INDEX('Stock pièces'!$D$5:$D$404,MATCH(D2786,'Stock pièces'!$A$5:$A$404,0)),""))</f>
        <v/>
      </c>
      <c r="L2786" s="7" t="n"/>
      <c r="M2786" s="7" t="n"/>
    </row>
    <row r="2787">
      <c r="A2787" s="7" t="n"/>
      <c r="B2787" s="75" t="n"/>
      <c r="C2787" s="7" t="n"/>
      <c r="D2787" s="7" t="n"/>
      <c r="E2787" s="9">
        <f>IF(D2787="","",IFERROR(INDEX('Stock pièces'!$B$5:$B$404,MATCH(D2787,'Stock pièces'!$A$5:$A$404,0)),"Réf. inconnue"))</f>
        <v/>
      </c>
      <c r="F2787" s="67" t="n"/>
      <c r="G2787" s="81">
        <f>IF(D2787="","",IFERROR(INDEX('Stock pièces'!$I$5:$I$404,MATCH(D2787,'Stock pièces'!$A$5:$A$404,0)),0))</f>
        <v/>
      </c>
      <c r="H2787" s="81">
        <f>IF(D2787="","",N(F2787)*N(G2787))</f>
        <v/>
      </c>
      <c r="I2787" s="7" t="n"/>
      <c r="J2787" s="9">
        <f>IF(I2787="","",IFERROR(INDEX('Ordres de travail'!$D$5:$D$3004,MATCH(I2787,'Ordres de travail'!$A$5:$A$3004,0)),""))</f>
        <v/>
      </c>
      <c r="K2787" s="9">
        <f>IF(D2787="","",IFERROR(INDEX('Stock pièces'!$D$5:$D$404,MATCH(D2787,'Stock pièces'!$A$5:$A$404,0)),""))</f>
        <v/>
      </c>
      <c r="L2787" s="7" t="n"/>
      <c r="M2787" s="7" t="n"/>
    </row>
    <row r="2788">
      <c r="A2788" s="7" t="n"/>
      <c r="B2788" s="75" t="n"/>
      <c r="C2788" s="7" t="n"/>
      <c r="D2788" s="7" t="n"/>
      <c r="E2788" s="9">
        <f>IF(D2788="","",IFERROR(INDEX('Stock pièces'!$B$5:$B$404,MATCH(D2788,'Stock pièces'!$A$5:$A$404,0)),"Réf. inconnue"))</f>
        <v/>
      </c>
      <c r="F2788" s="67" t="n"/>
      <c r="G2788" s="81">
        <f>IF(D2788="","",IFERROR(INDEX('Stock pièces'!$I$5:$I$404,MATCH(D2788,'Stock pièces'!$A$5:$A$404,0)),0))</f>
        <v/>
      </c>
      <c r="H2788" s="81">
        <f>IF(D2788="","",N(F2788)*N(G2788))</f>
        <v/>
      </c>
      <c r="I2788" s="7" t="n"/>
      <c r="J2788" s="9">
        <f>IF(I2788="","",IFERROR(INDEX('Ordres de travail'!$D$5:$D$3004,MATCH(I2788,'Ordres de travail'!$A$5:$A$3004,0)),""))</f>
        <v/>
      </c>
      <c r="K2788" s="9">
        <f>IF(D2788="","",IFERROR(INDEX('Stock pièces'!$D$5:$D$404,MATCH(D2788,'Stock pièces'!$A$5:$A$404,0)),""))</f>
        <v/>
      </c>
      <c r="L2788" s="7" t="n"/>
      <c r="M2788" s="7" t="n"/>
    </row>
    <row r="2789">
      <c r="A2789" s="7" t="n"/>
      <c r="B2789" s="75" t="n"/>
      <c r="C2789" s="7" t="n"/>
      <c r="D2789" s="7" t="n"/>
      <c r="E2789" s="9">
        <f>IF(D2789="","",IFERROR(INDEX('Stock pièces'!$B$5:$B$404,MATCH(D2789,'Stock pièces'!$A$5:$A$404,0)),"Réf. inconnue"))</f>
        <v/>
      </c>
      <c r="F2789" s="67" t="n"/>
      <c r="G2789" s="81">
        <f>IF(D2789="","",IFERROR(INDEX('Stock pièces'!$I$5:$I$404,MATCH(D2789,'Stock pièces'!$A$5:$A$404,0)),0))</f>
        <v/>
      </c>
      <c r="H2789" s="81">
        <f>IF(D2789="","",N(F2789)*N(G2789))</f>
        <v/>
      </c>
      <c r="I2789" s="7" t="n"/>
      <c r="J2789" s="9">
        <f>IF(I2789="","",IFERROR(INDEX('Ordres de travail'!$D$5:$D$3004,MATCH(I2789,'Ordres de travail'!$A$5:$A$3004,0)),""))</f>
        <v/>
      </c>
      <c r="K2789" s="9">
        <f>IF(D2789="","",IFERROR(INDEX('Stock pièces'!$D$5:$D$404,MATCH(D2789,'Stock pièces'!$A$5:$A$404,0)),""))</f>
        <v/>
      </c>
      <c r="L2789" s="7" t="n"/>
      <c r="M2789" s="7" t="n"/>
    </row>
    <row r="2790">
      <c r="A2790" s="7" t="n"/>
      <c r="B2790" s="75" t="n"/>
      <c r="C2790" s="7" t="n"/>
      <c r="D2790" s="7" t="n"/>
      <c r="E2790" s="9">
        <f>IF(D2790="","",IFERROR(INDEX('Stock pièces'!$B$5:$B$404,MATCH(D2790,'Stock pièces'!$A$5:$A$404,0)),"Réf. inconnue"))</f>
        <v/>
      </c>
      <c r="F2790" s="67" t="n"/>
      <c r="G2790" s="81">
        <f>IF(D2790="","",IFERROR(INDEX('Stock pièces'!$I$5:$I$404,MATCH(D2790,'Stock pièces'!$A$5:$A$404,0)),0))</f>
        <v/>
      </c>
      <c r="H2790" s="81">
        <f>IF(D2790="","",N(F2790)*N(G2790))</f>
        <v/>
      </c>
      <c r="I2790" s="7" t="n"/>
      <c r="J2790" s="9">
        <f>IF(I2790="","",IFERROR(INDEX('Ordres de travail'!$D$5:$D$3004,MATCH(I2790,'Ordres de travail'!$A$5:$A$3004,0)),""))</f>
        <v/>
      </c>
      <c r="K2790" s="9">
        <f>IF(D2790="","",IFERROR(INDEX('Stock pièces'!$D$5:$D$404,MATCH(D2790,'Stock pièces'!$A$5:$A$404,0)),""))</f>
        <v/>
      </c>
      <c r="L2790" s="7" t="n"/>
      <c r="M2790" s="7" t="n"/>
    </row>
    <row r="2791">
      <c r="A2791" s="7" t="n"/>
      <c r="B2791" s="75" t="n"/>
      <c r="C2791" s="7" t="n"/>
      <c r="D2791" s="7" t="n"/>
      <c r="E2791" s="9">
        <f>IF(D2791="","",IFERROR(INDEX('Stock pièces'!$B$5:$B$404,MATCH(D2791,'Stock pièces'!$A$5:$A$404,0)),"Réf. inconnue"))</f>
        <v/>
      </c>
      <c r="F2791" s="67" t="n"/>
      <c r="G2791" s="81">
        <f>IF(D2791="","",IFERROR(INDEX('Stock pièces'!$I$5:$I$404,MATCH(D2791,'Stock pièces'!$A$5:$A$404,0)),0))</f>
        <v/>
      </c>
      <c r="H2791" s="81">
        <f>IF(D2791="","",N(F2791)*N(G2791))</f>
        <v/>
      </c>
      <c r="I2791" s="7" t="n"/>
      <c r="J2791" s="9">
        <f>IF(I2791="","",IFERROR(INDEX('Ordres de travail'!$D$5:$D$3004,MATCH(I2791,'Ordres de travail'!$A$5:$A$3004,0)),""))</f>
        <v/>
      </c>
      <c r="K2791" s="9">
        <f>IF(D2791="","",IFERROR(INDEX('Stock pièces'!$D$5:$D$404,MATCH(D2791,'Stock pièces'!$A$5:$A$404,0)),""))</f>
        <v/>
      </c>
      <c r="L2791" s="7" t="n"/>
      <c r="M2791" s="7" t="n"/>
    </row>
    <row r="2792">
      <c r="A2792" s="7" t="n"/>
      <c r="B2792" s="75" t="n"/>
      <c r="C2792" s="7" t="n"/>
      <c r="D2792" s="7" t="n"/>
      <c r="E2792" s="9">
        <f>IF(D2792="","",IFERROR(INDEX('Stock pièces'!$B$5:$B$404,MATCH(D2792,'Stock pièces'!$A$5:$A$404,0)),"Réf. inconnue"))</f>
        <v/>
      </c>
      <c r="F2792" s="67" t="n"/>
      <c r="G2792" s="81">
        <f>IF(D2792="","",IFERROR(INDEX('Stock pièces'!$I$5:$I$404,MATCH(D2792,'Stock pièces'!$A$5:$A$404,0)),0))</f>
        <v/>
      </c>
      <c r="H2792" s="81">
        <f>IF(D2792="","",N(F2792)*N(G2792))</f>
        <v/>
      </c>
      <c r="I2792" s="7" t="n"/>
      <c r="J2792" s="9">
        <f>IF(I2792="","",IFERROR(INDEX('Ordres de travail'!$D$5:$D$3004,MATCH(I2792,'Ordres de travail'!$A$5:$A$3004,0)),""))</f>
        <v/>
      </c>
      <c r="K2792" s="9">
        <f>IF(D2792="","",IFERROR(INDEX('Stock pièces'!$D$5:$D$404,MATCH(D2792,'Stock pièces'!$A$5:$A$404,0)),""))</f>
        <v/>
      </c>
      <c r="L2792" s="7" t="n"/>
      <c r="M2792" s="7" t="n"/>
    </row>
    <row r="2793">
      <c r="A2793" s="7" t="n"/>
      <c r="B2793" s="75" t="n"/>
      <c r="C2793" s="7" t="n"/>
      <c r="D2793" s="7" t="n"/>
      <c r="E2793" s="9">
        <f>IF(D2793="","",IFERROR(INDEX('Stock pièces'!$B$5:$B$404,MATCH(D2793,'Stock pièces'!$A$5:$A$404,0)),"Réf. inconnue"))</f>
        <v/>
      </c>
      <c r="F2793" s="67" t="n"/>
      <c r="G2793" s="81">
        <f>IF(D2793="","",IFERROR(INDEX('Stock pièces'!$I$5:$I$404,MATCH(D2793,'Stock pièces'!$A$5:$A$404,0)),0))</f>
        <v/>
      </c>
      <c r="H2793" s="81">
        <f>IF(D2793="","",N(F2793)*N(G2793))</f>
        <v/>
      </c>
      <c r="I2793" s="7" t="n"/>
      <c r="J2793" s="9">
        <f>IF(I2793="","",IFERROR(INDEX('Ordres de travail'!$D$5:$D$3004,MATCH(I2793,'Ordres de travail'!$A$5:$A$3004,0)),""))</f>
        <v/>
      </c>
      <c r="K2793" s="9">
        <f>IF(D2793="","",IFERROR(INDEX('Stock pièces'!$D$5:$D$404,MATCH(D2793,'Stock pièces'!$A$5:$A$404,0)),""))</f>
        <v/>
      </c>
      <c r="L2793" s="7" t="n"/>
      <c r="M2793" s="7" t="n"/>
    </row>
    <row r="2794">
      <c r="A2794" s="7" t="n"/>
      <c r="B2794" s="75" t="n"/>
      <c r="C2794" s="7" t="n"/>
      <c r="D2794" s="7" t="n"/>
      <c r="E2794" s="9">
        <f>IF(D2794="","",IFERROR(INDEX('Stock pièces'!$B$5:$B$404,MATCH(D2794,'Stock pièces'!$A$5:$A$404,0)),"Réf. inconnue"))</f>
        <v/>
      </c>
      <c r="F2794" s="67" t="n"/>
      <c r="G2794" s="81">
        <f>IF(D2794="","",IFERROR(INDEX('Stock pièces'!$I$5:$I$404,MATCH(D2794,'Stock pièces'!$A$5:$A$404,0)),0))</f>
        <v/>
      </c>
      <c r="H2794" s="81">
        <f>IF(D2794="","",N(F2794)*N(G2794))</f>
        <v/>
      </c>
      <c r="I2794" s="7" t="n"/>
      <c r="J2794" s="9">
        <f>IF(I2794="","",IFERROR(INDEX('Ordres de travail'!$D$5:$D$3004,MATCH(I2794,'Ordres de travail'!$A$5:$A$3004,0)),""))</f>
        <v/>
      </c>
      <c r="K2794" s="9">
        <f>IF(D2794="","",IFERROR(INDEX('Stock pièces'!$D$5:$D$404,MATCH(D2794,'Stock pièces'!$A$5:$A$404,0)),""))</f>
        <v/>
      </c>
      <c r="L2794" s="7" t="n"/>
      <c r="M2794" s="7" t="n"/>
    </row>
    <row r="2795">
      <c r="A2795" s="7" t="n"/>
      <c r="B2795" s="75" t="n"/>
      <c r="C2795" s="7" t="n"/>
      <c r="D2795" s="7" t="n"/>
      <c r="E2795" s="9">
        <f>IF(D2795="","",IFERROR(INDEX('Stock pièces'!$B$5:$B$404,MATCH(D2795,'Stock pièces'!$A$5:$A$404,0)),"Réf. inconnue"))</f>
        <v/>
      </c>
      <c r="F2795" s="67" t="n"/>
      <c r="G2795" s="81">
        <f>IF(D2795="","",IFERROR(INDEX('Stock pièces'!$I$5:$I$404,MATCH(D2795,'Stock pièces'!$A$5:$A$404,0)),0))</f>
        <v/>
      </c>
      <c r="H2795" s="81">
        <f>IF(D2795="","",N(F2795)*N(G2795))</f>
        <v/>
      </c>
      <c r="I2795" s="7" t="n"/>
      <c r="J2795" s="9">
        <f>IF(I2795="","",IFERROR(INDEX('Ordres de travail'!$D$5:$D$3004,MATCH(I2795,'Ordres de travail'!$A$5:$A$3004,0)),""))</f>
        <v/>
      </c>
      <c r="K2795" s="9">
        <f>IF(D2795="","",IFERROR(INDEX('Stock pièces'!$D$5:$D$404,MATCH(D2795,'Stock pièces'!$A$5:$A$404,0)),""))</f>
        <v/>
      </c>
      <c r="L2795" s="7" t="n"/>
      <c r="M2795" s="7" t="n"/>
    </row>
    <row r="2796">
      <c r="A2796" s="7" t="n"/>
      <c r="B2796" s="75" t="n"/>
      <c r="C2796" s="7" t="n"/>
      <c r="D2796" s="7" t="n"/>
      <c r="E2796" s="9">
        <f>IF(D2796="","",IFERROR(INDEX('Stock pièces'!$B$5:$B$404,MATCH(D2796,'Stock pièces'!$A$5:$A$404,0)),"Réf. inconnue"))</f>
        <v/>
      </c>
      <c r="F2796" s="67" t="n"/>
      <c r="G2796" s="81">
        <f>IF(D2796="","",IFERROR(INDEX('Stock pièces'!$I$5:$I$404,MATCH(D2796,'Stock pièces'!$A$5:$A$404,0)),0))</f>
        <v/>
      </c>
      <c r="H2796" s="81">
        <f>IF(D2796="","",N(F2796)*N(G2796))</f>
        <v/>
      </c>
      <c r="I2796" s="7" t="n"/>
      <c r="J2796" s="9">
        <f>IF(I2796="","",IFERROR(INDEX('Ordres de travail'!$D$5:$D$3004,MATCH(I2796,'Ordres de travail'!$A$5:$A$3004,0)),""))</f>
        <v/>
      </c>
      <c r="K2796" s="9">
        <f>IF(D2796="","",IFERROR(INDEX('Stock pièces'!$D$5:$D$404,MATCH(D2796,'Stock pièces'!$A$5:$A$404,0)),""))</f>
        <v/>
      </c>
      <c r="L2796" s="7" t="n"/>
      <c r="M2796" s="7" t="n"/>
    </row>
    <row r="2797">
      <c r="A2797" s="7" t="n"/>
      <c r="B2797" s="75" t="n"/>
      <c r="C2797" s="7" t="n"/>
      <c r="D2797" s="7" t="n"/>
      <c r="E2797" s="9">
        <f>IF(D2797="","",IFERROR(INDEX('Stock pièces'!$B$5:$B$404,MATCH(D2797,'Stock pièces'!$A$5:$A$404,0)),"Réf. inconnue"))</f>
        <v/>
      </c>
      <c r="F2797" s="67" t="n"/>
      <c r="G2797" s="81">
        <f>IF(D2797="","",IFERROR(INDEX('Stock pièces'!$I$5:$I$404,MATCH(D2797,'Stock pièces'!$A$5:$A$404,0)),0))</f>
        <v/>
      </c>
      <c r="H2797" s="81">
        <f>IF(D2797="","",N(F2797)*N(G2797))</f>
        <v/>
      </c>
      <c r="I2797" s="7" t="n"/>
      <c r="J2797" s="9">
        <f>IF(I2797="","",IFERROR(INDEX('Ordres de travail'!$D$5:$D$3004,MATCH(I2797,'Ordres de travail'!$A$5:$A$3004,0)),""))</f>
        <v/>
      </c>
      <c r="K2797" s="9">
        <f>IF(D2797="","",IFERROR(INDEX('Stock pièces'!$D$5:$D$404,MATCH(D2797,'Stock pièces'!$A$5:$A$404,0)),""))</f>
        <v/>
      </c>
      <c r="L2797" s="7" t="n"/>
      <c r="M2797" s="7" t="n"/>
    </row>
    <row r="2798">
      <c r="A2798" s="7" t="n"/>
      <c r="B2798" s="75" t="n"/>
      <c r="C2798" s="7" t="n"/>
      <c r="D2798" s="7" t="n"/>
      <c r="E2798" s="9">
        <f>IF(D2798="","",IFERROR(INDEX('Stock pièces'!$B$5:$B$404,MATCH(D2798,'Stock pièces'!$A$5:$A$404,0)),"Réf. inconnue"))</f>
        <v/>
      </c>
      <c r="F2798" s="67" t="n"/>
      <c r="G2798" s="81">
        <f>IF(D2798="","",IFERROR(INDEX('Stock pièces'!$I$5:$I$404,MATCH(D2798,'Stock pièces'!$A$5:$A$404,0)),0))</f>
        <v/>
      </c>
      <c r="H2798" s="81">
        <f>IF(D2798="","",N(F2798)*N(G2798))</f>
        <v/>
      </c>
      <c r="I2798" s="7" t="n"/>
      <c r="J2798" s="9">
        <f>IF(I2798="","",IFERROR(INDEX('Ordres de travail'!$D$5:$D$3004,MATCH(I2798,'Ordres de travail'!$A$5:$A$3004,0)),""))</f>
        <v/>
      </c>
      <c r="K2798" s="9">
        <f>IF(D2798="","",IFERROR(INDEX('Stock pièces'!$D$5:$D$404,MATCH(D2798,'Stock pièces'!$A$5:$A$404,0)),""))</f>
        <v/>
      </c>
      <c r="L2798" s="7" t="n"/>
      <c r="M2798" s="7" t="n"/>
    </row>
    <row r="2799">
      <c r="A2799" s="7" t="n"/>
      <c r="B2799" s="75" t="n"/>
      <c r="C2799" s="7" t="n"/>
      <c r="D2799" s="7" t="n"/>
      <c r="E2799" s="9">
        <f>IF(D2799="","",IFERROR(INDEX('Stock pièces'!$B$5:$B$404,MATCH(D2799,'Stock pièces'!$A$5:$A$404,0)),"Réf. inconnue"))</f>
        <v/>
      </c>
      <c r="F2799" s="67" t="n"/>
      <c r="G2799" s="81">
        <f>IF(D2799="","",IFERROR(INDEX('Stock pièces'!$I$5:$I$404,MATCH(D2799,'Stock pièces'!$A$5:$A$404,0)),0))</f>
        <v/>
      </c>
      <c r="H2799" s="81">
        <f>IF(D2799="","",N(F2799)*N(G2799))</f>
        <v/>
      </c>
      <c r="I2799" s="7" t="n"/>
      <c r="J2799" s="9">
        <f>IF(I2799="","",IFERROR(INDEX('Ordres de travail'!$D$5:$D$3004,MATCH(I2799,'Ordres de travail'!$A$5:$A$3004,0)),""))</f>
        <v/>
      </c>
      <c r="K2799" s="9">
        <f>IF(D2799="","",IFERROR(INDEX('Stock pièces'!$D$5:$D$404,MATCH(D2799,'Stock pièces'!$A$5:$A$404,0)),""))</f>
        <v/>
      </c>
      <c r="L2799" s="7" t="n"/>
      <c r="M2799" s="7" t="n"/>
    </row>
    <row r="2800">
      <c r="A2800" s="7" t="n"/>
      <c r="B2800" s="75" t="n"/>
      <c r="C2800" s="7" t="n"/>
      <c r="D2800" s="7" t="n"/>
      <c r="E2800" s="9">
        <f>IF(D2800="","",IFERROR(INDEX('Stock pièces'!$B$5:$B$404,MATCH(D2800,'Stock pièces'!$A$5:$A$404,0)),"Réf. inconnue"))</f>
        <v/>
      </c>
      <c r="F2800" s="67" t="n"/>
      <c r="G2800" s="81">
        <f>IF(D2800="","",IFERROR(INDEX('Stock pièces'!$I$5:$I$404,MATCH(D2800,'Stock pièces'!$A$5:$A$404,0)),0))</f>
        <v/>
      </c>
      <c r="H2800" s="81">
        <f>IF(D2800="","",N(F2800)*N(G2800))</f>
        <v/>
      </c>
      <c r="I2800" s="7" t="n"/>
      <c r="J2800" s="9">
        <f>IF(I2800="","",IFERROR(INDEX('Ordres de travail'!$D$5:$D$3004,MATCH(I2800,'Ordres de travail'!$A$5:$A$3004,0)),""))</f>
        <v/>
      </c>
      <c r="K2800" s="9">
        <f>IF(D2800="","",IFERROR(INDEX('Stock pièces'!$D$5:$D$404,MATCH(D2800,'Stock pièces'!$A$5:$A$404,0)),""))</f>
        <v/>
      </c>
      <c r="L2800" s="7" t="n"/>
      <c r="M2800" s="7" t="n"/>
    </row>
    <row r="2801">
      <c r="A2801" s="7" t="n"/>
      <c r="B2801" s="75" t="n"/>
      <c r="C2801" s="7" t="n"/>
      <c r="D2801" s="7" t="n"/>
      <c r="E2801" s="9">
        <f>IF(D2801="","",IFERROR(INDEX('Stock pièces'!$B$5:$B$404,MATCH(D2801,'Stock pièces'!$A$5:$A$404,0)),"Réf. inconnue"))</f>
        <v/>
      </c>
      <c r="F2801" s="67" t="n"/>
      <c r="G2801" s="81">
        <f>IF(D2801="","",IFERROR(INDEX('Stock pièces'!$I$5:$I$404,MATCH(D2801,'Stock pièces'!$A$5:$A$404,0)),0))</f>
        <v/>
      </c>
      <c r="H2801" s="81">
        <f>IF(D2801="","",N(F2801)*N(G2801))</f>
        <v/>
      </c>
      <c r="I2801" s="7" t="n"/>
      <c r="J2801" s="9">
        <f>IF(I2801="","",IFERROR(INDEX('Ordres de travail'!$D$5:$D$3004,MATCH(I2801,'Ordres de travail'!$A$5:$A$3004,0)),""))</f>
        <v/>
      </c>
      <c r="K2801" s="9">
        <f>IF(D2801="","",IFERROR(INDEX('Stock pièces'!$D$5:$D$404,MATCH(D2801,'Stock pièces'!$A$5:$A$404,0)),""))</f>
        <v/>
      </c>
      <c r="L2801" s="7" t="n"/>
      <c r="M2801" s="7" t="n"/>
    </row>
    <row r="2802">
      <c r="A2802" s="7" t="n"/>
      <c r="B2802" s="75" t="n"/>
      <c r="C2802" s="7" t="n"/>
      <c r="D2802" s="7" t="n"/>
      <c r="E2802" s="9">
        <f>IF(D2802="","",IFERROR(INDEX('Stock pièces'!$B$5:$B$404,MATCH(D2802,'Stock pièces'!$A$5:$A$404,0)),"Réf. inconnue"))</f>
        <v/>
      </c>
      <c r="F2802" s="67" t="n"/>
      <c r="G2802" s="81">
        <f>IF(D2802="","",IFERROR(INDEX('Stock pièces'!$I$5:$I$404,MATCH(D2802,'Stock pièces'!$A$5:$A$404,0)),0))</f>
        <v/>
      </c>
      <c r="H2802" s="81">
        <f>IF(D2802="","",N(F2802)*N(G2802))</f>
        <v/>
      </c>
      <c r="I2802" s="7" t="n"/>
      <c r="J2802" s="9">
        <f>IF(I2802="","",IFERROR(INDEX('Ordres de travail'!$D$5:$D$3004,MATCH(I2802,'Ordres de travail'!$A$5:$A$3004,0)),""))</f>
        <v/>
      </c>
      <c r="K2802" s="9">
        <f>IF(D2802="","",IFERROR(INDEX('Stock pièces'!$D$5:$D$404,MATCH(D2802,'Stock pièces'!$A$5:$A$404,0)),""))</f>
        <v/>
      </c>
      <c r="L2802" s="7" t="n"/>
      <c r="M2802" s="7" t="n"/>
    </row>
    <row r="2803">
      <c r="A2803" s="7" t="n"/>
      <c r="B2803" s="75" t="n"/>
      <c r="C2803" s="7" t="n"/>
      <c r="D2803" s="7" t="n"/>
      <c r="E2803" s="9">
        <f>IF(D2803="","",IFERROR(INDEX('Stock pièces'!$B$5:$B$404,MATCH(D2803,'Stock pièces'!$A$5:$A$404,0)),"Réf. inconnue"))</f>
        <v/>
      </c>
      <c r="F2803" s="67" t="n"/>
      <c r="G2803" s="81">
        <f>IF(D2803="","",IFERROR(INDEX('Stock pièces'!$I$5:$I$404,MATCH(D2803,'Stock pièces'!$A$5:$A$404,0)),0))</f>
        <v/>
      </c>
      <c r="H2803" s="81">
        <f>IF(D2803="","",N(F2803)*N(G2803))</f>
        <v/>
      </c>
      <c r="I2803" s="7" t="n"/>
      <c r="J2803" s="9">
        <f>IF(I2803="","",IFERROR(INDEX('Ordres de travail'!$D$5:$D$3004,MATCH(I2803,'Ordres de travail'!$A$5:$A$3004,0)),""))</f>
        <v/>
      </c>
      <c r="K2803" s="9">
        <f>IF(D2803="","",IFERROR(INDEX('Stock pièces'!$D$5:$D$404,MATCH(D2803,'Stock pièces'!$A$5:$A$404,0)),""))</f>
        <v/>
      </c>
      <c r="L2803" s="7" t="n"/>
      <c r="M2803" s="7" t="n"/>
    </row>
    <row r="2804">
      <c r="A2804" s="7" t="n"/>
      <c r="B2804" s="75" t="n"/>
      <c r="C2804" s="7" t="n"/>
      <c r="D2804" s="7" t="n"/>
      <c r="E2804" s="9">
        <f>IF(D2804="","",IFERROR(INDEX('Stock pièces'!$B$5:$B$404,MATCH(D2804,'Stock pièces'!$A$5:$A$404,0)),"Réf. inconnue"))</f>
        <v/>
      </c>
      <c r="F2804" s="67" t="n"/>
      <c r="G2804" s="81">
        <f>IF(D2804="","",IFERROR(INDEX('Stock pièces'!$I$5:$I$404,MATCH(D2804,'Stock pièces'!$A$5:$A$404,0)),0))</f>
        <v/>
      </c>
      <c r="H2804" s="81">
        <f>IF(D2804="","",N(F2804)*N(G2804))</f>
        <v/>
      </c>
      <c r="I2804" s="7" t="n"/>
      <c r="J2804" s="9">
        <f>IF(I2804="","",IFERROR(INDEX('Ordres de travail'!$D$5:$D$3004,MATCH(I2804,'Ordres de travail'!$A$5:$A$3004,0)),""))</f>
        <v/>
      </c>
      <c r="K2804" s="9">
        <f>IF(D2804="","",IFERROR(INDEX('Stock pièces'!$D$5:$D$404,MATCH(D2804,'Stock pièces'!$A$5:$A$404,0)),""))</f>
        <v/>
      </c>
      <c r="L2804" s="7" t="n"/>
      <c r="M2804" s="7" t="n"/>
    </row>
    <row r="2805">
      <c r="A2805" s="7" t="n"/>
      <c r="B2805" s="75" t="n"/>
      <c r="C2805" s="7" t="n"/>
      <c r="D2805" s="7" t="n"/>
      <c r="E2805" s="9">
        <f>IF(D2805="","",IFERROR(INDEX('Stock pièces'!$B$5:$B$404,MATCH(D2805,'Stock pièces'!$A$5:$A$404,0)),"Réf. inconnue"))</f>
        <v/>
      </c>
      <c r="F2805" s="67" t="n"/>
      <c r="G2805" s="81">
        <f>IF(D2805="","",IFERROR(INDEX('Stock pièces'!$I$5:$I$404,MATCH(D2805,'Stock pièces'!$A$5:$A$404,0)),0))</f>
        <v/>
      </c>
      <c r="H2805" s="81">
        <f>IF(D2805="","",N(F2805)*N(G2805))</f>
        <v/>
      </c>
      <c r="I2805" s="7" t="n"/>
      <c r="J2805" s="9">
        <f>IF(I2805="","",IFERROR(INDEX('Ordres de travail'!$D$5:$D$3004,MATCH(I2805,'Ordres de travail'!$A$5:$A$3004,0)),""))</f>
        <v/>
      </c>
      <c r="K2805" s="9">
        <f>IF(D2805="","",IFERROR(INDEX('Stock pièces'!$D$5:$D$404,MATCH(D2805,'Stock pièces'!$A$5:$A$404,0)),""))</f>
        <v/>
      </c>
      <c r="L2805" s="7" t="n"/>
      <c r="M2805" s="7" t="n"/>
    </row>
    <row r="2806">
      <c r="A2806" s="7" t="n"/>
      <c r="B2806" s="75" t="n"/>
      <c r="C2806" s="7" t="n"/>
      <c r="D2806" s="7" t="n"/>
      <c r="E2806" s="9">
        <f>IF(D2806="","",IFERROR(INDEX('Stock pièces'!$B$5:$B$404,MATCH(D2806,'Stock pièces'!$A$5:$A$404,0)),"Réf. inconnue"))</f>
        <v/>
      </c>
      <c r="F2806" s="67" t="n"/>
      <c r="G2806" s="81">
        <f>IF(D2806="","",IFERROR(INDEX('Stock pièces'!$I$5:$I$404,MATCH(D2806,'Stock pièces'!$A$5:$A$404,0)),0))</f>
        <v/>
      </c>
      <c r="H2806" s="81">
        <f>IF(D2806="","",N(F2806)*N(G2806))</f>
        <v/>
      </c>
      <c r="I2806" s="7" t="n"/>
      <c r="J2806" s="9">
        <f>IF(I2806="","",IFERROR(INDEX('Ordres de travail'!$D$5:$D$3004,MATCH(I2806,'Ordres de travail'!$A$5:$A$3004,0)),""))</f>
        <v/>
      </c>
      <c r="K2806" s="9">
        <f>IF(D2806="","",IFERROR(INDEX('Stock pièces'!$D$5:$D$404,MATCH(D2806,'Stock pièces'!$A$5:$A$404,0)),""))</f>
        <v/>
      </c>
      <c r="L2806" s="7" t="n"/>
      <c r="M2806" s="7" t="n"/>
    </row>
    <row r="2807">
      <c r="A2807" s="7" t="n"/>
      <c r="B2807" s="75" t="n"/>
      <c r="C2807" s="7" t="n"/>
      <c r="D2807" s="7" t="n"/>
      <c r="E2807" s="9">
        <f>IF(D2807="","",IFERROR(INDEX('Stock pièces'!$B$5:$B$404,MATCH(D2807,'Stock pièces'!$A$5:$A$404,0)),"Réf. inconnue"))</f>
        <v/>
      </c>
      <c r="F2807" s="67" t="n"/>
      <c r="G2807" s="81">
        <f>IF(D2807="","",IFERROR(INDEX('Stock pièces'!$I$5:$I$404,MATCH(D2807,'Stock pièces'!$A$5:$A$404,0)),0))</f>
        <v/>
      </c>
      <c r="H2807" s="81">
        <f>IF(D2807="","",N(F2807)*N(G2807))</f>
        <v/>
      </c>
      <c r="I2807" s="7" t="n"/>
      <c r="J2807" s="9">
        <f>IF(I2807="","",IFERROR(INDEX('Ordres de travail'!$D$5:$D$3004,MATCH(I2807,'Ordres de travail'!$A$5:$A$3004,0)),""))</f>
        <v/>
      </c>
      <c r="K2807" s="9">
        <f>IF(D2807="","",IFERROR(INDEX('Stock pièces'!$D$5:$D$404,MATCH(D2807,'Stock pièces'!$A$5:$A$404,0)),""))</f>
        <v/>
      </c>
      <c r="L2807" s="7" t="n"/>
      <c r="M2807" s="7" t="n"/>
    </row>
    <row r="2808">
      <c r="A2808" s="7" t="n"/>
      <c r="B2808" s="75" t="n"/>
      <c r="C2808" s="7" t="n"/>
      <c r="D2808" s="7" t="n"/>
      <c r="E2808" s="9">
        <f>IF(D2808="","",IFERROR(INDEX('Stock pièces'!$B$5:$B$404,MATCH(D2808,'Stock pièces'!$A$5:$A$404,0)),"Réf. inconnue"))</f>
        <v/>
      </c>
      <c r="F2808" s="67" t="n"/>
      <c r="G2808" s="81">
        <f>IF(D2808="","",IFERROR(INDEX('Stock pièces'!$I$5:$I$404,MATCH(D2808,'Stock pièces'!$A$5:$A$404,0)),0))</f>
        <v/>
      </c>
      <c r="H2808" s="81">
        <f>IF(D2808="","",N(F2808)*N(G2808))</f>
        <v/>
      </c>
      <c r="I2808" s="7" t="n"/>
      <c r="J2808" s="9">
        <f>IF(I2808="","",IFERROR(INDEX('Ordres de travail'!$D$5:$D$3004,MATCH(I2808,'Ordres de travail'!$A$5:$A$3004,0)),""))</f>
        <v/>
      </c>
      <c r="K2808" s="9">
        <f>IF(D2808="","",IFERROR(INDEX('Stock pièces'!$D$5:$D$404,MATCH(D2808,'Stock pièces'!$A$5:$A$404,0)),""))</f>
        <v/>
      </c>
      <c r="L2808" s="7" t="n"/>
      <c r="M2808" s="7" t="n"/>
    </row>
    <row r="2809">
      <c r="A2809" s="7" t="n"/>
      <c r="B2809" s="75" t="n"/>
      <c r="C2809" s="7" t="n"/>
      <c r="D2809" s="7" t="n"/>
      <c r="E2809" s="9">
        <f>IF(D2809="","",IFERROR(INDEX('Stock pièces'!$B$5:$B$404,MATCH(D2809,'Stock pièces'!$A$5:$A$404,0)),"Réf. inconnue"))</f>
        <v/>
      </c>
      <c r="F2809" s="67" t="n"/>
      <c r="G2809" s="81">
        <f>IF(D2809="","",IFERROR(INDEX('Stock pièces'!$I$5:$I$404,MATCH(D2809,'Stock pièces'!$A$5:$A$404,0)),0))</f>
        <v/>
      </c>
      <c r="H2809" s="81">
        <f>IF(D2809="","",N(F2809)*N(G2809))</f>
        <v/>
      </c>
      <c r="I2809" s="7" t="n"/>
      <c r="J2809" s="9">
        <f>IF(I2809="","",IFERROR(INDEX('Ordres de travail'!$D$5:$D$3004,MATCH(I2809,'Ordres de travail'!$A$5:$A$3004,0)),""))</f>
        <v/>
      </c>
      <c r="K2809" s="9">
        <f>IF(D2809="","",IFERROR(INDEX('Stock pièces'!$D$5:$D$404,MATCH(D2809,'Stock pièces'!$A$5:$A$404,0)),""))</f>
        <v/>
      </c>
      <c r="L2809" s="7" t="n"/>
      <c r="M2809" s="7" t="n"/>
    </row>
    <row r="2810">
      <c r="A2810" s="7" t="n"/>
      <c r="B2810" s="75" t="n"/>
      <c r="C2810" s="7" t="n"/>
      <c r="D2810" s="7" t="n"/>
      <c r="E2810" s="9">
        <f>IF(D2810="","",IFERROR(INDEX('Stock pièces'!$B$5:$B$404,MATCH(D2810,'Stock pièces'!$A$5:$A$404,0)),"Réf. inconnue"))</f>
        <v/>
      </c>
      <c r="F2810" s="67" t="n"/>
      <c r="G2810" s="81">
        <f>IF(D2810="","",IFERROR(INDEX('Stock pièces'!$I$5:$I$404,MATCH(D2810,'Stock pièces'!$A$5:$A$404,0)),0))</f>
        <v/>
      </c>
      <c r="H2810" s="81">
        <f>IF(D2810="","",N(F2810)*N(G2810))</f>
        <v/>
      </c>
      <c r="I2810" s="7" t="n"/>
      <c r="J2810" s="9">
        <f>IF(I2810="","",IFERROR(INDEX('Ordres de travail'!$D$5:$D$3004,MATCH(I2810,'Ordres de travail'!$A$5:$A$3004,0)),""))</f>
        <v/>
      </c>
      <c r="K2810" s="9">
        <f>IF(D2810="","",IFERROR(INDEX('Stock pièces'!$D$5:$D$404,MATCH(D2810,'Stock pièces'!$A$5:$A$404,0)),""))</f>
        <v/>
      </c>
      <c r="L2810" s="7" t="n"/>
      <c r="M2810" s="7" t="n"/>
    </row>
    <row r="2811">
      <c r="A2811" s="7" t="n"/>
      <c r="B2811" s="75" t="n"/>
      <c r="C2811" s="7" t="n"/>
      <c r="D2811" s="7" t="n"/>
      <c r="E2811" s="9">
        <f>IF(D2811="","",IFERROR(INDEX('Stock pièces'!$B$5:$B$404,MATCH(D2811,'Stock pièces'!$A$5:$A$404,0)),"Réf. inconnue"))</f>
        <v/>
      </c>
      <c r="F2811" s="67" t="n"/>
      <c r="G2811" s="81">
        <f>IF(D2811="","",IFERROR(INDEX('Stock pièces'!$I$5:$I$404,MATCH(D2811,'Stock pièces'!$A$5:$A$404,0)),0))</f>
        <v/>
      </c>
      <c r="H2811" s="81">
        <f>IF(D2811="","",N(F2811)*N(G2811))</f>
        <v/>
      </c>
      <c r="I2811" s="7" t="n"/>
      <c r="J2811" s="9">
        <f>IF(I2811="","",IFERROR(INDEX('Ordres de travail'!$D$5:$D$3004,MATCH(I2811,'Ordres de travail'!$A$5:$A$3004,0)),""))</f>
        <v/>
      </c>
      <c r="K2811" s="9">
        <f>IF(D2811="","",IFERROR(INDEX('Stock pièces'!$D$5:$D$404,MATCH(D2811,'Stock pièces'!$A$5:$A$404,0)),""))</f>
        <v/>
      </c>
      <c r="L2811" s="7" t="n"/>
      <c r="M2811" s="7" t="n"/>
    </row>
    <row r="2812">
      <c r="A2812" s="7" t="n"/>
      <c r="B2812" s="75" t="n"/>
      <c r="C2812" s="7" t="n"/>
      <c r="D2812" s="7" t="n"/>
      <c r="E2812" s="9">
        <f>IF(D2812="","",IFERROR(INDEX('Stock pièces'!$B$5:$B$404,MATCH(D2812,'Stock pièces'!$A$5:$A$404,0)),"Réf. inconnue"))</f>
        <v/>
      </c>
      <c r="F2812" s="67" t="n"/>
      <c r="G2812" s="81">
        <f>IF(D2812="","",IFERROR(INDEX('Stock pièces'!$I$5:$I$404,MATCH(D2812,'Stock pièces'!$A$5:$A$404,0)),0))</f>
        <v/>
      </c>
      <c r="H2812" s="81">
        <f>IF(D2812="","",N(F2812)*N(G2812))</f>
        <v/>
      </c>
      <c r="I2812" s="7" t="n"/>
      <c r="J2812" s="9">
        <f>IF(I2812="","",IFERROR(INDEX('Ordres de travail'!$D$5:$D$3004,MATCH(I2812,'Ordres de travail'!$A$5:$A$3004,0)),""))</f>
        <v/>
      </c>
      <c r="K2812" s="9">
        <f>IF(D2812="","",IFERROR(INDEX('Stock pièces'!$D$5:$D$404,MATCH(D2812,'Stock pièces'!$A$5:$A$404,0)),""))</f>
        <v/>
      </c>
      <c r="L2812" s="7" t="n"/>
      <c r="M2812" s="7" t="n"/>
    </row>
    <row r="2813">
      <c r="A2813" s="7" t="n"/>
      <c r="B2813" s="75" t="n"/>
      <c r="C2813" s="7" t="n"/>
      <c r="D2813" s="7" t="n"/>
      <c r="E2813" s="9">
        <f>IF(D2813="","",IFERROR(INDEX('Stock pièces'!$B$5:$B$404,MATCH(D2813,'Stock pièces'!$A$5:$A$404,0)),"Réf. inconnue"))</f>
        <v/>
      </c>
      <c r="F2813" s="67" t="n"/>
      <c r="G2813" s="81">
        <f>IF(D2813="","",IFERROR(INDEX('Stock pièces'!$I$5:$I$404,MATCH(D2813,'Stock pièces'!$A$5:$A$404,0)),0))</f>
        <v/>
      </c>
      <c r="H2813" s="81">
        <f>IF(D2813="","",N(F2813)*N(G2813))</f>
        <v/>
      </c>
      <c r="I2813" s="7" t="n"/>
      <c r="J2813" s="9">
        <f>IF(I2813="","",IFERROR(INDEX('Ordres de travail'!$D$5:$D$3004,MATCH(I2813,'Ordres de travail'!$A$5:$A$3004,0)),""))</f>
        <v/>
      </c>
      <c r="K2813" s="9">
        <f>IF(D2813="","",IFERROR(INDEX('Stock pièces'!$D$5:$D$404,MATCH(D2813,'Stock pièces'!$A$5:$A$404,0)),""))</f>
        <v/>
      </c>
      <c r="L2813" s="7" t="n"/>
      <c r="M2813" s="7" t="n"/>
    </row>
    <row r="2814">
      <c r="A2814" s="7" t="n"/>
      <c r="B2814" s="75" t="n"/>
      <c r="C2814" s="7" t="n"/>
      <c r="D2814" s="7" t="n"/>
      <c r="E2814" s="9">
        <f>IF(D2814="","",IFERROR(INDEX('Stock pièces'!$B$5:$B$404,MATCH(D2814,'Stock pièces'!$A$5:$A$404,0)),"Réf. inconnue"))</f>
        <v/>
      </c>
      <c r="F2814" s="67" t="n"/>
      <c r="G2814" s="81">
        <f>IF(D2814="","",IFERROR(INDEX('Stock pièces'!$I$5:$I$404,MATCH(D2814,'Stock pièces'!$A$5:$A$404,0)),0))</f>
        <v/>
      </c>
      <c r="H2814" s="81">
        <f>IF(D2814="","",N(F2814)*N(G2814))</f>
        <v/>
      </c>
      <c r="I2814" s="7" t="n"/>
      <c r="J2814" s="9">
        <f>IF(I2814="","",IFERROR(INDEX('Ordres de travail'!$D$5:$D$3004,MATCH(I2814,'Ordres de travail'!$A$5:$A$3004,0)),""))</f>
        <v/>
      </c>
      <c r="K2814" s="9">
        <f>IF(D2814="","",IFERROR(INDEX('Stock pièces'!$D$5:$D$404,MATCH(D2814,'Stock pièces'!$A$5:$A$404,0)),""))</f>
        <v/>
      </c>
      <c r="L2814" s="7" t="n"/>
      <c r="M2814" s="7" t="n"/>
    </row>
    <row r="2815">
      <c r="A2815" s="7" t="n"/>
      <c r="B2815" s="75" t="n"/>
      <c r="C2815" s="7" t="n"/>
      <c r="D2815" s="7" t="n"/>
      <c r="E2815" s="9">
        <f>IF(D2815="","",IFERROR(INDEX('Stock pièces'!$B$5:$B$404,MATCH(D2815,'Stock pièces'!$A$5:$A$404,0)),"Réf. inconnue"))</f>
        <v/>
      </c>
      <c r="F2815" s="67" t="n"/>
      <c r="G2815" s="81">
        <f>IF(D2815="","",IFERROR(INDEX('Stock pièces'!$I$5:$I$404,MATCH(D2815,'Stock pièces'!$A$5:$A$404,0)),0))</f>
        <v/>
      </c>
      <c r="H2815" s="81">
        <f>IF(D2815="","",N(F2815)*N(G2815))</f>
        <v/>
      </c>
      <c r="I2815" s="7" t="n"/>
      <c r="J2815" s="9">
        <f>IF(I2815="","",IFERROR(INDEX('Ordres de travail'!$D$5:$D$3004,MATCH(I2815,'Ordres de travail'!$A$5:$A$3004,0)),""))</f>
        <v/>
      </c>
      <c r="K2815" s="9">
        <f>IF(D2815="","",IFERROR(INDEX('Stock pièces'!$D$5:$D$404,MATCH(D2815,'Stock pièces'!$A$5:$A$404,0)),""))</f>
        <v/>
      </c>
      <c r="L2815" s="7" t="n"/>
      <c r="M2815" s="7" t="n"/>
    </row>
    <row r="2816">
      <c r="A2816" s="7" t="n"/>
      <c r="B2816" s="75" t="n"/>
      <c r="C2816" s="7" t="n"/>
      <c r="D2816" s="7" t="n"/>
      <c r="E2816" s="9">
        <f>IF(D2816="","",IFERROR(INDEX('Stock pièces'!$B$5:$B$404,MATCH(D2816,'Stock pièces'!$A$5:$A$404,0)),"Réf. inconnue"))</f>
        <v/>
      </c>
      <c r="F2816" s="67" t="n"/>
      <c r="G2816" s="81">
        <f>IF(D2816="","",IFERROR(INDEX('Stock pièces'!$I$5:$I$404,MATCH(D2816,'Stock pièces'!$A$5:$A$404,0)),0))</f>
        <v/>
      </c>
      <c r="H2816" s="81">
        <f>IF(D2816="","",N(F2816)*N(G2816))</f>
        <v/>
      </c>
      <c r="I2816" s="7" t="n"/>
      <c r="J2816" s="9">
        <f>IF(I2816="","",IFERROR(INDEX('Ordres de travail'!$D$5:$D$3004,MATCH(I2816,'Ordres de travail'!$A$5:$A$3004,0)),""))</f>
        <v/>
      </c>
      <c r="K2816" s="9">
        <f>IF(D2816="","",IFERROR(INDEX('Stock pièces'!$D$5:$D$404,MATCH(D2816,'Stock pièces'!$A$5:$A$404,0)),""))</f>
        <v/>
      </c>
      <c r="L2816" s="7" t="n"/>
      <c r="M2816" s="7" t="n"/>
    </row>
    <row r="2817">
      <c r="A2817" s="7" t="n"/>
      <c r="B2817" s="75" t="n"/>
      <c r="C2817" s="7" t="n"/>
      <c r="D2817" s="7" t="n"/>
      <c r="E2817" s="9">
        <f>IF(D2817="","",IFERROR(INDEX('Stock pièces'!$B$5:$B$404,MATCH(D2817,'Stock pièces'!$A$5:$A$404,0)),"Réf. inconnue"))</f>
        <v/>
      </c>
      <c r="F2817" s="67" t="n"/>
      <c r="G2817" s="81">
        <f>IF(D2817="","",IFERROR(INDEX('Stock pièces'!$I$5:$I$404,MATCH(D2817,'Stock pièces'!$A$5:$A$404,0)),0))</f>
        <v/>
      </c>
      <c r="H2817" s="81">
        <f>IF(D2817="","",N(F2817)*N(G2817))</f>
        <v/>
      </c>
      <c r="I2817" s="7" t="n"/>
      <c r="J2817" s="9">
        <f>IF(I2817="","",IFERROR(INDEX('Ordres de travail'!$D$5:$D$3004,MATCH(I2817,'Ordres de travail'!$A$5:$A$3004,0)),""))</f>
        <v/>
      </c>
      <c r="K2817" s="9">
        <f>IF(D2817="","",IFERROR(INDEX('Stock pièces'!$D$5:$D$404,MATCH(D2817,'Stock pièces'!$A$5:$A$404,0)),""))</f>
        <v/>
      </c>
      <c r="L2817" s="7" t="n"/>
      <c r="M2817" s="7" t="n"/>
    </row>
    <row r="2818">
      <c r="A2818" s="7" t="n"/>
      <c r="B2818" s="75" t="n"/>
      <c r="C2818" s="7" t="n"/>
      <c r="D2818" s="7" t="n"/>
      <c r="E2818" s="9">
        <f>IF(D2818="","",IFERROR(INDEX('Stock pièces'!$B$5:$B$404,MATCH(D2818,'Stock pièces'!$A$5:$A$404,0)),"Réf. inconnue"))</f>
        <v/>
      </c>
      <c r="F2818" s="67" t="n"/>
      <c r="G2818" s="81">
        <f>IF(D2818="","",IFERROR(INDEX('Stock pièces'!$I$5:$I$404,MATCH(D2818,'Stock pièces'!$A$5:$A$404,0)),0))</f>
        <v/>
      </c>
      <c r="H2818" s="81">
        <f>IF(D2818="","",N(F2818)*N(G2818))</f>
        <v/>
      </c>
      <c r="I2818" s="7" t="n"/>
      <c r="J2818" s="9">
        <f>IF(I2818="","",IFERROR(INDEX('Ordres de travail'!$D$5:$D$3004,MATCH(I2818,'Ordres de travail'!$A$5:$A$3004,0)),""))</f>
        <v/>
      </c>
      <c r="K2818" s="9">
        <f>IF(D2818="","",IFERROR(INDEX('Stock pièces'!$D$5:$D$404,MATCH(D2818,'Stock pièces'!$A$5:$A$404,0)),""))</f>
        <v/>
      </c>
      <c r="L2818" s="7" t="n"/>
      <c r="M2818" s="7" t="n"/>
    </row>
    <row r="2819">
      <c r="A2819" s="7" t="n"/>
      <c r="B2819" s="75" t="n"/>
      <c r="C2819" s="7" t="n"/>
      <c r="D2819" s="7" t="n"/>
      <c r="E2819" s="9">
        <f>IF(D2819="","",IFERROR(INDEX('Stock pièces'!$B$5:$B$404,MATCH(D2819,'Stock pièces'!$A$5:$A$404,0)),"Réf. inconnue"))</f>
        <v/>
      </c>
      <c r="F2819" s="67" t="n"/>
      <c r="G2819" s="81">
        <f>IF(D2819="","",IFERROR(INDEX('Stock pièces'!$I$5:$I$404,MATCH(D2819,'Stock pièces'!$A$5:$A$404,0)),0))</f>
        <v/>
      </c>
      <c r="H2819" s="81">
        <f>IF(D2819="","",N(F2819)*N(G2819))</f>
        <v/>
      </c>
      <c r="I2819" s="7" t="n"/>
      <c r="J2819" s="9">
        <f>IF(I2819="","",IFERROR(INDEX('Ordres de travail'!$D$5:$D$3004,MATCH(I2819,'Ordres de travail'!$A$5:$A$3004,0)),""))</f>
        <v/>
      </c>
      <c r="K2819" s="9">
        <f>IF(D2819="","",IFERROR(INDEX('Stock pièces'!$D$5:$D$404,MATCH(D2819,'Stock pièces'!$A$5:$A$404,0)),""))</f>
        <v/>
      </c>
      <c r="L2819" s="7" t="n"/>
      <c r="M2819" s="7" t="n"/>
    </row>
    <row r="2820">
      <c r="A2820" s="7" t="n"/>
      <c r="B2820" s="75" t="n"/>
      <c r="C2820" s="7" t="n"/>
      <c r="D2820" s="7" t="n"/>
      <c r="E2820" s="9">
        <f>IF(D2820="","",IFERROR(INDEX('Stock pièces'!$B$5:$B$404,MATCH(D2820,'Stock pièces'!$A$5:$A$404,0)),"Réf. inconnue"))</f>
        <v/>
      </c>
      <c r="F2820" s="67" t="n"/>
      <c r="G2820" s="81">
        <f>IF(D2820="","",IFERROR(INDEX('Stock pièces'!$I$5:$I$404,MATCH(D2820,'Stock pièces'!$A$5:$A$404,0)),0))</f>
        <v/>
      </c>
      <c r="H2820" s="81">
        <f>IF(D2820="","",N(F2820)*N(G2820))</f>
        <v/>
      </c>
      <c r="I2820" s="7" t="n"/>
      <c r="J2820" s="9">
        <f>IF(I2820="","",IFERROR(INDEX('Ordres de travail'!$D$5:$D$3004,MATCH(I2820,'Ordres de travail'!$A$5:$A$3004,0)),""))</f>
        <v/>
      </c>
      <c r="K2820" s="9">
        <f>IF(D2820="","",IFERROR(INDEX('Stock pièces'!$D$5:$D$404,MATCH(D2820,'Stock pièces'!$A$5:$A$404,0)),""))</f>
        <v/>
      </c>
      <c r="L2820" s="7" t="n"/>
      <c r="M2820" s="7" t="n"/>
    </row>
    <row r="2821">
      <c r="A2821" s="7" t="n"/>
      <c r="B2821" s="75" t="n"/>
      <c r="C2821" s="7" t="n"/>
      <c r="D2821" s="7" t="n"/>
      <c r="E2821" s="9">
        <f>IF(D2821="","",IFERROR(INDEX('Stock pièces'!$B$5:$B$404,MATCH(D2821,'Stock pièces'!$A$5:$A$404,0)),"Réf. inconnue"))</f>
        <v/>
      </c>
      <c r="F2821" s="67" t="n"/>
      <c r="G2821" s="81">
        <f>IF(D2821="","",IFERROR(INDEX('Stock pièces'!$I$5:$I$404,MATCH(D2821,'Stock pièces'!$A$5:$A$404,0)),0))</f>
        <v/>
      </c>
      <c r="H2821" s="81">
        <f>IF(D2821="","",N(F2821)*N(G2821))</f>
        <v/>
      </c>
      <c r="I2821" s="7" t="n"/>
      <c r="J2821" s="9">
        <f>IF(I2821="","",IFERROR(INDEX('Ordres de travail'!$D$5:$D$3004,MATCH(I2821,'Ordres de travail'!$A$5:$A$3004,0)),""))</f>
        <v/>
      </c>
      <c r="K2821" s="9">
        <f>IF(D2821="","",IFERROR(INDEX('Stock pièces'!$D$5:$D$404,MATCH(D2821,'Stock pièces'!$A$5:$A$404,0)),""))</f>
        <v/>
      </c>
      <c r="L2821" s="7" t="n"/>
      <c r="M2821" s="7" t="n"/>
    </row>
    <row r="2822">
      <c r="A2822" s="7" t="n"/>
      <c r="B2822" s="75" t="n"/>
      <c r="C2822" s="7" t="n"/>
      <c r="D2822" s="7" t="n"/>
      <c r="E2822" s="9">
        <f>IF(D2822="","",IFERROR(INDEX('Stock pièces'!$B$5:$B$404,MATCH(D2822,'Stock pièces'!$A$5:$A$404,0)),"Réf. inconnue"))</f>
        <v/>
      </c>
      <c r="F2822" s="67" t="n"/>
      <c r="G2822" s="81">
        <f>IF(D2822="","",IFERROR(INDEX('Stock pièces'!$I$5:$I$404,MATCH(D2822,'Stock pièces'!$A$5:$A$404,0)),0))</f>
        <v/>
      </c>
      <c r="H2822" s="81">
        <f>IF(D2822="","",N(F2822)*N(G2822))</f>
        <v/>
      </c>
      <c r="I2822" s="7" t="n"/>
      <c r="J2822" s="9">
        <f>IF(I2822="","",IFERROR(INDEX('Ordres de travail'!$D$5:$D$3004,MATCH(I2822,'Ordres de travail'!$A$5:$A$3004,0)),""))</f>
        <v/>
      </c>
      <c r="K2822" s="9">
        <f>IF(D2822="","",IFERROR(INDEX('Stock pièces'!$D$5:$D$404,MATCH(D2822,'Stock pièces'!$A$5:$A$404,0)),""))</f>
        <v/>
      </c>
      <c r="L2822" s="7" t="n"/>
      <c r="M2822" s="7" t="n"/>
    </row>
    <row r="2823">
      <c r="A2823" s="7" t="n"/>
      <c r="B2823" s="75" t="n"/>
      <c r="C2823" s="7" t="n"/>
      <c r="D2823" s="7" t="n"/>
      <c r="E2823" s="9">
        <f>IF(D2823="","",IFERROR(INDEX('Stock pièces'!$B$5:$B$404,MATCH(D2823,'Stock pièces'!$A$5:$A$404,0)),"Réf. inconnue"))</f>
        <v/>
      </c>
      <c r="F2823" s="67" t="n"/>
      <c r="G2823" s="81">
        <f>IF(D2823="","",IFERROR(INDEX('Stock pièces'!$I$5:$I$404,MATCH(D2823,'Stock pièces'!$A$5:$A$404,0)),0))</f>
        <v/>
      </c>
      <c r="H2823" s="81">
        <f>IF(D2823="","",N(F2823)*N(G2823))</f>
        <v/>
      </c>
      <c r="I2823" s="7" t="n"/>
      <c r="J2823" s="9">
        <f>IF(I2823="","",IFERROR(INDEX('Ordres de travail'!$D$5:$D$3004,MATCH(I2823,'Ordres de travail'!$A$5:$A$3004,0)),""))</f>
        <v/>
      </c>
      <c r="K2823" s="9">
        <f>IF(D2823="","",IFERROR(INDEX('Stock pièces'!$D$5:$D$404,MATCH(D2823,'Stock pièces'!$A$5:$A$404,0)),""))</f>
        <v/>
      </c>
      <c r="L2823" s="7" t="n"/>
      <c r="M2823" s="7" t="n"/>
    </row>
    <row r="2824">
      <c r="A2824" s="7" t="n"/>
      <c r="B2824" s="75" t="n"/>
      <c r="C2824" s="7" t="n"/>
      <c r="D2824" s="7" t="n"/>
      <c r="E2824" s="9">
        <f>IF(D2824="","",IFERROR(INDEX('Stock pièces'!$B$5:$B$404,MATCH(D2824,'Stock pièces'!$A$5:$A$404,0)),"Réf. inconnue"))</f>
        <v/>
      </c>
      <c r="F2824" s="67" t="n"/>
      <c r="G2824" s="81">
        <f>IF(D2824="","",IFERROR(INDEX('Stock pièces'!$I$5:$I$404,MATCH(D2824,'Stock pièces'!$A$5:$A$404,0)),0))</f>
        <v/>
      </c>
      <c r="H2824" s="81">
        <f>IF(D2824="","",N(F2824)*N(G2824))</f>
        <v/>
      </c>
      <c r="I2824" s="7" t="n"/>
      <c r="J2824" s="9">
        <f>IF(I2824="","",IFERROR(INDEX('Ordres de travail'!$D$5:$D$3004,MATCH(I2824,'Ordres de travail'!$A$5:$A$3004,0)),""))</f>
        <v/>
      </c>
      <c r="K2824" s="9">
        <f>IF(D2824="","",IFERROR(INDEX('Stock pièces'!$D$5:$D$404,MATCH(D2824,'Stock pièces'!$A$5:$A$404,0)),""))</f>
        <v/>
      </c>
      <c r="L2824" s="7" t="n"/>
      <c r="M2824" s="7" t="n"/>
    </row>
    <row r="2825">
      <c r="A2825" s="7" t="n"/>
      <c r="B2825" s="75" t="n"/>
      <c r="C2825" s="7" t="n"/>
      <c r="D2825" s="7" t="n"/>
      <c r="E2825" s="9">
        <f>IF(D2825="","",IFERROR(INDEX('Stock pièces'!$B$5:$B$404,MATCH(D2825,'Stock pièces'!$A$5:$A$404,0)),"Réf. inconnue"))</f>
        <v/>
      </c>
      <c r="F2825" s="67" t="n"/>
      <c r="G2825" s="81">
        <f>IF(D2825="","",IFERROR(INDEX('Stock pièces'!$I$5:$I$404,MATCH(D2825,'Stock pièces'!$A$5:$A$404,0)),0))</f>
        <v/>
      </c>
      <c r="H2825" s="81">
        <f>IF(D2825="","",N(F2825)*N(G2825))</f>
        <v/>
      </c>
      <c r="I2825" s="7" t="n"/>
      <c r="J2825" s="9">
        <f>IF(I2825="","",IFERROR(INDEX('Ordres de travail'!$D$5:$D$3004,MATCH(I2825,'Ordres de travail'!$A$5:$A$3004,0)),""))</f>
        <v/>
      </c>
      <c r="K2825" s="9">
        <f>IF(D2825="","",IFERROR(INDEX('Stock pièces'!$D$5:$D$404,MATCH(D2825,'Stock pièces'!$A$5:$A$404,0)),""))</f>
        <v/>
      </c>
      <c r="L2825" s="7" t="n"/>
      <c r="M2825" s="7" t="n"/>
    </row>
    <row r="2826">
      <c r="A2826" s="7" t="n"/>
      <c r="B2826" s="75" t="n"/>
      <c r="C2826" s="7" t="n"/>
      <c r="D2826" s="7" t="n"/>
      <c r="E2826" s="9">
        <f>IF(D2826="","",IFERROR(INDEX('Stock pièces'!$B$5:$B$404,MATCH(D2826,'Stock pièces'!$A$5:$A$404,0)),"Réf. inconnue"))</f>
        <v/>
      </c>
      <c r="F2826" s="67" t="n"/>
      <c r="G2826" s="81">
        <f>IF(D2826="","",IFERROR(INDEX('Stock pièces'!$I$5:$I$404,MATCH(D2826,'Stock pièces'!$A$5:$A$404,0)),0))</f>
        <v/>
      </c>
      <c r="H2826" s="81">
        <f>IF(D2826="","",N(F2826)*N(G2826))</f>
        <v/>
      </c>
      <c r="I2826" s="7" t="n"/>
      <c r="J2826" s="9">
        <f>IF(I2826="","",IFERROR(INDEX('Ordres de travail'!$D$5:$D$3004,MATCH(I2826,'Ordres de travail'!$A$5:$A$3004,0)),""))</f>
        <v/>
      </c>
      <c r="K2826" s="9">
        <f>IF(D2826="","",IFERROR(INDEX('Stock pièces'!$D$5:$D$404,MATCH(D2826,'Stock pièces'!$A$5:$A$404,0)),""))</f>
        <v/>
      </c>
      <c r="L2826" s="7" t="n"/>
      <c r="M2826" s="7" t="n"/>
    </row>
    <row r="2827">
      <c r="A2827" s="7" t="n"/>
      <c r="B2827" s="75" t="n"/>
      <c r="C2827" s="7" t="n"/>
      <c r="D2827" s="7" t="n"/>
      <c r="E2827" s="9">
        <f>IF(D2827="","",IFERROR(INDEX('Stock pièces'!$B$5:$B$404,MATCH(D2827,'Stock pièces'!$A$5:$A$404,0)),"Réf. inconnue"))</f>
        <v/>
      </c>
      <c r="F2827" s="67" t="n"/>
      <c r="G2827" s="81">
        <f>IF(D2827="","",IFERROR(INDEX('Stock pièces'!$I$5:$I$404,MATCH(D2827,'Stock pièces'!$A$5:$A$404,0)),0))</f>
        <v/>
      </c>
      <c r="H2827" s="81">
        <f>IF(D2827="","",N(F2827)*N(G2827))</f>
        <v/>
      </c>
      <c r="I2827" s="7" t="n"/>
      <c r="J2827" s="9">
        <f>IF(I2827="","",IFERROR(INDEX('Ordres de travail'!$D$5:$D$3004,MATCH(I2827,'Ordres de travail'!$A$5:$A$3004,0)),""))</f>
        <v/>
      </c>
      <c r="K2827" s="9">
        <f>IF(D2827="","",IFERROR(INDEX('Stock pièces'!$D$5:$D$404,MATCH(D2827,'Stock pièces'!$A$5:$A$404,0)),""))</f>
        <v/>
      </c>
      <c r="L2827" s="7" t="n"/>
      <c r="M2827" s="7" t="n"/>
    </row>
    <row r="2828">
      <c r="A2828" s="7" t="n"/>
      <c r="B2828" s="75" t="n"/>
      <c r="C2828" s="7" t="n"/>
      <c r="D2828" s="7" t="n"/>
      <c r="E2828" s="9">
        <f>IF(D2828="","",IFERROR(INDEX('Stock pièces'!$B$5:$B$404,MATCH(D2828,'Stock pièces'!$A$5:$A$404,0)),"Réf. inconnue"))</f>
        <v/>
      </c>
      <c r="F2828" s="67" t="n"/>
      <c r="G2828" s="81">
        <f>IF(D2828="","",IFERROR(INDEX('Stock pièces'!$I$5:$I$404,MATCH(D2828,'Stock pièces'!$A$5:$A$404,0)),0))</f>
        <v/>
      </c>
      <c r="H2828" s="81">
        <f>IF(D2828="","",N(F2828)*N(G2828))</f>
        <v/>
      </c>
      <c r="I2828" s="7" t="n"/>
      <c r="J2828" s="9">
        <f>IF(I2828="","",IFERROR(INDEX('Ordres de travail'!$D$5:$D$3004,MATCH(I2828,'Ordres de travail'!$A$5:$A$3004,0)),""))</f>
        <v/>
      </c>
      <c r="K2828" s="9">
        <f>IF(D2828="","",IFERROR(INDEX('Stock pièces'!$D$5:$D$404,MATCH(D2828,'Stock pièces'!$A$5:$A$404,0)),""))</f>
        <v/>
      </c>
      <c r="L2828" s="7" t="n"/>
      <c r="M2828" s="7" t="n"/>
    </row>
    <row r="2829">
      <c r="A2829" s="7" t="n"/>
      <c r="B2829" s="75" t="n"/>
      <c r="C2829" s="7" t="n"/>
      <c r="D2829" s="7" t="n"/>
      <c r="E2829" s="9">
        <f>IF(D2829="","",IFERROR(INDEX('Stock pièces'!$B$5:$B$404,MATCH(D2829,'Stock pièces'!$A$5:$A$404,0)),"Réf. inconnue"))</f>
        <v/>
      </c>
      <c r="F2829" s="67" t="n"/>
      <c r="G2829" s="81">
        <f>IF(D2829="","",IFERROR(INDEX('Stock pièces'!$I$5:$I$404,MATCH(D2829,'Stock pièces'!$A$5:$A$404,0)),0))</f>
        <v/>
      </c>
      <c r="H2829" s="81">
        <f>IF(D2829="","",N(F2829)*N(G2829))</f>
        <v/>
      </c>
      <c r="I2829" s="7" t="n"/>
      <c r="J2829" s="9">
        <f>IF(I2829="","",IFERROR(INDEX('Ordres de travail'!$D$5:$D$3004,MATCH(I2829,'Ordres de travail'!$A$5:$A$3004,0)),""))</f>
        <v/>
      </c>
      <c r="K2829" s="9">
        <f>IF(D2829="","",IFERROR(INDEX('Stock pièces'!$D$5:$D$404,MATCH(D2829,'Stock pièces'!$A$5:$A$404,0)),""))</f>
        <v/>
      </c>
      <c r="L2829" s="7" t="n"/>
      <c r="M2829" s="7" t="n"/>
    </row>
    <row r="2830">
      <c r="A2830" s="7" t="n"/>
      <c r="B2830" s="75" t="n"/>
      <c r="C2830" s="7" t="n"/>
      <c r="D2830" s="7" t="n"/>
      <c r="E2830" s="9">
        <f>IF(D2830="","",IFERROR(INDEX('Stock pièces'!$B$5:$B$404,MATCH(D2830,'Stock pièces'!$A$5:$A$404,0)),"Réf. inconnue"))</f>
        <v/>
      </c>
      <c r="F2830" s="67" t="n"/>
      <c r="G2830" s="81">
        <f>IF(D2830="","",IFERROR(INDEX('Stock pièces'!$I$5:$I$404,MATCH(D2830,'Stock pièces'!$A$5:$A$404,0)),0))</f>
        <v/>
      </c>
      <c r="H2830" s="81">
        <f>IF(D2830="","",N(F2830)*N(G2830))</f>
        <v/>
      </c>
      <c r="I2830" s="7" t="n"/>
      <c r="J2830" s="9">
        <f>IF(I2830="","",IFERROR(INDEX('Ordres de travail'!$D$5:$D$3004,MATCH(I2830,'Ordres de travail'!$A$5:$A$3004,0)),""))</f>
        <v/>
      </c>
      <c r="K2830" s="9">
        <f>IF(D2830="","",IFERROR(INDEX('Stock pièces'!$D$5:$D$404,MATCH(D2830,'Stock pièces'!$A$5:$A$404,0)),""))</f>
        <v/>
      </c>
      <c r="L2830" s="7" t="n"/>
      <c r="M2830" s="7" t="n"/>
    </row>
    <row r="2831">
      <c r="A2831" s="7" t="n"/>
      <c r="B2831" s="75" t="n"/>
      <c r="C2831" s="7" t="n"/>
      <c r="D2831" s="7" t="n"/>
      <c r="E2831" s="9">
        <f>IF(D2831="","",IFERROR(INDEX('Stock pièces'!$B$5:$B$404,MATCH(D2831,'Stock pièces'!$A$5:$A$404,0)),"Réf. inconnue"))</f>
        <v/>
      </c>
      <c r="F2831" s="67" t="n"/>
      <c r="G2831" s="81">
        <f>IF(D2831="","",IFERROR(INDEX('Stock pièces'!$I$5:$I$404,MATCH(D2831,'Stock pièces'!$A$5:$A$404,0)),0))</f>
        <v/>
      </c>
      <c r="H2831" s="81">
        <f>IF(D2831="","",N(F2831)*N(G2831))</f>
        <v/>
      </c>
      <c r="I2831" s="7" t="n"/>
      <c r="J2831" s="9">
        <f>IF(I2831="","",IFERROR(INDEX('Ordres de travail'!$D$5:$D$3004,MATCH(I2831,'Ordres de travail'!$A$5:$A$3004,0)),""))</f>
        <v/>
      </c>
      <c r="K2831" s="9">
        <f>IF(D2831="","",IFERROR(INDEX('Stock pièces'!$D$5:$D$404,MATCH(D2831,'Stock pièces'!$A$5:$A$404,0)),""))</f>
        <v/>
      </c>
      <c r="L2831" s="7" t="n"/>
      <c r="M2831" s="7" t="n"/>
    </row>
    <row r="2832">
      <c r="A2832" s="7" t="n"/>
      <c r="B2832" s="75" t="n"/>
      <c r="C2832" s="7" t="n"/>
      <c r="D2832" s="7" t="n"/>
      <c r="E2832" s="9">
        <f>IF(D2832="","",IFERROR(INDEX('Stock pièces'!$B$5:$B$404,MATCH(D2832,'Stock pièces'!$A$5:$A$404,0)),"Réf. inconnue"))</f>
        <v/>
      </c>
      <c r="F2832" s="67" t="n"/>
      <c r="G2832" s="81">
        <f>IF(D2832="","",IFERROR(INDEX('Stock pièces'!$I$5:$I$404,MATCH(D2832,'Stock pièces'!$A$5:$A$404,0)),0))</f>
        <v/>
      </c>
      <c r="H2832" s="81">
        <f>IF(D2832="","",N(F2832)*N(G2832))</f>
        <v/>
      </c>
      <c r="I2832" s="7" t="n"/>
      <c r="J2832" s="9">
        <f>IF(I2832="","",IFERROR(INDEX('Ordres de travail'!$D$5:$D$3004,MATCH(I2832,'Ordres de travail'!$A$5:$A$3004,0)),""))</f>
        <v/>
      </c>
      <c r="K2832" s="9">
        <f>IF(D2832="","",IFERROR(INDEX('Stock pièces'!$D$5:$D$404,MATCH(D2832,'Stock pièces'!$A$5:$A$404,0)),""))</f>
        <v/>
      </c>
      <c r="L2832" s="7" t="n"/>
      <c r="M2832" s="7" t="n"/>
    </row>
    <row r="2833">
      <c r="A2833" s="7" t="n"/>
      <c r="B2833" s="75" t="n"/>
      <c r="C2833" s="7" t="n"/>
      <c r="D2833" s="7" t="n"/>
      <c r="E2833" s="9">
        <f>IF(D2833="","",IFERROR(INDEX('Stock pièces'!$B$5:$B$404,MATCH(D2833,'Stock pièces'!$A$5:$A$404,0)),"Réf. inconnue"))</f>
        <v/>
      </c>
      <c r="F2833" s="67" t="n"/>
      <c r="G2833" s="81">
        <f>IF(D2833="","",IFERROR(INDEX('Stock pièces'!$I$5:$I$404,MATCH(D2833,'Stock pièces'!$A$5:$A$404,0)),0))</f>
        <v/>
      </c>
      <c r="H2833" s="81">
        <f>IF(D2833="","",N(F2833)*N(G2833))</f>
        <v/>
      </c>
      <c r="I2833" s="7" t="n"/>
      <c r="J2833" s="9">
        <f>IF(I2833="","",IFERROR(INDEX('Ordres de travail'!$D$5:$D$3004,MATCH(I2833,'Ordres de travail'!$A$5:$A$3004,0)),""))</f>
        <v/>
      </c>
      <c r="K2833" s="9">
        <f>IF(D2833="","",IFERROR(INDEX('Stock pièces'!$D$5:$D$404,MATCH(D2833,'Stock pièces'!$A$5:$A$404,0)),""))</f>
        <v/>
      </c>
      <c r="L2833" s="7" t="n"/>
      <c r="M2833" s="7" t="n"/>
    </row>
    <row r="2834">
      <c r="A2834" s="7" t="n"/>
      <c r="B2834" s="75" t="n"/>
      <c r="C2834" s="7" t="n"/>
      <c r="D2834" s="7" t="n"/>
      <c r="E2834" s="9">
        <f>IF(D2834="","",IFERROR(INDEX('Stock pièces'!$B$5:$B$404,MATCH(D2834,'Stock pièces'!$A$5:$A$404,0)),"Réf. inconnue"))</f>
        <v/>
      </c>
      <c r="F2834" s="67" t="n"/>
      <c r="G2834" s="81">
        <f>IF(D2834="","",IFERROR(INDEX('Stock pièces'!$I$5:$I$404,MATCH(D2834,'Stock pièces'!$A$5:$A$404,0)),0))</f>
        <v/>
      </c>
      <c r="H2834" s="81">
        <f>IF(D2834="","",N(F2834)*N(G2834))</f>
        <v/>
      </c>
      <c r="I2834" s="7" t="n"/>
      <c r="J2834" s="9">
        <f>IF(I2834="","",IFERROR(INDEX('Ordres de travail'!$D$5:$D$3004,MATCH(I2834,'Ordres de travail'!$A$5:$A$3004,0)),""))</f>
        <v/>
      </c>
      <c r="K2834" s="9">
        <f>IF(D2834="","",IFERROR(INDEX('Stock pièces'!$D$5:$D$404,MATCH(D2834,'Stock pièces'!$A$5:$A$404,0)),""))</f>
        <v/>
      </c>
      <c r="L2834" s="7" t="n"/>
      <c r="M2834" s="7" t="n"/>
    </row>
    <row r="2835">
      <c r="A2835" s="7" t="n"/>
      <c r="B2835" s="75" t="n"/>
      <c r="C2835" s="7" t="n"/>
      <c r="D2835" s="7" t="n"/>
      <c r="E2835" s="9">
        <f>IF(D2835="","",IFERROR(INDEX('Stock pièces'!$B$5:$B$404,MATCH(D2835,'Stock pièces'!$A$5:$A$404,0)),"Réf. inconnue"))</f>
        <v/>
      </c>
      <c r="F2835" s="67" t="n"/>
      <c r="G2835" s="81">
        <f>IF(D2835="","",IFERROR(INDEX('Stock pièces'!$I$5:$I$404,MATCH(D2835,'Stock pièces'!$A$5:$A$404,0)),0))</f>
        <v/>
      </c>
      <c r="H2835" s="81">
        <f>IF(D2835="","",N(F2835)*N(G2835))</f>
        <v/>
      </c>
      <c r="I2835" s="7" t="n"/>
      <c r="J2835" s="9">
        <f>IF(I2835="","",IFERROR(INDEX('Ordres de travail'!$D$5:$D$3004,MATCH(I2835,'Ordres de travail'!$A$5:$A$3004,0)),""))</f>
        <v/>
      </c>
      <c r="K2835" s="9">
        <f>IF(D2835="","",IFERROR(INDEX('Stock pièces'!$D$5:$D$404,MATCH(D2835,'Stock pièces'!$A$5:$A$404,0)),""))</f>
        <v/>
      </c>
      <c r="L2835" s="7" t="n"/>
      <c r="M2835" s="7" t="n"/>
    </row>
    <row r="2836">
      <c r="A2836" s="7" t="n"/>
      <c r="B2836" s="75" t="n"/>
      <c r="C2836" s="7" t="n"/>
      <c r="D2836" s="7" t="n"/>
      <c r="E2836" s="9">
        <f>IF(D2836="","",IFERROR(INDEX('Stock pièces'!$B$5:$B$404,MATCH(D2836,'Stock pièces'!$A$5:$A$404,0)),"Réf. inconnue"))</f>
        <v/>
      </c>
      <c r="F2836" s="67" t="n"/>
      <c r="G2836" s="81">
        <f>IF(D2836="","",IFERROR(INDEX('Stock pièces'!$I$5:$I$404,MATCH(D2836,'Stock pièces'!$A$5:$A$404,0)),0))</f>
        <v/>
      </c>
      <c r="H2836" s="81">
        <f>IF(D2836="","",N(F2836)*N(G2836))</f>
        <v/>
      </c>
      <c r="I2836" s="7" t="n"/>
      <c r="J2836" s="9">
        <f>IF(I2836="","",IFERROR(INDEX('Ordres de travail'!$D$5:$D$3004,MATCH(I2836,'Ordres de travail'!$A$5:$A$3004,0)),""))</f>
        <v/>
      </c>
      <c r="K2836" s="9">
        <f>IF(D2836="","",IFERROR(INDEX('Stock pièces'!$D$5:$D$404,MATCH(D2836,'Stock pièces'!$A$5:$A$404,0)),""))</f>
        <v/>
      </c>
      <c r="L2836" s="7" t="n"/>
      <c r="M2836" s="7" t="n"/>
    </row>
    <row r="2837">
      <c r="A2837" s="7" t="n"/>
      <c r="B2837" s="75" t="n"/>
      <c r="C2837" s="7" t="n"/>
      <c r="D2837" s="7" t="n"/>
      <c r="E2837" s="9">
        <f>IF(D2837="","",IFERROR(INDEX('Stock pièces'!$B$5:$B$404,MATCH(D2837,'Stock pièces'!$A$5:$A$404,0)),"Réf. inconnue"))</f>
        <v/>
      </c>
      <c r="F2837" s="67" t="n"/>
      <c r="G2837" s="81">
        <f>IF(D2837="","",IFERROR(INDEX('Stock pièces'!$I$5:$I$404,MATCH(D2837,'Stock pièces'!$A$5:$A$404,0)),0))</f>
        <v/>
      </c>
      <c r="H2837" s="81">
        <f>IF(D2837="","",N(F2837)*N(G2837))</f>
        <v/>
      </c>
      <c r="I2837" s="7" t="n"/>
      <c r="J2837" s="9">
        <f>IF(I2837="","",IFERROR(INDEX('Ordres de travail'!$D$5:$D$3004,MATCH(I2837,'Ordres de travail'!$A$5:$A$3004,0)),""))</f>
        <v/>
      </c>
      <c r="K2837" s="9">
        <f>IF(D2837="","",IFERROR(INDEX('Stock pièces'!$D$5:$D$404,MATCH(D2837,'Stock pièces'!$A$5:$A$404,0)),""))</f>
        <v/>
      </c>
      <c r="L2837" s="7" t="n"/>
      <c r="M2837" s="7" t="n"/>
    </row>
    <row r="2838">
      <c r="A2838" s="7" t="n"/>
      <c r="B2838" s="75" t="n"/>
      <c r="C2838" s="7" t="n"/>
      <c r="D2838" s="7" t="n"/>
      <c r="E2838" s="9">
        <f>IF(D2838="","",IFERROR(INDEX('Stock pièces'!$B$5:$B$404,MATCH(D2838,'Stock pièces'!$A$5:$A$404,0)),"Réf. inconnue"))</f>
        <v/>
      </c>
      <c r="F2838" s="67" t="n"/>
      <c r="G2838" s="81">
        <f>IF(D2838="","",IFERROR(INDEX('Stock pièces'!$I$5:$I$404,MATCH(D2838,'Stock pièces'!$A$5:$A$404,0)),0))</f>
        <v/>
      </c>
      <c r="H2838" s="81">
        <f>IF(D2838="","",N(F2838)*N(G2838))</f>
        <v/>
      </c>
      <c r="I2838" s="7" t="n"/>
      <c r="J2838" s="9">
        <f>IF(I2838="","",IFERROR(INDEX('Ordres de travail'!$D$5:$D$3004,MATCH(I2838,'Ordres de travail'!$A$5:$A$3004,0)),""))</f>
        <v/>
      </c>
      <c r="K2838" s="9">
        <f>IF(D2838="","",IFERROR(INDEX('Stock pièces'!$D$5:$D$404,MATCH(D2838,'Stock pièces'!$A$5:$A$404,0)),""))</f>
        <v/>
      </c>
      <c r="L2838" s="7" t="n"/>
      <c r="M2838" s="7" t="n"/>
    </row>
    <row r="2839">
      <c r="A2839" s="7" t="n"/>
      <c r="B2839" s="75" t="n"/>
      <c r="C2839" s="7" t="n"/>
      <c r="D2839" s="7" t="n"/>
      <c r="E2839" s="9">
        <f>IF(D2839="","",IFERROR(INDEX('Stock pièces'!$B$5:$B$404,MATCH(D2839,'Stock pièces'!$A$5:$A$404,0)),"Réf. inconnue"))</f>
        <v/>
      </c>
      <c r="F2839" s="67" t="n"/>
      <c r="G2839" s="81">
        <f>IF(D2839="","",IFERROR(INDEX('Stock pièces'!$I$5:$I$404,MATCH(D2839,'Stock pièces'!$A$5:$A$404,0)),0))</f>
        <v/>
      </c>
      <c r="H2839" s="81">
        <f>IF(D2839="","",N(F2839)*N(G2839))</f>
        <v/>
      </c>
      <c r="I2839" s="7" t="n"/>
      <c r="J2839" s="9">
        <f>IF(I2839="","",IFERROR(INDEX('Ordres de travail'!$D$5:$D$3004,MATCH(I2839,'Ordres de travail'!$A$5:$A$3004,0)),""))</f>
        <v/>
      </c>
      <c r="K2839" s="9">
        <f>IF(D2839="","",IFERROR(INDEX('Stock pièces'!$D$5:$D$404,MATCH(D2839,'Stock pièces'!$A$5:$A$404,0)),""))</f>
        <v/>
      </c>
      <c r="L2839" s="7" t="n"/>
      <c r="M2839" s="7" t="n"/>
    </row>
    <row r="2840">
      <c r="A2840" s="7" t="n"/>
      <c r="B2840" s="75" t="n"/>
      <c r="C2840" s="7" t="n"/>
      <c r="D2840" s="7" t="n"/>
      <c r="E2840" s="9">
        <f>IF(D2840="","",IFERROR(INDEX('Stock pièces'!$B$5:$B$404,MATCH(D2840,'Stock pièces'!$A$5:$A$404,0)),"Réf. inconnue"))</f>
        <v/>
      </c>
      <c r="F2840" s="67" t="n"/>
      <c r="G2840" s="81">
        <f>IF(D2840="","",IFERROR(INDEX('Stock pièces'!$I$5:$I$404,MATCH(D2840,'Stock pièces'!$A$5:$A$404,0)),0))</f>
        <v/>
      </c>
      <c r="H2840" s="81">
        <f>IF(D2840="","",N(F2840)*N(G2840))</f>
        <v/>
      </c>
      <c r="I2840" s="7" t="n"/>
      <c r="J2840" s="9">
        <f>IF(I2840="","",IFERROR(INDEX('Ordres de travail'!$D$5:$D$3004,MATCH(I2840,'Ordres de travail'!$A$5:$A$3004,0)),""))</f>
        <v/>
      </c>
      <c r="K2840" s="9">
        <f>IF(D2840="","",IFERROR(INDEX('Stock pièces'!$D$5:$D$404,MATCH(D2840,'Stock pièces'!$A$5:$A$404,0)),""))</f>
        <v/>
      </c>
      <c r="L2840" s="7" t="n"/>
      <c r="M2840" s="7" t="n"/>
    </row>
    <row r="2841">
      <c r="A2841" s="7" t="n"/>
      <c r="B2841" s="75" t="n"/>
      <c r="C2841" s="7" t="n"/>
      <c r="D2841" s="7" t="n"/>
      <c r="E2841" s="9">
        <f>IF(D2841="","",IFERROR(INDEX('Stock pièces'!$B$5:$B$404,MATCH(D2841,'Stock pièces'!$A$5:$A$404,0)),"Réf. inconnue"))</f>
        <v/>
      </c>
      <c r="F2841" s="67" t="n"/>
      <c r="G2841" s="81">
        <f>IF(D2841="","",IFERROR(INDEX('Stock pièces'!$I$5:$I$404,MATCH(D2841,'Stock pièces'!$A$5:$A$404,0)),0))</f>
        <v/>
      </c>
      <c r="H2841" s="81">
        <f>IF(D2841="","",N(F2841)*N(G2841))</f>
        <v/>
      </c>
      <c r="I2841" s="7" t="n"/>
      <c r="J2841" s="9">
        <f>IF(I2841="","",IFERROR(INDEX('Ordres de travail'!$D$5:$D$3004,MATCH(I2841,'Ordres de travail'!$A$5:$A$3004,0)),""))</f>
        <v/>
      </c>
      <c r="K2841" s="9">
        <f>IF(D2841="","",IFERROR(INDEX('Stock pièces'!$D$5:$D$404,MATCH(D2841,'Stock pièces'!$A$5:$A$404,0)),""))</f>
        <v/>
      </c>
      <c r="L2841" s="7" t="n"/>
      <c r="M2841" s="7" t="n"/>
    </row>
    <row r="2842">
      <c r="A2842" s="7" t="n"/>
      <c r="B2842" s="75" t="n"/>
      <c r="C2842" s="7" t="n"/>
      <c r="D2842" s="7" t="n"/>
      <c r="E2842" s="9">
        <f>IF(D2842="","",IFERROR(INDEX('Stock pièces'!$B$5:$B$404,MATCH(D2842,'Stock pièces'!$A$5:$A$404,0)),"Réf. inconnue"))</f>
        <v/>
      </c>
      <c r="F2842" s="67" t="n"/>
      <c r="G2842" s="81">
        <f>IF(D2842="","",IFERROR(INDEX('Stock pièces'!$I$5:$I$404,MATCH(D2842,'Stock pièces'!$A$5:$A$404,0)),0))</f>
        <v/>
      </c>
      <c r="H2842" s="81">
        <f>IF(D2842="","",N(F2842)*N(G2842))</f>
        <v/>
      </c>
      <c r="I2842" s="7" t="n"/>
      <c r="J2842" s="9">
        <f>IF(I2842="","",IFERROR(INDEX('Ordres de travail'!$D$5:$D$3004,MATCH(I2842,'Ordres de travail'!$A$5:$A$3004,0)),""))</f>
        <v/>
      </c>
      <c r="K2842" s="9">
        <f>IF(D2842="","",IFERROR(INDEX('Stock pièces'!$D$5:$D$404,MATCH(D2842,'Stock pièces'!$A$5:$A$404,0)),""))</f>
        <v/>
      </c>
      <c r="L2842" s="7" t="n"/>
      <c r="M2842" s="7" t="n"/>
    </row>
    <row r="2843">
      <c r="A2843" s="7" t="n"/>
      <c r="B2843" s="75" t="n"/>
      <c r="C2843" s="7" t="n"/>
      <c r="D2843" s="7" t="n"/>
      <c r="E2843" s="9">
        <f>IF(D2843="","",IFERROR(INDEX('Stock pièces'!$B$5:$B$404,MATCH(D2843,'Stock pièces'!$A$5:$A$404,0)),"Réf. inconnue"))</f>
        <v/>
      </c>
      <c r="F2843" s="67" t="n"/>
      <c r="G2843" s="81">
        <f>IF(D2843="","",IFERROR(INDEX('Stock pièces'!$I$5:$I$404,MATCH(D2843,'Stock pièces'!$A$5:$A$404,0)),0))</f>
        <v/>
      </c>
      <c r="H2843" s="81">
        <f>IF(D2843="","",N(F2843)*N(G2843))</f>
        <v/>
      </c>
      <c r="I2843" s="7" t="n"/>
      <c r="J2843" s="9">
        <f>IF(I2843="","",IFERROR(INDEX('Ordres de travail'!$D$5:$D$3004,MATCH(I2843,'Ordres de travail'!$A$5:$A$3004,0)),""))</f>
        <v/>
      </c>
      <c r="K2843" s="9">
        <f>IF(D2843="","",IFERROR(INDEX('Stock pièces'!$D$5:$D$404,MATCH(D2843,'Stock pièces'!$A$5:$A$404,0)),""))</f>
        <v/>
      </c>
      <c r="L2843" s="7" t="n"/>
      <c r="M2843" s="7" t="n"/>
    </row>
    <row r="2844">
      <c r="A2844" s="7" t="n"/>
      <c r="B2844" s="75" t="n"/>
      <c r="C2844" s="7" t="n"/>
      <c r="D2844" s="7" t="n"/>
      <c r="E2844" s="9">
        <f>IF(D2844="","",IFERROR(INDEX('Stock pièces'!$B$5:$B$404,MATCH(D2844,'Stock pièces'!$A$5:$A$404,0)),"Réf. inconnue"))</f>
        <v/>
      </c>
      <c r="F2844" s="67" t="n"/>
      <c r="G2844" s="81">
        <f>IF(D2844="","",IFERROR(INDEX('Stock pièces'!$I$5:$I$404,MATCH(D2844,'Stock pièces'!$A$5:$A$404,0)),0))</f>
        <v/>
      </c>
      <c r="H2844" s="81">
        <f>IF(D2844="","",N(F2844)*N(G2844))</f>
        <v/>
      </c>
      <c r="I2844" s="7" t="n"/>
      <c r="J2844" s="9">
        <f>IF(I2844="","",IFERROR(INDEX('Ordres de travail'!$D$5:$D$3004,MATCH(I2844,'Ordres de travail'!$A$5:$A$3004,0)),""))</f>
        <v/>
      </c>
      <c r="K2844" s="9">
        <f>IF(D2844="","",IFERROR(INDEX('Stock pièces'!$D$5:$D$404,MATCH(D2844,'Stock pièces'!$A$5:$A$404,0)),""))</f>
        <v/>
      </c>
      <c r="L2844" s="7" t="n"/>
      <c r="M2844" s="7" t="n"/>
    </row>
    <row r="2845">
      <c r="A2845" s="7" t="n"/>
      <c r="B2845" s="75" t="n"/>
      <c r="C2845" s="7" t="n"/>
      <c r="D2845" s="7" t="n"/>
      <c r="E2845" s="9">
        <f>IF(D2845="","",IFERROR(INDEX('Stock pièces'!$B$5:$B$404,MATCH(D2845,'Stock pièces'!$A$5:$A$404,0)),"Réf. inconnue"))</f>
        <v/>
      </c>
      <c r="F2845" s="67" t="n"/>
      <c r="G2845" s="81">
        <f>IF(D2845="","",IFERROR(INDEX('Stock pièces'!$I$5:$I$404,MATCH(D2845,'Stock pièces'!$A$5:$A$404,0)),0))</f>
        <v/>
      </c>
      <c r="H2845" s="81">
        <f>IF(D2845="","",N(F2845)*N(G2845))</f>
        <v/>
      </c>
      <c r="I2845" s="7" t="n"/>
      <c r="J2845" s="9">
        <f>IF(I2845="","",IFERROR(INDEX('Ordres de travail'!$D$5:$D$3004,MATCH(I2845,'Ordres de travail'!$A$5:$A$3004,0)),""))</f>
        <v/>
      </c>
      <c r="K2845" s="9">
        <f>IF(D2845="","",IFERROR(INDEX('Stock pièces'!$D$5:$D$404,MATCH(D2845,'Stock pièces'!$A$5:$A$404,0)),""))</f>
        <v/>
      </c>
      <c r="L2845" s="7" t="n"/>
      <c r="M2845" s="7" t="n"/>
    </row>
    <row r="2846">
      <c r="A2846" s="7" t="n"/>
      <c r="B2846" s="75" t="n"/>
      <c r="C2846" s="7" t="n"/>
      <c r="D2846" s="7" t="n"/>
      <c r="E2846" s="9">
        <f>IF(D2846="","",IFERROR(INDEX('Stock pièces'!$B$5:$B$404,MATCH(D2846,'Stock pièces'!$A$5:$A$404,0)),"Réf. inconnue"))</f>
        <v/>
      </c>
      <c r="F2846" s="67" t="n"/>
      <c r="G2846" s="81">
        <f>IF(D2846="","",IFERROR(INDEX('Stock pièces'!$I$5:$I$404,MATCH(D2846,'Stock pièces'!$A$5:$A$404,0)),0))</f>
        <v/>
      </c>
      <c r="H2846" s="81">
        <f>IF(D2846="","",N(F2846)*N(G2846))</f>
        <v/>
      </c>
      <c r="I2846" s="7" t="n"/>
      <c r="J2846" s="9">
        <f>IF(I2846="","",IFERROR(INDEX('Ordres de travail'!$D$5:$D$3004,MATCH(I2846,'Ordres de travail'!$A$5:$A$3004,0)),""))</f>
        <v/>
      </c>
      <c r="K2846" s="9">
        <f>IF(D2846="","",IFERROR(INDEX('Stock pièces'!$D$5:$D$404,MATCH(D2846,'Stock pièces'!$A$5:$A$404,0)),""))</f>
        <v/>
      </c>
      <c r="L2846" s="7" t="n"/>
      <c r="M2846" s="7" t="n"/>
    </row>
    <row r="2847">
      <c r="A2847" s="7" t="n"/>
      <c r="B2847" s="75" t="n"/>
      <c r="C2847" s="7" t="n"/>
      <c r="D2847" s="7" t="n"/>
      <c r="E2847" s="9">
        <f>IF(D2847="","",IFERROR(INDEX('Stock pièces'!$B$5:$B$404,MATCH(D2847,'Stock pièces'!$A$5:$A$404,0)),"Réf. inconnue"))</f>
        <v/>
      </c>
      <c r="F2847" s="67" t="n"/>
      <c r="G2847" s="81">
        <f>IF(D2847="","",IFERROR(INDEX('Stock pièces'!$I$5:$I$404,MATCH(D2847,'Stock pièces'!$A$5:$A$404,0)),0))</f>
        <v/>
      </c>
      <c r="H2847" s="81">
        <f>IF(D2847="","",N(F2847)*N(G2847))</f>
        <v/>
      </c>
      <c r="I2847" s="7" t="n"/>
      <c r="J2847" s="9">
        <f>IF(I2847="","",IFERROR(INDEX('Ordres de travail'!$D$5:$D$3004,MATCH(I2847,'Ordres de travail'!$A$5:$A$3004,0)),""))</f>
        <v/>
      </c>
      <c r="K2847" s="9">
        <f>IF(D2847="","",IFERROR(INDEX('Stock pièces'!$D$5:$D$404,MATCH(D2847,'Stock pièces'!$A$5:$A$404,0)),""))</f>
        <v/>
      </c>
      <c r="L2847" s="7" t="n"/>
      <c r="M2847" s="7" t="n"/>
    </row>
    <row r="2848">
      <c r="A2848" s="7" t="n"/>
      <c r="B2848" s="75" t="n"/>
      <c r="C2848" s="7" t="n"/>
      <c r="D2848" s="7" t="n"/>
      <c r="E2848" s="9">
        <f>IF(D2848="","",IFERROR(INDEX('Stock pièces'!$B$5:$B$404,MATCH(D2848,'Stock pièces'!$A$5:$A$404,0)),"Réf. inconnue"))</f>
        <v/>
      </c>
      <c r="F2848" s="67" t="n"/>
      <c r="G2848" s="81">
        <f>IF(D2848="","",IFERROR(INDEX('Stock pièces'!$I$5:$I$404,MATCH(D2848,'Stock pièces'!$A$5:$A$404,0)),0))</f>
        <v/>
      </c>
      <c r="H2848" s="81">
        <f>IF(D2848="","",N(F2848)*N(G2848))</f>
        <v/>
      </c>
      <c r="I2848" s="7" t="n"/>
      <c r="J2848" s="9">
        <f>IF(I2848="","",IFERROR(INDEX('Ordres de travail'!$D$5:$D$3004,MATCH(I2848,'Ordres de travail'!$A$5:$A$3004,0)),""))</f>
        <v/>
      </c>
      <c r="K2848" s="9">
        <f>IF(D2848="","",IFERROR(INDEX('Stock pièces'!$D$5:$D$404,MATCH(D2848,'Stock pièces'!$A$5:$A$404,0)),""))</f>
        <v/>
      </c>
      <c r="L2848" s="7" t="n"/>
      <c r="M2848" s="7" t="n"/>
    </row>
    <row r="2849">
      <c r="A2849" s="7" t="n"/>
      <c r="B2849" s="75" t="n"/>
      <c r="C2849" s="7" t="n"/>
      <c r="D2849" s="7" t="n"/>
      <c r="E2849" s="9">
        <f>IF(D2849="","",IFERROR(INDEX('Stock pièces'!$B$5:$B$404,MATCH(D2849,'Stock pièces'!$A$5:$A$404,0)),"Réf. inconnue"))</f>
        <v/>
      </c>
      <c r="F2849" s="67" t="n"/>
      <c r="G2849" s="81">
        <f>IF(D2849="","",IFERROR(INDEX('Stock pièces'!$I$5:$I$404,MATCH(D2849,'Stock pièces'!$A$5:$A$404,0)),0))</f>
        <v/>
      </c>
      <c r="H2849" s="81">
        <f>IF(D2849="","",N(F2849)*N(G2849))</f>
        <v/>
      </c>
      <c r="I2849" s="7" t="n"/>
      <c r="J2849" s="9">
        <f>IF(I2849="","",IFERROR(INDEX('Ordres de travail'!$D$5:$D$3004,MATCH(I2849,'Ordres de travail'!$A$5:$A$3004,0)),""))</f>
        <v/>
      </c>
      <c r="K2849" s="9">
        <f>IF(D2849="","",IFERROR(INDEX('Stock pièces'!$D$5:$D$404,MATCH(D2849,'Stock pièces'!$A$5:$A$404,0)),""))</f>
        <v/>
      </c>
      <c r="L2849" s="7" t="n"/>
      <c r="M2849" s="7" t="n"/>
    </row>
    <row r="2850">
      <c r="A2850" s="7" t="n"/>
      <c r="B2850" s="75" t="n"/>
      <c r="C2850" s="7" t="n"/>
      <c r="D2850" s="7" t="n"/>
      <c r="E2850" s="9">
        <f>IF(D2850="","",IFERROR(INDEX('Stock pièces'!$B$5:$B$404,MATCH(D2850,'Stock pièces'!$A$5:$A$404,0)),"Réf. inconnue"))</f>
        <v/>
      </c>
      <c r="F2850" s="67" t="n"/>
      <c r="G2850" s="81">
        <f>IF(D2850="","",IFERROR(INDEX('Stock pièces'!$I$5:$I$404,MATCH(D2850,'Stock pièces'!$A$5:$A$404,0)),0))</f>
        <v/>
      </c>
      <c r="H2850" s="81">
        <f>IF(D2850="","",N(F2850)*N(G2850))</f>
        <v/>
      </c>
      <c r="I2850" s="7" t="n"/>
      <c r="J2850" s="9">
        <f>IF(I2850="","",IFERROR(INDEX('Ordres de travail'!$D$5:$D$3004,MATCH(I2850,'Ordres de travail'!$A$5:$A$3004,0)),""))</f>
        <v/>
      </c>
      <c r="K2850" s="9">
        <f>IF(D2850="","",IFERROR(INDEX('Stock pièces'!$D$5:$D$404,MATCH(D2850,'Stock pièces'!$A$5:$A$404,0)),""))</f>
        <v/>
      </c>
      <c r="L2850" s="7" t="n"/>
      <c r="M2850" s="7" t="n"/>
    </row>
    <row r="2851">
      <c r="A2851" s="7" t="n"/>
      <c r="B2851" s="75" t="n"/>
      <c r="C2851" s="7" t="n"/>
      <c r="D2851" s="7" t="n"/>
      <c r="E2851" s="9">
        <f>IF(D2851="","",IFERROR(INDEX('Stock pièces'!$B$5:$B$404,MATCH(D2851,'Stock pièces'!$A$5:$A$404,0)),"Réf. inconnue"))</f>
        <v/>
      </c>
      <c r="F2851" s="67" t="n"/>
      <c r="G2851" s="81">
        <f>IF(D2851="","",IFERROR(INDEX('Stock pièces'!$I$5:$I$404,MATCH(D2851,'Stock pièces'!$A$5:$A$404,0)),0))</f>
        <v/>
      </c>
      <c r="H2851" s="81">
        <f>IF(D2851="","",N(F2851)*N(G2851))</f>
        <v/>
      </c>
      <c r="I2851" s="7" t="n"/>
      <c r="J2851" s="9">
        <f>IF(I2851="","",IFERROR(INDEX('Ordres de travail'!$D$5:$D$3004,MATCH(I2851,'Ordres de travail'!$A$5:$A$3004,0)),""))</f>
        <v/>
      </c>
      <c r="K2851" s="9">
        <f>IF(D2851="","",IFERROR(INDEX('Stock pièces'!$D$5:$D$404,MATCH(D2851,'Stock pièces'!$A$5:$A$404,0)),""))</f>
        <v/>
      </c>
      <c r="L2851" s="7" t="n"/>
      <c r="M2851" s="7" t="n"/>
    </row>
    <row r="2852">
      <c r="A2852" s="7" t="n"/>
      <c r="B2852" s="75" t="n"/>
      <c r="C2852" s="7" t="n"/>
      <c r="D2852" s="7" t="n"/>
      <c r="E2852" s="9">
        <f>IF(D2852="","",IFERROR(INDEX('Stock pièces'!$B$5:$B$404,MATCH(D2852,'Stock pièces'!$A$5:$A$404,0)),"Réf. inconnue"))</f>
        <v/>
      </c>
      <c r="F2852" s="67" t="n"/>
      <c r="G2852" s="81">
        <f>IF(D2852="","",IFERROR(INDEX('Stock pièces'!$I$5:$I$404,MATCH(D2852,'Stock pièces'!$A$5:$A$404,0)),0))</f>
        <v/>
      </c>
      <c r="H2852" s="81">
        <f>IF(D2852="","",N(F2852)*N(G2852))</f>
        <v/>
      </c>
      <c r="I2852" s="7" t="n"/>
      <c r="J2852" s="9">
        <f>IF(I2852="","",IFERROR(INDEX('Ordres de travail'!$D$5:$D$3004,MATCH(I2852,'Ordres de travail'!$A$5:$A$3004,0)),""))</f>
        <v/>
      </c>
      <c r="K2852" s="9">
        <f>IF(D2852="","",IFERROR(INDEX('Stock pièces'!$D$5:$D$404,MATCH(D2852,'Stock pièces'!$A$5:$A$404,0)),""))</f>
        <v/>
      </c>
      <c r="L2852" s="7" t="n"/>
      <c r="M2852" s="7" t="n"/>
    </row>
    <row r="2853">
      <c r="A2853" s="7" t="n"/>
      <c r="B2853" s="75" t="n"/>
      <c r="C2853" s="7" t="n"/>
      <c r="D2853" s="7" t="n"/>
      <c r="E2853" s="9">
        <f>IF(D2853="","",IFERROR(INDEX('Stock pièces'!$B$5:$B$404,MATCH(D2853,'Stock pièces'!$A$5:$A$404,0)),"Réf. inconnue"))</f>
        <v/>
      </c>
      <c r="F2853" s="67" t="n"/>
      <c r="G2853" s="81">
        <f>IF(D2853="","",IFERROR(INDEX('Stock pièces'!$I$5:$I$404,MATCH(D2853,'Stock pièces'!$A$5:$A$404,0)),0))</f>
        <v/>
      </c>
      <c r="H2853" s="81">
        <f>IF(D2853="","",N(F2853)*N(G2853))</f>
        <v/>
      </c>
      <c r="I2853" s="7" t="n"/>
      <c r="J2853" s="9">
        <f>IF(I2853="","",IFERROR(INDEX('Ordres de travail'!$D$5:$D$3004,MATCH(I2853,'Ordres de travail'!$A$5:$A$3004,0)),""))</f>
        <v/>
      </c>
      <c r="K2853" s="9">
        <f>IF(D2853="","",IFERROR(INDEX('Stock pièces'!$D$5:$D$404,MATCH(D2853,'Stock pièces'!$A$5:$A$404,0)),""))</f>
        <v/>
      </c>
      <c r="L2853" s="7" t="n"/>
      <c r="M2853" s="7" t="n"/>
    </row>
    <row r="2854">
      <c r="A2854" s="7" t="n"/>
      <c r="B2854" s="75" t="n"/>
      <c r="C2854" s="7" t="n"/>
      <c r="D2854" s="7" t="n"/>
      <c r="E2854" s="9">
        <f>IF(D2854="","",IFERROR(INDEX('Stock pièces'!$B$5:$B$404,MATCH(D2854,'Stock pièces'!$A$5:$A$404,0)),"Réf. inconnue"))</f>
        <v/>
      </c>
      <c r="F2854" s="67" t="n"/>
      <c r="G2854" s="81">
        <f>IF(D2854="","",IFERROR(INDEX('Stock pièces'!$I$5:$I$404,MATCH(D2854,'Stock pièces'!$A$5:$A$404,0)),0))</f>
        <v/>
      </c>
      <c r="H2854" s="81">
        <f>IF(D2854="","",N(F2854)*N(G2854))</f>
        <v/>
      </c>
      <c r="I2854" s="7" t="n"/>
      <c r="J2854" s="9">
        <f>IF(I2854="","",IFERROR(INDEX('Ordres de travail'!$D$5:$D$3004,MATCH(I2854,'Ordres de travail'!$A$5:$A$3004,0)),""))</f>
        <v/>
      </c>
      <c r="K2854" s="9">
        <f>IF(D2854="","",IFERROR(INDEX('Stock pièces'!$D$5:$D$404,MATCH(D2854,'Stock pièces'!$A$5:$A$404,0)),""))</f>
        <v/>
      </c>
      <c r="L2854" s="7" t="n"/>
      <c r="M2854" s="7" t="n"/>
    </row>
    <row r="2855">
      <c r="A2855" s="7" t="n"/>
      <c r="B2855" s="75" t="n"/>
      <c r="C2855" s="7" t="n"/>
      <c r="D2855" s="7" t="n"/>
      <c r="E2855" s="9">
        <f>IF(D2855="","",IFERROR(INDEX('Stock pièces'!$B$5:$B$404,MATCH(D2855,'Stock pièces'!$A$5:$A$404,0)),"Réf. inconnue"))</f>
        <v/>
      </c>
      <c r="F2855" s="67" t="n"/>
      <c r="G2855" s="81">
        <f>IF(D2855="","",IFERROR(INDEX('Stock pièces'!$I$5:$I$404,MATCH(D2855,'Stock pièces'!$A$5:$A$404,0)),0))</f>
        <v/>
      </c>
      <c r="H2855" s="81">
        <f>IF(D2855="","",N(F2855)*N(G2855))</f>
        <v/>
      </c>
      <c r="I2855" s="7" t="n"/>
      <c r="J2855" s="9">
        <f>IF(I2855="","",IFERROR(INDEX('Ordres de travail'!$D$5:$D$3004,MATCH(I2855,'Ordres de travail'!$A$5:$A$3004,0)),""))</f>
        <v/>
      </c>
      <c r="K2855" s="9">
        <f>IF(D2855="","",IFERROR(INDEX('Stock pièces'!$D$5:$D$404,MATCH(D2855,'Stock pièces'!$A$5:$A$404,0)),""))</f>
        <v/>
      </c>
      <c r="L2855" s="7" t="n"/>
      <c r="M2855" s="7" t="n"/>
    </row>
    <row r="2856">
      <c r="A2856" s="7" t="n"/>
      <c r="B2856" s="75" t="n"/>
      <c r="C2856" s="7" t="n"/>
      <c r="D2856" s="7" t="n"/>
      <c r="E2856" s="9">
        <f>IF(D2856="","",IFERROR(INDEX('Stock pièces'!$B$5:$B$404,MATCH(D2856,'Stock pièces'!$A$5:$A$404,0)),"Réf. inconnue"))</f>
        <v/>
      </c>
      <c r="F2856" s="67" t="n"/>
      <c r="G2856" s="81">
        <f>IF(D2856="","",IFERROR(INDEX('Stock pièces'!$I$5:$I$404,MATCH(D2856,'Stock pièces'!$A$5:$A$404,0)),0))</f>
        <v/>
      </c>
      <c r="H2856" s="81">
        <f>IF(D2856="","",N(F2856)*N(G2856))</f>
        <v/>
      </c>
      <c r="I2856" s="7" t="n"/>
      <c r="J2856" s="9">
        <f>IF(I2856="","",IFERROR(INDEX('Ordres de travail'!$D$5:$D$3004,MATCH(I2856,'Ordres de travail'!$A$5:$A$3004,0)),""))</f>
        <v/>
      </c>
      <c r="K2856" s="9">
        <f>IF(D2856="","",IFERROR(INDEX('Stock pièces'!$D$5:$D$404,MATCH(D2856,'Stock pièces'!$A$5:$A$404,0)),""))</f>
        <v/>
      </c>
      <c r="L2856" s="7" t="n"/>
      <c r="M2856" s="7" t="n"/>
    </row>
    <row r="2857">
      <c r="A2857" s="7" t="n"/>
      <c r="B2857" s="75" t="n"/>
      <c r="C2857" s="7" t="n"/>
      <c r="D2857" s="7" t="n"/>
      <c r="E2857" s="9">
        <f>IF(D2857="","",IFERROR(INDEX('Stock pièces'!$B$5:$B$404,MATCH(D2857,'Stock pièces'!$A$5:$A$404,0)),"Réf. inconnue"))</f>
        <v/>
      </c>
      <c r="F2857" s="67" t="n"/>
      <c r="G2857" s="81">
        <f>IF(D2857="","",IFERROR(INDEX('Stock pièces'!$I$5:$I$404,MATCH(D2857,'Stock pièces'!$A$5:$A$404,0)),0))</f>
        <v/>
      </c>
      <c r="H2857" s="81">
        <f>IF(D2857="","",N(F2857)*N(G2857))</f>
        <v/>
      </c>
      <c r="I2857" s="7" t="n"/>
      <c r="J2857" s="9">
        <f>IF(I2857="","",IFERROR(INDEX('Ordres de travail'!$D$5:$D$3004,MATCH(I2857,'Ordres de travail'!$A$5:$A$3004,0)),""))</f>
        <v/>
      </c>
      <c r="K2857" s="9">
        <f>IF(D2857="","",IFERROR(INDEX('Stock pièces'!$D$5:$D$404,MATCH(D2857,'Stock pièces'!$A$5:$A$404,0)),""))</f>
        <v/>
      </c>
      <c r="L2857" s="7" t="n"/>
      <c r="M2857" s="7" t="n"/>
    </row>
    <row r="2858">
      <c r="A2858" s="7" t="n"/>
      <c r="B2858" s="75" t="n"/>
      <c r="C2858" s="7" t="n"/>
      <c r="D2858" s="7" t="n"/>
      <c r="E2858" s="9">
        <f>IF(D2858="","",IFERROR(INDEX('Stock pièces'!$B$5:$B$404,MATCH(D2858,'Stock pièces'!$A$5:$A$404,0)),"Réf. inconnue"))</f>
        <v/>
      </c>
      <c r="F2858" s="67" t="n"/>
      <c r="G2858" s="81">
        <f>IF(D2858="","",IFERROR(INDEX('Stock pièces'!$I$5:$I$404,MATCH(D2858,'Stock pièces'!$A$5:$A$404,0)),0))</f>
        <v/>
      </c>
      <c r="H2858" s="81">
        <f>IF(D2858="","",N(F2858)*N(G2858))</f>
        <v/>
      </c>
      <c r="I2858" s="7" t="n"/>
      <c r="J2858" s="9">
        <f>IF(I2858="","",IFERROR(INDEX('Ordres de travail'!$D$5:$D$3004,MATCH(I2858,'Ordres de travail'!$A$5:$A$3004,0)),""))</f>
        <v/>
      </c>
      <c r="K2858" s="9">
        <f>IF(D2858="","",IFERROR(INDEX('Stock pièces'!$D$5:$D$404,MATCH(D2858,'Stock pièces'!$A$5:$A$404,0)),""))</f>
        <v/>
      </c>
      <c r="L2858" s="7" t="n"/>
      <c r="M2858" s="7" t="n"/>
    </row>
    <row r="2859">
      <c r="A2859" s="7" t="n"/>
      <c r="B2859" s="75" t="n"/>
      <c r="C2859" s="7" t="n"/>
      <c r="D2859" s="7" t="n"/>
      <c r="E2859" s="9">
        <f>IF(D2859="","",IFERROR(INDEX('Stock pièces'!$B$5:$B$404,MATCH(D2859,'Stock pièces'!$A$5:$A$404,0)),"Réf. inconnue"))</f>
        <v/>
      </c>
      <c r="F2859" s="67" t="n"/>
      <c r="G2859" s="81">
        <f>IF(D2859="","",IFERROR(INDEX('Stock pièces'!$I$5:$I$404,MATCH(D2859,'Stock pièces'!$A$5:$A$404,0)),0))</f>
        <v/>
      </c>
      <c r="H2859" s="81">
        <f>IF(D2859="","",N(F2859)*N(G2859))</f>
        <v/>
      </c>
      <c r="I2859" s="7" t="n"/>
      <c r="J2859" s="9">
        <f>IF(I2859="","",IFERROR(INDEX('Ordres de travail'!$D$5:$D$3004,MATCH(I2859,'Ordres de travail'!$A$5:$A$3004,0)),""))</f>
        <v/>
      </c>
      <c r="K2859" s="9">
        <f>IF(D2859="","",IFERROR(INDEX('Stock pièces'!$D$5:$D$404,MATCH(D2859,'Stock pièces'!$A$5:$A$404,0)),""))</f>
        <v/>
      </c>
      <c r="L2859" s="7" t="n"/>
      <c r="M2859" s="7" t="n"/>
    </row>
    <row r="2860">
      <c r="A2860" s="7" t="n"/>
      <c r="B2860" s="75" t="n"/>
      <c r="C2860" s="7" t="n"/>
      <c r="D2860" s="7" t="n"/>
      <c r="E2860" s="9">
        <f>IF(D2860="","",IFERROR(INDEX('Stock pièces'!$B$5:$B$404,MATCH(D2860,'Stock pièces'!$A$5:$A$404,0)),"Réf. inconnue"))</f>
        <v/>
      </c>
      <c r="F2860" s="67" t="n"/>
      <c r="G2860" s="81">
        <f>IF(D2860="","",IFERROR(INDEX('Stock pièces'!$I$5:$I$404,MATCH(D2860,'Stock pièces'!$A$5:$A$404,0)),0))</f>
        <v/>
      </c>
      <c r="H2860" s="81">
        <f>IF(D2860="","",N(F2860)*N(G2860))</f>
        <v/>
      </c>
      <c r="I2860" s="7" t="n"/>
      <c r="J2860" s="9">
        <f>IF(I2860="","",IFERROR(INDEX('Ordres de travail'!$D$5:$D$3004,MATCH(I2860,'Ordres de travail'!$A$5:$A$3004,0)),""))</f>
        <v/>
      </c>
      <c r="K2860" s="9">
        <f>IF(D2860="","",IFERROR(INDEX('Stock pièces'!$D$5:$D$404,MATCH(D2860,'Stock pièces'!$A$5:$A$404,0)),""))</f>
        <v/>
      </c>
      <c r="L2860" s="7" t="n"/>
      <c r="M2860" s="7" t="n"/>
    </row>
    <row r="2861">
      <c r="A2861" s="7" t="n"/>
      <c r="B2861" s="75" t="n"/>
      <c r="C2861" s="7" t="n"/>
      <c r="D2861" s="7" t="n"/>
      <c r="E2861" s="9">
        <f>IF(D2861="","",IFERROR(INDEX('Stock pièces'!$B$5:$B$404,MATCH(D2861,'Stock pièces'!$A$5:$A$404,0)),"Réf. inconnue"))</f>
        <v/>
      </c>
      <c r="F2861" s="67" t="n"/>
      <c r="G2861" s="81">
        <f>IF(D2861="","",IFERROR(INDEX('Stock pièces'!$I$5:$I$404,MATCH(D2861,'Stock pièces'!$A$5:$A$404,0)),0))</f>
        <v/>
      </c>
      <c r="H2861" s="81">
        <f>IF(D2861="","",N(F2861)*N(G2861))</f>
        <v/>
      </c>
      <c r="I2861" s="7" t="n"/>
      <c r="J2861" s="9">
        <f>IF(I2861="","",IFERROR(INDEX('Ordres de travail'!$D$5:$D$3004,MATCH(I2861,'Ordres de travail'!$A$5:$A$3004,0)),""))</f>
        <v/>
      </c>
      <c r="K2861" s="9">
        <f>IF(D2861="","",IFERROR(INDEX('Stock pièces'!$D$5:$D$404,MATCH(D2861,'Stock pièces'!$A$5:$A$404,0)),""))</f>
        <v/>
      </c>
      <c r="L2861" s="7" t="n"/>
      <c r="M2861" s="7" t="n"/>
    </row>
    <row r="2862">
      <c r="A2862" s="7" t="n"/>
      <c r="B2862" s="75" t="n"/>
      <c r="C2862" s="7" t="n"/>
      <c r="D2862" s="7" t="n"/>
      <c r="E2862" s="9">
        <f>IF(D2862="","",IFERROR(INDEX('Stock pièces'!$B$5:$B$404,MATCH(D2862,'Stock pièces'!$A$5:$A$404,0)),"Réf. inconnue"))</f>
        <v/>
      </c>
      <c r="F2862" s="67" t="n"/>
      <c r="G2862" s="81">
        <f>IF(D2862="","",IFERROR(INDEX('Stock pièces'!$I$5:$I$404,MATCH(D2862,'Stock pièces'!$A$5:$A$404,0)),0))</f>
        <v/>
      </c>
      <c r="H2862" s="81">
        <f>IF(D2862="","",N(F2862)*N(G2862))</f>
        <v/>
      </c>
      <c r="I2862" s="7" t="n"/>
      <c r="J2862" s="9">
        <f>IF(I2862="","",IFERROR(INDEX('Ordres de travail'!$D$5:$D$3004,MATCH(I2862,'Ordres de travail'!$A$5:$A$3004,0)),""))</f>
        <v/>
      </c>
      <c r="K2862" s="9">
        <f>IF(D2862="","",IFERROR(INDEX('Stock pièces'!$D$5:$D$404,MATCH(D2862,'Stock pièces'!$A$5:$A$404,0)),""))</f>
        <v/>
      </c>
      <c r="L2862" s="7" t="n"/>
      <c r="M2862" s="7" t="n"/>
    </row>
    <row r="2863">
      <c r="A2863" s="7" t="n"/>
      <c r="B2863" s="75" t="n"/>
      <c r="C2863" s="7" t="n"/>
      <c r="D2863" s="7" t="n"/>
      <c r="E2863" s="9">
        <f>IF(D2863="","",IFERROR(INDEX('Stock pièces'!$B$5:$B$404,MATCH(D2863,'Stock pièces'!$A$5:$A$404,0)),"Réf. inconnue"))</f>
        <v/>
      </c>
      <c r="F2863" s="67" t="n"/>
      <c r="G2863" s="81">
        <f>IF(D2863="","",IFERROR(INDEX('Stock pièces'!$I$5:$I$404,MATCH(D2863,'Stock pièces'!$A$5:$A$404,0)),0))</f>
        <v/>
      </c>
      <c r="H2863" s="81">
        <f>IF(D2863="","",N(F2863)*N(G2863))</f>
        <v/>
      </c>
      <c r="I2863" s="7" t="n"/>
      <c r="J2863" s="9">
        <f>IF(I2863="","",IFERROR(INDEX('Ordres de travail'!$D$5:$D$3004,MATCH(I2863,'Ordres de travail'!$A$5:$A$3004,0)),""))</f>
        <v/>
      </c>
      <c r="K2863" s="9">
        <f>IF(D2863="","",IFERROR(INDEX('Stock pièces'!$D$5:$D$404,MATCH(D2863,'Stock pièces'!$A$5:$A$404,0)),""))</f>
        <v/>
      </c>
      <c r="L2863" s="7" t="n"/>
      <c r="M2863" s="7" t="n"/>
    </row>
    <row r="2864">
      <c r="A2864" s="7" t="n"/>
      <c r="B2864" s="75" t="n"/>
      <c r="C2864" s="7" t="n"/>
      <c r="D2864" s="7" t="n"/>
      <c r="E2864" s="9">
        <f>IF(D2864="","",IFERROR(INDEX('Stock pièces'!$B$5:$B$404,MATCH(D2864,'Stock pièces'!$A$5:$A$404,0)),"Réf. inconnue"))</f>
        <v/>
      </c>
      <c r="F2864" s="67" t="n"/>
      <c r="G2864" s="81">
        <f>IF(D2864="","",IFERROR(INDEX('Stock pièces'!$I$5:$I$404,MATCH(D2864,'Stock pièces'!$A$5:$A$404,0)),0))</f>
        <v/>
      </c>
      <c r="H2864" s="81">
        <f>IF(D2864="","",N(F2864)*N(G2864))</f>
        <v/>
      </c>
      <c r="I2864" s="7" t="n"/>
      <c r="J2864" s="9">
        <f>IF(I2864="","",IFERROR(INDEX('Ordres de travail'!$D$5:$D$3004,MATCH(I2864,'Ordres de travail'!$A$5:$A$3004,0)),""))</f>
        <v/>
      </c>
      <c r="K2864" s="9">
        <f>IF(D2864="","",IFERROR(INDEX('Stock pièces'!$D$5:$D$404,MATCH(D2864,'Stock pièces'!$A$5:$A$404,0)),""))</f>
        <v/>
      </c>
      <c r="L2864" s="7" t="n"/>
      <c r="M2864" s="7" t="n"/>
    </row>
    <row r="2865">
      <c r="A2865" s="7" t="n"/>
      <c r="B2865" s="75" t="n"/>
      <c r="C2865" s="7" t="n"/>
      <c r="D2865" s="7" t="n"/>
      <c r="E2865" s="9">
        <f>IF(D2865="","",IFERROR(INDEX('Stock pièces'!$B$5:$B$404,MATCH(D2865,'Stock pièces'!$A$5:$A$404,0)),"Réf. inconnue"))</f>
        <v/>
      </c>
      <c r="F2865" s="67" t="n"/>
      <c r="G2865" s="81">
        <f>IF(D2865="","",IFERROR(INDEX('Stock pièces'!$I$5:$I$404,MATCH(D2865,'Stock pièces'!$A$5:$A$404,0)),0))</f>
        <v/>
      </c>
      <c r="H2865" s="81">
        <f>IF(D2865="","",N(F2865)*N(G2865))</f>
        <v/>
      </c>
      <c r="I2865" s="7" t="n"/>
      <c r="J2865" s="9">
        <f>IF(I2865="","",IFERROR(INDEX('Ordres de travail'!$D$5:$D$3004,MATCH(I2865,'Ordres de travail'!$A$5:$A$3004,0)),""))</f>
        <v/>
      </c>
      <c r="K2865" s="9">
        <f>IF(D2865="","",IFERROR(INDEX('Stock pièces'!$D$5:$D$404,MATCH(D2865,'Stock pièces'!$A$5:$A$404,0)),""))</f>
        <v/>
      </c>
      <c r="L2865" s="7" t="n"/>
      <c r="M2865" s="7" t="n"/>
    </row>
    <row r="2866">
      <c r="A2866" s="7" t="n"/>
      <c r="B2866" s="75" t="n"/>
      <c r="C2866" s="7" t="n"/>
      <c r="D2866" s="7" t="n"/>
      <c r="E2866" s="9">
        <f>IF(D2866="","",IFERROR(INDEX('Stock pièces'!$B$5:$B$404,MATCH(D2866,'Stock pièces'!$A$5:$A$404,0)),"Réf. inconnue"))</f>
        <v/>
      </c>
      <c r="F2866" s="67" t="n"/>
      <c r="G2866" s="81">
        <f>IF(D2866="","",IFERROR(INDEX('Stock pièces'!$I$5:$I$404,MATCH(D2866,'Stock pièces'!$A$5:$A$404,0)),0))</f>
        <v/>
      </c>
      <c r="H2866" s="81">
        <f>IF(D2866="","",N(F2866)*N(G2866))</f>
        <v/>
      </c>
      <c r="I2866" s="7" t="n"/>
      <c r="J2866" s="9">
        <f>IF(I2866="","",IFERROR(INDEX('Ordres de travail'!$D$5:$D$3004,MATCH(I2866,'Ordres de travail'!$A$5:$A$3004,0)),""))</f>
        <v/>
      </c>
      <c r="K2866" s="9">
        <f>IF(D2866="","",IFERROR(INDEX('Stock pièces'!$D$5:$D$404,MATCH(D2866,'Stock pièces'!$A$5:$A$404,0)),""))</f>
        <v/>
      </c>
      <c r="L2866" s="7" t="n"/>
      <c r="M2866" s="7" t="n"/>
    </row>
    <row r="2867">
      <c r="A2867" s="7" t="n"/>
      <c r="B2867" s="75" t="n"/>
      <c r="C2867" s="7" t="n"/>
      <c r="D2867" s="7" t="n"/>
      <c r="E2867" s="9">
        <f>IF(D2867="","",IFERROR(INDEX('Stock pièces'!$B$5:$B$404,MATCH(D2867,'Stock pièces'!$A$5:$A$404,0)),"Réf. inconnue"))</f>
        <v/>
      </c>
      <c r="F2867" s="67" t="n"/>
      <c r="G2867" s="81">
        <f>IF(D2867="","",IFERROR(INDEX('Stock pièces'!$I$5:$I$404,MATCH(D2867,'Stock pièces'!$A$5:$A$404,0)),0))</f>
        <v/>
      </c>
      <c r="H2867" s="81">
        <f>IF(D2867="","",N(F2867)*N(G2867))</f>
        <v/>
      </c>
      <c r="I2867" s="7" t="n"/>
      <c r="J2867" s="9">
        <f>IF(I2867="","",IFERROR(INDEX('Ordres de travail'!$D$5:$D$3004,MATCH(I2867,'Ordres de travail'!$A$5:$A$3004,0)),""))</f>
        <v/>
      </c>
      <c r="K2867" s="9">
        <f>IF(D2867="","",IFERROR(INDEX('Stock pièces'!$D$5:$D$404,MATCH(D2867,'Stock pièces'!$A$5:$A$404,0)),""))</f>
        <v/>
      </c>
      <c r="L2867" s="7" t="n"/>
      <c r="M2867" s="7" t="n"/>
    </row>
    <row r="2868">
      <c r="A2868" s="7" t="n"/>
      <c r="B2868" s="75" t="n"/>
      <c r="C2868" s="7" t="n"/>
      <c r="D2868" s="7" t="n"/>
      <c r="E2868" s="9">
        <f>IF(D2868="","",IFERROR(INDEX('Stock pièces'!$B$5:$B$404,MATCH(D2868,'Stock pièces'!$A$5:$A$404,0)),"Réf. inconnue"))</f>
        <v/>
      </c>
      <c r="F2868" s="67" t="n"/>
      <c r="G2868" s="81">
        <f>IF(D2868="","",IFERROR(INDEX('Stock pièces'!$I$5:$I$404,MATCH(D2868,'Stock pièces'!$A$5:$A$404,0)),0))</f>
        <v/>
      </c>
      <c r="H2868" s="81">
        <f>IF(D2868="","",N(F2868)*N(G2868))</f>
        <v/>
      </c>
      <c r="I2868" s="7" t="n"/>
      <c r="J2868" s="9">
        <f>IF(I2868="","",IFERROR(INDEX('Ordres de travail'!$D$5:$D$3004,MATCH(I2868,'Ordres de travail'!$A$5:$A$3004,0)),""))</f>
        <v/>
      </c>
      <c r="K2868" s="9">
        <f>IF(D2868="","",IFERROR(INDEX('Stock pièces'!$D$5:$D$404,MATCH(D2868,'Stock pièces'!$A$5:$A$404,0)),""))</f>
        <v/>
      </c>
      <c r="L2868" s="7" t="n"/>
      <c r="M2868" s="7" t="n"/>
    </row>
    <row r="2869">
      <c r="A2869" s="7" t="n"/>
      <c r="B2869" s="75" t="n"/>
      <c r="C2869" s="7" t="n"/>
      <c r="D2869" s="7" t="n"/>
      <c r="E2869" s="9">
        <f>IF(D2869="","",IFERROR(INDEX('Stock pièces'!$B$5:$B$404,MATCH(D2869,'Stock pièces'!$A$5:$A$404,0)),"Réf. inconnue"))</f>
        <v/>
      </c>
      <c r="F2869" s="67" t="n"/>
      <c r="G2869" s="81">
        <f>IF(D2869="","",IFERROR(INDEX('Stock pièces'!$I$5:$I$404,MATCH(D2869,'Stock pièces'!$A$5:$A$404,0)),0))</f>
        <v/>
      </c>
      <c r="H2869" s="81">
        <f>IF(D2869="","",N(F2869)*N(G2869))</f>
        <v/>
      </c>
      <c r="I2869" s="7" t="n"/>
      <c r="J2869" s="9">
        <f>IF(I2869="","",IFERROR(INDEX('Ordres de travail'!$D$5:$D$3004,MATCH(I2869,'Ordres de travail'!$A$5:$A$3004,0)),""))</f>
        <v/>
      </c>
      <c r="K2869" s="9">
        <f>IF(D2869="","",IFERROR(INDEX('Stock pièces'!$D$5:$D$404,MATCH(D2869,'Stock pièces'!$A$5:$A$404,0)),""))</f>
        <v/>
      </c>
      <c r="L2869" s="7" t="n"/>
      <c r="M2869" s="7" t="n"/>
    </row>
    <row r="2870">
      <c r="A2870" s="7" t="n"/>
      <c r="B2870" s="75" t="n"/>
      <c r="C2870" s="7" t="n"/>
      <c r="D2870" s="7" t="n"/>
      <c r="E2870" s="9">
        <f>IF(D2870="","",IFERROR(INDEX('Stock pièces'!$B$5:$B$404,MATCH(D2870,'Stock pièces'!$A$5:$A$404,0)),"Réf. inconnue"))</f>
        <v/>
      </c>
      <c r="F2870" s="67" t="n"/>
      <c r="G2870" s="81">
        <f>IF(D2870="","",IFERROR(INDEX('Stock pièces'!$I$5:$I$404,MATCH(D2870,'Stock pièces'!$A$5:$A$404,0)),0))</f>
        <v/>
      </c>
      <c r="H2870" s="81">
        <f>IF(D2870="","",N(F2870)*N(G2870))</f>
        <v/>
      </c>
      <c r="I2870" s="7" t="n"/>
      <c r="J2870" s="9">
        <f>IF(I2870="","",IFERROR(INDEX('Ordres de travail'!$D$5:$D$3004,MATCH(I2870,'Ordres de travail'!$A$5:$A$3004,0)),""))</f>
        <v/>
      </c>
      <c r="K2870" s="9">
        <f>IF(D2870="","",IFERROR(INDEX('Stock pièces'!$D$5:$D$404,MATCH(D2870,'Stock pièces'!$A$5:$A$404,0)),""))</f>
        <v/>
      </c>
      <c r="L2870" s="7" t="n"/>
      <c r="M2870" s="7" t="n"/>
    </row>
    <row r="2871">
      <c r="A2871" s="7" t="n"/>
      <c r="B2871" s="75" t="n"/>
      <c r="C2871" s="7" t="n"/>
      <c r="D2871" s="7" t="n"/>
      <c r="E2871" s="9">
        <f>IF(D2871="","",IFERROR(INDEX('Stock pièces'!$B$5:$B$404,MATCH(D2871,'Stock pièces'!$A$5:$A$404,0)),"Réf. inconnue"))</f>
        <v/>
      </c>
      <c r="F2871" s="67" t="n"/>
      <c r="G2871" s="81">
        <f>IF(D2871="","",IFERROR(INDEX('Stock pièces'!$I$5:$I$404,MATCH(D2871,'Stock pièces'!$A$5:$A$404,0)),0))</f>
        <v/>
      </c>
      <c r="H2871" s="81">
        <f>IF(D2871="","",N(F2871)*N(G2871))</f>
        <v/>
      </c>
      <c r="I2871" s="7" t="n"/>
      <c r="J2871" s="9">
        <f>IF(I2871="","",IFERROR(INDEX('Ordres de travail'!$D$5:$D$3004,MATCH(I2871,'Ordres de travail'!$A$5:$A$3004,0)),""))</f>
        <v/>
      </c>
      <c r="K2871" s="9">
        <f>IF(D2871="","",IFERROR(INDEX('Stock pièces'!$D$5:$D$404,MATCH(D2871,'Stock pièces'!$A$5:$A$404,0)),""))</f>
        <v/>
      </c>
      <c r="L2871" s="7" t="n"/>
      <c r="M2871" s="7" t="n"/>
    </row>
    <row r="2872">
      <c r="A2872" s="7" t="n"/>
      <c r="B2872" s="75" t="n"/>
      <c r="C2872" s="7" t="n"/>
      <c r="D2872" s="7" t="n"/>
      <c r="E2872" s="9">
        <f>IF(D2872="","",IFERROR(INDEX('Stock pièces'!$B$5:$B$404,MATCH(D2872,'Stock pièces'!$A$5:$A$404,0)),"Réf. inconnue"))</f>
        <v/>
      </c>
      <c r="F2872" s="67" t="n"/>
      <c r="G2872" s="81">
        <f>IF(D2872="","",IFERROR(INDEX('Stock pièces'!$I$5:$I$404,MATCH(D2872,'Stock pièces'!$A$5:$A$404,0)),0))</f>
        <v/>
      </c>
      <c r="H2872" s="81">
        <f>IF(D2872="","",N(F2872)*N(G2872))</f>
        <v/>
      </c>
      <c r="I2872" s="7" t="n"/>
      <c r="J2872" s="9">
        <f>IF(I2872="","",IFERROR(INDEX('Ordres de travail'!$D$5:$D$3004,MATCH(I2872,'Ordres de travail'!$A$5:$A$3004,0)),""))</f>
        <v/>
      </c>
      <c r="K2872" s="9">
        <f>IF(D2872="","",IFERROR(INDEX('Stock pièces'!$D$5:$D$404,MATCH(D2872,'Stock pièces'!$A$5:$A$404,0)),""))</f>
        <v/>
      </c>
      <c r="L2872" s="7" t="n"/>
      <c r="M2872" s="7" t="n"/>
    </row>
    <row r="2873">
      <c r="A2873" s="7" t="n"/>
      <c r="B2873" s="75" t="n"/>
      <c r="C2873" s="7" t="n"/>
      <c r="D2873" s="7" t="n"/>
      <c r="E2873" s="9">
        <f>IF(D2873="","",IFERROR(INDEX('Stock pièces'!$B$5:$B$404,MATCH(D2873,'Stock pièces'!$A$5:$A$404,0)),"Réf. inconnue"))</f>
        <v/>
      </c>
      <c r="F2873" s="67" t="n"/>
      <c r="G2873" s="81">
        <f>IF(D2873="","",IFERROR(INDEX('Stock pièces'!$I$5:$I$404,MATCH(D2873,'Stock pièces'!$A$5:$A$404,0)),0))</f>
        <v/>
      </c>
      <c r="H2873" s="81">
        <f>IF(D2873="","",N(F2873)*N(G2873))</f>
        <v/>
      </c>
      <c r="I2873" s="7" t="n"/>
      <c r="J2873" s="9">
        <f>IF(I2873="","",IFERROR(INDEX('Ordres de travail'!$D$5:$D$3004,MATCH(I2873,'Ordres de travail'!$A$5:$A$3004,0)),""))</f>
        <v/>
      </c>
      <c r="K2873" s="9">
        <f>IF(D2873="","",IFERROR(INDEX('Stock pièces'!$D$5:$D$404,MATCH(D2873,'Stock pièces'!$A$5:$A$404,0)),""))</f>
        <v/>
      </c>
      <c r="L2873" s="7" t="n"/>
      <c r="M2873" s="7" t="n"/>
    </row>
    <row r="2874">
      <c r="A2874" s="7" t="n"/>
      <c r="B2874" s="75" t="n"/>
      <c r="C2874" s="7" t="n"/>
      <c r="D2874" s="7" t="n"/>
      <c r="E2874" s="9">
        <f>IF(D2874="","",IFERROR(INDEX('Stock pièces'!$B$5:$B$404,MATCH(D2874,'Stock pièces'!$A$5:$A$404,0)),"Réf. inconnue"))</f>
        <v/>
      </c>
      <c r="F2874" s="67" t="n"/>
      <c r="G2874" s="81">
        <f>IF(D2874="","",IFERROR(INDEX('Stock pièces'!$I$5:$I$404,MATCH(D2874,'Stock pièces'!$A$5:$A$404,0)),0))</f>
        <v/>
      </c>
      <c r="H2874" s="81">
        <f>IF(D2874="","",N(F2874)*N(G2874))</f>
        <v/>
      </c>
      <c r="I2874" s="7" t="n"/>
      <c r="J2874" s="9">
        <f>IF(I2874="","",IFERROR(INDEX('Ordres de travail'!$D$5:$D$3004,MATCH(I2874,'Ordres de travail'!$A$5:$A$3004,0)),""))</f>
        <v/>
      </c>
      <c r="K2874" s="9">
        <f>IF(D2874="","",IFERROR(INDEX('Stock pièces'!$D$5:$D$404,MATCH(D2874,'Stock pièces'!$A$5:$A$404,0)),""))</f>
        <v/>
      </c>
      <c r="L2874" s="7" t="n"/>
      <c r="M2874" s="7" t="n"/>
    </row>
    <row r="2875">
      <c r="A2875" s="7" t="n"/>
      <c r="B2875" s="75" t="n"/>
      <c r="C2875" s="7" t="n"/>
      <c r="D2875" s="7" t="n"/>
      <c r="E2875" s="9">
        <f>IF(D2875="","",IFERROR(INDEX('Stock pièces'!$B$5:$B$404,MATCH(D2875,'Stock pièces'!$A$5:$A$404,0)),"Réf. inconnue"))</f>
        <v/>
      </c>
      <c r="F2875" s="67" t="n"/>
      <c r="G2875" s="81">
        <f>IF(D2875="","",IFERROR(INDEX('Stock pièces'!$I$5:$I$404,MATCH(D2875,'Stock pièces'!$A$5:$A$404,0)),0))</f>
        <v/>
      </c>
      <c r="H2875" s="81">
        <f>IF(D2875="","",N(F2875)*N(G2875))</f>
        <v/>
      </c>
      <c r="I2875" s="7" t="n"/>
      <c r="J2875" s="9">
        <f>IF(I2875="","",IFERROR(INDEX('Ordres de travail'!$D$5:$D$3004,MATCH(I2875,'Ordres de travail'!$A$5:$A$3004,0)),""))</f>
        <v/>
      </c>
      <c r="K2875" s="9">
        <f>IF(D2875="","",IFERROR(INDEX('Stock pièces'!$D$5:$D$404,MATCH(D2875,'Stock pièces'!$A$5:$A$404,0)),""))</f>
        <v/>
      </c>
      <c r="L2875" s="7" t="n"/>
      <c r="M2875" s="7" t="n"/>
    </row>
    <row r="2876">
      <c r="A2876" s="7" t="n"/>
      <c r="B2876" s="75" t="n"/>
      <c r="C2876" s="7" t="n"/>
      <c r="D2876" s="7" t="n"/>
      <c r="E2876" s="9">
        <f>IF(D2876="","",IFERROR(INDEX('Stock pièces'!$B$5:$B$404,MATCH(D2876,'Stock pièces'!$A$5:$A$404,0)),"Réf. inconnue"))</f>
        <v/>
      </c>
      <c r="F2876" s="67" t="n"/>
      <c r="G2876" s="81">
        <f>IF(D2876="","",IFERROR(INDEX('Stock pièces'!$I$5:$I$404,MATCH(D2876,'Stock pièces'!$A$5:$A$404,0)),0))</f>
        <v/>
      </c>
      <c r="H2876" s="81">
        <f>IF(D2876="","",N(F2876)*N(G2876))</f>
        <v/>
      </c>
      <c r="I2876" s="7" t="n"/>
      <c r="J2876" s="9">
        <f>IF(I2876="","",IFERROR(INDEX('Ordres de travail'!$D$5:$D$3004,MATCH(I2876,'Ordres de travail'!$A$5:$A$3004,0)),""))</f>
        <v/>
      </c>
      <c r="K2876" s="9">
        <f>IF(D2876="","",IFERROR(INDEX('Stock pièces'!$D$5:$D$404,MATCH(D2876,'Stock pièces'!$A$5:$A$404,0)),""))</f>
        <v/>
      </c>
      <c r="L2876" s="7" t="n"/>
      <c r="M2876" s="7" t="n"/>
    </row>
    <row r="2877">
      <c r="A2877" s="7" t="n"/>
      <c r="B2877" s="75" t="n"/>
      <c r="C2877" s="7" t="n"/>
      <c r="D2877" s="7" t="n"/>
      <c r="E2877" s="9">
        <f>IF(D2877="","",IFERROR(INDEX('Stock pièces'!$B$5:$B$404,MATCH(D2877,'Stock pièces'!$A$5:$A$404,0)),"Réf. inconnue"))</f>
        <v/>
      </c>
      <c r="F2877" s="67" t="n"/>
      <c r="G2877" s="81">
        <f>IF(D2877="","",IFERROR(INDEX('Stock pièces'!$I$5:$I$404,MATCH(D2877,'Stock pièces'!$A$5:$A$404,0)),0))</f>
        <v/>
      </c>
      <c r="H2877" s="81">
        <f>IF(D2877="","",N(F2877)*N(G2877))</f>
        <v/>
      </c>
      <c r="I2877" s="7" t="n"/>
      <c r="J2877" s="9">
        <f>IF(I2877="","",IFERROR(INDEX('Ordres de travail'!$D$5:$D$3004,MATCH(I2877,'Ordres de travail'!$A$5:$A$3004,0)),""))</f>
        <v/>
      </c>
      <c r="K2877" s="9">
        <f>IF(D2877="","",IFERROR(INDEX('Stock pièces'!$D$5:$D$404,MATCH(D2877,'Stock pièces'!$A$5:$A$404,0)),""))</f>
        <v/>
      </c>
      <c r="L2877" s="7" t="n"/>
      <c r="M2877" s="7" t="n"/>
    </row>
    <row r="2878">
      <c r="A2878" s="7" t="n"/>
      <c r="B2878" s="75" t="n"/>
      <c r="C2878" s="7" t="n"/>
      <c r="D2878" s="7" t="n"/>
      <c r="E2878" s="9">
        <f>IF(D2878="","",IFERROR(INDEX('Stock pièces'!$B$5:$B$404,MATCH(D2878,'Stock pièces'!$A$5:$A$404,0)),"Réf. inconnue"))</f>
        <v/>
      </c>
      <c r="F2878" s="67" t="n"/>
      <c r="G2878" s="81">
        <f>IF(D2878="","",IFERROR(INDEX('Stock pièces'!$I$5:$I$404,MATCH(D2878,'Stock pièces'!$A$5:$A$404,0)),0))</f>
        <v/>
      </c>
      <c r="H2878" s="81">
        <f>IF(D2878="","",N(F2878)*N(G2878))</f>
        <v/>
      </c>
      <c r="I2878" s="7" t="n"/>
      <c r="J2878" s="9">
        <f>IF(I2878="","",IFERROR(INDEX('Ordres de travail'!$D$5:$D$3004,MATCH(I2878,'Ordres de travail'!$A$5:$A$3004,0)),""))</f>
        <v/>
      </c>
      <c r="K2878" s="9">
        <f>IF(D2878="","",IFERROR(INDEX('Stock pièces'!$D$5:$D$404,MATCH(D2878,'Stock pièces'!$A$5:$A$404,0)),""))</f>
        <v/>
      </c>
      <c r="L2878" s="7" t="n"/>
      <c r="M2878" s="7" t="n"/>
    </row>
    <row r="2879">
      <c r="A2879" s="7" t="n"/>
      <c r="B2879" s="75" t="n"/>
      <c r="C2879" s="7" t="n"/>
      <c r="D2879" s="7" t="n"/>
      <c r="E2879" s="9">
        <f>IF(D2879="","",IFERROR(INDEX('Stock pièces'!$B$5:$B$404,MATCH(D2879,'Stock pièces'!$A$5:$A$404,0)),"Réf. inconnue"))</f>
        <v/>
      </c>
      <c r="F2879" s="67" t="n"/>
      <c r="G2879" s="81">
        <f>IF(D2879="","",IFERROR(INDEX('Stock pièces'!$I$5:$I$404,MATCH(D2879,'Stock pièces'!$A$5:$A$404,0)),0))</f>
        <v/>
      </c>
      <c r="H2879" s="81">
        <f>IF(D2879="","",N(F2879)*N(G2879))</f>
        <v/>
      </c>
      <c r="I2879" s="7" t="n"/>
      <c r="J2879" s="9">
        <f>IF(I2879="","",IFERROR(INDEX('Ordres de travail'!$D$5:$D$3004,MATCH(I2879,'Ordres de travail'!$A$5:$A$3004,0)),""))</f>
        <v/>
      </c>
      <c r="K2879" s="9">
        <f>IF(D2879="","",IFERROR(INDEX('Stock pièces'!$D$5:$D$404,MATCH(D2879,'Stock pièces'!$A$5:$A$404,0)),""))</f>
        <v/>
      </c>
      <c r="L2879" s="7" t="n"/>
      <c r="M2879" s="7" t="n"/>
    </row>
    <row r="2880">
      <c r="A2880" s="7" t="n"/>
      <c r="B2880" s="75" t="n"/>
      <c r="C2880" s="7" t="n"/>
      <c r="D2880" s="7" t="n"/>
      <c r="E2880" s="9">
        <f>IF(D2880="","",IFERROR(INDEX('Stock pièces'!$B$5:$B$404,MATCH(D2880,'Stock pièces'!$A$5:$A$404,0)),"Réf. inconnue"))</f>
        <v/>
      </c>
      <c r="F2880" s="67" t="n"/>
      <c r="G2880" s="81">
        <f>IF(D2880="","",IFERROR(INDEX('Stock pièces'!$I$5:$I$404,MATCH(D2880,'Stock pièces'!$A$5:$A$404,0)),0))</f>
        <v/>
      </c>
      <c r="H2880" s="81">
        <f>IF(D2880="","",N(F2880)*N(G2880))</f>
        <v/>
      </c>
      <c r="I2880" s="7" t="n"/>
      <c r="J2880" s="9">
        <f>IF(I2880="","",IFERROR(INDEX('Ordres de travail'!$D$5:$D$3004,MATCH(I2880,'Ordres de travail'!$A$5:$A$3004,0)),""))</f>
        <v/>
      </c>
      <c r="K2880" s="9">
        <f>IF(D2880="","",IFERROR(INDEX('Stock pièces'!$D$5:$D$404,MATCH(D2880,'Stock pièces'!$A$5:$A$404,0)),""))</f>
        <v/>
      </c>
      <c r="L2880" s="7" t="n"/>
      <c r="M2880" s="7" t="n"/>
    </row>
    <row r="2881">
      <c r="A2881" s="7" t="n"/>
      <c r="B2881" s="75" t="n"/>
      <c r="C2881" s="7" t="n"/>
      <c r="D2881" s="7" t="n"/>
      <c r="E2881" s="9">
        <f>IF(D2881="","",IFERROR(INDEX('Stock pièces'!$B$5:$B$404,MATCH(D2881,'Stock pièces'!$A$5:$A$404,0)),"Réf. inconnue"))</f>
        <v/>
      </c>
      <c r="F2881" s="67" t="n"/>
      <c r="G2881" s="81">
        <f>IF(D2881="","",IFERROR(INDEX('Stock pièces'!$I$5:$I$404,MATCH(D2881,'Stock pièces'!$A$5:$A$404,0)),0))</f>
        <v/>
      </c>
      <c r="H2881" s="81">
        <f>IF(D2881="","",N(F2881)*N(G2881))</f>
        <v/>
      </c>
      <c r="I2881" s="7" t="n"/>
      <c r="J2881" s="9">
        <f>IF(I2881="","",IFERROR(INDEX('Ordres de travail'!$D$5:$D$3004,MATCH(I2881,'Ordres de travail'!$A$5:$A$3004,0)),""))</f>
        <v/>
      </c>
      <c r="K2881" s="9">
        <f>IF(D2881="","",IFERROR(INDEX('Stock pièces'!$D$5:$D$404,MATCH(D2881,'Stock pièces'!$A$5:$A$404,0)),""))</f>
        <v/>
      </c>
      <c r="L2881" s="7" t="n"/>
      <c r="M2881" s="7" t="n"/>
    </row>
    <row r="2882">
      <c r="A2882" s="7" t="n"/>
      <c r="B2882" s="75" t="n"/>
      <c r="C2882" s="7" t="n"/>
      <c r="D2882" s="7" t="n"/>
      <c r="E2882" s="9">
        <f>IF(D2882="","",IFERROR(INDEX('Stock pièces'!$B$5:$B$404,MATCH(D2882,'Stock pièces'!$A$5:$A$404,0)),"Réf. inconnue"))</f>
        <v/>
      </c>
      <c r="F2882" s="67" t="n"/>
      <c r="G2882" s="81">
        <f>IF(D2882="","",IFERROR(INDEX('Stock pièces'!$I$5:$I$404,MATCH(D2882,'Stock pièces'!$A$5:$A$404,0)),0))</f>
        <v/>
      </c>
      <c r="H2882" s="81">
        <f>IF(D2882="","",N(F2882)*N(G2882))</f>
        <v/>
      </c>
      <c r="I2882" s="7" t="n"/>
      <c r="J2882" s="9">
        <f>IF(I2882="","",IFERROR(INDEX('Ordres de travail'!$D$5:$D$3004,MATCH(I2882,'Ordres de travail'!$A$5:$A$3004,0)),""))</f>
        <v/>
      </c>
      <c r="K2882" s="9">
        <f>IF(D2882="","",IFERROR(INDEX('Stock pièces'!$D$5:$D$404,MATCH(D2882,'Stock pièces'!$A$5:$A$404,0)),""))</f>
        <v/>
      </c>
      <c r="L2882" s="7" t="n"/>
      <c r="M2882" s="7" t="n"/>
    </row>
    <row r="2883">
      <c r="A2883" s="7" t="n"/>
      <c r="B2883" s="75" t="n"/>
      <c r="C2883" s="7" t="n"/>
      <c r="D2883" s="7" t="n"/>
      <c r="E2883" s="9">
        <f>IF(D2883="","",IFERROR(INDEX('Stock pièces'!$B$5:$B$404,MATCH(D2883,'Stock pièces'!$A$5:$A$404,0)),"Réf. inconnue"))</f>
        <v/>
      </c>
      <c r="F2883" s="67" t="n"/>
      <c r="G2883" s="81">
        <f>IF(D2883="","",IFERROR(INDEX('Stock pièces'!$I$5:$I$404,MATCH(D2883,'Stock pièces'!$A$5:$A$404,0)),0))</f>
        <v/>
      </c>
      <c r="H2883" s="81">
        <f>IF(D2883="","",N(F2883)*N(G2883))</f>
        <v/>
      </c>
      <c r="I2883" s="7" t="n"/>
      <c r="J2883" s="9">
        <f>IF(I2883="","",IFERROR(INDEX('Ordres de travail'!$D$5:$D$3004,MATCH(I2883,'Ordres de travail'!$A$5:$A$3004,0)),""))</f>
        <v/>
      </c>
      <c r="K2883" s="9">
        <f>IF(D2883="","",IFERROR(INDEX('Stock pièces'!$D$5:$D$404,MATCH(D2883,'Stock pièces'!$A$5:$A$404,0)),""))</f>
        <v/>
      </c>
      <c r="L2883" s="7" t="n"/>
      <c r="M2883" s="7" t="n"/>
    </row>
    <row r="2884">
      <c r="A2884" s="7" t="n"/>
      <c r="B2884" s="75" t="n"/>
      <c r="C2884" s="7" t="n"/>
      <c r="D2884" s="7" t="n"/>
      <c r="E2884" s="9">
        <f>IF(D2884="","",IFERROR(INDEX('Stock pièces'!$B$5:$B$404,MATCH(D2884,'Stock pièces'!$A$5:$A$404,0)),"Réf. inconnue"))</f>
        <v/>
      </c>
      <c r="F2884" s="67" t="n"/>
      <c r="G2884" s="81">
        <f>IF(D2884="","",IFERROR(INDEX('Stock pièces'!$I$5:$I$404,MATCH(D2884,'Stock pièces'!$A$5:$A$404,0)),0))</f>
        <v/>
      </c>
      <c r="H2884" s="81">
        <f>IF(D2884="","",N(F2884)*N(G2884))</f>
        <v/>
      </c>
      <c r="I2884" s="7" t="n"/>
      <c r="J2884" s="9">
        <f>IF(I2884="","",IFERROR(INDEX('Ordres de travail'!$D$5:$D$3004,MATCH(I2884,'Ordres de travail'!$A$5:$A$3004,0)),""))</f>
        <v/>
      </c>
      <c r="K2884" s="9">
        <f>IF(D2884="","",IFERROR(INDEX('Stock pièces'!$D$5:$D$404,MATCH(D2884,'Stock pièces'!$A$5:$A$404,0)),""))</f>
        <v/>
      </c>
      <c r="L2884" s="7" t="n"/>
      <c r="M2884" s="7" t="n"/>
    </row>
    <row r="2885">
      <c r="A2885" s="7" t="n"/>
      <c r="B2885" s="75" t="n"/>
      <c r="C2885" s="7" t="n"/>
      <c r="D2885" s="7" t="n"/>
      <c r="E2885" s="9">
        <f>IF(D2885="","",IFERROR(INDEX('Stock pièces'!$B$5:$B$404,MATCH(D2885,'Stock pièces'!$A$5:$A$404,0)),"Réf. inconnue"))</f>
        <v/>
      </c>
      <c r="F2885" s="67" t="n"/>
      <c r="G2885" s="81">
        <f>IF(D2885="","",IFERROR(INDEX('Stock pièces'!$I$5:$I$404,MATCH(D2885,'Stock pièces'!$A$5:$A$404,0)),0))</f>
        <v/>
      </c>
      <c r="H2885" s="81">
        <f>IF(D2885="","",N(F2885)*N(G2885))</f>
        <v/>
      </c>
      <c r="I2885" s="7" t="n"/>
      <c r="J2885" s="9">
        <f>IF(I2885="","",IFERROR(INDEX('Ordres de travail'!$D$5:$D$3004,MATCH(I2885,'Ordres de travail'!$A$5:$A$3004,0)),""))</f>
        <v/>
      </c>
      <c r="K2885" s="9">
        <f>IF(D2885="","",IFERROR(INDEX('Stock pièces'!$D$5:$D$404,MATCH(D2885,'Stock pièces'!$A$5:$A$404,0)),""))</f>
        <v/>
      </c>
      <c r="L2885" s="7" t="n"/>
      <c r="M2885" s="7" t="n"/>
    </row>
    <row r="2886">
      <c r="A2886" s="7" t="n"/>
      <c r="B2886" s="75" t="n"/>
      <c r="C2886" s="7" t="n"/>
      <c r="D2886" s="7" t="n"/>
      <c r="E2886" s="9">
        <f>IF(D2886="","",IFERROR(INDEX('Stock pièces'!$B$5:$B$404,MATCH(D2886,'Stock pièces'!$A$5:$A$404,0)),"Réf. inconnue"))</f>
        <v/>
      </c>
      <c r="F2886" s="67" t="n"/>
      <c r="G2886" s="81">
        <f>IF(D2886="","",IFERROR(INDEX('Stock pièces'!$I$5:$I$404,MATCH(D2886,'Stock pièces'!$A$5:$A$404,0)),0))</f>
        <v/>
      </c>
      <c r="H2886" s="81">
        <f>IF(D2886="","",N(F2886)*N(G2886))</f>
        <v/>
      </c>
      <c r="I2886" s="7" t="n"/>
      <c r="J2886" s="9">
        <f>IF(I2886="","",IFERROR(INDEX('Ordres de travail'!$D$5:$D$3004,MATCH(I2886,'Ordres de travail'!$A$5:$A$3004,0)),""))</f>
        <v/>
      </c>
      <c r="K2886" s="9">
        <f>IF(D2886="","",IFERROR(INDEX('Stock pièces'!$D$5:$D$404,MATCH(D2886,'Stock pièces'!$A$5:$A$404,0)),""))</f>
        <v/>
      </c>
      <c r="L2886" s="7" t="n"/>
      <c r="M2886" s="7" t="n"/>
    </row>
    <row r="2887">
      <c r="A2887" s="7" t="n"/>
      <c r="B2887" s="75" t="n"/>
      <c r="C2887" s="7" t="n"/>
      <c r="D2887" s="7" t="n"/>
      <c r="E2887" s="9">
        <f>IF(D2887="","",IFERROR(INDEX('Stock pièces'!$B$5:$B$404,MATCH(D2887,'Stock pièces'!$A$5:$A$404,0)),"Réf. inconnue"))</f>
        <v/>
      </c>
      <c r="F2887" s="67" t="n"/>
      <c r="G2887" s="81">
        <f>IF(D2887="","",IFERROR(INDEX('Stock pièces'!$I$5:$I$404,MATCH(D2887,'Stock pièces'!$A$5:$A$404,0)),0))</f>
        <v/>
      </c>
      <c r="H2887" s="81">
        <f>IF(D2887="","",N(F2887)*N(G2887))</f>
        <v/>
      </c>
      <c r="I2887" s="7" t="n"/>
      <c r="J2887" s="9">
        <f>IF(I2887="","",IFERROR(INDEX('Ordres de travail'!$D$5:$D$3004,MATCH(I2887,'Ordres de travail'!$A$5:$A$3004,0)),""))</f>
        <v/>
      </c>
      <c r="K2887" s="9">
        <f>IF(D2887="","",IFERROR(INDEX('Stock pièces'!$D$5:$D$404,MATCH(D2887,'Stock pièces'!$A$5:$A$404,0)),""))</f>
        <v/>
      </c>
      <c r="L2887" s="7" t="n"/>
      <c r="M2887" s="7" t="n"/>
    </row>
    <row r="2888">
      <c r="A2888" s="7" t="n"/>
      <c r="B2888" s="75" t="n"/>
      <c r="C2888" s="7" t="n"/>
      <c r="D2888" s="7" t="n"/>
      <c r="E2888" s="9">
        <f>IF(D2888="","",IFERROR(INDEX('Stock pièces'!$B$5:$B$404,MATCH(D2888,'Stock pièces'!$A$5:$A$404,0)),"Réf. inconnue"))</f>
        <v/>
      </c>
      <c r="F2888" s="67" t="n"/>
      <c r="G2888" s="81">
        <f>IF(D2888="","",IFERROR(INDEX('Stock pièces'!$I$5:$I$404,MATCH(D2888,'Stock pièces'!$A$5:$A$404,0)),0))</f>
        <v/>
      </c>
      <c r="H2888" s="81">
        <f>IF(D2888="","",N(F2888)*N(G2888))</f>
        <v/>
      </c>
      <c r="I2888" s="7" t="n"/>
      <c r="J2888" s="9">
        <f>IF(I2888="","",IFERROR(INDEX('Ordres de travail'!$D$5:$D$3004,MATCH(I2888,'Ordres de travail'!$A$5:$A$3004,0)),""))</f>
        <v/>
      </c>
      <c r="K2888" s="9">
        <f>IF(D2888="","",IFERROR(INDEX('Stock pièces'!$D$5:$D$404,MATCH(D2888,'Stock pièces'!$A$5:$A$404,0)),""))</f>
        <v/>
      </c>
      <c r="L2888" s="7" t="n"/>
      <c r="M2888" s="7" t="n"/>
    </row>
    <row r="2889">
      <c r="A2889" s="7" t="n"/>
      <c r="B2889" s="75" t="n"/>
      <c r="C2889" s="7" t="n"/>
      <c r="D2889" s="7" t="n"/>
      <c r="E2889" s="9">
        <f>IF(D2889="","",IFERROR(INDEX('Stock pièces'!$B$5:$B$404,MATCH(D2889,'Stock pièces'!$A$5:$A$404,0)),"Réf. inconnue"))</f>
        <v/>
      </c>
      <c r="F2889" s="67" t="n"/>
      <c r="G2889" s="81">
        <f>IF(D2889="","",IFERROR(INDEX('Stock pièces'!$I$5:$I$404,MATCH(D2889,'Stock pièces'!$A$5:$A$404,0)),0))</f>
        <v/>
      </c>
      <c r="H2889" s="81">
        <f>IF(D2889="","",N(F2889)*N(G2889))</f>
        <v/>
      </c>
      <c r="I2889" s="7" t="n"/>
      <c r="J2889" s="9">
        <f>IF(I2889="","",IFERROR(INDEX('Ordres de travail'!$D$5:$D$3004,MATCH(I2889,'Ordres de travail'!$A$5:$A$3004,0)),""))</f>
        <v/>
      </c>
      <c r="K2889" s="9">
        <f>IF(D2889="","",IFERROR(INDEX('Stock pièces'!$D$5:$D$404,MATCH(D2889,'Stock pièces'!$A$5:$A$404,0)),""))</f>
        <v/>
      </c>
      <c r="L2889" s="7" t="n"/>
      <c r="M2889" s="7" t="n"/>
    </row>
    <row r="2890">
      <c r="A2890" s="7" t="n"/>
      <c r="B2890" s="75" t="n"/>
      <c r="C2890" s="7" t="n"/>
      <c r="D2890" s="7" t="n"/>
      <c r="E2890" s="9">
        <f>IF(D2890="","",IFERROR(INDEX('Stock pièces'!$B$5:$B$404,MATCH(D2890,'Stock pièces'!$A$5:$A$404,0)),"Réf. inconnue"))</f>
        <v/>
      </c>
      <c r="F2890" s="67" t="n"/>
      <c r="G2890" s="81">
        <f>IF(D2890="","",IFERROR(INDEX('Stock pièces'!$I$5:$I$404,MATCH(D2890,'Stock pièces'!$A$5:$A$404,0)),0))</f>
        <v/>
      </c>
      <c r="H2890" s="81">
        <f>IF(D2890="","",N(F2890)*N(G2890))</f>
        <v/>
      </c>
      <c r="I2890" s="7" t="n"/>
      <c r="J2890" s="9">
        <f>IF(I2890="","",IFERROR(INDEX('Ordres de travail'!$D$5:$D$3004,MATCH(I2890,'Ordres de travail'!$A$5:$A$3004,0)),""))</f>
        <v/>
      </c>
      <c r="K2890" s="9">
        <f>IF(D2890="","",IFERROR(INDEX('Stock pièces'!$D$5:$D$404,MATCH(D2890,'Stock pièces'!$A$5:$A$404,0)),""))</f>
        <v/>
      </c>
      <c r="L2890" s="7" t="n"/>
      <c r="M2890" s="7" t="n"/>
    </row>
    <row r="2891">
      <c r="A2891" s="7" t="n"/>
      <c r="B2891" s="75" t="n"/>
      <c r="C2891" s="7" t="n"/>
      <c r="D2891" s="7" t="n"/>
      <c r="E2891" s="9">
        <f>IF(D2891="","",IFERROR(INDEX('Stock pièces'!$B$5:$B$404,MATCH(D2891,'Stock pièces'!$A$5:$A$404,0)),"Réf. inconnue"))</f>
        <v/>
      </c>
      <c r="F2891" s="67" t="n"/>
      <c r="G2891" s="81">
        <f>IF(D2891="","",IFERROR(INDEX('Stock pièces'!$I$5:$I$404,MATCH(D2891,'Stock pièces'!$A$5:$A$404,0)),0))</f>
        <v/>
      </c>
      <c r="H2891" s="81">
        <f>IF(D2891="","",N(F2891)*N(G2891))</f>
        <v/>
      </c>
      <c r="I2891" s="7" t="n"/>
      <c r="J2891" s="9">
        <f>IF(I2891="","",IFERROR(INDEX('Ordres de travail'!$D$5:$D$3004,MATCH(I2891,'Ordres de travail'!$A$5:$A$3004,0)),""))</f>
        <v/>
      </c>
      <c r="K2891" s="9">
        <f>IF(D2891="","",IFERROR(INDEX('Stock pièces'!$D$5:$D$404,MATCH(D2891,'Stock pièces'!$A$5:$A$404,0)),""))</f>
        <v/>
      </c>
      <c r="L2891" s="7" t="n"/>
      <c r="M2891" s="7" t="n"/>
    </row>
    <row r="2892">
      <c r="A2892" s="7" t="n"/>
      <c r="B2892" s="75" t="n"/>
      <c r="C2892" s="7" t="n"/>
      <c r="D2892" s="7" t="n"/>
      <c r="E2892" s="9">
        <f>IF(D2892="","",IFERROR(INDEX('Stock pièces'!$B$5:$B$404,MATCH(D2892,'Stock pièces'!$A$5:$A$404,0)),"Réf. inconnue"))</f>
        <v/>
      </c>
      <c r="F2892" s="67" t="n"/>
      <c r="G2892" s="81">
        <f>IF(D2892="","",IFERROR(INDEX('Stock pièces'!$I$5:$I$404,MATCH(D2892,'Stock pièces'!$A$5:$A$404,0)),0))</f>
        <v/>
      </c>
      <c r="H2892" s="81">
        <f>IF(D2892="","",N(F2892)*N(G2892))</f>
        <v/>
      </c>
      <c r="I2892" s="7" t="n"/>
      <c r="J2892" s="9">
        <f>IF(I2892="","",IFERROR(INDEX('Ordres de travail'!$D$5:$D$3004,MATCH(I2892,'Ordres de travail'!$A$5:$A$3004,0)),""))</f>
        <v/>
      </c>
      <c r="K2892" s="9">
        <f>IF(D2892="","",IFERROR(INDEX('Stock pièces'!$D$5:$D$404,MATCH(D2892,'Stock pièces'!$A$5:$A$404,0)),""))</f>
        <v/>
      </c>
      <c r="L2892" s="7" t="n"/>
      <c r="M2892" s="7" t="n"/>
    </row>
    <row r="2893">
      <c r="A2893" s="7" t="n"/>
      <c r="B2893" s="75" t="n"/>
      <c r="C2893" s="7" t="n"/>
      <c r="D2893" s="7" t="n"/>
      <c r="E2893" s="9">
        <f>IF(D2893="","",IFERROR(INDEX('Stock pièces'!$B$5:$B$404,MATCH(D2893,'Stock pièces'!$A$5:$A$404,0)),"Réf. inconnue"))</f>
        <v/>
      </c>
      <c r="F2893" s="67" t="n"/>
      <c r="G2893" s="81">
        <f>IF(D2893="","",IFERROR(INDEX('Stock pièces'!$I$5:$I$404,MATCH(D2893,'Stock pièces'!$A$5:$A$404,0)),0))</f>
        <v/>
      </c>
      <c r="H2893" s="81">
        <f>IF(D2893="","",N(F2893)*N(G2893))</f>
        <v/>
      </c>
      <c r="I2893" s="7" t="n"/>
      <c r="J2893" s="9">
        <f>IF(I2893="","",IFERROR(INDEX('Ordres de travail'!$D$5:$D$3004,MATCH(I2893,'Ordres de travail'!$A$5:$A$3004,0)),""))</f>
        <v/>
      </c>
      <c r="K2893" s="9">
        <f>IF(D2893="","",IFERROR(INDEX('Stock pièces'!$D$5:$D$404,MATCH(D2893,'Stock pièces'!$A$5:$A$404,0)),""))</f>
        <v/>
      </c>
      <c r="L2893" s="7" t="n"/>
      <c r="M2893" s="7" t="n"/>
    </row>
    <row r="2894">
      <c r="A2894" s="7" t="n"/>
      <c r="B2894" s="75" t="n"/>
      <c r="C2894" s="7" t="n"/>
      <c r="D2894" s="7" t="n"/>
      <c r="E2894" s="9">
        <f>IF(D2894="","",IFERROR(INDEX('Stock pièces'!$B$5:$B$404,MATCH(D2894,'Stock pièces'!$A$5:$A$404,0)),"Réf. inconnue"))</f>
        <v/>
      </c>
      <c r="F2894" s="67" t="n"/>
      <c r="G2894" s="81">
        <f>IF(D2894="","",IFERROR(INDEX('Stock pièces'!$I$5:$I$404,MATCH(D2894,'Stock pièces'!$A$5:$A$404,0)),0))</f>
        <v/>
      </c>
      <c r="H2894" s="81">
        <f>IF(D2894="","",N(F2894)*N(G2894))</f>
        <v/>
      </c>
      <c r="I2894" s="7" t="n"/>
      <c r="J2894" s="9">
        <f>IF(I2894="","",IFERROR(INDEX('Ordres de travail'!$D$5:$D$3004,MATCH(I2894,'Ordres de travail'!$A$5:$A$3004,0)),""))</f>
        <v/>
      </c>
      <c r="K2894" s="9">
        <f>IF(D2894="","",IFERROR(INDEX('Stock pièces'!$D$5:$D$404,MATCH(D2894,'Stock pièces'!$A$5:$A$404,0)),""))</f>
        <v/>
      </c>
      <c r="L2894" s="7" t="n"/>
      <c r="M2894" s="7" t="n"/>
    </row>
    <row r="2895">
      <c r="A2895" s="7" t="n"/>
      <c r="B2895" s="75" t="n"/>
      <c r="C2895" s="7" t="n"/>
      <c r="D2895" s="7" t="n"/>
      <c r="E2895" s="9">
        <f>IF(D2895="","",IFERROR(INDEX('Stock pièces'!$B$5:$B$404,MATCH(D2895,'Stock pièces'!$A$5:$A$404,0)),"Réf. inconnue"))</f>
        <v/>
      </c>
      <c r="F2895" s="67" t="n"/>
      <c r="G2895" s="81">
        <f>IF(D2895="","",IFERROR(INDEX('Stock pièces'!$I$5:$I$404,MATCH(D2895,'Stock pièces'!$A$5:$A$404,0)),0))</f>
        <v/>
      </c>
      <c r="H2895" s="81">
        <f>IF(D2895="","",N(F2895)*N(G2895))</f>
        <v/>
      </c>
      <c r="I2895" s="7" t="n"/>
      <c r="J2895" s="9">
        <f>IF(I2895="","",IFERROR(INDEX('Ordres de travail'!$D$5:$D$3004,MATCH(I2895,'Ordres de travail'!$A$5:$A$3004,0)),""))</f>
        <v/>
      </c>
      <c r="K2895" s="9">
        <f>IF(D2895="","",IFERROR(INDEX('Stock pièces'!$D$5:$D$404,MATCH(D2895,'Stock pièces'!$A$5:$A$404,0)),""))</f>
        <v/>
      </c>
      <c r="L2895" s="7" t="n"/>
      <c r="M2895" s="7" t="n"/>
    </row>
    <row r="2896">
      <c r="A2896" s="7" t="n"/>
      <c r="B2896" s="75" t="n"/>
      <c r="C2896" s="7" t="n"/>
      <c r="D2896" s="7" t="n"/>
      <c r="E2896" s="9">
        <f>IF(D2896="","",IFERROR(INDEX('Stock pièces'!$B$5:$B$404,MATCH(D2896,'Stock pièces'!$A$5:$A$404,0)),"Réf. inconnue"))</f>
        <v/>
      </c>
      <c r="F2896" s="67" t="n"/>
      <c r="G2896" s="81">
        <f>IF(D2896="","",IFERROR(INDEX('Stock pièces'!$I$5:$I$404,MATCH(D2896,'Stock pièces'!$A$5:$A$404,0)),0))</f>
        <v/>
      </c>
      <c r="H2896" s="81">
        <f>IF(D2896="","",N(F2896)*N(G2896))</f>
        <v/>
      </c>
      <c r="I2896" s="7" t="n"/>
      <c r="J2896" s="9">
        <f>IF(I2896="","",IFERROR(INDEX('Ordres de travail'!$D$5:$D$3004,MATCH(I2896,'Ordres de travail'!$A$5:$A$3004,0)),""))</f>
        <v/>
      </c>
      <c r="K2896" s="9">
        <f>IF(D2896="","",IFERROR(INDEX('Stock pièces'!$D$5:$D$404,MATCH(D2896,'Stock pièces'!$A$5:$A$404,0)),""))</f>
        <v/>
      </c>
      <c r="L2896" s="7" t="n"/>
      <c r="M2896" s="7" t="n"/>
    </row>
    <row r="2897">
      <c r="A2897" s="7" t="n"/>
      <c r="B2897" s="75" t="n"/>
      <c r="C2897" s="7" t="n"/>
      <c r="D2897" s="7" t="n"/>
      <c r="E2897" s="9">
        <f>IF(D2897="","",IFERROR(INDEX('Stock pièces'!$B$5:$B$404,MATCH(D2897,'Stock pièces'!$A$5:$A$404,0)),"Réf. inconnue"))</f>
        <v/>
      </c>
      <c r="F2897" s="67" t="n"/>
      <c r="G2897" s="81">
        <f>IF(D2897="","",IFERROR(INDEX('Stock pièces'!$I$5:$I$404,MATCH(D2897,'Stock pièces'!$A$5:$A$404,0)),0))</f>
        <v/>
      </c>
      <c r="H2897" s="81">
        <f>IF(D2897="","",N(F2897)*N(G2897))</f>
        <v/>
      </c>
      <c r="I2897" s="7" t="n"/>
      <c r="J2897" s="9">
        <f>IF(I2897="","",IFERROR(INDEX('Ordres de travail'!$D$5:$D$3004,MATCH(I2897,'Ordres de travail'!$A$5:$A$3004,0)),""))</f>
        <v/>
      </c>
      <c r="K2897" s="9">
        <f>IF(D2897="","",IFERROR(INDEX('Stock pièces'!$D$5:$D$404,MATCH(D2897,'Stock pièces'!$A$5:$A$404,0)),""))</f>
        <v/>
      </c>
      <c r="L2897" s="7" t="n"/>
      <c r="M2897" s="7" t="n"/>
    </row>
    <row r="2898">
      <c r="A2898" s="7" t="n"/>
      <c r="B2898" s="75" t="n"/>
      <c r="C2898" s="7" t="n"/>
      <c r="D2898" s="7" t="n"/>
      <c r="E2898" s="9">
        <f>IF(D2898="","",IFERROR(INDEX('Stock pièces'!$B$5:$B$404,MATCH(D2898,'Stock pièces'!$A$5:$A$404,0)),"Réf. inconnue"))</f>
        <v/>
      </c>
      <c r="F2898" s="67" t="n"/>
      <c r="G2898" s="81">
        <f>IF(D2898="","",IFERROR(INDEX('Stock pièces'!$I$5:$I$404,MATCH(D2898,'Stock pièces'!$A$5:$A$404,0)),0))</f>
        <v/>
      </c>
      <c r="H2898" s="81">
        <f>IF(D2898="","",N(F2898)*N(G2898))</f>
        <v/>
      </c>
      <c r="I2898" s="7" t="n"/>
      <c r="J2898" s="9">
        <f>IF(I2898="","",IFERROR(INDEX('Ordres de travail'!$D$5:$D$3004,MATCH(I2898,'Ordres de travail'!$A$5:$A$3004,0)),""))</f>
        <v/>
      </c>
      <c r="K2898" s="9">
        <f>IF(D2898="","",IFERROR(INDEX('Stock pièces'!$D$5:$D$404,MATCH(D2898,'Stock pièces'!$A$5:$A$404,0)),""))</f>
        <v/>
      </c>
      <c r="L2898" s="7" t="n"/>
      <c r="M2898" s="7" t="n"/>
    </row>
    <row r="2899">
      <c r="A2899" s="7" t="n"/>
      <c r="B2899" s="75" t="n"/>
      <c r="C2899" s="7" t="n"/>
      <c r="D2899" s="7" t="n"/>
      <c r="E2899" s="9">
        <f>IF(D2899="","",IFERROR(INDEX('Stock pièces'!$B$5:$B$404,MATCH(D2899,'Stock pièces'!$A$5:$A$404,0)),"Réf. inconnue"))</f>
        <v/>
      </c>
      <c r="F2899" s="67" t="n"/>
      <c r="G2899" s="81">
        <f>IF(D2899="","",IFERROR(INDEX('Stock pièces'!$I$5:$I$404,MATCH(D2899,'Stock pièces'!$A$5:$A$404,0)),0))</f>
        <v/>
      </c>
      <c r="H2899" s="81">
        <f>IF(D2899="","",N(F2899)*N(G2899))</f>
        <v/>
      </c>
      <c r="I2899" s="7" t="n"/>
      <c r="J2899" s="9">
        <f>IF(I2899="","",IFERROR(INDEX('Ordres de travail'!$D$5:$D$3004,MATCH(I2899,'Ordres de travail'!$A$5:$A$3004,0)),""))</f>
        <v/>
      </c>
      <c r="K2899" s="9">
        <f>IF(D2899="","",IFERROR(INDEX('Stock pièces'!$D$5:$D$404,MATCH(D2899,'Stock pièces'!$A$5:$A$404,0)),""))</f>
        <v/>
      </c>
      <c r="L2899" s="7" t="n"/>
      <c r="M2899" s="7" t="n"/>
    </row>
    <row r="2900">
      <c r="A2900" s="7" t="n"/>
      <c r="B2900" s="75" t="n"/>
      <c r="C2900" s="7" t="n"/>
      <c r="D2900" s="7" t="n"/>
      <c r="E2900" s="9">
        <f>IF(D2900="","",IFERROR(INDEX('Stock pièces'!$B$5:$B$404,MATCH(D2900,'Stock pièces'!$A$5:$A$404,0)),"Réf. inconnue"))</f>
        <v/>
      </c>
      <c r="F2900" s="67" t="n"/>
      <c r="G2900" s="81">
        <f>IF(D2900="","",IFERROR(INDEX('Stock pièces'!$I$5:$I$404,MATCH(D2900,'Stock pièces'!$A$5:$A$404,0)),0))</f>
        <v/>
      </c>
      <c r="H2900" s="81">
        <f>IF(D2900="","",N(F2900)*N(G2900))</f>
        <v/>
      </c>
      <c r="I2900" s="7" t="n"/>
      <c r="J2900" s="9">
        <f>IF(I2900="","",IFERROR(INDEX('Ordres de travail'!$D$5:$D$3004,MATCH(I2900,'Ordres de travail'!$A$5:$A$3004,0)),""))</f>
        <v/>
      </c>
      <c r="K2900" s="9">
        <f>IF(D2900="","",IFERROR(INDEX('Stock pièces'!$D$5:$D$404,MATCH(D2900,'Stock pièces'!$A$5:$A$404,0)),""))</f>
        <v/>
      </c>
      <c r="L2900" s="7" t="n"/>
      <c r="M2900" s="7" t="n"/>
    </row>
    <row r="2901">
      <c r="A2901" s="7" t="n"/>
      <c r="B2901" s="75" t="n"/>
      <c r="C2901" s="7" t="n"/>
      <c r="D2901" s="7" t="n"/>
      <c r="E2901" s="9">
        <f>IF(D2901="","",IFERROR(INDEX('Stock pièces'!$B$5:$B$404,MATCH(D2901,'Stock pièces'!$A$5:$A$404,0)),"Réf. inconnue"))</f>
        <v/>
      </c>
      <c r="F2901" s="67" t="n"/>
      <c r="G2901" s="81">
        <f>IF(D2901="","",IFERROR(INDEX('Stock pièces'!$I$5:$I$404,MATCH(D2901,'Stock pièces'!$A$5:$A$404,0)),0))</f>
        <v/>
      </c>
      <c r="H2901" s="81">
        <f>IF(D2901="","",N(F2901)*N(G2901))</f>
        <v/>
      </c>
      <c r="I2901" s="7" t="n"/>
      <c r="J2901" s="9">
        <f>IF(I2901="","",IFERROR(INDEX('Ordres de travail'!$D$5:$D$3004,MATCH(I2901,'Ordres de travail'!$A$5:$A$3004,0)),""))</f>
        <v/>
      </c>
      <c r="K2901" s="9">
        <f>IF(D2901="","",IFERROR(INDEX('Stock pièces'!$D$5:$D$404,MATCH(D2901,'Stock pièces'!$A$5:$A$404,0)),""))</f>
        <v/>
      </c>
      <c r="L2901" s="7" t="n"/>
      <c r="M2901" s="7" t="n"/>
    </row>
    <row r="2902">
      <c r="A2902" s="7" t="n"/>
      <c r="B2902" s="75" t="n"/>
      <c r="C2902" s="7" t="n"/>
      <c r="D2902" s="7" t="n"/>
      <c r="E2902" s="9">
        <f>IF(D2902="","",IFERROR(INDEX('Stock pièces'!$B$5:$B$404,MATCH(D2902,'Stock pièces'!$A$5:$A$404,0)),"Réf. inconnue"))</f>
        <v/>
      </c>
      <c r="F2902" s="67" t="n"/>
      <c r="G2902" s="81">
        <f>IF(D2902="","",IFERROR(INDEX('Stock pièces'!$I$5:$I$404,MATCH(D2902,'Stock pièces'!$A$5:$A$404,0)),0))</f>
        <v/>
      </c>
      <c r="H2902" s="81">
        <f>IF(D2902="","",N(F2902)*N(G2902))</f>
        <v/>
      </c>
      <c r="I2902" s="7" t="n"/>
      <c r="J2902" s="9">
        <f>IF(I2902="","",IFERROR(INDEX('Ordres de travail'!$D$5:$D$3004,MATCH(I2902,'Ordres de travail'!$A$5:$A$3004,0)),""))</f>
        <v/>
      </c>
      <c r="K2902" s="9">
        <f>IF(D2902="","",IFERROR(INDEX('Stock pièces'!$D$5:$D$404,MATCH(D2902,'Stock pièces'!$A$5:$A$404,0)),""))</f>
        <v/>
      </c>
      <c r="L2902" s="7" t="n"/>
      <c r="M2902" s="7" t="n"/>
    </row>
    <row r="2903">
      <c r="A2903" s="7" t="n"/>
      <c r="B2903" s="75" t="n"/>
      <c r="C2903" s="7" t="n"/>
      <c r="D2903" s="7" t="n"/>
      <c r="E2903" s="9">
        <f>IF(D2903="","",IFERROR(INDEX('Stock pièces'!$B$5:$B$404,MATCH(D2903,'Stock pièces'!$A$5:$A$404,0)),"Réf. inconnue"))</f>
        <v/>
      </c>
      <c r="F2903" s="67" t="n"/>
      <c r="G2903" s="81">
        <f>IF(D2903="","",IFERROR(INDEX('Stock pièces'!$I$5:$I$404,MATCH(D2903,'Stock pièces'!$A$5:$A$404,0)),0))</f>
        <v/>
      </c>
      <c r="H2903" s="81">
        <f>IF(D2903="","",N(F2903)*N(G2903))</f>
        <v/>
      </c>
      <c r="I2903" s="7" t="n"/>
      <c r="J2903" s="9">
        <f>IF(I2903="","",IFERROR(INDEX('Ordres de travail'!$D$5:$D$3004,MATCH(I2903,'Ordres de travail'!$A$5:$A$3004,0)),""))</f>
        <v/>
      </c>
      <c r="K2903" s="9">
        <f>IF(D2903="","",IFERROR(INDEX('Stock pièces'!$D$5:$D$404,MATCH(D2903,'Stock pièces'!$A$5:$A$404,0)),""))</f>
        <v/>
      </c>
      <c r="L2903" s="7" t="n"/>
      <c r="M2903" s="7" t="n"/>
    </row>
    <row r="2904">
      <c r="A2904" s="7" t="n"/>
      <c r="B2904" s="75" t="n"/>
      <c r="C2904" s="7" t="n"/>
      <c r="D2904" s="7" t="n"/>
      <c r="E2904" s="9">
        <f>IF(D2904="","",IFERROR(INDEX('Stock pièces'!$B$5:$B$404,MATCH(D2904,'Stock pièces'!$A$5:$A$404,0)),"Réf. inconnue"))</f>
        <v/>
      </c>
      <c r="F2904" s="67" t="n"/>
      <c r="G2904" s="81">
        <f>IF(D2904="","",IFERROR(INDEX('Stock pièces'!$I$5:$I$404,MATCH(D2904,'Stock pièces'!$A$5:$A$404,0)),0))</f>
        <v/>
      </c>
      <c r="H2904" s="81">
        <f>IF(D2904="","",N(F2904)*N(G2904))</f>
        <v/>
      </c>
      <c r="I2904" s="7" t="n"/>
      <c r="J2904" s="9">
        <f>IF(I2904="","",IFERROR(INDEX('Ordres de travail'!$D$5:$D$3004,MATCH(I2904,'Ordres de travail'!$A$5:$A$3004,0)),""))</f>
        <v/>
      </c>
      <c r="K2904" s="9">
        <f>IF(D2904="","",IFERROR(INDEX('Stock pièces'!$D$5:$D$404,MATCH(D2904,'Stock pièces'!$A$5:$A$404,0)),""))</f>
        <v/>
      </c>
      <c r="L2904" s="7" t="n"/>
      <c r="M2904" s="7" t="n"/>
    </row>
    <row r="2905">
      <c r="A2905" s="7" t="n"/>
      <c r="B2905" s="75" t="n"/>
      <c r="C2905" s="7" t="n"/>
      <c r="D2905" s="7" t="n"/>
      <c r="E2905" s="9">
        <f>IF(D2905="","",IFERROR(INDEX('Stock pièces'!$B$5:$B$404,MATCH(D2905,'Stock pièces'!$A$5:$A$404,0)),"Réf. inconnue"))</f>
        <v/>
      </c>
      <c r="F2905" s="67" t="n"/>
      <c r="G2905" s="81">
        <f>IF(D2905="","",IFERROR(INDEX('Stock pièces'!$I$5:$I$404,MATCH(D2905,'Stock pièces'!$A$5:$A$404,0)),0))</f>
        <v/>
      </c>
      <c r="H2905" s="81">
        <f>IF(D2905="","",N(F2905)*N(G2905))</f>
        <v/>
      </c>
      <c r="I2905" s="7" t="n"/>
      <c r="J2905" s="9">
        <f>IF(I2905="","",IFERROR(INDEX('Ordres de travail'!$D$5:$D$3004,MATCH(I2905,'Ordres de travail'!$A$5:$A$3004,0)),""))</f>
        <v/>
      </c>
      <c r="K2905" s="9">
        <f>IF(D2905="","",IFERROR(INDEX('Stock pièces'!$D$5:$D$404,MATCH(D2905,'Stock pièces'!$A$5:$A$404,0)),""))</f>
        <v/>
      </c>
      <c r="L2905" s="7" t="n"/>
      <c r="M2905" s="7" t="n"/>
    </row>
    <row r="2906">
      <c r="A2906" s="7" t="n"/>
      <c r="B2906" s="75" t="n"/>
      <c r="C2906" s="7" t="n"/>
      <c r="D2906" s="7" t="n"/>
      <c r="E2906" s="9">
        <f>IF(D2906="","",IFERROR(INDEX('Stock pièces'!$B$5:$B$404,MATCH(D2906,'Stock pièces'!$A$5:$A$404,0)),"Réf. inconnue"))</f>
        <v/>
      </c>
      <c r="F2906" s="67" t="n"/>
      <c r="G2906" s="81">
        <f>IF(D2906="","",IFERROR(INDEX('Stock pièces'!$I$5:$I$404,MATCH(D2906,'Stock pièces'!$A$5:$A$404,0)),0))</f>
        <v/>
      </c>
      <c r="H2906" s="81">
        <f>IF(D2906="","",N(F2906)*N(G2906))</f>
        <v/>
      </c>
      <c r="I2906" s="7" t="n"/>
      <c r="J2906" s="9">
        <f>IF(I2906="","",IFERROR(INDEX('Ordres de travail'!$D$5:$D$3004,MATCH(I2906,'Ordres de travail'!$A$5:$A$3004,0)),""))</f>
        <v/>
      </c>
      <c r="K2906" s="9">
        <f>IF(D2906="","",IFERROR(INDEX('Stock pièces'!$D$5:$D$404,MATCH(D2906,'Stock pièces'!$A$5:$A$404,0)),""))</f>
        <v/>
      </c>
      <c r="L2906" s="7" t="n"/>
      <c r="M2906" s="7" t="n"/>
    </row>
    <row r="2907">
      <c r="A2907" s="7" t="n"/>
      <c r="B2907" s="75" t="n"/>
      <c r="C2907" s="7" t="n"/>
      <c r="D2907" s="7" t="n"/>
      <c r="E2907" s="9">
        <f>IF(D2907="","",IFERROR(INDEX('Stock pièces'!$B$5:$B$404,MATCH(D2907,'Stock pièces'!$A$5:$A$404,0)),"Réf. inconnue"))</f>
        <v/>
      </c>
      <c r="F2907" s="67" t="n"/>
      <c r="G2907" s="81">
        <f>IF(D2907="","",IFERROR(INDEX('Stock pièces'!$I$5:$I$404,MATCH(D2907,'Stock pièces'!$A$5:$A$404,0)),0))</f>
        <v/>
      </c>
      <c r="H2907" s="81">
        <f>IF(D2907="","",N(F2907)*N(G2907))</f>
        <v/>
      </c>
      <c r="I2907" s="7" t="n"/>
      <c r="J2907" s="9">
        <f>IF(I2907="","",IFERROR(INDEX('Ordres de travail'!$D$5:$D$3004,MATCH(I2907,'Ordres de travail'!$A$5:$A$3004,0)),""))</f>
        <v/>
      </c>
      <c r="K2907" s="9">
        <f>IF(D2907="","",IFERROR(INDEX('Stock pièces'!$D$5:$D$404,MATCH(D2907,'Stock pièces'!$A$5:$A$404,0)),""))</f>
        <v/>
      </c>
      <c r="L2907" s="7" t="n"/>
      <c r="M2907" s="7" t="n"/>
    </row>
    <row r="2908">
      <c r="A2908" s="7" t="n"/>
      <c r="B2908" s="75" t="n"/>
      <c r="C2908" s="7" t="n"/>
      <c r="D2908" s="7" t="n"/>
      <c r="E2908" s="9">
        <f>IF(D2908="","",IFERROR(INDEX('Stock pièces'!$B$5:$B$404,MATCH(D2908,'Stock pièces'!$A$5:$A$404,0)),"Réf. inconnue"))</f>
        <v/>
      </c>
      <c r="F2908" s="67" t="n"/>
      <c r="G2908" s="81">
        <f>IF(D2908="","",IFERROR(INDEX('Stock pièces'!$I$5:$I$404,MATCH(D2908,'Stock pièces'!$A$5:$A$404,0)),0))</f>
        <v/>
      </c>
      <c r="H2908" s="81">
        <f>IF(D2908="","",N(F2908)*N(G2908))</f>
        <v/>
      </c>
      <c r="I2908" s="7" t="n"/>
      <c r="J2908" s="9">
        <f>IF(I2908="","",IFERROR(INDEX('Ordres de travail'!$D$5:$D$3004,MATCH(I2908,'Ordres de travail'!$A$5:$A$3004,0)),""))</f>
        <v/>
      </c>
      <c r="K2908" s="9">
        <f>IF(D2908="","",IFERROR(INDEX('Stock pièces'!$D$5:$D$404,MATCH(D2908,'Stock pièces'!$A$5:$A$404,0)),""))</f>
        <v/>
      </c>
      <c r="L2908" s="7" t="n"/>
      <c r="M2908" s="7" t="n"/>
    </row>
    <row r="2909">
      <c r="A2909" s="7" t="n"/>
      <c r="B2909" s="75" t="n"/>
      <c r="C2909" s="7" t="n"/>
      <c r="D2909" s="7" t="n"/>
      <c r="E2909" s="9">
        <f>IF(D2909="","",IFERROR(INDEX('Stock pièces'!$B$5:$B$404,MATCH(D2909,'Stock pièces'!$A$5:$A$404,0)),"Réf. inconnue"))</f>
        <v/>
      </c>
      <c r="F2909" s="67" t="n"/>
      <c r="G2909" s="81">
        <f>IF(D2909="","",IFERROR(INDEX('Stock pièces'!$I$5:$I$404,MATCH(D2909,'Stock pièces'!$A$5:$A$404,0)),0))</f>
        <v/>
      </c>
      <c r="H2909" s="81">
        <f>IF(D2909="","",N(F2909)*N(G2909))</f>
        <v/>
      </c>
      <c r="I2909" s="7" t="n"/>
      <c r="J2909" s="9">
        <f>IF(I2909="","",IFERROR(INDEX('Ordres de travail'!$D$5:$D$3004,MATCH(I2909,'Ordres de travail'!$A$5:$A$3004,0)),""))</f>
        <v/>
      </c>
      <c r="K2909" s="9">
        <f>IF(D2909="","",IFERROR(INDEX('Stock pièces'!$D$5:$D$404,MATCH(D2909,'Stock pièces'!$A$5:$A$404,0)),""))</f>
        <v/>
      </c>
      <c r="L2909" s="7" t="n"/>
      <c r="M2909" s="7" t="n"/>
    </row>
    <row r="2910">
      <c r="A2910" s="7" t="n"/>
      <c r="B2910" s="75" t="n"/>
      <c r="C2910" s="7" t="n"/>
      <c r="D2910" s="7" t="n"/>
      <c r="E2910" s="9">
        <f>IF(D2910="","",IFERROR(INDEX('Stock pièces'!$B$5:$B$404,MATCH(D2910,'Stock pièces'!$A$5:$A$404,0)),"Réf. inconnue"))</f>
        <v/>
      </c>
      <c r="F2910" s="67" t="n"/>
      <c r="G2910" s="81">
        <f>IF(D2910="","",IFERROR(INDEX('Stock pièces'!$I$5:$I$404,MATCH(D2910,'Stock pièces'!$A$5:$A$404,0)),0))</f>
        <v/>
      </c>
      <c r="H2910" s="81">
        <f>IF(D2910="","",N(F2910)*N(G2910))</f>
        <v/>
      </c>
      <c r="I2910" s="7" t="n"/>
      <c r="J2910" s="9">
        <f>IF(I2910="","",IFERROR(INDEX('Ordres de travail'!$D$5:$D$3004,MATCH(I2910,'Ordres de travail'!$A$5:$A$3004,0)),""))</f>
        <v/>
      </c>
      <c r="K2910" s="9">
        <f>IF(D2910="","",IFERROR(INDEX('Stock pièces'!$D$5:$D$404,MATCH(D2910,'Stock pièces'!$A$5:$A$404,0)),""))</f>
        <v/>
      </c>
      <c r="L2910" s="7" t="n"/>
      <c r="M2910" s="7" t="n"/>
    </row>
    <row r="2911">
      <c r="A2911" s="7" t="n"/>
      <c r="B2911" s="75" t="n"/>
      <c r="C2911" s="7" t="n"/>
      <c r="D2911" s="7" t="n"/>
      <c r="E2911" s="9">
        <f>IF(D2911="","",IFERROR(INDEX('Stock pièces'!$B$5:$B$404,MATCH(D2911,'Stock pièces'!$A$5:$A$404,0)),"Réf. inconnue"))</f>
        <v/>
      </c>
      <c r="F2911" s="67" t="n"/>
      <c r="G2911" s="81">
        <f>IF(D2911="","",IFERROR(INDEX('Stock pièces'!$I$5:$I$404,MATCH(D2911,'Stock pièces'!$A$5:$A$404,0)),0))</f>
        <v/>
      </c>
      <c r="H2911" s="81">
        <f>IF(D2911="","",N(F2911)*N(G2911))</f>
        <v/>
      </c>
      <c r="I2911" s="7" t="n"/>
      <c r="J2911" s="9">
        <f>IF(I2911="","",IFERROR(INDEX('Ordres de travail'!$D$5:$D$3004,MATCH(I2911,'Ordres de travail'!$A$5:$A$3004,0)),""))</f>
        <v/>
      </c>
      <c r="K2911" s="9">
        <f>IF(D2911="","",IFERROR(INDEX('Stock pièces'!$D$5:$D$404,MATCH(D2911,'Stock pièces'!$A$5:$A$404,0)),""))</f>
        <v/>
      </c>
      <c r="L2911" s="7" t="n"/>
      <c r="M2911" s="7" t="n"/>
    </row>
    <row r="2912">
      <c r="A2912" s="7" t="n"/>
      <c r="B2912" s="75" t="n"/>
      <c r="C2912" s="7" t="n"/>
      <c r="D2912" s="7" t="n"/>
      <c r="E2912" s="9">
        <f>IF(D2912="","",IFERROR(INDEX('Stock pièces'!$B$5:$B$404,MATCH(D2912,'Stock pièces'!$A$5:$A$404,0)),"Réf. inconnue"))</f>
        <v/>
      </c>
      <c r="F2912" s="67" t="n"/>
      <c r="G2912" s="81">
        <f>IF(D2912="","",IFERROR(INDEX('Stock pièces'!$I$5:$I$404,MATCH(D2912,'Stock pièces'!$A$5:$A$404,0)),0))</f>
        <v/>
      </c>
      <c r="H2912" s="81">
        <f>IF(D2912="","",N(F2912)*N(G2912))</f>
        <v/>
      </c>
      <c r="I2912" s="7" t="n"/>
      <c r="J2912" s="9">
        <f>IF(I2912="","",IFERROR(INDEX('Ordres de travail'!$D$5:$D$3004,MATCH(I2912,'Ordres de travail'!$A$5:$A$3004,0)),""))</f>
        <v/>
      </c>
      <c r="K2912" s="9">
        <f>IF(D2912="","",IFERROR(INDEX('Stock pièces'!$D$5:$D$404,MATCH(D2912,'Stock pièces'!$A$5:$A$404,0)),""))</f>
        <v/>
      </c>
      <c r="L2912" s="7" t="n"/>
      <c r="M2912" s="7" t="n"/>
    </row>
    <row r="2913">
      <c r="A2913" s="7" t="n"/>
      <c r="B2913" s="75" t="n"/>
      <c r="C2913" s="7" t="n"/>
      <c r="D2913" s="7" t="n"/>
      <c r="E2913" s="9">
        <f>IF(D2913="","",IFERROR(INDEX('Stock pièces'!$B$5:$B$404,MATCH(D2913,'Stock pièces'!$A$5:$A$404,0)),"Réf. inconnue"))</f>
        <v/>
      </c>
      <c r="F2913" s="67" t="n"/>
      <c r="G2913" s="81">
        <f>IF(D2913="","",IFERROR(INDEX('Stock pièces'!$I$5:$I$404,MATCH(D2913,'Stock pièces'!$A$5:$A$404,0)),0))</f>
        <v/>
      </c>
      <c r="H2913" s="81">
        <f>IF(D2913="","",N(F2913)*N(G2913))</f>
        <v/>
      </c>
      <c r="I2913" s="7" t="n"/>
      <c r="J2913" s="9">
        <f>IF(I2913="","",IFERROR(INDEX('Ordres de travail'!$D$5:$D$3004,MATCH(I2913,'Ordres de travail'!$A$5:$A$3004,0)),""))</f>
        <v/>
      </c>
      <c r="K2913" s="9">
        <f>IF(D2913="","",IFERROR(INDEX('Stock pièces'!$D$5:$D$404,MATCH(D2913,'Stock pièces'!$A$5:$A$404,0)),""))</f>
        <v/>
      </c>
      <c r="L2913" s="7" t="n"/>
      <c r="M2913" s="7" t="n"/>
    </row>
    <row r="2914">
      <c r="A2914" s="7" t="n"/>
      <c r="B2914" s="75" t="n"/>
      <c r="C2914" s="7" t="n"/>
      <c r="D2914" s="7" t="n"/>
      <c r="E2914" s="9">
        <f>IF(D2914="","",IFERROR(INDEX('Stock pièces'!$B$5:$B$404,MATCH(D2914,'Stock pièces'!$A$5:$A$404,0)),"Réf. inconnue"))</f>
        <v/>
      </c>
      <c r="F2914" s="67" t="n"/>
      <c r="G2914" s="81">
        <f>IF(D2914="","",IFERROR(INDEX('Stock pièces'!$I$5:$I$404,MATCH(D2914,'Stock pièces'!$A$5:$A$404,0)),0))</f>
        <v/>
      </c>
      <c r="H2914" s="81">
        <f>IF(D2914="","",N(F2914)*N(G2914))</f>
        <v/>
      </c>
      <c r="I2914" s="7" t="n"/>
      <c r="J2914" s="9">
        <f>IF(I2914="","",IFERROR(INDEX('Ordres de travail'!$D$5:$D$3004,MATCH(I2914,'Ordres de travail'!$A$5:$A$3004,0)),""))</f>
        <v/>
      </c>
      <c r="K2914" s="9">
        <f>IF(D2914="","",IFERROR(INDEX('Stock pièces'!$D$5:$D$404,MATCH(D2914,'Stock pièces'!$A$5:$A$404,0)),""))</f>
        <v/>
      </c>
      <c r="L2914" s="7" t="n"/>
      <c r="M2914" s="7" t="n"/>
    </row>
    <row r="2915">
      <c r="A2915" s="7" t="n"/>
      <c r="B2915" s="75" t="n"/>
      <c r="C2915" s="7" t="n"/>
      <c r="D2915" s="7" t="n"/>
      <c r="E2915" s="9">
        <f>IF(D2915="","",IFERROR(INDEX('Stock pièces'!$B$5:$B$404,MATCH(D2915,'Stock pièces'!$A$5:$A$404,0)),"Réf. inconnue"))</f>
        <v/>
      </c>
      <c r="F2915" s="67" t="n"/>
      <c r="G2915" s="81">
        <f>IF(D2915="","",IFERROR(INDEX('Stock pièces'!$I$5:$I$404,MATCH(D2915,'Stock pièces'!$A$5:$A$404,0)),0))</f>
        <v/>
      </c>
      <c r="H2915" s="81">
        <f>IF(D2915="","",N(F2915)*N(G2915))</f>
        <v/>
      </c>
      <c r="I2915" s="7" t="n"/>
      <c r="J2915" s="9">
        <f>IF(I2915="","",IFERROR(INDEX('Ordres de travail'!$D$5:$D$3004,MATCH(I2915,'Ordres de travail'!$A$5:$A$3004,0)),""))</f>
        <v/>
      </c>
      <c r="K2915" s="9">
        <f>IF(D2915="","",IFERROR(INDEX('Stock pièces'!$D$5:$D$404,MATCH(D2915,'Stock pièces'!$A$5:$A$404,0)),""))</f>
        <v/>
      </c>
      <c r="L2915" s="7" t="n"/>
      <c r="M2915" s="7" t="n"/>
    </row>
    <row r="2916">
      <c r="A2916" s="7" t="n"/>
      <c r="B2916" s="75" t="n"/>
      <c r="C2916" s="7" t="n"/>
      <c r="D2916" s="7" t="n"/>
      <c r="E2916" s="9">
        <f>IF(D2916="","",IFERROR(INDEX('Stock pièces'!$B$5:$B$404,MATCH(D2916,'Stock pièces'!$A$5:$A$404,0)),"Réf. inconnue"))</f>
        <v/>
      </c>
      <c r="F2916" s="67" t="n"/>
      <c r="G2916" s="81">
        <f>IF(D2916="","",IFERROR(INDEX('Stock pièces'!$I$5:$I$404,MATCH(D2916,'Stock pièces'!$A$5:$A$404,0)),0))</f>
        <v/>
      </c>
      <c r="H2916" s="81">
        <f>IF(D2916="","",N(F2916)*N(G2916))</f>
        <v/>
      </c>
      <c r="I2916" s="7" t="n"/>
      <c r="J2916" s="9">
        <f>IF(I2916="","",IFERROR(INDEX('Ordres de travail'!$D$5:$D$3004,MATCH(I2916,'Ordres de travail'!$A$5:$A$3004,0)),""))</f>
        <v/>
      </c>
      <c r="K2916" s="9">
        <f>IF(D2916="","",IFERROR(INDEX('Stock pièces'!$D$5:$D$404,MATCH(D2916,'Stock pièces'!$A$5:$A$404,0)),""))</f>
        <v/>
      </c>
      <c r="L2916" s="7" t="n"/>
      <c r="M2916" s="7" t="n"/>
    </row>
    <row r="2917">
      <c r="A2917" s="7" t="n"/>
      <c r="B2917" s="75" t="n"/>
      <c r="C2917" s="7" t="n"/>
      <c r="D2917" s="7" t="n"/>
      <c r="E2917" s="9">
        <f>IF(D2917="","",IFERROR(INDEX('Stock pièces'!$B$5:$B$404,MATCH(D2917,'Stock pièces'!$A$5:$A$404,0)),"Réf. inconnue"))</f>
        <v/>
      </c>
      <c r="F2917" s="67" t="n"/>
      <c r="G2917" s="81">
        <f>IF(D2917="","",IFERROR(INDEX('Stock pièces'!$I$5:$I$404,MATCH(D2917,'Stock pièces'!$A$5:$A$404,0)),0))</f>
        <v/>
      </c>
      <c r="H2917" s="81">
        <f>IF(D2917="","",N(F2917)*N(G2917))</f>
        <v/>
      </c>
      <c r="I2917" s="7" t="n"/>
      <c r="J2917" s="9">
        <f>IF(I2917="","",IFERROR(INDEX('Ordres de travail'!$D$5:$D$3004,MATCH(I2917,'Ordres de travail'!$A$5:$A$3004,0)),""))</f>
        <v/>
      </c>
      <c r="K2917" s="9">
        <f>IF(D2917="","",IFERROR(INDEX('Stock pièces'!$D$5:$D$404,MATCH(D2917,'Stock pièces'!$A$5:$A$404,0)),""))</f>
        <v/>
      </c>
      <c r="L2917" s="7" t="n"/>
      <c r="M2917" s="7" t="n"/>
    </row>
    <row r="2918">
      <c r="A2918" s="7" t="n"/>
      <c r="B2918" s="75" t="n"/>
      <c r="C2918" s="7" t="n"/>
      <c r="D2918" s="7" t="n"/>
      <c r="E2918" s="9">
        <f>IF(D2918="","",IFERROR(INDEX('Stock pièces'!$B$5:$B$404,MATCH(D2918,'Stock pièces'!$A$5:$A$404,0)),"Réf. inconnue"))</f>
        <v/>
      </c>
      <c r="F2918" s="67" t="n"/>
      <c r="G2918" s="81">
        <f>IF(D2918="","",IFERROR(INDEX('Stock pièces'!$I$5:$I$404,MATCH(D2918,'Stock pièces'!$A$5:$A$404,0)),0))</f>
        <v/>
      </c>
      <c r="H2918" s="81">
        <f>IF(D2918="","",N(F2918)*N(G2918))</f>
        <v/>
      </c>
      <c r="I2918" s="7" t="n"/>
      <c r="J2918" s="9">
        <f>IF(I2918="","",IFERROR(INDEX('Ordres de travail'!$D$5:$D$3004,MATCH(I2918,'Ordres de travail'!$A$5:$A$3004,0)),""))</f>
        <v/>
      </c>
      <c r="K2918" s="9">
        <f>IF(D2918="","",IFERROR(INDEX('Stock pièces'!$D$5:$D$404,MATCH(D2918,'Stock pièces'!$A$5:$A$404,0)),""))</f>
        <v/>
      </c>
      <c r="L2918" s="7" t="n"/>
      <c r="M2918" s="7" t="n"/>
    </row>
    <row r="2919">
      <c r="A2919" s="7" t="n"/>
      <c r="B2919" s="75" t="n"/>
      <c r="C2919" s="7" t="n"/>
      <c r="D2919" s="7" t="n"/>
      <c r="E2919" s="9">
        <f>IF(D2919="","",IFERROR(INDEX('Stock pièces'!$B$5:$B$404,MATCH(D2919,'Stock pièces'!$A$5:$A$404,0)),"Réf. inconnue"))</f>
        <v/>
      </c>
      <c r="F2919" s="67" t="n"/>
      <c r="G2919" s="81">
        <f>IF(D2919="","",IFERROR(INDEX('Stock pièces'!$I$5:$I$404,MATCH(D2919,'Stock pièces'!$A$5:$A$404,0)),0))</f>
        <v/>
      </c>
      <c r="H2919" s="81">
        <f>IF(D2919="","",N(F2919)*N(G2919))</f>
        <v/>
      </c>
      <c r="I2919" s="7" t="n"/>
      <c r="J2919" s="9">
        <f>IF(I2919="","",IFERROR(INDEX('Ordres de travail'!$D$5:$D$3004,MATCH(I2919,'Ordres de travail'!$A$5:$A$3004,0)),""))</f>
        <v/>
      </c>
      <c r="K2919" s="9">
        <f>IF(D2919="","",IFERROR(INDEX('Stock pièces'!$D$5:$D$404,MATCH(D2919,'Stock pièces'!$A$5:$A$404,0)),""))</f>
        <v/>
      </c>
      <c r="L2919" s="7" t="n"/>
      <c r="M2919" s="7" t="n"/>
    </row>
    <row r="2920">
      <c r="A2920" s="7" t="n"/>
      <c r="B2920" s="75" t="n"/>
      <c r="C2920" s="7" t="n"/>
      <c r="D2920" s="7" t="n"/>
      <c r="E2920" s="9">
        <f>IF(D2920="","",IFERROR(INDEX('Stock pièces'!$B$5:$B$404,MATCH(D2920,'Stock pièces'!$A$5:$A$404,0)),"Réf. inconnue"))</f>
        <v/>
      </c>
      <c r="F2920" s="67" t="n"/>
      <c r="G2920" s="81">
        <f>IF(D2920="","",IFERROR(INDEX('Stock pièces'!$I$5:$I$404,MATCH(D2920,'Stock pièces'!$A$5:$A$404,0)),0))</f>
        <v/>
      </c>
      <c r="H2920" s="81">
        <f>IF(D2920="","",N(F2920)*N(G2920))</f>
        <v/>
      </c>
      <c r="I2920" s="7" t="n"/>
      <c r="J2920" s="9">
        <f>IF(I2920="","",IFERROR(INDEX('Ordres de travail'!$D$5:$D$3004,MATCH(I2920,'Ordres de travail'!$A$5:$A$3004,0)),""))</f>
        <v/>
      </c>
      <c r="K2920" s="9">
        <f>IF(D2920="","",IFERROR(INDEX('Stock pièces'!$D$5:$D$404,MATCH(D2920,'Stock pièces'!$A$5:$A$404,0)),""))</f>
        <v/>
      </c>
      <c r="L2920" s="7" t="n"/>
      <c r="M2920" s="7" t="n"/>
    </row>
    <row r="2921">
      <c r="A2921" s="7" t="n"/>
      <c r="B2921" s="75" t="n"/>
      <c r="C2921" s="7" t="n"/>
      <c r="D2921" s="7" t="n"/>
      <c r="E2921" s="9">
        <f>IF(D2921="","",IFERROR(INDEX('Stock pièces'!$B$5:$B$404,MATCH(D2921,'Stock pièces'!$A$5:$A$404,0)),"Réf. inconnue"))</f>
        <v/>
      </c>
      <c r="F2921" s="67" t="n"/>
      <c r="G2921" s="81">
        <f>IF(D2921="","",IFERROR(INDEX('Stock pièces'!$I$5:$I$404,MATCH(D2921,'Stock pièces'!$A$5:$A$404,0)),0))</f>
        <v/>
      </c>
      <c r="H2921" s="81">
        <f>IF(D2921="","",N(F2921)*N(G2921))</f>
        <v/>
      </c>
      <c r="I2921" s="7" t="n"/>
      <c r="J2921" s="9">
        <f>IF(I2921="","",IFERROR(INDEX('Ordres de travail'!$D$5:$D$3004,MATCH(I2921,'Ordres de travail'!$A$5:$A$3004,0)),""))</f>
        <v/>
      </c>
      <c r="K2921" s="9">
        <f>IF(D2921="","",IFERROR(INDEX('Stock pièces'!$D$5:$D$404,MATCH(D2921,'Stock pièces'!$A$5:$A$404,0)),""))</f>
        <v/>
      </c>
      <c r="L2921" s="7" t="n"/>
      <c r="M2921" s="7" t="n"/>
    </row>
    <row r="2922">
      <c r="A2922" s="7" t="n"/>
      <c r="B2922" s="75" t="n"/>
      <c r="C2922" s="7" t="n"/>
      <c r="D2922" s="7" t="n"/>
      <c r="E2922" s="9">
        <f>IF(D2922="","",IFERROR(INDEX('Stock pièces'!$B$5:$B$404,MATCH(D2922,'Stock pièces'!$A$5:$A$404,0)),"Réf. inconnue"))</f>
        <v/>
      </c>
      <c r="F2922" s="67" t="n"/>
      <c r="G2922" s="81">
        <f>IF(D2922="","",IFERROR(INDEX('Stock pièces'!$I$5:$I$404,MATCH(D2922,'Stock pièces'!$A$5:$A$404,0)),0))</f>
        <v/>
      </c>
      <c r="H2922" s="81">
        <f>IF(D2922="","",N(F2922)*N(G2922))</f>
        <v/>
      </c>
      <c r="I2922" s="7" t="n"/>
      <c r="J2922" s="9">
        <f>IF(I2922="","",IFERROR(INDEX('Ordres de travail'!$D$5:$D$3004,MATCH(I2922,'Ordres de travail'!$A$5:$A$3004,0)),""))</f>
        <v/>
      </c>
      <c r="K2922" s="9">
        <f>IF(D2922="","",IFERROR(INDEX('Stock pièces'!$D$5:$D$404,MATCH(D2922,'Stock pièces'!$A$5:$A$404,0)),""))</f>
        <v/>
      </c>
      <c r="L2922" s="7" t="n"/>
      <c r="M2922" s="7" t="n"/>
    </row>
    <row r="2923">
      <c r="A2923" s="7" t="n"/>
      <c r="B2923" s="75" t="n"/>
      <c r="C2923" s="7" t="n"/>
      <c r="D2923" s="7" t="n"/>
      <c r="E2923" s="9">
        <f>IF(D2923="","",IFERROR(INDEX('Stock pièces'!$B$5:$B$404,MATCH(D2923,'Stock pièces'!$A$5:$A$404,0)),"Réf. inconnue"))</f>
        <v/>
      </c>
      <c r="F2923" s="67" t="n"/>
      <c r="G2923" s="81">
        <f>IF(D2923="","",IFERROR(INDEX('Stock pièces'!$I$5:$I$404,MATCH(D2923,'Stock pièces'!$A$5:$A$404,0)),0))</f>
        <v/>
      </c>
      <c r="H2923" s="81">
        <f>IF(D2923="","",N(F2923)*N(G2923))</f>
        <v/>
      </c>
      <c r="I2923" s="7" t="n"/>
      <c r="J2923" s="9">
        <f>IF(I2923="","",IFERROR(INDEX('Ordres de travail'!$D$5:$D$3004,MATCH(I2923,'Ordres de travail'!$A$5:$A$3004,0)),""))</f>
        <v/>
      </c>
      <c r="K2923" s="9">
        <f>IF(D2923="","",IFERROR(INDEX('Stock pièces'!$D$5:$D$404,MATCH(D2923,'Stock pièces'!$A$5:$A$404,0)),""))</f>
        <v/>
      </c>
      <c r="L2923" s="7" t="n"/>
      <c r="M2923" s="7" t="n"/>
    </row>
    <row r="2924">
      <c r="A2924" s="7" t="n"/>
      <c r="B2924" s="75" t="n"/>
      <c r="C2924" s="7" t="n"/>
      <c r="D2924" s="7" t="n"/>
      <c r="E2924" s="9">
        <f>IF(D2924="","",IFERROR(INDEX('Stock pièces'!$B$5:$B$404,MATCH(D2924,'Stock pièces'!$A$5:$A$404,0)),"Réf. inconnue"))</f>
        <v/>
      </c>
      <c r="F2924" s="67" t="n"/>
      <c r="G2924" s="81">
        <f>IF(D2924="","",IFERROR(INDEX('Stock pièces'!$I$5:$I$404,MATCH(D2924,'Stock pièces'!$A$5:$A$404,0)),0))</f>
        <v/>
      </c>
      <c r="H2924" s="81">
        <f>IF(D2924="","",N(F2924)*N(G2924))</f>
        <v/>
      </c>
      <c r="I2924" s="7" t="n"/>
      <c r="J2924" s="9">
        <f>IF(I2924="","",IFERROR(INDEX('Ordres de travail'!$D$5:$D$3004,MATCH(I2924,'Ordres de travail'!$A$5:$A$3004,0)),""))</f>
        <v/>
      </c>
      <c r="K2924" s="9">
        <f>IF(D2924="","",IFERROR(INDEX('Stock pièces'!$D$5:$D$404,MATCH(D2924,'Stock pièces'!$A$5:$A$404,0)),""))</f>
        <v/>
      </c>
      <c r="L2924" s="7" t="n"/>
      <c r="M2924" s="7" t="n"/>
    </row>
    <row r="2925">
      <c r="A2925" s="7" t="n"/>
      <c r="B2925" s="75" t="n"/>
      <c r="C2925" s="7" t="n"/>
      <c r="D2925" s="7" t="n"/>
      <c r="E2925" s="9">
        <f>IF(D2925="","",IFERROR(INDEX('Stock pièces'!$B$5:$B$404,MATCH(D2925,'Stock pièces'!$A$5:$A$404,0)),"Réf. inconnue"))</f>
        <v/>
      </c>
      <c r="F2925" s="67" t="n"/>
      <c r="G2925" s="81">
        <f>IF(D2925="","",IFERROR(INDEX('Stock pièces'!$I$5:$I$404,MATCH(D2925,'Stock pièces'!$A$5:$A$404,0)),0))</f>
        <v/>
      </c>
      <c r="H2925" s="81">
        <f>IF(D2925="","",N(F2925)*N(G2925))</f>
        <v/>
      </c>
      <c r="I2925" s="7" t="n"/>
      <c r="J2925" s="9">
        <f>IF(I2925="","",IFERROR(INDEX('Ordres de travail'!$D$5:$D$3004,MATCH(I2925,'Ordres de travail'!$A$5:$A$3004,0)),""))</f>
        <v/>
      </c>
      <c r="K2925" s="9">
        <f>IF(D2925="","",IFERROR(INDEX('Stock pièces'!$D$5:$D$404,MATCH(D2925,'Stock pièces'!$A$5:$A$404,0)),""))</f>
        <v/>
      </c>
      <c r="L2925" s="7" t="n"/>
      <c r="M2925" s="7" t="n"/>
    </row>
    <row r="2926">
      <c r="A2926" s="7" t="n"/>
      <c r="B2926" s="75" t="n"/>
      <c r="C2926" s="7" t="n"/>
      <c r="D2926" s="7" t="n"/>
      <c r="E2926" s="9">
        <f>IF(D2926="","",IFERROR(INDEX('Stock pièces'!$B$5:$B$404,MATCH(D2926,'Stock pièces'!$A$5:$A$404,0)),"Réf. inconnue"))</f>
        <v/>
      </c>
      <c r="F2926" s="67" t="n"/>
      <c r="G2926" s="81">
        <f>IF(D2926="","",IFERROR(INDEX('Stock pièces'!$I$5:$I$404,MATCH(D2926,'Stock pièces'!$A$5:$A$404,0)),0))</f>
        <v/>
      </c>
      <c r="H2926" s="81">
        <f>IF(D2926="","",N(F2926)*N(G2926))</f>
        <v/>
      </c>
      <c r="I2926" s="7" t="n"/>
      <c r="J2926" s="9">
        <f>IF(I2926="","",IFERROR(INDEX('Ordres de travail'!$D$5:$D$3004,MATCH(I2926,'Ordres de travail'!$A$5:$A$3004,0)),""))</f>
        <v/>
      </c>
      <c r="K2926" s="9">
        <f>IF(D2926="","",IFERROR(INDEX('Stock pièces'!$D$5:$D$404,MATCH(D2926,'Stock pièces'!$A$5:$A$404,0)),""))</f>
        <v/>
      </c>
      <c r="L2926" s="7" t="n"/>
      <c r="M2926" s="7" t="n"/>
    </row>
    <row r="2927">
      <c r="A2927" s="7" t="n"/>
      <c r="B2927" s="75" t="n"/>
      <c r="C2927" s="7" t="n"/>
      <c r="D2927" s="7" t="n"/>
      <c r="E2927" s="9">
        <f>IF(D2927="","",IFERROR(INDEX('Stock pièces'!$B$5:$B$404,MATCH(D2927,'Stock pièces'!$A$5:$A$404,0)),"Réf. inconnue"))</f>
        <v/>
      </c>
      <c r="F2927" s="67" t="n"/>
      <c r="G2927" s="81">
        <f>IF(D2927="","",IFERROR(INDEX('Stock pièces'!$I$5:$I$404,MATCH(D2927,'Stock pièces'!$A$5:$A$404,0)),0))</f>
        <v/>
      </c>
      <c r="H2927" s="81">
        <f>IF(D2927="","",N(F2927)*N(G2927))</f>
        <v/>
      </c>
      <c r="I2927" s="7" t="n"/>
      <c r="J2927" s="9">
        <f>IF(I2927="","",IFERROR(INDEX('Ordres de travail'!$D$5:$D$3004,MATCH(I2927,'Ordres de travail'!$A$5:$A$3004,0)),""))</f>
        <v/>
      </c>
      <c r="K2927" s="9">
        <f>IF(D2927="","",IFERROR(INDEX('Stock pièces'!$D$5:$D$404,MATCH(D2927,'Stock pièces'!$A$5:$A$404,0)),""))</f>
        <v/>
      </c>
      <c r="L2927" s="7" t="n"/>
      <c r="M2927" s="7" t="n"/>
    </row>
    <row r="2928">
      <c r="A2928" s="7" t="n"/>
      <c r="B2928" s="75" t="n"/>
      <c r="C2928" s="7" t="n"/>
      <c r="D2928" s="7" t="n"/>
      <c r="E2928" s="9">
        <f>IF(D2928="","",IFERROR(INDEX('Stock pièces'!$B$5:$B$404,MATCH(D2928,'Stock pièces'!$A$5:$A$404,0)),"Réf. inconnue"))</f>
        <v/>
      </c>
      <c r="F2928" s="67" t="n"/>
      <c r="G2928" s="81">
        <f>IF(D2928="","",IFERROR(INDEX('Stock pièces'!$I$5:$I$404,MATCH(D2928,'Stock pièces'!$A$5:$A$404,0)),0))</f>
        <v/>
      </c>
      <c r="H2928" s="81">
        <f>IF(D2928="","",N(F2928)*N(G2928))</f>
        <v/>
      </c>
      <c r="I2928" s="7" t="n"/>
      <c r="J2928" s="9">
        <f>IF(I2928="","",IFERROR(INDEX('Ordres de travail'!$D$5:$D$3004,MATCH(I2928,'Ordres de travail'!$A$5:$A$3004,0)),""))</f>
        <v/>
      </c>
      <c r="K2928" s="9">
        <f>IF(D2928="","",IFERROR(INDEX('Stock pièces'!$D$5:$D$404,MATCH(D2928,'Stock pièces'!$A$5:$A$404,0)),""))</f>
        <v/>
      </c>
      <c r="L2928" s="7" t="n"/>
      <c r="M2928" s="7" t="n"/>
    </row>
    <row r="2929">
      <c r="A2929" s="7" t="n"/>
      <c r="B2929" s="75" t="n"/>
      <c r="C2929" s="7" t="n"/>
      <c r="D2929" s="7" t="n"/>
      <c r="E2929" s="9">
        <f>IF(D2929="","",IFERROR(INDEX('Stock pièces'!$B$5:$B$404,MATCH(D2929,'Stock pièces'!$A$5:$A$404,0)),"Réf. inconnue"))</f>
        <v/>
      </c>
      <c r="F2929" s="67" t="n"/>
      <c r="G2929" s="81">
        <f>IF(D2929="","",IFERROR(INDEX('Stock pièces'!$I$5:$I$404,MATCH(D2929,'Stock pièces'!$A$5:$A$404,0)),0))</f>
        <v/>
      </c>
      <c r="H2929" s="81">
        <f>IF(D2929="","",N(F2929)*N(G2929))</f>
        <v/>
      </c>
      <c r="I2929" s="7" t="n"/>
      <c r="J2929" s="9">
        <f>IF(I2929="","",IFERROR(INDEX('Ordres de travail'!$D$5:$D$3004,MATCH(I2929,'Ordres de travail'!$A$5:$A$3004,0)),""))</f>
        <v/>
      </c>
      <c r="K2929" s="9">
        <f>IF(D2929="","",IFERROR(INDEX('Stock pièces'!$D$5:$D$404,MATCH(D2929,'Stock pièces'!$A$5:$A$404,0)),""))</f>
        <v/>
      </c>
      <c r="L2929" s="7" t="n"/>
      <c r="M2929" s="7" t="n"/>
    </row>
    <row r="2930">
      <c r="A2930" s="7" t="n"/>
      <c r="B2930" s="75" t="n"/>
      <c r="C2930" s="7" t="n"/>
      <c r="D2930" s="7" t="n"/>
      <c r="E2930" s="9">
        <f>IF(D2930="","",IFERROR(INDEX('Stock pièces'!$B$5:$B$404,MATCH(D2930,'Stock pièces'!$A$5:$A$404,0)),"Réf. inconnue"))</f>
        <v/>
      </c>
      <c r="F2930" s="67" t="n"/>
      <c r="G2930" s="81">
        <f>IF(D2930="","",IFERROR(INDEX('Stock pièces'!$I$5:$I$404,MATCH(D2930,'Stock pièces'!$A$5:$A$404,0)),0))</f>
        <v/>
      </c>
      <c r="H2930" s="81">
        <f>IF(D2930="","",N(F2930)*N(G2930))</f>
        <v/>
      </c>
      <c r="I2930" s="7" t="n"/>
      <c r="J2930" s="9">
        <f>IF(I2930="","",IFERROR(INDEX('Ordres de travail'!$D$5:$D$3004,MATCH(I2930,'Ordres de travail'!$A$5:$A$3004,0)),""))</f>
        <v/>
      </c>
      <c r="K2930" s="9">
        <f>IF(D2930="","",IFERROR(INDEX('Stock pièces'!$D$5:$D$404,MATCH(D2930,'Stock pièces'!$A$5:$A$404,0)),""))</f>
        <v/>
      </c>
      <c r="L2930" s="7" t="n"/>
      <c r="M2930" s="7" t="n"/>
    </row>
    <row r="2931">
      <c r="A2931" s="7" t="n"/>
      <c r="B2931" s="75" t="n"/>
      <c r="C2931" s="7" t="n"/>
      <c r="D2931" s="7" t="n"/>
      <c r="E2931" s="9">
        <f>IF(D2931="","",IFERROR(INDEX('Stock pièces'!$B$5:$B$404,MATCH(D2931,'Stock pièces'!$A$5:$A$404,0)),"Réf. inconnue"))</f>
        <v/>
      </c>
      <c r="F2931" s="67" t="n"/>
      <c r="G2931" s="81">
        <f>IF(D2931="","",IFERROR(INDEX('Stock pièces'!$I$5:$I$404,MATCH(D2931,'Stock pièces'!$A$5:$A$404,0)),0))</f>
        <v/>
      </c>
      <c r="H2931" s="81">
        <f>IF(D2931="","",N(F2931)*N(G2931))</f>
        <v/>
      </c>
      <c r="I2931" s="7" t="n"/>
      <c r="J2931" s="9">
        <f>IF(I2931="","",IFERROR(INDEX('Ordres de travail'!$D$5:$D$3004,MATCH(I2931,'Ordres de travail'!$A$5:$A$3004,0)),""))</f>
        <v/>
      </c>
      <c r="K2931" s="9">
        <f>IF(D2931="","",IFERROR(INDEX('Stock pièces'!$D$5:$D$404,MATCH(D2931,'Stock pièces'!$A$5:$A$404,0)),""))</f>
        <v/>
      </c>
      <c r="L2931" s="7" t="n"/>
      <c r="M2931" s="7" t="n"/>
    </row>
    <row r="2932">
      <c r="A2932" s="7" t="n"/>
      <c r="B2932" s="75" t="n"/>
      <c r="C2932" s="7" t="n"/>
      <c r="D2932" s="7" t="n"/>
      <c r="E2932" s="9">
        <f>IF(D2932="","",IFERROR(INDEX('Stock pièces'!$B$5:$B$404,MATCH(D2932,'Stock pièces'!$A$5:$A$404,0)),"Réf. inconnue"))</f>
        <v/>
      </c>
      <c r="F2932" s="67" t="n"/>
      <c r="G2932" s="81">
        <f>IF(D2932="","",IFERROR(INDEX('Stock pièces'!$I$5:$I$404,MATCH(D2932,'Stock pièces'!$A$5:$A$404,0)),0))</f>
        <v/>
      </c>
      <c r="H2932" s="81">
        <f>IF(D2932="","",N(F2932)*N(G2932))</f>
        <v/>
      </c>
      <c r="I2932" s="7" t="n"/>
      <c r="J2932" s="9">
        <f>IF(I2932="","",IFERROR(INDEX('Ordres de travail'!$D$5:$D$3004,MATCH(I2932,'Ordres de travail'!$A$5:$A$3004,0)),""))</f>
        <v/>
      </c>
      <c r="K2932" s="9">
        <f>IF(D2932="","",IFERROR(INDEX('Stock pièces'!$D$5:$D$404,MATCH(D2932,'Stock pièces'!$A$5:$A$404,0)),""))</f>
        <v/>
      </c>
      <c r="L2932" s="7" t="n"/>
      <c r="M2932" s="7" t="n"/>
    </row>
    <row r="2933">
      <c r="A2933" s="7" t="n"/>
      <c r="B2933" s="75" t="n"/>
      <c r="C2933" s="7" t="n"/>
      <c r="D2933" s="7" t="n"/>
      <c r="E2933" s="9">
        <f>IF(D2933="","",IFERROR(INDEX('Stock pièces'!$B$5:$B$404,MATCH(D2933,'Stock pièces'!$A$5:$A$404,0)),"Réf. inconnue"))</f>
        <v/>
      </c>
      <c r="F2933" s="67" t="n"/>
      <c r="G2933" s="81">
        <f>IF(D2933="","",IFERROR(INDEX('Stock pièces'!$I$5:$I$404,MATCH(D2933,'Stock pièces'!$A$5:$A$404,0)),0))</f>
        <v/>
      </c>
      <c r="H2933" s="81">
        <f>IF(D2933="","",N(F2933)*N(G2933))</f>
        <v/>
      </c>
      <c r="I2933" s="7" t="n"/>
      <c r="J2933" s="9">
        <f>IF(I2933="","",IFERROR(INDEX('Ordres de travail'!$D$5:$D$3004,MATCH(I2933,'Ordres de travail'!$A$5:$A$3004,0)),""))</f>
        <v/>
      </c>
      <c r="K2933" s="9">
        <f>IF(D2933="","",IFERROR(INDEX('Stock pièces'!$D$5:$D$404,MATCH(D2933,'Stock pièces'!$A$5:$A$404,0)),""))</f>
        <v/>
      </c>
      <c r="L2933" s="7" t="n"/>
      <c r="M2933" s="7" t="n"/>
    </row>
    <row r="2934">
      <c r="A2934" s="7" t="n"/>
      <c r="B2934" s="75" t="n"/>
      <c r="C2934" s="7" t="n"/>
      <c r="D2934" s="7" t="n"/>
      <c r="E2934" s="9">
        <f>IF(D2934="","",IFERROR(INDEX('Stock pièces'!$B$5:$B$404,MATCH(D2934,'Stock pièces'!$A$5:$A$404,0)),"Réf. inconnue"))</f>
        <v/>
      </c>
      <c r="F2934" s="67" t="n"/>
      <c r="G2934" s="81">
        <f>IF(D2934="","",IFERROR(INDEX('Stock pièces'!$I$5:$I$404,MATCH(D2934,'Stock pièces'!$A$5:$A$404,0)),0))</f>
        <v/>
      </c>
      <c r="H2934" s="81">
        <f>IF(D2934="","",N(F2934)*N(G2934))</f>
        <v/>
      </c>
      <c r="I2934" s="7" t="n"/>
      <c r="J2934" s="9">
        <f>IF(I2934="","",IFERROR(INDEX('Ordres de travail'!$D$5:$D$3004,MATCH(I2934,'Ordres de travail'!$A$5:$A$3004,0)),""))</f>
        <v/>
      </c>
      <c r="K2934" s="9">
        <f>IF(D2934="","",IFERROR(INDEX('Stock pièces'!$D$5:$D$404,MATCH(D2934,'Stock pièces'!$A$5:$A$404,0)),""))</f>
        <v/>
      </c>
      <c r="L2934" s="7" t="n"/>
      <c r="M2934" s="7" t="n"/>
    </row>
    <row r="2935">
      <c r="A2935" s="7" t="n"/>
      <c r="B2935" s="75" t="n"/>
      <c r="C2935" s="7" t="n"/>
      <c r="D2935" s="7" t="n"/>
      <c r="E2935" s="9">
        <f>IF(D2935="","",IFERROR(INDEX('Stock pièces'!$B$5:$B$404,MATCH(D2935,'Stock pièces'!$A$5:$A$404,0)),"Réf. inconnue"))</f>
        <v/>
      </c>
      <c r="F2935" s="67" t="n"/>
      <c r="G2935" s="81">
        <f>IF(D2935="","",IFERROR(INDEX('Stock pièces'!$I$5:$I$404,MATCH(D2935,'Stock pièces'!$A$5:$A$404,0)),0))</f>
        <v/>
      </c>
      <c r="H2935" s="81">
        <f>IF(D2935="","",N(F2935)*N(G2935))</f>
        <v/>
      </c>
      <c r="I2935" s="7" t="n"/>
      <c r="J2935" s="9">
        <f>IF(I2935="","",IFERROR(INDEX('Ordres de travail'!$D$5:$D$3004,MATCH(I2935,'Ordres de travail'!$A$5:$A$3004,0)),""))</f>
        <v/>
      </c>
      <c r="K2935" s="9">
        <f>IF(D2935="","",IFERROR(INDEX('Stock pièces'!$D$5:$D$404,MATCH(D2935,'Stock pièces'!$A$5:$A$404,0)),""))</f>
        <v/>
      </c>
      <c r="L2935" s="7" t="n"/>
      <c r="M2935" s="7" t="n"/>
    </row>
    <row r="2936">
      <c r="A2936" s="7" t="n"/>
      <c r="B2936" s="75" t="n"/>
      <c r="C2936" s="7" t="n"/>
      <c r="D2936" s="7" t="n"/>
      <c r="E2936" s="9">
        <f>IF(D2936="","",IFERROR(INDEX('Stock pièces'!$B$5:$B$404,MATCH(D2936,'Stock pièces'!$A$5:$A$404,0)),"Réf. inconnue"))</f>
        <v/>
      </c>
      <c r="F2936" s="67" t="n"/>
      <c r="G2936" s="81">
        <f>IF(D2936="","",IFERROR(INDEX('Stock pièces'!$I$5:$I$404,MATCH(D2936,'Stock pièces'!$A$5:$A$404,0)),0))</f>
        <v/>
      </c>
      <c r="H2936" s="81">
        <f>IF(D2936="","",N(F2936)*N(G2936))</f>
        <v/>
      </c>
      <c r="I2936" s="7" t="n"/>
      <c r="J2936" s="9">
        <f>IF(I2936="","",IFERROR(INDEX('Ordres de travail'!$D$5:$D$3004,MATCH(I2936,'Ordres de travail'!$A$5:$A$3004,0)),""))</f>
        <v/>
      </c>
      <c r="K2936" s="9">
        <f>IF(D2936="","",IFERROR(INDEX('Stock pièces'!$D$5:$D$404,MATCH(D2936,'Stock pièces'!$A$5:$A$404,0)),""))</f>
        <v/>
      </c>
      <c r="L2936" s="7" t="n"/>
      <c r="M2936" s="7" t="n"/>
    </row>
    <row r="2937">
      <c r="A2937" s="7" t="n"/>
      <c r="B2937" s="75" t="n"/>
      <c r="C2937" s="7" t="n"/>
      <c r="D2937" s="7" t="n"/>
      <c r="E2937" s="9">
        <f>IF(D2937="","",IFERROR(INDEX('Stock pièces'!$B$5:$B$404,MATCH(D2937,'Stock pièces'!$A$5:$A$404,0)),"Réf. inconnue"))</f>
        <v/>
      </c>
      <c r="F2937" s="67" t="n"/>
      <c r="G2937" s="81">
        <f>IF(D2937="","",IFERROR(INDEX('Stock pièces'!$I$5:$I$404,MATCH(D2937,'Stock pièces'!$A$5:$A$404,0)),0))</f>
        <v/>
      </c>
      <c r="H2937" s="81">
        <f>IF(D2937="","",N(F2937)*N(G2937))</f>
        <v/>
      </c>
      <c r="I2937" s="7" t="n"/>
      <c r="J2937" s="9">
        <f>IF(I2937="","",IFERROR(INDEX('Ordres de travail'!$D$5:$D$3004,MATCH(I2937,'Ordres de travail'!$A$5:$A$3004,0)),""))</f>
        <v/>
      </c>
      <c r="K2937" s="9">
        <f>IF(D2937="","",IFERROR(INDEX('Stock pièces'!$D$5:$D$404,MATCH(D2937,'Stock pièces'!$A$5:$A$404,0)),""))</f>
        <v/>
      </c>
      <c r="L2937" s="7" t="n"/>
      <c r="M2937" s="7" t="n"/>
    </row>
    <row r="2938">
      <c r="A2938" s="7" t="n"/>
      <c r="B2938" s="75" t="n"/>
      <c r="C2938" s="7" t="n"/>
      <c r="D2938" s="7" t="n"/>
      <c r="E2938" s="9">
        <f>IF(D2938="","",IFERROR(INDEX('Stock pièces'!$B$5:$B$404,MATCH(D2938,'Stock pièces'!$A$5:$A$404,0)),"Réf. inconnue"))</f>
        <v/>
      </c>
      <c r="F2938" s="67" t="n"/>
      <c r="G2938" s="81">
        <f>IF(D2938="","",IFERROR(INDEX('Stock pièces'!$I$5:$I$404,MATCH(D2938,'Stock pièces'!$A$5:$A$404,0)),0))</f>
        <v/>
      </c>
      <c r="H2938" s="81">
        <f>IF(D2938="","",N(F2938)*N(G2938))</f>
        <v/>
      </c>
      <c r="I2938" s="7" t="n"/>
      <c r="J2938" s="9">
        <f>IF(I2938="","",IFERROR(INDEX('Ordres de travail'!$D$5:$D$3004,MATCH(I2938,'Ordres de travail'!$A$5:$A$3004,0)),""))</f>
        <v/>
      </c>
      <c r="K2938" s="9">
        <f>IF(D2938="","",IFERROR(INDEX('Stock pièces'!$D$5:$D$404,MATCH(D2938,'Stock pièces'!$A$5:$A$404,0)),""))</f>
        <v/>
      </c>
      <c r="L2938" s="7" t="n"/>
      <c r="M2938" s="7" t="n"/>
    </row>
    <row r="2939">
      <c r="A2939" s="7" t="n"/>
      <c r="B2939" s="75" t="n"/>
      <c r="C2939" s="7" t="n"/>
      <c r="D2939" s="7" t="n"/>
      <c r="E2939" s="9">
        <f>IF(D2939="","",IFERROR(INDEX('Stock pièces'!$B$5:$B$404,MATCH(D2939,'Stock pièces'!$A$5:$A$404,0)),"Réf. inconnue"))</f>
        <v/>
      </c>
      <c r="F2939" s="67" t="n"/>
      <c r="G2939" s="81">
        <f>IF(D2939="","",IFERROR(INDEX('Stock pièces'!$I$5:$I$404,MATCH(D2939,'Stock pièces'!$A$5:$A$404,0)),0))</f>
        <v/>
      </c>
      <c r="H2939" s="81">
        <f>IF(D2939="","",N(F2939)*N(G2939))</f>
        <v/>
      </c>
      <c r="I2939" s="7" t="n"/>
      <c r="J2939" s="9">
        <f>IF(I2939="","",IFERROR(INDEX('Ordres de travail'!$D$5:$D$3004,MATCH(I2939,'Ordres de travail'!$A$5:$A$3004,0)),""))</f>
        <v/>
      </c>
      <c r="K2939" s="9">
        <f>IF(D2939="","",IFERROR(INDEX('Stock pièces'!$D$5:$D$404,MATCH(D2939,'Stock pièces'!$A$5:$A$404,0)),""))</f>
        <v/>
      </c>
      <c r="L2939" s="7" t="n"/>
      <c r="M2939" s="7" t="n"/>
    </row>
    <row r="2940">
      <c r="A2940" s="7" t="n"/>
      <c r="B2940" s="75" t="n"/>
      <c r="C2940" s="7" t="n"/>
      <c r="D2940" s="7" t="n"/>
      <c r="E2940" s="9">
        <f>IF(D2940="","",IFERROR(INDEX('Stock pièces'!$B$5:$B$404,MATCH(D2940,'Stock pièces'!$A$5:$A$404,0)),"Réf. inconnue"))</f>
        <v/>
      </c>
      <c r="F2940" s="67" t="n"/>
      <c r="G2940" s="81">
        <f>IF(D2940="","",IFERROR(INDEX('Stock pièces'!$I$5:$I$404,MATCH(D2940,'Stock pièces'!$A$5:$A$404,0)),0))</f>
        <v/>
      </c>
      <c r="H2940" s="81">
        <f>IF(D2940="","",N(F2940)*N(G2940))</f>
        <v/>
      </c>
      <c r="I2940" s="7" t="n"/>
      <c r="J2940" s="9">
        <f>IF(I2940="","",IFERROR(INDEX('Ordres de travail'!$D$5:$D$3004,MATCH(I2940,'Ordres de travail'!$A$5:$A$3004,0)),""))</f>
        <v/>
      </c>
      <c r="K2940" s="9">
        <f>IF(D2940="","",IFERROR(INDEX('Stock pièces'!$D$5:$D$404,MATCH(D2940,'Stock pièces'!$A$5:$A$404,0)),""))</f>
        <v/>
      </c>
      <c r="L2940" s="7" t="n"/>
      <c r="M2940" s="7" t="n"/>
    </row>
    <row r="2941">
      <c r="A2941" s="7" t="n"/>
      <c r="B2941" s="75" t="n"/>
      <c r="C2941" s="7" t="n"/>
      <c r="D2941" s="7" t="n"/>
      <c r="E2941" s="9">
        <f>IF(D2941="","",IFERROR(INDEX('Stock pièces'!$B$5:$B$404,MATCH(D2941,'Stock pièces'!$A$5:$A$404,0)),"Réf. inconnue"))</f>
        <v/>
      </c>
      <c r="F2941" s="67" t="n"/>
      <c r="G2941" s="81">
        <f>IF(D2941="","",IFERROR(INDEX('Stock pièces'!$I$5:$I$404,MATCH(D2941,'Stock pièces'!$A$5:$A$404,0)),0))</f>
        <v/>
      </c>
      <c r="H2941" s="81">
        <f>IF(D2941="","",N(F2941)*N(G2941))</f>
        <v/>
      </c>
      <c r="I2941" s="7" t="n"/>
      <c r="J2941" s="9">
        <f>IF(I2941="","",IFERROR(INDEX('Ordres de travail'!$D$5:$D$3004,MATCH(I2941,'Ordres de travail'!$A$5:$A$3004,0)),""))</f>
        <v/>
      </c>
      <c r="K2941" s="9">
        <f>IF(D2941="","",IFERROR(INDEX('Stock pièces'!$D$5:$D$404,MATCH(D2941,'Stock pièces'!$A$5:$A$404,0)),""))</f>
        <v/>
      </c>
      <c r="L2941" s="7" t="n"/>
      <c r="M2941" s="7" t="n"/>
    </row>
    <row r="2942">
      <c r="A2942" s="7" t="n"/>
      <c r="B2942" s="75" t="n"/>
      <c r="C2942" s="7" t="n"/>
      <c r="D2942" s="7" t="n"/>
      <c r="E2942" s="9">
        <f>IF(D2942="","",IFERROR(INDEX('Stock pièces'!$B$5:$B$404,MATCH(D2942,'Stock pièces'!$A$5:$A$404,0)),"Réf. inconnue"))</f>
        <v/>
      </c>
      <c r="F2942" s="67" t="n"/>
      <c r="G2942" s="81">
        <f>IF(D2942="","",IFERROR(INDEX('Stock pièces'!$I$5:$I$404,MATCH(D2942,'Stock pièces'!$A$5:$A$404,0)),0))</f>
        <v/>
      </c>
      <c r="H2942" s="81">
        <f>IF(D2942="","",N(F2942)*N(G2942))</f>
        <v/>
      </c>
      <c r="I2942" s="7" t="n"/>
      <c r="J2942" s="9">
        <f>IF(I2942="","",IFERROR(INDEX('Ordres de travail'!$D$5:$D$3004,MATCH(I2942,'Ordres de travail'!$A$5:$A$3004,0)),""))</f>
        <v/>
      </c>
      <c r="K2942" s="9">
        <f>IF(D2942="","",IFERROR(INDEX('Stock pièces'!$D$5:$D$404,MATCH(D2942,'Stock pièces'!$A$5:$A$404,0)),""))</f>
        <v/>
      </c>
      <c r="L2942" s="7" t="n"/>
      <c r="M2942" s="7" t="n"/>
    </row>
    <row r="2943">
      <c r="A2943" s="7" t="n"/>
      <c r="B2943" s="75" t="n"/>
      <c r="C2943" s="7" t="n"/>
      <c r="D2943" s="7" t="n"/>
      <c r="E2943" s="9">
        <f>IF(D2943="","",IFERROR(INDEX('Stock pièces'!$B$5:$B$404,MATCH(D2943,'Stock pièces'!$A$5:$A$404,0)),"Réf. inconnue"))</f>
        <v/>
      </c>
      <c r="F2943" s="67" t="n"/>
      <c r="G2943" s="81">
        <f>IF(D2943="","",IFERROR(INDEX('Stock pièces'!$I$5:$I$404,MATCH(D2943,'Stock pièces'!$A$5:$A$404,0)),0))</f>
        <v/>
      </c>
      <c r="H2943" s="81">
        <f>IF(D2943="","",N(F2943)*N(G2943))</f>
        <v/>
      </c>
      <c r="I2943" s="7" t="n"/>
      <c r="J2943" s="9">
        <f>IF(I2943="","",IFERROR(INDEX('Ordres de travail'!$D$5:$D$3004,MATCH(I2943,'Ordres de travail'!$A$5:$A$3004,0)),""))</f>
        <v/>
      </c>
      <c r="K2943" s="9">
        <f>IF(D2943="","",IFERROR(INDEX('Stock pièces'!$D$5:$D$404,MATCH(D2943,'Stock pièces'!$A$5:$A$404,0)),""))</f>
        <v/>
      </c>
      <c r="L2943" s="7" t="n"/>
      <c r="M2943" s="7" t="n"/>
    </row>
    <row r="2944">
      <c r="A2944" s="7" t="n"/>
      <c r="B2944" s="75" t="n"/>
      <c r="C2944" s="7" t="n"/>
      <c r="D2944" s="7" t="n"/>
      <c r="E2944" s="9">
        <f>IF(D2944="","",IFERROR(INDEX('Stock pièces'!$B$5:$B$404,MATCH(D2944,'Stock pièces'!$A$5:$A$404,0)),"Réf. inconnue"))</f>
        <v/>
      </c>
      <c r="F2944" s="67" t="n"/>
      <c r="G2944" s="81">
        <f>IF(D2944="","",IFERROR(INDEX('Stock pièces'!$I$5:$I$404,MATCH(D2944,'Stock pièces'!$A$5:$A$404,0)),0))</f>
        <v/>
      </c>
      <c r="H2944" s="81">
        <f>IF(D2944="","",N(F2944)*N(G2944))</f>
        <v/>
      </c>
      <c r="I2944" s="7" t="n"/>
      <c r="J2944" s="9">
        <f>IF(I2944="","",IFERROR(INDEX('Ordres de travail'!$D$5:$D$3004,MATCH(I2944,'Ordres de travail'!$A$5:$A$3004,0)),""))</f>
        <v/>
      </c>
      <c r="K2944" s="9">
        <f>IF(D2944="","",IFERROR(INDEX('Stock pièces'!$D$5:$D$404,MATCH(D2944,'Stock pièces'!$A$5:$A$404,0)),""))</f>
        <v/>
      </c>
      <c r="L2944" s="7" t="n"/>
      <c r="M2944" s="7" t="n"/>
    </row>
    <row r="2945">
      <c r="A2945" s="7" t="n"/>
      <c r="B2945" s="75" t="n"/>
      <c r="C2945" s="7" t="n"/>
      <c r="D2945" s="7" t="n"/>
      <c r="E2945" s="9">
        <f>IF(D2945="","",IFERROR(INDEX('Stock pièces'!$B$5:$B$404,MATCH(D2945,'Stock pièces'!$A$5:$A$404,0)),"Réf. inconnue"))</f>
        <v/>
      </c>
      <c r="F2945" s="67" t="n"/>
      <c r="G2945" s="81">
        <f>IF(D2945="","",IFERROR(INDEX('Stock pièces'!$I$5:$I$404,MATCH(D2945,'Stock pièces'!$A$5:$A$404,0)),0))</f>
        <v/>
      </c>
      <c r="H2945" s="81">
        <f>IF(D2945="","",N(F2945)*N(G2945))</f>
        <v/>
      </c>
      <c r="I2945" s="7" t="n"/>
      <c r="J2945" s="9">
        <f>IF(I2945="","",IFERROR(INDEX('Ordres de travail'!$D$5:$D$3004,MATCH(I2945,'Ordres de travail'!$A$5:$A$3004,0)),""))</f>
        <v/>
      </c>
      <c r="K2945" s="9">
        <f>IF(D2945="","",IFERROR(INDEX('Stock pièces'!$D$5:$D$404,MATCH(D2945,'Stock pièces'!$A$5:$A$404,0)),""))</f>
        <v/>
      </c>
      <c r="L2945" s="7" t="n"/>
      <c r="M2945" s="7" t="n"/>
    </row>
    <row r="2946">
      <c r="A2946" s="7" t="n"/>
      <c r="B2946" s="75" t="n"/>
      <c r="C2946" s="7" t="n"/>
      <c r="D2946" s="7" t="n"/>
      <c r="E2946" s="9">
        <f>IF(D2946="","",IFERROR(INDEX('Stock pièces'!$B$5:$B$404,MATCH(D2946,'Stock pièces'!$A$5:$A$404,0)),"Réf. inconnue"))</f>
        <v/>
      </c>
      <c r="F2946" s="67" t="n"/>
      <c r="G2946" s="81">
        <f>IF(D2946="","",IFERROR(INDEX('Stock pièces'!$I$5:$I$404,MATCH(D2946,'Stock pièces'!$A$5:$A$404,0)),0))</f>
        <v/>
      </c>
      <c r="H2946" s="81">
        <f>IF(D2946="","",N(F2946)*N(G2946))</f>
        <v/>
      </c>
      <c r="I2946" s="7" t="n"/>
      <c r="J2946" s="9">
        <f>IF(I2946="","",IFERROR(INDEX('Ordres de travail'!$D$5:$D$3004,MATCH(I2946,'Ordres de travail'!$A$5:$A$3004,0)),""))</f>
        <v/>
      </c>
      <c r="K2946" s="9">
        <f>IF(D2946="","",IFERROR(INDEX('Stock pièces'!$D$5:$D$404,MATCH(D2946,'Stock pièces'!$A$5:$A$404,0)),""))</f>
        <v/>
      </c>
      <c r="L2946" s="7" t="n"/>
      <c r="M2946" s="7" t="n"/>
    </row>
    <row r="2947">
      <c r="A2947" s="7" t="n"/>
      <c r="B2947" s="75" t="n"/>
      <c r="C2947" s="7" t="n"/>
      <c r="D2947" s="7" t="n"/>
      <c r="E2947" s="9">
        <f>IF(D2947="","",IFERROR(INDEX('Stock pièces'!$B$5:$B$404,MATCH(D2947,'Stock pièces'!$A$5:$A$404,0)),"Réf. inconnue"))</f>
        <v/>
      </c>
      <c r="F2947" s="67" t="n"/>
      <c r="G2947" s="81">
        <f>IF(D2947="","",IFERROR(INDEX('Stock pièces'!$I$5:$I$404,MATCH(D2947,'Stock pièces'!$A$5:$A$404,0)),0))</f>
        <v/>
      </c>
      <c r="H2947" s="81">
        <f>IF(D2947="","",N(F2947)*N(G2947))</f>
        <v/>
      </c>
      <c r="I2947" s="7" t="n"/>
      <c r="J2947" s="9">
        <f>IF(I2947="","",IFERROR(INDEX('Ordres de travail'!$D$5:$D$3004,MATCH(I2947,'Ordres de travail'!$A$5:$A$3004,0)),""))</f>
        <v/>
      </c>
      <c r="K2947" s="9">
        <f>IF(D2947="","",IFERROR(INDEX('Stock pièces'!$D$5:$D$404,MATCH(D2947,'Stock pièces'!$A$5:$A$404,0)),""))</f>
        <v/>
      </c>
      <c r="L2947" s="7" t="n"/>
      <c r="M2947" s="7" t="n"/>
    </row>
    <row r="2948">
      <c r="A2948" s="7" t="n"/>
      <c r="B2948" s="75" t="n"/>
      <c r="C2948" s="7" t="n"/>
      <c r="D2948" s="7" t="n"/>
      <c r="E2948" s="9">
        <f>IF(D2948="","",IFERROR(INDEX('Stock pièces'!$B$5:$B$404,MATCH(D2948,'Stock pièces'!$A$5:$A$404,0)),"Réf. inconnue"))</f>
        <v/>
      </c>
      <c r="F2948" s="67" t="n"/>
      <c r="G2948" s="81">
        <f>IF(D2948="","",IFERROR(INDEX('Stock pièces'!$I$5:$I$404,MATCH(D2948,'Stock pièces'!$A$5:$A$404,0)),0))</f>
        <v/>
      </c>
      <c r="H2948" s="81">
        <f>IF(D2948="","",N(F2948)*N(G2948))</f>
        <v/>
      </c>
      <c r="I2948" s="7" t="n"/>
      <c r="J2948" s="9">
        <f>IF(I2948="","",IFERROR(INDEX('Ordres de travail'!$D$5:$D$3004,MATCH(I2948,'Ordres de travail'!$A$5:$A$3004,0)),""))</f>
        <v/>
      </c>
      <c r="K2948" s="9">
        <f>IF(D2948="","",IFERROR(INDEX('Stock pièces'!$D$5:$D$404,MATCH(D2948,'Stock pièces'!$A$5:$A$404,0)),""))</f>
        <v/>
      </c>
      <c r="L2948" s="7" t="n"/>
      <c r="M2948" s="7" t="n"/>
    </row>
    <row r="2949">
      <c r="A2949" s="7" t="n"/>
      <c r="B2949" s="75" t="n"/>
      <c r="C2949" s="7" t="n"/>
      <c r="D2949" s="7" t="n"/>
      <c r="E2949" s="9">
        <f>IF(D2949="","",IFERROR(INDEX('Stock pièces'!$B$5:$B$404,MATCH(D2949,'Stock pièces'!$A$5:$A$404,0)),"Réf. inconnue"))</f>
        <v/>
      </c>
      <c r="F2949" s="67" t="n"/>
      <c r="G2949" s="81">
        <f>IF(D2949="","",IFERROR(INDEX('Stock pièces'!$I$5:$I$404,MATCH(D2949,'Stock pièces'!$A$5:$A$404,0)),0))</f>
        <v/>
      </c>
      <c r="H2949" s="81">
        <f>IF(D2949="","",N(F2949)*N(G2949))</f>
        <v/>
      </c>
      <c r="I2949" s="7" t="n"/>
      <c r="J2949" s="9">
        <f>IF(I2949="","",IFERROR(INDEX('Ordres de travail'!$D$5:$D$3004,MATCH(I2949,'Ordres de travail'!$A$5:$A$3004,0)),""))</f>
        <v/>
      </c>
      <c r="K2949" s="9">
        <f>IF(D2949="","",IFERROR(INDEX('Stock pièces'!$D$5:$D$404,MATCH(D2949,'Stock pièces'!$A$5:$A$404,0)),""))</f>
        <v/>
      </c>
      <c r="L2949" s="7" t="n"/>
      <c r="M2949" s="7" t="n"/>
    </row>
    <row r="2950">
      <c r="A2950" s="7" t="n"/>
      <c r="B2950" s="75" t="n"/>
      <c r="C2950" s="7" t="n"/>
      <c r="D2950" s="7" t="n"/>
      <c r="E2950" s="9">
        <f>IF(D2950="","",IFERROR(INDEX('Stock pièces'!$B$5:$B$404,MATCH(D2950,'Stock pièces'!$A$5:$A$404,0)),"Réf. inconnue"))</f>
        <v/>
      </c>
      <c r="F2950" s="67" t="n"/>
      <c r="G2950" s="81">
        <f>IF(D2950="","",IFERROR(INDEX('Stock pièces'!$I$5:$I$404,MATCH(D2950,'Stock pièces'!$A$5:$A$404,0)),0))</f>
        <v/>
      </c>
      <c r="H2950" s="81">
        <f>IF(D2950="","",N(F2950)*N(G2950))</f>
        <v/>
      </c>
      <c r="I2950" s="7" t="n"/>
      <c r="J2950" s="9">
        <f>IF(I2950="","",IFERROR(INDEX('Ordres de travail'!$D$5:$D$3004,MATCH(I2950,'Ordres de travail'!$A$5:$A$3004,0)),""))</f>
        <v/>
      </c>
      <c r="K2950" s="9">
        <f>IF(D2950="","",IFERROR(INDEX('Stock pièces'!$D$5:$D$404,MATCH(D2950,'Stock pièces'!$A$5:$A$404,0)),""))</f>
        <v/>
      </c>
      <c r="L2950" s="7" t="n"/>
      <c r="M2950" s="7" t="n"/>
    </row>
    <row r="2951">
      <c r="A2951" s="7" t="n"/>
      <c r="B2951" s="75" t="n"/>
      <c r="C2951" s="7" t="n"/>
      <c r="D2951" s="7" t="n"/>
      <c r="E2951" s="9">
        <f>IF(D2951="","",IFERROR(INDEX('Stock pièces'!$B$5:$B$404,MATCH(D2951,'Stock pièces'!$A$5:$A$404,0)),"Réf. inconnue"))</f>
        <v/>
      </c>
      <c r="F2951" s="67" t="n"/>
      <c r="G2951" s="81">
        <f>IF(D2951="","",IFERROR(INDEX('Stock pièces'!$I$5:$I$404,MATCH(D2951,'Stock pièces'!$A$5:$A$404,0)),0))</f>
        <v/>
      </c>
      <c r="H2951" s="81">
        <f>IF(D2951="","",N(F2951)*N(G2951))</f>
        <v/>
      </c>
      <c r="I2951" s="7" t="n"/>
      <c r="J2951" s="9">
        <f>IF(I2951="","",IFERROR(INDEX('Ordres de travail'!$D$5:$D$3004,MATCH(I2951,'Ordres de travail'!$A$5:$A$3004,0)),""))</f>
        <v/>
      </c>
      <c r="K2951" s="9">
        <f>IF(D2951="","",IFERROR(INDEX('Stock pièces'!$D$5:$D$404,MATCH(D2951,'Stock pièces'!$A$5:$A$404,0)),""))</f>
        <v/>
      </c>
      <c r="L2951" s="7" t="n"/>
      <c r="M2951" s="7" t="n"/>
    </row>
    <row r="2952">
      <c r="A2952" s="7" t="n"/>
      <c r="B2952" s="75" t="n"/>
      <c r="C2952" s="7" t="n"/>
      <c r="D2952" s="7" t="n"/>
      <c r="E2952" s="9">
        <f>IF(D2952="","",IFERROR(INDEX('Stock pièces'!$B$5:$B$404,MATCH(D2952,'Stock pièces'!$A$5:$A$404,0)),"Réf. inconnue"))</f>
        <v/>
      </c>
      <c r="F2952" s="67" t="n"/>
      <c r="G2952" s="81">
        <f>IF(D2952="","",IFERROR(INDEX('Stock pièces'!$I$5:$I$404,MATCH(D2952,'Stock pièces'!$A$5:$A$404,0)),0))</f>
        <v/>
      </c>
      <c r="H2952" s="81">
        <f>IF(D2952="","",N(F2952)*N(G2952))</f>
        <v/>
      </c>
      <c r="I2952" s="7" t="n"/>
      <c r="J2952" s="9">
        <f>IF(I2952="","",IFERROR(INDEX('Ordres de travail'!$D$5:$D$3004,MATCH(I2952,'Ordres de travail'!$A$5:$A$3004,0)),""))</f>
        <v/>
      </c>
      <c r="K2952" s="9">
        <f>IF(D2952="","",IFERROR(INDEX('Stock pièces'!$D$5:$D$404,MATCH(D2952,'Stock pièces'!$A$5:$A$404,0)),""))</f>
        <v/>
      </c>
      <c r="L2952" s="7" t="n"/>
      <c r="M2952" s="7" t="n"/>
    </row>
    <row r="2953">
      <c r="A2953" s="7" t="n"/>
      <c r="B2953" s="75" t="n"/>
      <c r="C2953" s="7" t="n"/>
      <c r="D2953" s="7" t="n"/>
      <c r="E2953" s="9">
        <f>IF(D2953="","",IFERROR(INDEX('Stock pièces'!$B$5:$B$404,MATCH(D2953,'Stock pièces'!$A$5:$A$404,0)),"Réf. inconnue"))</f>
        <v/>
      </c>
      <c r="F2953" s="67" t="n"/>
      <c r="G2953" s="81">
        <f>IF(D2953="","",IFERROR(INDEX('Stock pièces'!$I$5:$I$404,MATCH(D2953,'Stock pièces'!$A$5:$A$404,0)),0))</f>
        <v/>
      </c>
      <c r="H2953" s="81">
        <f>IF(D2953="","",N(F2953)*N(G2953))</f>
        <v/>
      </c>
      <c r="I2953" s="7" t="n"/>
      <c r="J2953" s="9">
        <f>IF(I2953="","",IFERROR(INDEX('Ordres de travail'!$D$5:$D$3004,MATCH(I2953,'Ordres de travail'!$A$5:$A$3004,0)),""))</f>
        <v/>
      </c>
      <c r="K2953" s="9">
        <f>IF(D2953="","",IFERROR(INDEX('Stock pièces'!$D$5:$D$404,MATCH(D2953,'Stock pièces'!$A$5:$A$404,0)),""))</f>
        <v/>
      </c>
      <c r="L2953" s="7" t="n"/>
      <c r="M2953" s="7" t="n"/>
    </row>
    <row r="2954">
      <c r="A2954" s="7" t="n"/>
      <c r="B2954" s="75" t="n"/>
      <c r="C2954" s="7" t="n"/>
      <c r="D2954" s="7" t="n"/>
      <c r="E2954" s="9">
        <f>IF(D2954="","",IFERROR(INDEX('Stock pièces'!$B$5:$B$404,MATCH(D2954,'Stock pièces'!$A$5:$A$404,0)),"Réf. inconnue"))</f>
        <v/>
      </c>
      <c r="F2954" s="67" t="n"/>
      <c r="G2954" s="81">
        <f>IF(D2954="","",IFERROR(INDEX('Stock pièces'!$I$5:$I$404,MATCH(D2954,'Stock pièces'!$A$5:$A$404,0)),0))</f>
        <v/>
      </c>
      <c r="H2954" s="81">
        <f>IF(D2954="","",N(F2954)*N(G2954))</f>
        <v/>
      </c>
      <c r="I2954" s="7" t="n"/>
      <c r="J2954" s="9">
        <f>IF(I2954="","",IFERROR(INDEX('Ordres de travail'!$D$5:$D$3004,MATCH(I2954,'Ordres de travail'!$A$5:$A$3004,0)),""))</f>
        <v/>
      </c>
      <c r="K2954" s="9">
        <f>IF(D2954="","",IFERROR(INDEX('Stock pièces'!$D$5:$D$404,MATCH(D2954,'Stock pièces'!$A$5:$A$404,0)),""))</f>
        <v/>
      </c>
      <c r="L2954" s="7" t="n"/>
      <c r="M2954" s="7" t="n"/>
    </row>
    <row r="2955">
      <c r="A2955" s="7" t="n"/>
      <c r="B2955" s="75" t="n"/>
      <c r="C2955" s="7" t="n"/>
      <c r="D2955" s="7" t="n"/>
      <c r="E2955" s="9">
        <f>IF(D2955="","",IFERROR(INDEX('Stock pièces'!$B$5:$B$404,MATCH(D2955,'Stock pièces'!$A$5:$A$404,0)),"Réf. inconnue"))</f>
        <v/>
      </c>
      <c r="F2955" s="67" t="n"/>
      <c r="G2955" s="81">
        <f>IF(D2955="","",IFERROR(INDEX('Stock pièces'!$I$5:$I$404,MATCH(D2955,'Stock pièces'!$A$5:$A$404,0)),0))</f>
        <v/>
      </c>
      <c r="H2955" s="81">
        <f>IF(D2955="","",N(F2955)*N(G2955))</f>
        <v/>
      </c>
      <c r="I2955" s="7" t="n"/>
      <c r="J2955" s="9">
        <f>IF(I2955="","",IFERROR(INDEX('Ordres de travail'!$D$5:$D$3004,MATCH(I2955,'Ordres de travail'!$A$5:$A$3004,0)),""))</f>
        <v/>
      </c>
      <c r="K2955" s="9">
        <f>IF(D2955="","",IFERROR(INDEX('Stock pièces'!$D$5:$D$404,MATCH(D2955,'Stock pièces'!$A$5:$A$404,0)),""))</f>
        <v/>
      </c>
      <c r="L2955" s="7" t="n"/>
      <c r="M2955" s="7" t="n"/>
    </row>
    <row r="2956">
      <c r="A2956" s="7" t="n"/>
      <c r="B2956" s="75" t="n"/>
      <c r="C2956" s="7" t="n"/>
      <c r="D2956" s="7" t="n"/>
      <c r="E2956" s="9">
        <f>IF(D2956="","",IFERROR(INDEX('Stock pièces'!$B$5:$B$404,MATCH(D2956,'Stock pièces'!$A$5:$A$404,0)),"Réf. inconnue"))</f>
        <v/>
      </c>
      <c r="F2956" s="67" t="n"/>
      <c r="G2956" s="81">
        <f>IF(D2956="","",IFERROR(INDEX('Stock pièces'!$I$5:$I$404,MATCH(D2956,'Stock pièces'!$A$5:$A$404,0)),0))</f>
        <v/>
      </c>
      <c r="H2956" s="81">
        <f>IF(D2956="","",N(F2956)*N(G2956))</f>
        <v/>
      </c>
      <c r="I2956" s="7" t="n"/>
      <c r="J2956" s="9">
        <f>IF(I2956="","",IFERROR(INDEX('Ordres de travail'!$D$5:$D$3004,MATCH(I2956,'Ordres de travail'!$A$5:$A$3004,0)),""))</f>
        <v/>
      </c>
      <c r="K2956" s="9">
        <f>IF(D2956="","",IFERROR(INDEX('Stock pièces'!$D$5:$D$404,MATCH(D2956,'Stock pièces'!$A$5:$A$404,0)),""))</f>
        <v/>
      </c>
      <c r="L2956" s="7" t="n"/>
      <c r="M2956" s="7" t="n"/>
    </row>
    <row r="2957">
      <c r="A2957" s="7" t="n"/>
      <c r="B2957" s="75" t="n"/>
      <c r="C2957" s="7" t="n"/>
      <c r="D2957" s="7" t="n"/>
      <c r="E2957" s="9">
        <f>IF(D2957="","",IFERROR(INDEX('Stock pièces'!$B$5:$B$404,MATCH(D2957,'Stock pièces'!$A$5:$A$404,0)),"Réf. inconnue"))</f>
        <v/>
      </c>
      <c r="F2957" s="67" t="n"/>
      <c r="G2957" s="81">
        <f>IF(D2957="","",IFERROR(INDEX('Stock pièces'!$I$5:$I$404,MATCH(D2957,'Stock pièces'!$A$5:$A$404,0)),0))</f>
        <v/>
      </c>
      <c r="H2957" s="81">
        <f>IF(D2957="","",N(F2957)*N(G2957))</f>
        <v/>
      </c>
      <c r="I2957" s="7" t="n"/>
      <c r="J2957" s="9">
        <f>IF(I2957="","",IFERROR(INDEX('Ordres de travail'!$D$5:$D$3004,MATCH(I2957,'Ordres de travail'!$A$5:$A$3004,0)),""))</f>
        <v/>
      </c>
      <c r="K2957" s="9">
        <f>IF(D2957="","",IFERROR(INDEX('Stock pièces'!$D$5:$D$404,MATCH(D2957,'Stock pièces'!$A$5:$A$404,0)),""))</f>
        <v/>
      </c>
      <c r="L2957" s="7" t="n"/>
      <c r="M2957" s="7" t="n"/>
    </row>
    <row r="2958">
      <c r="A2958" s="7" t="n"/>
      <c r="B2958" s="75" t="n"/>
      <c r="C2958" s="7" t="n"/>
      <c r="D2958" s="7" t="n"/>
      <c r="E2958" s="9">
        <f>IF(D2958="","",IFERROR(INDEX('Stock pièces'!$B$5:$B$404,MATCH(D2958,'Stock pièces'!$A$5:$A$404,0)),"Réf. inconnue"))</f>
        <v/>
      </c>
      <c r="F2958" s="67" t="n"/>
      <c r="G2958" s="81">
        <f>IF(D2958="","",IFERROR(INDEX('Stock pièces'!$I$5:$I$404,MATCH(D2958,'Stock pièces'!$A$5:$A$404,0)),0))</f>
        <v/>
      </c>
      <c r="H2958" s="81">
        <f>IF(D2958="","",N(F2958)*N(G2958))</f>
        <v/>
      </c>
      <c r="I2958" s="7" t="n"/>
      <c r="J2958" s="9">
        <f>IF(I2958="","",IFERROR(INDEX('Ordres de travail'!$D$5:$D$3004,MATCH(I2958,'Ordres de travail'!$A$5:$A$3004,0)),""))</f>
        <v/>
      </c>
      <c r="K2958" s="9">
        <f>IF(D2958="","",IFERROR(INDEX('Stock pièces'!$D$5:$D$404,MATCH(D2958,'Stock pièces'!$A$5:$A$404,0)),""))</f>
        <v/>
      </c>
      <c r="L2958" s="7" t="n"/>
      <c r="M2958" s="7" t="n"/>
    </row>
    <row r="2959">
      <c r="A2959" s="7" t="n"/>
      <c r="B2959" s="75" t="n"/>
      <c r="C2959" s="7" t="n"/>
      <c r="D2959" s="7" t="n"/>
      <c r="E2959" s="9">
        <f>IF(D2959="","",IFERROR(INDEX('Stock pièces'!$B$5:$B$404,MATCH(D2959,'Stock pièces'!$A$5:$A$404,0)),"Réf. inconnue"))</f>
        <v/>
      </c>
      <c r="F2959" s="67" t="n"/>
      <c r="G2959" s="81">
        <f>IF(D2959="","",IFERROR(INDEX('Stock pièces'!$I$5:$I$404,MATCH(D2959,'Stock pièces'!$A$5:$A$404,0)),0))</f>
        <v/>
      </c>
      <c r="H2959" s="81">
        <f>IF(D2959="","",N(F2959)*N(G2959))</f>
        <v/>
      </c>
      <c r="I2959" s="7" t="n"/>
      <c r="J2959" s="9">
        <f>IF(I2959="","",IFERROR(INDEX('Ordres de travail'!$D$5:$D$3004,MATCH(I2959,'Ordres de travail'!$A$5:$A$3004,0)),""))</f>
        <v/>
      </c>
      <c r="K2959" s="9">
        <f>IF(D2959="","",IFERROR(INDEX('Stock pièces'!$D$5:$D$404,MATCH(D2959,'Stock pièces'!$A$5:$A$404,0)),""))</f>
        <v/>
      </c>
      <c r="L2959" s="7" t="n"/>
      <c r="M2959" s="7" t="n"/>
    </row>
    <row r="2960">
      <c r="A2960" s="7" t="n"/>
      <c r="B2960" s="75" t="n"/>
      <c r="C2960" s="7" t="n"/>
      <c r="D2960" s="7" t="n"/>
      <c r="E2960" s="9">
        <f>IF(D2960="","",IFERROR(INDEX('Stock pièces'!$B$5:$B$404,MATCH(D2960,'Stock pièces'!$A$5:$A$404,0)),"Réf. inconnue"))</f>
        <v/>
      </c>
      <c r="F2960" s="67" t="n"/>
      <c r="G2960" s="81">
        <f>IF(D2960="","",IFERROR(INDEX('Stock pièces'!$I$5:$I$404,MATCH(D2960,'Stock pièces'!$A$5:$A$404,0)),0))</f>
        <v/>
      </c>
      <c r="H2960" s="81">
        <f>IF(D2960="","",N(F2960)*N(G2960))</f>
        <v/>
      </c>
      <c r="I2960" s="7" t="n"/>
      <c r="J2960" s="9">
        <f>IF(I2960="","",IFERROR(INDEX('Ordres de travail'!$D$5:$D$3004,MATCH(I2960,'Ordres de travail'!$A$5:$A$3004,0)),""))</f>
        <v/>
      </c>
      <c r="K2960" s="9">
        <f>IF(D2960="","",IFERROR(INDEX('Stock pièces'!$D$5:$D$404,MATCH(D2960,'Stock pièces'!$A$5:$A$404,0)),""))</f>
        <v/>
      </c>
      <c r="L2960" s="7" t="n"/>
      <c r="M2960" s="7" t="n"/>
    </row>
    <row r="2961">
      <c r="A2961" s="7" t="n"/>
      <c r="B2961" s="75" t="n"/>
      <c r="C2961" s="7" t="n"/>
      <c r="D2961" s="7" t="n"/>
      <c r="E2961" s="9">
        <f>IF(D2961="","",IFERROR(INDEX('Stock pièces'!$B$5:$B$404,MATCH(D2961,'Stock pièces'!$A$5:$A$404,0)),"Réf. inconnue"))</f>
        <v/>
      </c>
      <c r="F2961" s="67" t="n"/>
      <c r="G2961" s="81">
        <f>IF(D2961="","",IFERROR(INDEX('Stock pièces'!$I$5:$I$404,MATCH(D2961,'Stock pièces'!$A$5:$A$404,0)),0))</f>
        <v/>
      </c>
      <c r="H2961" s="81">
        <f>IF(D2961="","",N(F2961)*N(G2961))</f>
        <v/>
      </c>
      <c r="I2961" s="7" t="n"/>
      <c r="J2961" s="9">
        <f>IF(I2961="","",IFERROR(INDEX('Ordres de travail'!$D$5:$D$3004,MATCH(I2961,'Ordres de travail'!$A$5:$A$3004,0)),""))</f>
        <v/>
      </c>
      <c r="K2961" s="9">
        <f>IF(D2961="","",IFERROR(INDEX('Stock pièces'!$D$5:$D$404,MATCH(D2961,'Stock pièces'!$A$5:$A$404,0)),""))</f>
        <v/>
      </c>
      <c r="L2961" s="7" t="n"/>
      <c r="M2961" s="7" t="n"/>
    </row>
    <row r="2962">
      <c r="A2962" s="7" t="n"/>
      <c r="B2962" s="75" t="n"/>
      <c r="C2962" s="7" t="n"/>
      <c r="D2962" s="7" t="n"/>
      <c r="E2962" s="9">
        <f>IF(D2962="","",IFERROR(INDEX('Stock pièces'!$B$5:$B$404,MATCH(D2962,'Stock pièces'!$A$5:$A$404,0)),"Réf. inconnue"))</f>
        <v/>
      </c>
      <c r="F2962" s="67" t="n"/>
      <c r="G2962" s="81">
        <f>IF(D2962="","",IFERROR(INDEX('Stock pièces'!$I$5:$I$404,MATCH(D2962,'Stock pièces'!$A$5:$A$404,0)),0))</f>
        <v/>
      </c>
      <c r="H2962" s="81">
        <f>IF(D2962="","",N(F2962)*N(G2962))</f>
        <v/>
      </c>
      <c r="I2962" s="7" t="n"/>
      <c r="J2962" s="9">
        <f>IF(I2962="","",IFERROR(INDEX('Ordres de travail'!$D$5:$D$3004,MATCH(I2962,'Ordres de travail'!$A$5:$A$3004,0)),""))</f>
        <v/>
      </c>
      <c r="K2962" s="9">
        <f>IF(D2962="","",IFERROR(INDEX('Stock pièces'!$D$5:$D$404,MATCH(D2962,'Stock pièces'!$A$5:$A$404,0)),""))</f>
        <v/>
      </c>
      <c r="L2962" s="7" t="n"/>
      <c r="M2962" s="7" t="n"/>
    </row>
    <row r="2963">
      <c r="A2963" s="7" t="n"/>
      <c r="B2963" s="75" t="n"/>
      <c r="C2963" s="7" t="n"/>
      <c r="D2963" s="7" t="n"/>
      <c r="E2963" s="9">
        <f>IF(D2963="","",IFERROR(INDEX('Stock pièces'!$B$5:$B$404,MATCH(D2963,'Stock pièces'!$A$5:$A$404,0)),"Réf. inconnue"))</f>
        <v/>
      </c>
      <c r="F2963" s="67" t="n"/>
      <c r="G2963" s="81">
        <f>IF(D2963="","",IFERROR(INDEX('Stock pièces'!$I$5:$I$404,MATCH(D2963,'Stock pièces'!$A$5:$A$404,0)),0))</f>
        <v/>
      </c>
      <c r="H2963" s="81">
        <f>IF(D2963="","",N(F2963)*N(G2963))</f>
        <v/>
      </c>
      <c r="I2963" s="7" t="n"/>
      <c r="J2963" s="9">
        <f>IF(I2963="","",IFERROR(INDEX('Ordres de travail'!$D$5:$D$3004,MATCH(I2963,'Ordres de travail'!$A$5:$A$3004,0)),""))</f>
        <v/>
      </c>
      <c r="K2963" s="9">
        <f>IF(D2963="","",IFERROR(INDEX('Stock pièces'!$D$5:$D$404,MATCH(D2963,'Stock pièces'!$A$5:$A$404,0)),""))</f>
        <v/>
      </c>
      <c r="L2963" s="7" t="n"/>
      <c r="M2963" s="7" t="n"/>
    </row>
    <row r="2964">
      <c r="A2964" s="7" t="n"/>
      <c r="B2964" s="75" t="n"/>
      <c r="C2964" s="7" t="n"/>
      <c r="D2964" s="7" t="n"/>
      <c r="E2964" s="9">
        <f>IF(D2964="","",IFERROR(INDEX('Stock pièces'!$B$5:$B$404,MATCH(D2964,'Stock pièces'!$A$5:$A$404,0)),"Réf. inconnue"))</f>
        <v/>
      </c>
      <c r="F2964" s="67" t="n"/>
      <c r="G2964" s="81">
        <f>IF(D2964="","",IFERROR(INDEX('Stock pièces'!$I$5:$I$404,MATCH(D2964,'Stock pièces'!$A$5:$A$404,0)),0))</f>
        <v/>
      </c>
      <c r="H2964" s="81">
        <f>IF(D2964="","",N(F2964)*N(G2964))</f>
        <v/>
      </c>
      <c r="I2964" s="7" t="n"/>
      <c r="J2964" s="9">
        <f>IF(I2964="","",IFERROR(INDEX('Ordres de travail'!$D$5:$D$3004,MATCH(I2964,'Ordres de travail'!$A$5:$A$3004,0)),""))</f>
        <v/>
      </c>
      <c r="K2964" s="9">
        <f>IF(D2964="","",IFERROR(INDEX('Stock pièces'!$D$5:$D$404,MATCH(D2964,'Stock pièces'!$A$5:$A$404,0)),""))</f>
        <v/>
      </c>
      <c r="L2964" s="7" t="n"/>
      <c r="M2964" s="7" t="n"/>
    </row>
    <row r="2965">
      <c r="A2965" s="7" t="n"/>
      <c r="B2965" s="75" t="n"/>
      <c r="C2965" s="7" t="n"/>
      <c r="D2965" s="7" t="n"/>
      <c r="E2965" s="9">
        <f>IF(D2965="","",IFERROR(INDEX('Stock pièces'!$B$5:$B$404,MATCH(D2965,'Stock pièces'!$A$5:$A$404,0)),"Réf. inconnue"))</f>
        <v/>
      </c>
      <c r="F2965" s="67" t="n"/>
      <c r="G2965" s="81">
        <f>IF(D2965="","",IFERROR(INDEX('Stock pièces'!$I$5:$I$404,MATCH(D2965,'Stock pièces'!$A$5:$A$404,0)),0))</f>
        <v/>
      </c>
      <c r="H2965" s="81">
        <f>IF(D2965="","",N(F2965)*N(G2965))</f>
        <v/>
      </c>
      <c r="I2965" s="7" t="n"/>
      <c r="J2965" s="9">
        <f>IF(I2965="","",IFERROR(INDEX('Ordres de travail'!$D$5:$D$3004,MATCH(I2965,'Ordres de travail'!$A$5:$A$3004,0)),""))</f>
        <v/>
      </c>
      <c r="K2965" s="9">
        <f>IF(D2965="","",IFERROR(INDEX('Stock pièces'!$D$5:$D$404,MATCH(D2965,'Stock pièces'!$A$5:$A$404,0)),""))</f>
        <v/>
      </c>
      <c r="L2965" s="7" t="n"/>
      <c r="M2965" s="7" t="n"/>
    </row>
    <row r="2966">
      <c r="A2966" s="7" t="n"/>
      <c r="B2966" s="75" t="n"/>
      <c r="C2966" s="7" t="n"/>
      <c r="D2966" s="7" t="n"/>
      <c r="E2966" s="9">
        <f>IF(D2966="","",IFERROR(INDEX('Stock pièces'!$B$5:$B$404,MATCH(D2966,'Stock pièces'!$A$5:$A$404,0)),"Réf. inconnue"))</f>
        <v/>
      </c>
      <c r="F2966" s="67" t="n"/>
      <c r="G2966" s="81">
        <f>IF(D2966="","",IFERROR(INDEX('Stock pièces'!$I$5:$I$404,MATCH(D2966,'Stock pièces'!$A$5:$A$404,0)),0))</f>
        <v/>
      </c>
      <c r="H2966" s="81">
        <f>IF(D2966="","",N(F2966)*N(G2966))</f>
        <v/>
      </c>
      <c r="I2966" s="7" t="n"/>
      <c r="J2966" s="9">
        <f>IF(I2966="","",IFERROR(INDEX('Ordres de travail'!$D$5:$D$3004,MATCH(I2966,'Ordres de travail'!$A$5:$A$3004,0)),""))</f>
        <v/>
      </c>
      <c r="K2966" s="9">
        <f>IF(D2966="","",IFERROR(INDEX('Stock pièces'!$D$5:$D$404,MATCH(D2966,'Stock pièces'!$A$5:$A$404,0)),""))</f>
        <v/>
      </c>
      <c r="L2966" s="7" t="n"/>
      <c r="M2966" s="7" t="n"/>
    </row>
    <row r="2967">
      <c r="A2967" s="7" t="n"/>
      <c r="B2967" s="75" t="n"/>
      <c r="C2967" s="7" t="n"/>
      <c r="D2967" s="7" t="n"/>
      <c r="E2967" s="9">
        <f>IF(D2967="","",IFERROR(INDEX('Stock pièces'!$B$5:$B$404,MATCH(D2967,'Stock pièces'!$A$5:$A$404,0)),"Réf. inconnue"))</f>
        <v/>
      </c>
      <c r="F2967" s="67" t="n"/>
      <c r="G2967" s="81">
        <f>IF(D2967="","",IFERROR(INDEX('Stock pièces'!$I$5:$I$404,MATCH(D2967,'Stock pièces'!$A$5:$A$404,0)),0))</f>
        <v/>
      </c>
      <c r="H2967" s="81">
        <f>IF(D2967="","",N(F2967)*N(G2967))</f>
        <v/>
      </c>
      <c r="I2967" s="7" t="n"/>
      <c r="J2967" s="9">
        <f>IF(I2967="","",IFERROR(INDEX('Ordres de travail'!$D$5:$D$3004,MATCH(I2967,'Ordres de travail'!$A$5:$A$3004,0)),""))</f>
        <v/>
      </c>
      <c r="K2967" s="9">
        <f>IF(D2967="","",IFERROR(INDEX('Stock pièces'!$D$5:$D$404,MATCH(D2967,'Stock pièces'!$A$5:$A$404,0)),""))</f>
        <v/>
      </c>
      <c r="L2967" s="7" t="n"/>
      <c r="M2967" s="7" t="n"/>
    </row>
    <row r="2968">
      <c r="A2968" s="7" t="n"/>
      <c r="B2968" s="75" t="n"/>
      <c r="C2968" s="7" t="n"/>
      <c r="D2968" s="7" t="n"/>
      <c r="E2968" s="9">
        <f>IF(D2968="","",IFERROR(INDEX('Stock pièces'!$B$5:$B$404,MATCH(D2968,'Stock pièces'!$A$5:$A$404,0)),"Réf. inconnue"))</f>
        <v/>
      </c>
      <c r="F2968" s="67" t="n"/>
      <c r="G2968" s="81">
        <f>IF(D2968="","",IFERROR(INDEX('Stock pièces'!$I$5:$I$404,MATCH(D2968,'Stock pièces'!$A$5:$A$404,0)),0))</f>
        <v/>
      </c>
      <c r="H2968" s="81">
        <f>IF(D2968="","",N(F2968)*N(G2968))</f>
        <v/>
      </c>
      <c r="I2968" s="7" t="n"/>
      <c r="J2968" s="9">
        <f>IF(I2968="","",IFERROR(INDEX('Ordres de travail'!$D$5:$D$3004,MATCH(I2968,'Ordres de travail'!$A$5:$A$3004,0)),""))</f>
        <v/>
      </c>
      <c r="K2968" s="9">
        <f>IF(D2968="","",IFERROR(INDEX('Stock pièces'!$D$5:$D$404,MATCH(D2968,'Stock pièces'!$A$5:$A$404,0)),""))</f>
        <v/>
      </c>
      <c r="L2968" s="7" t="n"/>
      <c r="M2968" s="7" t="n"/>
    </row>
    <row r="2969">
      <c r="A2969" s="7" t="n"/>
      <c r="B2969" s="75" t="n"/>
      <c r="C2969" s="7" t="n"/>
      <c r="D2969" s="7" t="n"/>
      <c r="E2969" s="9">
        <f>IF(D2969="","",IFERROR(INDEX('Stock pièces'!$B$5:$B$404,MATCH(D2969,'Stock pièces'!$A$5:$A$404,0)),"Réf. inconnue"))</f>
        <v/>
      </c>
      <c r="F2969" s="67" t="n"/>
      <c r="G2969" s="81">
        <f>IF(D2969="","",IFERROR(INDEX('Stock pièces'!$I$5:$I$404,MATCH(D2969,'Stock pièces'!$A$5:$A$404,0)),0))</f>
        <v/>
      </c>
      <c r="H2969" s="81">
        <f>IF(D2969="","",N(F2969)*N(G2969))</f>
        <v/>
      </c>
      <c r="I2969" s="7" t="n"/>
      <c r="J2969" s="9">
        <f>IF(I2969="","",IFERROR(INDEX('Ordres de travail'!$D$5:$D$3004,MATCH(I2969,'Ordres de travail'!$A$5:$A$3004,0)),""))</f>
        <v/>
      </c>
      <c r="K2969" s="9">
        <f>IF(D2969="","",IFERROR(INDEX('Stock pièces'!$D$5:$D$404,MATCH(D2969,'Stock pièces'!$A$5:$A$404,0)),""))</f>
        <v/>
      </c>
      <c r="L2969" s="7" t="n"/>
      <c r="M2969" s="7" t="n"/>
    </row>
    <row r="2970">
      <c r="A2970" s="7" t="n"/>
      <c r="B2970" s="75" t="n"/>
      <c r="C2970" s="7" t="n"/>
      <c r="D2970" s="7" t="n"/>
      <c r="E2970" s="9">
        <f>IF(D2970="","",IFERROR(INDEX('Stock pièces'!$B$5:$B$404,MATCH(D2970,'Stock pièces'!$A$5:$A$404,0)),"Réf. inconnue"))</f>
        <v/>
      </c>
      <c r="F2970" s="67" t="n"/>
      <c r="G2970" s="81">
        <f>IF(D2970="","",IFERROR(INDEX('Stock pièces'!$I$5:$I$404,MATCH(D2970,'Stock pièces'!$A$5:$A$404,0)),0))</f>
        <v/>
      </c>
      <c r="H2970" s="81">
        <f>IF(D2970="","",N(F2970)*N(G2970))</f>
        <v/>
      </c>
      <c r="I2970" s="7" t="n"/>
      <c r="J2970" s="9">
        <f>IF(I2970="","",IFERROR(INDEX('Ordres de travail'!$D$5:$D$3004,MATCH(I2970,'Ordres de travail'!$A$5:$A$3004,0)),""))</f>
        <v/>
      </c>
      <c r="K2970" s="9">
        <f>IF(D2970="","",IFERROR(INDEX('Stock pièces'!$D$5:$D$404,MATCH(D2970,'Stock pièces'!$A$5:$A$404,0)),""))</f>
        <v/>
      </c>
      <c r="L2970" s="7" t="n"/>
      <c r="M2970" s="7" t="n"/>
    </row>
    <row r="2971">
      <c r="A2971" s="7" t="n"/>
      <c r="B2971" s="75" t="n"/>
      <c r="C2971" s="7" t="n"/>
      <c r="D2971" s="7" t="n"/>
      <c r="E2971" s="9">
        <f>IF(D2971="","",IFERROR(INDEX('Stock pièces'!$B$5:$B$404,MATCH(D2971,'Stock pièces'!$A$5:$A$404,0)),"Réf. inconnue"))</f>
        <v/>
      </c>
      <c r="F2971" s="67" t="n"/>
      <c r="G2971" s="81">
        <f>IF(D2971="","",IFERROR(INDEX('Stock pièces'!$I$5:$I$404,MATCH(D2971,'Stock pièces'!$A$5:$A$404,0)),0))</f>
        <v/>
      </c>
      <c r="H2971" s="81">
        <f>IF(D2971="","",N(F2971)*N(G2971))</f>
        <v/>
      </c>
      <c r="I2971" s="7" t="n"/>
      <c r="J2971" s="9">
        <f>IF(I2971="","",IFERROR(INDEX('Ordres de travail'!$D$5:$D$3004,MATCH(I2971,'Ordres de travail'!$A$5:$A$3004,0)),""))</f>
        <v/>
      </c>
      <c r="K2971" s="9">
        <f>IF(D2971="","",IFERROR(INDEX('Stock pièces'!$D$5:$D$404,MATCH(D2971,'Stock pièces'!$A$5:$A$404,0)),""))</f>
        <v/>
      </c>
      <c r="L2971" s="7" t="n"/>
      <c r="M2971" s="7" t="n"/>
    </row>
    <row r="2972">
      <c r="A2972" s="7" t="n"/>
      <c r="B2972" s="75" t="n"/>
      <c r="C2972" s="7" t="n"/>
      <c r="D2972" s="7" t="n"/>
      <c r="E2972" s="9">
        <f>IF(D2972="","",IFERROR(INDEX('Stock pièces'!$B$5:$B$404,MATCH(D2972,'Stock pièces'!$A$5:$A$404,0)),"Réf. inconnue"))</f>
        <v/>
      </c>
      <c r="F2972" s="67" t="n"/>
      <c r="G2972" s="81">
        <f>IF(D2972="","",IFERROR(INDEX('Stock pièces'!$I$5:$I$404,MATCH(D2972,'Stock pièces'!$A$5:$A$404,0)),0))</f>
        <v/>
      </c>
      <c r="H2972" s="81">
        <f>IF(D2972="","",N(F2972)*N(G2972))</f>
        <v/>
      </c>
      <c r="I2972" s="7" t="n"/>
      <c r="J2972" s="9">
        <f>IF(I2972="","",IFERROR(INDEX('Ordres de travail'!$D$5:$D$3004,MATCH(I2972,'Ordres de travail'!$A$5:$A$3004,0)),""))</f>
        <v/>
      </c>
      <c r="K2972" s="9">
        <f>IF(D2972="","",IFERROR(INDEX('Stock pièces'!$D$5:$D$404,MATCH(D2972,'Stock pièces'!$A$5:$A$404,0)),""))</f>
        <v/>
      </c>
      <c r="L2972" s="7" t="n"/>
      <c r="M2972" s="7" t="n"/>
    </row>
    <row r="2973">
      <c r="A2973" s="7" t="n"/>
      <c r="B2973" s="75" t="n"/>
      <c r="C2973" s="7" t="n"/>
      <c r="D2973" s="7" t="n"/>
      <c r="E2973" s="9">
        <f>IF(D2973="","",IFERROR(INDEX('Stock pièces'!$B$5:$B$404,MATCH(D2973,'Stock pièces'!$A$5:$A$404,0)),"Réf. inconnue"))</f>
        <v/>
      </c>
      <c r="F2973" s="67" t="n"/>
      <c r="G2973" s="81">
        <f>IF(D2973="","",IFERROR(INDEX('Stock pièces'!$I$5:$I$404,MATCH(D2973,'Stock pièces'!$A$5:$A$404,0)),0))</f>
        <v/>
      </c>
      <c r="H2973" s="81">
        <f>IF(D2973="","",N(F2973)*N(G2973))</f>
        <v/>
      </c>
      <c r="I2973" s="7" t="n"/>
      <c r="J2973" s="9">
        <f>IF(I2973="","",IFERROR(INDEX('Ordres de travail'!$D$5:$D$3004,MATCH(I2973,'Ordres de travail'!$A$5:$A$3004,0)),""))</f>
        <v/>
      </c>
      <c r="K2973" s="9">
        <f>IF(D2973="","",IFERROR(INDEX('Stock pièces'!$D$5:$D$404,MATCH(D2973,'Stock pièces'!$A$5:$A$404,0)),""))</f>
        <v/>
      </c>
      <c r="L2973" s="7" t="n"/>
      <c r="M2973" s="7" t="n"/>
    </row>
    <row r="2974">
      <c r="A2974" s="7" t="n"/>
      <c r="B2974" s="75" t="n"/>
      <c r="C2974" s="7" t="n"/>
      <c r="D2974" s="7" t="n"/>
      <c r="E2974" s="9">
        <f>IF(D2974="","",IFERROR(INDEX('Stock pièces'!$B$5:$B$404,MATCH(D2974,'Stock pièces'!$A$5:$A$404,0)),"Réf. inconnue"))</f>
        <v/>
      </c>
      <c r="F2974" s="67" t="n"/>
      <c r="G2974" s="81">
        <f>IF(D2974="","",IFERROR(INDEX('Stock pièces'!$I$5:$I$404,MATCH(D2974,'Stock pièces'!$A$5:$A$404,0)),0))</f>
        <v/>
      </c>
      <c r="H2974" s="81">
        <f>IF(D2974="","",N(F2974)*N(G2974))</f>
        <v/>
      </c>
      <c r="I2974" s="7" t="n"/>
      <c r="J2974" s="9">
        <f>IF(I2974="","",IFERROR(INDEX('Ordres de travail'!$D$5:$D$3004,MATCH(I2974,'Ordres de travail'!$A$5:$A$3004,0)),""))</f>
        <v/>
      </c>
      <c r="K2974" s="9">
        <f>IF(D2974="","",IFERROR(INDEX('Stock pièces'!$D$5:$D$404,MATCH(D2974,'Stock pièces'!$A$5:$A$404,0)),""))</f>
        <v/>
      </c>
      <c r="L2974" s="7" t="n"/>
      <c r="M2974" s="7" t="n"/>
    </row>
    <row r="2975">
      <c r="A2975" s="7" t="n"/>
      <c r="B2975" s="75" t="n"/>
      <c r="C2975" s="7" t="n"/>
      <c r="D2975" s="7" t="n"/>
      <c r="E2975" s="9">
        <f>IF(D2975="","",IFERROR(INDEX('Stock pièces'!$B$5:$B$404,MATCH(D2975,'Stock pièces'!$A$5:$A$404,0)),"Réf. inconnue"))</f>
        <v/>
      </c>
      <c r="F2975" s="67" t="n"/>
      <c r="G2975" s="81">
        <f>IF(D2975="","",IFERROR(INDEX('Stock pièces'!$I$5:$I$404,MATCH(D2975,'Stock pièces'!$A$5:$A$404,0)),0))</f>
        <v/>
      </c>
      <c r="H2975" s="81">
        <f>IF(D2975="","",N(F2975)*N(G2975))</f>
        <v/>
      </c>
      <c r="I2975" s="7" t="n"/>
      <c r="J2975" s="9">
        <f>IF(I2975="","",IFERROR(INDEX('Ordres de travail'!$D$5:$D$3004,MATCH(I2975,'Ordres de travail'!$A$5:$A$3004,0)),""))</f>
        <v/>
      </c>
      <c r="K2975" s="9">
        <f>IF(D2975="","",IFERROR(INDEX('Stock pièces'!$D$5:$D$404,MATCH(D2975,'Stock pièces'!$A$5:$A$404,0)),""))</f>
        <v/>
      </c>
      <c r="L2975" s="7" t="n"/>
      <c r="M2975" s="7" t="n"/>
    </row>
    <row r="2976">
      <c r="A2976" s="7" t="n"/>
      <c r="B2976" s="75" t="n"/>
      <c r="C2976" s="7" t="n"/>
      <c r="D2976" s="7" t="n"/>
      <c r="E2976" s="9">
        <f>IF(D2976="","",IFERROR(INDEX('Stock pièces'!$B$5:$B$404,MATCH(D2976,'Stock pièces'!$A$5:$A$404,0)),"Réf. inconnue"))</f>
        <v/>
      </c>
      <c r="F2976" s="67" t="n"/>
      <c r="G2976" s="81">
        <f>IF(D2976="","",IFERROR(INDEX('Stock pièces'!$I$5:$I$404,MATCH(D2976,'Stock pièces'!$A$5:$A$404,0)),0))</f>
        <v/>
      </c>
      <c r="H2976" s="81">
        <f>IF(D2976="","",N(F2976)*N(G2976))</f>
        <v/>
      </c>
      <c r="I2976" s="7" t="n"/>
      <c r="J2976" s="9">
        <f>IF(I2976="","",IFERROR(INDEX('Ordres de travail'!$D$5:$D$3004,MATCH(I2976,'Ordres de travail'!$A$5:$A$3004,0)),""))</f>
        <v/>
      </c>
      <c r="K2976" s="9">
        <f>IF(D2976="","",IFERROR(INDEX('Stock pièces'!$D$5:$D$404,MATCH(D2976,'Stock pièces'!$A$5:$A$404,0)),""))</f>
        <v/>
      </c>
      <c r="L2976" s="7" t="n"/>
      <c r="M2976" s="7" t="n"/>
    </row>
    <row r="2977">
      <c r="A2977" s="7" t="n"/>
      <c r="B2977" s="75" t="n"/>
      <c r="C2977" s="7" t="n"/>
      <c r="D2977" s="7" t="n"/>
      <c r="E2977" s="9">
        <f>IF(D2977="","",IFERROR(INDEX('Stock pièces'!$B$5:$B$404,MATCH(D2977,'Stock pièces'!$A$5:$A$404,0)),"Réf. inconnue"))</f>
        <v/>
      </c>
      <c r="F2977" s="67" t="n"/>
      <c r="G2977" s="81">
        <f>IF(D2977="","",IFERROR(INDEX('Stock pièces'!$I$5:$I$404,MATCH(D2977,'Stock pièces'!$A$5:$A$404,0)),0))</f>
        <v/>
      </c>
      <c r="H2977" s="81">
        <f>IF(D2977="","",N(F2977)*N(G2977))</f>
        <v/>
      </c>
      <c r="I2977" s="7" t="n"/>
      <c r="J2977" s="9">
        <f>IF(I2977="","",IFERROR(INDEX('Ordres de travail'!$D$5:$D$3004,MATCH(I2977,'Ordres de travail'!$A$5:$A$3004,0)),""))</f>
        <v/>
      </c>
      <c r="K2977" s="9">
        <f>IF(D2977="","",IFERROR(INDEX('Stock pièces'!$D$5:$D$404,MATCH(D2977,'Stock pièces'!$A$5:$A$404,0)),""))</f>
        <v/>
      </c>
      <c r="L2977" s="7" t="n"/>
      <c r="M2977" s="7" t="n"/>
    </row>
    <row r="2978">
      <c r="A2978" s="7" t="n"/>
      <c r="B2978" s="75" t="n"/>
      <c r="C2978" s="7" t="n"/>
      <c r="D2978" s="7" t="n"/>
      <c r="E2978" s="9">
        <f>IF(D2978="","",IFERROR(INDEX('Stock pièces'!$B$5:$B$404,MATCH(D2978,'Stock pièces'!$A$5:$A$404,0)),"Réf. inconnue"))</f>
        <v/>
      </c>
      <c r="F2978" s="67" t="n"/>
      <c r="G2978" s="81">
        <f>IF(D2978="","",IFERROR(INDEX('Stock pièces'!$I$5:$I$404,MATCH(D2978,'Stock pièces'!$A$5:$A$404,0)),0))</f>
        <v/>
      </c>
      <c r="H2978" s="81">
        <f>IF(D2978="","",N(F2978)*N(G2978))</f>
        <v/>
      </c>
      <c r="I2978" s="7" t="n"/>
      <c r="J2978" s="9">
        <f>IF(I2978="","",IFERROR(INDEX('Ordres de travail'!$D$5:$D$3004,MATCH(I2978,'Ordres de travail'!$A$5:$A$3004,0)),""))</f>
        <v/>
      </c>
      <c r="K2978" s="9">
        <f>IF(D2978="","",IFERROR(INDEX('Stock pièces'!$D$5:$D$404,MATCH(D2978,'Stock pièces'!$A$5:$A$404,0)),""))</f>
        <v/>
      </c>
      <c r="L2978" s="7" t="n"/>
      <c r="M2978" s="7" t="n"/>
    </row>
    <row r="2979">
      <c r="A2979" s="7" t="n"/>
      <c r="B2979" s="75" t="n"/>
      <c r="C2979" s="7" t="n"/>
      <c r="D2979" s="7" t="n"/>
      <c r="E2979" s="9">
        <f>IF(D2979="","",IFERROR(INDEX('Stock pièces'!$B$5:$B$404,MATCH(D2979,'Stock pièces'!$A$5:$A$404,0)),"Réf. inconnue"))</f>
        <v/>
      </c>
      <c r="F2979" s="67" t="n"/>
      <c r="G2979" s="81">
        <f>IF(D2979="","",IFERROR(INDEX('Stock pièces'!$I$5:$I$404,MATCH(D2979,'Stock pièces'!$A$5:$A$404,0)),0))</f>
        <v/>
      </c>
      <c r="H2979" s="81">
        <f>IF(D2979="","",N(F2979)*N(G2979))</f>
        <v/>
      </c>
      <c r="I2979" s="7" t="n"/>
      <c r="J2979" s="9">
        <f>IF(I2979="","",IFERROR(INDEX('Ordres de travail'!$D$5:$D$3004,MATCH(I2979,'Ordres de travail'!$A$5:$A$3004,0)),""))</f>
        <v/>
      </c>
      <c r="K2979" s="9">
        <f>IF(D2979="","",IFERROR(INDEX('Stock pièces'!$D$5:$D$404,MATCH(D2979,'Stock pièces'!$A$5:$A$404,0)),""))</f>
        <v/>
      </c>
      <c r="L2979" s="7" t="n"/>
      <c r="M2979" s="7" t="n"/>
    </row>
    <row r="2980">
      <c r="A2980" s="7" t="n"/>
      <c r="B2980" s="75" t="n"/>
      <c r="C2980" s="7" t="n"/>
      <c r="D2980" s="7" t="n"/>
      <c r="E2980" s="9">
        <f>IF(D2980="","",IFERROR(INDEX('Stock pièces'!$B$5:$B$404,MATCH(D2980,'Stock pièces'!$A$5:$A$404,0)),"Réf. inconnue"))</f>
        <v/>
      </c>
      <c r="F2980" s="67" t="n"/>
      <c r="G2980" s="81">
        <f>IF(D2980="","",IFERROR(INDEX('Stock pièces'!$I$5:$I$404,MATCH(D2980,'Stock pièces'!$A$5:$A$404,0)),0))</f>
        <v/>
      </c>
      <c r="H2980" s="81">
        <f>IF(D2980="","",N(F2980)*N(G2980))</f>
        <v/>
      </c>
      <c r="I2980" s="7" t="n"/>
      <c r="J2980" s="9">
        <f>IF(I2980="","",IFERROR(INDEX('Ordres de travail'!$D$5:$D$3004,MATCH(I2980,'Ordres de travail'!$A$5:$A$3004,0)),""))</f>
        <v/>
      </c>
      <c r="K2980" s="9">
        <f>IF(D2980="","",IFERROR(INDEX('Stock pièces'!$D$5:$D$404,MATCH(D2980,'Stock pièces'!$A$5:$A$404,0)),""))</f>
        <v/>
      </c>
      <c r="L2980" s="7" t="n"/>
      <c r="M2980" s="7" t="n"/>
    </row>
    <row r="2981">
      <c r="A2981" s="7" t="n"/>
      <c r="B2981" s="75" t="n"/>
      <c r="C2981" s="7" t="n"/>
      <c r="D2981" s="7" t="n"/>
      <c r="E2981" s="9">
        <f>IF(D2981="","",IFERROR(INDEX('Stock pièces'!$B$5:$B$404,MATCH(D2981,'Stock pièces'!$A$5:$A$404,0)),"Réf. inconnue"))</f>
        <v/>
      </c>
      <c r="F2981" s="67" t="n"/>
      <c r="G2981" s="81">
        <f>IF(D2981="","",IFERROR(INDEX('Stock pièces'!$I$5:$I$404,MATCH(D2981,'Stock pièces'!$A$5:$A$404,0)),0))</f>
        <v/>
      </c>
      <c r="H2981" s="81">
        <f>IF(D2981="","",N(F2981)*N(G2981))</f>
        <v/>
      </c>
      <c r="I2981" s="7" t="n"/>
      <c r="J2981" s="9">
        <f>IF(I2981="","",IFERROR(INDEX('Ordres de travail'!$D$5:$D$3004,MATCH(I2981,'Ordres de travail'!$A$5:$A$3004,0)),""))</f>
        <v/>
      </c>
      <c r="K2981" s="9">
        <f>IF(D2981="","",IFERROR(INDEX('Stock pièces'!$D$5:$D$404,MATCH(D2981,'Stock pièces'!$A$5:$A$404,0)),""))</f>
        <v/>
      </c>
      <c r="L2981" s="7" t="n"/>
      <c r="M2981" s="7" t="n"/>
    </row>
    <row r="2982">
      <c r="A2982" s="7" t="n"/>
      <c r="B2982" s="75" t="n"/>
      <c r="C2982" s="7" t="n"/>
      <c r="D2982" s="7" t="n"/>
      <c r="E2982" s="9">
        <f>IF(D2982="","",IFERROR(INDEX('Stock pièces'!$B$5:$B$404,MATCH(D2982,'Stock pièces'!$A$5:$A$404,0)),"Réf. inconnue"))</f>
        <v/>
      </c>
      <c r="F2982" s="67" t="n"/>
      <c r="G2982" s="81">
        <f>IF(D2982="","",IFERROR(INDEX('Stock pièces'!$I$5:$I$404,MATCH(D2982,'Stock pièces'!$A$5:$A$404,0)),0))</f>
        <v/>
      </c>
      <c r="H2982" s="81">
        <f>IF(D2982="","",N(F2982)*N(G2982))</f>
        <v/>
      </c>
      <c r="I2982" s="7" t="n"/>
      <c r="J2982" s="9">
        <f>IF(I2982="","",IFERROR(INDEX('Ordres de travail'!$D$5:$D$3004,MATCH(I2982,'Ordres de travail'!$A$5:$A$3004,0)),""))</f>
        <v/>
      </c>
      <c r="K2982" s="9">
        <f>IF(D2982="","",IFERROR(INDEX('Stock pièces'!$D$5:$D$404,MATCH(D2982,'Stock pièces'!$A$5:$A$404,0)),""))</f>
        <v/>
      </c>
      <c r="L2982" s="7" t="n"/>
      <c r="M2982" s="7" t="n"/>
    </row>
    <row r="2983">
      <c r="A2983" s="7" t="n"/>
      <c r="B2983" s="75" t="n"/>
      <c r="C2983" s="7" t="n"/>
      <c r="D2983" s="7" t="n"/>
      <c r="E2983" s="9">
        <f>IF(D2983="","",IFERROR(INDEX('Stock pièces'!$B$5:$B$404,MATCH(D2983,'Stock pièces'!$A$5:$A$404,0)),"Réf. inconnue"))</f>
        <v/>
      </c>
      <c r="F2983" s="67" t="n"/>
      <c r="G2983" s="81">
        <f>IF(D2983="","",IFERROR(INDEX('Stock pièces'!$I$5:$I$404,MATCH(D2983,'Stock pièces'!$A$5:$A$404,0)),0))</f>
        <v/>
      </c>
      <c r="H2983" s="81">
        <f>IF(D2983="","",N(F2983)*N(G2983))</f>
        <v/>
      </c>
      <c r="I2983" s="7" t="n"/>
      <c r="J2983" s="9">
        <f>IF(I2983="","",IFERROR(INDEX('Ordres de travail'!$D$5:$D$3004,MATCH(I2983,'Ordres de travail'!$A$5:$A$3004,0)),""))</f>
        <v/>
      </c>
      <c r="K2983" s="9">
        <f>IF(D2983="","",IFERROR(INDEX('Stock pièces'!$D$5:$D$404,MATCH(D2983,'Stock pièces'!$A$5:$A$404,0)),""))</f>
        <v/>
      </c>
      <c r="L2983" s="7" t="n"/>
      <c r="M2983" s="7" t="n"/>
    </row>
    <row r="2984">
      <c r="A2984" s="7" t="n"/>
      <c r="B2984" s="75" t="n"/>
      <c r="C2984" s="7" t="n"/>
      <c r="D2984" s="7" t="n"/>
      <c r="E2984" s="9">
        <f>IF(D2984="","",IFERROR(INDEX('Stock pièces'!$B$5:$B$404,MATCH(D2984,'Stock pièces'!$A$5:$A$404,0)),"Réf. inconnue"))</f>
        <v/>
      </c>
      <c r="F2984" s="67" t="n"/>
      <c r="G2984" s="81">
        <f>IF(D2984="","",IFERROR(INDEX('Stock pièces'!$I$5:$I$404,MATCH(D2984,'Stock pièces'!$A$5:$A$404,0)),0))</f>
        <v/>
      </c>
      <c r="H2984" s="81">
        <f>IF(D2984="","",N(F2984)*N(G2984))</f>
        <v/>
      </c>
      <c r="I2984" s="7" t="n"/>
      <c r="J2984" s="9">
        <f>IF(I2984="","",IFERROR(INDEX('Ordres de travail'!$D$5:$D$3004,MATCH(I2984,'Ordres de travail'!$A$5:$A$3004,0)),""))</f>
        <v/>
      </c>
      <c r="K2984" s="9">
        <f>IF(D2984="","",IFERROR(INDEX('Stock pièces'!$D$5:$D$404,MATCH(D2984,'Stock pièces'!$A$5:$A$404,0)),""))</f>
        <v/>
      </c>
      <c r="L2984" s="7" t="n"/>
      <c r="M2984" s="7" t="n"/>
    </row>
    <row r="2985">
      <c r="A2985" s="7" t="n"/>
      <c r="B2985" s="75" t="n"/>
      <c r="C2985" s="7" t="n"/>
      <c r="D2985" s="7" t="n"/>
      <c r="E2985" s="9">
        <f>IF(D2985="","",IFERROR(INDEX('Stock pièces'!$B$5:$B$404,MATCH(D2985,'Stock pièces'!$A$5:$A$404,0)),"Réf. inconnue"))</f>
        <v/>
      </c>
      <c r="F2985" s="67" t="n"/>
      <c r="G2985" s="81">
        <f>IF(D2985="","",IFERROR(INDEX('Stock pièces'!$I$5:$I$404,MATCH(D2985,'Stock pièces'!$A$5:$A$404,0)),0))</f>
        <v/>
      </c>
      <c r="H2985" s="81">
        <f>IF(D2985="","",N(F2985)*N(G2985))</f>
        <v/>
      </c>
      <c r="I2985" s="7" t="n"/>
      <c r="J2985" s="9">
        <f>IF(I2985="","",IFERROR(INDEX('Ordres de travail'!$D$5:$D$3004,MATCH(I2985,'Ordres de travail'!$A$5:$A$3004,0)),""))</f>
        <v/>
      </c>
      <c r="K2985" s="9">
        <f>IF(D2985="","",IFERROR(INDEX('Stock pièces'!$D$5:$D$404,MATCH(D2985,'Stock pièces'!$A$5:$A$404,0)),""))</f>
        <v/>
      </c>
      <c r="L2985" s="7" t="n"/>
      <c r="M2985" s="7" t="n"/>
    </row>
    <row r="2986">
      <c r="A2986" s="7" t="n"/>
      <c r="B2986" s="75" t="n"/>
      <c r="C2986" s="7" t="n"/>
      <c r="D2986" s="7" t="n"/>
      <c r="E2986" s="9">
        <f>IF(D2986="","",IFERROR(INDEX('Stock pièces'!$B$5:$B$404,MATCH(D2986,'Stock pièces'!$A$5:$A$404,0)),"Réf. inconnue"))</f>
        <v/>
      </c>
      <c r="F2986" s="67" t="n"/>
      <c r="G2986" s="81">
        <f>IF(D2986="","",IFERROR(INDEX('Stock pièces'!$I$5:$I$404,MATCH(D2986,'Stock pièces'!$A$5:$A$404,0)),0))</f>
        <v/>
      </c>
      <c r="H2986" s="81">
        <f>IF(D2986="","",N(F2986)*N(G2986))</f>
        <v/>
      </c>
      <c r="I2986" s="7" t="n"/>
      <c r="J2986" s="9">
        <f>IF(I2986="","",IFERROR(INDEX('Ordres de travail'!$D$5:$D$3004,MATCH(I2986,'Ordres de travail'!$A$5:$A$3004,0)),""))</f>
        <v/>
      </c>
      <c r="K2986" s="9">
        <f>IF(D2986="","",IFERROR(INDEX('Stock pièces'!$D$5:$D$404,MATCH(D2986,'Stock pièces'!$A$5:$A$404,0)),""))</f>
        <v/>
      </c>
      <c r="L2986" s="7" t="n"/>
      <c r="M2986" s="7" t="n"/>
    </row>
    <row r="2987">
      <c r="A2987" s="7" t="n"/>
      <c r="B2987" s="75" t="n"/>
      <c r="C2987" s="7" t="n"/>
      <c r="D2987" s="7" t="n"/>
      <c r="E2987" s="9">
        <f>IF(D2987="","",IFERROR(INDEX('Stock pièces'!$B$5:$B$404,MATCH(D2987,'Stock pièces'!$A$5:$A$404,0)),"Réf. inconnue"))</f>
        <v/>
      </c>
      <c r="F2987" s="67" t="n"/>
      <c r="G2987" s="81">
        <f>IF(D2987="","",IFERROR(INDEX('Stock pièces'!$I$5:$I$404,MATCH(D2987,'Stock pièces'!$A$5:$A$404,0)),0))</f>
        <v/>
      </c>
      <c r="H2987" s="81">
        <f>IF(D2987="","",N(F2987)*N(G2987))</f>
        <v/>
      </c>
      <c r="I2987" s="7" t="n"/>
      <c r="J2987" s="9">
        <f>IF(I2987="","",IFERROR(INDEX('Ordres de travail'!$D$5:$D$3004,MATCH(I2987,'Ordres de travail'!$A$5:$A$3004,0)),""))</f>
        <v/>
      </c>
      <c r="K2987" s="9">
        <f>IF(D2987="","",IFERROR(INDEX('Stock pièces'!$D$5:$D$404,MATCH(D2987,'Stock pièces'!$A$5:$A$404,0)),""))</f>
        <v/>
      </c>
      <c r="L2987" s="7" t="n"/>
      <c r="M2987" s="7" t="n"/>
    </row>
    <row r="2988">
      <c r="A2988" s="7" t="n"/>
      <c r="B2988" s="75" t="n"/>
      <c r="C2988" s="7" t="n"/>
      <c r="D2988" s="7" t="n"/>
      <c r="E2988" s="9">
        <f>IF(D2988="","",IFERROR(INDEX('Stock pièces'!$B$5:$B$404,MATCH(D2988,'Stock pièces'!$A$5:$A$404,0)),"Réf. inconnue"))</f>
        <v/>
      </c>
      <c r="F2988" s="67" t="n"/>
      <c r="G2988" s="81">
        <f>IF(D2988="","",IFERROR(INDEX('Stock pièces'!$I$5:$I$404,MATCH(D2988,'Stock pièces'!$A$5:$A$404,0)),0))</f>
        <v/>
      </c>
      <c r="H2988" s="81">
        <f>IF(D2988="","",N(F2988)*N(G2988))</f>
        <v/>
      </c>
      <c r="I2988" s="7" t="n"/>
      <c r="J2988" s="9">
        <f>IF(I2988="","",IFERROR(INDEX('Ordres de travail'!$D$5:$D$3004,MATCH(I2988,'Ordres de travail'!$A$5:$A$3004,0)),""))</f>
        <v/>
      </c>
      <c r="K2988" s="9">
        <f>IF(D2988="","",IFERROR(INDEX('Stock pièces'!$D$5:$D$404,MATCH(D2988,'Stock pièces'!$A$5:$A$404,0)),""))</f>
        <v/>
      </c>
      <c r="L2988" s="7" t="n"/>
      <c r="M2988" s="7" t="n"/>
    </row>
    <row r="2989">
      <c r="A2989" s="7" t="n"/>
      <c r="B2989" s="75" t="n"/>
      <c r="C2989" s="7" t="n"/>
      <c r="D2989" s="7" t="n"/>
      <c r="E2989" s="9">
        <f>IF(D2989="","",IFERROR(INDEX('Stock pièces'!$B$5:$B$404,MATCH(D2989,'Stock pièces'!$A$5:$A$404,0)),"Réf. inconnue"))</f>
        <v/>
      </c>
      <c r="F2989" s="67" t="n"/>
      <c r="G2989" s="81">
        <f>IF(D2989="","",IFERROR(INDEX('Stock pièces'!$I$5:$I$404,MATCH(D2989,'Stock pièces'!$A$5:$A$404,0)),0))</f>
        <v/>
      </c>
      <c r="H2989" s="81">
        <f>IF(D2989="","",N(F2989)*N(G2989))</f>
        <v/>
      </c>
      <c r="I2989" s="7" t="n"/>
      <c r="J2989" s="9">
        <f>IF(I2989="","",IFERROR(INDEX('Ordres de travail'!$D$5:$D$3004,MATCH(I2989,'Ordres de travail'!$A$5:$A$3004,0)),""))</f>
        <v/>
      </c>
      <c r="K2989" s="9">
        <f>IF(D2989="","",IFERROR(INDEX('Stock pièces'!$D$5:$D$404,MATCH(D2989,'Stock pièces'!$A$5:$A$404,0)),""))</f>
        <v/>
      </c>
      <c r="L2989" s="7" t="n"/>
      <c r="M2989" s="7" t="n"/>
    </row>
    <row r="2990">
      <c r="A2990" s="7" t="n"/>
      <c r="B2990" s="75" t="n"/>
      <c r="C2990" s="7" t="n"/>
      <c r="D2990" s="7" t="n"/>
      <c r="E2990" s="9">
        <f>IF(D2990="","",IFERROR(INDEX('Stock pièces'!$B$5:$B$404,MATCH(D2990,'Stock pièces'!$A$5:$A$404,0)),"Réf. inconnue"))</f>
        <v/>
      </c>
      <c r="F2990" s="67" t="n"/>
      <c r="G2990" s="81">
        <f>IF(D2990="","",IFERROR(INDEX('Stock pièces'!$I$5:$I$404,MATCH(D2990,'Stock pièces'!$A$5:$A$404,0)),0))</f>
        <v/>
      </c>
      <c r="H2990" s="81">
        <f>IF(D2990="","",N(F2990)*N(G2990))</f>
        <v/>
      </c>
      <c r="I2990" s="7" t="n"/>
      <c r="J2990" s="9">
        <f>IF(I2990="","",IFERROR(INDEX('Ordres de travail'!$D$5:$D$3004,MATCH(I2990,'Ordres de travail'!$A$5:$A$3004,0)),""))</f>
        <v/>
      </c>
      <c r="K2990" s="9">
        <f>IF(D2990="","",IFERROR(INDEX('Stock pièces'!$D$5:$D$404,MATCH(D2990,'Stock pièces'!$A$5:$A$404,0)),""))</f>
        <v/>
      </c>
      <c r="L2990" s="7" t="n"/>
      <c r="M2990" s="7" t="n"/>
    </row>
    <row r="2991">
      <c r="A2991" s="7" t="n"/>
      <c r="B2991" s="75" t="n"/>
      <c r="C2991" s="7" t="n"/>
      <c r="D2991" s="7" t="n"/>
      <c r="E2991" s="9">
        <f>IF(D2991="","",IFERROR(INDEX('Stock pièces'!$B$5:$B$404,MATCH(D2991,'Stock pièces'!$A$5:$A$404,0)),"Réf. inconnue"))</f>
        <v/>
      </c>
      <c r="F2991" s="67" t="n"/>
      <c r="G2991" s="81">
        <f>IF(D2991="","",IFERROR(INDEX('Stock pièces'!$I$5:$I$404,MATCH(D2991,'Stock pièces'!$A$5:$A$404,0)),0))</f>
        <v/>
      </c>
      <c r="H2991" s="81">
        <f>IF(D2991="","",N(F2991)*N(G2991))</f>
        <v/>
      </c>
      <c r="I2991" s="7" t="n"/>
      <c r="J2991" s="9">
        <f>IF(I2991="","",IFERROR(INDEX('Ordres de travail'!$D$5:$D$3004,MATCH(I2991,'Ordres de travail'!$A$5:$A$3004,0)),""))</f>
        <v/>
      </c>
      <c r="K2991" s="9">
        <f>IF(D2991="","",IFERROR(INDEX('Stock pièces'!$D$5:$D$404,MATCH(D2991,'Stock pièces'!$A$5:$A$404,0)),""))</f>
        <v/>
      </c>
      <c r="L2991" s="7" t="n"/>
      <c r="M2991" s="7" t="n"/>
    </row>
    <row r="2992">
      <c r="A2992" s="7" t="n"/>
      <c r="B2992" s="75" t="n"/>
      <c r="C2992" s="7" t="n"/>
      <c r="D2992" s="7" t="n"/>
      <c r="E2992" s="9">
        <f>IF(D2992="","",IFERROR(INDEX('Stock pièces'!$B$5:$B$404,MATCH(D2992,'Stock pièces'!$A$5:$A$404,0)),"Réf. inconnue"))</f>
        <v/>
      </c>
      <c r="F2992" s="67" t="n"/>
      <c r="G2992" s="81">
        <f>IF(D2992="","",IFERROR(INDEX('Stock pièces'!$I$5:$I$404,MATCH(D2992,'Stock pièces'!$A$5:$A$404,0)),0))</f>
        <v/>
      </c>
      <c r="H2992" s="81">
        <f>IF(D2992="","",N(F2992)*N(G2992))</f>
        <v/>
      </c>
      <c r="I2992" s="7" t="n"/>
      <c r="J2992" s="9">
        <f>IF(I2992="","",IFERROR(INDEX('Ordres de travail'!$D$5:$D$3004,MATCH(I2992,'Ordres de travail'!$A$5:$A$3004,0)),""))</f>
        <v/>
      </c>
      <c r="K2992" s="9">
        <f>IF(D2992="","",IFERROR(INDEX('Stock pièces'!$D$5:$D$404,MATCH(D2992,'Stock pièces'!$A$5:$A$404,0)),""))</f>
        <v/>
      </c>
      <c r="L2992" s="7" t="n"/>
      <c r="M2992" s="7" t="n"/>
    </row>
    <row r="2993">
      <c r="A2993" s="7" t="n"/>
      <c r="B2993" s="75" t="n"/>
      <c r="C2993" s="7" t="n"/>
      <c r="D2993" s="7" t="n"/>
      <c r="E2993" s="9">
        <f>IF(D2993="","",IFERROR(INDEX('Stock pièces'!$B$5:$B$404,MATCH(D2993,'Stock pièces'!$A$5:$A$404,0)),"Réf. inconnue"))</f>
        <v/>
      </c>
      <c r="F2993" s="67" t="n"/>
      <c r="G2993" s="81">
        <f>IF(D2993="","",IFERROR(INDEX('Stock pièces'!$I$5:$I$404,MATCH(D2993,'Stock pièces'!$A$5:$A$404,0)),0))</f>
        <v/>
      </c>
      <c r="H2993" s="81">
        <f>IF(D2993="","",N(F2993)*N(G2993))</f>
        <v/>
      </c>
      <c r="I2993" s="7" t="n"/>
      <c r="J2993" s="9">
        <f>IF(I2993="","",IFERROR(INDEX('Ordres de travail'!$D$5:$D$3004,MATCH(I2993,'Ordres de travail'!$A$5:$A$3004,0)),""))</f>
        <v/>
      </c>
      <c r="K2993" s="9">
        <f>IF(D2993="","",IFERROR(INDEX('Stock pièces'!$D$5:$D$404,MATCH(D2993,'Stock pièces'!$A$5:$A$404,0)),""))</f>
        <v/>
      </c>
      <c r="L2993" s="7" t="n"/>
      <c r="M2993" s="7" t="n"/>
    </row>
    <row r="2994">
      <c r="A2994" s="7" t="n"/>
      <c r="B2994" s="75" t="n"/>
      <c r="C2994" s="7" t="n"/>
      <c r="D2994" s="7" t="n"/>
      <c r="E2994" s="9">
        <f>IF(D2994="","",IFERROR(INDEX('Stock pièces'!$B$5:$B$404,MATCH(D2994,'Stock pièces'!$A$5:$A$404,0)),"Réf. inconnue"))</f>
        <v/>
      </c>
      <c r="F2994" s="67" t="n"/>
      <c r="G2994" s="81">
        <f>IF(D2994="","",IFERROR(INDEX('Stock pièces'!$I$5:$I$404,MATCH(D2994,'Stock pièces'!$A$5:$A$404,0)),0))</f>
        <v/>
      </c>
      <c r="H2994" s="81">
        <f>IF(D2994="","",N(F2994)*N(G2994))</f>
        <v/>
      </c>
      <c r="I2994" s="7" t="n"/>
      <c r="J2994" s="9">
        <f>IF(I2994="","",IFERROR(INDEX('Ordres de travail'!$D$5:$D$3004,MATCH(I2994,'Ordres de travail'!$A$5:$A$3004,0)),""))</f>
        <v/>
      </c>
      <c r="K2994" s="9">
        <f>IF(D2994="","",IFERROR(INDEX('Stock pièces'!$D$5:$D$404,MATCH(D2994,'Stock pièces'!$A$5:$A$404,0)),""))</f>
        <v/>
      </c>
      <c r="L2994" s="7" t="n"/>
      <c r="M2994" s="7" t="n"/>
    </row>
    <row r="2995">
      <c r="A2995" s="7" t="n"/>
      <c r="B2995" s="75" t="n"/>
      <c r="C2995" s="7" t="n"/>
      <c r="D2995" s="7" t="n"/>
      <c r="E2995" s="9">
        <f>IF(D2995="","",IFERROR(INDEX('Stock pièces'!$B$5:$B$404,MATCH(D2995,'Stock pièces'!$A$5:$A$404,0)),"Réf. inconnue"))</f>
        <v/>
      </c>
      <c r="F2995" s="67" t="n"/>
      <c r="G2995" s="81">
        <f>IF(D2995="","",IFERROR(INDEX('Stock pièces'!$I$5:$I$404,MATCH(D2995,'Stock pièces'!$A$5:$A$404,0)),0))</f>
        <v/>
      </c>
      <c r="H2995" s="81">
        <f>IF(D2995="","",N(F2995)*N(G2995))</f>
        <v/>
      </c>
      <c r="I2995" s="7" t="n"/>
      <c r="J2995" s="9">
        <f>IF(I2995="","",IFERROR(INDEX('Ordres de travail'!$D$5:$D$3004,MATCH(I2995,'Ordres de travail'!$A$5:$A$3004,0)),""))</f>
        <v/>
      </c>
      <c r="K2995" s="9">
        <f>IF(D2995="","",IFERROR(INDEX('Stock pièces'!$D$5:$D$404,MATCH(D2995,'Stock pièces'!$A$5:$A$404,0)),""))</f>
        <v/>
      </c>
      <c r="L2995" s="7" t="n"/>
      <c r="M2995" s="7" t="n"/>
    </row>
    <row r="2996">
      <c r="A2996" s="7" t="n"/>
      <c r="B2996" s="75" t="n"/>
      <c r="C2996" s="7" t="n"/>
      <c r="D2996" s="7" t="n"/>
      <c r="E2996" s="9">
        <f>IF(D2996="","",IFERROR(INDEX('Stock pièces'!$B$5:$B$404,MATCH(D2996,'Stock pièces'!$A$5:$A$404,0)),"Réf. inconnue"))</f>
        <v/>
      </c>
      <c r="F2996" s="67" t="n"/>
      <c r="G2996" s="81">
        <f>IF(D2996="","",IFERROR(INDEX('Stock pièces'!$I$5:$I$404,MATCH(D2996,'Stock pièces'!$A$5:$A$404,0)),0))</f>
        <v/>
      </c>
      <c r="H2996" s="81">
        <f>IF(D2996="","",N(F2996)*N(G2996))</f>
        <v/>
      </c>
      <c r="I2996" s="7" t="n"/>
      <c r="J2996" s="9">
        <f>IF(I2996="","",IFERROR(INDEX('Ordres de travail'!$D$5:$D$3004,MATCH(I2996,'Ordres de travail'!$A$5:$A$3004,0)),""))</f>
        <v/>
      </c>
      <c r="K2996" s="9">
        <f>IF(D2996="","",IFERROR(INDEX('Stock pièces'!$D$5:$D$404,MATCH(D2996,'Stock pièces'!$A$5:$A$404,0)),""))</f>
        <v/>
      </c>
      <c r="L2996" s="7" t="n"/>
      <c r="M2996" s="7" t="n"/>
    </row>
    <row r="2997">
      <c r="A2997" s="7" t="n"/>
      <c r="B2997" s="75" t="n"/>
      <c r="C2997" s="7" t="n"/>
      <c r="D2997" s="7" t="n"/>
      <c r="E2997" s="9">
        <f>IF(D2997="","",IFERROR(INDEX('Stock pièces'!$B$5:$B$404,MATCH(D2997,'Stock pièces'!$A$5:$A$404,0)),"Réf. inconnue"))</f>
        <v/>
      </c>
      <c r="F2997" s="67" t="n"/>
      <c r="G2997" s="81">
        <f>IF(D2997="","",IFERROR(INDEX('Stock pièces'!$I$5:$I$404,MATCH(D2997,'Stock pièces'!$A$5:$A$404,0)),0))</f>
        <v/>
      </c>
      <c r="H2997" s="81">
        <f>IF(D2997="","",N(F2997)*N(G2997))</f>
        <v/>
      </c>
      <c r="I2997" s="7" t="n"/>
      <c r="J2997" s="9">
        <f>IF(I2997="","",IFERROR(INDEX('Ordres de travail'!$D$5:$D$3004,MATCH(I2997,'Ordres de travail'!$A$5:$A$3004,0)),""))</f>
        <v/>
      </c>
      <c r="K2997" s="9">
        <f>IF(D2997="","",IFERROR(INDEX('Stock pièces'!$D$5:$D$404,MATCH(D2997,'Stock pièces'!$A$5:$A$404,0)),""))</f>
        <v/>
      </c>
      <c r="L2997" s="7" t="n"/>
      <c r="M2997" s="7" t="n"/>
    </row>
    <row r="2998">
      <c r="A2998" s="7" t="n"/>
      <c r="B2998" s="75" t="n"/>
      <c r="C2998" s="7" t="n"/>
      <c r="D2998" s="7" t="n"/>
      <c r="E2998" s="9">
        <f>IF(D2998="","",IFERROR(INDEX('Stock pièces'!$B$5:$B$404,MATCH(D2998,'Stock pièces'!$A$5:$A$404,0)),"Réf. inconnue"))</f>
        <v/>
      </c>
      <c r="F2998" s="67" t="n"/>
      <c r="G2998" s="81">
        <f>IF(D2998="","",IFERROR(INDEX('Stock pièces'!$I$5:$I$404,MATCH(D2998,'Stock pièces'!$A$5:$A$404,0)),0))</f>
        <v/>
      </c>
      <c r="H2998" s="81">
        <f>IF(D2998="","",N(F2998)*N(G2998))</f>
        <v/>
      </c>
      <c r="I2998" s="7" t="n"/>
      <c r="J2998" s="9">
        <f>IF(I2998="","",IFERROR(INDEX('Ordres de travail'!$D$5:$D$3004,MATCH(I2998,'Ordres de travail'!$A$5:$A$3004,0)),""))</f>
        <v/>
      </c>
      <c r="K2998" s="9">
        <f>IF(D2998="","",IFERROR(INDEX('Stock pièces'!$D$5:$D$404,MATCH(D2998,'Stock pièces'!$A$5:$A$404,0)),""))</f>
        <v/>
      </c>
      <c r="L2998" s="7" t="n"/>
      <c r="M2998" s="7" t="n"/>
    </row>
    <row r="2999">
      <c r="A2999" s="7" t="n"/>
      <c r="B2999" s="75" t="n"/>
      <c r="C2999" s="7" t="n"/>
      <c r="D2999" s="7" t="n"/>
      <c r="E2999" s="9">
        <f>IF(D2999="","",IFERROR(INDEX('Stock pièces'!$B$5:$B$404,MATCH(D2999,'Stock pièces'!$A$5:$A$404,0)),"Réf. inconnue"))</f>
        <v/>
      </c>
      <c r="F2999" s="67" t="n"/>
      <c r="G2999" s="81">
        <f>IF(D2999="","",IFERROR(INDEX('Stock pièces'!$I$5:$I$404,MATCH(D2999,'Stock pièces'!$A$5:$A$404,0)),0))</f>
        <v/>
      </c>
      <c r="H2999" s="81">
        <f>IF(D2999="","",N(F2999)*N(G2999))</f>
        <v/>
      </c>
      <c r="I2999" s="7" t="n"/>
      <c r="J2999" s="9">
        <f>IF(I2999="","",IFERROR(INDEX('Ordres de travail'!$D$5:$D$3004,MATCH(I2999,'Ordres de travail'!$A$5:$A$3004,0)),""))</f>
        <v/>
      </c>
      <c r="K2999" s="9">
        <f>IF(D2999="","",IFERROR(INDEX('Stock pièces'!$D$5:$D$404,MATCH(D2999,'Stock pièces'!$A$5:$A$404,0)),""))</f>
        <v/>
      </c>
      <c r="L2999" s="7" t="n"/>
      <c r="M2999" s="7" t="n"/>
    </row>
    <row r="3000">
      <c r="A3000" s="7" t="n"/>
      <c r="B3000" s="75" t="n"/>
      <c r="C3000" s="7" t="n"/>
      <c r="D3000" s="7" t="n"/>
      <c r="E3000" s="9">
        <f>IF(D3000="","",IFERROR(INDEX('Stock pièces'!$B$5:$B$404,MATCH(D3000,'Stock pièces'!$A$5:$A$404,0)),"Réf. inconnue"))</f>
        <v/>
      </c>
      <c r="F3000" s="67" t="n"/>
      <c r="G3000" s="81">
        <f>IF(D3000="","",IFERROR(INDEX('Stock pièces'!$I$5:$I$404,MATCH(D3000,'Stock pièces'!$A$5:$A$404,0)),0))</f>
        <v/>
      </c>
      <c r="H3000" s="81">
        <f>IF(D3000="","",N(F3000)*N(G3000))</f>
        <v/>
      </c>
      <c r="I3000" s="7" t="n"/>
      <c r="J3000" s="9">
        <f>IF(I3000="","",IFERROR(INDEX('Ordres de travail'!$D$5:$D$3004,MATCH(I3000,'Ordres de travail'!$A$5:$A$3004,0)),""))</f>
        <v/>
      </c>
      <c r="K3000" s="9">
        <f>IF(D3000="","",IFERROR(INDEX('Stock pièces'!$D$5:$D$404,MATCH(D3000,'Stock pièces'!$A$5:$A$404,0)),""))</f>
        <v/>
      </c>
      <c r="L3000" s="7" t="n"/>
      <c r="M3000" s="7" t="n"/>
    </row>
    <row r="3001">
      <c r="A3001" s="7" t="n"/>
      <c r="B3001" s="75" t="n"/>
      <c r="C3001" s="7" t="n"/>
      <c r="D3001" s="7" t="n"/>
      <c r="E3001" s="9">
        <f>IF(D3001="","",IFERROR(INDEX('Stock pièces'!$B$5:$B$404,MATCH(D3001,'Stock pièces'!$A$5:$A$404,0)),"Réf. inconnue"))</f>
        <v/>
      </c>
      <c r="F3001" s="67" t="n"/>
      <c r="G3001" s="81">
        <f>IF(D3001="","",IFERROR(INDEX('Stock pièces'!$I$5:$I$404,MATCH(D3001,'Stock pièces'!$A$5:$A$404,0)),0))</f>
        <v/>
      </c>
      <c r="H3001" s="81">
        <f>IF(D3001="","",N(F3001)*N(G3001))</f>
        <v/>
      </c>
      <c r="I3001" s="7" t="n"/>
      <c r="J3001" s="9">
        <f>IF(I3001="","",IFERROR(INDEX('Ordres de travail'!$D$5:$D$3004,MATCH(I3001,'Ordres de travail'!$A$5:$A$3004,0)),""))</f>
        <v/>
      </c>
      <c r="K3001" s="9">
        <f>IF(D3001="","",IFERROR(INDEX('Stock pièces'!$D$5:$D$404,MATCH(D3001,'Stock pièces'!$A$5:$A$404,0)),""))</f>
        <v/>
      </c>
      <c r="L3001" s="7" t="n"/>
      <c r="M3001" s="7" t="n"/>
    </row>
    <row r="3002">
      <c r="A3002" s="7" t="n"/>
      <c r="B3002" s="75" t="n"/>
      <c r="C3002" s="7" t="n"/>
      <c r="D3002" s="7" t="n"/>
      <c r="E3002" s="9">
        <f>IF(D3002="","",IFERROR(INDEX('Stock pièces'!$B$5:$B$404,MATCH(D3002,'Stock pièces'!$A$5:$A$404,0)),"Réf. inconnue"))</f>
        <v/>
      </c>
      <c r="F3002" s="67" t="n"/>
      <c r="G3002" s="81">
        <f>IF(D3002="","",IFERROR(INDEX('Stock pièces'!$I$5:$I$404,MATCH(D3002,'Stock pièces'!$A$5:$A$404,0)),0))</f>
        <v/>
      </c>
      <c r="H3002" s="81">
        <f>IF(D3002="","",N(F3002)*N(G3002))</f>
        <v/>
      </c>
      <c r="I3002" s="7" t="n"/>
      <c r="J3002" s="9">
        <f>IF(I3002="","",IFERROR(INDEX('Ordres de travail'!$D$5:$D$3004,MATCH(I3002,'Ordres de travail'!$A$5:$A$3004,0)),""))</f>
        <v/>
      </c>
      <c r="K3002" s="9">
        <f>IF(D3002="","",IFERROR(INDEX('Stock pièces'!$D$5:$D$404,MATCH(D3002,'Stock pièces'!$A$5:$A$404,0)),""))</f>
        <v/>
      </c>
      <c r="L3002" s="7" t="n"/>
      <c r="M3002" s="7" t="n"/>
    </row>
    <row r="3003">
      <c r="A3003" s="7" t="n"/>
      <c r="B3003" s="75" t="n"/>
      <c r="C3003" s="7" t="n"/>
      <c r="D3003" s="7" t="n"/>
      <c r="E3003" s="9">
        <f>IF(D3003="","",IFERROR(INDEX('Stock pièces'!$B$5:$B$404,MATCH(D3003,'Stock pièces'!$A$5:$A$404,0)),"Réf. inconnue"))</f>
        <v/>
      </c>
      <c r="F3003" s="67" t="n"/>
      <c r="G3003" s="81">
        <f>IF(D3003="","",IFERROR(INDEX('Stock pièces'!$I$5:$I$404,MATCH(D3003,'Stock pièces'!$A$5:$A$404,0)),0))</f>
        <v/>
      </c>
      <c r="H3003" s="81">
        <f>IF(D3003="","",N(F3003)*N(G3003))</f>
        <v/>
      </c>
      <c r="I3003" s="7" t="n"/>
      <c r="J3003" s="9">
        <f>IF(I3003="","",IFERROR(INDEX('Ordres de travail'!$D$5:$D$3004,MATCH(I3003,'Ordres de travail'!$A$5:$A$3004,0)),""))</f>
        <v/>
      </c>
      <c r="K3003" s="9">
        <f>IF(D3003="","",IFERROR(INDEX('Stock pièces'!$D$5:$D$404,MATCH(D3003,'Stock pièces'!$A$5:$A$404,0)),""))</f>
        <v/>
      </c>
      <c r="L3003" s="7" t="n"/>
      <c r="M3003" s="7" t="n"/>
    </row>
    <row r="3004">
      <c r="A3004" s="7" t="n"/>
      <c r="B3004" s="75" t="n"/>
      <c r="C3004" s="7" t="n"/>
      <c r="D3004" s="7" t="n"/>
      <c r="E3004" s="9">
        <f>IF(D3004="","",IFERROR(INDEX('Stock pièces'!$B$5:$B$404,MATCH(D3004,'Stock pièces'!$A$5:$A$404,0)),"Réf. inconnue"))</f>
        <v/>
      </c>
      <c r="F3004" s="67" t="n"/>
      <c r="G3004" s="81">
        <f>IF(D3004="","",IFERROR(INDEX('Stock pièces'!$I$5:$I$404,MATCH(D3004,'Stock pièces'!$A$5:$A$404,0)),0))</f>
        <v/>
      </c>
      <c r="H3004" s="81">
        <f>IF(D3004="","",N(F3004)*N(G3004))</f>
        <v/>
      </c>
      <c r="I3004" s="7" t="n"/>
      <c r="J3004" s="9">
        <f>IF(I3004="","",IFERROR(INDEX('Ordres de travail'!$D$5:$D$3004,MATCH(I3004,'Ordres de travail'!$A$5:$A$3004,0)),""))</f>
        <v/>
      </c>
      <c r="K3004" s="9">
        <f>IF(D3004="","",IFERROR(INDEX('Stock pièces'!$D$5:$D$404,MATCH(D3004,'Stock pièces'!$A$5:$A$404,0)),""))</f>
        <v/>
      </c>
      <c r="L3004" s="7" t="n"/>
      <c r="M3004" s="7" t="n"/>
    </row>
  </sheetData>
  <autoFilter ref="A4:M3004"/>
  <conditionalFormatting sqref="C5:C3004">
    <cfRule type="expression" priority="1" dxfId="5">
      <formula>C5="Entrée"</formula>
    </cfRule>
    <cfRule type="expression" priority="2" dxfId="6">
      <formula>C5="Sortie"</formula>
    </cfRule>
    <cfRule type="expression" priority="3" dxfId="8">
      <formula>C5="Retour"</formula>
    </cfRule>
  </conditionalFormatting>
  <dataValidations count="2">
    <dataValidation sqref="C5:C3004" showDropDown="0" showInputMessage="0" showErrorMessage="0" allowBlank="1" type="list">
      <formula1>='Paramètres'!$T$5:$T$7</formula1>
    </dataValidation>
    <dataValidation sqref="D5:D3004" showDropDown="0" showInputMessage="0" showErrorMessage="0" allowBlank="1" type="list">
      <formula1>='Stock pièces'!$A$5:$A$404</formula1>
    </dataValidation>
  </dataValidations>
  <pageMargins left="0.75" right="0.75" top="1" bottom="1" header="0.5" footer="0.5"/>
  <pageSetup orientation="landscape" fitToHeight="0" fitToWidth="1"/>
</worksheet>
</file>

<file path=xl/worksheets/sheet9.xml><?xml version="1.0" encoding="utf-8"?>
<worksheet xmlns="http://schemas.openxmlformats.org/spreadsheetml/2006/main">
  <sheetPr>
    <tabColor rgb="007030A0"/>
    <outlinePr summaryBelow="1" summaryRight="1"/>
    <pageSetUpPr fitToPage="1"/>
  </sheetPr>
  <dimension ref="A1:R44"/>
  <sheetViews>
    <sheetView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8" customWidth="1" min="2" max="2"/>
    <col width="28" customWidth="1" min="3" max="3"/>
    <col width="24" customWidth="1" min="4" max="4"/>
    <col width="11" customWidth="1" min="5" max="5"/>
    <col width="11" customWidth="1" min="6" max="6"/>
    <col width="8" customWidth="1" min="7" max="7"/>
    <col width="18" customWidth="1" min="8" max="8"/>
    <col width="12" customWidth="1" min="9" max="9"/>
    <col width="18" customWidth="1" min="10" max="10"/>
    <col width="12" customWidth="1" min="11" max="11"/>
    <col width="12" customWidth="1" min="12" max="12"/>
    <col width="12" customWidth="1" min="13" max="13"/>
    <col width="14" customWidth="1" min="14" max="14"/>
    <col width="10" customWidth="1" min="15" max="15"/>
    <col width="9" customWidth="1" min="16" max="16"/>
    <col width="9" customWidth="1" min="17" max="17"/>
    <col width="10" customWidth="1" min="18" max="18"/>
  </cols>
  <sheetData>
    <row r="1">
      <c r="A1" s="62" t="inlineStr">
        <is>
          <t>Équipe maintenance</t>
        </is>
      </c>
    </row>
    <row r="2">
      <c r="A2" s="3" t="inlineStr">
        <is>
          <t>Intervenants internes, taux horaires, habilitations et charge de travail sur la période.</t>
        </is>
      </c>
    </row>
    <row r="3">
      <c r="A3" s="63" t="inlineStr">
        <is>
          <t>Saisie : texte bleu   |   Calcul automatique : fond gris (ne pas modifier)   |   Les listes déroulantes proviennent de l'onglet Paramètres.</t>
        </is>
      </c>
    </row>
    <row r="4" ht="42" customHeight="1">
      <c r="A4" s="48" t="inlineStr">
        <is>
          <t>Matricule</t>
        </is>
      </c>
      <c r="B4" s="48" t="inlineStr">
        <is>
          <t>Nom</t>
        </is>
      </c>
      <c r="C4" s="48" t="inlineStr">
        <is>
          <t>Fonction</t>
        </is>
      </c>
      <c r="D4" s="48" t="inlineStr">
        <is>
          <t>Spécialité</t>
        </is>
      </c>
      <c r="E4" s="48" t="inlineStr">
        <is>
          <t>Horaire</t>
        </is>
      </c>
      <c r="F4" s="48" t="inlineStr">
        <is>
          <t>Taux horaire chargé (€/h)</t>
        </is>
      </c>
      <c r="G4" s="48" t="inlineStr">
        <is>
          <t>Poste tél.</t>
        </is>
      </c>
      <c r="H4" s="48" t="inlineStr">
        <is>
          <t>Habilitation électrique</t>
        </is>
      </c>
      <c r="I4" s="48" t="inlineStr">
        <is>
          <t>Validité habilitation</t>
        </is>
      </c>
      <c r="J4" s="48" t="inlineStr">
        <is>
          <t>CACES / autorisation de conduite</t>
        </is>
      </c>
      <c r="K4" s="48" t="inlineStr">
        <is>
          <t>Validité CACES</t>
        </is>
      </c>
      <c r="L4" s="48" t="inlineStr">
        <is>
          <t>Validité SST</t>
        </is>
      </c>
      <c r="M4" s="64" t="inlineStr">
        <is>
          <t>Prochaine échéance</t>
        </is>
      </c>
      <c r="N4" s="64" t="inlineStr">
        <is>
          <t>Alerte formation</t>
        </is>
      </c>
      <c r="O4" s="64" t="inlineStr">
        <is>
          <t>Heures MO (période)</t>
        </is>
      </c>
      <c r="P4" s="64" t="inlineStr">
        <is>
          <t>Nb OT (période)</t>
        </is>
      </c>
      <c r="Q4" s="64" t="inlineStr">
        <is>
          <t>OT ouverts affectés</t>
        </is>
      </c>
      <c r="R4" s="64" t="inlineStr">
        <is>
          <t>Taux d'occupation GMAO</t>
        </is>
      </c>
    </row>
    <row r="5">
      <c r="A5" s="7" t="inlineStr">
        <is>
          <t>MT01</t>
        </is>
      </c>
      <c r="B5" s="7" t="inlineStr">
        <is>
          <t>Marc Lefèvre</t>
        </is>
      </c>
      <c r="C5" s="7" t="inlineStr">
        <is>
          <t>Responsable maintenance</t>
        </is>
      </c>
      <c r="D5" s="7" t="inlineStr">
        <is>
          <t>Polyvalent / encadrement</t>
        </is>
      </c>
      <c r="E5" s="7" t="inlineStr">
        <is>
          <t>Journée</t>
        </is>
      </c>
      <c r="F5" s="66" t="n">
        <v>58</v>
      </c>
      <c r="G5" s="7" t="inlineStr">
        <is>
          <t>210</t>
        </is>
      </c>
      <c r="H5" s="7" t="inlineStr">
        <is>
          <t>B2V-BR-BC-H0V</t>
        </is>
      </c>
      <c r="I5" s="65" t="n">
        <v>46522</v>
      </c>
      <c r="J5" s="7" t="inlineStr">
        <is>
          <t>CACES R489 cat. 3</t>
        </is>
      </c>
      <c r="K5" s="65" t="n">
        <v>46813</v>
      </c>
      <c r="L5" s="65" t="n">
        <v>46548</v>
      </c>
      <c r="M5" s="78">
        <f>IF($A5="","",IF(COUNT(I5,K5,L5)=0,"",MIN(I5,K5,L5)))</f>
        <v/>
      </c>
      <c r="N5" s="9">
        <f>IF(M5="","",IF(M5&lt;TODAY(),"EXPIRÉE",IF(M5-TODAY()&lt;='Paramètres'!$AA$14,"À RENOUVELER","OK")))</f>
        <v/>
      </c>
      <c r="O5" s="69">
        <f>IF($A5="","",SUMIFS('Ordres de travail'!$T$5:$T$3004,'Ordres de travail'!$O$5:$O$3004,B5,'Ordres de travail'!$AC$5:$AC$3004,"&lt;&gt;Annulé",'Ordres de travail'!$B$5:$B$3004,"&gt;="&amp;'Paramètres'!$AA$6,'Ordres de travail'!$B$5:$B$3004,"&lt;"&amp;('Paramètres'!$AA$7+1)))</f>
        <v/>
      </c>
      <c r="P5" s="68">
        <f>IF($A5="","",COUNTIFS('Ordres de travail'!$O$5:$O$3004,B5,'Ordres de travail'!$AC$5:$AC$3004,"&lt;&gt;Annulé",'Ordres de travail'!$B$5:$B$3004,"&gt;="&amp;'Paramètres'!$AA$6,'Ordres de travail'!$B$5:$B$3004,"&lt;"&amp;('Paramètres'!$AA$7+1)))</f>
        <v/>
      </c>
      <c r="Q5" s="68">
        <f>IF($A5="","",SUM(COUNTIFS('Ordres de travail'!$O$5:$O$3004,B5,'Ordres de travail'!$AC$5:$AC$3004,{"Demandé","Planifié","En cours","En attente pièces"})))</f>
        <v/>
      </c>
      <c r="R5" s="71">
        <f>IF($A5="","",IF('Paramètres'!$AA$11*'Paramètres'!$AA$8=0,"-",O5/('Paramètres'!$AA$11*'Paramètres'!$AA$8)))</f>
        <v/>
      </c>
    </row>
    <row r="6">
      <c r="A6" s="7" t="inlineStr">
        <is>
          <t>MT02</t>
        </is>
      </c>
      <c r="B6" s="7" t="inlineStr">
        <is>
          <t>Julien Moreau</t>
        </is>
      </c>
      <c r="C6" s="7" t="inlineStr">
        <is>
          <t>Technicien électromécanicien</t>
        </is>
      </c>
      <c r="D6" s="7" t="inlineStr">
        <is>
          <t>Électricité / pneumatique</t>
        </is>
      </c>
      <c r="E6" s="7" t="inlineStr">
        <is>
          <t>Matin</t>
        </is>
      </c>
      <c r="F6" s="66" t="n">
        <v>45</v>
      </c>
      <c r="G6" s="7" t="inlineStr">
        <is>
          <t>211</t>
        </is>
      </c>
      <c r="H6" s="7" t="inlineStr">
        <is>
          <t>B2V-BR-BC-H0V</t>
        </is>
      </c>
      <c r="I6" s="65" t="n">
        <v>46346</v>
      </c>
      <c r="J6" s="7" t="inlineStr">
        <is>
          <t>CACES R486 cat. B</t>
        </is>
      </c>
      <c r="K6" s="65" t="n">
        <v>46631</v>
      </c>
      <c r="L6" s="65" t="n">
        <v>46407</v>
      </c>
      <c r="M6" s="78">
        <f>IF($A6="","",IF(COUNT(I6,K6,L6)=0,"",MIN(I6,K6,L6)))</f>
        <v/>
      </c>
      <c r="N6" s="9">
        <f>IF(M6="","",IF(M6&lt;TODAY(),"EXPIRÉE",IF(M6-TODAY()&lt;='Paramètres'!$AA$14,"À RENOUVELER","OK")))</f>
        <v/>
      </c>
      <c r="O6" s="69">
        <f>IF($A6="","",SUMIFS('Ordres de travail'!$T$5:$T$3004,'Ordres de travail'!$O$5:$O$3004,B6,'Ordres de travail'!$AC$5:$AC$3004,"&lt;&gt;Annulé",'Ordres de travail'!$B$5:$B$3004,"&gt;="&amp;'Paramètres'!$AA$6,'Ordres de travail'!$B$5:$B$3004,"&lt;"&amp;('Paramètres'!$AA$7+1)))</f>
        <v/>
      </c>
      <c r="P6" s="68">
        <f>IF($A6="","",COUNTIFS('Ordres de travail'!$O$5:$O$3004,B6,'Ordres de travail'!$AC$5:$AC$3004,"&lt;&gt;Annulé",'Ordres de travail'!$B$5:$B$3004,"&gt;="&amp;'Paramètres'!$AA$6,'Ordres de travail'!$B$5:$B$3004,"&lt;"&amp;('Paramètres'!$AA$7+1)))</f>
        <v/>
      </c>
      <c r="Q6" s="68">
        <f>IF($A6="","",SUM(COUNTIFS('Ordres de travail'!$O$5:$O$3004,B6,'Ordres de travail'!$AC$5:$AC$3004,{"Demandé","Planifié","En cours","En attente pièces"})))</f>
        <v/>
      </c>
      <c r="R6" s="71">
        <f>IF($A6="","",IF('Paramètres'!$AA$11*'Paramètres'!$AA$8=0,"-",O6/('Paramètres'!$AA$11*'Paramètres'!$AA$8)))</f>
        <v/>
      </c>
    </row>
    <row r="7">
      <c r="A7" s="7" t="inlineStr">
        <is>
          <t>MT03</t>
        </is>
      </c>
      <c r="B7" s="7" t="inlineStr">
        <is>
          <t>Sophie Garnier</t>
        </is>
      </c>
      <c r="C7" s="7" t="inlineStr">
        <is>
          <t>Technicienne automaticienne</t>
        </is>
      </c>
      <c r="D7" s="7" t="inlineStr">
        <is>
          <t>Automatisme / robotique</t>
        </is>
      </c>
      <c r="E7" s="7" t="inlineStr">
        <is>
          <t>Journée</t>
        </is>
      </c>
      <c r="F7" s="66" t="n">
        <v>48</v>
      </c>
      <c r="G7" s="7" t="inlineStr">
        <is>
          <t>212</t>
        </is>
      </c>
      <c r="H7" s="7" t="inlineStr">
        <is>
          <t>B2V-BR-BC</t>
        </is>
      </c>
      <c r="I7" s="65" t="n">
        <v>46793</v>
      </c>
      <c r="J7" s="7" t="n"/>
      <c r="K7" s="65" t="n"/>
      <c r="L7" s="65" t="n">
        <v>46361</v>
      </c>
      <c r="M7" s="78">
        <f>IF($A7="","",IF(COUNT(I7,K7,L7)=0,"",MIN(I7,K7,L7)))</f>
        <v/>
      </c>
      <c r="N7" s="9">
        <f>IF(M7="","",IF(M7&lt;TODAY(),"EXPIRÉE",IF(M7-TODAY()&lt;='Paramètres'!$AA$14,"À RENOUVELER","OK")))</f>
        <v/>
      </c>
      <c r="O7" s="69">
        <f>IF($A7="","",SUMIFS('Ordres de travail'!$T$5:$T$3004,'Ordres de travail'!$O$5:$O$3004,B7,'Ordres de travail'!$AC$5:$AC$3004,"&lt;&gt;Annulé",'Ordres de travail'!$B$5:$B$3004,"&gt;="&amp;'Paramètres'!$AA$6,'Ordres de travail'!$B$5:$B$3004,"&lt;"&amp;('Paramètres'!$AA$7+1)))</f>
        <v/>
      </c>
      <c r="P7" s="68">
        <f>IF($A7="","",COUNTIFS('Ordres de travail'!$O$5:$O$3004,B7,'Ordres de travail'!$AC$5:$AC$3004,"&lt;&gt;Annulé",'Ordres de travail'!$B$5:$B$3004,"&gt;="&amp;'Paramètres'!$AA$6,'Ordres de travail'!$B$5:$B$3004,"&lt;"&amp;('Paramètres'!$AA$7+1)))</f>
        <v/>
      </c>
      <c r="Q7" s="68">
        <f>IF($A7="","",SUM(COUNTIFS('Ordres de travail'!$O$5:$O$3004,B7,'Ordres de travail'!$AC$5:$AC$3004,{"Demandé","Planifié","En cours","En attente pièces"})))</f>
        <v/>
      </c>
      <c r="R7" s="71">
        <f>IF($A7="","",IF('Paramètres'!$AA$11*'Paramètres'!$AA$8=0,"-",O7/('Paramètres'!$AA$11*'Paramètres'!$AA$8)))</f>
        <v/>
      </c>
    </row>
    <row r="8">
      <c r="A8" s="7" t="inlineStr">
        <is>
          <t>MT04</t>
        </is>
      </c>
      <c r="B8" s="7" t="inlineStr">
        <is>
          <t>Karim Benali</t>
        </is>
      </c>
      <c r="C8" s="7" t="inlineStr">
        <is>
          <t>Mécanicien de maintenance</t>
        </is>
      </c>
      <c r="D8" s="7" t="inlineStr">
        <is>
          <t>Mécanique / hydraulique</t>
        </is>
      </c>
      <c r="E8" s="7" t="inlineStr">
        <is>
          <t>Après-midi</t>
        </is>
      </c>
      <c r="F8" s="66" t="n">
        <v>42</v>
      </c>
      <c r="G8" s="7" t="inlineStr">
        <is>
          <t>213</t>
        </is>
      </c>
      <c r="H8" s="7" t="inlineStr">
        <is>
          <t>B1V-H0V</t>
        </is>
      </c>
      <c r="I8" s="65" t="n">
        <v>46280</v>
      </c>
      <c r="J8" s="7" t="inlineStr">
        <is>
          <t>CACES R489 cat. 3</t>
        </is>
      </c>
      <c r="K8" s="65" t="n">
        <v>47209</v>
      </c>
      <c r="L8" s="65" t="n">
        <v>46449</v>
      </c>
      <c r="M8" s="78">
        <f>IF($A8="","",IF(COUNT(I8,K8,L8)=0,"",MIN(I8,K8,L8)))</f>
        <v/>
      </c>
      <c r="N8" s="9">
        <f>IF(M8="","",IF(M8&lt;TODAY(),"EXPIRÉE",IF(M8-TODAY()&lt;='Paramètres'!$AA$14,"À RENOUVELER","OK")))</f>
        <v/>
      </c>
      <c r="O8" s="69">
        <f>IF($A8="","",SUMIFS('Ordres de travail'!$T$5:$T$3004,'Ordres de travail'!$O$5:$O$3004,B8,'Ordres de travail'!$AC$5:$AC$3004,"&lt;&gt;Annulé",'Ordres de travail'!$B$5:$B$3004,"&gt;="&amp;'Paramètres'!$AA$6,'Ordres de travail'!$B$5:$B$3004,"&lt;"&amp;('Paramètres'!$AA$7+1)))</f>
        <v/>
      </c>
      <c r="P8" s="68">
        <f>IF($A8="","",COUNTIFS('Ordres de travail'!$O$5:$O$3004,B8,'Ordres de travail'!$AC$5:$AC$3004,"&lt;&gt;Annulé",'Ordres de travail'!$B$5:$B$3004,"&gt;="&amp;'Paramètres'!$AA$6,'Ordres de travail'!$B$5:$B$3004,"&lt;"&amp;('Paramètres'!$AA$7+1)))</f>
        <v/>
      </c>
      <c r="Q8" s="68">
        <f>IF($A8="","",SUM(COUNTIFS('Ordres de travail'!$O$5:$O$3004,B8,'Ordres de travail'!$AC$5:$AC$3004,{"Demandé","Planifié","En cours","En attente pièces"})))</f>
        <v/>
      </c>
      <c r="R8" s="71">
        <f>IF($A8="","",IF('Paramètres'!$AA$11*'Paramètres'!$AA$8=0,"-",O8/('Paramètres'!$AA$11*'Paramètres'!$AA$8)))</f>
        <v/>
      </c>
    </row>
    <row r="9">
      <c r="A9" s="7" t="inlineStr">
        <is>
          <t>MT05</t>
        </is>
      </c>
      <c r="B9" s="7" t="inlineStr">
        <is>
          <t>Thomas Petit</t>
        </is>
      </c>
      <c r="C9" s="7" t="inlineStr">
        <is>
          <t>Électricien industriel</t>
        </is>
      </c>
      <c r="D9" s="7" t="inlineStr">
        <is>
          <t>Électricité HT/BT</t>
        </is>
      </c>
      <c r="E9" s="7" t="inlineStr">
        <is>
          <t>Matin</t>
        </is>
      </c>
      <c r="F9" s="66" t="n">
        <v>44</v>
      </c>
      <c r="G9" s="7" t="inlineStr">
        <is>
          <t>214</t>
        </is>
      </c>
      <c r="H9" s="7" t="inlineStr">
        <is>
          <t>B2V-BR-BC-H1V-HC</t>
        </is>
      </c>
      <c r="I9" s="65" t="n">
        <v>46629</v>
      </c>
      <c r="J9" s="7" t="inlineStr">
        <is>
          <t>CACES R486 cat. B</t>
        </is>
      </c>
      <c r="K9" s="65" t="n">
        <v>46320</v>
      </c>
      <c r="L9" s="65" t="n">
        <v>46556</v>
      </c>
      <c r="M9" s="78">
        <f>IF($A9="","",IF(COUNT(I9,K9,L9)=0,"",MIN(I9,K9,L9)))</f>
        <v/>
      </c>
      <c r="N9" s="9">
        <f>IF(M9="","",IF(M9&lt;TODAY(),"EXPIRÉE",IF(M9-TODAY()&lt;='Paramètres'!$AA$14,"À RENOUVELER","OK")))</f>
        <v/>
      </c>
      <c r="O9" s="69">
        <f>IF($A9="","",SUMIFS('Ordres de travail'!$T$5:$T$3004,'Ordres de travail'!$O$5:$O$3004,B9,'Ordres de travail'!$AC$5:$AC$3004,"&lt;&gt;Annulé",'Ordres de travail'!$B$5:$B$3004,"&gt;="&amp;'Paramètres'!$AA$6,'Ordres de travail'!$B$5:$B$3004,"&lt;"&amp;('Paramètres'!$AA$7+1)))</f>
        <v/>
      </c>
      <c r="P9" s="68">
        <f>IF($A9="","",COUNTIFS('Ordres de travail'!$O$5:$O$3004,B9,'Ordres de travail'!$AC$5:$AC$3004,"&lt;&gt;Annulé",'Ordres de travail'!$B$5:$B$3004,"&gt;="&amp;'Paramètres'!$AA$6,'Ordres de travail'!$B$5:$B$3004,"&lt;"&amp;('Paramètres'!$AA$7+1)))</f>
        <v/>
      </c>
      <c r="Q9" s="68">
        <f>IF($A9="","",SUM(COUNTIFS('Ordres de travail'!$O$5:$O$3004,B9,'Ordres de travail'!$AC$5:$AC$3004,{"Demandé","Planifié","En cours","En attente pièces"})))</f>
        <v/>
      </c>
      <c r="R9" s="71">
        <f>IF($A9="","",IF('Paramètres'!$AA$11*'Paramètres'!$AA$8=0,"-",O9/('Paramètres'!$AA$11*'Paramètres'!$AA$8)))</f>
        <v/>
      </c>
    </row>
    <row r="10">
      <c r="A10" s="7" t="inlineStr">
        <is>
          <t>MT06</t>
        </is>
      </c>
      <c r="B10" s="7" t="inlineStr">
        <is>
          <t>Nadia Rousseau</t>
        </is>
      </c>
      <c r="C10" s="7" t="inlineStr">
        <is>
          <t>Technicienne méthodes maintenance</t>
        </is>
      </c>
      <c r="D10" s="7" t="inlineStr">
        <is>
          <t>Méthodes / GMAO / fiabilité</t>
        </is>
      </c>
      <c r="E10" s="7" t="inlineStr">
        <is>
          <t>Journée</t>
        </is>
      </c>
      <c r="F10" s="66" t="n">
        <v>46</v>
      </c>
      <c r="G10" s="7" t="inlineStr">
        <is>
          <t>215</t>
        </is>
      </c>
      <c r="H10" s="7" t="inlineStr">
        <is>
          <t>BS-BE Manœuvre</t>
        </is>
      </c>
      <c r="I10" s="65" t="n">
        <v>46661</v>
      </c>
      <c r="J10" s="7" t="n"/>
      <c r="K10" s="65" t="n"/>
      <c r="L10" s="65" t="n">
        <v>46432</v>
      </c>
      <c r="M10" s="78">
        <f>IF($A10="","",IF(COUNT(I10,K10,L10)=0,"",MIN(I10,K10,L10)))</f>
        <v/>
      </c>
      <c r="N10" s="9">
        <f>IF(M10="","",IF(M10&lt;TODAY(),"EXPIRÉE",IF(M10-TODAY()&lt;='Paramètres'!$AA$14,"À RENOUVELER","OK")))</f>
        <v/>
      </c>
      <c r="O10" s="69">
        <f>IF($A10="","",SUMIFS('Ordres de travail'!$T$5:$T$3004,'Ordres de travail'!$O$5:$O$3004,B10,'Ordres de travail'!$AC$5:$AC$3004,"&lt;&gt;Annulé",'Ordres de travail'!$B$5:$B$3004,"&gt;="&amp;'Paramètres'!$AA$6,'Ordres de travail'!$B$5:$B$3004,"&lt;"&amp;('Paramètres'!$AA$7+1)))</f>
        <v/>
      </c>
      <c r="P10" s="68">
        <f>IF($A10="","",COUNTIFS('Ordres de travail'!$O$5:$O$3004,B10,'Ordres de travail'!$AC$5:$AC$3004,"&lt;&gt;Annulé",'Ordres de travail'!$B$5:$B$3004,"&gt;="&amp;'Paramètres'!$AA$6,'Ordres de travail'!$B$5:$B$3004,"&lt;"&amp;('Paramètres'!$AA$7+1)))</f>
        <v/>
      </c>
      <c r="Q10" s="68">
        <f>IF($A10="","",SUM(COUNTIFS('Ordres de travail'!$O$5:$O$3004,B10,'Ordres de travail'!$AC$5:$AC$3004,{"Demandé","Planifié","En cours","En attente pièces"})))</f>
        <v/>
      </c>
      <c r="R10" s="71">
        <f>IF($A10="","",IF('Paramètres'!$AA$11*'Paramètres'!$AA$8=0,"-",O10/('Paramètres'!$AA$11*'Paramètres'!$AA$8)))</f>
        <v/>
      </c>
    </row>
    <row r="11">
      <c r="A11" s="7" t="inlineStr">
        <is>
          <t>MT07</t>
        </is>
      </c>
      <c r="B11" s="7" t="inlineStr">
        <is>
          <t>Lucas Fontaine</t>
        </is>
      </c>
      <c r="C11" s="7" t="inlineStr">
        <is>
          <t>Mécanicien (alternant)</t>
        </is>
      </c>
      <c r="D11" s="7" t="inlineStr">
        <is>
          <t>Mécanique / bâtiment</t>
        </is>
      </c>
      <c r="E11" s="7" t="inlineStr">
        <is>
          <t>Journée</t>
        </is>
      </c>
      <c r="F11" s="66" t="n">
        <v>25</v>
      </c>
      <c r="G11" s="7" t="inlineStr">
        <is>
          <t>216</t>
        </is>
      </c>
      <c r="H11" s="7" t="inlineStr">
        <is>
          <t>B0-H0V</t>
        </is>
      </c>
      <c r="I11" s="65" t="n">
        <v>46399</v>
      </c>
      <c r="J11" s="7" t="inlineStr">
        <is>
          <t>CACES R489 cat. 3</t>
        </is>
      </c>
      <c r="K11" s="65" t="n">
        <v>47515</v>
      </c>
      <c r="L11" s="65" t="n"/>
      <c r="M11" s="78">
        <f>IF($A11="","",IF(COUNT(I11,K11,L11)=0,"",MIN(I11,K11,L11)))</f>
        <v/>
      </c>
      <c r="N11" s="9">
        <f>IF(M11="","",IF(M11&lt;TODAY(),"EXPIRÉE",IF(M11-TODAY()&lt;='Paramètres'!$AA$14,"À RENOUVELER","OK")))</f>
        <v/>
      </c>
      <c r="O11" s="69">
        <f>IF($A11="","",SUMIFS('Ordres de travail'!$T$5:$T$3004,'Ordres de travail'!$O$5:$O$3004,B11,'Ordres de travail'!$AC$5:$AC$3004,"&lt;&gt;Annulé",'Ordres de travail'!$B$5:$B$3004,"&gt;="&amp;'Paramètres'!$AA$6,'Ordres de travail'!$B$5:$B$3004,"&lt;"&amp;('Paramètres'!$AA$7+1)))</f>
        <v/>
      </c>
      <c r="P11" s="68">
        <f>IF($A11="","",COUNTIFS('Ordres de travail'!$O$5:$O$3004,B11,'Ordres de travail'!$AC$5:$AC$3004,"&lt;&gt;Annulé",'Ordres de travail'!$B$5:$B$3004,"&gt;="&amp;'Paramètres'!$AA$6,'Ordres de travail'!$B$5:$B$3004,"&lt;"&amp;('Paramètres'!$AA$7+1)))</f>
        <v/>
      </c>
      <c r="Q11" s="68">
        <f>IF($A11="","",SUM(COUNTIFS('Ordres de travail'!$O$5:$O$3004,B11,'Ordres de travail'!$AC$5:$AC$3004,{"Demandé","Planifié","En cours","En attente pièces"})))</f>
        <v/>
      </c>
      <c r="R11" s="71">
        <f>IF($A11="","",IF('Paramètres'!$AA$11*'Paramètres'!$AA$8=0,"-",O11/('Paramètres'!$AA$11*'Paramètres'!$AA$8)))</f>
        <v/>
      </c>
    </row>
    <row r="12">
      <c r="A12" s="7" t="inlineStr">
        <is>
          <t>MT08</t>
        </is>
      </c>
      <c r="B12" s="7" t="inlineStr">
        <is>
          <t>Antoine Mercier</t>
        </is>
      </c>
      <c r="C12" s="7" t="inlineStr">
        <is>
          <t>Électromécanicien</t>
        </is>
      </c>
      <c r="D12" s="7" t="inlineStr">
        <is>
          <t>Mécanique / électricité</t>
        </is>
      </c>
      <c r="E12" s="7" t="inlineStr">
        <is>
          <t>Après-midi</t>
        </is>
      </c>
      <c r="F12" s="66" t="n">
        <v>43</v>
      </c>
      <c r="G12" s="7" t="inlineStr">
        <is>
          <t>217</t>
        </is>
      </c>
      <c r="H12" s="7" t="inlineStr">
        <is>
          <t>B2V-BR</t>
        </is>
      </c>
      <c r="I12" s="65" t="n">
        <v>46499</v>
      </c>
      <c r="J12" s="7" t="inlineStr">
        <is>
          <t>CACES R486 cat. B</t>
        </is>
      </c>
      <c r="K12" s="65" t="n">
        <v>46874</v>
      </c>
      <c r="L12" s="65" t="n">
        <v>46995</v>
      </c>
      <c r="M12" s="78">
        <f>IF($A12="","",IF(COUNT(I12,K12,L12)=0,"",MIN(I12,K12,L12)))</f>
        <v/>
      </c>
      <c r="N12" s="9">
        <f>IF(M12="","",IF(M12&lt;TODAY(),"EXPIRÉE",IF(M12-TODAY()&lt;='Paramètres'!$AA$14,"À RENOUVELER","OK")))</f>
        <v/>
      </c>
      <c r="O12" s="69">
        <f>IF($A12="","",SUMIFS('Ordres de travail'!$T$5:$T$3004,'Ordres de travail'!$O$5:$O$3004,B12,'Ordres de travail'!$AC$5:$AC$3004,"&lt;&gt;Annulé",'Ordres de travail'!$B$5:$B$3004,"&gt;="&amp;'Paramètres'!$AA$6,'Ordres de travail'!$B$5:$B$3004,"&lt;"&amp;('Paramètres'!$AA$7+1)))</f>
        <v/>
      </c>
      <c r="P12" s="68">
        <f>IF($A12="","",COUNTIFS('Ordres de travail'!$O$5:$O$3004,B12,'Ordres de travail'!$AC$5:$AC$3004,"&lt;&gt;Annulé",'Ordres de travail'!$B$5:$B$3004,"&gt;="&amp;'Paramètres'!$AA$6,'Ordres de travail'!$B$5:$B$3004,"&lt;"&amp;('Paramètres'!$AA$7+1)))</f>
        <v/>
      </c>
      <c r="Q12" s="68">
        <f>IF($A12="","",SUM(COUNTIFS('Ordres de travail'!$O$5:$O$3004,B12,'Ordres de travail'!$AC$5:$AC$3004,{"Demandé","Planifié","En cours","En attente pièces"})))</f>
        <v/>
      </c>
      <c r="R12" s="71">
        <f>IF($A12="","",IF('Paramètres'!$AA$11*'Paramètres'!$AA$8=0,"-",O12/('Paramètres'!$AA$11*'Paramètres'!$AA$8)))</f>
        <v/>
      </c>
    </row>
    <row r="13">
      <c r="A13" s="7" t="n"/>
      <c r="B13" s="7" t="n"/>
      <c r="C13" s="7" t="n"/>
      <c r="D13" s="7" t="n"/>
      <c r="E13" s="7" t="n"/>
      <c r="F13" s="66" t="n"/>
      <c r="G13" s="7" t="n"/>
      <c r="H13" s="7" t="n"/>
      <c r="I13" s="65" t="n"/>
      <c r="J13" s="7" t="n"/>
      <c r="K13" s="65" t="n"/>
      <c r="L13" s="65" t="n"/>
      <c r="M13" s="78">
        <f>IF($A13="","",IF(COUNT(I13,K13,L13)=0,"",MIN(I13,K13,L13)))</f>
        <v/>
      </c>
      <c r="N13" s="9">
        <f>IF(M13="","",IF(M13&lt;TODAY(),"EXPIRÉE",IF(M13-TODAY()&lt;='Paramètres'!$AA$14,"À RENOUVELER","OK")))</f>
        <v/>
      </c>
      <c r="O13" s="69">
        <f>IF($A13="","",SUMIFS('Ordres de travail'!$T$5:$T$3004,'Ordres de travail'!$O$5:$O$3004,B13,'Ordres de travail'!$AC$5:$AC$3004,"&lt;&gt;Annulé",'Ordres de travail'!$B$5:$B$3004,"&gt;="&amp;'Paramètres'!$AA$6,'Ordres de travail'!$B$5:$B$3004,"&lt;"&amp;('Paramètres'!$AA$7+1)))</f>
        <v/>
      </c>
      <c r="P13" s="68">
        <f>IF($A13="","",COUNTIFS('Ordres de travail'!$O$5:$O$3004,B13,'Ordres de travail'!$AC$5:$AC$3004,"&lt;&gt;Annulé",'Ordres de travail'!$B$5:$B$3004,"&gt;="&amp;'Paramètres'!$AA$6,'Ordres de travail'!$B$5:$B$3004,"&lt;"&amp;('Paramètres'!$AA$7+1)))</f>
        <v/>
      </c>
      <c r="Q13" s="68">
        <f>IF($A13="","",SUM(COUNTIFS('Ordres de travail'!$O$5:$O$3004,B13,'Ordres de travail'!$AC$5:$AC$3004,{"Demandé","Planifié","En cours","En attente pièces"})))</f>
        <v/>
      </c>
      <c r="R13" s="71">
        <f>IF($A13="","",IF('Paramètres'!$AA$11*'Paramètres'!$AA$8=0,"-",O13/('Paramètres'!$AA$11*'Paramètres'!$AA$8)))</f>
        <v/>
      </c>
    </row>
    <row r="14">
      <c r="A14" s="7" t="n"/>
      <c r="B14" s="7" t="n"/>
      <c r="C14" s="7" t="n"/>
      <c r="D14" s="7" t="n"/>
      <c r="E14" s="7" t="n"/>
      <c r="F14" s="66" t="n"/>
      <c r="G14" s="7" t="n"/>
      <c r="H14" s="7" t="n"/>
      <c r="I14" s="65" t="n"/>
      <c r="J14" s="7" t="n"/>
      <c r="K14" s="65" t="n"/>
      <c r="L14" s="65" t="n"/>
      <c r="M14" s="78">
        <f>IF($A14="","",IF(COUNT(I14,K14,L14)=0,"",MIN(I14,K14,L14)))</f>
        <v/>
      </c>
      <c r="N14" s="9">
        <f>IF(M14="","",IF(M14&lt;TODAY(),"EXPIRÉE",IF(M14-TODAY()&lt;='Paramètres'!$AA$14,"À RENOUVELER","OK")))</f>
        <v/>
      </c>
      <c r="O14" s="69">
        <f>IF($A14="","",SUMIFS('Ordres de travail'!$T$5:$T$3004,'Ordres de travail'!$O$5:$O$3004,B14,'Ordres de travail'!$AC$5:$AC$3004,"&lt;&gt;Annulé",'Ordres de travail'!$B$5:$B$3004,"&gt;="&amp;'Paramètres'!$AA$6,'Ordres de travail'!$B$5:$B$3004,"&lt;"&amp;('Paramètres'!$AA$7+1)))</f>
        <v/>
      </c>
      <c r="P14" s="68">
        <f>IF($A14="","",COUNTIFS('Ordres de travail'!$O$5:$O$3004,B14,'Ordres de travail'!$AC$5:$AC$3004,"&lt;&gt;Annulé",'Ordres de travail'!$B$5:$B$3004,"&gt;="&amp;'Paramètres'!$AA$6,'Ordres de travail'!$B$5:$B$3004,"&lt;"&amp;('Paramètres'!$AA$7+1)))</f>
        <v/>
      </c>
      <c r="Q14" s="68">
        <f>IF($A14="","",SUM(COUNTIFS('Ordres de travail'!$O$5:$O$3004,B14,'Ordres de travail'!$AC$5:$AC$3004,{"Demandé","Planifié","En cours","En attente pièces"})))</f>
        <v/>
      </c>
      <c r="R14" s="71">
        <f>IF($A14="","",IF('Paramètres'!$AA$11*'Paramètres'!$AA$8=0,"-",O14/('Paramètres'!$AA$11*'Paramètres'!$AA$8)))</f>
        <v/>
      </c>
    </row>
    <row r="15">
      <c r="A15" s="7" t="n"/>
      <c r="B15" s="7" t="n"/>
      <c r="C15" s="7" t="n"/>
      <c r="D15" s="7" t="n"/>
      <c r="E15" s="7" t="n"/>
      <c r="F15" s="66" t="n"/>
      <c r="G15" s="7" t="n"/>
      <c r="H15" s="7" t="n"/>
      <c r="I15" s="65" t="n"/>
      <c r="J15" s="7" t="n"/>
      <c r="K15" s="65" t="n"/>
      <c r="L15" s="65" t="n"/>
      <c r="M15" s="78">
        <f>IF($A15="","",IF(COUNT(I15,K15,L15)=0,"",MIN(I15,K15,L15)))</f>
        <v/>
      </c>
      <c r="N15" s="9">
        <f>IF(M15="","",IF(M15&lt;TODAY(),"EXPIRÉE",IF(M15-TODAY()&lt;='Paramètres'!$AA$14,"À RENOUVELER","OK")))</f>
        <v/>
      </c>
      <c r="O15" s="69">
        <f>IF($A15="","",SUMIFS('Ordres de travail'!$T$5:$T$3004,'Ordres de travail'!$O$5:$O$3004,B15,'Ordres de travail'!$AC$5:$AC$3004,"&lt;&gt;Annulé",'Ordres de travail'!$B$5:$B$3004,"&gt;="&amp;'Paramètres'!$AA$6,'Ordres de travail'!$B$5:$B$3004,"&lt;"&amp;('Paramètres'!$AA$7+1)))</f>
        <v/>
      </c>
      <c r="P15" s="68">
        <f>IF($A15="","",COUNTIFS('Ordres de travail'!$O$5:$O$3004,B15,'Ordres de travail'!$AC$5:$AC$3004,"&lt;&gt;Annulé",'Ordres de travail'!$B$5:$B$3004,"&gt;="&amp;'Paramètres'!$AA$6,'Ordres de travail'!$B$5:$B$3004,"&lt;"&amp;('Paramètres'!$AA$7+1)))</f>
        <v/>
      </c>
      <c r="Q15" s="68">
        <f>IF($A15="","",SUM(COUNTIFS('Ordres de travail'!$O$5:$O$3004,B15,'Ordres de travail'!$AC$5:$AC$3004,{"Demandé","Planifié","En cours","En attente pièces"})))</f>
        <v/>
      </c>
      <c r="R15" s="71">
        <f>IF($A15="","",IF('Paramètres'!$AA$11*'Paramètres'!$AA$8=0,"-",O15/('Paramètres'!$AA$11*'Paramètres'!$AA$8)))</f>
        <v/>
      </c>
    </row>
    <row r="16">
      <c r="A16" s="7" t="n"/>
      <c r="B16" s="7" t="n"/>
      <c r="C16" s="7" t="n"/>
      <c r="D16" s="7" t="n"/>
      <c r="E16" s="7" t="n"/>
      <c r="F16" s="66" t="n"/>
      <c r="G16" s="7" t="n"/>
      <c r="H16" s="7" t="n"/>
      <c r="I16" s="65" t="n"/>
      <c r="J16" s="7" t="n"/>
      <c r="K16" s="65" t="n"/>
      <c r="L16" s="65" t="n"/>
      <c r="M16" s="78">
        <f>IF($A16="","",IF(COUNT(I16,K16,L16)=0,"",MIN(I16,K16,L16)))</f>
        <v/>
      </c>
      <c r="N16" s="9">
        <f>IF(M16="","",IF(M16&lt;TODAY(),"EXPIRÉE",IF(M16-TODAY()&lt;='Paramètres'!$AA$14,"À RENOUVELER","OK")))</f>
        <v/>
      </c>
      <c r="O16" s="69">
        <f>IF($A16="","",SUMIFS('Ordres de travail'!$T$5:$T$3004,'Ordres de travail'!$O$5:$O$3004,B16,'Ordres de travail'!$AC$5:$AC$3004,"&lt;&gt;Annulé",'Ordres de travail'!$B$5:$B$3004,"&gt;="&amp;'Paramètres'!$AA$6,'Ordres de travail'!$B$5:$B$3004,"&lt;"&amp;('Paramètres'!$AA$7+1)))</f>
        <v/>
      </c>
      <c r="P16" s="68">
        <f>IF($A16="","",COUNTIFS('Ordres de travail'!$O$5:$O$3004,B16,'Ordres de travail'!$AC$5:$AC$3004,"&lt;&gt;Annulé",'Ordres de travail'!$B$5:$B$3004,"&gt;="&amp;'Paramètres'!$AA$6,'Ordres de travail'!$B$5:$B$3004,"&lt;"&amp;('Paramètres'!$AA$7+1)))</f>
        <v/>
      </c>
      <c r="Q16" s="68">
        <f>IF($A16="","",SUM(COUNTIFS('Ordres de travail'!$O$5:$O$3004,B16,'Ordres de travail'!$AC$5:$AC$3004,{"Demandé","Planifié","En cours","En attente pièces"})))</f>
        <v/>
      </c>
      <c r="R16" s="71">
        <f>IF($A16="","",IF('Paramètres'!$AA$11*'Paramètres'!$AA$8=0,"-",O16/('Paramètres'!$AA$11*'Paramètres'!$AA$8)))</f>
        <v/>
      </c>
    </row>
    <row r="17">
      <c r="A17" s="7" t="n"/>
      <c r="B17" s="7" t="n"/>
      <c r="C17" s="7" t="n"/>
      <c r="D17" s="7" t="n"/>
      <c r="E17" s="7" t="n"/>
      <c r="F17" s="66" t="n"/>
      <c r="G17" s="7" t="n"/>
      <c r="H17" s="7" t="n"/>
      <c r="I17" s="65" t="n"/>
      <c r="J17" s="7" t="n"/>
      <c r="K17" s="65" t="n"/>
      <c r="L17" s="65" t="n"/>
      <c r="M17" s="78">
        <f>IF($A17="","",IF(COUNT(I17,K17,L17)=0,"",MIN(I17,K17,L17)))</f>
        <v/>
      </c>
      <c r="N17" s="9">
        <f>IF(M17="","",IF(M17&lt;TODAY(),"EXPIRÉE",IF(M17-TODAY()&lt;='Paramètres'!$AA$14,"À RENOUVELER","OK")))</f>
        <v/>
      </c>
      <c r="O17" s="69">
        <f>IF($A17="","",SUMIFS('Ordres de travail'!$T$5:$T$3004,'Ordres de travail'!$O$5:$O$3004,B17,'Ordres de travail'!$AC$5:$AC$3004,"&lt;&gt;Annulé",'Ordres de travail'!$B$5:$B$3004,"&gt;="&amp;'Paramètres'!$AA$6,'Ordres de travail'!$B$5:$B$3004,"&lt;"&amp;('Paramètres'!$AA$7+1)))</f>
        <v/>
      </c>
      <c r="P17" s="68">
        <f>IF($A17="","",COUNTIFS('Ordres de travail'!$O$5:$O$3004,B17,'Ordres de travail'!$AC$5:$AC$3004,"&lt;&gt;Annulé",'Ordres de travail'!$B$5:$B$3004,"&gt;="&amp;'Paramètres'!$AA$6,'Ordres de travail'!$B$5:$B$3004,"&lt;"&amp;('Paramètres'!$AA$7+1)))</f>
        <v/>
      </c>
      <c r="Q17" s="68">
        <f>IF($A17="","",SUM(COUNTIFS('Ordres de travail'!$O$5:$O$3004,B17,'Ordres de travail'!$AC$5:$AC$3004,{"Demandé","Planifié","En cours","En attente pièces"})))</f>
        <v/>
      </c>
      <c r="R17" s="71">
        <f>IF($A17="","",IF('Paramètres'!$AA$11*'Paramètres'!$AA$8=0,"-",O17/('Paramètres'!$AA$11*'Paramètres'!$AA$8)))</f>
        <v/>
      </c>
    </row>
    <row r="18">
      <c r="A18" s="7" t="n"/>
      <c r="B18" s="7" t="n"/>
      <c r="C18" s="7" t="n"/>
      <c r="D18" s="7" t="n"/>
      <c r="E18" s="7" t="n"/>
      <c r="F18" s="66" t="n"/>
      <c r="G18" s="7" t="n"/>
      <c r="H18" s="7" t="n"/>
      <c r="I18" s="65" t="n"/>
      <c r="J18" s="7" t="n"/>
      <c r="K18" s="65" t="n"/>
      <c r="L18" s="65" t="n"/>
      <c r="M18" s="78">
        <f>IF($A18="","",IF(COUNT(I18,K18,L18)=0,"",MIN(I18,K18,L18)))</f>
        <v/>
      </c>
      <c r="N18" s="9">
        <f>IF(M18="","",IF(M18&lt;TODAY(),"EXPIRÉE",IF(M18-TODAY()&lt;='Paramètres'!$AA$14,"À RENOUVELER","OK")))</f>
        <v/>
      </c>
      <c r="O18" s="69">
        <f>IF($A18="","",SUMIFS('Ordres de travail'!$T$5:$T$3004,'Ordres de travail'!$O$5:$O$3004,B18,'Ordres de travail'!$AC$5:$AC$3004,"&lt;&gt;Annulé",'Ordres de travail'!$B$5:$B$3004,"&gt;="&amp;'Paramètres'!$AA$6,'Ordres de travail'!$B$5:$B$3004,"&lt;"&amp;('Paramètres'!$AA$7+1)))</f>
        <v/>
      </c>
      <c r="P18" s="68">
        <f>IF($A18="","",COUNTIFS('Ordres de travail'!$O$5:$O$3004,B18,'Ordres de travail'!$AC$5:$AC$3004,"&lt;&gt;Annulé",'Ordres de travail'!$B$5:$B$3004,"&gt;="&amp;'Paramètres'!$AA$6,'Ordres de travail'!$B$5:$B$3004,"&lt;"&amp;('Paramètres'!$AA$7+1)))</f>
        <v/>
      </c>
      <c r="Q18" s="68">
        <f>IF($A18="","",SUM(COUNTIFS('Ordres de travail'!$O$5:$O$3004,B18,'Ordres de travail'!$AC$5:$AC$3004,{"Demandé","Planifié","En cours","En attente pièces"})))</f>
        <v/>
      </c>
      <c r="R18" s="71">
        <f>IF($A18="","",IF('Paramètres'!$AA$11*'Paramètres'!$AA$8=0,"-",O18/('Paramètres'!$AA$11*'Paramètres'!$AA$8)))</f>
        <v/>
      </c>
    </row>
    <row r="19">
      <c r="A19" s="7" t="n"/>
      <c r="B19" s="7" t="n"/>
      <c r="C19" s="7" t="n"/>
      <c r="D19" s="7" t="n"/>
      <c r="E19" s="7" t="n"/>
      <c r="F19" s="66" t="n"/>
      <c r="G19" s="7" t="n"/>
      <c r="H19" s="7" t="n"/>
      <c r="I19" s="65" t="n"/>
      <c r="J19" s="7" t="n"/>
      <c r="K19" s="65" t="n"/>
      <c r="L19" s="65" t="n"/>
      <c r="M19" s="78">
        <f>IF($A19="","",IF(COUNT(I19,K19,L19)=0,"",MIN(I19,K19,L19)))</f>
        <v/>
      </c>
      <c r="N19" s="9">
        <f>IF(M19="","",IF(M19&lt;TODAY(),"EXPIRÉE",IF(M19-TODAY()&lt;='Paramètres'!$AA$14,"À RENOUVELER","OK")))</f>
        <v/>
      </c>
      <c r="O19" s="69">
        <f>IF($A19="","",SUMIFS('Ordres de travail'!$T$5:$T$3004,'Ordres de travail'!$O$5:$O$3004,B19,'Ordres de travail'!$AC$5:$AC$3004,"&lt;&gt;Annulé",'Ordres de travail'!$B$5:$B$3004,"&gt;="&amp;'Paramètres'!$AA$6,'Ordres de travail'!$B$5:$B$3004,"&lt;"&amp;('Paramètres'!$AA$7+1)))</f>
        <v/>
      </c>
      <c r="P19" s="68">
        <f>IF($A19="","",COUNTIFS('Ordres de travail'!$O$5:$O$3004,B19,'Ordres de travail'!$AC$5:$AC$3004,"&lt;&gt;Annulé",'Ordres de travail'!$B$5:$B$3004,"&gt;="&amp;'Paramètres'!$AA$6,'Ordres de travail'!$B$5:$B$3004,"&lt;"&amp;('Paramètres'!$AA$7+1)))</f>
        <v/>
      </c>
      <c r="Q19" s="68">
        <f>IF($A19="","",SUM(COUNTIFS('Ordres de travail'!$O$5:$O$3004,B19,'Ordres de travail'!$AC$5:$AC$3004,{"Demandé","Planifié","En cours","En attente pièces"})))</f>
        <v/>
      </c>
      <c r="R19" s="71">
        <f>IF($A19="","",IF('Paramètres'!$AA$11*'Paramètres'!$AA$8=0,"-",O19/('Paramètres'!$AA$11*'Paramètres'!$AA$8)))</f>
        <v/>
      </c>
    </row>
    <row r="20">
      <c r="A20" s="7" t="n"/>
      <c r="B20" s="7" t="n"/>
      <c r="C20" s="7" t="n"/>
      <c r="D20" s="7" t="n"/>
      <c r="E20" s="7" t="n"/>
      <c r="F20" s="66" t="n"/>
      <c r="G20" s="7" t="n"/>
      <c r="H20" s="7" t="n"/>
      <c r="I20" s="65" t="n"/>
      <c r="J20" s="7" t="n"/>
      <c r="K20" s="65" t="n"/>
      <c r="L20" s="65" t="n"/>
      <c r="M20" s="78">
        <f>IF($A20="","",IF(COUNT(I20,K20,L20)=0,"",MIN(I20,K20,L20)))</f>
        <v/>
      </c>
      <c r="N20" s="9">
        <f>IF(M20="","",IF(M20&lt;TODAY(),"EXPIRÉE",IF(M20-TODAY()&lt;='Paramètres'!$AA$14,"À RENOUVELER","OK")))</f>
        <v/>
      </c>
      <c r="O20" s="69">
        <f>IF($A20="","",SUMIFS('Ordres de travail'!$T$5:$T$3004,'Ordres de travail'!$O$5:$O$3004,B20,'Ordres de travail'!$AC$5:$AC$3004,"&lt;&gt;Annulé",'Ordres de travail'!$B$5:$B$3004,"&gt;="&amp;'Paramètres'!$AA$6,'Ordres de travail'!$B$5:$B$3004,"&lt;"&amp;('Paramètres'!$AA$7+1)))</f>
        <v/>
      </c>
      <c r="P20" s="68">
        <f>IF($A20="","",COUNTIFS('Ordres de travail'!$O$5:$O$3004,B20,'Ordres de travail'!$AC$5:$AC$3004,"&lt;&gt;Annulé",'Ordres de travail'!$B$5:$B$3004,"&gt;="&amp;'Paramètres'!$AA$6,'Ordres de travail'!$B$5:$B$3004,"&lt;"&amp;('Paramètres'!$AA$7+1)))</f>
        <v/>
      </c>
      <c r="Q20" s="68">
        <f>IF($A20="","",SUM(COUNTIFS('Ordres de travail'!$O$5:$O$3004,B20,'Ordres de travail'!$AC$5:$AC$3004,{"Demandé","Planifié","En cours","En attente pièces"})))</f>
        <v/>
      </c>
      <c r="R20" s="71">
        <f>IF($A20="","",IF('Paramètres'!$AA$11*'Paramètres'!$AA$8=0,"-",O20/('Paramètres'!$AA$11*'Paramètres'!$AA$8)))</f>
        <v/>
      </c>
    </row>
    <row r="21">
      <c r="A21" s="7" t="n"/>
      <c r="B21" s="7" t="n"/>
      <c r="C21" s="7" t="n"/>
      <c r="D21" s="7" t="n"/>
      <c r="E21" s="7" t="n"/>
      <c r="F21" s="66" t="n"/>
      <c r="G21" s="7" t="n"/>
      <c r="H21" s="7" t="n"/>
      <c r="I21" s="65" t="n"/>
      <c r="J21" s="7" t="n"/>
      <c r="K21" s="65" t="n"/>
      <c r="L21" s="65" t="n"/>
      <c r="M21" s="78">
        <f>IF($A21="","",IF(COUNT(I21,K21,L21)=0,"",MIN(I21,K21,L21)))</f>
        <v/>
      </c>
      <c r="N21" s="9">
        <f>IF(M21="","",IF(M21&lt;TODAY(),"EXPIRÉE",IF(M21-TODAY()&lt;='Paramètres'!$AA$14,"À RENOUVELER","OK")))</f>
        <v/>
      </c>
      <c r="O21" s="69">
        <f>IF($A21="","",SUMIFS('Ordres de travail'!$T$5:$T$3004,'Ordres de travail'!$O$5:$O$3004,B21,'Ordres de travail'!$AC$5:$AC$3004,"&lt;&gt;Annulé",'Ordres de travail'!$B$5:$B$3004,"&gt;="&amp;'Paramètres'!$AA$6,'Ordres de travail'!$B$5:$B$3004,"&lt;"&amp;('Paramètres'!$AA$7+1)))</f>
        <v/>
      </c>
      <c r="P21" s="68">
        <f>IF($A21="","",COUNTIFS('Ordres de travail'!$O$5:$O$3004,B21,'Ordres de travail'!$AC$5:$AC$3004,"&lt;&gt;Annulé",'Ordres de travail'!$B$5:$B$3004,"&gt;="&amp;'Paramètres'!$AA$6,'Ordres de travail'!$B$5:$B$3004,"&lt;"&amp;('Paramètres'!$AA$7+1)))</f>
        <v/>
      </c>
      <c r="Q21" s="68">
        <f>IF($A21="","",SUM(COUNTIFS('Ordres de travail'!$O$5:$O$3004,B21,'Ordres de travail'!$AC$5:$AC$3004,{"Demandé","Planifié","En cours","En attente pièces"})))</f>
        <v/>
      </c>
      <c r="R21" s="71">
        <f>IF($A21="","",IF('Paramètres'!$AA$11*'Paramètres'!$AA$8=0,"-",O21/('Paramètres'!$AA$11*'Paramètres'!$AA$8)))</f>
        <v/>
      </c>
    </row>
    <row r="22">
      <c r="A22" s="7" t="n"/>
      <c r="B22" s="7" t="n"/>
      <c r="C22" s="7" t="n"/>
      <c r="D22" s="7" t="n"/>
      <c r="E22" s="7" t="n"/>
      <c r="F22" s="66" t="n"/>
      <c r="G22" s="7" t="n"/>
      <c r="H22" s="7" t="n"/>
      <c r="I22" s="65" t="n"/>
      <c r="J22" s="7" t="n"/>
      <c r="K22" s="65" t="n"/>
      <c r="L22" s="65" t="n"/>
      <c r="M22" s="78">
        <f>IF($A22="","",IF(COUNT(I22,K22,L22)=0,"",MIN(I22,K22,L22)))</f>
        <v/>
      </c>
      <c r="N22" s="9">
        <f>IF(M22="","",IF(M22&lt;TODAY(),"EXPIRÉE",IF(M22-TODAY()&lt;='Paramètres'!$AA$14,"À RENOUVELER","OK")))</f>
        <v/>
      </c>
      <c r="O22" s="69">
        <f>IF($A22="","",SUMIFS('Ordres de travail'!$T$5:$T$3004,'Ordres de travail'!$O$5:$O$3004,B22,'Ordres de travail'!$AC$5:$AC$3004,"&lt;&gt;Annulé",'Ordres de travail'!$B$5:$B$3004,"&gt;="&amp;'Paramètres'!$AA$6,'Ordres de travail'!$B$5:$B$3004,"&lt;"&amp;('Paramètres'!$AA$7+1)))</f>
        <v/>
      </c>
      <c r="P22" s="68">
        <f>IF($A22="","",COUNTIFS('Ordres de travail'!$O$5:$O$3004,B22,'Ordres de travail'!$AC$5:$AC$3004,"&lt;&gt;Annulé",'Ordres de travail'!$B$5:$B$3004,"&gt;="&amp;'Paramètres'!$AA$6,'Ordres de travail'!$B$5:$B$3004,"&lt;"&amp;('Paramètres'!$AA$7+1)))</f>
        <v/>
      </c>
      <c r="Q22" s="68">
        <f>IF($A22="","",SUM(COUNTIFS('Ordres de travail'!$O$5:$O$3004,B22,'Ordres de travail'!$AC$5:$AC$3004,{"Demandé","Planifié","En cours","En attente pièces"})))</f>
        <v/>
      </c>
      <c r="R22" s="71">
        <f>IF($A22="","",IF('Paramètres'!$AA$11*'Paramètres'!$AA$8=0,"-",O22/('Paramètres'!$AA$11*'Paramètres'!$AA$8)))</f>
        <v/>
      </c>
    </row>
    <row r="23">
      <c r="A23" s="7" t="n"/>
      <c r="B23" s="7" t="n"/>
      <c r="C23" s="7" t="n"/>
      <c r="D23" s="7" t="n"/>
      <c r="E23" s="7" t="n"/>
      <c r="F23" s="66" t="n"/>
      <c r="G23" s="7" t="n"/>
      <c r="H23" s="7" t="n"/>
      <c r="I23" s="65" t="n"/>
      <c r="J23" s="7" t="n"/>
      <c r="K23" s="65" t="n"/>
      <c r="L23" s="65" t="n"/>
      <c r="M23" s="78">
        <f>IF($A23="","",IF(COUNT(I23,K23,L23)=0,"",MIN(I23,K23,L23)))</f>
        <v/>
      </c>
      <c r="N23" s="9">
        <f>IF(M23="","",IF(M23&lt;TODAY(),"EXPIRÉE",IF(M23-TODAY()&lt;='Paramètres'!$AA$14,"À RENOUVELER","OK")))</f>
        <v/>
      </c>
      <c r="O23" s="69">
        <f>IF($A23="","",SUMIFS('Ordres de travail'!$T$5:$T$3004,'Ordres de travail'!$O$5:$O$3004,B23,'Ordres de travail'!$AC$5:$AC$3004,"&lt;&gt;Annulé",'Ordres de travail'!$B$5:$B$3004,"&gt;="&amp;'Paramètres'!$AA$6,'Ordres de travail'!$B$5:$B$3004,"&lt;"&amp;('Paramètres'!$AA$7+1)))</f>
        <v/>
      </c>
      <c r="P23" s="68">
        <f>IF($A23="","",COUNTIFS('Ordres de travail'!$O$5:$O$3004,B23,'Ordres de travail'!$AC$5:$AC$3004,"&lt;&gt;Annulé",'Ordres de travail'!$B$5:$B$3004,"&gt;="&amp;'Paramètres'!$AA$6,'Ordres de travail'!$B$5:$B$3004,"&lt;"&amp;('Paramètres'!$AA$7+1)))</f>
        <v/>
      </c>
      <c r="Q23" s="68">
        <f>IF($A23="","",SUM(COUNTIFS('Ordres de travail'!$O$5:$O$3004,B23,'Ordres de travail'!$AC$5:$AC$3004,{"Demandé","Planifié","En cours","En attente pièces"})))</f>
        <v/>
      </c>
      <c r="R23" s="71">
        <f>IF($A23="","",IF('Paramètres'!$AA$11*'Paramètres'!$AA$8=0,"-",O23/('Paramètres'!$AA$11*'Paramètres'!$AA$8)))</f>
        <v/>
      </c>
    </row>
    <row r="24">
      <c r="A24" s="7" t="n"/>
      <c r="B24" s="7" t="n"/>
      <c r="C24" s="7" t="n"/>
      <c r="D24" s="7" t="n"/>
      <c r="E24" s="7" t="n"/>
      <c r="F24" s="66" t="n"/>
      <c r="G24" s="7" t="n"/>
      <c r="H24" s="7" t="n"/>
      <c r="I24" s="65" t="n"/>
      <c r="J24" s="7" t="n"/>
      <c r="K24" s="65" t="n"/>
      <c r="L24" s="65" t="n"/>
      <c r="M24" s="78">
        <f>IF($A24="","",IF(COUNT(I24,K24,L24)=0,"",MIN(I24,K24,L24)))</f>
        <v/>
      </c>
      <c r="N24" s="9">
        <f>IF(M24="","",IF(M24&lt;TODAY(),"EXPIRÉE",IF(M24-TODAY()&lt;='Paramètres'!$AA$14,"À RENOUVELER","OK")))</f>
        <v/>
      </c>
      <c r="O24" s="69">
        <f>IF($A24="","",SUMIFS('Ordres de travail'!$T$5:$T$3004,'Ordres de travail'!$O$5:$O$3004,B24,'Ordres de travail'!$AC$5:$AC$3004,"&lt;&gt;Annulé",'Ordres de travail'!$B$5:$B$3004,"&gt;="&amp;'Paramètres'!$AA$6,'Ordres de travail'!$B$5:$B$3004,"&lt;"&amp;('Paramètres'!$AA$7+1)))</f>
        <v/>
      </c>
      <c r="P24" s="68">
        <f>IF($A24="","",COUNTIFS('Ordres de travail'!$O$5:$O$3004,B24,'Ordres de travail'!$AC$5:$AC$3004,"&lt;&gt;Annulé",'Ordres de travail'!$B$5:$B$3004,"&gt;="&amp;'Paramètres'!$AA$6,'Ordres de travail'!$B$5:$B$3004,"&lt;"&amp;('Paramètres'!$AA$7+1)))</f>
        <v/>
      </c>
      <c r="Q24" s="68">
        <f>IF($A24="","",SUM(COUNTIFS('Ordres de travail'!$O$5:$O$3004,B24,'Ordres de travail'!$AC$5:$AC$3004,{"Demandé","Planifié","En cours","En attente pièces"})))</f>
        <v/>
      </c>
      <c r="R24" s="71">
        <f>IF($A24="","",IF('Paramètres'!$AA$11*'Paramètres'!$AA$8=0,"-",O24/('Paramètres'!$AA$11*'Paramètres'!$AA$8)))</f>
        <v/>
      </c>
    </row>
    <row r="25">
      <c r="A25" s="7" t="n"/>
      <c r="B25" s="7" t="n"/>
      <c r="C25" s="7" t="n"/>
      <c r="D25" s="7" t="n"/>
      <c r="E25" s="7" t="n"/>
      <c r="F25" s="66" t="n"/>
      <c r="G25" s="7" t="n"/>
      <c r="H25" s="7" t="n"/>
      <c r="I25" s="65" t="n"/>
      <c r="J25" s="7" t="n"/>
      <c r="K25" s="65" t="n"/>
      <c r="L25" s="65" t="n"/>
      <c r="M25" s="78">
        <f>IF($A25="","",IF(COUNT(I25,K25,L25)=0,"",MIN(I25,K25,L25)))</f>
        <v/>
      </c>
      <c r="N25" s="9">
        <f>IF(M25="","",IF(M25&lt;TODAY(),"EXPIRÉE",IF(M25-TODAY()&lt;='Paramètres'!$AA$14,"À RENOUVELER","OK")))</f>
        <v/>
      </c>
      <c r="O25" s="69">
        <f>IF($A25="","",SUMIFS('Ordres de travail'!$T$5:$T$3004,'Ordres de travail'!$O$5:$O$3004,B25,'Ordres de travail'!$AC$5:$AC$3004,"&lt;&gt;Annulé",'Ordres de travail'!$B$5:$B$3004,"&gt;="&amp;'Paramètres'!$AA$6,'Ordres de travail'!$B$5:$B$3004,"&lt;"&amp;('Paramètres'!$AA$7+1)))</f>
        <v/>
      </c>
      <c r="P25" s="68">
        <f>IF($A25="","",COUNTIFS('Ordres de travail'!$O$5:$O$3004,B25,'Ordres de travail'!$AC$5:$AC$3004,"&lt;&gt;Annulé",'Ordres de travail'!$B$5:$B$3004,"&gt;="&amp;'Paramètres'!$AA$6,'Ordres de travail'!$B$5:$B$3004,"&lt;"&amp;('Paramètres'!$AA$7+1)))</f>
        <v/>
      </c>
      <c r="Q25" s="68">
        <f>IF($A25="","",SUM(COUNTIFS('Ordres de travail'!$O$5:$O$3004,B25,'Ordres de travail'!$AC$5:$AC$3004,{"Demandé","Planifié","En cours","En attente pièces"})))</f>
        <v/>
      </c>
      <c r="R25" s="71">
        <f>IF($A25="","",IF('Paramètres'!$AA$11*'Paramètres'!$AA$8=0,"-",O25/('Paramètres'!$AA$11*'Paramètres'!$AA$8)))</f>
        <v/>
      </c>
    </row>
    <row r="26">
      <c r="A26" s="7" t="n"/>
      <c r="B26" s="7" t="n"/>
      <c r="C26" s="7" t="n"/>
      <c r="D26" s="7" t="n"/>
      <c r="E26" s="7" t="n"/>
      <c r="F26" s="66" t="n"/>
      <c r="G26" s="7" t="n"/>
      <c r="H26" s="7" t="n"/>
      <c r="I26" s="65" t="n"/>
      <c r="J26" s="7" t="n"/>
      <c r="K26" s="65" t="n"/>
      <c r="L26" s="65" t="n"/>
      <c r="M26" s="78">
        <f>IF($A26="","",IF(COUNT(I26,K26,L26)=0,"",MIN(I26,K26,L26)))</f>
        <v/>
      </c>
      <c r="N26" s="9">
        <f>IF(M26="","",IF(M26&lt;TODAY(),"EXPIRÉE",IF(M26-TODAY()&lt;='Paramètres'!$AA$14,"À RENOUVELER","OK")))</f>
        <v/>
      </c>
      <c r="O26" s="69">
        <f>IF($A26="","",SUMIFS('Ordres de travail'!$T$5:$T$3004,'Ordres de travail'!$O$5:$O$3004,B26,'Ordres de travail'!$AC$5:$AC$3004,"&lt;&gt;Annulé",'Ordres de travail'!$B$5:$B$3004,"&gt;="&amp;'Paramètres'!$AA$6,'Ordres de travail'!$B$5:$B$3004,"&lt;"&amp;('Paramètres'!$AA$7+1)))</f>
        <v/>
      </c>
      <c r="P26" s="68">
        <f>IF($A26="","",COUNTIFS('Ordres de travail'!$O$5:$O$3004,B26,'Ordres de travail'!$AC$5:$AC$3004,"&lt;&gt;Annulé",'Ordres de travail'!$B$5:$B$3004,"&gt;="&amp;'Paramètres'!$AA$6,'Ordres de travail'!$B$5:$B$3004,"&lt;"&amp;('Paramètres'!$AA$7+1)))</f>
        <v/>
      </c>
      <c r="Q26" s="68">
        <f>IF($A26="","",SUM(COUNTIFS('Ordres de travail'!$O$5:$O$3004,B26,'Ordres de travail'!$AC$5:$AC$3004,{"Demandé","Planifié","En cours","En attente pièces"})))</f>
        <v/>
      </c>
      <c r="R26" s="71">
        <f>IF($A26="","",IF('Paramètres'!$AA$11*'Paramètres'!$AA$8=0,"-",O26/('Paramètres'!$AA$11*'Paramètres'!$AA$8)))</f>
        <v/>
      </c>
    </row>
    <row r="27">
      <c r="A27" s="7" t="n"/>
      <c r="B27" s="7" t="n"/>
      <c r="C27" s="7" t="n"/>
      <c r="D27" s="7" t="n"/>
      <c r="E27" s="7" t="n"/>
      <c r="F27" s="66" t="n"/>
      <c r="G27" s="7" t="n"/>
      <c r="H27" s="7" t="n"/>
      <c r="I27" s="65" t="n"/>
      <c r="J27" s="7" t="n"/>
      <c r="K27" s="65" t="n"/>
      <c r="L27" s="65" t="n"/>
      <c r="M27" s="78">
        <f>IF($A27="","",IF(COUNT(I27,K27,L27)=0,"",MIN(I27,K27,L27)))</f>
        <v/>
      </c>
      <c r="N27" s="9">
        <f>IF(M27="","",IF(M27&lt;TODAY(),"EXPIRÉE",IF(M27-TODAY()&lt;='Paramètres'!$AA$14,"À RENOUVELER","OK")))</f>
        <v/>
      </c>
      <c r="O27" s="69">
        <f>IF($A27="","",SUMIFS('Ordres de travail'!$T$5:$T$3004,'Ordres de travail'!$O$5:$O$3004,B27,'Ordres de travail'!$AC$5:$AC$3004,"&lt;&gt;Annulé",'Ordres de travail'!$B$5:$B$3004,"&gt;="&amp;'Paramètres'!$AA$6,'Ordres de travail'!$B$5:$B$3004,"&lt;"&amp;('Paramètres'!$AA$7+1)))</f>
        <v/>
      </c>
      <c r="P27" s="68">
        <f>IF($A27="","",COUNTIFS('Ordres de travail'!$O$5:$O$3004,B27,'Ordres de travail'!$AC$5:$AC$3004,"&lt;&gt;Annulé",'Ordres de travail'!$B$5:$B$3004,"&gt;="&amp;'Paramètres'!$AA$6,'Ordres de travail'!$B$5:$B$3004,"&lt;"&amp;('Paramètres'!$AA$7+1)))</f>
        <v/>
      </c>
      <c r="Q27" s="68">
        <f>IF($A27="","",SUM(COUNTIFS('Ordres de travail'!$O$5:$O$3004,B27,'Ordres de travail'!$AC$5:$AC$3004,{"Demandé","Planifié","En cours","En attente pièces"})))</f>
        <v/>
      </c>
      <c r="R27" s="71">
        <f>IF($A27="","",IF('Paramètres'!$AA$11*'Paramètres'!$AA$8=0,"-",O27/('Paramètres'!$AA$11*'Paramètres'!$AA$8)))</f>
        <v/>
      </c>
    </row>
    <row r="28">
      <c r="A28" s="7" t="n"/>
      <c r="B28" s="7" t="n"/>
      <c r="C28" s="7" t="n"/>
      <c r="D28" s="7" t="n"/>
      <c r="E28" s="7" t="n"/>
      <c r="F28" s="66" t="n"/>
      <c r="G28" s="7" t="n"/>
      <c r="H28" s="7" t="n"/>
      <c r="I28" s="65" t="n"/>
      <c r="J28" s="7" t="n"/>
      <c r="K28" s="65" t="n"/>
      <c r="L28" s="65" t="n"/>
      <c r="M28" s="78">
        <f>IF($A28="","",IF(COUNT(I28,K28,L28)=0,"",MIN(I28,K28,L28)))</f>
        <v/>
      </c>
      <c r="N28" s="9">
        <f>IF(M28="","",IF(M28&lt;TODAY(),"EXPIRÉE",IF(M28-TODAY()&lt;='Paramètres'!$AA$14,"À RENOUVELER","OK")))</f>
        <v/>
      </c>
      <c r="O28" s="69">
        <f>IF($A28="","",SUMIFS('Ordres de travail'!$T$5:$T$3004,'Ordres de travail'!$O$5:$O$3004,B28,'Ordres de travail'!$AC$5:$AC$3004,"&lt;&gt;Annulé",'Ordres de travail'!$B$5:$B$3004,"&gt;="&amp;'Paramètres'!$AA$6,'Ordres de travail'!$B$5:$B$3004,"&lt;"&amp;('Paramètres'!$AA$7+1)))</f>
        <v/>
      </c>
      <c r="P28" s="68">
        <f>IF($A28="","",COUNTIFS('Ordres de travail'!$O$5:$O$3004,B28,'Ordres de travail'!$AC$5:$AC$3004,"&lt;&gt;Annulé",'Ordres de travail'!$B$5:$B$3004,"&gt;="&amp;'Paramètres'!$AA$6,'Ordres de travail'!$B$5:$B$3004,"&lt;"&amp;('Paramètres'!$AA$7+1)))</f>
        <v/>
      </c>
      <c r="Q28" s="68">
        <f>IF($A28="","",SUM(COUNTIFS('Ordres de travail'!$O$5:$O$3004,B28,'Ordres de travail'!$AC$5:$AC$3004,{"Demandé","Planifié","En cours","En attente pièces"})))</f>
        <v/>
      </c>
      <c r="R28" s="71">
        <f>IF($A28="","",IF('Paramètres'!$AA$11*'Paramètres'!$AA$8=0,"-",O28/('Paramètres'!$AA$11*'Paramètres'!$AA$8)))</f>
        <v/>
      </c>
    </row>
    <row r="29">
      <c r="A29" s="7" t="n"/>
      <c r="B29" s="7" t="n"/>
      <c r="C29" s="7" t="n"/>
      <c r="D29" s="7" t="n"/>
      <c r="E29" s="7" t="n"/>
      <c r="F29" s="66" t="n"/>
      <c r="G29" s="7" t="n"/>
      <c r="H29" s="7" t="n"/>
      <c r="I29" s="65" t="n"/>
      <c r="J29" s="7" t="n"/>
      <c r="K29" s="65" t="n"/>
      <c r="L29" s="65" t="n"/>
      <c r="M29" s="78">
        <f>IF($A29="","",IF(COUNT(I29,K29,L29)=0,"",MIN(I29,K29,L29)))</f>
        <v/>
      </c>
      <c r="N29" s="9">
        <f>IF(M29="","",IF(M29&lt;TODAY(),"EXPIRÉE",IF(M29-TODAY()&lt;='Paramètres'!$AA$14,"À RENOUVELER","OK")))</f>
        <v/>
      </c>
      <c r="O29" s="69">
        <f>IF($A29="","",SUMIFS('Ordres de travail'!$T$5:$T$3004,'Ordres de travail'!$O$5:$O$3004,B29,'Ordres de travail'!$AC$5:$AC$3004,"&lt;&gt;Annulé",'Ordres de travail'!$B$5:$B$3004,"&gt;="&amp;'Paramètres'!$AA$6,'Ordres de travail'!$B$5:$B$3004,"&lt;"&amp;('Paramètres'!$AA$7+1)))</f>
        <v/>
      </c>
      <c r="P29" s="68">
        <f>IF($A29="","",COUNTIFS('Ordres de travail'!$O$5:$O$3004,B29,'Ordres de travail'!$AC$5:$AC$3004,"&lt;&gt;Annulé",'Ordres de travail'!$B$5:$B$3004,"&gt;="&amp;'Paramètres'!$AA$6,'Ordres de travail'!$B$5:$B$3004,"&lt;"&amp;('Paramètres'!$AA$7+1)))</f>
        <v/>
      </c>
      <c r="Q29" s="68">
        <f>IF($A29="","",SUM(COUNTIFS('Ordres de travail'!$O$5:$O$3004,B29,'Ordres de travail'!$AC$5:$AC$3004,{"Demandé","Planifié","En cours","En attente pièces"})))</f>
        <v/>
      </c>
      <c r="R29" s="71">
        <f>IF($A29="","",IF('Paramètres'!$AA$11*'Paramètres'!$AA$8=0,"-",O29/('Paramètres'!$AA$11*'Paramètres'!$AA$8)))</f>
        <v/>
      </c>
    </row>
    <row r="30">
      <c r="A30" s="7" t="n"/>
      <c r="B30" s="7" t="n"/>
      <c r="C30" s="7" t="n"/>
      <c r="D30" s="7" t="n"/>
      <c r="E30" s="7" t="n"/>
      <c r="F30" s="66" t="n"/>
      <c r="G30" s="7" t="n"/>
      <c r="H30" s="7" t="n"/>
      <c r="I30" s="65" t="n"/>
      <c r="J30" s="7" t="n"/>
      <c r="K30" s="65" t="n"/>
      <c r="L30" s="65" t="n"/>
      <c r="M30" s="78">
        <f>IF($A30="","",IF(COUNT(I30,K30,L30)=0,"",MIN(I30,K30,L30)))</f>
        <v/>
      </c>
      <c r="N30" s="9">
        <f>IF(M30="","",IF(M30&lt;TODAY(),"EXPIRÉE",IF(M30-TODAY()&lt;='Paramètres'!$AA$14,"À RENOUVELER","OK")))</f>
        <v/>
      </c>
      <c r="O30" s="69">
        <f>IF($A30="","",SUMIFS('Ordres de travail'!$T$5:$T$3004,'Ordres de travail'!$O$5:$O$3004,B30,'Ordres de travail'!$AC$5:$AC$3004,"&lt;&gt;Annulé",'Ordres de travail'!$B$5:$B$3004,"&gt;="&amp;'Paramètres'!$AA$6,'Ordres de travail'!$B$5:$B$3004,"&lt;"&amp;('Paramètres'!$AA$7+1)))</f>
        <v/>
      </c>
      <c r="P30" s="68">
        <f>IF($A30="","",COUNTIFS('Ordres de travail'!$O$5:$O$3004,B30,'Ordres de travail'!$AC$5:$AC$3004,"&lt;&gt;Annulé",'Ordres de travail'!$B$5:$B$3004,"&gt;="&amp;'Paramètres'!$AA$6,'Ordres de travail'!$B$5:$B$3004,"&lt;"&amp;('Paramètres'!$AA$7+1)))</f>
        <v/>
      </c>
      <c r="Q30" s="68">
        <f>IF($A30="","",SUM(COUNTIFS('Ordres de travail'!$O$5:$O$3004,B30,'Ordres de travail'!$AC$5:$AC$3004,{"Demandé","Planifié","En cours","En attente pièces"})))</f>
        <v/>
      </c>
      <c r="R30" s="71">
        <f>IF($A30="","",IF('Paramètres'!$AA$11*'Paramètres'!$AA$8=0,"-",O30/('Paramètres'!$AA$11*'Paramètres'!$AA$8)))</f>
        <v/>
      </c>
    </row>
    <row r="31">
      <c r="A31" s="7" t="n"/>
      <c r="B31" s="7" t="n"/>
      <c r="C31" s="7" t="n"/>
      <c r="D31" s="7" t="n"/>
      <c r="E31" s="7" t="n"/>
      <c r="F31" s="66" t="n"/>
      <c r="G31" s="7" t="n"/>
      <c r="H31" s="7" t="n"/>
      <c r="I31" s="65" t="n"/>
      <c r="J31" s="7" t="n"/>
      <c r="K31" s="65" t="n"/>
      <c r="L31" s="65" t="n"/>
      <c r="M31" s="78">
        <f>IF($A31="","",IF(COUNT(I31,K31,L31)=0,"",MIN(I31,K31,L31)))</f>
        <v/>
      </c>
      <c r="N31" s="9">
        <f>IF(M31="","",IF(M31&lt;TODAY(),"EXPIRÉE",IF(M31-TODAY()&lt;='Paramètres'!$AA$14,"À RENOUVELER","OK")))</f>
        <v/>
      </c>
      <c r="O31" s="69">
        <f>IF($A31="","",SUMIFS('Ordres de travail'!$T$5:$T$3004,'Ordres de travail'!$O$5:$O$3004,B31,'Ordres de travail'!$AC$5:$AC$3004,"&lt;&gt;Annulé",'Ordres de travail'!$B$5:$B$3004,"&gt;="&amp;'Paramètres'!$AA$6,'Ordres de travail'!$B$5:$B$3004,"&lt;"&amp;('Paramètres'!$AA$7+1)))</f>
        <v/>
      </c>
      <c r="P31" s="68">
        <f>IF($A31="","",COUNTIFS('Ordres de travail'!$O$5:$O$3004,B31,'Ordres de travail'!$AC$5:$AC$3004,"&lt;&gt;Annulé",'Ordres de travail'!$B$5:$B$3004,"&gt;="&amp;'Paramètres'!$AA$6,'Ordres de travail'!$B$5:$B$3004,"&lt;"&amp;('Paramètres'!$AA$7+1)))</f>
        <v/>
      </c>
      <c r="Q31" s="68">
        <f>IF($A31="","",SUM(COUNTIFS('Ordres de travail'!$O$5:$O$3004,B31,'Ordres de travail'!$AC$5:$AC$3004,{"Demandé","Planifié","En cours","En attente pièces"})))</f>
        <v/>
      </c>
      <c r="R31" s="71">
        <f>IF($A31="","",IF('Paramètres'!$AA$11*'Paramètres'!$AA$8=0,"-",O31/('Paramètres'!$AA$11*'Paramètres'!$AA$8)))</f>
        <v/>
      </c>
    </row>
    <row r="32">
      <c r="A32" s="7" t="n"/>
      <c r="B32" s="7" t="n"/>
      <c r="C32" s="7" t="n"/>
      <c r="D32" s="7" t="n"/>
      <c r="E32" s="7" t="n"/>
      <c r="F32" s="66" t="n"/>
      <c r="G32" s="7" t="n"/>
      <c r="H32" s="7" t="n"/>
      <c r="I32" s="65" t="n"/>
      <c r="J32" s="7" t="n"/>
      <c r="K32" s="65" t="n"/>
      <c r="L32" s="65" t="n"/>
      <c r="M32" s="78">
        <f>IF($A32="","",IF(COUNT(I32,K32,L32)=0,"",MIN(I32,K32,L32)))</f>
        <v/>
      </c>
      <c r="N32" s="9">
        <f>IF(M32="","",IF(M32&lt;TODAY(),"EXPIRÉE",IF(M32-TODAY()&lt;='Paramètres'!$AA$14,"À RENOUVELER","OK")))</f>
        <v/>
      </c>
      <c r="O32" s="69">
        <f>IF($A32="","",SUMIFS('Ordres de travail'!$T$5:$T$3004,'Ordres de travail'!$O$5:$O$3004,B32,'Ordres de travail'!$AC$5:$AC$3004,"&lt;&gt;Annulé",'Ordres de travail'!$B$5:$B$3004,"&gt;="&amp;'Paramètres'!$AA$6,'Ordres de travail'!$B$5:$B$3004,"&lt;"&amp;('Paramètres'!$AA$7+1)))</f>
        <v/>
      </c>
      <c r="P32" s="68">
        <f>IF($A32="","",COUNTIFS('Ordres de travail'!$O$5:$O$3004,B32,'Ordres de travail'!$AC$5:$AC$3004,"&lt;&gt;Annulé",'Ordres de travail'!$B$5:$B$3004,"&gt;="&amp;'Paramètres'!$AA$6,'Ordres de travail'!$B$5:$B$3004,"&lt;"&amp;('Paramètres'!$AA$7+1)))</f>
        <v/>
      </c>
      <c r="Q32" s="68">
        <f>IF($A32="","",SUM(COUNTIFS('Ordres de travail'!$O$5:$O$3004,B32,'Ordres de travail'!$AC$5:$AC$3004,{"Demandé","Planifié","En cours","En attente pièces"})))</f>
        <v/>
      </c>
      <c r="R32" s="71">
        <f>IF($A32="","",IF('Paramètres'!$AA$11*'Paramètres'!$AA$8=0,"-",O32/('Paramètres'!$AA$11*'Paramètres'!$AA$8)))</f>
        <v/>
      </c>
    </row>
    <row r="33">
      <c r="A33" s="7" t="n"/>
      <c r="B33" s="7" t="n"/>
      <c r="C33" s="7" t="n"/>
      <c r="D33" s="7" t="n"/>
      <c r="E33" s="7" t="n"/>
      <c r="F33" s="66" t="n"/>
      <c r="G33" s="7" t="n"/>
      <c r="H33" s="7" t="n"/>
      <c r="I33" s="65" t="n"/>
      <c r="J33" s="7" t="n"/>
      <c r="K33" s="65" t="n"/>
      <c r="L33" s="65" t="n"/>
      <c r="M33" s="78">
        <f>IF($A33="","",IF(COUNT(I33,K33,L33)=0,"",MIN(I33,K33,L33)))</f>
        <v/>
      </c>
      <c r="N33" s="9">
        <f>IF(M33="","",IF(M33&lt;TODAY(),"EXPIRÉE",IF(M33-TODAY()&lt;='Paramètres'!$AA$14,"À RENOUVELER","OK")))</f>
        <v/>
      </c>
      <c r="O33" s="69">
        <f>IF($A33="","",SUMIFS('Ordres de travail'!$T$5:$T$3004,'Ordres de travail'!$O$5:$O$3004,B33,'Ordres de travail'!$AC$5:$AC$3004,"&lt;&gt;Annulé",'Ordres de travail'!$B$5:$B$3004,"&gt;="&amp;'Paramètres'!$AA$6,'Ordres de travail'!$B$5:$B$3004,"&lt;"&amp;('Paramètres'!$AA$7+1)))</f>
        <v/>
      </c>
      <c r="P33" s="68">
        <f>IF($A33="","",COUNTIFS('Ordres de travail'!$O$5:$O$3004,B33,'Ordres de travail'!$AC$5:$AC$3004,"&lt;&gt;Annulé",'Ordres de travail'!$B$5:$B$3004,"&gt;="&amp;'Paramètres'!$AA$6,'Ordres de travail'!$B$5:$B$3004,"&lt;"&amp;('Paramètres'!$AA$7+1)))</f>
        <v/>
      </c>
      <c r="Q33" s="68">
        <f>IF($A33="","",SUM(COUNTIFS('Ordres de travail'!$O$5:$O$3004,B33,'Ordres de travail'!$AC$5:$AC$3004,{"Demandé","Planifié","En cours","En attente pièces"})))</f>
        <v/>
      </c>
      <c r="R33" s="71">
        <f>IF($A33="","",IF('Paramètres'!$AA$11*'Paramètres'!$AA$8=0,"-",O33/('Paramètres'!$AA$11*'Paramètres'!$AA$8)))</f>
        <v/>
      </c>
    </row>
    <row r="34">
      <c r="A34" s="7" t="n"/>
      <c r="B34" s="7" t="n"/>
      <c r="C34" s="7" t="n"/>
      <c r="D34" s="7" t="n"/>
      <c r="E34" s="7" t="n"/>
      <c r="F34" s="66" t="n"/>
      <c r="G34" s="7" t="n"/>
      <c r="H34" s="7" t="n"/>
      <c r="I34" s="65" t="n"/>
      <c r="J34" s="7" t="n"/>
      <c r="K34" s="65" t="n"/>
      <c r="L34" s="65" t="n"/>
      <c r="M34" s="78">
        <f>IF($A34="","",IF(COUNT(I34,K34,L34)=0,"",MIN(I34,K34,L34)))</f>
        <v/>
      </c>
      <c r="N34" s="9">
        <f>IF(M34="","",IF(M34&lt;TODAY(),"EXPIRÉE",IF(M34-TODAY()&lt;='Paramètres'!$AA$14,"À RENOUVELER","OK")))</f>
        <v/>
      </c>
      <c r="O34" s="69">
        <f>IF($A34="","",SUMIFS('Ordres de travail'!$T$5:$T$3004,'Ordres de travail'!$O$5:$O$3004,B34,'Ordres de travail'!$AC$5:$AC$3004,"&lt;&gt;Annulé",'Ordres de travail'!$B$5:$B$3004,"&gt;="&amp;'Paramètres'!$AA$6,'Ordres de travail'!$B$5:$B$3004,"&lt;"&amp;('Paramètres'!$AA$7+1)))</f>
        <v/>
      </c>
      <c r="P34" s="68">
        <f>IF($A34="","",COUNTIFS('Ordres de travail'!$O$5:$O$3004,B34,'Ordres de travail'!$AC$5:$AC$3004,"&lt;&gt;Annulé",'Ordres de travail'!$B$5:$B$3004,"&gt;="&amp;'Paramètres'!$AA$6,'Ordres de travail'!$B$5:$B$3004,"&lt;"&amp;('Paramètres'!$AA$7+1)))</f>
        <v/>
      </c>
      <c r="Q34" s="68">
        <f>IF($A34="","",SUM(COUNTIFS('Ordres de travail'!$O$5:$O$3004,B34,'Ordres de travail'!$AC$5:$AC$3004,{"Demandé","Planifié","En cours","En attente pièces"})))</f>
        <v/>
      </c>
      <c r="R34" s="71">
        <f>IF($A34="","",IF('Paramètres'!$AA$11*'Paramètres'!$AA$8=0,"-",O34/('Paramètres'!$AA$11*'Paramètres'!$AA$8)))</f>
        <v/>
      </c>
    </row>
    <row r="35">
      <c r="A35" s="7" t="n"/>
      <c r="B35" s="7" t="n"/>
      <c r="C35" s="7" t="n"/>
      <c r="D35" s="7" t="n"/>
      <c r="E35" s="7" t="n"/>
      <c r="F35" s="66" t="n"/>
      <c r="G35" s="7" t="n"/>
      <c r="H35" s="7" t="n"/>
      <c r="I35" s="65" t="n"/>
      <c r="J35" s="7" t="n"/>
      <c r="K35" s="65" t="n"/>
      <c r="L35" s="65" t="n"/>
      <c r="M35" s="78">
        <f>IF($A35="","",IF(COUNT(I35,K35,L35)=0,"",MIN(I35,K35,L35)))</f>
        <v/>
      </c>
      <c r="N35" s="9">
        <f>IF(M35="","",IF(M35&lt;TODAY(),"EXPIRÉE",IF(M35-TODAY()&lt;='Paramètres'!$AA$14,"À RENOUVELER","OK")))</f>
        <v/>
      </c>
      <c r="O35" s="69">
        <f>IF($A35="","",SUMIFS('Ordres de travail'!$T$5:$T$3004,'Ordres de travail'!$O$5:$O$3004,B35,'Ordres de travail'!$AC$5:$AC$3004,"&lt;&gt;Annulé",'Ordres de travail'!$B$5:$B$3004,"&gt;="&amp;'Paramètres'!$AA$6,'Ordres de travail'!$B$5:$B$3004,"&lt;"&amp;('Paramètres'!$AA$7+1)))</f>
        <v/>
      </c>
      <c r="P35" s="68">
        <f>IF($A35="","",COUNTIFS('Ordres de travail'!$O$5:$O$3004,B35,'Ordres de travail'!$AC$5:$AC$3004,"&lt;&gt;Annulé",'Ordres de travail'!$B$5:$B$3004,"&gt;="&amp;'Paramètres'!$AA$6,'Ordres de travail'!$B$5:$B$3004,"&lt;"&amp;('Paramètres'!$AA$7+1)))</f>
        <v/>
      </c>
      <c r="Q35" s="68">
        <f>IF($A35="","",SUM(COUNTIFS('Ordres de travail'!$O$5:$O$3004,B35,'Ordres de travail'!$AC$5:$AC$3004,{"Demandé","Planifié","En cours","En attente pièces"})))</f>
        <v/>
      </c>
      <c r="R35" s="71">
        <f>IF($A35="","",IF('Paramètres'!$AA$11*'Paramètres'!$AA$8=0,"-",O35/('Paramètres'!$AA$11*'Paramètres'!$AA$8)))</f>
        <v/>
      </c>
    </row>
    <row r="36">
      <c r="A36" s="7" t="n"/>
      <c r="B36" s="7" t="n"/>
      <c r="C36" s="7" t="n"/>
      <c r="D36" s="7" t="n"/>
      <c r="E36" s="7" t="n"/>
      <c r="F36" s="66" t="n"/>
      <c r="G36" s="7" t="n"/>
      <c r="H36" s="7" t="n"/>
      <c r="I36" s="65" t="n"/>
      <c r="J36" s="7" t="n"/>
      <c r="K36" s="65" t="n"/>
      <c r="L36" s="65" t="n"/>
      <c r="M36" s="78">
        <f>IF($A36="","",IF(COUNT(I36,K36,L36)=0,"",MIN(I36,K36,L36)))</f>
        <v/>
      </c>
      <c r="N36" s="9">
        <f>IF(M36="","",IF(M36&lt;TODAY(),"EXPIRÉE",IF(M36-TODAY()&lt;='Paramètres'!$AA$14,"À RENOUVELER","OK")))</f>
        <v/>
      </c>
      <c r="O36" s="69">
        <f>IF($A36="","",SUMIFS('Ordres de travail'!$T$5:$T$3004,'Ordres de travail'!$O$5:$O$3004,B36,'Ordres de travail'!$AC$5:$AC$3004,"&lt;&gt;Annulé",'Ordres de travail'!$B$5:$B$3004,"&gt;="&amp;'Paramètres'!$AA$6,'Ordres de travail'!$B$5:$B$3004,"&lt;"&amp;('Paramètres'!$AA$7+1)))</f>
        <v/>
      </c>
      <c r="P36" s="68">
        <f>IF($A36="","",COUNTIFS('Ordres de travail'!$O$5:$O$3004,B36,'Ordres de travail'!$AC$5:$AC$3004,"&lt;&gt;Annulé",'Ordres de travail'!$B$5:$B$3004,"&gt;="&amp;'Paramètres'!$AA$6,'Ordres de travail'!$B$5:$B$3004,"&lt;"&amp;('Paramètres'!$AA$7+1)))</f>
        <v/>
      </c>
      <c r="Q36" s="68">
        <f>IF($A36="","",SUM(COUNTIFS('Ordres de travail'!$O$5:$O$3004,B36,'Ordres de travail'!$AC$5:$AC$3004,{"Demandé","Planifié","En cours","En attente pièces"})))</f>
        <v/>
      </c>
      <c r="R36" s="71">
        <f>IF($A36="","",IF('Paramètres'!$AA$11*'Paramètres'!$AA$8=0,"-",O36/('Paramètres'!$AA$11*'Paramètres'!$AA$8)))</f>
        <v/>
      </c>
    </row>
    <row r="37">
      <c r="A37" s="7" t="n"/>
      <c r="B37" s="7" t="n"/>
      <c r="C37" s="7" t="n"/>
      <c r="D37" s="7" t="n"/>
      <c r="E37" s="7" t="n"/>
      <c r="F37" s="66" t="n"/>
      <c r="G37" s="7" t="n"/>
      <c r="H37" s="7" t="n"/>
      <c r="I37" s="65" t="n"/>
      <c r="J37" s="7" t="n"/>
      <c r="K37" s="65" t="n"/>
      <c r="L37" s="65" t="n"/>
      <c r="M37" s="78">
        <f>IF($A37="","",IF(COUNT(I37,K37,L37)=0,"",MIN(I37,K37,L37)))</f>
        <v/>
      </c>
      <c r="N37" s="9">
        <f>IF(M37="","",IF(M37&lt;TODAY(),"EXPIRÉE",IF(M37-TODAY()&lt;='Paramètres'!$AA$14,"À RENOUVELER","OK")))</f>
        <v/>
      </c>
      <c r="O37" s="69">
        <f>IF($A37="","",SUMIFS('Ordres de travail'!$T$5:$T$3004,'Ordres de travail'!$O$5:$O$3004,B37,'Ordres de travail'!$AC$5:$AC$3004,"&lt;&gt;Annulé",'Ordres de travail'!$B$5:$B$3004,"&gt;="&amp;'Paramètres'!$AA$6,'Ordres de travail'!$B$5:$B$3004,"&lt;"&amp;('Paramètres'!$AA$7+1)))</f>
        <v/>
      </c>
      <c r="P37" s="68">
        <f>IF($A37="","",COUNTIFS('Ordres de travail'!$O$5:$O$3004,B37,'Ordres de travail'!$AC$5:$AC$3004,"&lt;&gt;Annulé",'Ordres de travail'!$B$5:$B$3004,"&gt;="&amp;'Paramètres'!$AA$6,'Ordres de travail'!$B$5:$B$3004,"&lt;"&amp;('Paramètres'!$AA$7+1)))</f>
        <v/>
      </c>
      <c r="Q37" s="68">
        <f>IF($A37="","",SUM(COUNTIFS('Ordres de travail'!$O$5:$O$3004,B37,'Ordres de travail'!$AC$5:$AC$3004,{"Demandé","Planifié","En cours","En attente pièces"})))</f>
        <v/>
      </c>
      <c r="R37" s="71">
        <f>IF($A37="","",IF('Paramètres'!$AA$11*'Paramètres'!$AA$8=0,"-",O37/('Paramètres'!$AA$11*'Paramètres'!$AA$8)))</f>
        <v/>
      </c>
    </row>
    <row r="38">
      <c r="A38" s="7" t="n"/>
      <c r="B38" s="7" t="n"/>
      <c r="C38" s="7" t="n"/>
      <c r="D38" s="7" t="n"/>
      <c r="E38" s="7" t="n"/>
      <c r="F38" s="66" t="n"/>
      <c r="G38" s="7" t="n"/>
      <c r="H38" s="7" t="n"/>
      <c r="I38" s="65" t="n"/>
      <c r="J38" s="7" t="n"/>
      <c r="K38" s="65" t="n"/>
      <c r="L38" s="65" t="n"/>
      <c r="M38" s="78">
        <f>IF($A38="","",IF(COUNT(I38,K38,L38)=0,"",MIN(I38,K38,L38)))</f>
        <v/>
      </c>
      <c r="N38" s="9">
        <f>IF(M38="","",IF(M38&lt;TODAY(),"EXPIRÉE",IF(M38-TODAY()&lt;='Paramètres'!$AA$14,"À RENOUVELER","OK")))</f>
        <v/>
      </c>
      <c r="O38" s="69">
        <f>IF($A38="","",SUMIFS('Ordres de travail'!$T$5:$T$3004,'Ordres de travail'!$O$5:$O$3004,B38,'Ordres de travail'!$AC$5:$AC$3004,"&lt;&gt;Annulé",'Ordres de travail'!$B$5:$B$3004,"&gt;="&amp;'Paramètres'!$AA$6,'Ordres de travail'!$B$5:$B$3004,"&lt;"&amp;('Paramètres'!$AA$7+1)))</f>
        <v/>
      </c>
      <c r="P38" s="68">
        <f>IF($A38="","",COUNTIFS('Ordres de travail'!$O$5:$O$3004,B38,'Ordres de travail'!$AC$5:$AC$3004,"&lt;&gt;Annulé",'Ordres de travail'!$B$5:$B$3004,"&gt;="&amp;'Paramètres'!$AA$6,'Ordres de travail'!$B$5:$B$3004,"&lt;"&amp;('Paramètres'!$AA$7+1)))</f>
        <v/>
      </c>
      <c r="Q38" s="68">
        <f>IF($A38="","",SUM(COUNTIFS('Ordres de travail'!$O$5:$O$3004,B38,'Ordres de travail'!$AC$5:$AC$3004,{"Demandé","Planifié","En cours","En attente pièces"})))</f>
        <v/>
      </c>
      <c r="R38" s="71">
        <f>IF($A38="","",IF('Paramètres'!$AA$11*'Paramètres'!$AA$8=0,"-",O38/('Paramètres'!$AA$11*'Paramètres'!$AA$8)))</f>
        <v/>
      </c>
    </row>
    <row r="39">
      <c r="A39" s="7" t="n"/>
      <c r="B39" s="7" t="n"/>
      <c r="C39" s="7" t="n"/>
      <c r="D39" s="7" t="n"/>
      <c r="E39" s="7" t="n"/>
      <c r="F39" s="66" t="n"/>
      <c r="G39" s="7" t="n"/>
      <c r="H39" s="7" t="n"/>
      <c r="I39" s="65" t="n"/>
      <c r="J39" s="7" t="n"/>
      <c r="K39" s="65" t="n"/>
      <c r="L39" s="65" t="n"/>
      <c r="M39" s="78">
        <f>IF($A39="","",IF(COUNT(I39,K39,L39)=0,"",MIN(I39,K39,L39)))</f>
        <v/>
      </c>
      <c r="N39" s="9">
        <f>IF(M39="","",IF(M39&lt;TODAY(),"EXPIRÉE",IF(M39-TODAY()&lt;='Paramètres'!$AA$14,"À RENOUVELER","OK")))</f>
        <v/>
      </c>
      <c r="O39" s="69">
        <f>IF($A39="","",SUMIFS('Ordres de travail'!$T$5:$T$3004,'Ordres de travail'!$O$5:$O$3004,B39,'Ordres de travail'!$AC$5:$AC$3004,"&lt;&gt;Annulé",'Ordres de travail'!$B$5:$B$3004,"&gt;="&amp;'Paramètres'!$AA$6,'Ordres de travail'!$B$5:$B$3004,"&lt;"&amp;('Paramètres'!$AA$7+1)))</f>
        <v/>
      </c>
      <c r="P39" s="68">
        <f>IF($A39="","",COUNTIFS('Ordres de travail'!$O$5:$O$3004,B39,'Ordres de travail'!$AC$5:$AC$3004,"&lt;&gt;Annulé",'Ordres de travail'!$B$5:$B$3004,"&gt;="&amp;'Paramètres'!$AA$6,'Ordres de travail'!$B$5:$B$3004,"&lt;"&amp;('Paramètres'!$AA$7+1)))</f>
        <v/>
      </c>
      <c r="Q39" s="68">
        <f>IF($A39="","",SUM(COUNTIFS('Ordres de travail'!$O$5:$O$3004,B39,'Ordres de travail'!$AC$5:$AC$3004,{"Demandé","Planifié","En cours","En attente pièces"})))</f>
        <v/>
      </c>
      <c r="R39" s="71">
        <f>IF($A39="","",IF('Paramètres'!$AA$11*'Paramètres'!$AA$8=0,"-",O39/('Paramètres'!$AA$11*'Paramètres'!$AA$8)))</f>
        <v/>
      </c>
    </row>
    <row r="40">
      <c r="A40" s="7" t="n"/>
      <c r="B40" s="7" t="n"/>
      <c r="C40" s="7" t="n"/>
      <c r="D40" s="7" t="n"/>
      <c r="E40" s="7" t="n"/>
      <c r="F40" s="66" t="n"/>
      <c r="G40" s="7" t="n"/>
      <c r="H40" s="7" t="n"/>
      <c r="I40" s="65" t="n"/>
      <c r="J40" s="7" t="n"/>
      <c r="K40" s="65" t="n"/>
      <c r="L40" s="65" t="n"/>
      <c r="M40" s="78">
        <f>IF($A40="","",IF(COUNT(I40,K40,L40)=0,"",MIN(I40,K40,L40)))</f>
        <v/>
      </c>
      <c r="N40" s="9">
        <f>IF(M40="","",IF(M40&lt;TODAY(),"EXPIRÉE",IF(M40-TODAY()&lt;='Paramètres'!$AA$14,"À RENOUVELER","OK")))</f>
        <v/>
      </c>
      <c r="O40" s="69">
        <f>IF($A40="","",SUMIFS('Ordres de travail'!$T$5:$T$3004,'Ordres de travail'!$O$5:$O$3004,B40,'Ordres de travail'!$AC$5:$AC$3004,"&lt;&gt;Annulé",'Ordres de travail'!$B$5:$B$3004,"&gt;="&amp;'Paramètres'!$AA$6,'Ordres de travail'!$B$5:$B$3004,"&lt;"&amp;('Paramètres'!$AA$7+1)))</f>
        <v/>
      </c>
      <c r="P40" s="68">
        <f>IF($A40="","",COUNTIFS('Ordres de travail'!$O$5:$O$3004,B40,'Ordres de travail'!$AC$5:$AC$3004,"&lt;&gt;Annulé",'Ordres de travail'!$B$5:$B$3004,"&gt;="&amp;'Paramètres'!$AA$6,'Ordres de travail'!$B$5:$B$3004,"&lt;"&amp;('Paramètres'!$AA$7+1)))</f>
        <v/>
      </c>
      <c r="Q40" s="68">
        <f>IF($A40="","",SUM(COUNTIFS('Ordres de travail'!$O$5:$O$3004,B40,'Ordres de travail'!$AC$5:$AC$3004,{"Demandé","Planifié","En cours","En attente pièces"})))</f>
        <v/>
      </c>
      <c r="R40" s="71">
        <f>IF($A40="","",IF('Paramètres'!$AA$11*'Paramètres'!$AA$8=0,"-",O40/('Paramètres'!$AA$11*'Paramètres'!$AA$8)))</f>
        <v/>
      </c>
    </row>
    <row r="41">
      <c r="A41" s="7" t="n"/>
      <c r="B41" s="7" t="n"/>
      <c r="C41" s="7" t="n"/>
      <c r="D41" s="7" t="n"/>
      <c r="E41" s="7" t="n"/>
      <c r="F41" s="66" t="n"/>
      <c r="G41" s="7" t="n"/>
      <c r="H41" s="7" t="n"/>
      <c r="I41" s="65" t="n"/>
      <c r="J41" s="7" t="n"/>
      <c r="K41" s="65" t="n"/>
      <c r="L41" s="65" t="n"/>
      <c r="M41" s="78">
        <f>IF($A41="","",IF(COUNT(I41,K41,L41)=0,"",MIN(I41,K41,L41)))</f>
        <v/>
      </c>
      <c r="N41" s="9">
        <f>IF(M41="","",IF(M41&lt;TODAY(),"EXPIRÉE",IF(M41-TODAY()&lt;='Paramètres'!$AA$14,"À RENOUVELER","OK")))</f>
        <v/>
      </c>
      <c r="O41" s="69">
        <f>IF($A41="","",SUMIFS('Ordres de travail'!$T$5:$T$3004,'Ordres de travail'!$O$5:$O$3004,B41,'Ordres de travail'!$AC$5:$AC$3004,"&lt;&gt;Annulé",'Ordres de travail'!$B$5:$B$3004,"&gt;="&amp;'Paramètres'!$AA$6,'Ordres de travail'!$B$5:$B$3004,"&lt;"&amp;('Paramètres'!$AA$7+1)))</f>
        <v/>
      </c>
      <c r="P41" s="68">
        <f>IF($A41="","",COUNTIFS('Ordres de travail'!$O$5:$O$3004,B41,'Ordres de travail'!$AC$5:$AC$3004,"&lt;&gt;Annulé",'Ordres de travail'!$B$5:$B$3004,"&gt;="&amp;'Paramètres'!$AA$6,'Ordres de travail'!$B$5:$B$3004,"&lt;"&amp;('Paramètres'!$AA$7+1)))</f>
        <v/>
      </c>
      <c r="Q41" s="68">
        <f>IF($A41="","",SUM(COUNTIFS('Ordres de travail'!$O$5:$O$3004,B41,'Ordres de travail'!$AC$5:$AC$3004,{"Demandé","Planifié","En cours","En attente pièces"})))</f>
        <v/>
      </c>
      <c r="R41" s="71">
        <f>IF($A41="","",IF('Paramètres'!$AA$11*'Paramètres'!$AA$8=0,"-",O41/('Paramètres'!$AA$11*'Paramètres'!$AA$8)))</f>
        <v/>
      </c>
    </row>
    <row r="42">
      <c r="A42" s="7" t="n"/>
      <c r="B42" s="7" t="n"/>
      <c r="C42" s="7" t="n"/>
      <c r="D42" s="7" t="n"/>
      <c r="E42" s="7" t="n"/>
      <c r="F42" s="66" t="n"/>
      <c r="G42" s="7" t="n"/>
      <c r="H42" s="7" t="n"/>
      <c r="I42" s="65" t="n"/>
      <c r="J42" s="7" t="n"/>
      <c r="K42" s="65" t="n"/>
      <c r="L42" s="65" t="n"/>
      <c r="M42" s="78">
        <f>IF($A42="","",IF(COUNT(I42,K42,L42)=0,"",MIN(I42,K42,L42)))</f>
        <v/>
      </c>
      <c r="N42" s="9">
        <f>IF(M42="","",IF(M42&lt;TODAY(),"EXPIRÉE",IF(M42-TODAY()&lt;='Paramètres'!$AA$14,"À RENOUVELER","OK")))</f>
        <v/>
      </c>
      <c r="O42" s="69">
        <f>IF($A42="","",SUMIFS('Ordres de travail'!$T$5:$T$3004,'Ordres de travail'!$O$5:$O$3004,B42,'Ordres de travail'!$AC$5:$AC$3004,"&lt;&gt;Annulé",'Ordres de travail'!$B$5:$B$3004,"&gt;="&amp;'Paramètres'!$AA$6,'Ordres de travail'!$B$5:$B$3004,"&lt;"&amp;('Paramètres'!$AA$7+1)))</f>
        <v/>
      </c>
      <c r="P42" s="68">
        <f>IF($A42="","",COUNTIFS('Ordres de travail'!$O$5:$O$3004,B42,'Ordres de travail'!$AC$5:$AC$3004,"&lt;&gt;Annulé",'Ordres de travail'!$B$5:$B$3004,"&gt;="&amp;'Paramètres'!$AA$6,'Ordres de travail'!$B$5:$B$3004,"&lt;"&amp;('Paramètres'!$AA$7+1)))</f>
        <v/>
      </c>
      <c r="Q42" s="68">
        <f>IF($A42="","",SUM(COUNTIFS('Ordres de travail'!$O$5:$O$3004,B42,'Ordres de travail'!$AC$5:$AC$3004,{"Demandé","Planifié","En cours","En attente pièces"})))</f>
        <v/>
      </c>
      <c r="R42" s="71">
        <f>IF($A42="","",IF('Paramètres'!$AA$11*'Paramètres'!$AA$8=0,"-",O42/('Paramètres'!$AA$11*'Paramètres'!$AA$8)))</f>
        <v/>
      </c>
    </row>
    <row r="43">
      <c r="A43" s="7" t="n"/>
      <c r="B43" s="7" t="n"/>
      <c r="C43" s="7" t="n"/>
      <c r="D43" s="7" t="n"/>
      <c r="E43" s="7" t="n"/>
      <c r="F43" s="66" t="n"/>
      <c r="G43" s="7" t="n"/>
      <c r="H43" s="7" t="n"/>
      <c r="I43" s="65" t="n"/>
      <c r="J43" s="7" t="n"/>
      <c r="K43" s="65" t="n"/>
      <c r="L43" s="65" t="n"/>
      <c r="M43" s="78">
        <f>IF($A43="","",IF(COUNT(I43,K43,L43)=0,"",MIN(I43,K43,L43)))</f>
        <v/>
      </c>
      <c r="N43" s="9">
        <f>IF(M43="","",IF(M43&lt;TODAY(),"EXPIRÉE",IF(M43-TODAY()&lt;='Paramètres'!$AA$14,"À RENOUVELER","OK")))</f>
        <v/>
      </c>
      <c r="O43" s="69">
        <f>IF($A43="","",SUMIFS('Ordres de travail'!$T$5:$T$3004,'Ordres de travail'!$O$5:$O$3004,B43,'Ordres de travail'!$AC$5:$AC$3004,"&lt;&gt;Annulé",'Ordres de travail'!$B$5:$B$3004,"&gt;="&amp;'Paramètres'!$AA$6,'Ordres de travail'!$B$5:$B$3004,"&lt;"&amp;('Paramètres'!$AA$7+1)))</f>
        <v/>
      </c>
      <c r="P43" s="68">
        <f>IF($A43="","",COUNTIFS('Ordres de travail'!$O$5:$O$3004,B43,'Ordres de travail'!$AC$5:$AC$3004,"&lt;&gt;Annulé",'Ordres de travail'!$B$5:$B$3004,"&gt;="&amp;'Paramètres'!$AA$6,'Ordres de travail'!$B$5:$B$3004,"&lt;"&amp;('Paramètres'!$AA$7+1)))</f>
        <v/>
      </c>
      <c r="Q43" s="68">
        <f>IF($A43="","",SUM(COUNTIFS('Ordres de travail'!$O$5:$O$3004,B43,'Ordres de travail'!$AC$5:$AC$3004,{"Demandé","Planifié","En cours","En attente pièces"})))</f>
        <v/>
      </c>
      <c r="R43" s="71">
        <f>IF($A43="","",IF('Paramètres'!$AA$11*'Paramètres'!$AA$8=0,"-",O43/('Paramètres'!$AA$11*'Paramètres'!$AA$8)))</f>
        <v/>
      </c>
    </row>
    <row r="44">
      <c r="A44" s="7" t="n"/>
      <c r="B44" s="7" t="n"/>
      <c r="C44" s="7" t="n"/>
      <c r="D44" s="7" t="n"/>
      <c r="E44" s="7" t="n"/>
      <c r="F44" s="66" t="n"/>
      <c r="G44" s="7" t="n"/>
      <c r="H44" s="7" t="n"/>
      <c r="I44" s="65" t="n"/>
      <c r="J44" s="7" t="n"/>
      <c r="K44" s="65" t="n"/>
      <c r="L44" s="65" t="n"/>
      <c r="M44" s="78">
        <f>IF($A44="","",IF(COUNT(I44,K44,L44)=0,"",MIN(I44,K44,L44)))</f>
        <v/>
      </c>
      <c r="N44" s="9">
        <f>IF(M44="","",IF(M44&lt;TODAY(),"EXPIRÉE",IF(M44-TODAY()&lt;='Paramètres'!$AA$14,"À RENOUVELER","OK")))</f>
        <v/>
      </c>
      <c r="O44" s="69">
        <f>IF($A44="","",SUMIFS('Ordres de travail'!$T$5:$T$3004,'Ordres de travail'!$O$5:$O$3004,B44,'Ordres de travail'!$AC$5:$AC$3004,"&lt;&gt;Annulé",'Ordres de travail'!$B$5:$B$3004,"&gt;="&amp;'Paramètres'!$AA$6,'Ordres de travail'!$B$5:$B$3004,"&lt;"&amp;('Paramètres'!$AA$7+1)))</f>
        <v/>
      </c>
      <c r="P44" s="68">
        <f>IF($A44="","",COUNTIFS('Ordres de travail'!$O$5:$O$3004,B44,'Ordres de travail'!$AC$5:$AC$3004,"&lt;&gt;Annulé",'Ordres de travail'!$B$5:$B$3004,"&gt;="&amp;'Paramètres'!$AA$6,'Ordres de travail'!$B$5:$B$3004,"&lt;"&amp;('Paramètres'!$AA$7+1)))</f>
        <v/>
      </c>
      <c r="Q44" s="68">
        <f>IF($A44="","",SUM(COUNTIFS('Ordres de travail'!$O$5:$O$3004,B44,'Ordres de travail'!$AC$5:$AC$3004,{"Demandé","Planifié","En cours","En attente pièces"})))</f>
        <v/>
      </c>
      <c r="R44" s="71">
        <f>IF($A44="","",IF('Paramètres'!$AA$11*'Paramètres'!$AA$8=0,"-",O44/('Paramètres'!$AA$11*'Paramètres'!$AA$8)))</f>
        <v/>
      </c>
    </row>
  </sheetData>
  <autoFilter ref="A4:R44"/>
  <conditionalFormatting sqref="N5:N44">
    <cfRule type="expression" priority="1" dxfId="0">
      <formula>N5="EXPIRÉE"</formula>
    </cfRule>
    <cfRule type="expression" priority="2" dxfId="4">
      <formula>N5="À RENOUVELER"</formula>
    </cfRule>
    <cfRule type="expression" priority="3" dxfId="5">
      <formula>N5="OK"</formula>
    </cfRule>
  </conditionalFormatting>
  <pageMargins left="0.75" right="0.75" top="1" bottom="1" header="0.5" footer="0.5"/>
  <pageSetup orientation="landscape" fitToHeight="0" fitToWidth="1"/>
</worksheet>
</file>

<file path=xl/worksheets/sheet10.xml><?xml version="1.0" encoding="utf-8"?>
<worksheet xmlns="http://schemas.openxmlformats.org/spreadsheetml/2006/main">
  <sheetPr>
    <tabColor rgb="007030A0"/>
    <outlinePr summaryBelow="1" summaryRight="1"/>
    <pageSetUpPr fitToPage="1"/>
  </sheetPr>
  <dimension ref="A1:P84"/>
  <sheetViews>
    <sheetView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32" customWidth="1" min="2" max="2"/>
    <col width="20" customWidth="1" min="3" max="3"/>
    <col width="34" customWidth="1" min="4" max="4"/>
    <col width="14" customWidth="1" min="5" max="5"/>
    <col width="15" customWidth="1" min="6" max="6"/>
    <col width="30" customWidth="1" min="7" max="7"/>
    <col width="10" customWidth="1" min="8" max="8"/>
    <col width="12" customWidth="1" min="9" max="9"/>
    <col width="12" customWidth="1" min="10" max="10"/>
    <col width="9" customWidth="1" min="11" max="11"/>
    <col width="11" customWidth="1" min="12" max="12"/>
    <col width="13" customWidth="1" min="13" max="13"/>
    <col width="13" customWidth="1" min="14" max="14"/>
    <col width="13" customWidth="1" min="15" max="15"/>
    <col width="13" customWidth="1" min="16" max="16"/>
  </cols>
  <sheetData>
    <row r="1">
      <c r="A1" s="62" t="inlineStr">
        <is>
          <t>Fournisseurs et prestataires</t>
        </is>
      </c>
    </row>
    <row r="2">
      <c r="A2" s="3" t="inlineStr">
        <is>
          <t>Fournisseurs de pièces, sous-traitants et organismes de contrôle (données fictives).</t>
        </is>
      </c>
    </row>
    <row r="3">
      <c r="A3" s="63" t="inlineStr">
        <is>
          <t>Saisie : texte bleu   |   Calcul automatique : fond gris (ne pas modifier)   |   Les listes déroulantes proviennent de l'onglet Paramètres.</t>
        </is>
      </c>
    </row>
    <row r="4" ht="42" customHeight="1">
      <c r="A4" s="48" t="inlineStr">
        <is>
          <t>Code</t>
        </is>
      </c>
      <c r="B4" s="48" t="inlineStr">
        <is>
          <t>Raison sociale</t>
        </is>
      </c>
      <c r="C4" s="48" t="inlineStr">
        <is>
          <t>Catégorie</t>
        </is>
      </c>
      <c r="D4" s="48" t="inlineStr">
        <is>
          <t>Domaine</t>
        </is>
      </c>
      <c r="E4" s="48" t="inlineStr">
        <is>
          <t>Contact</t>
        </is>
      </c>
      <c r="F4" s="48" t="inlineStr">
        <is>
          <t>Téléphone</t>
        </is>
      </c>
      <c r="G4" s="48" t="inlineStr">
        <is>
          <t>E-mail</t>
        </is>
      </c>
      <c r="H4" s="48" t="inlineStr">
        <is>
          <t>Contrat maintenance</t>
        </is>
      </c>
      <c r="I4" s="48" t="inlineStr">
        <is>
          <t>Échéance contrat</t>
        </is>
      </c>
      <c r="J4" s="48" t="inlineStr">
        <is>
          <t>Délai d'intervention contractuel (h)</t>
        </is>
      </c>
      <c r="K4" s="48" t="inlineStr">
        <is>
          <t>Évaluation (/5)</t>
        </is>
      </c>
      <c r="L4" s="64" t="inlineStr">
        <is>
          <t>Nb interventions (période)</t>
        </is>
      </c>
      <c r="M4" s="64" t="inlineStr">
        <is>
          <t>Sous-traitance période (€)</t>
        </is>
      </c>
      <c r="N4" s="64" t="inlineStr">
        <is>
          <t>Achats pièces période (€)</t>
        </is>
      </c>
      <c r="O4" s="64" t="inlineStr">
        <is>
          <t>Total dépenses période (€)</t>
        </is>
      </c>
      <c r="P4" s="64" t="inlineStr">
        <is>
          <t>Alerte contrat</t>
        </is>
      </c>
    </row>
    <row r="5">
      <c r="A5" s="7" t="inlineStr">
        <is>
          <t>F01</t>
        </is>
      </c>
      <c r="B5" s="7" t="inlineStr">
        <is>
          <t>Roulements &amp; Transmissions Ouest</t>
        </is>
      </c>
      <c r="C5" s="7" t="inlineStr">
        <is>
          <t>Pièces</t>
        </is>
      </c>
      <c r="D5" s="7" t="inlineStr">
        <is>
          <t>Roulements, courroies, chaînes</t>
        </is>
      </c>
      <c r="E5" s="7" t="inlineStr">
        <is>
          <t>M. Perrin</t>
        </is>
      </c>
      <c r="F5" s="7" t="inlineStr">
        <is>
          <t>02 00 00 10 67</t>
        </is>
      </c>
      <c r="G5" s="7" t="inlineStr">
        <is>
          <t>contact@roulements.example</t>
        </is>
      </c>
      <c r="H5" s="7" t="inlineStr">
        <is>
          <t>Non</t>
        </is>
      </c>
      <c r="I5" s="65" t="n"/>
      <c r="J5" s="67" t="n"/>
      <c r="K5" s="82" t="n">
        <v>4</v>
      </c>
      <c r="L5" s="68">
        <f>IF($A5="","",COUNTIFS('Ordres de travail'!$Z$5:$Z$3004,B5,'Ordres de travail'!$AC$5:$AC$3004,"&lt;&gt;Annulé",'Ordres de travail'!$B$5:$B$3004,"&gt;="&amp;'Paramètres'!$AA$6,'Ordres de travail'!$B$5:$B$3004,"&lt;"&amp;('Paramètres'!$AA$7+1)))</f>
        <v/>
      </c>
      <c r="M5" s="70">
        <f>IF($A5="","",SUMIFS('Ordres de travail'!$Y$5:$Y$3004,'Ordres de travail'!$Z$5:$Z$3004,B5,'Ordres de travail'!$B$5:$B$3004,"&gt;="&amp;'Paramètres'!$AA$6,'Ordres de travail'!$B$5:$B$3004,"&lt;"&amp;('Paramètres'!$AA$7+1)))</f>
        <v/>
      </c>
      <c r="N5" s="70">
        <f>IF($A5="","",SUMIFS('Mouvements stock'!$H$5:$H$3004,'Mouvements stock'!$K$5:$K$3004,B5,'Mouvements stock'!$C$5:$C$3004,"Entrée",'Mouvements stock'!$B$5:$B$3004,"&gt;="&amp;'Paramètres'!$AA$6,'Mouvements stock'!$B$5:$B$3004,"&lt;"&amp;('Paramètres'!$AA$7+1)))</f>
        <v/>
      </c>
      <c r="O5" s="70">
        <f>IF($A5="","",N(M5)+N(N5))</f>
        <v/>
      </c>
      <c r="P5" s="9">
        <f>IF(OR($A5="",I5=""),"",IF(I5&lt;TODAY(),"Échu",IF(I5-TODAY()&lt;=60,"À renégocier","En cours")))</f>
        <v/>
      </c>
    </row>
    <row r="6">
      <c r="A6" s="7" t="inlineStr">
        <is>
          <t>F02</t>
        </is>
      </c>
      <c r="B6" s="7" t="inlineStr">
        <is>
          <t>HydroFluid Services</t>
        </is>
      </c>
      <c r="C6" s="7" t="inlineStr">
        <is>
          <t>Pièces + SAV</t>
        </is>
      </c>
      <c r="D6" s="7" t="inlineStr">
        <is>
          <t>Hydraulique : composants et réparation</t>
        </is>
      </c>
      <c r="E6" s="7" t="inlineStr">
        <is>
          <t>Mme Lambert</t>
        </is>
      </c>
      <c r="F6" s="7" t="inlineStr">
        <is>
          <t>02 00 00 11 73</t>
        </is>
      </c>
      <c r="G6" s="7" t="inlineStr">
        <is>
          <t>contact@hydrofluid.example</t>
        </is>
      </c>
      <c r="H6" s="7" t="inlineStr">
        <is>
          <t>Non</t>
        </is>
      </c>
      <c r="I6" s="65" t="n"/>
      <c r="J6" s="67" t="n">
        <v>24</v>
      </c>
      <c r="K6" s="82" t="n">
        <v>4</v>
      </c>
      <c r="L6" s="68">
        <f>IF($A6="","",COUNTIFS('Ordres de travail'!$Z$5:$Z$3004,B6,'Ordres de travail'!$AC$5:$AC$3004,"&lt;&gt;Annulé",'Ordres de travail'!$B$5:$B$3004,"&gt;="&amp;'Paramètres'!$AA$6,'Ordres de travail'!$B$5:$B$3004,"&lt;"&amp;('Paramètres'!$AA$7+1)))</f>
        <v/>
      </c>
      <c r="M6" s="70">
        <f>IF($A6="","",SUMIFS('Ordres de travail'!$Y$5:$Y$3004,'Ordres de travail'!$Z$5:$Z$3004,B6,'Ordres de travail'!$B$5:$B$3004,"&gt;="&amp;'Paramètres'!$AA$6,'Ordres de travail'!$B$5:$B$3004,"&lt;"&amp;('Paramètres'!$AA$7+1)))</f>
        <v/>
      </c>
      <c r="N6" s="70">
        <f>IF($A6="","",SUMIFS('Mouvements stock'!$H$5:$H$3004,'Mouvements stock'!$K$5:$K$3004,B6,'Mouvements stock'!$C$5:$C$3004,"Entrée",'Mouvements stock'!$B$5:$B$3004,"&gt;="&amp;'Paramètres'!$AA$6,'Mouvements stock'!$B$5:$B$3004,"&lt;"&amp;('Paramètres'!$AA$7+1)))</f>
        <v/>
      </c>
      <c r="O6" s="70">
        <f>IF($A6="","",N(M6)+N(N6))</f>
        <v/>
      </c>
      <c r="P6" s="9">
        <f>IF(OR($A6="",I6=""),"",IF(I6&lt;TODAY(),"Échu",IF(I6-TODAY()&lt;=60,"À renégocier","En cours")))</f>
        <v/>
      </c>
    </row>
    <row r="7">
      <c r="A7" s="7" t="inlineStr">
        <is>
          <t>F03</t>
        </is>
      </c>
      <c r="B7" s="7" t="inlineStr">
        <is>
          <t>ÉlecDistrib Pro</t>
        </is>
      </c>
      <c r="C7" s="7" t="inlineStr">
        <is>
          <t>Pièces</t>
        </is>
      </c>
      <c r="D7" s="7" t="inlineStr">
        <is>
          <t>Matériel électrique et éclairage</t>
        </is>
      </c>
      <c r="E7" s="7" t="inlineStr">
        <is>
          <t>M. Caron</t>
        </is>
      </c>
      <c r="F7" s="7" t="inlineStr">
        <is>
          <t>02 00 00 12 23</t>
        </is>
      </c>
      <c r="G7" s="7" t="inlineStr">
        <is>
          <t>contact@elecdistrib.example</t>
        </is>
      </c>
      <c r="H7" s="7" t="inlineStr">
        <is>
          <t>Non</t>
        </is>
      </c>
      <c r="I7" s="65" t="n"/>
      <c r="J7" s="67" t="n"/>
      <c r="K7" s="82" t="n">
        <v>5</v>
      </c>
      <c r="L7" s="68">
        <f>IF($A7="","",COUNTIFS('Ordres de travail'!$Z$5:$Z$3004,B7,'Ordres de travail'!$AC$5:$AC$3004,"&lt;&gt;Annulé",'Ordres de travail'!$B$5:$B$3004,"&gt;="&amp;'Paramètres'!$AA$6,'Ordres de travail'!$B$5:$B$3004,"&lt;"&amp;('Paramètres'!$AA$7+1)))</f>
        <v/>
      </c>
      <c r="M7" s="70">
        <f>IF($A7="","",SUMIFS('Ordres de travail'!$Y$5:$Y$3004,'Ordres de travail'!$Z$5:$Z$3004,B7,'Ordres de travail'!$B$5:$B$3004,"&gt;="&amp;'Paramètres'!$AA$6,'Ordres de travail'!$B$5:$B$3004,"&lt;"&amp;('Paramètres'!$AA$7+1)))</f>
        <v/>
      </c>
      <c r="N7" s="70">
        <f>IF($A7="","",SUMIFS('Mouvements stock'!$H$5:$H$3004,'Mouvements stock'!$K$5:$K$3004,B7,'Mouvements stock'!$C$5:$C$3004,"Entrée",'Mouvements stock'!$B$5:$B$3004,"&gt;="&amp;'Paramètres'!$AA$6,'Mouvements stock'!$B$5:$B$3004,"&lt;"&amp;('Paramètres'!$AA$7+1)))</f>
        <v/>
      </c>
      <c r="O7" s="70">
        <f>IF($A7="","",N(M7)+N(N7))</f>
        <v/>
      </c>
      <c r="P7" s="9">
        <f>IF(OR($A7="",I7=""),"",IF(I7&lt;TODAY(),"Échu",IF(I7-TODAY()&lt;=60,"À renégocier","En cours")))</f>
        <v/>
      </c>
    </row>
    <row r="8">
      <c r="A8" s="7" t="inlineStr">
        <is>
          <t>F04</t>
        </is>
      </c>
      <c r="B8" s="7" t="inlineStr">
        <is>
          <t>PneumaPlus</t>
        </is>
      </c>
      <c r="C8" s="7" t="inlineStr">
        <is>
          <t>Pièces</t>
        </is>
      </c>
      <c r="D8" s="7" t="inlineStr">
        <is>
          <t>Pneumatique</t>
        </is>
      </c>
      <c r="E8" s="7" t="inlineStr">
        <is>
          <t>M. Faure</t>
        </is>
      </c>
      <c r="F8" s="7" t="inlineStr">
        <is>
          <t>02 00 00 13 63</t>
        </is>
      </c>
      <c r="G8" s="7" t="inlineStr">
        <is>
          <t>contact@pneumaplus.example</t>
        </is>
      </c>
      <c r="H8" s="7" t="inlineStr">
        <is>
          <t>Non</t>
        </is>
      </c>
      <c r="I8" s="65" t="n"/>
      <c r="J8" s="67" t="n"/>
      <c r="K8" s="82" t="n">
        <v>4</v>
      </c>
      <c r="L8" s="68">
        <f>IF($A8="","",COUNTIFS('Ordres de travail'!$Z$5:$Z$3004,B8,'Ordres de travail'!$AC$5:$AC$3004,"&lt;&gt;Annulé",'Ordres de travail'!$B$5:$B$3004,"&gt;="&amp;'Paramètres'!$AA$6,'Ordres de travail'!$B$5:$B$3004,"&lt;"&amp;('Paramètres'!$AA$7+1)))</f>
        <v/>
      </c>
      <c r="M8" s="70">
        <f>IF($A8="","",SUMIFS('Ordres de travail'!$Y$5:$Y$3004,'Ordres de travail'!$Z$5:$Z$3004,B8,'Ordres de travail'!$B$5:$B$3004,"&gt;="&amp;'Paramètres'!$AA$6,'Ordres de travail'!$B$5:$B$3004,"&lt;"&amp;('Paramètres'!$AA$7+1)))</f>
        <v/>
      </c>
      <c r="N8" s="70">
        <f>IF($A8="","",SUMIFS('Mouvements stock'!$H$5:$H$3004,'Mouvements stock'!$K$5:$K$3004,B8,'Mouvements stock'!$C$5:$C$3004,"Entrée",'Mouvements stock'!$B$5:$B$3004,"&gt;="&amp;'Paramètres'!$AA$6,'Mouvements stock'!$B$5:$B$3004,"&lt;"&amp;('Paramètres'!$AA$7+1)))</f>
        <v/>
      </c>
      <c r="O8" s="70">
        <f>IF($A8="","",N(M8)+N(N8))</f>
        <v/>
      </c>
      <c r="P8" s="9">
        <f>IF(OR($A8="",I8=""),"",IF(I8&lt;TODAY(),"Échu",IF(I8-TODAY()&lt;=60,"À renégocier","En cours")))</f>
        <v/>
      </c>
    </row>
    <row r="9">
      <c r="A9" s="7" t="inlineStr">
        <is>
          <t>F05</t>
        </is>
      </c>
      <c r="B9" s="7" t="inlineStr">
        <is>
          <t>LubriTech France</t>
        </is>
      </c>
      <c r="C9" s="7" t="inlineStr">
        <is>
          <t>Pièces</t>
        </is>
      </c>
      <c r="D9" s="7" t="inlineStr">
        <is>
          <t>Huiles et lubrifiants</t>
        </is>
      </c>
      <c r="E9" s="7" t="inlineStr">
        <is>
          <t>Mme Bertin</t>
        </is>
      </c>
      <c r="F9" s="7" t="inlineStr">
        <is>
          <t>02 00 00 14 49</t>
        </is>
      </c>
      <c r="G9" s="7" t="inlineStr">
        <is>
          <t>contact@lubritech.example</t>
        </is>
      </c>
      <c r="H9" s="7" t="inlineStr">
        <is>
          <t>Non</t>
        </is>
      </c>
      <c r="I9" s="65" t="n"/>
      <c r="J9" s="67" t="n"/>
      <c r="K9" s="82" t="n">
        <v>4</v>
      </c>
      <c r="L9" s="68">
        <f>IF($A9="","",COUNTIFS('Ordres de travail'!$Z$5:$Z$3004,B9,'Ordres de travail'!$AC$5:$AC$3004,"&lt;&gt;Annulé",'Ordres de travail'!$B$5:$B$3004,"&gt;="&amp;'Paramètres'!$AA$6,'Ordres de travail'!$B$5:$B$3004,"&lt;"&amp;('Paramètres'!$AA$7+1)))</f>
        <v/>
      </c>
      <c r="M9" s="70">
        <f>IF($A9="","",SUMIFS('Ordres de travail'!$Y$5:$Y$3004,'Ordres de travail'!$Z$5:$Z$3004,B9,'Ordres de travail'!$B$5:$B$3004,"&gt;="&amp;'Paramètres'!$AA$6,'Ordres de travail'!$B$5:$B$3004,"&lt;"&amp;('Paramètres'!$AA$7+1)))</f>
        <v/>
      </c>
      <c r="N9" s="70">
        <f>IF($A9="","",SUMIFS('Mouvements stock'!$H$5:$H$3004,'Mouvements stock'!$K$5:$K$3004,B9,'Mouvements stock'!$C$5:$C$3004,"Entrée",'Mouvements stock'!$B$5:$B$3004,"&gt;="&amp;'Paramètres'!$AA$6,'Mouvements stock'!$B$5:$B$3004,"&lt;"&amp;('Paramètres'!$AA$7+1)))</f>
        <v/>
      </c>
      <c r="O9" s="70">
        <f>IF($A9="","",N(M9)+N(N9))</f>
        <v/>
      </c>
      <c r="P9" s="9">
        <f>IF(OR($A9="",I9=""),"",IF(I9&lt;TODAY(),"Échu",IF(I9-TODAY()&lt;=60,"À renégocier","En cours")))</f>
        <v/>
      </c>
    </row>
    <row r="10">
      <c r="A10" s="7" t="inlineStr">
        <is>
          <t>F06</t>
        </is>
      </c>
      <c r="B10" s="7" t="inlineStr">
        <is>
          <t>AutomaSys Ingénierie</t>
        </is>
      </c>
      <c r="C10" s="7" t="inlineStr">
        <is>
          <t>Sous-traitance</t>
        </is>
      </c>
      <c r="D10" s="7" t="inlineStr">
        <is>
          <t>Automatisme, robotique, programmation</t>
        </is>
      </c>
      <c r="E10" s="7" t="inlineStr">
        <is>
          <t>M. Vidal</t>
        </is>
      </c>
      <c r="F10" s="7" t="inlineStr">
        <is>
          <t>02 00 00 15 66</t>
        </is>
      </c>
      <c r="G10" s="7" t="inlineStr">
        <is>
          <t>contact@automasys.example</t>
        </is>
      </c>
      <c r="H10" s="7" t="inlineStr">
        <is>
          <t>Non</t>
        </is>
      </c>
      <c r="I10" s="65" t="n"/>
      <c r="J10" s="67" t="n">
        <v>48</v>
      </c>
      <c r="K10" s="82" t="n">
        <v>4</v>
      </c>
      <c r="L10" s="68">
        <f>IF($A10="","",COUNTIFS('Ordres de travail'!$Z$5:$Z$3004,B10,'Ordres de travail'!$AC$5:$AC$3004,"&lt;&gt;Annulé",'Ordres de travail'!$B$5:$B$3004,"&gt;="&amp;'Paramètres'!$AA$6,'Ordres de travail'!$B$5:$B$3004,"&lt;"&amp;('Paramètres'!$AA$7+1)))</f>
        <v/>
      </c>
      <c r="M10" s="70">
        <f>IF($A10="","",SUMIFS('Ordres de travail'!$Y$5:$Y$3004,'Ordres de travail'!$Z$5:$Z$3004,B10,'Ordres de travail'!$B$5:$B$3004,"&gt;="&amp;'Paramètres'!$AA$6,'Ordres de travail'!$B$5:$B$3004,"&lt;"&amp;('Paramètres'!$AA$7+1)))</f>
        <v/>
      </c>
      <c r="N10" s="70">
        <f>IF($A10="","",SUMIFS('Mouvements stock'!$H$5:$H$3004,'Mouvements stock'!$K$5:$K$3004,B10,'Mouvements stock'!$C$5:$C$3004,"Entrée",'Mouvements stock'!$B$5:$B$3004,"&gt;="&amp;'Paramètres'!$AA$6,'Mouvements stock'!$B$5:$B$3004,"&lt;"&amp;('Paramètres'!$AA$7+1)))</f>
        <v/>
      </c>
      <c r="O10" s="70">
        <f>IF($A10="","",N(M10)+N(N10))</f>
        <v/>
      </c>
      <c r="P10" s="9">
        <f>IF(OR($A10="",I10=""),"",IF(I10&lt;TODAY(),"Échu",IF(I10-TODAY()&lt;=60,"À renégocier","En cours")))</f>
        <v/>
      </c>
    </row>
    <row r="11">
      <c r="A11" s="7" t="inlineStr">
        <is>
          <t>F07</t>
        </is>
      </c>
      <c r="B11" s="7" t="inlineStr">
        <is>
          <t>SAV Machines-Outils Atlantique</t>
        </is>
      </c>
      <c r="C11" s="7" t="inlineStr">
        <is>
          <t>Sous-traitance</t>
        </is>
      </c>
      <c r="D11" s="7" t="inlineStr">
        <is>
          <t>SAV multi-marques machines-outils CN</t>
        </is>
      </c>
      <c r="E11" s="7" t="inlineStr">
        <is>
          <t>M. Renaud</t>
        </is>
      </c>
      <c r="F11" s="7" t="inlineStr">
        <is>
          <t>02 00 00 16 98</t>
        </is>
      </c>
      <c r="G11" s="7" t="inlineStr">
        <is>
          <t>contact@sav.example</t>
        </is>
      </c>
      <c r="H11" s="7" t="inlineStr">
        <is>
          <t>Oui</t>
        </is>
      </c>
      <c r="I11" s="65" t="n">
        <v>46477</v>
      </c>
      <c r="J11" s="67" t="n">
        <v>24</v>
      </c>
      <c r="K11" s="82" t="n">
        <v>3</v>
      </c>
      <c r="L11" s="68">
        <f>IF($A11="","",COUNTIFS('Ordres de travail'!$Z$5:$Z$3004,B11,'Ordres de travail'!$AC$5:$AC$3004,"&lt;&gt;Annulé",'Ordres de travail'!$B$5:$B$3004,"&gt;="&amp;'Paramètres'!$AA$6,'Ordres de travail'!$B$5:$B$3004,"&lt;"&amp;('Paramètres'!$AA$7+1)))</f>
        <v/>
      </c>
      <c r="M11" s="70">
        <f>IF($A11="","",SUMIFS('Ordres de travail'!$Y$5:$Y$3004,'Ordres de travail'!$Z$5:$Z$3004,B11,'Ordres de travail'!$B$5:$B$3004,"&gt;="&amp;'Paramètres'!$AA$6,'Ordres de travail'!$B$5:$B$3004,"&lt;"&amp;('Paramètres'!$AA$7+1)))</f>
        <v/>
      </c>
      <c r="N11" s="70">
        <f>IF($A11="","",SUMIFS('Mouvements stock'!$H$5:$H$3004,'Mouvements stock'!$K$5:$K$3004,B11,'Mouvements stock'!$C$5:$C$3004,"Entrée",'Mouvements stock'!$B$5:$B$3004,"&gt;="&amp;'Paramètres'!$AA$6,'Mouvements stock'!$B$5:$B$3004,"&lt;"&amp;('Paramètres'!$AA$7+1)))</f>
        <v/>
      </c>
      <c r="O11" s="70">
        <f>IF($A11="","",N(M11)+N(N11))</f>
        <v/>
      </c>
      <c r="P11" s="9">
        <f>IF(OR($A11="",I11=""),"",IF(I11&lt;TODAY(),"Échu",IF(I11-TODAY()&lt;=60,"À renégocier","En cours")))</f>
        <v/>
      </c>
    </row>
    <row r="12">
      <c r="A12" s="7" t="inlineStr">
        <is>
          <t>F08</t>
        </is>
      </c>
      <c r="B12" s="7" t="inlineStr">
        <is>
          <t>LaserCare Services</t>
        </is>
      </c>
      <c r="C12" s="7" t="inlineStr">
        <is>
          <t>Sous-traitance</t>
        </is>
      </c>
      <c r="D12" s="7" t="inlineStr">
        <is>
          <t>SAV découpe laser, pièces laser</t>
        </is>
      </c>
      <c r="E12" s="7" t="inlineStr">
        <is>
          <t>Mme Noël</t>
        </is>
      </c>
      <c r="F12" s="7" t="inlineStr">
        <is>
          <t>02 00 00 17 18</t>
        </is>
      </c>
      <c r="G12" s="7" t="inlineStr">
        <is>
          <t>contact@lasercare.example</t>
        </is>
      </c>
      <c r="H12" s="7" t="inlineStr">
        <is>
          <t>Oui</t>
        </is>
      </c>
      <c r="I12" s="65" t="n">
        <v>46387</v>
      </c>
      <c r="J12" s="67" t="n">
        <v>8</v>
      </c>
      <c r="K12" s="82" t="n">
        <v>5</v>
      </c>
      <c r="L12" s="68">
        <f>IF($A12="","",COUNTIFS('Ordres de travail'!$Z$5:$Z$3004,B12,'Ordres de travail'!$AC$5:$AC$3004,"&lt;&gt;Annulé",'Ordres de travail'!$B$5:$B$3004,"&gt;="&amp;'Paramètres'!$AA$6,'Ordres de travail'!$B$5:$B$3004,"&lt;"&amp;('Paramètres'!$AA$7+1)))</f>
        <v/>
      </c>
      <c r="M12" s="70">
        <f>IF($A12="","",SUMIFS('Ordres de travail'!$Y$5:$Y$3004,'Ordres de travail'!$Z$5:$Z$3004,B12,'Ordres de travail'!$B$5:$B$3004,"&gt;="&amp;'Paramètres'!$AA$6,'Ordres de travail'!$B$5:$B$3004,"&lt;"&amp;('Paramètres'!$AA$7+1)))</f>
        <v/>
      </c>
      <c r="N12" s="70">
        <f>IF($A12="","",SUMIFS('Mouvements stock'!$H$5:$H$3004,'Mouvements stock'!$K$5:$K$3004,B12,'Mouvements stock'!$C$5:$C$3004,"Entrée",'Mouvements stock'!$B$5:$B$3004,"&gt;="&amp;'Paramètres'!$AA$6,'Mouvements stock'!$B$5:$B$3004,"&lt;"&amp;('Paramètres'!$AA$7+1)))</f>
        <v/>
      </c>
      <c r="O12" s="70">
        <f>IF($A12="","",N(M12)+N(N12))</f>
        <v/>
      </c>
      <c r="P12" s="9">
        <f>IF(OR($A12="",I12=""),"",IF(I12&lt;TODAY(),"Échu",IF(I12-TODAY()&lt;=60,"À renégocier","En cours")))</f>
        <v/>
      </c>
    </row>
    <row r="13">
      <c r="A13" s="7" t="inlineStr">
        <is>
          <t>F09</t>
        </is>
      </c>
      <c r="B13" s="7" t="inlineStr">
        <is>
          <t>AirComp Maintenance</t>
        </is>
      </c>
      <c r="C13" s="7" t="inlineStr">
        <is>
          <t>Sous-traitance</t>
        </is>
      </c>
      <c r="D13" s="7" t="inlineStr">
        <is>
          <t>Compresseurs et air comprimé</t>
        </is>
      </c>
      <c r="E13" s="7" t="inlineStr">
        <is>
          <t>M. Huet</t>
        </is>
      </c>
      <c r="F13" s="7" t="inlineStr">
        <is>
          <t>02 00 00 18 47</t>
        </is>
      </c>
      <c r="G13" s="7" t="inlineStr">
        <is>
          <t>contact@aircomp.example</t>
        </is>
      </c>
      <c r="H13" s="7" t="inlineStr">
        <is>
          <t>Oui</t>
        </is>
      </c>
      <c r="I13" s="65" t="n">
        <v>46568</v>
      </c>
      <c r="J13" s="67" t="n">
        <v>8</v>
      </c>
      <c r="K13" s="82" t="n">
        <v>4</v>
      </c>
      <c r="L13" s="68">
        <f>IF($A13="","",COUNTIFS('Ordres de travail'!$Z$5:$Z$3004,B13,'Ordres de travail'!$AC$5:$AC$3004,"&lt;&gt;Annulé",'Ordres de travail'!$B$5:$B$3004,"&gt;="&amp;'Paramètres'!$AA$6,'Ordres de travail'!$B$5:$B$3004,"&lt;"&amp;('Paramètres'!$AA$7+1)))</f>
        <v/>
      </c>
      <c r="M13" s="70">
        <f>IF($A13="","",SUMIFS('Ordres de travail'!$Y$5:$Y$3004,'Ordres de travail'!$Z$5:$Z$3004,B13,'Ordres de travail'!$B$5:$B$3004,"&gt;="&amp;'Paramètres'!$AA$6,'Ordres de travail'!$B$5:$B$3004,"&lt;"&amp;('Paramètres'!$AA$7+1)))</f>
        <v/>
      </c>
      <c r="N13" s="70">
        <f>IF($A13="","",SUMIFS('Mouvements stock'!$H$5:$H$3004,'Mouvements stock'!$K$5:$K$3004,B13,'Mouvements stock'!$C$5:$C$3004,"Entrée",'Mouvements stock'!$B$5:$B$3004,"&gt;="&amp;'Paramètres'!$AA$6,'Mouvements stock'!$B$5:$B$3004,"&lt;"&amp;('Paramètres'!$AA$7+1)))</f>
        <v/>
      </c>
      <c r="O13" s="70">
        <f>IF($A13="","",N(M13)+N(N13))</f>
        <v/>
      </c>
      <c r="P13" s="9">
        <f>IF(OR($A13="",I13=""),"",IF(I13&lt;TODAY(),"Échu",IF(I13-TODAY()&lt;=60,"À renégocier","En cours")))</f>
        <v/>
      </c>
    </row>
    <row r="14">
      <c r="A14" s="7" t="inlineStr">
        <is>
          <t>F10</t>
        </is>
      </c>
      <c r="B14" s="7" t="inlineStr">
        <is>
          <t>Manutention Services 44</t>
        </is>
      </c>
      <c r="C14" s="7" t="inlineStr">
        <is>
          <t>Sous-traitance</t>
        </is>
      </c>
      <c r="D14" s="7" t="inlineStr">
        <is>
          <t>Chariots élévateurs et nacelles</t>
        </is>
      </c>
      <c r="E14" s="7" t="inlineStr">
        <is>
          <t>M. Collin</t>
        </is>
      </c>
      <c r="F14" s="7" t="inlineStr">
        <is>
          <t>02 00 00 19 69</t>
        </is>
      </c>
      <c r="G14" s="7" t="inlineStr">
        <is>
          <t>contact@manutention.example</t>
        </is>
      </c>
      <c r="H14" s="7" t="inlineStr">
        <is>
          <t>Oui</t>
        </is>
      </c>
      <c r="I14" s="65" t="n">
        <v>46356</v>
      </c>
      <c r="J14" s="67" t="n">
        <v>24</v>
      </c>
      <c r="K14" s="82" t="n">
        <v>3</v>
      </c>
      <c r="L14" s="68">
        <f>IF($A14="","",COUNTIFS('Ordres de travail'!$Z$5:$Z$3004,B14,'Ordres de travail'!$AC$5:$AC$3004,"&lt;&gt;Annulé",'Ordres de travail'!$B$5:$B$3004,"&gt;="&amp;'Paramètres'!$AA$6,'Ordres de travail'!$B$5:$B$3004,"&lt;"&amp;('Paramètres'!$AA$7+1)))</f>
        <v/>
      </c>
      <c r="M14" s="70">
        <f>IF($A14="","",SUMIFS('Ordres de travail'!$Y$5:$Y$3004,'Ordres de travail'!$Z$5:$Z$3004,B14,'Ordres de travail'!$B$5:$B$3004,"&gt;="&amp;'Paramètres'!$AA$6,'Ordres de travail'!$B$5:$B$3004,"&lt;"&amp;('Paramètres'!$AA$7+1)))</f>
        <v/>
      </c>
      <c r="N14" s="70">
        <f>IF($A14="","",SUMIFS('Mouvements stock'!$H$5:$H$3004,'Mouvements stock'!$K$5:$K$3004,B14,'Mouvements stock'!$C$5:$C$3004,"Entrée",'Mouvements stock'!$B$5:$B$3004,"&gt;="&amp;'Paramètres'!$AA$6,'Mouvements stock'!$B$5:$B$3004,"&lt;"&amp;('Paramètres'!$AA$7+1)))</f>
        <v/>
      </c>
      <c r="O14" s="70">
        <f>IF($A14="","",N(M14)+N(N14))</f>
        <v/>
      </c>
      <c r="P14" s="9">
        <f>IF(OR($A14="",I14=""),"",IF(I14&lt;TODAY(),"Échu",IF(I14-TODAY()&lt;=60,"À renégocier","En cours")))</f>
        <v/>
      </c>
    </row>
    <row r="15">
      <c r="A15" s="7" t="inlineStr">
        <is>
          <t>F11</t>
        </is>
      </c>
      <c r="B15" s="7" t="inlineStr">
        <is>
          <t>Levage Expertise Ouest</t>
        </is>
      </c>
      <c r="C15" s="7" t="inlineStr">
        <is>
          <t>Sous-traitance</t>
        </is>
      </c>
      <c r="D15" s="7" t="inlineStr">
        <is>
          <t>Ponts roulants, palans</t>
        </is>
      </c>
      <c r="E15" s="7" t="inlineStr">
        <is>
          <t>M. Marchand</t>
        </is>
      </c>
      <c r="F15" s="7" t="inlineStr">
        <is>
          <t>02 00 00 20 53</t>
        </is>
      </c>
      <c r="G15" s="7" t="inlineStr">
        <is>
          <t>contact@levage.example</t>
        </is>
      </c>
      <c r="H15" s="7" t="inlineStr">
        <is>
          <t>Oui</t>
        </is>
      </c>
      <c r="I15" s="65" t="n">
        <v>46418</v>
      </c>
      <c r="J15" s="67" t="n">
        <v>24</v>
      </c>
      <c r="K15" s="82" t="n">
        <v>4</v>
      </c>
      <c r="L15" s="68">
        <f>IF($A15="","",COUNTIFS('Ordres de travail'!$Z$5:$Z$3004,B15,'Ordres de travail'!$AC$5:$AC$3004,"&lt;&gt;Annulé",'Ordres de travail'!$B$5:$B$3004,"&gt;="&amp;'Paramètres'!$AA$6,'Ordres de travail'!$B$5:$B$3004,"&lt;"&amp;('Paramètres'!$AA$7+1)))</f>
        <v/>
      </c>
      <c r="M15" s="70">
        <f>IF($A15="","",SUMIFS('Ordres de travail'!$Y$5:$Y$3004,'Ordres de travail'!$Z$5:$Z$3004,B15,'Ordres de travail'!$B$5:$B$3004,"&gt;="&amp;'Paramètres'!$AA$6,'Ordres de travail'!$B$5:$B$3004,"&lt;"&amp;('Paramètres'!$AA$7+1)))</f>
        <v/>
      </c>
      <c r="N15" s="70">
        <f>IF($A15="","",SUMIFS('Mouvements stock'!$H$5:$H$3004,'Mouvements stock'!$K$5:$K$3004,B15,'Mouvements stock'!$C$5:$C$3004,"Entrée",'Mouvements stock'!$B$5:$B$3004,"&gt;="&amp;'Paramètres'!$AA$6,'Mouvements stock'!$B$5:$B$3004,"&lt;"&amp;('Paramètres'!$AA$7+1)))</f>
        <v/>
      </c>
      <c r="O15" s="70">
        <f>IF($A15="","",N(M15)+N(N15))</f>
        <v/>
      </c>
      <c r="P15" s="9">
        <f>IF(OR($A15="",I15=""),"",IF(I15&lt;TODAY(),"Échu",IF(I15-TODAY()&lt;=60,"À renégocier","En cours")))</f>
        <v/>
      </c>
    </row>
    <row r="16">
      <c r="A16" s="7" t="inlineStr">
        <is>
          <t>F12</t>
        </is>
      </c>
      <c r="B16" s="7" t="inlineStr">
        <is>
          <t>CONTROLIS (organisme fictif)</t>
        </is>
      </c>
      <c r="C16" s="7" t="inlineStr">
        <is>
          <t>Contrôle réglementaire</t>
        </is>
      </c>
      <c r="D16" s="7" t="inlineStr">
        <is>
          <t>VGP, électricité, ESP, ventilation</t>
        </is>
      </c>
      <c r="E16" s="7" t="inlineStr">
        <is>
          <t>Mme Lucas</t>
        </is>
      </c>
      <c r="F16" s="7" t="inlineStr">
        <is>
          <t>02 00 00 21 32</t>
        </is>
      </c>
      <c r="G16" s="7" t="inlineStr">
        <is>
          <t>contact@controlis.example</t>
        </is>
      </c>
      <c r="H16" s="7" t="inlineStr">
        <is>
          <t>Oui</t>
        </is>
      </c>
      <c r="I16" s="65" t="n">
        <v>46387</v>
      </c>
      <c r="J16" s="67" t="n"/>
      <c r="K16" s="82" t="n">
        <v>4</v>
      </c>
      <c r="L16" s="68">
        <f>IF($A16="","",COUNTIFS('Ordres de travail'!$Z$5:$Z$3004,B16,'Ordres de travail'!$AC$5:$AC$3004,"&lt;&gt;Annulé",'Ordres de travail'!$B$5:$B$3004,"&gt;="&amp;'Paramètres'!$AA$6,'Ordres de travail'!$B$5:$B$3004,"&lt;"&amp;('Paramètres'!$AA$7+1)))</f>
        <v/>
      </c>
      <c r="M16" s="70">
        <f>IF($A16="","",SUMIFS('Ordres de travail'!$Y$5:$Y$3004,'Ordres de travail'!$Z$5:$Z$3004,B16,'Ordres de travail'!$B$5:$B$3004,"&gt;="&amp;'Paramètres'!$AA$6,'Ordres de travail'!$B$5:$B$3004,"&lt;"&amp;('Paramètres'!$AA$7+1)))</f>
        <v/>
      </c>
      <c r="N16" s="70">
        <f>IF($A16="","",SUMIFS('Mouvements stock'!$H$5:$H$3004,'Mouvements stock'!$K$5:$K$3004,B16,'Mouvements stock'!$C$5:$C$3004,"Entrée",'Mouvements stock'!$B$5:$B$3004,"&gt;="&amp;'Paramètres'!$AA$6,'Mouvements stock'!$B$5:$B$3004,"&lt;"&amp;('Paramètres'!$AA$7+1)))</f>
        <v/>
      </c>
      <c r="O16" s="70">
        <f>IF($A16="","",N(M16)+N(N16))</f>
        <v/>
      </c>
      <c r="P16" s="9">
        <f>IF(OR($A16="",I16=""),"",IF(I16&lt;TODAY(),"Échu",IF(I16-TODAY()&lt;=60,"À renégocier","En cours")))</f>
        <v/>
      </c>
    </row>
    <row r="17">
      <c r="A17" s="7" t="inlineStr">
        <is>
          <t>F13</t>
        </is>
      </c>
      <c r="B17" s="7" t="inlineStr">
        <is>
          <t>Sécurité Incendie Ouest</t>
        </is>
      </c>
      <c r="C17" s="7" t="inlineStr">
        <is>
          <t>Contrôle réglementaire</t>
        </is>
      </c>
      <c r="D17" s="7" t="inlineStr">
        <is>
          <t>Extincteurs, sprinklers, désenfumage</t>
        </is>
      </c>
      <c r="E17" s="7" t="inlineStr">
        <is>
          <t>M. Gauthier</t>
        </is>
      </c>
      <c r="F17" s="7" t="inlineStr">
        <is>
          <t>02 00 00 22 16</t>
        </is>
      </c>
      <c r="G17" s="7" t="inlineStr">
        <is>
          <t>contact@securite.example</t>
        </is>
      </c>
      <c r="H17" s="7" t="inlineStr">
        <is>
          <t>Oui</t>
        </is>
      </c>
      <c r="I17" s="65" t="n">
        <v>46446</v>
      </c>
      <c r="J17" s="67" t="n">
        <v>24</v>
      </c>
      <c r="K17" s="82" t="n">
        <v>4</v>
      </c>
      <c r="L17" s="68">
        <f>IF($A17="","",COUNTIFS('Ordres de travail'!$Z$5:$Z$3004,B17,'Ordres de travail'!$AC$5:$AC$3004,"&lt;&gt;Annulé",'Ordres de travail'!$B$5:$B$3004,"&gt;="&amp;'Paramètres'!$AA$6,'Ordres de travail'!$B$5:$B$3004,"&lt;"&amp;('Paramètres'!$AA$7+1)))</f>
        <v/>
      </c>
      <c r="M17" s="70">
        <f>IF($A17="","",SUMIFS('Ordres de travail'!$Y$5:$Y$3004,'Ordres de travail'!$Z$5:$Z$3004,B17,'Ordres de travail'!$B$5:$B$3004,"&gt;="&amp;'Paramètres'!$AA$6,'Ordres de travail'!$B$5:$B$3004,"&lt;"&amp;('Paramètres'!$AA$7+1)))</f>
        <v/>
      </c>
      <c r="N17" s="70">
        <f>IF($A17="","",SUMIFS('Mouvements stock'!$H$5:$H$3004,'Mouvements stock'!$K$5:$K$3004,B17,'Mouvements stock'!$C$5:$C$3004,"Entrée",'Mouvements stock'!$B$5:$B$3004,"&gt;="&amp;'Paramètres'!$AA$6,'Mouvements stock'!$B$5:$B$3004,"&lt;"&amp;('Paramètres'!$AA$7+1)))</f>
        <v/>
      </c>
      <c r="O17" s="70">
        <f>IF($A17="","",N(M17)+N(N17))</f>
        <v/>
      </c>
      <c r="P17" s="9">
        <f>IF(OR($A17="",I17=""),"",IF(I17&lt;TODAY(),"Échu",IF(I17-TODAY()&lt;=60,"À renégocier","En cours")))</f>
        <v/>
      </c>
    </row>
    <row r="18">
      <c r="A18" s="7" t="inlineStr">
        <is>
          <t>F14</t>
        </is>
      </c>
      <c r="B18" s="7" t="inlineStr">
        <is>
          <t>Thermique &amp; Clim Services</t>
        </is>
      </c>
      <c r="C18" s="7" t="inlineStr">
        <is>
          <t>Sous-traitance</t>
        </is>
      </c>
      <c r="D18" s="7" t="inlineStr">
        <is>
          <t>CVC, groupes froids, chaudières</t>
        </is>
      </c>
      <c r="E18" s="7" t="inlineStr">
        <is>
          <t>M. Robin</t>
        </is>
      </c>
      <c r="F18" s="7" t="inlineStr">
        <is>
          <t>02 00 00 23 10</t>
        </is>
      </c>
      <c r="G18" s="7" t="inlineStr">
        <is>
          <t>contact@thermique.example</t>
        </is>
      </c>
      <c r="H18" s="7" t="inlineStr">
        <is>
          <t>Oui</t>
        </is>
      </c>
      <c r="I18" s="65" t="n">
        <v>46326</v>
      </c>
      <c r="J18" s="67" t="n">
        <v>24</v>
      </c>
      <c r="K18" s="82" t="n">
        <v>3</v>
      </c>
      <c r="L18" s="68">
        <f>IF($A18="","",COUNTIFS('Ordres de travail'!$Z$5:$Z$3004,B18,'Ordres de travail'!$AC$5:$AC$3004,"&lt;&gt;Annulé",'Ordres de travail'!$B$5:$B$3004,"&gt;="&amp;'Paramètres'!$AA$6,'Ordres de travail'!$B$5:$B$3004,"&lt;"&amp;('Paramètres'!$AA$7+1)))</f>
        <v/>
      </c>
      <c r="M18" s="70">
        <f>IF($A18="","",SUMIFS('Ordres de travail'!$Y$5:$Y$3004,'Ordres de travail'!$Z$5:$Z$3004,B18,'Ordres de travail'!$B$5:$B$3004,"&gt;="&amp;'Paramètres'!$AA$6,'Ordres de travail'!$B$5:$B$3004,"&lt;"&amp;('Paramètres'!$AA$7+1)))</f>
        <v/>
      </c>
      <c r="N18" s="70">
        <f>IF($A18="","",SUMIFS('Mouvements stock'!$H$5:$H$3004,'Mouvements stock'!$K$5:$K$3004,B18,'Mouvements stock'!$C$5:$C$3004,"Entrée",'Mouvements stock'!$B$5:$B$3004,"&gt;="&amp;'Paramètres'!$AA$6,'Mouvements stock'!$B$5:$B$3004,"&lt;"&amp;('Paramètres'!$AA$7+1)))</f>
        <v/>
      </c>
      <c r="O18" s="70">
        <f>IF($A18="","",N(M18)+N(N18))</f>
        <v/>
      </c>
      <c r="P18" s="9">
        <f>IF(OR($A18="",I18=""),"",IF(I18&lt;TODAY(),"Échu",IF(I18-TODAY()&lt;=60,"À renégocier","En cours")))</f>
        <v/>
      </c>
    </row>
    <row r="19">
      <c r="A19" s="7" t="inlineStr">
        <is>
          <t>F15</t>
        </is>
      </c>
      <c r="B19" s="7" t="inlineStr">
        <is>
          <t>Fournitures Industrielles Générales</t>
        </is>
      </c>
      <c r="C19" s="7" t="inlineStr">
        <is>
          <t>Pièces</t>
        </is>
      </c>
      <c r="D19" s="7" t="inlineStr">
        <is>
          <t>Consommables, visserie, soudage</t>
        </is>
      </c>
      <c r="E19" s="7" t="inlineStr">
        <is>
          <t>Mme André</t>
        </is>
      </c>
      <c r="F19" s="7" t="inlineStr">
        <is>
          <t>02 00 00 24 13</t>
        </is>
      </c>
      <c r="G19" s="7" t="inlineStr">
        <is>
          <t>contact@fournitures.example</t>
        </is>
      </c>
      <c r="H19" s="7" t="inlineStr">
        <is>
          <t>Non</t>
        </is>
      </c>
      <c r="I19" s="65" t="n"/>
      <c r="J19" s="67" t="n"/>
      <c r="K19" s="82" t="n">
        <v>4</v>
      </c>
      <c r="L19" s="68">
        <f>IF($A19="","",COUNTIFS('Ordres de travail'!$Z$5:$Z$3004,B19,'Ordres de travail'!$AC$5:$AC$3004,"&lt;&gt;Annulé",'Ordres de travail'!$B$5:$B$3004,"&gt;="&amp;'Paramètres'!$AA$6,'Ordres de travail'!$B$5:$B$3004,"&lt;"&amp;('Paramètres'!$AA$7+1)))</f>
        <v/>
      </c>
      <c r="M19" s="70">
        <f>IF($A19="","",SUMIFS('Ordres de travail'!$Y$5:$Y$3004,'Ordres de travail'!$Z$5:$Z$3004,B19,'Ordres de travail'!$B$5:$B$3004,"&gt;="&amp;'Paramètres'!$AA$6,'Ordres de travail'!$B$5:$B$3004,"&lt;"&amp;('Paramètres'!$AA$7+1)))</f>
        <v/>
      </c>
      <c r="N19" s="70">
        <f>IF($A19="","",SUMIFS('Mouvements stock'!$H$5:$H$3004,'Mouvements stock'!$K$5:$K$3004,B19,'Mouvements stock'!$C$5:$C$3004,"Entrée",'Mouvements stock'!$B$5:$B$3004,"&gt;="&amp;'Paramètres'!$AA$6,'Mouvements stock'!$B$5:$B$3004,"&lt;"&amp;('Paramètres'!$AA$7+1)))</f>
        <v/>
      </c>
      <c r="O19" s="70">
        <f>IF($A19="","",N(M19)+N(N19))</f>
        <v/>
      </c>
      <c r="P19" s="9">
        <f>IF(OR($A19="",I19=""),"",IF(I19&lt;TODAY(),"Échu",IF(I19-TODAY()&lt;=60,"À renégocier","En cours")))</f>
        <v/>
      </c>
    </row>
    <row r="20">
      <c r="A20" s="7" t="inlineStr">
        <is>
          <t>F16</t>
        </is>
      </c>
      <c r="B20" s="7" t="inlineStr">
        <is>
          <t>Robotique Services Ouest</t>
        </is>
      </c>
      <c r="C20" s="7" t="inlineStr">
        <is>
          <t>Sous-traitance</t>
        </is>
      </c>
      <c r="D20" s="7" t="inlineStr">
        <is>
          <t>Robots industriels</t>
        </is>
      </c>
      <c r="E20" s="7" t="inlineStr">
        <is>
          <t>M. Lemoine</t>
        </is>
      </c>
      <c r="F20" s="7" t="inlineStr">
        <is>
          <t>02 00 00 25 59</t>
        </is>
      </c>
      <c r="G20" s="7" t="inlineStr">
        <is>
          <t>contact@robotique.example</t>
        </is>
      </c>
      <c r="H20" s="7" t="inlineStr">
        <is>
          <t>Non</t>
        </is>
      </c>
      <c r="I20" s="65" t="n"/>
      <c r="J20" s="67" t="n">
        <v>48</v>
      </c>
      <c r="K20" s="82" t="n">
        <v>4</v>
      </c>
      <c r="L20" s="68">
        <f>IF($A20="","",COUNTIFS('Ordres de travail'!$Z$5:$Z$3004,B20,'Ordres de travail'!$AC$5:$AC$3004,"&lt;&gt;Annulé",'Ordres de travail'!$B$5:$B$3004,"&gt;="&amp;'Paramètres'!$AA$6,'Ordres de travail'!$B$5:$B$3004,"&lt;"&amp;('Paramètres'!$AA$7+1)))</f>
        <v/>
      </c>
      <c r="M20" s="70">
        <f>IF($A20="","",SUMIFS('Ordres de travail'!$Y$5:$Y$3004,'Ordres de travail'!$Z$5:$Z$3004,B20,'Ordres de travail'!$B$5:$B$3004,"&gt;="&amp;'Paramètres'!$AA$6,'Ordres de travail'!$B$5:$B$3004,"&lt;"&amp;('Paramètres'!$AA$7+1)))</f>
        <v/>
      </c>
      <c r="N20" s="70">
        <f>IF($A20="","",SUMIFS('Mouvements stock'!$H$5:$H$3004,'Mouvements stock'!$K$5:$K$3004,B20,'Mouvements stock'!$C$5:$C$3004,"Entrée",'Mouvements stock'!$B$5:$B$3004,"&gt;="&amp;'Paramètres'!$AA$6,'Mouvements stock'!$B$5:$B$3004,"&lt;"&amp;('Paramètres'!$AA$7+1)))</f>
        <v/>
      </c>
      <c r="O20" s="70">
        <f>IF($A20="","",N(M20)+N(N20))</f>
        <v/>
      </c>
      <c r="P20" s="9">
        <f>IF(OR($A20="",I20=""),"",IF(I20&lt;TODAY(),"Échu",IF(I20-TODAY()&lt;=60,"À renégocier","En cours")))</f>
        <v/>
      </c>
    </row>
    <row r="21">
      <c r="A21" s="7" t="inlineStr">
        <is>
          <t>F17</t>
        </is>
      </c>
      <c r="B21" s="7" t="inlineStr">
        <is>
          <t>Surface Process Assistance</t>
        </is>
      </c>
      <c r="C21" s="7" t="inlineStr">
        <is>
          <t>Pièces + SAV</t>
        </is>
      </c>
      <c r="D21" s="7" t="inlineStr">
        <is>
          <t>Peinture poudre, traitement de surface</t>
        </is>
      </c>
      <c r="E21" s="7" t="inlineStr">
        <is>
          <t>Mme Barbier</t>
        </is>
      </c>
      <c r="F21" s="7" t="inlineStr">
        <is>
          <t>02 00 00 26 27</t>
        </is>
      </c>
      <c r="G21" s="7" t="inlineStr">
        <is>
          <t>contact@surface.example</t>
        </is>
      </c>
      <c r="H21" s="7" t="inlineStr">
        <is>
          <t>Oui</t>
        </is>
      </c>
      <c r="I21" s="65" t="n">
        <v>46507</v>
      </c>
      <c r="J21" s="67" t="n">
        <v>24</v>
      </c>
      <c r="K21" s="82" t="n">
        <v>3</v>
      </c>
      <c r="L21" s="68">
        <f>IF($A21="","",COUNTIFS('Ordres de travail'!$Z$5:$Z$3004,B21,'Ordres de travail'!$AC$5:$AC$3004,"&lt;&gt;Annulé",'Ordres de travail'!$B$5:$B$3004,"&gt;="&amp;'Paramètres'!$AA$6,'Ordres de travail'!$B$5:$B$3004,"&lt;"&amp;('Paramètres'!$AA$7+1)))</f>
        <v/>
      </c>
      <c r="M21" s="70">
        <f>IF($A21="","",SUMIFS('Ordres de travail'!$Y$5:$Y$3004,'Ordres de travail'!$Z$5:$Z$3004,B21,'Ordres de travail'!$B$5:$B$3004,"&gt;="&amp;'Paramètres'!$AA$6,'Ordres de travail'!$B$5:$B$3004,"&lt;"&amp;('Paramètres'!$AA$7+1)))</f>
        <v/>
      </c>
      <c r="N21" s="70">
        <f>IF($A21="","",SUMIFS('Mouvements stock'!$H$5:$H$3004,'Mouvements stock'!$K$5:$K$3004,B21,'Mouvements stock'!$C$5:$C$3004,"Entrée",'Mouvements stock'!$B$5:$B$3004,"&gt;="&amp;'Paramètres'!$AA$6,'Mouvements stock'!$B$5:$B$3004,"&lt;"&amp;('Paramètres'!$AA$7+1)))</f>
        <v/>
      </c>
      <c r="O21" s="70">
        <f>IF($A21="","",N(M21)+N(N21))</f>
        <v/>
      </c>
      <c r="P21" s="9">
        <f>IF(OR($A21="",I21=""),"",IF(I21&lt;TODAY(),"Échu",IF(I21-TODAY()&lt;=60,"À renégocier","En cours")))</f>
        <v/>
      </c>
    </row>
    <row r="22">
      <c r="A22" s="7" t="inlineStr">
        <is>
          <t>F18</t>
        </is>
      </c>
      <c r="B22" s="7" t="inlineStr">
        <is>
          <t>Métrologie Contrôle Services</t>
        </is>
      </c>
      <c r="C22" s="7" t="inlineStr">
        <is>
          <t>Sous-traitance</t>
        </is>
      </c>
      <c r="D22" s="7" t="inlineStr">
        <is>
          <t>Étalonnage, métrologie</t>
        </is>
      </c>
      <c r="E22" s="7" t="inlineStr">
        <is>
          <t>M. Fleury</t>
        </is>
      </c>
      <c r="F22" s="7" t="inlineStr">
        <is>
          <t>02 00 00 27 63</t>
        </is>
      </c>
      <c r="G22" s="7" t="inlineStr">
        <is>
          <t>contact@metrologie.example</t>
        </is>
      </c>
      <c r="H22" s="7" t="inlineStr">
        <is>
          <t>Non</t>
        </is>
      </c>
      <c r="I22" s="65" t="n"/>
      <c r="J22" s="67" t="n"/>
      <c r="K22" s="82" t="n">
        <v>5</v>
      </c>
      <c r="L22" s="68">
        <f>IF($A22="","",COUNTIFS('Ordres de travail'!$Z$5:$Z$3004,B22,'Ordres de travail'!$AC$5:$AC$3004,"&lt;&gt;Annulé",'Ordres de travail'!$B$5:$B$3004,"&gt;="&amp;'Paramètres'!$AA$6,'Ordres de travail'!$B$5:$B$3004,"&lt;"&amp;('Paramètres'!$AA$7+1)))</f>
        <v/>
      </c>
      <c r="M22" s="70">
        <f>IF($A22="","",SUMIFS('Ordres de travail'!$Y$5:$Y$3004,'Ordres de travail'!$Z$5:$Z$3004,B22,'Ordres de travail'!$B$5:$B$3004,"&gt;="&amp;'Paramètres'!$AA$6,'Ordres de travail'!$B$5:$B$3004,"&lt;"&amp;('Paramètres'!$AA$7+1)))</f>
        <v/>
      </c>
      <c r="N22" s="70">
        <f>IF($A22="","",SUMIFS('Mouvements stock'!$H$5:$H$3004,'Mouvements stock'!$K$5:$K$3004,B22,'Mouvements stock'!$C$5:$C$3004,"Entrée",'Mouvements stock'!$B$5:$B$3004,"&gt;="&amp;'Paramètres'!$AA$6,'Mouvements stock'!$B$5:$B$3004,"&lt;"&amp;('Paramètres'!$AA$7+1)))</f>
        <v/>
      </c>
      <c r="O22" s="70">
        <f>IF($A22="","",N(M22)+N(N22))</f>
        <v/>
      </c>
      <c r="P22" s="9">
        <f>IF(OR($A22="",I22=""),"",IF(I22&lt;TODAY(),"Échu",IF(I22-TODAY()&lt;=60,"À renégocier","En cours")))</f>
        <v/>
      </c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65" t="n"/>
      <c r="J23" s="67" t="n"/>
      <c r="K23" s="82" t="n"/>
      <c r="L23" s="68">
        <f>IF($A23="","",COUNTIFS('Ordres de travail'!$Z$5:$Z$3004,B23,'Ordres de travail'!$AC$5:$AC$3004,"&lt;&gt;Annulé",'Ordres de travail'!$B$5:$B$3004,"&gt;="&amp;'Paramètres'!$AA$6,'Ordres de travail'!$B$5:$B$3004,"&lt;"&amp;('Paramètres'!$AA$7+1)))</f>
        <v/>
      </c>
      <c r="M23" s="70">
        <f>IF($A23="","",SUMIFS('Ordres de travail'!$Y$5:$Y$3004,'Ordres de travail'!$Z$5:$Z$3004,B23,'Ordres de travail'!$B$5:$B$3004,"&gt;="&amp;'Paramètres'!$AA$6,'Ordres de travail'!$B$5:$B$3004,"&lt;"&amp;('Paramètres'!$AA$7+1)))</f>
        <v/>
      </c>
      <c r="N23" s="70">
        <f>IF($A23="","",SUMIFS('Mouvements stock'!$H$5:$H$3004,'Mouvements stock'!$K$5:$K$3004,B23,'Mouvements stock'!$C$5:$C$3004,"Entrée",'Mouvements stock'!$B$5:$B$3004,"&gt;="&amp;'Paramètres'!$AA$6,'Mouvements stock'!$B$5:$B$3004,"&lt;"&amp;('Paramètres'!$AA$7+1)))</f>
        <v/>
      </c>
      <c r="O23" s="70">
        <f>IF($A23="","",N(M23)+N(N23))</f>
        <v/>
      </c>
      <c r="P23" s="9">
        <f>IF(OR($A23="",I23=""),"",IF(I23&lt;TODAY(),"Échu",IF(I23-TODAY()&lt;=60,"À renégocier","En cours")))</f>
        <v/>
      </c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65" t="n"/>
      <c r="J24" s="67" t="n"/>
      <c r="K24" s="82" t="n"/>
      <c r="L24" s="68">
        <f>IF($A24="","",COUNTIFS('Ordres de travail'!$Z$5:$Z$3004,B24,'Ordres de travail'!$AC$5:$AC$3004,"&lt;&gt;Annulé",'Ordres de travail'!$B$5:$B$3004,"&gt;="&amp;'Paramètres'!$AA$6,'Ordres de travail'!$B$5:$B$3004,"&lt;"&amp;('Paramètres'!$AA$7+1)))</f>
        <v/>
      </c>
      <c r="M24" s="70">
        <f>IF($A24="","",SUMIFS('Ordres de travail'!$Y$5:$Y$3004,'Ordres de travail'!$Z$5:$Z$3004,B24,'Ordres de travail'!$B$5:$B$3004,"&gt;="&amp;'Paramètres'!$AA$6,'Ordres de travail'!$B$5:$B$3004,"&lt;"&amp;('Paramètres'!$AA$7+1)))</f>
        <v/>
      </c>
      <c r="N24" s="70">
        <f>IF($A24="","",SUMIFS('Mouvements stock'!$H$5:$H$3004,'Mouvements stock'!$K$5:$K$3004,B24,'Mouvements stock'!$C$5:$C$3004,"Entrée",'Mouvements stock'!$B$5:$B$3004,"&gt;="&amp;'Paramètres'!$AA$6,'Mouvements stock'!$B$5:$B$3004,"&lt;"&amp;('Paramètres'!$AA$7+1)))</f>
        <v/>
      </c>
      <c r="O24" s="70">
        <f>IF($A24="","",N(M24)+N(N24))</f>
        <v/>
      </c>
      <c r="P24" s="9">
        <f>IF(OR($A24="",I24=""),"",IF(I24&lt;TODAY(),"Échu",IF(I24-TODAY()&lt;=60,"À renégocier","En cours")))</f>
        <v/>
      </c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65" t="n"/>
      <c r="J25" s="67" t="n"/>
      <c r="K25" s="82" t="n"/>
      <c r="L25" s="68">
        <f>IF($A25="","",COUNTIFS('Ordres de travail'!$Z$5:$Z$3004,B25,'Ordres de travail'!$AC$5:$AC$3004,"&lt;&gt;Annulé",'Ordres de travail'!$B$5:$B$3004,"&gt;="&amp;'Paramètres'!$AA$6,'Ordres de travail'!$B$5:$B$3004,"&lt;"&amp;('Paramètres'!$AA$7+1)))</f>
        <v/>
      </c>
      <c r="M25" s="70">
        <f>IF($A25="","",SUMIFS('Ordres de travail'!$Y$5:$Y$3004,'Ordres de travail'!$Z$5:$Z$3004,B25,'Ordres de travail'!$B$5:$B$3004,"&gt;="&amp;'Paramètres'!$AA$6,'Ordres de travail'!$B$5:$B$3004,"&lt;"&amp;('Paramètres'!$AA$7+1)))</f>
        <v/>
      </c>
      <c r="N25" s="70">
        <f>IF($A25="","",SUMIFS('Mouvements stock'!$H$5:$H$3004,'Mouvements stock'!$K$5:$K$3004,B25,'Mouvements stock'!$C$5:$C$3004,"Entrée",'Mouvements stock'!$B$5:$B$3004,"&gt;="&amp;'Paramètres'!$AA$6,'Mouvements stock'!$B$5:$B$3004,"&lt;"&amp;('Paramètres'!$AA$7+1)))</f>
        <v/>
      </c>
      <c r="O25" s="70">
        <f>IF($A25="","",N(M25)+N(N25))</f>
        <v/>
      </c>
      <c r="P25" s="9">
        <f>IF(OR($A25="",I25=""),"",IF(I25&lt;TODAY(),"Échu",IF(I25-TODAY()&lt;=60,"À renégocier","En cours")))</f>
        <v/>
      </c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65" t="n"/>
      <c r="J26" s="67" t="n"/>
      <c r="K26" s="82" t="n"/>
      <c r="L26" s="68">
        <f>IF($A26="","",COUNTIFS('Ordres de travail'!$Z$5:$Z$3004,B26,'Ordres de travail'!$AC$5:$AC$3004,"&lt;&gt;Annulé",'Ordres de travail'!$B$5:$B$3004,"&gt;="&amp;'Paramètres'!$AA$6,'Ordres de travail'!$B$5:$B$3004,"&lt;"&amp;('Paramètres'!$AA$7+1)))</f>
        <v/>
      </c>
      <c r="M26" s="70">
        <f>IF($A26="","",SUMIFS('Ordres de travail'!$Y$5:$Y$3004,'Ordres de travail'!$Z$5:$Z$3004,B26,'Ordres de travail'!$B$5:$B$3004,"&gt;="&amp;'Paramètres'!$AA$6,'Ordres de travail'!$B$5:$B$3004,"&lt;"&amp;('Paramètres'!$AA$7+1)))</f>
        <v/>
      </c>
      <c r="N26" s="70">
        <f>IF($A26="","",SUMIFS('Mouvements stock'!$H$5:$H$3004,'Mouvements stock'!$K$5:$K$3004,B26,'Mouvements stock'!$C$5:$C$3004,"Entrée",'Mouvements stock'!$B$5:$B$3004,"&gt;="&amp;'Paramètres'!$AA$6,'Mouvements stock'!$B$5:$B$3004,"&lt;"&amp;('Paramètres'!$AA$7+1)))</f>
        <v/>
      </c>
      <c r="O26" s="70">
        <f>IF($A26="","",N(M26)+N(N26))</f>
        <v/>
      </c>
      <c r="P26" s="9">
        <f>IF(OR($A26="",I26=""),"",IF(I26&lt;TODAY(),"Échu",IF(I26-TODAY()&lt;=60,"À renégocier","En cours")))</f>
        <v/>
      </c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65" t="n"/>
      <c r="J27" s="67" t="n"/>
      <c r="K27" s="82" t="n"/>
      <c r="L27" s="68">
        <f>IF($A27="","",COUNTIFS('Ordres de travail'!$Z$5:$Z$3004,B27,'Ordres de travail'!$AC$5:$AC$3004,"&lt;&gt;Annulé",'Ordres de travail'!$B$5:$B$3004,"&gt;="&amp;'Paramètres'!$AA$6,'Ordres de travail'!$B$5:$B$3004,"&lt;"&amp;('Paramètres'!$AA$7+1)))</f>
        <v/>
      </c>
      <c r="M27" s="70">
        <f>IF($A27="","",SUMIFS('Ordres de travail'!$Y$5:$Y$3004,'Ordres de travail'!$Z$5:$Z$3004,B27,'Ordres de travail'!$B$5:$B$3004,"&gt;="&amp;'Paramètres'!$AA$6,'Ordres de travail'!$B$5:$B$3004,"&lt;"&amp;('Paramètres'!$AA$7+1)))</f>
        <v/>
      </c>
      <c r="N27" s="70">
        <f>IF($A27="","",SUMIFS('Mouvements stock'!$H$5:$H$3004,'Mouvements stock'!$K$5:$K$3004,B27,'Mouvements stock'!$C$5:$C$3004,"Entrée",'Mouvements stock'!$B$5:$B$3004,"&gt;="&amp;'Paramètres'!$AA$6,'Mouvements stock'!$B$5:$B$3004,"&lt;"&amp;('Paramètres'!$AA$7+1)))</f>
        <v/>
      </c>
      <c r="O27" s="70">
        <f>IF($A27="","",N(M27)+N(N27))</f>
        <v/>
      </c>
      <c r="P27" s="9">
        <f>IF(OR($A27="",I27=""),"",IF(I27&lt;TODAY(),"Échu",IF(I27-TODAY()&lt;=60,"À renégocier","En cours")))</f>
        <v/>
      </c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65" t="n"/>
      <c r="J28" s="67" t="n"/>
      <c r="K28" s="82" t="n"/>
      <c r="L28" s="68">
        <f>IF($A28="","",COUNTIFS('Ordres de travail'!$Z$5:$Z$3004,B28,'Ordres de travail'!$AC$5:$AC$3004,"&lt;&gt;Annulé",'Ordres de travail'!$B$5:$B$3004,"&gt;="&amp;'Paramètres'!$AA$6,'Ordres de travail'!$B$5:$B$3004,"&lt;"&amp;('Paramètres'!$AA$7+1)))</f>
        <v/>
      </c>
      <c r="M28" s="70">
        <f>IF($A28="","",SUMIFS('Ordres de travail'!$Y$5:$Y$3004,'Ordres de travail'!$Z$5:$Z$3004,B28,'Ordres de travail'!$B$5:$B$3004,"&gt;="&amp;'Paramètres'!$AA$6,'Ordres de travail'!$B$5:$B$3004,"&lt;"&amp;('Paramètres'!$AA$7+1)))</f>
        <v/>
      </c>
      <c r="N28" s="70">
        <f>IF($A28="","",SUMIFS('Mouvements stock'!$H$5:$H$3004,'Mouvements stock'!$K$5:$K$3004,B28,'Mouvements stock'!$C$5:$C$3004,"Entrée",'Mouvements stock'!$B$5:$B$3004,"&gt;="&amp;'Paramètres'!$AA$6,'Mouvements stock'!$B$5:$B$3004,"&lt;"&amp;('Paramètres'!$AA$7+1)))</f>
        <v/>
      </c>
      <c r="O28" s="70">
        <f>IF($A28="","",N(M28)+N(N28))</f>
        <v/>
      </c>
      <c r="P28" s="9">
        <f>IF(OR($A28="",I28=""),"",IF(I28&lt;TODAY(),"Échu",IF(I28-TODAY()&lt;=60,"À renégocier","En cours")))</f>
        <v/>
      </c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65" t="n"/>
      <c r="J29" s="67" t="n"/>
      <c r="K29" s="82" t="n"/>
      <c r="L29" s="68">
        <f>IF($A29="","",COUNTIFS('Ordres de travail'!$Z$5:$Z$3004,B29,'Ordres de travail'!$AC$5:$AC$3004,"&lt;&gt;Annulé",'Ordres de travail'!$B$5:$B$3004,"&gt;="&amp;'Paramètres'!$AA$6,'Ordres de travail'!$B$5:$B$3004,"&lt;"&amp;('Paramètres'!$AA$7+1)))</f>
        <v/>
      </c>
      <c r="M29" s="70">
        <f>IF($A29="","",SUMIFS('Ordres de travail'!$Y$5:$Y$3004,'Ordres de travail'!$Z$5:$Z$3004,B29,'Ordres de travail'!$B$5:$B$3004,"&gt;="&amp;'Paramètres'!$AA$6,'Ordres de travail'!$B$5:$B$3004,"&lt;"&amp;('Paramètres'!$AA$7+1)))</f>
        <v/>
      </c>
      <c r="N29" s="70">
        <f>IF($A29="","",SUMIFS('Mouvements stock'!$H$5:$H$3004,'Mouvements stock'!$K$5:$K$3004,B29,'Mouvements stock'!$C$5:$C$3004,"Entrée",'Mouvements stock'!$B$5:$B$3004,"&gt;="&amp;'Paramètres'!$AA$6,'Mouvements stock'!$B$5:$B$3004,"&lt;"&amp;('Paramètres'!$AA$7+1)))</f>
        <v/>
      </c>
      <c r="O29" s="70">
        <f>IF($A29="","",N(M29)+N(N29))</f>
        <v/>
      </c>
      <c r="P29" s="9">
        <f>IF(OR($A29="",I29=""),"",IF(I29&lt;TODAY(),"Échu",IF(I29-TODAY()&lt;=60,"À renégocier","En cours")))</f>
        <v/>
      </c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65" t="n"/>
      <c r="J30" s="67" t="n"/>
      <c r="K30" s="82" t="n"/>
      <c r="L30" s="68">
        <f>IF($A30="","",COUNTIFS('Ordres de travail'!$Z$5:$Z$3004,B30,'Ordres de travail'!$AC$5:$AC$3004,"&lt;&gt;Annulé",'Ordres de travail'!$B$5:$B$3004,"&gt;="&amp;'Paramètres'!$AA$6,'Ordres de travail'!$B$5:$B$3004,"&lt;"&amp;('Paramètres'!$AA$7+1)))</f>
        <v/>
      </c>
      <c r="M30" s="70">
        <f>IF($A30="","",SUMIFS('Ordres de travail'!$Y$5:$Y$3004,'Ordres de travail'!$Z$5:$Z$3004,B30,'Ordres de travail'!$B$5:$B$3004,"&gt;="&amp;'Paramètres'!$AA$6,'Ordres de travail'!$B$5:$B$3004,"&lt;"&amp;('Paramètres'!$AA$7+1)))</f>
        <v/>
      </c>
      <c r="N30" s="70">
        <f>IF($A30="","",SUMIFS('Mouvements stock'!$H$5:$H$3004,'Mouvements stock'!$K$5:$K$3004,B30,'Mouvements stock'!$C$5:$C$3004,"Entrée",'Mouvements stock'!$B$5:$B$3004,"&gt;="&amp;'Paramètres'!$AA$6,'Mouvements stock'!$B$5:$B$3004,"&lt;"&amp;('Paramètres'!$AA$7+1)))</f>
        <v/>
      </c>
      <c r="O30" s="70">
        <f>IF($A30="","",N(M30)+N(N30))</f>
        <v/>
      </c>
      <c r="P30" s="9">
        <f>IF(OR($A30="",I30=""),"",IF(I30&lt;TODAY(),"Échu",IF(I30-TODAY()&lt;=60,"À renégocier","En cours")))</f>
        <v/>
      </c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65" t="n"/>
      <c r="J31" s="67" t="n"/>
      <c r="K31" s="82" t="n"/>
      <c r="L31" s="68">
        <f>IF($A31="","",COUNTIFS('Ordres de travail'!$Z$5:$Z$3004,B31,'Ordres de travail'!$AC$5:$AC$3004,"&lt;&gt;Annulé",'Ordres de travail'!$B$5:$B$3004,"&gt;="&amp;'Paramètres'!$AA$6,'Ordres de travail'!$B$5:$B$3004,"&lt;"&amp;('Paramètres'!$AA$7+1)))</f>
        <v/>
      </c>
      <c r="M31" s="70">
        <f>IF($A31="","",SUMIFS('Ordres de travail'!$Y$5:$Y$3004,'Ordres de travail'!$Z$5:$Z$3004,B31,'Ordres de travail'!$B$5:$B$3004,"&gt;="&amp;'Paramètres'!$AA$6,'Ordres de travail'!$B$5:$B$3004,"&lt;"&amp;('Paramètres'!$AA$7+1)))</f>
        <v/>
      </c>
      <c r="N31" s="70">
        <f>IF($A31="","",SUMIFS('Mouvements stock'!$H$5:$H$3004,'Mouvements stock'!$K$5:$K$3004,B31,'Mouvements stock'!$C$5:$C$3004,"Entrée",'Mouvements stock'!$B$5:$B$3004,"&gt;="&amp;'Paramètres'!$AA$6,'Mouvements stock'!$B$5:$B$3004,"&lt;"&amp;('Paramètres'!$AA$7+1)))</f>
        <v/>
      </c>
      <c r="O31" s="70">
        <f>IF($A31="","",N(M31)+N(N31))</f>
        <v/>
      </c>
      <c r="P31" s="9">
        <f>IF(OR($A31="",I31=""),"",IF(I31&lt;TODAY(),"Échu",IF(I31-TODAY()&lt;=60,"À renégocier","En cours")))</f>
        <v/>
      </c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65" t="n"/>
      <c r="J32" s="67" t="n"/>
      <c r="K32" s="82" t="n"/>
      <c r="L32" s="68">
        <f>IF($A32="","",COUNTIFS('Ordres de travail'!$Z$5:$Z$3004,B32,'Ordres de travail'!$AC$5:$AC$3004,"&lt;&gt;Annulé",'Ordres de travail'!$B$5:$B$3004,"&gt;="&amp;'Paramètres'!$AA$6,'Ordres de travail'!$B$5:$B$3004,"&lt;"&amp;('Paramètres'!$AA$7+1)))</f>
        <v/>
      </c>
      <c r="M32" s="70">
        <f>IF($A32="","",SUMIFS('Ordres de travail'!$Y$5:$Y$3004,'Ordres de travail'!$Z$5:$Z$3004,B32,'Ordres de travail'!$B$5:$B$3004,"&gt;="&amp;'Paramètres'!$AA$6,'Ordres de travail'!$B$5:$B$3004,"&lt;"&amp;('Paramètres'!$AA$7+1)))</f>
        <v/>
      </c>
      <c r="N32" s="70">
        <f>IF($A32="","",SUMIFS('Mouvements stock'!$H$5:$H$3004,'Mouvements stock'!$K$5:$K$3004,B32,'Mouvements stock'!$C$5:$C$3004,"Entrée",'Mouvements stock'!$B$5:$B$3004,"&gt;="&amp;'Paramètres'!$AA$6,'Mouvements stock'!$B$5:$B$3004,"&lt;"&amp;('Paramètres'!$AA$7+1)))</f>
        <v/>
      </c>
      <c r="O32" s="70">
        <f>IF($A32="","",N(M32)+N(N32))</f>
        <v/>
      </c>
      <c r="P32" s="9">
        <f>IF(OR($A32="",I32=""),"",IF(I32&lt;TODAY(),"Échu",IF(I32-TODAY()&lt;=60,"À renégocier","En cours")))</f>
        <v/>
      </c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65" t="n"/>
      <c r="J33" s="67" t="n"/>
      <c r="K33" s="82" t="n"/>
      <c r="L33" s="68">
        <f>IF($A33="","",COUNTIFS('Ordres de travail'!$Z$5:$Z$3004,B33,'Ordres de travail'!$AC$5:$AC$3004,"&lt;&gt;Annulé",'Ordres de travail'!$B$5:$B$3004,"&gt;="&amp;'Paramètres'!$AA$6,'Ordres de travail'!$B$5:$B$3004,"&lt;"&amp;('Paramètres'!$AA$7+1)))</f>
        <v/>
      </c>
      <c r="M33" s="70">
        <f>IF($A33="","",SUMIFS('Ordres de travail'!$Y$5:$Y$3004,'Ordres de travail'!$Z$5:$Z$3004,B33,'Ordres de travail'!$B$5:$B$3004,"&gt;="&amp;'Paramètres'!$AA$6,'Ordres de travail'!$B$5:$B$3004,"&lt;"&amp;('Paramètres'!$AA$7+1)))</f>
        <v/>
      </c>
      <c r="N33" s="70">
        <f>IF($A33="","",SUMIFS('Mouvements stock'!$H$5:$H$3004,'Mouvements stock'!$K$5:$K$3004,B33,'Mouvements stock'!$C$5:$C$3004,"Entrée",'Mouvements stock'!$B$5:$B$3004,"&gt;="&amp;'Paramètres'!$AA$6,'Mouvements stock'!$B$5:$B$3004,"&lt;"&amp;('Paramètres'!$AA$7+1)))</f>
        <v/>
      </c>
      <c r="O33" s="70">
        <f>IF($A33="","",N(M33)+N(N33))</f>
        <v/>
      </c>
      <c r="P33" s="9">
        <f>IF(OR($A33="",I33=""),"",IF(I33&lt;TODAY(),"Échu",IF(I33-TODAY()&lt;=60,"À renégocier","En cours")))</f>
        <v/>
      </c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65" t="n"/>
      <c r="J34" s="67" t="n"/>
      <c r="K34" s="82" t="n"/>
      <c r="L34" s="68">
        <f>IF($A34="","",COUNTIFS('Ordres de travail'!$Z$5:$Z$3004,B34,'Ordres de travail'!$AC$5:$AC$3004,"&lt;&gt;Annulé",'Ordres de travail'!$B$5:$B$3004,"&gt;="&amp;'Paramètres'!$AA$6,'Ordres de travail'!$B$5:$B$3004,"&lt;"&amp;('Paramètres'!$AA$7+1)))</f>
        <v/>
      </c>
      <c r="M34" s="70">
        <f>IF($A34="","",SUMIFS('Ordres de travail'!$Y$5:$Y$3004,'Ordres de travail'!$Z$5:$Z$3004,B34,'Ordres de travail'!$B$5:$B$3004,"&gt;="&amp;'Paramètres'!$AA$6,'Ordres de travail'!$B$5:$B$3004,"&lt;"&amp;('Paramètres'!$AA$7+1)))</f>
        <v/>
      </c>
      <c r="N34" s="70">
        <f>IF($A34="","",SUMIFS('Mouvements stock'!$H$5:$H$3004,'Mouvements stock'!$K$5:$K$3004,B34,'Mouvements stock'!$C$5:$C$3004,"Entrée",'Mouvements stock'!$B$5:$B$3004,"&gt;="&amp;'Paramètres'!$AA$6,'Mouvements stock'!$B$5:$B$3004,"&lt;"&amp;('Paramètres'!$AA$7+1)))</f>
        <v/>
      </c>
      <c r="O34" s="70">
        <f>IF($A34="","",N(M34)+N(N34))</f>
        <v/>
      </c>
      <c r="P34" s="9">
        <f>IF(OR($A34="",I34=""),"",IF(I34&lt;TODAY(),"Échu",IF(I34-TODAY()&lt;=60,"À renégocier","En cours")))</f>
        <v/>
      </c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65" t="n"/>
      <c r="J35" s="67" t="n"/>
      <c r="K35" s="82" t="n"/>
      <c r="L35" s="68">
        <f>IF($A35="","",COUNTIFS('Ordres de travail'!$Z$5:$Z$3004,B35,'Ordres de travail'!$AC$5:$AC$3004,"&lt;&gt;Annulé",'Ordres de travail'!$B$5:$B$3004,"&gt;="&amp;'Paramètres'!$AA$6,'Ordres de travail'!$B$5:$B$3004,"&lt;"&amp;('Paramètres'!$AA$7+1)))</f>
        <v/>
      </c>
      <c r="M35" s="70">
        <f>IF($A35="","",SUMIFS('Ordres de travail'!$Y$5:$Y$3004,'Ordres de travail'!$Z$5:$Z$3004,B35,'Ordres de travail'!$B$5:$B$3004,"&gt;="&amp;'Paramètres'!$AA$6,'Ordres de travail'!$B$5:$B$3004,"&lt;"&amp;('Paramètres'!$AA$7+1)))</f>
        <v/>
      </c>
      <c r="N35" s="70">
        <f>IF($A35="","",SUMIFS('Mouvements stock'!$H$5:$H$3004,'Mouvements stock'!$K$5:$K$3004,B35,'Mouvements stock'!$C$5:$C$3004,"Entrée",'Mouvements stock'!$B$5:$B$3004,"&gt;="&amp;'Paramètres'!$AA$6,'Mouvements stock'!$B$5:$B$3004,"&lt;"&amp;('Paramètres'!$AA$7+1)))</f>
        <v/>
      </c>
      <c r="O35" s="70">
        <f>IF($A35="","",N(M35)+N(N35))</f>
        <v/>
      </c>
      <c r="P35" s="9">
        <f>IF(OR($A35="",I35=""),"",IF(I35&lt;TODAY(),"Échu",IF(I35-TODAY()&lt;=60,"À renégocier","En cours")))</f>
        <v/>
      </c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65" t="n"/>
      <c r="J36" s="67" t="n"/>
      <c r="K36" s="82" t="n"/>
      <c r="L36" s="68">
        <f>IF($A36="","",COUNTIFS('Ordres de travail'!$Z$5:$Z$3004,B36,'Ordres de travail'!$AC$5:$AC$3004,"&lt;&gt;Annulé",'Ordres de travail'!$B$5:$B$3004,"&gt;="&amp;'Paramètres'!$AA$6,'Ordres de travail'!$B$5:$B$3004,"&lt;"&amp;('Paramètres'!$AA$7+1)))</f>
        <v/>
      </c>
      <c r="M36" s="70">
        <f>IF($A36="","",SUMIFS('Ordres de travail'!$Y$5:$Y$3004,'Ordres de travail'!$Z$5:$Z$3004,B36,'Ordres de travail'!$B$5:$B$3004,"&gt;="&amp;'Paramètres'!$AA$6,'Ordres de travail'!$B$5:$B$3004,"&lt;"&amp;('Paramètres'!$AA$7+1)))</f>
        <v/>
      </c>
      <c r="N36" s="70">
        <f>IF($A36="","",SUMIFS('Mouvements stock'!$H$5:$H$3004,'Mouvements stock'!$K$5:$K$3004,B36,'Mouvements stock'!$C$5:$C$3004,"Entrée",'Mouvements stock'!$B$5:$B$3004,"&gt;="&amp;'Paramètres'!$AA$6,'Mouvements stock'!$B$5:$B$3004,"&lt;"&amp;('Paramètres'!$AA$7+1)))</f>
        <v/>
      </c>
      <c r="O36" s="70">
        <f>IF($A36="","",N(M36)+N(N36))</f>
        <v/>
      </c>
      <c r="P36" s="9">
        <f>IF(OR($A36="",I36=""),"",IF(I36&lt;TODAY(),"Échu",IF(I36-TODAY()&lt;=60,"À renégocier","En cours")))</f>
        <v/>
      </c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65" t="n"/>
      <c r="J37" s="67" t="n"/>
      <c r="K37" s="82" t="n"/>
      <c r="L37" s="68">
        <f>IF($A37="","",COUNTIFS('Ordres de travail'!$Z$5:$Z$3004,B37,'Ordres de travail'!$AC$5:$AC$3004,"&lt;&gt;Annulé",'Ordres de travail'!$B$5:$B$3004,"&gt;="&amp;'Paramètres'!$AA$6,'Ordres de travail'!$B$5:$B$3004,"&lt;"&amp;('Paramètres'!$AA$7+1)))</f>
        <v/>
      </c>
      <c r="M37" s="70">
        <f>IF($A37="","",SUMIFS('Ordres de travail'!$Y$5:$Y$3004,'Ordres de travail'!$Z$5:$Z$3004,B37,'Ordres de travail'!$B$5:$B$3004,"&gt;="&amp;'Paramètres'!$AA$6,'Ordres de travail'!$B$5:$B$3004,"&lt;"&amp;('Paramètres'!$AA$7+1)))</f>
        <v/>
      </c>
      <c r="N37" s="70">
        <f>IF($A37="","",SUMIFS('Mouvements stock'!$H$5:$H$3004,'Mouvements stock'!$K$5:$K$3004,B37,'Mouvements stock'!$C$5:$C$3004,"Entrée",'Mouvements stock'!$B$5:$B$3004,"&gt;="&amp;'Paramètres'!$AA$6,'Mouvements stock'!$B$5:$B$3004,"&lt;"&amp;('Paramètres'!$AA$7+1)))</f>
        <v/>
      </c>
      <c r="O37" s="70">
        <f>IF($A37="","",N(M37)+N(N37))</f>
        <v/>
      </c>
      <c r="P37" s="9">
        <f>IF(OR($A37="",I37=""),"",IF(I37&lt;TODAY(),"Échu",IF(I37-TODAY()&lt;=60,"À renégocier","En cours")))</f>
        <v/>
      </c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65" t="n"/>
      <c r="J38" s="67" t="n"/>
      <c r="K38" s="82" t="n"/>
      <c r="L38" s="68">
        <f>IF($A38="","",COUNTIFS('Ordres de travail'!$Z$5:$Z$3004,B38,'Ordres de travail'!$AC$5:$AC$3004,"&lt;&gt;Annulé",'Ordres de travail'!$B$5:$B$3004,"&gt;="&amp;'Paramètres'!$AA$6,'Ordres de travail'!$B$5:$B$3004,"&lt;"&amp;('Paramètres'!$AA$7+1)))</f>
        <v/>
      </c>
      <c r="M38" s="70">
        <f>IF($A38="","",SUMIFS('Ordres de travail'!$Y$5:$Y$3004,'Ordres de travail'!$Z$5:$Z$3004,B38,'Ordres de travail'!$B$5:$B$3004,"&gt;="&amp;'Paramètres'!$AA$6,'Ordres de travail'!$B$5:$B$3004,"&lt;"&amp;('Paramètres'!$AA$7+1)))</f>
        <v/>
      </c>
      <c r="N38" s="70">
        <f>IF($A38="","",SUMIFS('Mouvements stock'!$H$5:$H$3004,'Mouvements stock'!$K$5:$K$3004,B38,'Mouvements stock'!$C$5:$C$3004,"Entrée",'Mouvements stock'!$B$5:$B$3004,"&gt;="&amp;'Paramètres'!$AA$6,'Mouvements stock'!$B$5:$B$3004,"&lt;"&amp;('Paramètres'!$AA$7+1)))</f>
        <v/>
      </c>
      <c r="O38" s="70">
        <f>IF($A38="","",N(M38)+N(N38))</f>
        <v/>
      </c>
      <c r="P38" s="9">
        <f>IF(OR($A38="",I38=""),"",IF(I38&lt;TODAY(),"Échu",IF(I38-TODAY()&lt;=60,"À renégocier","En cours")))</f>
        <v/>
      </c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65" t="n"/>
      <c r="J39" s="67" t="n"/>
      <c r="K39" s="82" t="n"/>
      <c r="L39" s="68">
        <f>IF($A39="","",COUNTIFS('Ordres de travail'!$Z$5:$Z$3004,B39,'Ordres de travail'!$AC$5:$AC$3004,"&lt;&gt;Annulé",'Ordres de travail'!$B$5:$B$3004,"&gt;="&amp;'Paramètres'!$AA$6,'Ordres de travail'!$B$5:$B$3004,"&lt;"&amp;('Paramètres'!$AA$7+1)))</f>
        <v/>
      </c>
      <c r="M39" s="70">
        <f>IF($A39="","",SUMIFS('Ordres de travail'!$Y$5:$Y$3004,'Ordres de travail'!$Z$5:$Z$3004,B39,'Ordres de travail'!$B$5:$B$3004,"&gt;="&amp;'Paramètres'!$AA$6,'Ordres de travail'!$B$5:$B$3004,"&lt;"&amp;('Paramètres'!$AA$7+1)))</f>
        <v/>
      </c>
      <c r="N39" s="70">
        <f>IF($A39="","",SUMIFS('Mouvements stock'!$H$5:$H$3004,'Mouvements stock'!$K$5:$K$3004,B39,'Mouvements stock'!$C$5:$C$3004,"Entrée",'Mouvements stock'!$B$5:$B$3004,"&gt;="&amp;'Paramètres'!$AA$6,'Mouvements stock'!$B$5:$B$3004,"&lt;"&amp;('Paramètres'!$AA$7+1)))</f>
        <v/>
      </c>
      <c r="O39" s="70">
        <f>IF($A39="","",N(M39)+N(N39))</f>
        <v/>
      </c>
      <c r="P39" s="9">
        <f>IF(OR($A39="",I39=""),"",IF(I39&lt;TODAY(),"Échu",IF(I39-TODAY()&lt;=60,"À renégocier","En cours")))</f>
        <v/>
      </c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65" t="n"/>
      <c r="J40" s="67" t="n"/>
      <c r="K40" s="82" t="n"/>
      <c r="L40" s="68">
        <f>IF($A40="","",COUNTIFS('Ordres de travail'!$Z$5:$Z$3004,B40,'Ordres de travail'!$AC$5:$AC$3004,"&lt;&gt;Annulé",'Ordres de travail'!$B$5:$B$3004,"&gt;="&amp;'Paramètres'!$AA$6,'Ordres de travail'!$B$5:$B$3004,"&lt;"&amp;('Paramètres'!$AA$7+1)))</f>
        <v/>
      </c>
      <c r="M40" s="70">
        <f>IF($A40="","",SUMIFS('Ordres de travail'!$Y$5:$Y$3004,'Ordres de travail'!$Z$5:$Z$3004,B40,'Ordres de travail'!$B$5:$B$3004,"&gt;="&amp;'Paramètres'!$AA$6,'Ordres de travail'!$B$5:$B$3004,"&lt;"&amp;('Paramètres'!$AA$7+1)))</f>
        <v/>
      </c>
      <c r="N40" s="70">
        <f>IF($A40="","",SUMIFS('Mouvements stock'!$H$5:$H$3004,'Mouvements stock'!$K$5:$K$3004,B40,'Mouvements stock'!$C$5:$C$3004,"Entrée",'Mouvements stock'!$B$5:$B$3004,"&gt;="&amp;'Paramètres'!$AA$6,'Mouvements stock'!$B$5:$B$3004,"&lt;"&amp;('Paramètres'!$AA$7+1)))</f>
        <v/>
      </c>
      <c r="O40" s="70">
        <f>IF($A40="","",N(M40)+N(N40))</f>
        <v/>
      </c>
      <c r="P40" s="9">
        <f>IF(OR($A40="",I40=""),"",IF(I40&lt;TODAY(),"Échu",IF(I40-TODAY()&lt;=60,"À renégocier","En cours")))</f>
        <v/>
      </c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65" t="n"/>
      <c r="J41" s="67" t="n"/>
      <c r="K41" s="82" t="n"/>
      <c r="L41" s="68">
        <f>IF($A41="","",COUNTIFS('Ordres de travail'!$Z$5:$Z$3004,B41,'Ordres de travail'!$AC$5:$AC$3004,"&lt;&gt;Annulé",'Ordres de travail'!$B$5:$B$3004,"&gt;="&amp;'Paramètres'!$AA$6,'Ordres de travail'!$B$5:$B$3004,"&lt;"&amp;('Paramètres'!$AA$7+1)))</f>
        <v/>
      </c>
      <c r="M41" s="70">
        <f>IF($A41="","",SUMIFS('Ordres de travail'!$Y$5:$Y$3004,'Ordres de travail'!$Z$5:$Z$3004,B41,'Ordres de travail'!$B$5:$B$3004,"&gt;="&amp;'Paramètres'!$AA$6,'Ordres de travail'!$B$5:$B$3004,"&lt;"&amp;('Paramètres'!$AA$7+1)))</f>
        <v/>
      </c>
      <c r="N41" s="70">
        <f>IF($A41="","",SUMIFS('Mouvements stock'!$H$5:$H$3004,'Mouvements stock'!$K$5:$K$3004,B41,'Mouvements stock'!$C$5:$C$3004,"Entrée",'Mouvements stock'!$B$5:$B$3004,"&gt;="&amp;'Paramètres'!$AA$6,'Mouvements stock'!$B$5:$B$3004,"&lt;"&amp;('Paramètres'!$AA$7+1)))</f>
        <v/>
      </c>
      <c r="O41" s="70">
        <f>IF($A41="","",N(M41)+N(N41))</f>
        <v/>
      </c>
      <c r="P41" s="9">
        <f>IF(OR($A41="",I41=""),"",IF(I41&lt;TODAY(),"Échu",IF(I41-TODAY()&lt;=60,"À renégocier","En cours")))</f>
        <v/>
      </c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65" t="n"/>
      <c r="J42" s="67" t="n"/>
      <c r="K42" s="82" t="n"/>
      <c r="L42" s="68">
        <f>IF($A42="","",COUNTIFS('Ordres de travail'!$Z$5:$Z$3004,B42,'Ordres de travail'!$AC$5:$AC$3004,"&lt;&gt;Annulé",'Ordres de travail'!$B$5:$B$3004,"&gt;="&amp;'Paramètres'!$AA$6,'Ordres de travail'!$B$5:$B$3004,"&lt;"&amp;('Paramètres'!$AA$7+1)))</f>
        <v/>
      </c>
      <c r="M42" s="70">
        <f>IF($A42="","",SUMIFS('Ordres de travail'!$Y$5:$Y$3004,'Ordres de travail'!$Z$5:$Z$3004,B42,'Ordres de travail'!$B$5:$B$3004,"&gt;="&amp;'Paramètres'!$AA$6,'Ordres de travail'!$B$5:$B$3004,"&lt;"&amp;('Paramètres'!$AA$7+1)))</f>
        <v/>
      </c>
      <c r="N42" s="70">
        <f>IF($A42="","",SUMIFS('Mouvements stock'!$H$5:$H$3004,'Mouvements stock'!$K$5:$K$3004,B42,'Mouvements stock'!$C$5:$C$3004,"Entrée",'Mouvements stock'!$B$5:$B$3004,"&gt;="&amp;'Paramètres'!$AA$6,'Mouvements stock'!$B$5:$B$3004,"&lt;"&amp;('Paramètres'!$AA$7+1)))</f>
        <v/>
      </c>
      <c r="O42" s="70">
        <f>IF($A42="","",N(M42)+N(N42))</f>
        <v/>
      </c>
      <c r="P42" s="9">
        <f>IF(OR($A42="",I42=""),"",IF(I42&lt;TODAY(),"Échu",IF(I42-TODAY()&lt;=60,"À renégocier","En cours")))</f>
        <v/>
      </c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65" t="n"/>
      <c r="J43" s="67" t="n"/>
      <c r="K43" s="82" t="n"/>
      <c r="L43" s="68">
        <f>IF($A43="","",COUNTIFS('Ordres de travail'!$Z$5:$Z$3004,B43,'Ordres de travail'!$AC$5:$AC$3004,"&lt;&gt;Annulé",'Ordres de travail'!$B$5:$B$3004,"&gt;="&amp;'Paramètres'!$AA$6,'Ordres de travail'!$B$5:$B$3004,"&lt;"&amp;('Paramètres'!$AA$7+1)))</f>
        <v/>
      </c>
      <c r="M43" s="70">
        <f>IF($A43="","",SUMIFS('Ordres de travail'!$Y$5:$Y$3004,'Ordres de travail'!$Z$5:$Z$3004,B43,'Ordres de travail'!$B$5:$B$3004,"&gt;="&amp;'Paramètres'!$AA$6,'Ordres de travail'!$B$5:$B$3004,"&lt;"&amp;('Paramètres'!$AA$7+1)))</f>
        <v/>
      </c>
      <c r="N43" s="70">
        <f>IF($A43="","",SUMIFS('Mouvements stock'!$H$5:$H$3004,'Mouvements stock'!$K$5:$K$3004,B43,'Mouvements stock'!$C$5:$C$3004,"Entrée",'Mouvements stock'!$B$5:$B$3004,"&gt;="&amp;'Paramètres'!$AA$6,'Mouvements stock'!$B$5:$B$3004,"&lt;"&amp;('Paramètres'!$AA$7+1)))</f>
        <v/>
      </c>
      <c r="O43" s="70">
        <f>IF($A43="","",N(M43)+N(N43))</f>
        <v/>
      </c>
      <c r="P43" s="9">
        <f>IF(OR($A43="",I43=""),"",IF(I43&lt;TODAY(),"Échu",IF(I43-TODAY()&lt;=60,"À renégocier","En cours")))</f>
        <v/>
      </c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  <c r="I44" s="65" t="n"/>
      <c r="J44" s="67" t="n"/>
      <c r="K44" s="82" t="n"/>
      <c r="L44" s="68">
        <f>IF($A44="","",COUNTIFS('Ordres de travail'!$Z$5:$Z$3004,B44,'Ordres de travail'!$AC$5:$AC$3004,"&lt;&gt;Annulé",'Ordres de travail'!$B$5:$B$3004,"&gt;="&amp;'Paramètres'!$AA$6,'Ordres de travail'!$B$5:$B$3004,"&lt;"&amp;('Paramètres'!$AA$7+1)))</f>
        <v/>
      </c>
      <c r="M44" s="70">
        <f>IF($A44="","",SUMIFS('Ordres de travail'!$Y$5:$Y$3004,'Ordres de travail'!$Z$5:$Z$3004,B44,'Ordres de travail'!$B$5:$B$3004,"&gt;="&amp;'Paramètres'!$AA$6,'Ordres de travail'!$B$5:$B$3004,"&lt;"&amp;('Paramètres'!$AA$7+1)))</f>
        <v/>
      </c>
      <c r="N44" s="70">
        <f>IF($A44="","",SUMIFS('Mouvements stock'!$H$5:$H$3004,'Mouvements stock'!$K$5:$K$3004,B44,'Mouvements stock'!$C$5:$C$3004,"Entrée",'Mouvements stock'!$B$5:$B$3004,"&gt;="&amp;'Paramètres'!$AA$6,'Mouvements stock'!$B$5:$B$3004,"&lt;"&amp;('Paramètres'!$AA$7+1)))</f>
        <v/>
      </c>
      <c r="O44" s="70">
        <f>IF($A44="","",N(M44)+N(N44))</f>
        <v/>
      </c>
      <c r="P44" s="9">
        <f>IF(OR($A44="",I44=""),"",IF(I44&lt;TODAY(),"Échu",IF(I44-TODAY()&lt;=60,"À renégocier","En cours")))</f>
        <v/>
      </c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  <c r="I45" s="65" t="n"/>
      <c r="J45" s="67" t="n"/>
      <c r="K45" s="82" t="n"/>
      <c r="L45" s="68">
        <f>IF($A45="","",COUNTIFS('Ordres de travail'!$Z$5:$Z$3004,B45,'Ordres de travail'!$AC$5:$AC$3004,"&lt;&gt;Annulé",'Ordres de travail'!$B$5:$B$3004,"&gt;="&amp;'Paramètres'!$AA$6,'Ordres de travail'!$B$5:$B$3004,"&lt;"&amp;('Paramètres'!$AA$7+1)))</f>
        <v/>
      </c>
      <c r="M45" s="70">
        <f>IF($A45="","",SUMIFS('Ordres de travail'!$Y$5:$Y$3004,'Ordres de travail'!$Z$5:$Z$3004,B45,'Ordres de travail'!$B$5:$B$3004,"&gt;="&amp;'Paramètres'!$AA$6,'Ordres de travail'!$B$5:$B$3004,"&lt;"&amp;('Paramètres'!$AA$7+1)))</f>
        <v/>
      </c>
      <c r="N45" s="70">
        <f>IF($A45="","",SUMIFS('Mouvements stock'!$H$5:$H$3004,'Mouvements stock'!$K$5:$K$3004,B45,'Mouvements stock'!$C$5:$C$3004,"Entrée",'Mouvements stock'!$B$5:$B$3004,"&gt;="&amp;'Paramètres'!$AA$6,'Mouvements stock'!$B$5:$B$3004,"&lt;"&amp;('Paramètres'!$AA$7+1)))</f>
        <v/>
      </c>
      <c r="O45" s="70">
        <f>IF($A45="","",N(M45)+N(N45))</f>
        <v/>
      </c>
      <c r="P45" s="9">
        <f>IF(OR($A45="",I45=""),"",IF(I45&lt;TODAY(),"Échu",IF(I45-TODAY()&lt;=60,"À renégocier","En cours")))</f>
        <v/>
      </c>
    </row>
    <row r="46">
      <c r="A46" s="7" t="n"/>
      <c r="B46" s="7" t="n"/>
      <c r="C46" s="7" t="n"/>
      <c r="D46" s="7" t="n"/>
      <c r="E46" s="7" t="n"/>
      <c r="F46" s="7" t="n"/>
      <c r="G46" s="7" t="n"/>
      <c r="H46" s="7" t="n"/>
      <c r="I46" s="65" t="n"/>
      <c r="J46" s="67" t="n"/>
      <c r="K46" s="82" t="n"/>
      <c r="L46" s="68">
        <f>IF($A46="","",COUNTIFS('Ordres de travail'!$Z$5:$Z$3004,B46,'Ordres de travail'!$AC$5:$AC$3004,"&lt;&gt;Annulé",'Ordres de travail'!$B$5:$B$3004,"&gt;="&amp;'Paramètres'!$AA$6,'Ordres de travail'!$B$5:$B$3004,"&lt;"&amp;('Paramètres'!$AA$7+1)))</f>
        <v/>
      </c>
      <c r="M46" s="70">
        <f>IF($A46="","",SUMIFS('Ordres de travail'!$Y$5:$Y$3004,'Ordres de travail'!$Z$5:$Z$3004,B46,'Ordres de travail'!$B$5:$B$3004,"&gt;="&amp;'Paramètres'!$AA$6,'Ordres de travail'!$B$5:$B$3004,"&lt;"&amp;('Paramètres'!$AA$7+1)))</f>
        <v/>
      </c>
      <c r="N46" s="70">
        <f>IF($A46="","",SUMIFS('Mouvements stock'!$H$5:$H$3004,'Mouvements stock'!$K$5:$K$3004,B46,'Mouvements stock'!$C$5:$C$3004,"Entrée",'Mouvements stock'!$B$5:$B$3004,"&gt;="&amp;'Paramètres'!$AA$6,'Mouvements stock'!$B$5:$B$3004,"&lt;"&amp;('Paramètres'!$AA$7+1)))</f>
        <v/>
      </c>
      <c r="O46" s="70">
        <f>IF($A46="","",N(M46)+N(N46))</f>
        <v/>
      </c>
      <c r="P46" s="9">
        <f>IF(OR($A46="",I46=""),"",IF(I46&lt;TODAY(),"Échu",IF(I46-TODAY()&lt;=60,"À renégocier","En cours")))</f>
        <v/>
      </c>
    </row>
    <row r="47">
      <c r="A47" s="7" t="n"/>
      <c r="B47" s="7" t="n"/>
      <c r="C47" s="7" t="n"/>
      <c r="D47" s="7" t="n"/>
      <c r="E47" s="7" t="n"/>
      <c r="F47" s="7" t="n"/>
      <c r="G47" s="7" t="n"/>
      <c r="H47" s="7" t="n"/>
      <c r="I47" s="65" t="n"/>
      <c r="J47" s="67" t="n"/>
      <c r="K47" s="82" t="n"/>
      <c r="L47" s="68">
        <f>IF($A47="","",COUNTIFS('Ordres de travail'!$Z$5:$Z$3004,B47,'Ordres de travail'!$AC$5:$AC$3004,"&lt;&gt;Annulé",'Ordres de travail'!$B$5:$B$3004,"&gt;="&amp;'Paramètres'!$AA$6,'Ordres de travail'!$B$5:$B$3004,"&lt;"&amp;('Paramètres'!$AA$7+1)))</f>
        <v/>
      </c>
      <c r="M47" s="70">
        <f>IF($A47="","",SUMIFS('Ordres de travail'!$Y$5:$Y$3004,'Ordres de travail'!$Z$5:$Z$3004,B47,'Ordres de travail'!$B$5:$B$3004,"&gt;="&amp;'Paramètres'!$AA$6,'Ordres de travail'!$B$5:$B$3004,"&lt;"&amp;('Paramètres'!$AA$7+1)))</f>
        <v/>
      </c>
      <c r="N47" s="70">
        <f>IF($A47="","",SUMIFS('Mouvements stock'!$H$5:$H$3004,'Mouvements stock'!$K$5:$K$3004,B47,'Mouvements stock'!$C$5:$C$3004,"Entrée",'Mouvements stock'!$B$5:$B$3004,"&gt;="&amp;'Paramètres'!$AA$6,'Mouvements stock'!$B$5:$B$3004,"&lt;"&amp;('Paramètres'!$AA$7+1)))</f>
        <v/>
      </c>
      <c r="O47" s="70">
        <f>IF($A47="","",N(M47)+N(N47))</f>
        <v/>
      </c>
      <c r="P47" s="9">
        <f>IF(OR($A47="",I47=""),"",IF(I47&lt;TODAY(),"Échu",IF(I47-TODAY()&lt;=60,"À renégocier","En cours")))</f>
        <v/>
      </c>
    </row>
    <row r="48">
      <c r="A48" s="7" t="n"/>
      <c r="B48" s="7" t="n"/>
      <c r="C48" s="7" t="n"/>
      <c r="D48" s="7" t="n"/>
      <c r="E48" s="7" t="n"/>
      <c r="F48" s="7" t="n"/>
      <c r="G48" s="7" t="n"/>
      <c r="H48" s="7" t="n"/>
      <c r="I48" s="65" t="n"/>
      <c r="J48" s="67" t="n"/>
      <c r="K48" s="82" t="n"/>
      <c r="L48" s="68">
        <f>IF($A48="","",COUNTIFS('Ordres de travail'!$Z$5:$Z$3004,B48,'Ordres de travail'!$AC$5:$AC$3004,"&lt;&gt;Annulé",'Ordres de travail'!$B$5:$B$3004,"&gt;="&amp;'Paramètres'!$AA$6,'Ordres de travail'!$B$5:$B$3004,"&lt;"&amp;('Paramètres'!$AA$7+1)))</f>
        <v/>
      </c>
      <c r="M48" s="70">
        <f>IF($A48="","",SUMIFS('Ordres de travail'!$Y$5:$Y$3004,'Ordres de travail'!$Z$5:$Z$3004,B48,'Ordres de travail'!$B$5:$B$3004,"&gt;="&amp;'Paramètres'!$AA$6,'Ordres de travail'!$B$5:$B$3004,"&lt;"&amp;('Paramètres'!$AA$7+1)))</f>
        <v/>
      </c>
      <c r="N48" s="70">
        <f>IF($A48="","",SUMIFS('Mouvements stock'!$H$5:$H$3004,'Mouvements stock'!$K$5:$K$3004,B48,'Mouvements stock'!$C$5:$C$3004,"Entrée",'Mouvements stock'!$B$5:$B$3004,"&gt;="&amp;'Paramètres'!$AA$6,'Mouvements stock'!$B$5:$B$3004,"&lt;"&amp;('Paramètres'!$AA$7+1)))</f>
        <v/>
      </c>
      <c r="O48" s="70">
        <f>IF($A48="","",N(M48)+N(N48))</f>
        <v/>
      </c>
      <c r="P48" s="9">
        <f>IF(OR($A48="",I48=""),"",IF(I48&lt;TODAY(),"Échu",IF(I48-TODAY()&lt;=60,"À renégocier","En cours")))</f>
        <v/>
      </c>
    </row>
    <row r="49">
      <c r="A49" s="7" t="n"/>
      <c r="B49" s="7" t="n"/>
      <c r="C49" s="7" t="n"/>
      <c r="D49" s="7" t="n"/>
      <c r="E49" s="7" t="n"/>
      <c r="F49" s="7" t="n"/>
      <c r="G49" s="7" t="n"/>
      <c r="H49" s="7" t="n"/>
      <c r="I49" s="65" t="n"/>
      <c r="J49" s="67" t="n"/>
      <c r="K49" s="82" t="n"/>
      <c r="L49" s="68">
        <f>IF($A49="","",COUNTIFS('Ordres de travail'!$Z$5:$Z$3004,B49,'Ordres de travail'!$AC$5:$AC$3004,"&lt;&gt;Annulé",'Ordres de travail'!$B$5:$B$3004,"&gt;="&amp;'Paramètres'!$AA$6,'Ordres de travail'!$B$5:$B$3004,"&lt;"&amp;('Paramètres'!$AA$7+1)))</f>
        <v/>
      </c>
      <c r="M49" s="70">
        <f>IF($A49="","",SUMIFS('Ordres de travail'!$Y$5:$Y$3004,'Ordres de travail'!$Z$5:$Z$3004,B49,'Ordres de travail'!$B$5:$B$3004,"&gt;="&amp;'Paramètres'!$AA$6,'Ordres de travail'!$B$5:$B$3004,"&lt;"&amp;('Paramètres'!$AA$7+1)))</f>
        <v/>
      </c>
      <c r="N49" s="70">
        <f>IF($A49="","",SUMIFS('Mouvements stock'!$H$5:$H$3004,'Mouvements stock'!$K$5:$K$3004,B49,'Mouvements stock'!$C$5:$C$3004,"Entrée",'Mouvements stock'!$B$5:$B$3004,"&gt;="&amp;'Paramètres'!$AA$6,'Mouvements stock'!$B$5:$B$3004,"&lt;"&amp;('Paramètres'!$AA$7+1)))</f>
        <v/>
      </c>
      <c r="O49" s="70">
        <f>IF($A49="","",N(M49)+N(N49))</f>
        <v/>
      </c>
      <c r="P49" s="9">
        <f>IF(OR($A49="",I49=""),"",IF(I49&lt;TODAY(),"Échu",IF(I49-TODAY()&lt;=60,"À renégocier","En cours")))</f>
        <v/>
      </c>
    </row>
    <row r="50">
      <c r="A50" s="7" t="n"/>
      <c r="B50" s="7" t="n"/>
      <c r="C50" s="7" t="n"/>
      <c r="D50" s="7" t="n"/>
      <c r="E50" s="7" t="n"/>
      <c r="F50" s="7" t="n"/>
      <c r="G50" s="7" t="n"/>
      <c r="H50" s="7" t="n"/>
      <c r="I50" s="65" t="n"/>
      <c r="J50" s="67" t="n"/>
      <c r="K50" s="82" t="n"/>
      <c r="L50" s="68">
        <f>IF($A50="","",COUNTIFS('Ordres de travail'!$Z$5:$Z$3004,B50,'Ordres de travail'!$AC$5:$AC$3004,"&lt;&gt;Annulé",'Ordres de travail'!$B$5:$B$3004,"&gt;="&amp;'Paramètres'!$AA$6,'Ordres de travail'!$B$5:$B$3004,"&lt;"&amp;('Paramètres'!$AA$7+1)))</f>
        <v/>
      </c>
      <c r="M50" s="70">
        <f>IF($A50="","",SUMIFS('Ordres de travail'!$Y$5:$Y$3004,'Ordres de travail'!$Z$5:$Z$3004,B50,'Ordres de travail'!$B$5:$B$3004,"&gt;="&amp;'Paramètres'!$AA$6,'Ordres de travail'!$B$5:$B$3004,"&lt;"&amp;('Paramètres'!$AA$7+1)))</f>
        <v/>
      </c>
      <c r="N50" s="70">
        <f>IF($A50="","",SUMIFS('Mouvements stock'!$H$5:$H$3004,'Mouvements stock'!$K$5:$K$3004,B50,'Mouvements stock'!$C$5:$C$3004,"Entrée",'Mouvements stock'!$B$5:$B$3004,"&gt;="&amp;'Paramètres'!$AA$6,'Mouvements stock'!$B$5:$B$3004,"&lt;"&amp;('Paramètres'!$AA$7+1)))</f>
        <v/>
      </c>
      <c r="O50" s="70">
        <f>IF($A50="","",N(M50)+N(N50))</f>
        <v/>
      </c>
      <c r="P50" s="9">
        <f>IF(OR($A50="",I50=""),"",IF(I50&lt;TODAY(),"Échu",IF(I50-TODAY()&lt;=60,"À renégocier","En cours")))</f>
        <v/>
      </c>
    </row>
    <row r="51">
      <c r="A51" s="7" t="n"/>
      <c r="B51" s="7" t="n"/>
      <c r="C51" s="7" t="n"/>
      <c r="D51" s="7" t="n"/>
      <c r="E51" s="7" t="n"/>
      <c r="F51" s="7" t="n"/>
      <c r="G51" s="7" t="n"/>
      <c r="H51" s="7" t="n"/>
      <c r="I51" s="65" t="n"/>
      <c r="J51" s="67" t="n"/>
      <c r="K51" s="82" t="n"/>
      <c r="L51" s="68">
        <f>IF($A51="","",COUNTIFS('Ordres de travail'!$Z$5:$Z$3004,B51,'Ordres de travail'!$AC$5:$AC$3004,"&lt;&gt;Annulé",'Ordres de travail'!$B$5:$B$3004,"&gt;="&amp;'Paramètres'!$AA$6,'Ordres de travail'!$B$5:$B$3004,"&lt;"&amp;('Paramètres'!$AA$7+1)))</f>
        <v/>
      </c>
      <c r="M51" s="70">
        <f>IF($A51="","",SUMIFS('Ordres de travail'!$Y$5:$Y$3004,'Ordres de travail'!$Z$5:$Z$3004,B51,'Ordres de travail'!$B$5:$B$3004,"&gt;="&amp;'Paramètres'!$AA$6,'Ordres de travail'!$B$5:$B$3004,"&lt;"&amp;('Paramètres'!$AA$7+1)))</f>
        <v/>
      </c>
      <c r="N51" s="70">
        <f>IF($A51="","",SUMIFS('Mouvements stock'!$H$5:$H$3004,'Mouvements stock'!$K$5:$K$3004,B51,'Mouvements stock'!$C$5:$C$3004,"Entrée",'Mouvements stock'!$B$5:$B$3004,"&gt;="&amp;'Paramètres'!$AA$6,'Mouvements stock'!$B$5:$B$3004,"&lt;"&amp;('Paramètres'!$AA$7+1)))</f>
        <v/>
      </c>
      <c r="O51" s="70">
        <f>IF($A51="","",N(M51)+N(N51))</f>
        <v/>
      </c>
      <c r="P51" s="9">
        <f>IF(OR($A51="",I51=""),"",IF(I51&lt;TODAY(),"Échu",IF(I51-TODAY()&lt;=60,"À renégocier","En cours")))</f>
        <v/>
      </c>
    </row>
    <row r="52">
      <c r="A52" s="7" t="n"/>
      <c r="B52" s="7" t="n"/>
      <c r="C52" s="7" t="n"/>
      <c r="D52" s="7" t="n"/>
      <c r="E52" s="7" t="n"/>
      <c r="F52" s="7" t="n"/>
      <c r="G52" s="7" t="n"/>
      <c r="H52" s="7" t="n"/>
      <c r="I52" s="65" t="n"/>
      <c r="J52" s="67" t="n"/>
      <c r="K52" s="82" t="n"/>
      <c r="L52" s="68">
        <f>IF($A52="","",COUNTIFS('Ordres de travail'!$Z$5:$Z$3004,B52,'Ordres de travail'!$AC$5:$AC$3004,"&lt;&gt;Annulé",'Ordres de travail'!$B$5:$B$3004,"&gt;="&amp;'Paramètres'!$AA$6,'Ordres de travail'!$B$5:$B$3004,"&lt;"&amp;('Paramètres'!$AA$7+1)))</f>
        <v/>
      </c>
      <c r="M52" s="70">
        <f>IF($A52="","",SUMIFS('Ordres de travail'!$Y$5:$Y$3004,'Ordres de travail'!$Z$5:$Z$3004,B52,'Ordres de travail'!$B$5:$B$3004,"&gt;="&amp;'Paramètres'!$AA$6,'Ordres de travail'!$B$5:$B$3004,"&lt;"&amp;('Paramètres'!$AA$7+1)))</f>
        <v/>
      </c>
      <c r="N52" s="70">
        <f>IF($A52="","",SUMIFS('Mouvements stock'!$H$5:$H$3004,'Mouvements stock'!$K$5:$K$3004,B52,'Mouvements stock'!$C$5:$C$3004,"Entrée",'Mouvements stock'!$B$5:$B$3004,"&gt;="&amp;'Paramètres'!$AA$6,'Mouvements stock'!$B$5:$B$3004,"&lt;"&amp;('Paramètres'!$AA$7+1)))</f>
        <v/>
      </c>
      <c r="O52" s="70">
        <f>IF($A52="","",N(M52)+N(N52))</f>
        <v/>
      </c>
      <c r="P52" s="9">
        <f>IF(OR($A52="",I52=""),"",IF(I52&lt;TODAY(),"Échu",IF(I52-TODAY()&lt;=60,"À renégocier","En cours")))</f>
        <v/>
      </c>
    </row>
    <row r="53">
      <c r="A53" s="7" t="n"/>
      <c r="B53" s="7" t="n"/>
      <c r="C53" s="7" t="n"/>
      <c r="D53" s="7" t="n"/>
      <c r="E53" s="7" t="n"/>
      <c r="F53" s="7" t="n"/>
      <c r="G53" s="7" t="n"/>
      <c r="H53" s="7" t="n"/>
      <c r="I53" s="65" t="n"/>
      <c r="J53" s="67" t="n"/>
      <c r="K53" s="82" t="n"/>
      <c r="L53" s="68">
        <f>IF($A53="","",COUNTIFS('Ordres de travail'!$Z$5:$Z$3004,B53,'Ordres de travail'!$AC$5:$AC$3004,"&lt;&gt;Annulé",'Ordres de travail'!$B$5:$B$3004,"&gt;="&amp;'Paramètres'!$AA$6,'Ordres de travail'!$B$5:$B$3004,"&lt;"&amp;('Paramètres'!$AA$7+1)))</f>
        <v/>
      </c>
      <c r="M53" s="70">
        <f>IF($A53="","",SUMIFS('Ordres de travail'!$Y$5:$Y$3004,'Ordres de travail'!$Z$5:$Z$3004,B53,'Ordres de travail'!$B$5:$B$3004,"&gt;="&amp;'Paramètres'!$AA$6,'Ordres de travail'!$B$5:$B$3004,"&lt;"&amp;('Paramètres'!$AA$7+1)))</f>
        <v/>
      </c>
      <c r="N53" s="70">
        <f>IF($A53="","",SUMIFS('Mouvements stock'!$H$5:$H$3004,'Mouvements stock'!$K$5:$K$3004,B53,'Mouvements stock'!$C$5:$C$3004,"Entrée",'Mouvements stock'!$B$5:$B$3004,"&gt;="&amp;'Paramètres'!$AA$6,'Mouvements stock'!$B$5:$B$3004,"&lt;"&amp;('Paramètres'!$AA$7+1)))</f>
        <v/>
      </c>
      <c r="O53" s="70">
        <f>IF($A53="","",N(M53)+N(N53))</f>
        <v/>
      </c>
      <c r="P53" s="9">
        <f>IF(OR($A53="",I53=""),"",IF(I53&lt;TODAY(),"Échu",IF(I53-TODAY()&lt;=60,"À renégocier","En cours")))</f>
        <v/>
      </c>
    </row>
    <row r="54">
      <c r="A54" s="7" t="n"/>
      <c r="B54" s="7" t="n"/>
      <c r="C54" s="7" t="n"/>
      <c r="D54" s="7" t="n"/>
      <c r="E54" s="7" t="n"/>
      <c r="F54" s="7" t="n"/>
      <c r="G54" s="7" t="n"/>
      <c r="H54" s="7" t="n"/>
      <c r="I54" s="65" t="n"/>
      <c r="J54" s="67" t="n"/>
      <c r="K54" s="82" t="n"/>
      <c r="L54" s="68">
        <f>IF($A54="","",COUNTIFS('Ordres de travail'!$Z$5:$Z$3004,B54,'Ordres de travail'!$AC$5:$AC$3004,"&lt;&gt;Annulé",'Ordres de travail'!$B$5:$B$3004,"&gt;="&amp;'Paramètres'!$AA$6,'Ordres de travail'!$B$5:$B$3004,"&lt;"&amp;('Paramètres'!$AA$7+1)))</f>
        <v/>
      </c>
      <c r="M54" s="70">
        <f>IF($A54="","",SUMIFS('Ordres de travail'!$Y$5:$Y$3004,'Ordres de travail'!$Z$5:$Z$3004,B54,'Ordres de travail'!$B$5:$B$3004,"&gt;="&amp;'Paramètres'!$AA$6,'Ordres de travail'!$B$5:$B$3004,"&lt;"&amp;('Paramètres'!$AA$7+1)))</f>
        <v/>
      </c>
      <c r="N54" s="70">
        <f>IF($A54="","",SUMIFS('Mouvements stock'!$H$5:$H$3004,'Mouvements stock'!$K$5:$K$3004,B54,'Mouvements stock'!$C$5:$C$3004,"Entrée",'Mouvements stock'!$B$5:$B$3004,"&gt;="&amp;'Paramètres'!$AA$6,'Mouvements stock'!$B$5:$B$3004,"&lt;"&amp;('Paramètres'!$AA$7+1)))</f>
        <v/>
      </c>
      <c r="O54" s="70">
        <f>IF($A54="","",N(M54)+N(N54))</f>
        <v/>
      </c>
      <c r="P54" s="9">
        <f>IF(OR($A54="",I54=""),"",IF(I54&lt;TODAY(),"Échu",IF(I54-TODAY()&lt;=60,"À renégocier","En cours")))</f>
        <v/>
      </c>
    </row>
    <row r="55">
      <c r="A55" s="7" t="n"/>
      <c r="B55" s="7" t="n"/>
      <c r="C55" s="7" t="n"/>
      <c r="D55" s="7" t="n"/>
      <c r="E55" s="7" t="n"/>
      <c r="F55" s="7" t="n"/>
      <c r="G55" s="7" t="n"/>
      <c r="H55" s="7" t="n"/>
      <c r="I55" s="65" t="n"/>
      <c r="J55" s="67" t="n"/>
      <c r="K55" s="82" t="n"/>
      <c r="L55" s="68">
        <f>IF($A55="","",COUNTIFS('Ordres de travail'!$Z$5:$Z$3004,B55,'Ordres de travail'!$AC$5:$AC$3004,"&lt;&gt;Annulé",'Ordres de travail'!$B$5:$B$3004,"&gt;="&amp;'Paramètres'!$AA$6,'Ordres de travail'!$B$5:$B$3004,"&lt;"&amp;('Paramètres'!$AA$7+1)))</f>
        <v/>
      </c>
      <c r="M55" s="70">
        <f>IF($A55="","",SUMIFS('Ordres de travail'!$Y$5:$Y$3004,'Ordres de travail'!$Z$5:$Z$3004,B55,'Ordres de travail'!$B$5:$B$3004,"&gt;="&amp;'Paramètres'!$AA$6,'Ordres de travail'!$B$5:$B$3004,"&lt;"&amp;('Paramètres'!$AA$7+1)))</f>
        <v/>
      </c>
      <c r="N55" s="70">
        <f>IF($A55="","",SUMIFS('Mouvements stock'!$H$5:$H$3004,'Mouvements stock'!$K$5:$K$3004,B55,'Mouvements stock'!$C$5:$C$3004,"Entrée",'Mouvements stock'!$B$5:$B$3004,"&gt;="&amp;'Paramètres'!$AA$6,'Mouvements stock'!$B$5:$B$3004,"&lt;"&amp;('Paramètres'!$AA$7+1)))</f>
        <v/>
      </c>
      <c r="O55" s="70">
        <f>IF($A55="","",N(M55)+N(N55))</f>
        <v/>
      </c>
      <c r="P55" s="9">
        <f>IF(OR($A55="",I55=""),"",IF(I55&lt;TODAY(),"Échu",IF(I55-TODAY()&lt;=60,"À renégocier","En cours")))</f>
        <v/>
      </c>
    </row>
    <row r="56">
      <c r="A56" s="7" t="n"/>
      <c r="B56" s="7" t="n"/>
      <c r="C56" s="7" t="n"/>
      <c r="D56" s="7" t="n"/>
      <c r="E56" s="7" t="n"/>
      <c r="F56" s="7" t="n"/>
      <c r="G56" s="7" t="n"/>
      <c r="H56" s="7" t="n"/>
      <c r="I56" s="65" t="n"/>
      <c r="J56" s="67" t="n"/>
      <c r="K56" s="82" t="n"/>
      <c r="L56" s="68">
        <f>IF($A56="","",COUNTIFS('Ordres de travail'!$Z$5:$Z$3004,B56,'Ordres de travail'!$AC$5:$AC$3004,"&lt;&gt;Annulé",'Ordres de travail'!$B$5:$B$3004,"&gt;="&amp;'Paramètres'!$AA$6,'Ordres de travail'!$B$5:$B$3004,"&lt;"&amp;('Paramètres'!$AA$7+1)))</f>
        <v/>
      </c>
      <c r="M56" s="70">
        <f>IF($A56="","",SUMIFS('Ordres de travail'!$Y$5:$Y$3004,'Ordres de travail'!$Z$5:$Z$3004,B56,'Ordres de travail'!$B$5:$B$3004,"&gt;="&amp;'Paramètres'!$AA$6,'Ordres de travail'!$B$5:$B$3004,"&lt;"&amp;('Paramètres'!$AA$7+1)))</f>
        <v/>
      </c>
      <c r="N56" s="70">
        <f>IF($A56="","",SUMIFS('Mouvements stock'!$H$5:$H$3004,'Mouvements stock'!$K$5:$K$3004,B56,'Mouvements stock'!$C$5:$C$3004,"Entrée",'Mouvements stock'!$B$5:$B$3004,"&gt;="&amp;'Paramètres'!$AA$6,'Mouvements stock'!$B$5:$B$3004,"&lt;"&amp;('Paramètres'!$AA$7+1)))</f>
        <v/>
      </c>
      <c r="O56" s="70">
        <f>IF($A56="","",N(M56)+N(N56))</f>
        <v/>
      </c>
      <c r="P56" s="9">
        <f>IF(OR($A56="",I56=""),"",IF(I56&lt;TODAY(),"Échu",IF(I56-TODAY()&lt;=60,"À renégocier","En cours")))</f>
        <v/>
      </c>
    </row>
    <row r="57">
      <c r="A57" s="7" t="n"/>
      <c r="B57" s="7" t="n"/>
      <c r="C57" s="7" t="n"/>
      <c r="D57" s="7" t="n"/>
      <c r="E57" s="7" t="n"/>
      <c r="F57" s="7" t="n"/>
      <c r="G57" s="7" t="n"/>
      <c r="H57" s="7" t="n"/>
      <c r="I57" s="65" t="n"/>
      <c r="J57" s="67" t="n"/>
      <c r="K57" s="82" t="n"/>
      <c r="L57" s="68">
        <f>IF($A57="","",COUNTIFS('Ordres de travail'!$Z$5:$Z$3004,B57,'Ordres de travail'!$AC$5:$AC$3004,"&lt;&gt;Annulé",'Ordres de travail'!$B$5:$B$3004,"&gt;="&amp;'Paramètres'!$AA$6,'Ordres de travail'!$B$5:$B$3004,"&lt;"&amp;('Paramètres'!$AA$7+1)))</f>
        <v/>
      </c>
      <c r="M57" s="70">
        <f>IF($A57="","",SUMIFS('Ordres de travail'!$Y$5:$Y$3004,'Ordres de travail'!$Z$5:$Z$3004,B57,'Ordres de travail'!$B$5:$B$3004,"&gt;="&amp;'Paramètres'!$AA$6,'Ordres de travail'!$B$5:$B$3004,"&lt;"&amp;('Paramètres'!$AA$7+1)))</f>
        <v/>
      </c>
      <c r="N57" s="70">
        <f>IF($A57="","",SUMIFS('Mouvements stock'!$H$5:$H$3004,'Mouvements stock'!$K$5:$K$3004,B57,'Mouvements stock'!$C$5:$C$3004,"Entrée",'Mouvements stock'!$B$5:$B$3004,"&gt;="&amp;'Paramètres'!$AA$6,'Mouvements stock'!$B$5:$B$3004,"&lt;"&amp;('Paramètres'!$AA$7+1)))</f>
        <v/>
      </c>
      <c r="O57" s="70">
        <f>IF($A57="","",N(M57)+N(N57))</f>
        <v/>
      </c>
      <c r="P57" s="9">
        <f>IF(OR($A57="",I57=""),"",IF(I57&lt;TODAY(),"Échu",IF(I57-TODAY()&lt;=60,"À renégocier","En cours")))</f>
        <v/>
      </c>
    </row>
    <row r="58">
      <c r="A58" s="7" t="n"/>
      <c r="B58" s="7" t="n"/>
      <c r="C58" s="7" t="n"/>
      <c r="D58" s="7" t="n"/>
      <c r="E58" s="7" t="n"/>
      <c r="F58" s="7" t="n"/>
      <c r="G58" s="7" t="n"/>
      <c r="H58" s="7" t="n"/>
      <c r="I58" s="65" t="n"/>
      <c r="J58" s="67" t="n"/>
      <c r="K58" s="82" t="n"/>
      <c r="L58" s="68">
        <f>IF($A58="","",COUNTIFS('Ordres de travail'!$Z$5:$Z$3004,B58,'Ordres de travail'!$AC$5:$AC$3004,"&lt;&gt;Annulé",'Ordres de travail'!$B$5:$B$3004,"&gt;="&amp;'Paramètres'!$AA$6,'Ordres de travail'!$B$5:$B$3004,"&lt;"&amp;('Paramètres'!$AA$7+1)))</f>
        <v/>
      </c>
      <c r="M58" s="70">
        <f>IF($A58="","",SUMIFS('Ordres de travail'!$Y$5:$Y$3004,'Ordres de travail'!$Z$5:$Z$3004,B58,'Ordres de travail'!$B$5:$B$3004,"&gt;="&amp;'Paramètres'!$AA$6,'Ordres de travail'!$B$5:$B$3004,"&lt;"&amp;('Paramètres'!$AA$7+1)))</f>
        <v/>
      </c>
      <c r="N58" s="70">
        <f>IF($A58="","",SUMIFS('Mouvements stock'!$H$5:$H$3004,'Mouvements stock'!$K$5:$K$3004,B58,'Mouvements stock'!$C$5:$C$3004,"Entrée",'Mouvements stock'!$B$5:$B$3004,"&gt;="&amp;'Paramètres'!$AA$6,'Mouvements stock'!$B$5:$B$3004,"&lt;"&amp;('Paramètres'!$AA$7+1)))</f>
        <v/>
      </c>
      <c r="O58" s="70">
        <f>IF($A58="","",N(M58)+N(N58))</f>
        <v/>
      </c>
      <c r="P58" s="9">
        <f>IF(OR($A58="",I58=""),"",IF(I58&lt;TODAY(),"Échu",IF(I58-TODAY()&lt;=60,"À renégocier","En cours")))</f>
        <v/>
      </c>
    </row>
    <row r="59">
      <c r="A59" s="7" t="n"/>
      <c r="B59" s="7" t="n"/>
      <c r="C59" s="7" t="n"/>
      <c r="D59" s="7" t="n"/>
      <c r="E59" s="7" t="n"/>
      <c r="F59" s="7" t="n"/>
      <c r="G59" s="7" t="n"/>
      <c r="H59" s="7" t="n"/>
      <c r="I59" s="65" t="n"/>
      <c r="J59" s="67" t="n"/>
      <c r="K59" s="82" t="n"/>
      <c r="L59" s="68">
        <f>IF($A59="","",COUNTIFS('Ordres de travail'!$Z$5:$Z$3004,B59,'Ordres de travail'!$AC$5:$AC$3004,"&lt;&gt;Annulé",'Ordres de travail'!$B$5:$B$3004,"&gt;="&amp;'Paramètres'!$AA$6,'Ordres de travail'!$B$5:$B$3004,"&lt;"&amp;('Paramètres'!$AA$7+1)))</f>
        <v/>
      </c>
      <c r="M59" s="70">
        <f>IF($A59="","",SUMIFS('Ordres de travail'!$Y$5:$Y$3004,'Ordres de travail'!$Z$5:$Z$3004,B59,'Ordres de travail'!$B$5:$B$3004,"&gt;="&amp;'Paramètres'!$AA$6,'Ordres de travail'!$B$5:$B$3004,"&lt;"&amp;('Paramètres'!$AA$7+1)))</f>
        <v/>
      </c>
      <c r="N59" s="70">
        <f>IF($A59="","",SUMIFS('Mouvements stock'!$H$5:$H$3004,'Mouvements stock'!$K$5:$K$3004,B59,'Mouvements stock'!$C$5:$C$3004,"Entrée",'Mouvements stock'!$B$5:$B$3004,"&gt;="&amp;'Paramètres'!$AA$6,'Mouvements stock'!$B$5:$B$3004,"&lt;"&amp;('Paramètres'!$AA$7+1)))</f>
        <v/>
      </c>
      <c r="O59" s="70">
        <f>IF($A59="","",N(M59)+N(N59))</f>
        <v/>
      </c>
      <c r="P59" s="9">
        <f>IF(OR($A59="",I59=""),"",IF(I59&lt;TODAY(),"Échu",IF(I59-TODAY()&lt;=60,"À renégocier","En cours")))</f>
        <v/>
      </c>
    </row>
    <row r="60">
      <c r="A60" s="7" t="n"/>
      <c r="B60" s="7" t="n"/>
      <c r="C60" s="7" t="n"/>
      <c r="D60" s="7" t="n"/>
      <c r="E60" s="7" t="n"/>
      <c r="F60" s="7" t="n"/>
      <c r="G60" s="7" t="n"/>
      <c r="H60" s="7" t="n"/>
      <c r="I60" s="65" t="n"/>
      <c r="J60" s="67" t="n"/>
      <c r="K60" s="82" t="n"/>
      <c r="L60" s="68">
        <f>IF($A60="","",COUNTIFS('Ordres de travail'!$Z$5:$Z$3004,B60,'Ordres de travail'!$AC$5:$AC$3004,"&lt;&gt;Annulé",'Ordres de travail'!$B$5:$B$3004,"&gt;="&amp;'Paramètres'!$AA$6,'Ordres de travail'!$B$5:$B$3004,"&lt;"&amp;('Paramètres'!$AA$7+1)))</f>
        <v/>
      </c>
      <c r="M60" s="70">
        <f>IF($A60="","",SUMIFS('Ordres de travail'!$Y$5:$Y$3004,'Ordres de travail'!$Z$5:$Z$3004,B60,'Ordres de travail'!$B$5:$B$3004,"&gt;="&amp;'Paramètres'!$AA$6,'Ordres de travail'!$B$5:$B$3004,"&lt;"&amp;('Paramètres'!$AA$7+1)))</f>
        <v/>
      </c>
      <c r="N60" s="70">
        <f>IF($A60="","",SUMIFS('Mouvements stock'!$H$5:$H$3004,'Mouvements stock'!$K$5:$K$3004,B60,'Mouvements stock'!$C$5:$C$3004,"Entrée",'Mouvements stock'!$B$5:$B$3004,"&gt;="&amp;'Paramètres'!$AA$6,'Mouvements stock'!$B$5:$B$3004,"&lt;"&amp;('Paramètres'!$AA$7+1)))</f>
        <v/>
      </c>
      <c r="O60" s="70">
        <f>IF($A60="","",N(M60)+N(N60))</f>
        <v/>
      </c>
      <c r="P60" s="9">
        <f>IF(OR($A60="",I60=""),"",IF(I60&lt;TODAY(),"Échu",IF(I60-TODAY()&lt;=60,"À renégocier","En cours")))</f>
        <v/>
      </c>
    </row>
    <row r="61">
      <c r="A61" s="7" t="n"/>
      <c r="B61" s="7" t="n"/>
      <c r="C61" s="7" t="n"/>
      <c r="D61" s="7" t="n"/>
      <c r="E61" s="7" t="n"/>
      <c r="F61" s="7" t="n"/>
      <c r="G61" s="7" t="n"/>
      <c r="H61" s="7" t="n"/>
      <c r="I61" s="65" t="n"/>
      <c r="J61" s="67" t="n"/>
      <c r="K61" s="82" t="n"/>
      <c r="L61" s="68">
        <f>IF($A61="","",COUNTIFS('Ordres de travail'!$Z$5:$Z$3004,B61,'Ordres de travail'!$AC$5:$AC$3004,"&lt;&gt;Annulé",'Ordres de travail'!$B$5:$B$3004,"&gt;="&amp;'Paramètres'!$AA$6,'Ordres de travail'!$B$5:$B$3004,"&lt;"&amp;('Paramètres'!$AA$7+1)))</f>
        <v/>
      </c>
      <c r="M61" s="70">
        <f>IF($A61="","",SUMIFS('Ordres de travail'!$Y$5:$Y$3004,'Ordres de travail'!$Z$5:$Z$3004,B61,'Ordres de travail'!$B$5:$B$3004,"&gt;="&amp;'Paramètres'!$AA$6,'Ordres de travail'!$B$5:$B$3004,"&lt;"&amp;('Paramètres'!$AA$7+1)))</f>
        <v/>
      </c>
      <c r="N61" s="70">
        <f>IF($A61="","",SUMIFS('Mouvements stock'!$H$5:$H$3004,'Mouvements stock'!$K$5:$K$3004,B61,'Mouvements stock'!$C$5:$C$3004,"Entrée",'Mouvements stock'!$B$5:$B$3004,"&gt;="&amp;'Paramètres'!$AA$6,'Mouvements stock'!$B$5:$B$3004,"&lt;"&amp;('Paramètres'!$AA$7+1)))</f>
        <v/>
      </c>
      <c r="O61" s="70">
        <f>IF($A61="","",N(M61)+N(N61))</f>
        <v/>
      </c>
      <c r="P61" s="9">
        <f>IF(OR($A61="",I61=""),"",IF(I61&lt;TODAY(),"Échu",IF(I61-TODAY()&lt;=60,"À renégocier","En cours")))</f>
        <v/>
      </c>
    </row>
    <row r="62">
      <c r="A62" s="7" t="n"/>
      <c r="B62" s="7" t="n"/>
      <c r="C62" s="7" t="n"/>
      <c r="D62" s="7" t="n"/>
      <c r="E62" s="7" t="n"/>
      <c r="F62" s="7" t="n"/>
      <c r="G62" s="7" t="n"/>
      <c r="H62" s="7" t="n"/>
      <c r="I62" s="65" t="n"/>
      <c r="J62" s="67" t="n"/>
      <c r="K62" s="82" t="n"/>
      <c r="L62" s="68">
        <f>IF($A62="","",COUNTIFS('Ordres de travail'!$Z$5:$Z$3004,B62,'Ordres de travail'!$AC$5:$AC$3004,"&lt;&gt;Annulé",'Ordres de travail'!$B$5:$B$3004,"&gt;="&amp;'Paramètres'!$AA$6,'Ordres de travail'!$B$5:$B$3004,"&lt;"&amp;('Paramètres'!$AA$7+1)))</f>
        <v/>
      </c>
      <c r="M62" s="70">
        <f>IF($A62="","",SUMIFS('Ordres de travail'!$Y$5:$Y$3004,'Ordres de travail'!$Z$5:$Z$3004,B62,'Ordres de travail'!$B$5:$B$3004,"&gt;="&amp;'Paramètres'!$AA$6,'Ordres de travail'!$B$5:$B$3004,"&lt;"&amp;('Paramètres'!$AA$7+1)))</f>
        <v/>
      </c>
      <c r="N62" s="70">
        <f>IF($A62="","",SUMIFS('Mouvements stock'!$H$5:$H$3004,'Mouvements stock'!$K$5:$K$3004,B62,'Mouvements stock'!$C$5:$C$3004,"Entrée",'Mouvements stock'!$B$5:$B$3004,"&gt;="&amp;'Paramètres'!$AA$6,'Mouvements stock'!$B$5:$B$3004,"&lt;"&amp;('Paramètres'!$AA$7+1)))</f>
        <v/>
      </c>
      <c r="O62" s="70">
        <f>IF($A62="","",N(M62)+N(N62))</f>
        <v/>
      </c>
      <c r="P62" s="9">
        <f>IF(OR($A62="",I62=""),"",IF(I62&lt;TODAY(),"Échu",IF(I62-TODAY()&lt;=60,"À renégocier","En cours")))</f>
        <v/>
      </c>
    </row>
    <row r="63">
      <c r="A63" s="7" t="n"/>
      <c r="B63" s="7" t="n"/>
      <c r="C63" s="7" t="n"/>
      <c r="D63" s="7" t="n"/>
      <c r="E63" s="7" t="n"/>
      <c r="F63" s="7" t="n"/>
      <c r="G63" s="7" t="n"/>
      <c r="H63" s="7" t="n"/>
      <c r="I63" s="65" t="n"/>
      <c r="J63" s="67" t="n"/>
      <c r="K63" s="82" t="n"/>
      <c r="L63" s="68">
        <f>IF($A63="","",COUNTIFS('Ordres de travail'!$Z$5:$Z$3004,B63,'Ordres de travail'!$AC$5:$AC$3004,"&lt;&gt;Annulé",'Ordres de travail'!$B$5:$B$3004,"&gt;="&amp;'Paramètres'!$AA$6,'Ordres de travail'!$B$5:$B$3004,"&lt;"&amp;('Paramètres'!$AA$7+1)))</f>
        <v/>
      </c>
      <c r="M63" s="70">
        <f>IF($A63="","",SUMIFS('Ordres de travail'!$Y$5:$Y$3004,'Ordres de travail'!$Z$5:$Z$3004,B63,'Ordres de travail'!$B$5:$B$3004,"&gt;="&amp;'Paramètres'!$AA$6,'Ordres de travail'!$B$5:$B$3004,"&lt;"&amp;('Paramètres'!$AA$7+1)))</f>
        <v/>
      </c>
      <c r="N63" s="70">
        <f>IF($A63="","",SUMIFS('Mouvements stock'!$H$5:$H$3004,'Mouvements stock'!$K$5:$K$3004,B63,'Mouvements stock'!$C$5:$C$3004,"Entrée",'Mouvements stock'!$B$5:$B$3004,"&gt;="&amp;'Paramètres'!$AA$6,'Mouvements stock'!$B$5:$B$3004,"&lt;"&amp;('Paramètres'!$AA$7+1)))</f>
        <v/>
      </c>
      <c r="O63" s="70">
        <f>IF($A63="","",N(M63)+N(N63))</f>
        <v/>
      </c>
      <c r="P63" s="9">
        <f>IF(OR($A63="",I63=""),"",IF(I63&lt;TODAY(),"Échu",IF(I63-TODAY()&lt;=60,"À renégocier","En cours")))</f>
        <v/>
      </c>
    </row>
    <row r="64">
      <c r="A64" s="7" t="n"/>
      <c r="B64" s="7" t="n"/>
      <c r="C64" s="7" t="n"/>
      <c r="D64" s="7" t="n"/>
      <c r="E64" s="7" t="n"/>
      <c r="F64" s="7" t="n"/>
      <c r="G64" s="7" t="n"/>
      <c r="H64" s="7" t="n"/>
      <c r="I64" s="65" t="n"/>
      <c r="J64" s="67" t="n"/>
      <c r="K64" s="82" t="n"/>
      <c r="L64" s="68">
        <f>IF($A64="","",COUNTIFS('Ordres de travail'!$Z$5:$Z$3004,B64,'Ordres de travail'!$AC$5:$AC$3004,"&lt;&gt;Annulé",'Ordres de travail'!$B$5:$B$3004,"&gt;="&amp;'Paramètres'!$AA$6,'Ordres de travail'!$B$5:$B$3004,"&lt;"&amp;('Paramètres'!$AA$7+1)))</f>
        <v/>
      </c>
      <c r="M64" s="70">
        <f>IF($A64="","",SUMIFS('Ordres de travail'!$Y$5:$Y$3004,'Ordres de travail'!$Z$5:$Z$3004,B64,'Ordres de travail'!$B$5:$B$3004,"&gt;="&amp;'Paramètres'!$AA$6,'Ordres de travail'!$B$5:$B$3004,"&lt;"&amp;('Paramètres'!$AA$7+1)))</f>
        <v/>
      </c>
      <c r="N64" s="70">
        <f>IF($A64="","",SUMIFS('Mouvements stock'!$H$5:$H$3004,'Mouvements stock'!$K$5:$K$3004,B64,'Mouvements stock'!$C$5:$C$3004,"Entrée",'Mouvements stock'!$B$5:$B$3004,"&gt;="&amp;'Paramètres'!$AA$6,'Mouvements stock'!$B$5:$B$3004,"&lt;"&amp;('Paramètres'!$AA$7+1)))</f>
        <v/>
      </c>
      <c r="O64" s="70">
        <f>IF($A64="","",N(M64)+N(N64))</f>
        <v/>
      </c>
      <c r="P64" s="9">
        <f>IF(OR($A64="",I64=""),"",IF(I64&lt;TODAY(),"Échu",IF(I64-TODAY()&lt;=60,"À renégocier","En cours")))</f>
        <v/>
      </c>
    </row>
    <row r="65">
      <c r="A65" s="7" t="n"/>
      <c r="B65" s="7" t="n"/>
      <c r="C65" s="7" t="n"/>
      <c r="D65" s="7" t="n"/>
      <c r="E65" s="7" t="n"/>
      <c r="F65" s="7" t="n"/>
      <c r="G65" s="7" t="n"/>
      <c r="H65" s="7" t="n"/>
      <c r="I65" s="65" t="n"/>
      <c r="J65" s="67" t="n"/>
      <c r="K65" s="82" t="n"/>
      <c r="L65" s="68">
        <f>IF($A65="","",COUNTIFS('Ordres de travail'!$Z$5:$Z$3004,B65,'Ordres de travail'!$AC$5:$AC$3004,"&lt;&gt;Annulé",'Ordres de travail'!$B$5:$B$3004,"&gt;="&amp;'Paramètres'!$AA$6,'Ordres de travail'!$B$5:$B$3004,"&lt;"&amp;('Paramètres'!$AA$7+1)))</f>
        <v/>
      </c>
      <c r="M65" s="70">
        <f>IF($A65="","",SUMIFS('Ordres de travail'!$Y$5:$Y$3004,'Ordres de travail'!$Z$5:$Z$3004,B65,'Ordres de travail'!$B$5:$B$3004,"&gt;="&amp;'Paramètres'!$AA$6,'Ordres de travail'!$B$5:$B$3004,"&lt;"&amp;('Paramètres'!$AA$7+1)))</f>
        <v/>
      </c>
      <c r="N65" s="70">
        <f>IF($A65="","",SUMIFS('Mouvements stock'!$H$5:$H$3004,'Mouvements stock'!$K$5:$K$3004,B65,'Mouvements stock'!$C$5:$C$3004,"Entrée",'Mouvements stock'!$B$5:$B$3004,"&gt;="&amp;'Paramètres'!$AA$6,'Mouvements stock'!$B$5:$B$3004,"&lt;"&amp;('Paramètres'!$AA$7+1)))</f>
        <v/>
      </c>
      <c r="O65" s="70">
        <f>IF($A65="","",N(M65)+N(N65))</f>
        <v/>
      </c>
      <c r="P65" s="9">
        <f>IF(OR($A65="",I65=""),"",IF(I65&lt;TODAY(),"Échu",IF(I65-TODAY()&lt;=60,"À renégocier","En cours")))</f>
        <v/>
      </c>
    </row>
    <row r="66">
      <c r="A66" s="7" t="n"/>
      <c r="B66" s="7" t="n"/>
      <c r="C66" s="7" t="n"/>
      <c r="D66" s="7" t="n"/>
      <c r="E66" s="7" t="n"/>
      <c r="F66" s="7" t="n"/>
      <c r="G66" s="7" t="n"/>
      <c r="H66" s="7" t="n"/>
      <c r="I66" s="65" t="n"/>
      <c r="J66" s="67" t="n"/>
      <c r="K66" s="82" t="n"/>
      <c r="L66" s="68">
        <f>IF($A66="","",COUNTIFS('Ordres de travail'!$Z$5:$Z$3004,B66,'Ordres de travail'!$AC$5:$AC$3004,"&lt;&gt;Annulé",'Ordres de travail'!$B$5:$B$3004,"&gt;="&amp;'Paramètres'!$AA$6,'Ordres de travail'!$B$5:$B$3004,"&lt;"&amp;('Paramètres'!$AA$7+1)))</f>
        <v/>
      </c>
      <c r="M66" s="70">
        <f>IF($A66="","",SUMIFS('Ordres de travail'!$Y$5:$Y$3004,'Ordres de travail'!$Z$5:$Z$3004,B66,'Ordres de travail'!$B$5:$B$3004,"&gt;="&amp;'Paramètres'!$AA$6,'Ordres de travail'!$B$5:$B$3004,"&lt;"&amp;('Paramètres'!$AA$7+1)))</f>
        <v/>
      </c>
      <c r="N66" s="70">
        <f>IF($A66="","",SUMIFS('Mouvements stock'!$H$5:$H$3004,'Mouvements stock'!$K$5:$K$3004,B66,'Mouvements stock'!$C$5:$C$3004,"Entrée",'Mouvements stock'!$B$5:$B$3004,"&gt;="&amp;'Paramètres'!$AA$6,'Mouvements stock'!$B$5:$B$3004,"&lt;"&amp;('Paramètres'!$AA$7+1)))</f>
        <v/>
      </c>
      <c r="O66" s="70">
        <f>IF($A66="","",N(M66)+N(N66))</f>
        <v/>
      </c>
      <c r="P66" s="9">
        <f>IF(OR($A66="",I66=""),"",IF(I66&lt;TODAY(),"Échu",IF(I66-TODAY()&lt;=60,"À renégocier","En cours")))</f>
        <v/>
      </c>
    </row>
    <row r="67">
      <c r="A67" s="7" t="n"/>
      <c r="B67" s="7" t="n"/>
      <c r="C67" s="7" t="n"/>
      <c r="D67" s="7" t="n"/>
      <c r="E67" s="7" t="n"/>
      <c r="F67" s="7" t="n"/>
      <c r="G67" s="7" t="n"/>
      <c r="H67" s="7" t="n"/>
      <c r="I67" s="65" t="n"/>
      <c r="J67" s="67" t="n"/>
      <c r="K67" s="82" t="n"/>
      <c r="L67" s="68">
        <f>IF($A67="","",COUNTIFS('Ordres de travail'!$Z$5:$Z$3004,B67,'Ordres de travail'!$AC$5:$AC$3004,"&lt;&gt;Annulé",'Ordres de travail'!$B$5:$B$3004,"&gt;="&amp;'Paramètres'!$AA$6,'Ordres de travail'!$B$5:$B$3004,"&lt;"&amp;('Paramètres'!$AA$7+1)))</f>
        <v/>
      </c>
      <c r="M67" s="70">
        <f>IF($A67="","",SUMIFS('Ordres de travail'!$Y$5:$Y$3004,'Ordres de travail'!$Z$5:$Z$3004,B67,'Ordres de travail'!$B$5:$B$3004,"&gt;="&amp;'Paramètres'!$AA$6,'Ordres de travail'!$B$5:$B$3004,"&lt;"&amp;('Paramètres'!$AA$7+1)))</f>
        <v/>
      </c>
      <c r="N67" s="70">
        <f>IF($A67="","",SUMIFS('Mouvements stock'!$H$5:$H$3004,'Mouvements stock'!$K$5:$K$3004,B67,'Mouvements stock'!$C$5:$C$3004,"Entrée",'Mouvements stock'!$B$5:$B$3004,"&gt;="&amp;'Paramètres'!$AA$6,'Mouvements stock'!$B$5:$B$3004,"&lt;"&amp;('Paramètres'!$AA$7+1)))</f>
        <v/>
      </c>
      <c r="O67" s="70">
        <f>IF($A67="","",N(M67)+N(N67))</f>
        <v/>
      </c>
      <c r="P67" s="9">
        <f>IF(OR($A67="",I67=""),"",IF(I67&lt;TODAY(),"Échu",IF(I67-TODAY()&lt;=60,"À renégocier","En cours")))</f>
        <v/>
      </c>
    </row>
    <row r="68">
      <c r="A68" s="7" t="n"/>
      <c r="B68" s="7" t="n"/>
      <c r="C68" s="7" t="n"/>
      <c r="D68" s="7" t="n"/>
      <c r="E68" s="7" t="n"/>
      <c r="F68" s="7" t="n"/>
      <c r="G68" s="7" t="n"/>
      <c r="H68" s="7" t="n"/>
      <c r="I68" s="65" t="n"/>
      <c r="J68" s="67" t="n"/>
      <c r="K68" s="82" t="n"/>
      <c r="L68" s="68">
        <f>IF($A68="","",COUNTIFS('Ordres de travail'!$Z$5:$Z$3004,B68,'Ordres de travail'!$AC$5:$AC$3004,"&lt;&gt;Annulé",'Ordres de travail'!$B$5:$B$3004,"&gt;="&amp;'Paramètres'!$AA$6,'Ordres de travail'!$B$5:$B$3004,"&lt;"&amp;('Paramètres'!$AA$7+1)))</f>
        <v/>
      </c>
      <c r="M68" s="70">
        <f>IF($A68="","",SUMIFS('Ordres de travail'!$Y$5:$Y$3004,'Ordres de travail'!$Z$5:$Z$3004,B68,'Ordres de travail'!$B$5:$B$3004,"&gt;="&amp;'Paramètres'!$AA$6,'Ordres de travail'!$B$5:$B$3004,"&lt;"&amp;('Paramètres'!$AA$7+1)))</f>
        <v/>
      </c>
      <c r="N68" s="70">
        <f>IF($A68="","",SUMIFS('Mouvements stock'!$H$5:$H$3004,'Mouvements stock'!$K$5:$K$3004,B68,'Mouvements stock'!$C$5:$C$3004,"Entrée",'Mouvements stock'!$B$5:$B$3004,"&gt;="&amp;'Paramètres'!$AA$6,'Mouvements stock'!$B$5:$B$3004,"&lt;"&amp;('Paramètres'!$AA$7+1)))</f>
        <v/>
      </c>
      <c r="O68" s="70">
        <f>IF($A68="","",N(M68)+N(N68))</f>
        <v/>
      </c>
      <c r="P68" s="9">
        <f>IF(OR($A68="",I68=""),"",IF(I68&lt;TODAY(),"Échu",IF(I68-TODAY()&lt;=60,"À renégocier","En cours")))</f>
        <v/>
      </c>
    </row>
    <row r="69">
      <c r="A69" s="7" t="n"/>
      <c r="B69" s="7" t="n"/>
      <c r="C69" s="7" t="n"/>
      <c r="D69" s="7" t="n"/>
      <c r="E69" s="7" t="n"/>
      <c r="F69" s="7" t="n"/>
      <c r="G69" s="7" t="n"/>
      <c r="H69" s="7" t="n"/>
      <c r="I69" s="65" t="n"/>
      <c r="J69" s="67" t="n"/>
      <c r="K69" s="82" t="n"/>
      <c r="L69" s="68">
        <f>IF($A69="","",COUNTIFS('Ordres de travail'!$Z$5:$Z$3004,B69,'Ordres de travail'!$AC$5:$AC$3004,"&lt;&gt;Annulé",'Ordres de travail'!$B$5:$B$3004,"&gt;="&amp;'Paramètres'!$AA$6,'Ordres de travail'!$B$5:$B$3004,"&lt;"&amp;('Paramètres'!$AA$7+1)))</f>
        <v/>
      </c>
      <c r="M69" s="70">
        <f>IF($A69="","",SUMIFS('Ordres de travail'!$Y$5:$Y$3004,'Ordres de travail'!$Z$5:$Z$3004,B69,'Ordres de travail'!$B$5:$B$3004,"&gt;="&amp;'Paramètres'!$AA$6,'Ordres de travail'!$B$5:$B$3004,"&lt;"&amp;('Paramètres'!$AA$7+1)))</f>
        <v/>
      </c>
      <c r="N69" s="70">
        <f>IF($A69="","",SUMIFS('Mouvements stock'!$H$5:$H$3004,'Mouvements stock'!$K$5:$K$3004,B69,'Mouvements stock'!$C$5:$C$3004,"Entrée",'Mouvements stock'!$B$5:$B$3004,"&gt;="&amp;'Paramètres'!$AA$6,'Mouvements stock'!$B$5:$B$3004,"&lt;"&amp;('Paramètres'!$AA$7+1)))</f>
        <v/>
      </c>
      <c r="O69" s="70">
        <f>IF($A69="","",N(M69)+N(N69))</f>
        <v/>
      </c>
      <c r="P69" s="9">
        <f>IF(OR($A69="",I69=""),"",IF(I69&lt;TODAY(),"Échu",IF(I69-TODAY()&lt;=60,"À renégocier","En cours")))</f>
        <v/>
      </c>
    </row>
    <row r="70">
      <c r="A70" s="7" t="n"/>
      <c r="B70" s="7" t="n"/>
      <c r="C70" s="7" t="n"/>
      <c r="D70" s="7" t="n"/>
      <c r="E70" s="7" t="n"/>
      <c r="F70" s="7" t="n"/>
      <c r="G70" s="7" t="n"/>
      <c r="H70" s="7" t="n"/>
      <c r="I70" s="65" t="n"/>
      <c r="J70" s="67" t="n"/>
      <c r="K70" s="82" t="n"/>
      <c r="L70" s="68">
        <f>IF($A70="","",COUNTIFS('Ordres de travail'!$Z$5:$Z$3004,B70,'Ordres de travail'!$AC$5:$AC$3004,"&lt;&gt;Annulé",'Ordres de travail'!$B$5:$B$3004,"&gt;="&amp;'Paramètres'!$AA$6,'Ordres de travail'!$B$5:$B$3004,"&lt;"&amp;('Paramètres'!$AA$7+1)))</f>
        <v/>
      </c>
      <c r="M70" s="70">
        <f>IF($A70="","",SUMIFS('Ordres de travail'!$Y$5:$Y$3004,'Ordres de travail'!$Z$5:$Z$3004,B70,'Ordres de travail'!$B$5:$B$3004,"&gt;="&amp;'Paramètres'!$AA$6,'Ordres de travail'!$B$5:$B$3004,"&lt;"&amp;('Paramètres'!$AA$7+1)))</f>
        <v/>
      </c>
      <c r="N70" s="70">
        <f>IF($A70="","",SUMIFS('Mouvements stock'!$H$5:$H$3004,'Mouvements stock'!$K$5:$K$3004,B70,'Mouvements stock'!$C$5:$C$3004,"Entrée",'Mouvements stock'!$B$5:$B$3004,"&gt;="&amp;'Paramètres'!$AA$6,'Mouvements stock'!$B$5:$B$3004,"&lt;"&amp;('Paramètres'!$AA$7+1)))</f>
        <v/>
      </c>
      <c r="O70" s="70">
        <f>IF($A70="","",N(M70)+N(N70))</f>
        <v/>
      </c>
      <c r="P70" s="9">
        <f>IF(OR($A70="",I70=""),"",IF(I70&lt;TODAY(),"Échu",IF(I70-TODAY()&lt;=60,"À renégocier","En cours")))</f>
        <v/>
      </c>
    </row>
    <row r="71">
      <c r="A71" s="7" t="n"/>
      <c r="B71" s="7" t="n"/>
      <c r="C71" s="7" t="n"/>
      <c r="D71" s="7" t="n"/>
      <c r="E71" s="7" t="n"/>
      <c r="F71" s="7" t="n"/>
      <c r="G71" s="7" t="n"/>
      <c r="H71" s="7" t="n"/>
      <c r="I71" s="65" t="n"/>
      <c r="J71" s="67" t="n"/>
      <c r="K71" s="82" t="n"/>
      <c r="L71" s="68">
        <f>IF($A71="","",COUNTIFS('Ordres de travail'!$Z$5:$Z$3004,B71,'Ordres de travail'!$AC$5:$AC$3004,"&lt;&gt;Annulé",'Ordres de travail'!$B$5:$B$3004,"&gt;="&amp;'Paramètres'!$AA$6,'Ordres de travail'!$B$5:$B$3004,"&lt;"&amp;('Paramètres'!$AA$7+1)))</f>
        <v/>
      </c>
      <c r="M71" s="70">
        <f>IF($A71="","",SUMIFS('Ordres de travail'!$Y$5:$Y$3004,'Ordres de travail'!$Z$5:$Z$3004,B71,'Ordres de travail'!$B$5:$B$3004,"&gt;="&amp;'Paramètres'!$AA$6,'Ordres de travail'!$B$5:$B$3004,"&lt;"&amp;('Paramètres'!$AA$7+1)))</f>
        <v/>
      </c>
      <c r="N71" s="70">
        <f>IF($A71="","",SUMIFS('Mouvements stock'!$H$5:$H$3004,'Mouvements stock'!$K$5:$K$3004,B71,'Mouvements stock'!$C$5:$C$3004,"Entrée",'Mouvements stock'!$B$5:$B$3004,"&gt;="&amp;'Paramètres'!$AA$6,'Mouvements stock'!$B$5:$B$3004,"&lt;"&amp;('Paramètres'!$AA$7+1)))</f>
        <v/>
      </c>
      <c r="O71" s="70">
        <f>IF($A71="","",N(M71)+N(N71))</f>
        <v/>
      </c>
      <c r="P71" s="9">
        <f>IF(OR($A71="",I71=""),"",IF(I71&lt;TODAY(),"Échu",IF(I71-TODAY()&lt;=60,"À renégocier","En cours")))</f>
        <v/>
      </c>
    </row>
    <row r="72">
      <c r="A72" s="7" t="n"/>
      <c r="B72" s="7" t="n"/>
      <c r="C72" s="7" t="n"/>
      <c r="D72" s="7" t="n"/>
      <c r="E72" s="7" t="n"/>
      <c r="F72" s="7" t="n"/>
      <c r="G72" s="7" t="n"/>
      <c r="H72" s="7" t="n"/>
      <c r="I72" s="65" t="n"/>
      <c r="J72" s="67" t="n"/>
      <c r="K72" s="82" t="n"/>
      <c r="L72" s="68">
        <f>IF($A72="","",COUNTIFS('Ordres de travail'!$Z$5:$Z$3004,B72,'Ordres de travail'!$AC$5:$AC$3004,"&lt;&gt;Annulé",'Ordres de travail'!$B$5:$B$3004,"&gt;="&amp;'Paramètres'!$AA$6,'Ordres de travail'!$B$5:$B$3004,"&lt;"&amp;('Paramètres'!$AA$7+1)))</f>
        <v/>
      </c>
      <c r="M72" s="70">
        <f>IF($A72="","",SUMIFS('Ordres de travail'!$Y$5:$Y$3004,'Ordres de travail'!$Z$5:$Z$3004,B72,'Ordres de travail'!$B$5:$B$3004,"&gt;="&amp;'Paramètres'!$AA$6,'Ordres de travail'!$B$5:$B$3004,"&lt;"&amp;('Paramètres'!$AA$7+1)))</f>
        <v/>
      </c>
      <c r="N72" s="70">
        <f>IF($A72="","",SUMIFS('Mouvements stock'!$H$5:$H$3004,'Mouvements stock'!$K$5:$K$3004,B72,'Mouvements stock'!$C$5:$C$3004,"Entrée",'Mouvements stock'!$B$5:$B$3004,"&gt;="&amp;'Paramètres'!$AA$6,'Mouvements stock'!$B$5:$B$3004,"&lt;"&amp;('Paramètres'!$AA$7+1)))</f>
        <v/>
      </c>
      <c r="O72" s="70">
        <f>IF($A72="","",N(M72)+N(N72))</f>
        <v/>
      </c>
      <c r="P72" s="9">
        <f>IF(OR($A72="",I72=""),"",IF(I72&lt;TODAY(),"Échu",IF(I72-TODAY()&lt;=60,"À renégocier","En cours")))</f>
        <v/>
      </c>
    </row>
    <row r="73">
      <c r="A73" s="7" t="n"/>
      <c r="B73" s="7" t="n"/>
      <c r="C73" s="7" t="n"/>
      <c r="D73" s="7" t="n"/>
      <c r="E73" s="7" t="n"/>
      <c r="F73" s="7" t="n"/>
      <c r="G73" s="7" t="n"/>
      <c r="H73" s="7" t="n"/>
      <c r="I73" s="65" t="n"/>
      <c r="J73" s="67" t="n"/>
      <c r="K73" s="82" t="n"/>
      <c r="L73" s="68">
        <f>IF($A73="","",COUNTIFS('Ordres de travail'!$Z$5:$Z$3004,B73,'Ordres de travail'!$AC$5:$AC$3004,"&lt;&gt;Annulé",'Ordres de travail'!$B$5:$B$3004,"&gt;="&amp;'Paramètres'!$AA$6,'Ordres de travail'!$B$5:$B$3004,"&lt;"&amp;('Paramètres'!$AA$7+1)))</f>
        <v/>
      </c>
      <c r="M73" s="70">
        <f>IF($A73="","",SUMIFS('Ordres de travail'!$Y$5:$Y$3004,'Ordres de travail'!$Z$5:$Z$3004,B73,'Ordres de travail'!$B$5:$B$3004,"&gt;="&amp;'Paramètres'!$AA$6,'Ordres de travail'!$B$5:$B$3004,"&lt;"&amp;('Paramètres'!$AA$7+1)))</f>
        <v/>
      </c>
      <c r="N73" s="70">
        <f>IF($A73="","",SUMIFS('Mouvements stock'!$H$5:$H$3004,'Mouvements stock'!$K$5:$K$3004,B73,'Mouvements stock'!$C$5:$C$3004,"Entrée",'Mouvements stock'!$B$5:$B$3004,"&gt;="&amp;'Paramètres'!$AA$6,'Mouvements stock'!$B$5:$B$3004,"&lt;"&amp;('Paramètres'!$AA$7+1)))</f>
        <v/>
      </c>
      <c r="O73" s="70">
        <f>IF($A73="","",N(M73)+N(N73))</f>
        <v/>
      </c>
      <c r="P73" s="9">
        <f>IF(OR($A73="",I73=""),"",IF(I73&lt;TODAY(),"Échu",IF(I73-TODAY()&lt;=60,"À renégocier","En cours")))</f>
        <v/>
      </c>
    </row>
    <row r="74">
      <c r="A74" s="7" t="n"/>
      <c r="B74" s="7" t="n"/>
      <c r="C74" s="7" t="n"/>
      <c r="D74" s="7" t="n"/>
      <c r="E74" s="7" t="n"/>
      <c r="F74" s="7" t="n"/>
      <c r="G74" s="7" t="n"/>
      <c r="H74" s="7" t="n"/>
      <c r="I74" s="65" t="n"/>
      <c r="J74" s="67" t="n"/>
      <c r="K74" s="82" t="n"/>
      <c r="L74" s="68">
        <f>IF($A74="","",COUNTIFS('Ordres de travail'!$Z$5:$Z$3004,B74,'Ordres de travail'!$AC$5:$AC$3004,"&lt;&gt;Annulé",'Ordres de travail'!$B$5:$B$3004,"&gt;="&amp;'Paramètres'!$AA$6,'Ordres de travail'!$B$5:$B$3004,"&lt;"&amp;('Paramètres'!$AA$7+1)))</f>
        <v/>
      </c>
      <c r="M74" s="70">
        <f>IF($A74="","",SUMIFS('Ordres de travail'!$Y$5:$Y$3004,'Ordres de travail'!$Z$5:$Z$3004,B74,'Ordres de travail'!$B$5:$B$3004,"&gt;="&amp;'Paramètres'!$AA$6,'Ordres de travail'!$B$5:$B$3004,"&lt;"&amp;('Paramètres'!$AA$7+1)))</f>
        <v/>
      </c>
      <c r="N74" s="70">
        <f>IF($A74="","",SUMIFS('Mouvements stock'!$H$5:$H$3004,'Mouvements stock'!$K$5:$K$3004,B74,'Mouvements stock'!$C$5:$C$3004,"Entrée",'Mouvements stock'!$B$5:$B$3004,"&gt;="&amp;'Paramètres'!$AA$6,'Mouvements stock'!$B$5:$B$3004,"&lt;"&amp;('Paramètres'!$AA$7+1)))</f>
        <v/>
      </c>
      <c r="O74" s="70">
        <f>IF($A74="","",N(M74)+N(N74))</f>
        <v/>
      </c>
      <c r="P74" s="9">
        <f>IF(OR($A74="",I74=""),"",IF(I74&lt;TODAY(),"Échu",IF(I74-TODAY()&lt;=60,"À renégocier","En cours")))</f>
        <v/>
      </c>
    </row>
    <row r="75">
      <c r="A75" s="7" t="n"/>
      <c r="B75" s="7" t="n"/>
      <c r="C75" s="7" t="n"/>
      <c r="D75" s="7" t="n"/>
      <c r="E75" s="7" t="n"/>
      <c r="F75" s="7" t="n"/>
      <c r="G75" s="7" t="n"/>
      <c r="H75" s="7" t="n"/>
      <c r="I75" s="65" t="n"/>
      <c r="J75" s="67" t="n"/>
      <c r="K75" s="82" t="n"/>
      <c r="L75" s="68">
        <f>IF($A75="","",COUNTIFS('Ordres de travail'!$Z$5:$Z$3004,B75,'Ordres de travail'!$AC$5:$AC$3004,"&lt;&gt;Annulé",'Ordres de travail'!$B$5:$B$3004,"&gt;="&amp;'Paramètres'!$AA$6,'Ordres de travail'!$B$5:$B$3004,"&lt;"&amp;('Paramètres'!$AA$7+1)))</f>
        <v/>
      </c>
      <c r="M75" s="70">
        <f>IF($A75="","",SUMIFS('Ordres de travail'!$Y$5:$Y$3004,'Ordres de travail'!$Z$5:$Z$3004,B75,'Ordres de travail'!$B$5:$B$3004,"&gt;="&amp;'Paramètres'!$AA$6,'Ordres de travail'!$B$5:$B$3004,"&lt;"&amp;('Paramètres'!$AA$7+1)))</f>
        <v/>
      </c>
      <c r="N75" s="70">
        <f>IF($A75="","",SUMIFS('Mouvements stock'!$H$5:$H$3004,'Mouvements stock'!$K$5:$K$3004,B75,'Mouvements stock'!$C$5:$C$3004,"Entrée",'Mouvements stock'!$B$5:$B$3004,"&gt;="&amp;'Paramètres'!$AA$6,'Mouvements stock'!$B$5:$B$3004,"&lt;"&amp;('Paramètres'!$AA$7+1)))</f>
        <v/>
      </c>
      <c r="O75" s="70">
        <f>IF($A75="","",N(M75)+N(N75))</f>
        <v/>
      </c>
      <c r="P75" s="9">
        <f>IF(OR($A75="",I75=""),"",IF(I75&lt;TODAY(),"Échu",IF(I75-TODAY()&lt;=60,"À renégocier","En cours")))</f>
        <v/>
      </c>
    </row>
    <row r="76">
      <c r="A76" s="7" t="n"/>
      <c r="B76" s="7" t="n"/>
      <c r="C76" s="7" t="n"/>
      <c r="D76" s="7" t="n"/>
      <c r="E76" s="7" t="n"/>
      <c r="F76" s="7" t="n"/>
      <c r="G76" s="7" t="n"/>
      <c r="H76" s="7" t="n"/>
      <c r="I76" s="65" t="n"/>
      <c r="J76" s="67" t="n"/>
      <c r="K76" s="82" t="n"/>
      <c r="L76" s="68">
        <f>IF($A76="","",COUNTIFS('Ordres de travail'!$Z$5:$Z$3004,B76,'Ordres de travail'!$AC$5:$AC$3004,"&lt;&gt;Annulé",'Ordres de travail'!$B$5:$B$3004,"&gt;="&amp;'Paramètres'!$AA$6,'Ordres de travail'!$B$5:$B$3004,"&lt;"&amp;('Paramètres'!$AA$7+1)))</f>
        <v/>
      </c>
      <c r="M76" s="70">
        <f>IF($A76="","",SUMIFS('Ordres de travail'!$Y$5:$Y$3004,'Ordres de travail'!$Z$5:$Z$3004,B76,'Ordres de travail'!$B$5:$B$3004,"&gt;="&amp;'Paramètres'!$AA$6,'Ordres de travail'!$B$5:$B$3004,"&lt;"&amp;('Paramètres'!$AA$7+1)))</f>
        <v/>
      </c>
      <c r="N76" s="70">
        <f>IF($A76="","",SUMIFS('Mouvements stock'!$H$5:$H$3004,'Mouvements stock'!$K$5:$K$3004,B76,'Mouvements stock'!$C$5:$C$3004,"Entrée",'Mouvements stock'!$B$5:$B$3004,"&gt;="&amp;'Paramètres'!$AA$6,'Mouvements stock'!$B$5:$B$3004,"&lt;"&amp;('Paramètres'!$AA$7+1)))</f>
        <v/>
      </c>
      <c r="O76" s="70">
        <f>IF($A76="","",N(M76)+N(N76))</f>
        <v/>
      </c>
      <c r="P76" s="9">
        <f>IF(OR($A76="",I76=""),"",IF(I76&lt;TODAY(),"Échu",IF(I76-TODAY()&lt;=60,"À renégocier","En cours")))</f>
        <v/>
      </c>
    </row>
    <row r="77">
      <c r="A77" s="7" t="n"/>
      <c r="B77" s="7" t="n"/>
      <c r="C77" s="7" t="n"/>
      <c r="D77" s="7" t="n"/>
      <c r="E77" s="7" t="n"/>
      <c r="F77" s="7" t="n"/>
      <c r="G77" s="7" t="n"/>
      <c r="H77" s="7" t="n"/>
      <c r="I77" s="65" t="n"/>
      <c r="J77" s="67" t="n"/>
      <c r="K77" s="82" t="n"/>
      <c r="L77" s="68">
        <f>IF($A77="","",COUNTIFS('Ordres de travail'!$Z$5:$Z$3004,B77,'Ordres de travail'!$AC$5:$AC$3004,"&lt;&gt;Annulé",'Ordres de travail'!$B$5:$B$3004,"&gt;="&amp;'Paramètres'!$AA$6,'Ordres de travail'!$B$5:$B$3004,"&lt;"&amp;('Paramètres'!$AA$7+1)))</f>
        <v/>
      </c>
      <c r="M77" s="70">
        <f>IF($A77="","",SUMIFS('Ordres de travail'!$Y$5:$Y$3004,'Ordres de travail'!$Z$5:$Z$3004,B77,'Ordres de travail'!$B$5:$B$3004,"&gt;="&amp;'Paramètres'!$AA$6,'Ordres de travail'!$B$5:$B$3004,"&lt;"&amp;('Paramètres'!$AA$7+1)))</f>
        <v/>
      </c>
      <c r="N77" s="70">
        <f>IF($A77="","",SUMIFS('Mouvements stock'!$H$5:$H$3004,'Mouvements stock'!$K$5:$K$3004,B77,'Mouvements stock'!$C$5:$C$3004,"Entrée",'Mouvements stock'!$B$5:$B$3004,"&gt;="&amp;'Paramètres'!$AA$6,'Mouvements stock'!$B$5:$B$3004,"&lt;"&amp;('Paramètres'!$AA$7+1)))</f>
        <v/>
      </c>
      <c r="O77" s="70">
        <f>IF($A77="","",N(M77)+N(N77))</f>
        <v/>
      </c>
      <c r="P77" s="9">
        <f>IF(OR($A77="",I77=""),"",IF(I77&lt;TODAY(),"Échu",IF(I77-TODAY()&lt;=60,"À renégocier","En cours")))</f>
        <v/>
      </c>
    </row>
    <row r="78">
      <c r="A78" s="7" t="n"/>
      <c r="B78" s="7" t="n"/>
      <c r="C78" s="7" t="n"/>
      <c r="D78" s="7" t="n"/>
      <c r="E78" s="7" t="n"/>
      <c r="F78" s="7" t="n"/>
      <c r="G78" s="7" t="n"/>
      <c r="H78" s="7" t="n"/>
      <c r="I78" s="65" t="n"/>
      <c r="J78" s="67" t="n"/>
      <c r="K78" s="82" t="n"/>
      <c r="L78" s="68">
        <f>IF($A78="","",COUNTIFS('Ordres de travail'!$Z$5:$Z$3004,B78,'Ordres de travail'!$AC$5:$AC$3004,"&lt;&gt;Annulé",'Ordres de travail'!$B$5:$B$3004,"&gt;="&amp;'Paramètres'!$AA$6,'Ordres de travail'!$B$5:$B$3004,"&lt;"&amp;('Paramètres'!$AA$7+1)))</f>
        <v/>
      </c>
      <c r="M78" s="70">
        <f>IF($A78="","",SUMIFS('Ordres de travail'!$Y$5:$Y$3004,'Ordres de travail'!$Z$5:$Z$3004,B78,'Ordres de travail'!$B$5:$B$3004,"&gt;="&amp;'Paramètres'!$AA$6,'Ordres de travail'!$B$5:$B$3004,"&lt;"&amp;('Paramètres'!$AA$7+1)))</f>
        <v/>
      </c>
      <c r="N78" s="70">
        <f>IF($A78="","",SUMIFS('Mouvements stock'!$H$5:$H$3004,'Mouvements stock'!$K$5:$K$3004,B78,'Mouvements stock'!$C$5:$C$3004,"Entrée",'Mouvements stock'!$B$5:$B$3004,"&gt;="&amp;'Paramètres'!$AA$6,'Mouvements stock'!$B$5:$B$3004,"&lt;"&amp;('Paramètres'!$AA$7+1)))</f>
        <v/>
      </c>
      <c r="O78" s="70">
        <f>IF($A78="","",N(M78)+N(N78))</f>
        <v/>
      </c>
      <c r="P78" s="9">
        <f>IF(OR($A78="",I78=""),"",IF(I78&lt;TODAY(),"Échu",IF(I78-TODAY()&lt;=60,"À renégocier","En cours")))</f>
        <v/>
      </c>
    </row>
    <row r="79">
      <c r="A79" s="7" t="n"/>
      <c r="B79" s="7" t="n"/>
      <c r="C79" s="7" t="n"/>
      <c r="D79" s="7" t="n"/>
      <c r="E79" s="7" t="n"/>
      <c r="F79" s="7" t="n"/>
      <c r="G79" s="7" t="n"/>
      <c r="H79" s="7" t="n"/>
      <c r="I79" s="65" t="n"/>
      <c r="J79" s="67" t="n"/>
      <c r="K79" s="82" t="n"/>
      <c r="L79" s="68">
        <f>IF($A79="","",COUNTIFS('Ordres de travail'!$Z$5:$Z$3004,B79,'Ordres de travail'!$AC$5:$AC$3004,"&lt;&gt;Annulé",'Ordres de travail'!$B$5:$B$3004,"&gt;="&amp;'Paramètres'!$AA$6,'Ordres de travail'!$B$5:$B$3004,"&lt;"&amp;('Paramètres'!$AA$7+1)))</f>
        <v/>
      </c>
      <c r="M79" s="70">
        <f>IF($A79="","",SUMIFS('Ordres de travail'!$Y$5:$Y$3004,'Ordres de travail'!$Z$5:$Z$3004,B79,'Ordres de travail'!$B$5:$B$3004,"&gt;="&amp;'Paramètres'!$AA$6,'Ordres de travail'!$B$5:$B$3004,"&lt;"&amp;('Paramètres'!$AA$7+1)))</f>
        <v/>
      </c>
      <c r="N79" s="70">
        <f>IF($A79="","",SUMIFS('Mouvements stock'!$H$5:$H$3004,'Mouvements stock'!$K$5:$K$3004,B79,'Mouvements stock'!$C$5:$C$3004,"Entrée",'Mouvements stock'!$B$5:$B$3004,"&gt;="&amp;'Paramètres'!$AA$6,'Mouvements stock'!$B$5:$B$3004,"&lt;"&amp;('Paramètres'!$AA$7+1)))</f>
        <v/>
      </c>
      <c r="O79" s="70">
        <f>IF($A79="","",N(M79)+N(N79))</f>
        <v/>
      </c>
      <c r="P79" s="9">
        <f>IF(OR($A79="",I79=""),"",IF(I79&lt;TODAY(),"Échu",IF(I79-TODAY()&lt;=60,"À renégocier","En cours")))</f>
        <v/>
      </c>
    </row>
    <row r="80">
      <c r="A80" s="7" t="n"/>
      <c r="B80" s="7" t="n"/>
      <c r="C80" s="7" t="n"/>
      <c r="D80" s="7" t="n"/>
      <c r="E80" s="7" t="n"/>
      <c r="F80" s="7" t="n"/>
      <c r="G80" s="7" t="n"/>
      <c r="H80" s="7" t="n"/>
      <c r="I80" s="65" t="n"/>
      <c r="J80" s="67" t="n"/>
      <c r="K80" s="82" t="n"/>
      <c r="L80" s="68">
        <f>IF($A80="","",COUNTIFS('Ordres de travail'!$Z$5:$Z$3004,B80,'Ordres de travail'!$AC$5:$AC$3004,"&lt;&gt;Annulé",'Ordres de travail'!$B$5:$B$3004,"&gt;="&amp;'Paramètres'!$AA$6,'Ordres de travail'!$B$5:$B$3004,"&lt;"&amp;('Paramètres'!$AA$7+1)))</f>
        <v/>
      </c>
      <c r="M80" s="70">
        <f>IF($A80="","",SUMIFS('Ordres de travail'!$Y$5:$Y$3004,'Ordres de travail'!$Z$5:$Z$3004,B80,'Ordres de travail'!$B$5:$B$3004,"&gt;="&amp;'Paramètres'!$AA$6,'Ordres de travail'!$B$5:$B$3004,"&lt;"&amp;('Paramètres'!$AA$7+1)))</f>
        <v/>
      </c>
      <c r="N80" s="70">
        <f>IF($A80="","",SUMIFS('Mouvements stock'!$H$5:$H$3004,'Mouvements stock'!$K$5:$K$3004,B80,'Mouvements stock'!$C$5:$C$3004,"Entrée",'Mouvements stock'!$B$5:$B$3004,"&gt;="&amp;'Paramètres'!$AA$6,'Mouvements stock'!$B$5:$B$3004,"&lt;"&amp;('Paramètres'!$AA$7+1)))</f>
        <v/>
      </c>
      <c r="O80" s="70">
        <f>IF($A80="","",N(M80)+N(N80))</f>
        <v/>
      </c>
      <c r="P80" s="9">
        <f>IF(OR($A80="",I80=""),"",IF(I80&lt;TODAY(),"Échu",IF(I80-TODAY()&lt;=60,"À renégocier","En cours")))</f>
        <v/>
      </c>
    </row>
    <row r="81">
      <c r="A81" s="7" t="n"/>
      <c r="B81" s="7" t="n"/>
      <c r="C81" s="7" t="n"/>
      <c r="D81" s="7" t="n"/>
      <c r="E81" s="7" t="n"/>
      <c r="F81" s="7" t="n"/>
      <c r="G81" s="7" t="n"/>
      <c r="H81" s="7" t="n"/>
      <c r="I81" s="65" t="n"/>
      <c r="J81" s="67" t="n"/>
      <c r="K81" s="82" t="n"/>
      <c r="L81" s="68">
        <f>IF($A81="","",COUNTIFS('Ordres de travail'!$Z$5:$Z$3004,B81,'Ordres de travail'!$AC$5:$AC$3004,"&lt;&gt;Annulé",'Ordres de travail'!$B$5:$B$3004,"&gt;="&amp;'Paramètres'!$AA$6,'Ordres de travail'!$B$5:$B$3004,"&lt;"&amp;('Paramètres'!$AA$7+1)))</f>
        <v/>
      </c>
      <c r="M81" s="70">
        <f>IF($A81="","",SUMIFS('Ordres de travail'!$Y$5:$Y$3004,'Ordres de travail'!$Z$5:$Z$3004,B81,'Ordres de travail'!$B$5:$B$3004,"&gt;="&amp;'Paramètres'!$AA$6,'Ordres de travail'!$B$5:$B$3004,"&lt;"&amp;('Paramètres'!$AA$7+1)))</f>
        <v/>
      </c>
      <c r="N81" s="70">
        <f>IF($A81="","",SUMIFS('Mouvements stock'!$H$5:$H$3004,'Mouvements stock'!$K$5:$K$3004,B81,'Mouvements stock'!$C$5:$C$3004,"Entrée",'Mouvements stock'!$B$5:$B$3004,"&gt;="&amp;'Paramètres'!$AA$6,'Mouvements stock'!$B$5:$B$3004,"&lt;"&amp;('Paramètres'!$AA$7+1)))</f>
        <v/>
      </c>
      <c r="O81" s="70">
        <f>IF($A81="","",N(M81)+N(N81))</f>
        <v/>
      </c>
      <c r="P81" s="9">
        <f>IF(OR($A81="",I81=""),"",IF(I81&lt;TODAY(),"Échu",IF(I81-TODAY()&lt;=60,"À renégocier","En cours")))</f>
        <v/>
      </c>
    </row>
    <row r="82">
      <c r="A82" s="7" t="n"/>
      <c r="B82" s="7" t="n"/>
      <c r="C82" s="7" t="n"/>
      <c r="D82" s="7" t="n"/>
      <c r="E82" s="7" t="n"/>
      <c r="F82" s="7" t="n"/>
      <c r="G82" s="7" t="n"/>
      <c r="H82" s="7" t="n"/>
      <c r="I82" s="65" t="n"/>
      <c r="J82" s="67" t="n"/>
      <c r="K82" s="82" t="n"/>
      <c r="L82" s="68">
        <f>IF($A82="","",COUNTIFS('Ordres de travail'!$Z$5:$Z$3004,B82,'Ordres de travail'!$AC$5:$AC$3004,"&lt;&gt;Annulé",'Ordres de travail'!$B$5:$B$3004,"&gt;="&amp;'Paramètres'!$AA$6,'Ordres de travail'!$B$5:$B$3004,"&lt;"&amp;('Paramètres'!$AA$7+1)))</f>
        <v/>
      </c>
      <c r="M82" s="70">
        <f>IF($A82="","",SUMIFS('Ordres de travail'!$Y$5:$Y$3004,'Ordres de travail'!$Z$5:$Z$3004,B82,'Ordres de travail'!$B$5:$B$3004,"&gt;="&amp;'Paramètres'!$AA$6,'Ordres de travail'!$B$5:$B$3004,"&lt;"&amp;('Paramètres'!$AA$7+1)))</f>
        <v/>
      </c>
      <c r="N82" s="70">
        <f>IF($A82="","",SUMIFS('Mouvements stock'!$H$5:$H$3004,'Mouvements stock'!$K$5:$K$3004,B82,'Mouvements stock'!$C$5:$C$3004,"Entrée",'Mouvements stock'!$B$5:$B$3004,"&gt;="&amp;'Paramètres'!$AA$6,'Mouvements stock'!$B$5:$B$3004,"&lt;"&amp;('Paramètres'!$AA$7+1)))</f>
        <v/>
      </c>
      <c r="O82" s="70">
        <f>IF($A82="","",N(M82)+N(N82))</f>
        <v/>
      </c>
      <c r="P82" s="9">
        <f>IF(OR($A82="",I82=""),"",IF(I82&lt;TODAY(),"Échu",IF(I82-TODAY()&lt;=60,"À renégocier","En cours")))</f>
        <v/>
      </c>
    </row>
    <row r="83">
      <c r="A83" s="7" t="n"/>
      <c r="B83" s="7" t="n"/>
      <c r="C83" s="7" t="n"/>
      <c r="D83" s="7" t="n"/>
      <c r="E83" s="7" t="n"/>
      <c r="F83" s="7" t="n"/>
      <c r="G83" s="7" t="n"/>
      <c r="H83" s="7" t="n"/>
      <c r="I83" s="65" t="n"/>
      <c r="J83" s="67" t="n"/>
      <c r="K83" s="82" t="n"/>
      <c r="L83" s="68">
        <f>IF($A83="","",COUNTIFS('Ordres de travail'!$Z$5:$Z$3004,B83,'Ordres de travail'!$AC$5:$AC$3004,"&lt;&gt;Annulé",'Ordres de travail'!$B$5:$B$3004,"&gt;="&amp;'Paramètres'!$AA$6,'Ordres de travail'!$B$5:$B$3004,"&lt;"&amp;('Paramètres'!$AA$7+1)))</f>
        <v/>
      </c>
      <c r="M83" s="70">
        <f>IF($A83="","",SUMIFS('Ordres de travail'!$Y$5:$Y$3004,'Ordres de travail'!$Z$5:$Z$3004,B83,'Ordres de travail'!$B$5:$B$3004,"&gt;="&amp;'Paramètres'!$AA$6,'Ordres de travail'!$B$5:$B$3004,"&lt;"&amp;('Paramètres'!$AA$7+1)))</f>
        <v/>
      </c>
      <c r="N83" s="70">
        <f>IF($A83="","",SUMIFS('Mouvements stock'!$H$5:$H$3004,'Mouvements stock'!$K$5:$K$3004,B83,'Mouvements stock'!$C$5:$C$3004,"Entrée",'Mouvements stock'!$B$5:$B$3004,"&gt;="&amp;'Paramètres'!$AA$6,'Mouvements stock'!$B$5:$B$3004,"&lt;"&amp;('Paramètres'!$AA$7+1)))</f>
        <v/>
      </c>
      <c r="O83" s="70">
        <f>IF($A83="","",N(M83)+N(N83))</f>
        <v/>
      </c>
      <c r="P83" s="9">
        <f>IF(OR($A83="",I83=""),"",IF(I83&lt;TODAY(),"Échu",IF(I83-TODAY()&lt;=60,"À renégocier","En cours")))</f>
        <v/>
      </c>
    </row>
    <row r="84">
      <c r="A84" s="7" t="n"/>
      <c r="B84" s="7" t="n"/>
      <c r="C84" s="7" t="n"/>
      <c r="D84" s="7" t="n"/>
      <c r="E84" s="7" t="n"/>
      <c r="F84" s="7" t="n"/>
      <c r="G84" s="7" t="n"/>
      <c r="H84" s="7" t="n"/>
      <c r="I84" s="65" t="n"/>
      <c r="J84" s="67" t="n"/>
      <c r="K84" s="82" t="n"/>
      <c r="L84" s="68">
        <f>IF($A84="","",COUNTIFS('Ordres de travail'!$Z$5:$Z$3004,B84,'Ordres de travail'!$AC$5:$AC$3004,"&lt;&gt;Annulé",'Ordres de travail'!$B$5:$B$3004,"&gt;="&amp;'Paramètres'!$AA$6,'Ordres de travail'!$B$5:$B$3004,"&lt;"&amp;('Paramètres'!$AA$7+1)))</f>
        <v/>
      </c>
      <c r="M84" s="70">
        <f>IF($A84="","",SUMIFS('Ordres de travail'!$Y$5:$Y$3004,'Ordres de travail'!$Z$5:$Z$3004,B84,'Ordres de travail'!$B$5:$B$3004,"&gt;="&amp;'Paramètres'!$AA$6,'Ordres de travail'!$B$5:$B$3004,"&lt;"&amp;('Paramètres'!$AA$7+1)))</f>
        <v/>
      </c>
      <c r="N84" s="70">
        <f>IF($A84="","",SUMIFS('Mouvements stock'!$H$5:$H$3004,'Mouvements stock'!$K$5:$K$3004,B84,'Mouvements stock'!$C$5:$C$3004,"Entrée",'Mouvements stock'!$B$5:$B$3004,"&gt;="&amp;'Paramètres'!$AA$6,'Mouvements stock'!$B$5:$B$3004,"&lt;"&amp;('Paramètres'!$AA$7+1)))</f>
        <v/>
      </c>
      <c r="O84" s="70">
        <f>IF($A84="","",N(M84)+N(N84))</f>
        <v/>
      </c>
      <c r="P84" s="9">
        <f>IF(OR($A84="",I84=""),"",IF(I84&lt;TODAY(),"Échu",IF(I84-TODAY()&lt;=60,"À renégocier","En cours")))</f>
        <v/>
      </c>
    </row>
  </sheetData>
  <autoFilter ref="A4:P84"/>
  <conditionalFormatting sqref="P5:P84">
    <cfRule type="expression" priority="1" dxfId="0">
      <formula>P5="Échu"</formula>
    </cfRule>
    <cfRule type="expression" priority="2" dxfId="4">
      <formula>P5="À renégocier"</formula>
    </cfRule>
  </conditionalFormatting>
  <dataValidations count="1">
    <dataValidation sqref="H5:H84" showDropDown="0" showInputMessage="0" showErrorMessage="0" allowBlank="1" type="list">
      <formula1>='Paramètres'!$X$5:$X$6</formula1>
    </dataValidation>
  </dataValidations>
  <pageMargins left="0.75" right="0.75" top="1" bottom="1" header="0.5" footer="0.5"/>
  <pageSetup orientation="landscape" fitToHeight="0" fitToWidth="1"/>
</worksheet>
</file>

<file path=xl/worksheets/sheet11.xml><?xml version="1.0" encoding="utf-8"?>
<worksheet xmlns="http://schemas.openxmlformats.org/spreadsheetml/2006/main">
  <sheetPr>
    <tabColor rgb="00C55A11"/>
    <outlinePr summaryBelow="1" summaryRight="1"/>
    <pageSetUpPr fitToPage="1"/>
  </sheetPr>
  <dimension ref="A1:N64"/>
  <sheetViews>
    <sheetView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0" customWidth="1" min="2" max="2"/>
    <col width="12" customWidth="1" min="3" max="3"/>
    <col width="12" customWidth="1" min="4" max="4"/>
    <col width="13" customWidth="1" min="5" max="5"/>
    <col width="12" customWidth="1" min="6" max="6"/>
    <col width="12" customWidth="1" min="7" max="7"/>
    <col width="13" customWidth="1" min="8" max="8"/>
    <col width="13" customWidth="1" min="9" max="9"/>
    <col width="12" customWidth="1" min="10" max="10"/>
    <col width="13" customWidth="1" min="11" max="11"/>
    <col width="10" customWidth="1" min="12" max="12"/>
    <col width="13" customWidth="1" min="13" max="13"/>
    <col width="13" customWidth="1" min="14" max="14"/>
  </cols>
  <sheetData>
    <row r="1">
      <c r="A1" s="62" t="inlineStr">
        <is>
          <t>Budget maintenance</t>
        </is>
      </c>
    </row>
    <row r="2">
      <c r="A2" s="3" t="inlineStr">
        <is>
          <t>Budget mensuel (saisie) comparé au réel calculé depuis les OT (MO + pièces + achats + sous-traitance).</t>
        </is>
      </c>
    </row>
    <row r="3">
      <c r="A3" s="63" t="inlineStr">
        <is>
          <t>Saisie : texte bleu   |   Calcul automatique : fond gris (ne pas modifier)   |   Les listes déroulantes proviennent de l'onglet Paramètres.</t>
        </is>
      </c>
    </row>
    <row r="4" ht="42" customHeight="1">
      <c r="A4" s="48" t="inlineStr">
        <is>
          <t>Année</t>
        </is>
      </c>
      <c r="B4" s="48" t="inlineStr">
        <is>
          <t>Mois</t>
        </is>
      </c>
      <c r="C4" s="48" t="inlineStr">
        <is>
          <t>Budget MO (€)</t>
        </is>
      </c>
      <c r="D4" s="48" t="inlineStr">
        <is>
          <t>Budget pièces (€)</t>
        </is>
      </c>
      <c r="E4" s="48" t="inlineStr">
        <is>
          <t>Budget sous-traitance (€)</t>
        </is>
      </c>
      <c r="F4" s="64" t="inlineStr">
        <is>
          <t>Budget total (€)</t>
        </is>
      </c>
      <c r="G4" s="64" t="inlineStr">
        <is>
          <t>Réel MO (€)</t>
        </is>
      </c>
      <c r="H4" s="64" t="inlineStr">
        <is>
          <t>Réel pièces + achats (€)</t>
        </is>
      </c>
      <c r="I4" s="64" t="inlineStr">
        <is>
          <t>Réel sous-traitance (€)</t>
        </is>
      </c>
      <c r="J4" s="64" t="inlineStr">
        <is>
          <t>Réel total (€)</t>
        </is>
      </c>
      <c r="K4" s="64" t="inlineStr">
        <is>
          <t>Écart budget - réel (€)</t>
        </is>
      </c>
      <c r="L4" s="64" t="inlineStr">
        <is>
          <t>% consommé</t>
        </is>
      </c>
      <c r="M4" s="64" t="inlineStr">
        <is>
          <t>Cumul budget année (€)</t>
        </is>
      </c>
      <c r="N4" s="64" t="inlineStr">
        <is>
          <t>Cumul réel année (€)</t>
        </is>
      </c>
    </row>
    <row r="5">
      <c r="A5" s="82" t="n">
        <v>2025</v>
      </c>
      <c r="B5" s="83" t="n">
        <v>45658</v>
      </c>
      <c r="C5" s="66" t="n">
        <v>8900</v>
      </c>
      <c r="D5" s="66" t="n">
        <v>9540</v>
      </c>
      <c r="E5" s="66" t="n">
        <v>6410</v>
      </c>
      <c r="F5" s="70">
        <f>IF($A5="","",N(C5)+N(D5)+N(E5))</f>
        <v/>
      </c>
      <c r="G5" s="70">
        <f>IF($A5="","",SUMIFS('Ordres de travail'!$V$5:$V$3004,'Ordres de travail'!$B$5:$B$3004,"&gt;="&amp;B5,'Ordres de travail'!$B$5:$B$3004,"&lt;"&amp;EDATE(B5,1)))</f>
        <v/>
      </c>
      <c r="H5" s="70">
        <f>IF($A5="","",SUMIFS('Ordres de travail'!$W$5:$W$3004,'Ordres de travail'!$B$5:$B$3004,"&gt;="&amp;B5,'Ordres de travail'!$B$5:$B$3004,"&lt;"&amp;EDATE(B5,1))+SUMIFS('Ordres de travail'!$X$5:$X$3004,'Ordres de travail'!$B$5:$B$3004,"&gt;="&amp;B5,'Ordres de travail'!$B$5:$B$3004,"&lt;"&amp;EDATE(B5,1)))</f>
        <v/>
      </c>
      <c r="I5" s="70">
        <f>IF($A5="","",SUMIFS('Ordres de travail'!$Y$5:$Y$3004,'Ordres de travail'!$B$5:$B$3004,"&gt;="&amp;B5,'Ordres de travail'!$B$5:$B$3004,"&lt;"&amp;EDATE(B5,1)))</f>
        <v/>
      </c>
      <c r="J5" s="70">
        <f>IF($A5="","",G5+H5+I5)</f>
        <v/>
      </c>
      <c r="K5" s="84">
        <f>IF($A5="","",F5-J5)</f>
        <v/>
      </c>
      <c r="L5" s="71">
        <f>IF($A5="","",IF(N(F5)=0,"-",J5/F5))</f>
        <v/>
      </c>
      <c r="M5" s="70">
        <f>IF($A5="","",SUMIFS('Budget'!$F$5:$F$64,'Budget'!$A$5:$A$64,$A5,'Budget'!$B$5:$B$64,"&lt;="&amp;B5))</f>
        <v/>
      </c>
      <c r="N5" s="70">
        <f>IF($A5="","",SUMIFS('Budget'!$J$5:$J$64,'Budget'!$A$5:$A$64,$A5,'Budget'!$B$5:$B$64,"&lt;="&amp;B5))</f>
        <v/>
      </c>
    </row>
    <row r="6">
      <c r="A6" s="82" t="n">
        <v>2025</v>
      </c>
      <c r="B6" s="83" t="n">
        <v>45689</v>
      </c>
      <c r="C6" s="66" t="n">
        <v>8900</v>
      </c>
      <c r="D6" s="66" t="n">
        <v>9540</v>
      </c>
      <c r="E6" s="66" t="n">
        <v>6410</v>
      </c>
      <c r="F6" s="70">
        <f>IF($A6="","",N(C6)+N(D6)+N(E6))</f>
        <v/>
      </c>
      <c r="G6" s="70">
        <f>IF($A6="","",SUMIFS('Ordres de travail'!$V$5:$V$3004,'Ordres de travail'!$B$5:$B$3004,"&gt;="&amp;B6,'Ordres de travail'!$B$5:$B$3004,"&lt;"&amp;EDATE(B6,1)))</f>
        <v/>
      </c>
      <c r="H6" s="70">
        <f>IF($A6="","",SUMIFS('Ordres de travail'!$W$5:$W$3004,'Ordres de travail'!$B$5:$B$3004,"&gt;="&amp;B6,'Ordres de travail'!$B$5:$B$3004,"&lt;"&amp;EDATE(B6,1))+SUMIFS('Ordres de travail'!$X$5:$X$3004,'Ordres de travail'!$B$5:$B$3004,"&gt;="&amp;B6,'Ordres de travail'!$B$5:$B$3004,"&lt;"&amp;EDATE(B6,1)))</f>
        <v/>
      </c>
      <c r="I6" s="70">
        <f>IF($A6="","",SUMIFS('Ordres de travail'!$Y$5:$Y$3004,'Ordres de travail'!$B$5:$B$3004,"&gt;="&amp;B6,'Ordres de travail'!$B$5:$B$3004,"&lt;"&amp;EDATE(B6,1)))</f>
        <v/>
      </c>
      <c r="J6" s="70">
        <f>IF($A6="","",G6+H6+I6)</f>
        <v/>
      </c>
      <c r="K6" s="84">
        <f>IF($A6="","",F6-J6)</f>
        <v/>
      </c>
      <c r="L6" s="71">
        <f>IF($A6="","",IF(N(F6)=0,"-",J6/F6))</f>
        <v/>
      </c>
      <c r="M6" s="70">
        <f>IF($A6="","",SUMIFS('Budget'!$F$5:$F$64,'Budget'!$A$5:$A$64,$A6,'Budget'!$B$5:$B$64,"&lt;="&amp;B6))</f>
        <v/>
      </c>
      <c r="N6" s="70">
        <f>IF($A6="","",SUMIFS('Budget'!$J$5:$J$64,'Budget'!$A$5:$A$64,$A6,'Budget'!$B$5:$B$64,"&lt;="&amp;B6))</f>
        <v/>
      </c>
    </row>
    <row r="7">
      <c r="A7" s="82" t="n">
        <v>2025</v>
      </c>
      <c r="B7" s="83" t="n">
        <v>45717</v>
      </c>
      <c r="C7" s="66" t="n">
        <v>8900</v>
      </c>
      <c r="D7" s="66" t="n">
        <v>9540</v>
      </c>
      <c r="E7" s="66" t="n">
        <v>6410</v>
      </c>
      <c r="F7" s="70">
        <f>IF($A7="","",N(C7)+N(D7)+N(E7))</f>
        <v/>
      </c>
      <c r="G7" s="70">
        <f>IF($A7="","",SUMIFS('Ordres de travail'!$V$5:$V$3004,'Ordres de travail'!$B$5:$B$3004,"&gt;="&amp;B7,'Ordres de travail'!$B$5:$B$3004,"&lt;"&amp;EDATE(B7,1)))</f>
        <v/>
      </c>
      <c r="H7" s="70">
        <f>IF($A7="","",SUMIFS('Ordres de travail'!$W$5:$W$3004,'Ordres de travail'!$B$5:$B$3004,"&gt;="&amp;B7,'Ordres de travail'!$B$5:$B$3004,"&lt;"&amp;EDATE(B7,1))+SUMIFS('Ordres de travail'!$X$5:$X$3004,'Ordres de travail'!$B$5:$B$3004,"&gt;="&amp;B7,'Ordres de travail'!$B$5:$B$3004,"&lt;"&amp;EDATE(B7,1)))</f>
        <v/>
      </c>
      <c r="I7" s="70">
        <f>IF($A7="","",SUMIFS('Ordres de travail'!$Y$5:$Y$3004,'Ordres de travail'!$B$5:$B$3004,"&gt;="&amp;B7,'Ordres de travail'!$B$5:$B$3004,"&lt;"&amp;EDATE(B7,1)))</f>
        <v/>
      </c>
      <c r="J7" s="70">
        <f>IF($A7="","",G7+H7+I7)</f>
        <v/>
      </c>
      <c r="K7" s="84">
        <f>IF($A7="","",F7-J7)</f>
        <v/>
      </c>
      <c r="L7" s="71">
        <f>IF($A7="","",IF(N(F7)=0,"-",J7/F7))</f>
        <v/>
      </c>
      <c r="M7" s="70">
        <f>IF($A7="","",SUMIFS('Budget'!$F$5:$F$64,'Budget'!$A$5:$A$64,$A7,'Budget'!$B$5:$B$64,"&lt;="&amp;B7))</f>
        <v/>
      </c>
      <c r="N7" s="70">
        <f>IF($A7="","",SUMIFS('Budget'!$J$5:$J$64,'Budget'!$A$5:$A$64,$A7,'Budget'!$B$5:$B$64,"&lt;="&amp;B7))</f>
        <v/>
      </c>
    </row>
    <row r="8">
      <c r="A8" s="82" t="n">
        <v>2025</v>
      </c>
      <c r="B8" s="83" t="n">
        <v>45748</v>
      </c>
      <c r="C8" s="66" t="n">
        <v>8900</v>
      </c>
      <c r="D8" s="66" t="n">
        <v>9540</v>
      </c>
      <c r="E8" s="66" t="n">
        <v>6410</v>
      </c>
      <c r="F8" s="70">
        <f>IF($A8="","",N(C8)+N(D8)+N(E8))</f>
        <v/>
      </c>
      <c r="G8" s="70">
        <f>IF($A8="","",SUMIFS('Ordres de travail'!$V$5:$V$3004,'Ordres de travail'!$B$5:$B$3004,"&gt;="&amp;B8,'Ordres de travail'!$B$5:$B$3004,"&lt;"&amp;EDATE(B8,1)))</f>
        <v/>
      </c>
      <c r="H8" s="70">
        <f>IF($A8="","",SUMIFS('Ordres de travail'!$W$5:$W$3004,'Ordres de travail'!$B$5:$B$3004,"&gt;="&amp;B8,'Ordres de travail'!$B$5:$B$3004,"&lt;"&amp;EDATE(B8,1))+SUMIFS('Ordres de travail'!$X$5:$X$3004,'Ordres de travail'!$B$5:$B$3004,"&gt;="&amp;B8,'Ordres de travail'!$B$5:$B$3004,"&lt;"&amp;EDATE(B8,1)))</f>
        <v/>
      </c>
      <c r="I8" s="70">
        <f>IF($A8="","",SUMIFS('Ordres de travail'!$Y$5:$Y$3004,'Ordres de travail'!$B$5:$B$3004,"&gt;="&amp;B8,'Ordres de travail'!$B$5:$B$3004,"&lt;"&amp;EDATE(B8,1)))</f>
        <v/>
      </c>
      <c r="J8" s="70">
        <f>IF($A8="","",G8+H8+I8)</f>
        <v/>
      </c>
      <c r="K8" s="84">
        <f>IF($A8="","",F8-J8)</f>
        <v/>
      </c>
      <c r="L8" s="71">
        <f>IF($A8="","",IF(N(F8)=0,"-",J8/F8))</f>
        <v/>
      </c>
      <c r="M8" s="70">
        <f>IF($A8="","",SUMIFS('Budget'!$F$5:$F$64,'Budget'!$A$5:$A$64,$A8,'Budget'!$B$5:$B$64,"&lt;="&amp;B8))</f>
        <v/>
      </c>
      <c r="N8" s="70">
        <f>IF($A8="","",SUMIFS('Budget'!$J$5:$J$64,'Budget'!$A$5:$A$64,$A8,'Budget'!$B$5:$B$64,"&lt;="&amp;B8))</f>
        <v/>
      </c>
    </row>
    <row r="9">
      <c r="A9" s="82" t="n">
        <v>2025</v>
      </c>
      <c r="B9" s="83" t="n">
        <v>45778</v>
      </c>
      <c r="C9" s="66" t="n">
        <v>8900</v>
      </c>
      <c r="D9" s="66" t="n">
        <v>9540</v>
      </c>
      <c r="E9" s="66" t="n">
        <v>6410</v>
      </c>
      <c r="F9" s="70">
        <f>IF($A9="","",N(C9)+N(D9)+N(E9))</f>
        <v/>
      </c>
      <c r="G9" s="70">
        <f>IF($A9="","",SUMIFS('Ordres de travail'!$V$5:$V$3004,'Ordres de travail'!$B$5:$B$3004,"&gt;="&amp;B9,'Ordres de travail'!$B$5:$B$3004,"&lt;"&amp;EDATE(B9,1)))</f>
        <v/>
      </c>
      <c r="H9" s="70">
        <f>IF($A9="","",SUMIFS('Ordres de travail'!$W$5:$W$3004,'Ordres de travail'!$B$5:$B$3004,"&gt;="&amp;B9,'Ordres de travail'!$B$5:$B$3004,"&lt;"&amp;EDATE(B9,1))+SUMIFS('Ordres de travail'!$X$5:$X$3004,'Ordres de travail'!$B$5:$B$3004,"&gt;="&amp;B9,'Ordres de travail'!$B$5:$B$3004,"&lt;"&amp;EDATE(B9,1)))</f>
        <v/>
      </c>
      <c r="I9" s="70">
        <f>IF($A9="","",SUMIFS('Ordres de travail'!$Y$5:$Y$3004,'Ordres de travail'!$B$5:$B$3004,"&gt;="&amp;B9,'Ordres de travail'!$B$5:$B$3004,"&lt;"&amp;EDATE(B9,1)))</f>
        <v/>
      </c>
      <c r="J9" s="70">
        <f>IF($A9="","",G9+H9+I9)</f>
        <v/>
      </c>
      <c r="K9" s="84">
        <f>IF($A9="","",F9-J9)</f>
        <v/>
      </c>
      <c r="L9" s="71">
        <f>IF($A9="","",IF(N(F9)=0,"-",J9/F9))</f>
        <v/>
      </c>
      <c r="M9" s="70">
        <f>IF($A9="","",SUMIFS('Budget'!$F$5:$F$64,'Budget'!$A$5:$A$64,$A9,'Budget'!$B$5:$B$64,"&lt;="&amp;B9))</f>
        <v/>
      </c>
      <c r="N9" s="70">
        <f>IF($A9="","",SUMIFS('Budget'!$J$5:$J$64,'Budget'!$A$5:$A$64,$A9,'Budget'!$B$5:$B$64,"&lt;="&amp;B9))</f>
        <v/>
      </c>
    </row>
    <row r="10">
      <c r="A10" s="82" t="n">
        <v>2025</v>
      </c>
      <c r="B10" s="83" t="n">
        <v>45809</v>
      </c>
      <c r="C10" s="66" t="n">
        <v>8900</v>
      </c>
      <c r="D10" s="66" t="n">
        <v>9540</v>
      </c>
      <c r="E10" s="66" t="n">
        <v>6410</v>
      </c>
      <c r="F10" s="70">
        <f>IF($A10="","",N(C10)+N(D10)+N(E10))</f>
        <v/>
      </c>
      <c r="G10" s="70">
        <f>IF($A10="","",SUMIFS('Ordres de travail'!$V$5:$V$3004,'Ordres de travail'!$B$5:$B$3004,"&gt;="&amp;B10,'Ordres de travail'!$B$5:$B$3004,"&lt;"&amp;EDATE(B10,1)))</f>
        <v/>
      </c>
      <c r="H10" s="70">
        <f>IF($A10="","",SUMIFS('Ordres de travail'!$W$5:$W$3004,'Ordres de travail'!$B$5:$B$3004,"&gt;="&amp;B10,'Ordres de travail'!$B$5:$B$3004,"&lt;"&amp;EDATE(B10,1))+SUMIFS('Ordres de travail'!$X$5:$X$3004,'Ordres de travail'!$B$5:$B$3004,"&gt;="&amp;B10,'Ordres de travail'!$B$5:$B$3004,"&lt;"&amp;EDATE(B10,1)))</f>
        <v/>
      </c>
      <c r="I10" s="70">
        <f>IF($A10="","",SUMIFS('Ordres de travail'!$Y$5:$Y$3004,'Ordres de travail'!$B$5:$B$3004,"&gt;="&amp;B10,'Ordres de travail'!$B$5:$B$3004,"&lt;"&amp;EDATE(B10,1)))</f>
        <v/>
      </c>
      <c r="J10" s="70">
        <f>IF($A10="","",G10+H10+I10)</f>
        <v/>
      </c>
      <c r="K10" s="84">
        <f>IF($A10="","",F10-J10)</f>
        <v/>
      </c>
      <c r="L10" s="71">
        <f>IF($A10="","",IF(N(F10)=0,"-",J10/F10))</f>
        <v/>
      </c>
      <c r="M10" s="70">
        <f>IF($A10="","",SUMIFS('Budget'!$F$5:$F$64,'Budget'!$A$5:$A$64,$A10,'Budget'!$B$5:$B$64,"&lt;="&amp;B10))</f>
        <v/>
      </c>
      <c r="N10" s="70">
        <f>IF($A10="","",SUMIFS('Budget'!$J$5:$J$64,'Budget'!$A$5:$A$64,$A10,'Budget'!$B$5:$B$64,"&lt;="&amp;B10))</f>
        <v/>
      </c>
    </row>
    <row r="11">
      <c r="A11" s="82" t="n">
        <v>2025</v>
      </c>
      <c r="B11" s="83" t="n">
        <v>45839</v>
      </c>
      <c r="C11" s="66" t="n">
        <v>8900</v>
      </c>
      <c r="D11" s="66" t="n">
        <v>9540</v>
      </c>
      <c r="E11" s="66" t="n">
        <v>6410</v>
      </c>
      <c r="F11" s="70">
        <f>IF($A11="","",N(C11)+N(D11)+N(E11))</f>
        <v/>
      </c>
      <c r="G11" s="70">
        <f>IF($A11="","",SUMIFS('Ordres de travail'!$V$5:$V$3004,'Ordres de travail'!$B$5:$B$3004,"&gt;="&amp;B11,'Ordres de travail'!$B$5:$B$3004,"&lt;"&amp;EDATE(B11,1)))</f>
        <v/>
      </c>
      <c r="H11" s="70">
        <f>IF($A11="","",SUMIFS('Ordres de travail'!$W$5:$W$3004,'Ordres de travail'!$B$5:$B$3004,"&gt;="&amp;B11,'Ordres de travail'!$B$5:$B$3004,"&lt;"&amp;EDATE(B11,1))+SUMIFS('Ordres de travail'!$X$5:$X$3004,'Ordres de travail'!$B$5:$B$3004,"&gt;="&amp;B11,'Ordres de travail'!$B$5:$B$3004,"&lt;"&amp;EDATE(B11,1)))</f>
        <v/>
      </c>
      <c r="I11" s="70">
        <f>IF($A11="","",SUMIFS('Ordres de travail'!$Y$5:$Y$3004,'Ordres de travail'!$B$5:$B$3004,"&gt;="&amp;B11,'Ordres de travail'!$B$5:$B$3004,"&lt;"&amp;EDATE(B11,1)))</f>
        <v/>
      </c>
      <c r="J11" s="70">
        <f>IF($A11="","",G11+H11+I11)</f>
        <v/>
      </c>
      <c r="K11" s="84">
        <f>IF($A11="","",F11-J11)</f>
        <v/>
      </c>
      <c r="L11" s="71">
        <f>IF($A11="","",IF(N(F11)=0,"-",J11/F11))</f>
        <v/>
      </c>
      <c r="M11" s="70">
        <f>IF($A11="","",SUMIFS('Budget'!$F$5:$F$64,'Budget'!$A$5:$A$64,$A11,'Budget'!$B$5:$B$64,"&lt;="&amp;B11))</f>
        <v/>
      </c>
      <c r="N11" s="70">
        <f>IF($A11="","",SUMIFS('Budget'!$J$5:$J$64,'Budget'!$A$5:$A$64,$A11,'Budget'!$B$5:$B$64,"&lt;="&amp;B11))</f>
        <v/>
      </c>
    </row>
    <row r="12">
      <c r="A12" s="82" t="n">
        <v>2025</v>
      </c>
      <c r="B12" s="83" t="n">
        <v>45870</v>
      </c>
      <c r="C12" s="66" t="n">
        <v>12020</v>
      </c>
      <c r="D12" s="66" t="n">
        <v>12880</v>
      </c>
      <c r="E12" s="66" t="n">
        <v>8650</v>
      </c>
      <c r="F12" s="70">
        <f>IF($A12="","",N(C12)+N(D12)+N(E12))</f>
        <v/>
      </c>
      <c r="G12" s="70">
        <f>IF($A12="","",SUMIFS('Ordres de travail'!$V$5:$V$3004,'Ordres de travail'!$B$5:$B$3004,"&gt;="&amp;B12,'Ordres de travail'!$B$5:$B$3004,"&lt;"&amp;EDATE(B12,1)))</f>
        <v/>
      </c>
      <c r="H12" s="70">
        <f>IF($A12="","",SUMIFS('Ordres de travail'!$W$5:$W$3004,'Ordres de travail'!$B$5:$B$3004,"&gt;="&amp;B12,'Ordres de travail'!$B$5:$B$3004,"&lt;"&amp;EDATE(B12,1))+SUMIFS('Ordres de travail'!$X$5:$X$3004,'Ordres de travail'!$B$5:$B$3004,"&gt;="&amp;B12,'Ordres de travail'!$B$5:$B$3004,"&lt;"&amp;EDATE(B12,1)))</f>
        <v/>
      </c>
      <c r="I12" s="70">
        <f>IF($A12="","",SUMIFS('Ordres de travail'!$Y$5:$Y$3004,'Ordres de travail'!$B$5:$B$3004,"&gt;="&amp;B12,'Ordres de travail'!$B$5:$B$3004,"&lt;"&amp;EDATE(B12,1)))</f>
        <v/>
      </c>
      <c r="J12" s="70">
        <f>IF($A12="","",G12+H12+I12)</f>
        <v/>
      </c>
      <c r="K12" s="84">
        <f>IF($A12="","",F12-J12)</f>
        <v/>
      </c>
      <c r="L12" s="71">
        <f>IF($A12="","",IF(N(F12)=0,"-",J12/F12))</f>
        <v/>
      </c>
      <c r="M12" s="70">
        <f>IF($A12="","",SUMIFS('Budget'!$F$5:$F$64,'Budget'!$A$5:$A$64,$A12,'Budget'!$B$5:$B$64,"&lt;="&amp;B12))</f>
        <v/>
      </c>
      <c r="N12" s="70">
        <f>IF($A12="","",SUMIFS('Budget'!$J$5:$J$64,'Budget'!$A$5:$A$64,$A12,'Budget'!$B$5:$B$64,"&lt;="&amp;B12))</f>
        <v/>
      </c>
    </row>
    <row r="13">
      <c r="A13" s="82" t="n">
        <v>2025</v>
      </c>
      <c r="B13" s="83" t="n">
        <v>45901</v>
      </c>
      <c r="C13" s="66" t="n">
        <v>8900</v>
      </c>
      <c r="D13" s="66" t="n">
        <v>9540</v>
      </c>
      <c r="E13" s="66" t="n">
        <v>6410</v>
      </c>
      <c r="F13" s="70">
        <f>IF($A13="","",N(C13)+N(D13)+N(E13))</f>
        <v/>
      </c>
      <c r="G13" s="70">
        <f>IF($A13="","",SUMIFS('Ordres de travail'!$V$5:$V$3004,'Ordres de travail'!$B$5:$B$3004,"&gt;="&amp;B13,'Ordres de travail'!$B$5:$B$3004,"&lt;"&amp;EDATE(B13,1)))</f>
        <v/>
      </c>
      <c r="H13" s="70">
        <f>IF($A13="","",SUMIFS('Ordres de travail'!$W$5:$W$3004,'Ordres de travail'!$B$5:$B$3004,"&gt;="&amp;B13,'Ordres de travail'!$B$5:$B$3004,"&lt;"&amp;EDATE(B13,1))+SUMIFS('Ordres de travail'!$X$5:$X$3004,'Ordres de travail'!$B$5:$B$3004,"&gt;="&amp;B13,'Ordres de travail'!$B$5:$B$3004,"&lt;"&amp;EDATE(B13,1)))</f>
        <v/>
      </c>
      <c r="I13" s="70">
        <f>IF($A13="","",SUMIFS('Ordres de travail'!$Y$5:$Y$3004,'Ordres de travail'!$B$5:$B$3004,"&gt;="&amp;B13,'Ordres de travail'!$B$5:$B$3004,"&lt;"&amp;EDATE(B13,1)))</f>
        <v/>
      </c>
      <c r="J13" s="70">
        <f>IF($A13="","",G13+H13+I13)</f>
        <v/>
      </c>
      <c r="K13" s="84">
        <f>IF($A13="","",F13-J13)</f>
        <v/>
      </c>
      <c r="L13" s="71">
        <f>IF($A13="","",IF(N(F13)=0,"-",J13/F13))</f>
        <v/>
      </c>
      <c r="M13" s="70">
        <f>IF($A13="","",SUMIFS('Budget'!$F$5:$F$64,'Budget'!$A$5:$A$64,$A13,'Budget'!$B$5:$B$64,"&lt;="&amp;B13))</f>
        <v/>
      </c>
      <c r="N13" s="70">
        <f>IF($A13="","",SUMIFS('Budget'!$J$5:$J$64,'Budget'!$A$5:$A$64,$A13,'Budget'!$B$5:$B$64,"&lt;="&amp;B13))</f>
        <v/>
      </c>
    </row>
    <row r="14">
      <c r="A14" s="82" t="n">
        <v>2025</v>
      </c>
      <c r="B14" s="83" t="n">
        <v>45931</v>
      </c>
      <c r="C14" s="66" t="n">
        <v>8900</v>
      </c>
      <c r="D14" s="66" t="n">
        <v>9540</v>
      </c>
      <c r="E14" s="66" t="n">
        <v>6410</v>
      </c>
      <c r="F14" s="70">
        <f>IF($A14="","",N(C14)+N(D14)+N(E14))</f>
        <v/>
      </c>
      <c r="G14" s="70">
        <f>IF($A14="","",SUMIFS('Ordres de travail'!$V$5:$V$3004,'Ordres de travail'!$B$5:$B$3004,"&gt;="&amp;B14,'Ordres de travail'!$B$5:$B$3004,"&lt;"&amp;EDATE(B14,1)))</f>
        <v/>
      </c>
      <c r="H14" s="70">
        <f>IF($A14="","",SUMIFS('Ordres de travail'!$W$5:$W$3004,'Ordres de travail'!$B$5:$B$3004,"&gt;="&amp;B14,'Ordres de travail'!$B$5:$B$3004,"&lt;"&amp;EDATE(B14,1))+SUMIFS('Ordres de travail'!$X$5:$X$3004,'Ordres de travail'!$B$5:$B$3004,"&gt;="&amp;B14,'Ordres de travail'!$B$5:$B$3004,"&lt;"&amp;EDATE(B14,1)))</f>
        <v/>
      </c>
      <c r="I14" s="70">
        <f>IF($A14="","",SUMIFS('Ordres de travail'!$Y$5:$Y$3004,'Ordres de travail'!$B$5:$B$3004,"&gt;="&amp;B14,'Ordres de travail'!$B$5:$B$3004,"&lt;"&amp;EDATE(B14,1)))</f>
        <v/>
      </c>
      <c r="J14" s="70">
        <f>IF($A14="","",G14+H14+I14)</f>
        <v/>
      </c>
      <c r="K14" s="84">
        <f>IF($A14="","",F14-J14)</f>
        <v/>
      </c>
      <c r="L14" s="71">
        <f>IF($A14="","",IF(N(F14)=0,"-",J14/F14))</f>
        <v/>
      </c>
      <c r="M14" s="70">
        <f>IF($A14="","",SUMIFS('Budget'!$F$5:$F$64,'Budget'!$A$5:$A$64,$A14,'Budget'!$B$5:$B$64,"&lt;="&amp;B14))</f>
        <v/>
      </c>
      <c r="N14" s="70">
        <f>IF($A14="","",SUMIFS('Budget'!$J$5:$J$64,'Budget'!$A$5:$A$64,$A14,'Budget'!$B$5:$B$64,"&lt;="&amp;B14))</f>
        <v/>
      </c>
    </row>
    <row r="15">
      <c r="A15" s="82" t="n">
        <v>2025</v>
      </c>
      <c r="B15" s="83" t="n">
        <v>45962</v>
      </c>
      <c r="C15" s="66" t="n">
        <v>8900</v>
      </c>
      <c r="D15" s="66" t="n">
        <v>9540</v>
      </c>
      <c r="E15" s="66" t="n">
        <v>6410</v>
      </c>
      <c r="F15" s="70">
        <f>IF($A15="","",N(C15)+N(D15)+N(E15))</f>
        <v/>
      </c>
      <c r="G15" s="70">
        <f>IF($A15="","",SUMIFS('Ordres de travail'!$V$5:$V$3004,'Ordres de travail'!$B$5:$B$3004,"&gt;="&amp;B15,'Ordres de travail'!$B$5:$B$3004,"&lt;"&amp;EDATE(B15,1)))</f>
        <v/>
      </c>
      <c r="H15" s="70">
        <f>IF($A15="","",SUMIFS('Ordres de travail'!$W$5:$W$3004,'Ordres de travail'!$B$5:$B$3004,"&gt;="&amp;B15,'Ordres de travail'!$B$5:$B$3004,"&lt;"&amp;EDATE(B15,1))+SUMIFS('Ordres de travail'!$X$5:$X$3004,'Ordres de travail'!$B$5:$B$3004,"&gt;="&amp;B15,'Ordres de travail'!$B$5:$B$3004,"&lt;"&amp;EDATE(B15,1)))</f>
        <v/>
      </c>
      <c r="I15" s="70">
        <f>IF($A15="","",SUMIFS('Ordres de travail'!$Y$5:$Y$3004,'Ordres de travail'!$B$5:$B$3004,"&gt;="&amp;B15,'Ordres de travail'!$B$5:$B$3004,"&lt;"&amp;EDATE(B15,1)))</f>
        <v/>
      </c>
      <c r="J15" s="70">
        <f>IF($A15="","",G15+H15+I15)</f>
        <v/>
      </c>
      <c r="K15" s="84">
        <f>IF($A15="","",F15-J15)</f>
        <v/>
      </c>
      <c r="L15" s="71">
        <f>IF($A15="","",IF(N(F15)=0,"-",J15/F15))</f>
        <v/>
      </c>
      <c r="M15" s="70">
        <f>IF($A15="","",SUMIFS('Budget'!$F$5:$F$64,'Budget'!$A$5:$A$64,$A15,'Budget'!$B$5:$B$64,"&lt;="&amp;B15))</f>
        <v/>
      </c>
      <c r="N15" s="70">
        <f>IF($A15="","",SUMIFS('Budget'!$J$5:$J$64,'Budget'!$A$5:$A$64,$A15,'Budget'!$B$5:$B$64,"&lt;="&amp;B15))</f>
        <v/>
      </c>
    </row>
    <row r="16">
      <c r="A16" s="82" t="n">
        <v>2025</v>
      </c>
      <c r="B16" s="83" t="n">
        <v>45992</v>
      </c>
      <c r="C16" s="66" t="n">
        <v>7560</v>
      </c>
      <c r="D16" s="66" t="n">
        <v>8110</v>
      </c>
      <c r="E16" s="66" t="n">
        <v>5450</v>
      </c>
      <c r="F16" s="70">
        <f>IF($A16="","",N(C16)+N(D16)+N(E16))</f>
        <v/>
      </c>
      <c r="G16" s="70">
        <f>IF($A16="","",SUMIFS('Ordres de travail'!$V$5:$V$3004,'Ordres de travail'!$B$5:$B$3004,"&gt;="&amp;B16,'Ordres de travail'!$B$5:$B$3004,"&lt;"&amp;EDATE(B16,1)))</f>
        <v/>
      </c>
      <c r="H16" s="70">
        <f>IF($A16="","",SUMIFS('Ordres de travail'!$W$5:$W$3004,'Ordres de travail'!$B$5:$B$3004,"&gt;="&amp;B16,'Ordres de travail'!$B$5:$B$3004,"&lt;"&amp;EDATE(B16,1))+SUMIFS('Ordres de travail'!$X$5:$X$3004,'Ordres de travail'!$B$5:$B$3004,"&gt;="&amp;B16,'Ordres de travail'!$B$5:$B$3004,"&lt;"&amp;EDATE(B16,1)))</f>
        <v/>
      </c>
      <c r="I16" s="70">
        <f>IF($A16="","",SUMIFS('Ordres de travail'!$Y$5:$Y$3004,'Ordres de travail'!$B$5:$B$3004,"&gt;="&amp;B16,'Ordres de travail'!$B$5:$B$3004,"&lt;"&amp;EDATE(B16,1)))</f>
        <v/>
      </c>
      <c r="J16" s="70">
        <f>IF($A16="","",G16+H16+I16)</f>
        <v/>
      </c>
      <c r="K16" s="84">
        <f>IF($A16="","",F16-J16)</f>
        <v/>
      </c>
      <c r="L16" s="71">
        <f>IF($A16="","",IF(N(F16)=0,"-",J16/F16))</f>
        <v/>
      </c>
      <c r="M16" s="70">
        <f>IF($A16="","",SUMIFS('Budget'!$F$5:$F$64,'Budget'!$A$5:$A$64,$A16,'Budget'!$B$5:$B$64,"&lt;="&amp;B16))</f>
        <v/>
      </c>
      <c r="N16" s="70">
        <f>IF($A16="","",SUMIFS('Budget'!$J$5:$J$64,'Budget'!$A$5:$A$64,$A16,'Budget'!$B$5:$B$64,"&lt;="&amp;B16))</f>
        <v/>
      </c>
    </row>
    <row r="17">
      <c r="A17" s="82" t="n">
        <v>2026</v>
      </c>
      <c r="B17" s="83" t="n">
        <v>46023</v>
      </c>
      <c r="C17" s="66" t="n">
        <v>8620</v>
      </c>
      <c r="D17" s="66" t="n">
        <v>9250</v>
      </c>
      <c r="E17" s="66" t="n">
        <v>6210</v>
      </c>
      <c r="F17" s="70">
        <f>IF($A17="","",N(C17)+N(D17)+N(E17))</f>
        <v/>
      </c>
      <c r="G17" s="70">
        <f>IF($A17="","",SUMIFS('Ordres de travail'!$V$5:$V$3004,'Ordres de travail'!$B$5:$B$3004,"&gt;="&amp;B17,'Ordres de travail'!$B$5:$B$3004,"&lt;"&amp;EDATE(B17,1)))</f>
        <v/>
      </c>
      <c r="H17" s="70">
        <f>IF($A17="","",SUMIFS('Ordres de travail'!$W$5:$W$3004,'Ordres de travail'!$B$5:$B$3004,"&gt;="&amp;B17,'Ordres de travail'!$B$5:$B$3004,"&lt;"&amp;EDATE(B17,1))+SUMIFS('Ordres de travail'!$X$5:$X$3004,'Ordres de travail'!$B$5:$B$3004,"&gt;="&amp;B17,'Ordres de travail'!$B$5:$B$3004,"&lt;"&amp;EDATE(B17,1)))</f>
        <v/>
      </c>
      <c r="I17" s="70">
        <f>IF($A17="","",SUMIFS('Ordres de travail'!$Y$5:$Y$3004,'Ordres de travail'!$B$5:$B$3004,"&gt;="&amp;B17,'Ordres de travail'!$B$5:$B$3004,"&lt;"&amp;EDATE(B17,1)))</f>
        <v/>
      </c>
      <c r="J17" s="70">
        <f>IF($A17="","",G17+H17+I17)</f>
        <v/>
      </c>
      <c r="K17" s="84">
        <f>IF($A17="","",F17-J17)</f>
        <v/>
      </c>
      <c r="L17" s="71">
        <f>IF($A17="","",IF(N(F17)=0,"-",J17/F17))</f>
        <v/>
      </c>
      <c r="M17" s="70">
        <f>IF($A17="","",SUMIFS('Budget'!$F$5:$F$64,'Budget'!$A$5:$A$64,$A17,'Budget'!$B$5:$B$64,"&lt;="&amp;B17))</f>
        <v/>
      </c>
      <c r="N17" s="70">
        <f>IF($A17="","",SUMIFS('Budget'!$J$5:$J$64,'Budget'!$A$5:$A$64,$A17,'Budget'!$B$5:$B$64,"&lt;="&amp;B17))</f>
        <v/>
      </c>
    </row>
    <row r="18">
      <c r="A18" s="82" t="n">
        <v>2026</v>
      </c>
      <c r="B18" s="83" t="n">
        <v>46054</v>
      </c>
      <c r="C18" s="66" t="n">
        <v>8620</v>
      </c>
      <c r="D18" s="66" t="n">
        <v>9250</v>
      </c>
      <c r="E18" s="66" t="n">
        <v>6210</v>
      </c>
      <c r="F18" s="70">
        <f>IF($A18="","",N(C18)+N(D18)+N(E18))</f>
        <v/>
      </c>
      <c r="G18" s="70">
        <f>IF($A18="","",SUMIFS('Ordres de travail'!$V$5:$V$3004,'Ordres de travail'!$B$5:$B$3004,"&gt;="&amp;B18,'Ordres de travail'!$B$5:$B$3004,"&lt;"&amp;EDATE(B18,1)))</f>
        <v/>
      </c>
      <c r="H18" s="70">
        <f>IF($A18="","",SUMIFS('Ordres de travail'!$W$5:$W$3004,'Ordres de travail'!$B$5:$B$3004,"&gt;="&amp;B18,'Ordres de travail'!$B$5:$B$3004,"&lt;"&amp;EDATE(B18,1))+SUMIFS('Ordres de travail'!$X$5:$X$3004,'Ordres de travail'!$B$5:$B$3004,"&gt;="&amp;B18,'Ordres de travail'!$B$5:$B$3004,"&lt;"&amp;EDATE(B18,1)))</f>
        <v/>
      </c>
      <c r="I18" s="70">
        <f>IF($A18="","",SUMIFS('Ordres de travail'!$Y$5:$Y$3004,'Ordres de travail'!$B$5:$B$3004,"&gt;="&amp;B18,'Ordres de travail'!$B$5:$B$3004,"&lt;"&amp;EDATE(B18,1)))</f>
        <v/>
      </c>
      <c r="J18" s="70">
        <f>IF($A18="","",G18+H18+I18)</f>
        <v/>
      </c>
      <c r="K18" s="84">
        <f>IF($A18="","",F18-J18)</f>
        <v/>
      </c>
      <c r="L18" s="71">
        <f>IF($A18="","",IF(N(F18)=0,"-",J18/F18))</f>
        <v/>
      </c>
      <c r="M18" s="70">
        <f>IF($A18="","",SUMIFS('Budget'!$F$5:$F$64,'Budget'!$A$5:$A$64,$A18,'Budget'!$B$5:$B$64,"&lt;="&amp;B18))</f>
        <v/>
      </c>
      <c r="N18" s="70">
        <f>IF($A18="","",SUMIFS('Budget'!$J$5:$J$64,'Budget'!$A$5:$A$64,$A18,'Budget'!$B$5:$B$64,"&lt;="&amp;B18))</f>
        <v/>
      </c>
    </row>
    <row r="19">
      <c r="A19" s="82" t="n">
        <v>2026</v>
      </c>
      <c r="B19" s="83" t="n">
        <v>46082</v>
      </c>
      <c r="C19" s="66" t="n">
        <v>8620</v>
      </c>
      <c r="D19" s="66" t="n">
        <v>9250</v>
      </c>
      <c r="E19" s="66" t="n">
        <v>6210</v>
      </c>
      <c r="F19" s="70">
        <f>IF($A19="","",N(C19)+N(D19)+N(E19))</f>
        <v/>
      </c>
      <c r="G19" s="70">
        <f>IF($A19="","",SUMIFS('Ordres de travail'!$V$5:$V$3004,'Ordres de travail'!$B$5:$B$3004,"&gt;="&amp;B19,'Ordres de travail'!$B$5:$B$3004,"&lt;"&amp;EDATE(B19,1)))</f>
        <v/>
      </c>
      <c r="H19" s="70">
        <f>IF($A19="","",SUMIFS('Ordres de travail'!$W$5:$W$3004,'Ordres de travail'!$B$5:$B$3004,"&gt;="&amp;B19,'Ordres de travail'!$B$5:$B$3004,"&lt;"&amp;EDATE(B19,1))+SUMIFS('Ordres de travail'!$X$5:$X$3004,'Ordres de travail'!$B$5:$B$3004,"&gt;="&amp;B19,'Ordres de travail'!$B$5:$B$3004,"&lt;"&amp;EDATE(B19,1)))</f>
        <v/>
      </c>
      <c r="I19" s="70">
        <f>IF($A19="","",SUMIFS('Ordres de travail'!$Y$5:$Y$3004,'Ordres de travail'!$B$5:$B$3004,"&gt;="&amp;B19,'Ordres de travail'!$B$5:$B$3004,"&lt;"&amp;EDATE(B19,1)))</f>
        <v/>
      </c>
      <c r="J19" s="70">
        <f>IF($A19="","",G19+H19+I19)</f>
        <v/>
      </c>
      <c r="K19" s="84">
        <f>IF($A19="","",F19-J19)</f>
        <v/>
      </c>
      <c r="L19" s="71">
        <f>IF($A19="","",IF(N(F19)=0,"-",J19/F19))</f>
        <v/>
      </c>
      <c r="M19" s="70">
        <f>IF($A19="","",SUMIFS('Budget'!$F$5:$F$64,'Budget'!$A$5:$A$64,$A19,'Budget'!$B$5:$B$64,"&lt;="&amp;B19))</f>
        <v/>
      </c>
      <c r="N19" s="70">
        <f>IF($A19="","",SUMIFS('Budget'!$J$5:$J$64,'Budget'!$A$5:$A$64,$A19,'Budget'!$B$5:$B$64,"&lt;="&amp;B19))</f>
        <v/>
      </c>
    </row>
    <row r="20">
      <c r="A20" s="82" t="n">
        <v>2026</v>
      </c>
      <c r="B20" s="83" t="n">
        <v>46113</v>
      </c>
      <c r="C20" s="66" t="n">
        <v>8620</v>
      </c>
      <c r="D20" s="66" t="n">
        <v>9250</v>
      </c>
      <c r="E20" s="66" t="n">
        <v>6210</v>
      </c>
      <c r="F20" s="70">
        <f>IF($A20="","",N(C20)+N(D20)+N(E20))</f>
        <v/>
      </c>
      <c r="G20" s="70">
        <f>IF($A20="","",SUMIFS('Ordres de travail'!$V$5:$V$3004,'Ordres de travail'!$B$5:$B$3004,"&gt;="&amp;B20,'Ordres de travail'!$B$5:$B$3004,"&lt;"&amp;EDATE(B20,1)))</f>
        <v/>
      </c>
      <c r="H20" s="70">
        <f>IF($A20="","",SUMIFS('Ordres de travail'!$W$5:$W$3004,'Ordres de travail'!$B$5:$B$3004,"&gt;="&amp;B20,'Ordres de travail'!$B$5:$B$3004,"&lt;"&amp;EDATE(B20,1))+SUMIFS('Ordres de travail'!$X$5:$X$3004,'Ordres de travail'!$B$5:$B$3004,"&gt;="&amp;B20,'Ordres de travail'!$B$5:$B$3004,"&lt;"&amp;EDATE(B20,1)))</f>
        <v/>
      </c>
      <c r="I20" s="70">
        <f>IF($A20="","",SUMIFS('Ordres de travail'!$Y$5:$Y$3004,'Ordres de travail'!$B$5:$B$3004,"&gt;="&amp;B20,'Ordres de travail'!$B$5:$B$3004,"&lt;"&amp;EDATE(B20,1)))</f>
        <v/>
      </c>
      <c r="J20" s="70">
        <f>IF($A20="","",G20+H20+I20)</f>
        <v/>
      </c>
      <c r="K20" s="84">
        <f>IF($A20="","",F20-J20)</f>
        <v/>
      </c>
      <c r="L20" s="71">
        <f>IF($A20="","",IF(N(F20)=0,"-",J20/F20))</f>
        <v/>
      </c>
      <c r="M20" s="70">
        <f>IF($A20="","",SUMIFS('Budget'!$F$5:$F$64,'Budget'!$A$5:$A$64,$A20,'Budget'!$B$5:$B$64,"&lt;="&amp;B20))</f>
        <v/>
      </c>
      <c r="N20" s="70">
        <f>IF($A20="","",SUMIFS('Budget'!$J$5:$J$64,'Budget'!$A$5:$A$64,$A20,'Budget'!$B$5:$B$64,"&lt;="&amp;B20))</f>
        <v/>
      </c>
    </row>
    <row r="21">
      <c r="A21" s="82" t="n">
        <v>2026</v>
      </c>
      <c r="B21" s="83" t="n">
        <v>46143</v>
      </c>
      <c r="C21" s="66" t="n">
        <v>8620</v>
      </c>
      <c r="D21" s="66" t="n">
        <v>9250</v>
      </c>
      <c r="E21" s="66" t="n">
        <v>6210</v>
      </c>
      <c r="F21" s="70">
        <f>IF($A21="","",N(C21)+N(D21)+N(E21))</f>
        <v/>
      </c>
      <c r="G21" s="70">
        <f>IF($A21="","",SUMIFS('Ordres de travail'!$V$5:$V$3004,'Ordres de travail'!$B$5:$B$3004,"&gt;="&amp;B21,'Ordres de travail'!$B$5:$B$3004,"&lt;"&amp;EDATE(B21,1)))</f>
        <v/>
      </c>
      <c r="H21" s="70">
        <f>IF($A21="","",SUMIFS('Ordres de travail'!$W$5:$W$3004,'Ordres de travail'!$B$5:$B$3004,"&gt;="&amp;B21,'Ordres de travail'!$B$5:$B$3004,"&lt;"&amp;EDATE(B21,1))+SUMIFS('Ordres de travail'!$X$5:$X$3004,'Ordres de travail'!$B$5:$B$3004,"&gt;="&amp;B21,'Ordres de travail'!$B$5:$B$3004,"&lt;"&amp;EDATE(B21,1)))</f>
        <v/>
      </c>
      <c r="I21" s="70">
        <f>IF($A21="","",SUMIFS('Ordres de travail'!$Y$5:$Y$3004,'Ordres de travail'!$B$5:$B$3004,"&gt;="&amp;B21,'Ordres de travail'!$B$5:$B$3004,"&lt;"&amp;EDATE(B21,1)))</f>
        <v/>
      </c>
      <c r="J21" s="70">
        <f>IF($A21="","",G21+H21+I21)</f>
        <v/>
      </c>
      <c r="K21" s="84">
        <f>IF($A21="","",F21-J21)</f>
        <v/>
      </c>
      <c r="L21" s="71">
        <f>IF($A21="","",IF(N(F21)=0,"-",J21/F21))</f>
        <v/>
      </c>
      <c r="M21" s="70">
        <f>IF($A21="","",SUMIFS('Budget'!$F$5:$F$64,'Budget'!$A$5:$A$64,$A21,'Budget'!$B$5:$B$64,"&lt;="&amp;B21))</f>
        <v/>
      </c>
      <c r="N21" s="70">
        <f>IF($A21="","",SUMIFS('Budget'!$J$5:$J$64,'Budget'!$A$5:$A$64,$A21,'Budget'!$B$5:$B$64,"&lt;="&amp;B21))</f>
        <v/>
      </c>
    </row>
    <row r="22">
      <c r="A22" s="82" t="n">
        <v>2026</v>
      </c>
      <c r="B22" s="83" t="n">
        <v>46174</v>
      </c>
      <c r="C22" s="66" t="n">
        <v>8620</v>
      </c>
      <c r="D22" s="66" t="n">
        <v>9250</v>
      </c>
      <c r="E22" s="66" t="n">
        <v>6210</v>
      </c>
      <c r="F22" s="70">
        <f>IF($A22="","",N(C22)+N(D22)+N(E22))</f>
        <v/>
      </c>
      <c r="G22" s="70">
        <f>IF($A22="","",SUMIFS('Ordres de travail'!$V$5:$V$3004,'Ordres de travail'!$B$5:$B$3004,"&gt;="&amp;B22,'Ordres de travail'!$B$5:$B$3004,"&lt;"&amp;EDATE(B22,1)))</f>
        <v/>
      </c>
      <c r="H22" s="70">
        <f>IF($A22="","",SUMIFS('Ordres de travail'!$W$5:$W$3004,'Ordres de travail'!$B$5:$B$3004,"&gt;="&amp;B22,'Ordres de travail'!$B$5:$B$3004,"&lt;"&amp;EDATE(B22,1))+SUMIFS('Ordres de travail'!$X$5:$X$3004,'Ordres de travail'!$B$5:$B$3004,"&gt;="&amp;B22,'Ordres de travail'!$B$5:$B$3004,"&lt;"&amp;EDATE(B22,1)))</f>
        <v/>
      </c>
      <c r="I22" s="70">
        <f>IF($A22="","",SUMIFS('Ordres de travail'!$Y$5:$Y$3004,'Ordres de travail'!$B$5:$B$3004,"&gt;="&amp;B22,'Ordres de travail'!$B$5:$B$3004,"&lt;"&amp;EDATE(B22,1)))</f>
        <v/>
      </c>
      <c r="J22" s="70">
        <f>IF($A22="","",G22+H22+I22)</f>
        <v/>
      </c>
      <c r="K22" s="84">
        <f>IF($A22="","",F22-J22)</f>
        <v/>
      </c>
      <c r="L22" s="71">
        <f>IF($A22="","",IF(N(F22)=0,"-",J22/F22))</f>
        <v/>
      </c>
      <c r="M22" s="70">
        <f>IF($A22="","",SUMIFS('Budget'!$F$5:$F$64,'Budget'!$A$5:$A$64,$A22,'Budget'!$B$5:$B$64,"&lt;="&amp;B22))</f>
        <v/>
      </c>
      <c r="N22" s="70">
        <f>IF($A22="","",SUMIFS('Budget'!$J$5:$J$64,'Budget'!$A$5:$A$64,$A22,'Budget'!$B$5:$B$64,"&lt;="&amp;B22))</f>
        <v/>
      </c>
    </row>
    <row r="23">
      <c r="A23" s="82" t="n">
        <v>2026</v>
      </c>
      <c r="B23" s="83" t="n">
        <v>46204</v>
      </c>
      <c r="C23" s="66" t="n">
        <v>8620</v>
      </c>
      <c r="D23" s="66" t="n">
        <v>9250</v>
      </c>
      <c r="E23" s="66" t="n">
        <v>6210</v>
      </c>
      <c r="F23" s="70">
        <f>IF($A23="","",N(C23)+N(D23)+N(E23))</f>
        <v/>
      </c>
      <c r="G23" s="70">
        <f>IF($A23="","",SUMIFS('Ordres de travail'!$V$5:$V$3004,'Ordres de travail'!$B$5:$B$3004,"&gt;="&amp;B23,'Ordres de travail'!$B$5:$B$3004,"&lt;"&amp;EDATE(B23,1)))</f>
        <v/>
      </c>
      <c r="H23" s="70">
        <f>IF($A23="","",SUMIFS('Ordres de travail'!$W$5:$W$3004,'Ordres de travail'!$B$5:$B$3004,"&gt;="&amp;B23,'Ordres de travail'!$B$5:$B$3004,"&lt;"&amp;EDATE(B23,1))+SUMIFS('Ordres de travail'!$X$5:$X$3004,'Ordres de travail'!$B$5:$B$3004,"&gt;="&amp;B23,'Ordres de travail'!$B$5:$B$3004,"&lt;"&amp;EDATE(B23,1)))</f>
        <v/>
      </c>
      <c r="I23" s="70">
        <f>IF($A23="","",SUMIFS('Ordres de travail'!$Y$5:$Y$3004,'Ordres de travail'!$B$5:$B$3004,"&gt;="&amp;B23,'Ordres de travail'!$B$5:$B$3004,"&lt;"&amp;EDATE(B23,1)))</f>
        <v/>
      </c>
      <c r="J23" s="70">
        <f>IF($A23="","",G23+H23+I23)</f>
        <v/>
      </c>
      <c r="K23" s="84">
        <f>IF($A23="","",F23-J23)</f>
        <v/>
      </c>
      <c r="L23" s="71">
        <f>IF($A23="","",IF(N(F23)=0,"-",J23/F23))</f>
        <v/>
      </c>
      <c r="M23" s="70">
        <f>IF($A23="","",SUMIFS('Budget'!$F$5:$F$64,'Budget'!$A$5:$A$64,$A23,'Budget'!$B$5:$B$64,"&lt;="&amp;B23))</f>
        <v/>
      </c>
      <c r="N23" s="70">
        <f>IF($A23="","",SUMIFS('Budget'!$J$5:$J$64,'Budget'!$A$5:$A$64,$A23,'Budget'!$B$5:$B$64,"&lt;="&amp;B23))</f>
        <v/>
      </c>
    </row>
    <row r="24">
      <c r="A24" s="82" t="n">
        <v>2026</v>
      </c>
      <c r="B24" s="83" t="n">
        <v>46235</v>
      </c>
      <c r="C24" s="66" t="n">
        <v>11640</v>
      </c>
      <c r="D24" s="66" t="n">
        <v>12490</v>
      </c>
      <c r="E24" s="66" t="n">
        <v>8380</v>
      </c>
      <c r="F24" s="70">
        <f>IF($A24="","",N(C24)+N(D24)+N(E24))</f>
        <v/>
      </c>
      <c r="G24" s="70">
        <f>IF($A24="","",SUMIFS('Ordres de travail'!$V$5:$V$3004,'Ordres de travail'!$B$5:$B$3004,"&gt;="&amp;B24,'Ordres de travail'!$B$5:$B$3004,"&lt;"&amp;EDATE(B24,1)))</f>
        <v/>
      </c>
      <c r="H24" s="70">
        <f>IF($A24="","",SUMIFS('Ordres de travail'!$W$5:$W$3004,'Ordres de travail'!$B$5:$B$3004,"&gt;="&amp;B24,'Ordres de travail'!$B$5:$B$3004,"&lt;"&amp;EDATE(B24,1))+SUMIFS('Ordres de travail'!$X$5:$X$3004,'Ordres de travail'!$B$5:$B$3004,"&gt;="&amp;B24,'Ordres de travail'!$B$5:$B$3004,"&lt;"&amp;EDATE(B24,1)))</f>
        <v/>
      </c>
      <c r="I24" s="70">
        <f>IF($A24="","",SUMIFS('Ordres de travail'!$Y$5:$Y$3004,'Ordres de travail'!$B$5:$B$3004,"&gt;="&amp;B24,'Ordres de travail'!$B$5:$B$3004,"&lt;"&amp;EDATE(B24,1)))</f>
        <v/>
      </c>
      <c r="J24" s="70">
        <f>IF($A24="","",G24+H24+I24)</f>
        <v/>
      </c>
      <c r="K24" s="84">
        <f>IF($A24="","",F24-J24)</f>
        <v/>
      </c>
      <c r="L24" s="71">
        <f>IF($A24="","",IF(N(F24)=0,"-",J24/F24))</f>
        <v/>
      </c>
      <c r="M24" s="70">
        <f>IF($A24="","",SUMIFS('Budget'!$F$5:$F$64,'Budget'!$A$5:$A$64,$A24,'Budget'!$B$5:$B$64,"&lt;="&amp;B24))</f>
        <v/>
      </c>
      <c r="N24" s="70">
        <f>IF($A24="","",SUMIFS('Budget'!$J$5:$J$64,'Budget'!$A$5:$A$64,$A24,'Budget'!$B$5:$B$64,"&lt;="&amp;B24))</f>
        <v/>
      </c>
    </row>
    <row r="25">
      <c r="A25" s="82" t="n">
        <v>2026</v>
      </c>
      <c r="B25" s="83" t="n">
        <v>46266</v>
      </c>
      <c r="C25" s="66" t="n">
        <v>8620</v>
      </c>
      <c r="D25" s="66" t="n">
        <v>9250</v>
      </c>
      <c r="E25" s="66" t="n">
        <v>6210</v>
      </c>
      <c r="F25" s="70">
        <f>IF($A25="","",N(C25)+N(D25)+N(E25))</f>
        <v/>
      </c>
      <c r="G25" s="70">
        <f>IF($A25="","",SUMIFS('Ordres de travail'!$V$5:$V$3004,'Ordres de travail'!$B$5:$B$3004,"&gt;="&amp;B25,'Ordres de travail'!$B$5:$B$3004,"&lt;"&amp;EDATE(B25,1)))</f>
        <v/>
      </c>
      <c r="H25" s="70">
        <f>IF($A25="","",SUMIFS('Ordres de travail'!$W$5:$W$3004,'Ordres de travail'!$B$5:$B$3004,"&gt;="&amp;B25,'Ordres de travail'!$B$5:$B$3004,"&lt;"&amp;EDATE(B25,1))+SUMIFS('Ordres de travail'!$X$5:$X$3004,'Ordres de travail'!$B$5:$B$3004,"&gt;="&amp;B25,'Ordres de travail'!$B$5:$B$3004,"&lt;"&amp;EDATE(B25,1)))</f>
        <v/>
      </c>
      <c r="I25" s="70">
        <f>IF($A25="","",SUMIFS('Ordres de travail'!$Y$5:$Y$3004,'Ordres de travail'!$B$5:$B$3004,"&gt;="&amp;B25,'Ordres de travail'!$B$5:$B$3004,"&lt;"&amp;EDATE(B25,1)))</f>
        <v/>
      </c>
      <c r="J25" s="70">
        <f>IF($A25="","",G25+H25+I25)</f>
        <v/>
      </c>
      <c r="K25" s="84">
        <f>IF($A25="","",F25-J25)</f>
        <v/>
      </c>
      <c r="L25" s="71">
        <f>IF($A25="","",IF(N(F25)=0,"-",J25/F25))</f>
        <v/>
      </c>
      <c r="M25" s="70">
        <f>IF($A25="","",SUMIFS('Budget'!$F$5:$F$64,'Budget'!$A$5:$A$64,$A25,'Budget'!$B$5:$B$64,"&lt;="&amp;B25))</f>
        <v/>
      </c>
      <c r="N25" s="70">
        <f>IF($A25="","",SUMIFS('Budget'!$J$5:$J$64,'Budget'!$A$5:$A$64,$A25,'Budget'!$B$5:$B$64,"&lt;="&amp;B25))</f>
        <v/>
      </c>
    </row>
    <row r="26">
      <c r="A26" s="82" t="n">
        <v>2026</v>
      </c>
      <c r="B26" s="83" t="n">
        <v>46296</v>
      </c>
      <c r="C26" s="66" t="n">
        <v>8620</v>
      </c>
      <c r="D26" s="66" t="n">
        <v>9250</v>
      </c>
      <c r="E26" s="66" t="n">
        <v>6210</v>
      </c>
      <c r="F26" s="70">
        <f>IF($A26="","",N(C26)+N(D26)+N(E26))</f>
        <v/>
      </c>
      <c r="G26" s="70">
        <f>IF($A26="","",SUMIFS('Ordres de travail'!$V$5:$V$3004,'Ordres de travail'!$B$5:$B$3004,"&gt;="&amp;B26,'Ordres de travail'!$B$5:$B$3004,"&lt;"&amp;EDATE(B26,1)))</f>
        <v/>
      </c>
      <c r="H26" s="70">
        <f>IF($A26="","",SUMIFS('Ordres de travail'!$W$5:$W$3004,'Ordres de travail'!$B$5:$B$3004,"&gt;="&amp;B26,'Ordres de travail'!$B$5:$B$3004,"&lt;"&amp;EDATE(B26,1))+SUMIFS('Ordres de travail'!$X$5:$X$3004,'Ordres de travail'!$B$5:$B$3004,"&gt;="&amp;B26,'Ordres de travail'!$B$5:$B$3004,"&lt;"&amp;EDATE(B26,1)))</f>
        <v/>
      </c>
      <c r="I26" s="70">
        <f>IF($A26="","",SUMIFS('Ordres de travail'!$Y$5:$Y$3004,'Ordres de travail'!$B$5:$B$3004,"&gt;="&amp;B26,'Ordres de travail'!$B$5:$B$3004,"&lt;"&amp;EDATE(B26,1)))</f>
        <v/>
      </c>
      <c r="J26" s="70">
        <f>IF($A26="","",G26+H26+I26)</f>
        <v/>
      </c>
      <c r="K26" s="84">
        <f>IF($A26="","",F26-J26)</f>
        <v/>
      </c>
      <c r="L26" s="71">
        <f>IF($A26="","",IF(N(F26)=0,"-",J26/F26))</f>
        <v/>
      </c>
      <c r="M26" s="70">
        <f>IF($A26="","",SUMIFS('Budget'!$F$5:$F$64,'Budget'!$A$5:$A$64,$A26,'Budget'!$B$5:$B$64,"&lt;="&amp;B26))</f>
        <v/>
      </c>
      <c r="N26" s="70">
        <f>IF($A26="","",SUMIFS('Budget'!$J$5:$J$64,'Budget'!$A$5:$A$64,$A26,'Budget'!$B$5:$B$64,"&lt;="&amp;B26))</f>
        <v/>
      </c>
    </row>
    <row r="27">
      <c r="A27" s="82" t="n">
        <v>2026</v>
      </c>
      <c r="B27" s="83" t="n">
        <v>46327</v>
      </c>
      <c r="C27" s="66" t="n">
        <v>8620</v>
      </c>
      <c r="D27" s="66" t="n">
        <v>9250</v>
      </c>
      <c r="E27" s="66" t="n">
        <v>6210</v>
      </c>
      <c r="F27" s="70">
        <f>IF($A27="","",N(C27)+N(D27)+N(E27))</f>
        <v/>
      </c>
      <c r="G27" s="70">
        <f>IF($A27="","",SUMIFS('Ordres de travail'!$V$5:$V$3004,'Ordres de travail'!$B$5:$B$3004,"&gt;="&amp;B27,'Ordres de travail'!$B$5:$B$3004,"&lt;"&amp;EDATE(B27,1)))</f>
        <v/>
      </c>
      <c r="H27" s="70">
        <f>IF($A27="","",SUMIFS('Ordres de travail'!$W$5:$W$3004,'Ordres de travail'!$B$5:$B$3004,"&gt;="&amp;B27,'Ordres de travail'!$B$5:$B$3004,"&lt;"&amp;EDATE(B27,1))+SUMIFS('Ordres de travail'!$X$5:$X$3004,'Ordres de travail'!$B$5:$B$3004,"&gt;="&amp;B27,'Ordres de travail'!$B$5:$B$3004,"&lt;"&amp;EDATE(B27,1)))</f>
        <v/>
      </c>
      <c r="I27" s="70">
        <f>IF($A27="","",SUMIFS('Ordres de travail'!$Y$5:$Y$3004,'Ordres de travail'!$B$5:$B$3004,"&gt;="&amp;B27,'Ordres de travail'!$B$5:$B$3004,"&lt;"&amp;EDATE(B27,1)))</f>
        <v/>
      </c>
      <c r="J27" s="70">
        <f>IF($A27="","",G27+H27+I27)</f>
        <v/>
      </c>
      <c r="K27" s="84">
        <f>IF($A27="","",F27-J27)</f>
        <v/>
      </c>
      <c r="L27" s="71">
        <f>IF($A27="","",IF(N(F27)=0,"-",J27/F27))</f>
        <v/>
      </c>
      <c r="M27" s="70">
        <f>IF($A27="","",SUMIFS('Budget'!$F$5:$F$64,'Budget'!$A$5:$A$64,$A27,'Budget'!$B$5:$B$64,"&lt;="&amp;B27))</f>
        <v/>
      </c>
      <c r="N27" s="70">
        <f>IF($A27="","",SUMIFS('Budget'!$J$5:$J$64,'Budget'!$A$5:$A$64,$A27,'Budget'!$B$5:$B$64,"&lt;="&amp;B27))</f>
        <v/>
      </c>
    </row>
    <row r="28">
      <c r="A28" s="82" t="n">
        <v>2026</v>
      </c>
      <c r="B28" s="83" t="n">
        <v>46357</v>
      </c>
      <c r="C28" s="66" t="n">
        <v>7330</v>
      </c>
      <c r="D28" s="66" t="n">
        <v>7860</v>
      </c>
      <c r="E28" s="66" t="n">
        <v>5280</v>
      </c>
      <c r="F28" s="70">
        <f>IF($A28="","",N(C28)+N(D28)+N(E28))</f>
        <v/>
      </c>
      <c r="G28" s="70">
        <f>IF($A28="","",SUMIFS('Ordres de travail'!$V$5:$V$3004,'Ordres de travail'!$B$5:$B$3004,"&gt;="&amp;B28,'Ordres de travail'!$B$5:$B$3004,"&lt;"&amp;EDATE(B28,1)))</f>
        <v/>
      </c>
      <c r="H28" s="70">
        <f>IF($A28="","",SUMIFS('Ordres de travail'!$W$5:$W$3004,'Ordres de travail'!$B$5:$B$3004,"&gt;="&amp;B28,'Ordres de travail'!$B$5:$B$3004,"&lt;"&amp;EDATE(B28,1))+SUMIFS('Ordres de travail'!$X$5:$X$3004,'Ordres de travail'!$B$5:$B$3004,"&gt;="&amp;B28,'Ordres de travail'!$B$5:$B$3004,"&lt;"&amp;EDATE(B28,1)))</f>
        <v/>
      </c>
      <c r="I28" s="70">
        <f>IF($A28="","",SUMIFS('Ordres de travail'!$Y$5:$Y$3004,'Ordres de travail'!$B$5:$B$3004,"&gt;="&amp;B28,'Ordres de travail'!$B$5:$B$3004,"&lt;"&amp;EDATE(B28,1)))</f>
        <v/>
      </c>
      <c r="J28" s="70">
        <f>IF($A28="","",G28+H28+I28)</f>
        <v/>
      </c>
      <c r="K28" s="84">
        <f>IF($A28="","",F28-J28)</f>
        <v/>
      </c>
      <c r="L28" s="71">
        <f>IF($A28="","",IF(N(F28)=0,"-",J28/F28))</f>
        <v/>
      </c>
      <c r="M28" s="70">
        <f>IF($A28="","",SUMIFS('Budget'!$F$5:$F$64,'Budget'!$A$5:$A$64,$A28,'Budget'!$B$5:$B$64,"&lt;="&amp;B28))</f>
        <v/>
      </c>
      <c r="N28" s="70">
        <f>IF($A28="","",SUMIFS('Budget'!$J$5:$J$64,'Budget'!$A$5:$A$64,$A28,'Budget'!$B$5:$B$64,"&lt;="&amp;B28))</f>
        <v/>
      </c>
    </row>
    <row r="29">
      <c r="A29" s="82" t="n">
        <v>2027</v>
      </c>
      <c r="B29" s="83" t="n">
        <v>46388</v>
      </c>
      <c r="C29" s="66" t="n"/>
      <c r="D29" s="66" t="n"/>
      <c r="E29" s="66" t="n"/>
      <c r="F29" s="70">
        <f>IF($A29="","",N(C29)+N(D29)+N(E29))</f>
        <v/>
      </c>
      <c r="G29" s="70">
        <f>IF($A29="","",SUMIFS('Ordres de travail'!$V$5:$V$3004,'Ordres de travail'!$B$5:$B$3004,"&gt;="&amp;B29,'Ordres de travail'!$B$5:$B$3004,"&lt;"&amp;EDATE(B29,1)))</f>
        <v/>
      </c>
      <c r="H29" s="70">
        <f>IF($A29="","",SUMIFS('Ordres de travail'!$W$5:$W$3004,'Ordres de travail'!$B$5:$B$3004,"&gt;="&amp;B29,'Ordres de travail'!$B$5:$B$3004,"&lt;"&amp;EDATE(B29,1))+SUMIFS('Ordres de travail'!$X$5:$X$3004,'Ordres de travail'!$B$5:$B$3004,"&gt;="&amp;B29,'Ordres de travail'!$B$5:$B$3004,"&lt;"&amp;EDATE(B29,1)))</f>
        <v/>
      </c>
      <c r="I29" s="70">
        <f>IF($A29="","",SUMIFS('Ordres de travail'!$Y$5:$Y$3004,'Ordres de travail'!$B$5:$B$3004,"&gt;="&amp;B29,'Ordres de travail'!$B$5:$B$3004,"&lt;"&amp;EDATE(B29,1)))</f>
        <v/>
      </c>
      <c r="J29" s="70">
        <f>IF($A29="","",G29+H29+I29)</f>
        <v/>
      </c>
      <c r="K29" s="84">
        <f>IF($A29="","",F29-J29)</f>
        <v/>
      </c>
      <c r="L29" s="71">
        <f>IF($A29="","",IF(N(F29)=0,"-",J29/F29))</f>
        <v/>
      </c>
      <c r="M29" s="70">
        <f>IF($A29="","",SUMIFS('Budget'!$F$5:$F$64,'Budget'!$A$5:$A$64,$A29,'Budget'!$B$5:$B$64,"&lt;="&amp;B29))</f>
        <v/>
      </c>
      <c r="N29" s="70">
        <f>IF($A29="","",SUMIFS('Budget'!$J$5:$J$64,'Budget'!$A$5:$A$64,$A29,'Budget'!$B$5:$B$64,"&lt;="&amp;B29))</f>
        <v/>
      </c>
    </row>
    <row r="30">
      <c r="A30" s="82" t="n">
        <v>2027</v>
      </c>
      <c r="B30" s="83" t="n">
        <v>46419</v>
      </c>
      <c r="C30" s="66" t="n"/>
      <c r="D30" s="66" t="n"/>
      <c r="E30" s="66" t="n"/>
      <c r="F30" s="70">
        <f>IF($A30="","",N(C30)+N(D30)+N(E30))</f>
        <v/>
      </c>
      <c r="G30" s="70">
        <f>IF($A30="","",SUMIFS('Ordres de travail'!$V$5:$V$3004,'Ordres de travail'!$B$5:$B$3004,"&gt;="&amp;B30,'Ordres de travail'!$B$5:$B$3004,"&lt;"&amp;EDATE(B30,1)))</f>
        <v/>
      </c>
      <c r="H30" s="70">
        <f>IF($A30="","",SUMIFS('Ordres de travail'!$W$5:$W$3004,'Ordres de travail'!$B$5:$B$3004,"&gt;="&amp;B30,'Ordres de travail'!$B$5:$B$3004,"&lt;"&amp;EDATE(B30,1))+SUMIFS('Ordres de travail'!$X$5:$X$3004,'Ordres de travail'!$B$5:$B$3004,"&gt;="&amp;B30,'Ordres de travail'!$B$5:$B$3004,"&lt;"&amp;EDATE(B30,1)))</f>
        <v/>
      </c>
      <c r="I30" s="70">
        <f>IF($A30="","",SUMIFS('Ordres de travail'!$Y$5:$Y$3004,'Ordres de travail'!$B$5:$B$3004,"&gt;="&amp;B30,'Ordres de travail'!$B$5:$B$3004,"&lt;"&amp;EDATE(B30,1)))</f>
        <v/>
      </c>
      <c r="J30" s="70">
        <f>IF($A30="","",G30+H30+I30)</f>
        <v/>
      </c>
      <c r="K30" s="84">
        <f>IF($A30="","",F30-J30)</f>
        <v/>
      </c>
      <c r="L30" s="71">
        <f>IF($A30="","",IF(N(F30)=0,"-",J30/F30))</f>
        <v/>
      </c>
      <c r="M30" s="70">
        <f>IF($A30="","",SUMIFS('Budget'!$F$5:$F$64,'Budget'!$A$5:$A$64,$A30,'Budget'!$B$5:$B$64,"&lt;="&amp;B30))</f>
        <v/>
      </c>
      <c r="N30" s="70">
        <f>IF($A30="","",SUMIFS('Budget'!$J$5:$J$64,'Budget'!$A$5:$A$64,$A30,'Budget'!$B$5:$B$64,"&lt;="&amp;B30))</f>
        <v/>
      </c>
    </row>
    <row r="31">
      <c r="A31" s="82" t="n">
        <v>2027</v>
      </c>
      <c r="B31" s="83" t="n">
        <v>46447</v>
      </c>
      <c r="C31" s="66" t="n"/>
      <c r="D31" s="66" t="n"/>
      <c r="E31" s="66" t="n"/>
      <c r="F31" s="70">
        <f>IF($A31="","",N(C31)+N(D31)+N(E31))</f>
        <v/>
      </c>
      <c r="G31" s="70">
        <f>IF($A31="","",SUMIFS('Ordres de travail'!$V$5:$V$3004,'Ordres de travail'!$B$5:$B$3004,"&gt;="&amp;B31,'Ordres de travail'!$B$5:$B$3004,"&lt;"&amp;EDATE(B31,1)))</f>
        <v/>
      </c>
      <c r="H31" s="70">
        <f>IF($A31="","",SUMIFS('Ordres de travail'!$W$5:$W$3004,'Ordres de travail'!$B$5:$B$3004,"&gt;="&amp;B31,'Ordres de travail'!$B$5:$B$3004,"&lt;"&amp;EDATE(B31,1))+SUMIFS('Ordres de travail'!$X$5:$X$3004,'Ordres de travail'!$B$5:$B$3004,"&gt;="&amp;B31,'Ordres de travail'!$B$5:$B$3004,"&lt;"&amp;EDATE(B31,1)))</f>
        <v/>
      </c>
      <c r="I31" s="70">
        <f>IF($A31="","",SUMIFS('Ordres de travail'!$Y$5:$Y$3004,'Ordres de travail'!$B$5:$B$3004,"&gt;="&amp;B31,'Ordres de travail'!$B$5:$B$3004,"&lt;"&amp;EDATE(B31,1)))</f>
        <v/>
      </c>
      <c r="J31" s="70">
        <f>IF($A31="","",G31+H31+I31)</f>
        <v/>
      </c>
      <c r="K31" s="84">
        <f>IF($A31="","",F31-J31)</f>
        <v/>
      </c>
      <c r="L31" s="71">
        <f>IF($A31="","",IF(N(F31)=0,"-",J31/F31))</f>
        <v/>
      </c>
      <c r="M31" s="70">
        <f>IF($A31="","",SUMIFS('Budget'!$F$5:$F$64,'Budget'!$A$5:$A$64,$A31,'Budget'!$B$5:$B$64,"&lt;="&amp;B31))</f>
        <v/>
      </c>
      <c r="N31" s="70">
        <f>IF($A31="","",SUMIFS('Budget'!$J$5:$J$64,'Budget'!$A$5:$A$64,$A31,'Budget'!$B$5:$B$64,"&lt;="&amp;B31))</f>
        <v/>
      </c>
    </row>
    <row r="32">
      <c r="A32" s="82" t="n">
        <v>2027</v>
      </c>
      <c r="B32" s="83" t="n">
        <v>46478</v>
      </c>
      <c r="C32" s="66" t="n"/>
      <c r="D32" s="66" t="n"/>
      <c r="E32" s="66" t="n"/>
      <c r="F32" s="70">
        <f>IF($A32="","",N(C32)+N(D32)+N(E32))</f>
        <v/>
      </c>
      <c r="G32" s="70">
        <f>IF($A32="","",SUMIFS('Ordres de travail'!$V$5:$V$3004,'Ordres de travail'!$B$5:$B$3004,"&gt;="&amp;B32,'Ordres de travail'!$B$5:$B$3004,"&lt;"&amp;EDATE(B32,1)))</f>
        <v/>
      </c>
      <c r="H32" s="70">
        <f>IF($A32="","",SUMIFS('Ordres de travail'!$W$5:$W$3004,'Ordres de travail'!$B$5:$B$3004,"&gt;="&amp;B32,'Ordres de travail'!$B$5:$B$3004,"&lt;"&amp;EDATE(B32,1))+SUMIFS('Ordres de travail'!$X$5:$X$3004,'Ordres de travail'!$B$5:$B$3004,"&gt;="&amp;B32,'Ordres de travail'!$B$5:$B$3004,"&lt;"&amp;EDATE(B32,1)))</f>
        <v/>
      </c>
      <c r="I32" s="70">
        <f>IF($A32="","",SUMIFS('Ordres de travail'!$Y$5:$Y$3004,'Ordres de travail'!$B$5:$B$3004,"&gt;="&amp;B32,'Ordres de travail'!$B$5:$B$3004,"&lt;"&amp;EDATE(B32,1)))</f>
        <v/>
      </c>
      <c r="J32" s="70">
        <f>IF($A32="","",G32+H32+I32)</f>
        <v/>
      </c>
      <c r="K32" s="84">
        <f>IF($A32="","",F32-J32)</f>
        <v/>
      </c>
      <c r="L32" s="71">
        <f>IF($A32="","",IF(N(F32)=0,"-",J32/F32))</f>
        <v/>
      </c>
      <c r="M32" s="70">
        <f>IF($A32="","",SUMIFS('Budget'!$F$5:$F$64,'Budget'!$A$5:$A$64,$A32,'Budget'!$B$5:$B$64,"&lt;="&amp;B32))</f>
        <v/>
      </c>
      <c r="N32" s="70">
        <f>IF($A32="","",SUMIFS('Budget'!$J$5:$J$64,'Budget'!$A$5:$A$64,$A32,'Budget'!$B$5:$B$64,"&lt;="&amp;B32))</f>
        <v/>
      </c>
    </row>
    <row r="33">
      <c r="A33" s="82" t="n">
        <v>2027</v>
      </c>
      <c r="B33" s="83" t="n">
        <v>46508</v>
      </c>
      <c r="C33" s="66" t="n"/>
      <c r="D33" s="66" t="n"/>
      <c r="E33" s="66" t="n"/>
      <c r="F33" s="70">
        <f>IF($A33="","",N(C33)+N(D33)+N(E33))</f>
        <v/>
      </c>
      <c r="G33" s="70">
        <f>IF($A33="","",SUMIFS('Ordres de travail'!$V$5:$V$3004,'Ordres de travail'!$B$5:$B$3004,"&gt;="&amp;B33,'Ordres de travail'!$B$5:$B$3004,"&lt;"&amp;EDATE(B33,1)))</f>
        <v/>
      </c>
      <c r="H33" s="70">
        <f>IF($A33="","",SUMIFS('Ordres de travail'!$W$5:$W$3004,'Ordres de travail'!$B$5:$B$3004,"&gt;="&amp;B33,'Ordres de travail'!$B$5:$B$3004,"&lt;"&amp;EDATE(B33,1))+SUMIFS('Ordres de travail'!$X$5:$X$3004,'Ordres de travail'!$B$5:$B$3004,"&gt;="&amp;B33,'Ordres de travail'!$B$5:$B$3004,"&lt;"&amp;EDATE(B33,1)))</f>
        <v/>
      </c>
      <c r="I33" s="70">
        <f>IF($A33="","",SUMIFS('Ordres de travail'!$Y$5:$Y$3004,'Ordres de travail'!$B$5:$B$3004,"&gt;="&amp;B33,'Ordres de travail'!$B$5:$B$3004,"&lt;"&amp;EDATE(B33,1)))</f>
        <v/>
      </c>
      <c r="J33" s="70">
        <f>IF($A33="","",G33+H33+I33)</f>
        <v/>
      </c>
      <c r="K33" s="84">
        <f>IF($A33="","",F33-J33)</f>
        <v/>
      </c>
      <c r="L33" s="71">
        <f>IF($A33="","",IF(N(F33)=0,"-",J33/F33))</f>
        <v/>
      </c>
      <c r="M33" s="70">
        <f>IF($A33="","",SUMIFS('Budget'!$F$5:$F$64,'Budget'!$A$5:$A$64,$A33,'Budget'!$B$5:$B$64,"&lt;="&amp;B33))</f>
        <v/>
      </c>
      <c r="N33" s="70">
        <f>IF($A33="","",SUMIFS('Budget'!$J$5:$J$64,'Budget'!$A$5:$A$64,$A33,'Budget'!$B$5:$B$64,"&lt;="&amp;B33))</f>
        <v/>
      </c>
    </row>
    <row r="34">
      <c r="A34" s="82" t="n">
        <v>2027</v>
      </c>
      <c r="B34" s="83" t="n">
        <v>46539</v>
      </c>
      <c r="C34" s="66" t="n"/>
      <c r="D34" s="66" t="n"/>
      <c r="E34" s="66" t="n"/>
      <c r="F34" s="70">
        <f>IF($A34="","",N(C34)+N(D34)+N(E34))</f>
        <v/>
      </c>
      <c r="G34" s="70">
        <f>IF($A34="","",SUMIFS('Ordres de travail'!$V$5:$V$3004,'Ordres de travail'!$B$5:$B$3004,"&gt;="&amp;B34,'Ordres de travail'!$B$5:$B$3004,"&lt;"&amp;EDATE(B34,1)))</f>
        <v/>
      </c>
      <c r="H34" s="70">
        <f>IF($A34="","",SUMIFS('Ordres de travail'!$W$5:$W$3004,'Ordres de travail'!$B$5:$B$3004,"&gt;="&amp;B34,'Ordres de travail'!$B$5:$B$3004,"&lt;"&amp;EDATE(B34,1))+SUMIFS('Ordres de travail'!$X$5:$X$3004,'Ordres de travail'!$B$5:$B$3004,"&gt;="&amp;B34,'Ordres de travail'!$B$5:$B$3004,"&lt;"&amp;EDATE(B34,1)))</f>
        <v/>
      </c>
      <c r="I34" s="70">
        <f>IF($A34="","",SUMIFS('Ordres de travail'!$Y$5:$Y$3004,'Ordres de travail'!$B$5:$B$3004,"&gt;="&amp;B34,'Ordres de travail'!$B$5:$B$3004,"&lt;"&amp;EDATE(B34,1)))</f>
        <v/>
      </c>
      <c r="J34" s="70">
        <f>IF($A34="","",G34+H34+I34)</f>
        <v/>
      </c>
      <c r="K34" s="84">
        <f>IF($A34="","",F34-J34)</f>
        <v/>
      </c>
      <c r="L34" s="71">
        <f>IF($A34="","",IF(N(F34)=0,"-",J34/F34))</f>
        <v/>
      </c>
      <c r="M34" s="70">
        <f>IF($A34="","",SUMIFS('Budget'!$F$5:$F$64,'Budget'!$A$5:$A$64,$A34,'Budget'!$B$5:$B$64,"&lt;="&amp;B34))</f>
        <v/>
      </c>
      <c r="N34" s="70">
        <f>IF($A34="","",SUMIFS('Budget'!$J$5:$J$64,'Budget'!$A$5:$A$64,$A34,'Budget'!$B$5:$B$64,"&lt;="&amp;B34))</f>
        <v/>
      </c>
    </row>
    <row r="35">
      <c r="A35" s="82" t="n">
        <v>2027</v>
      </c>
      <c r="B35" s="83" t="n">
        <v>46569</v>
      </c>
      <c r="C35" s="66" t="n"/>
      <c r="D35" s="66" t="n"/>
      <c r="E35" s="66" t="n"/>
      <c r="F35" s="70">
        <f>IF($A35="","",N(C35)+N(D35)+N(E35))</f>
        <v/>
      </c>
      <c r="G35" s="70">
        <f>IF($A35="","",SUMIFS('Ordres de travail'!$V$5:$V$3004,'Ordres de travail'!$B$5:$B$3004,"&gt;="&amp;B35,'Ordres de travail'!$B$5:$B$3004,"&lt;"&amp;EDATE(B35,1)))</f>
        <v/>
      </c>
      <c r="H35" s="70">
        <f>IF($A35="","",SUMIFS('Ordres de travail'!$W$5:$W$3004,'Ordres de travail'!$B$5:$B$3004,"&gt;="&amp;B35,'Ordres de travail'!$B$5:$B$3004,"&lt;"&amp;EDATE(B35,1))+SUMIFS('Ordres de travail'!$X$5:$X$3004,'Ordres de travail'!$B$5:$B$3004,"&gt;="&amp;B35,'Ordres de travail'!$B$5:$B$3004,"&lt;"&amp;EDATE(B35,1)))</f>
        <v/>
      </c>
      <c r="I35" s="70">
        <f>IF($A35="","",SUMIFS('Ordres de travail'!$Y$5:$Y$3004,'Ordres de travail'!$B$5:$B$3004,"&gt;="&amp;B35,'Ordres de travail'!$B$5:$B$3004,"&lt;"&amp;EDATE(B35,1)))</f>
        <v/>
      </c>
      <c r="J35" s="70">
        <f>IF($A35="","",G35+H35+I35)</f>
        <v/>
      </c>
      <c r="K35" s="84">
        <f>IF($A35="","",F35-J35)</f>
        <v/>
      </c>
      <c r="L35" s="71">
        <f>IF($A35="","",IF(N(F35)=0,"-",J35/F35))</f>
        <v/>
      </c>
      <c r="M35" s="70">
        <f>IF($A35="","",SUMIFS('Budget'!$F$5:$F$64,'Budget'!$A$5:$A$64,$A35,'Budget'!$B$5:$B$64,"&lt;="&amp;B35))</f>
        <v/>
      </c>
      <c r="N35" s="70">
        <f>IF($A35="","",SUMIFS('Budget'!$J$5:$J$64,'Budget'!$A$5:$A$64,$A35,'Budget'!$B$5:$B$64,"&lt;="&amp;B35))</f>
        <v/>
      </c>
    </row>
    <row r="36">
      <c r="A36" s="82" t="n">
        <v>2027</v>
      </c>
      <c r="B36" s="83" t="n">
        <v>46600</v>
      </c>
      <c r="C36" s="66" t="n"/>
      <c r="D36" s="66" t="n"/>
      <c r="E36" s="66" t="n"/>
      <c r="F36" s="70">
        <f>IF($A36="","",N(C36)+N(D36)+N(E36))</f>
        <v/>
      </c>
      <c r="G36" s="70">
        <f>IF($A36="","",SUMIFS('Ordres de travail'!$V$5:$V$3004,'Ordres de travail'!$B$5:$B$3004,"&gt;="&amp;B36,'Ordres de travail'!$B$5:$B$3004,"&lt;"&amp;EDATE(B36,1)))</f>
        <v/>
      </c>
      <c r="H36" s="70">
        <f>IF($A36="","",SUMIFS('Ordres de travail'!$W$5:$W$3004,'Ordres de travail'!$B$5:$B$3004,"&gt;="&amp;B36,'Ordres de travail'!$B$5:$B$3004,"&lt;"&amp;EDATE(B36,1))+SUMIFS('Ordres de travail'!$X$5:$X$3004,'Ordres de travail'!$B$5:$B$3004,"&gt;="&amp;B36,'Ordres de travail'!$B$5:$B$3004,"&lt;"&amp;EDATE(B36,1)))</f>
        <v/>
      </c>
      <c r="I36" s="70">
        <f>IF($A36="","",SUMIFS('Ordres de travail'!$Y$5:$Y$3004,'Ordres de travail'!$B$5:$B$3004,"&gt;="&amp;B36,'Ordres de travail'!$B$5:$B$3004,"&lt;"&amp;EDATE(B36,1)))</f>
        <v/>
      </c>
      <c r="J36" s="70">
        <f>IF($A36="","",G36+H36+I36)</f>
        <v/>
      </c>
      <c r="K36" s="84">
        <f>IF($A36="","",F36-J36)</f>
        <v/>
      </c>
      <c r="L36" s="71">
        <f>IF($A36="","",IF(N(F36)=0,"-",J36/F36))</f>
        <v/>
      </c>
      <c r="M36" s="70">
        <f>IF($A36="","",SUMIFS('Budget'!$F$5:$F$64,'Budget'!$A$5:$A$64,$A36,'Budget'!$B$5:$B$64,"&lt;="&amp;B36))</f>
        <v/>
      </c>
      <c r="N36" s="70">
        <f>IF($A36="","",SUMIFS('Budget'!$J$5:$J$64,'Budget'!$A$5:$A$64,$A36,'Budget'!$B$5:$B$64,"&lt;="&amp;B36))</f>
        <v/>
      </c>
    </row>
    <row r="37">
      <c r="A37" s="82" t="n">
        <v>2027</v>
      </c>
      <c r="B37" s="83" t="n">
        <v>46631</v>
      </c>
      <c r="C37" s="66" t="n"/>
      <c r="D37" s="66" t="n"/>
      <c r="E37" s="66" t="n"/>
      <c r="F37" s="70">
        <f>IF($A37="","",N(C37)+N(D37)+N(E37))</f>
        <v/>
      </c>
      <c r="G37" s="70">
        <f>IF($A37="","",SUMIFS('Ordres de travail'!$V$5:$V$3004,'Ordres de travail'!$B$5:$B$3004,"&gt;="&amp;B37,'Ordres de travail'!$B$5:$B$3004,"&lt;"&amp;EDATE(B37,1)))</f>
        <v/>
      </c>
      <c r="H37" s="70">
        <f>IF($A37="","",SUMIFS('Ordres de travail'!$W$5:$W$3004,'Ordres de travail'!$B$5:$B$3004,"&gt;="&amp;B37,'Ordres de travail'!$B$5:$B$3004,"&lt;"&amp;EDATE(B37,1))+SUMIFS('Ordres de travail'!$X$5:$X$3004,'Ordres de travail'!$B$5:$B$3004,"&gt;="&amp;B37,'Ordres de travail'!$B$5:$B$3004,"&lt;"&amp;EDATE(B37,1)))</f>
        <v/>
      </c>
      <c r="I37" s="70">
        <f>IF($A37="","",SUMIFS('Ordres de travail'!$Y$5:$Y$3004,'Ordres de travail'!$B$5:$B$3004,"&gt;="&amp;B37,'Ordres de travail'!$B$5:$B$3004,"&lt;"&amp;EDATE(B37,1)))</f>
        <v/>
      </c>
      <c r="J37" s="70">
        <f>IF($A37="","",G37+H37+I37)</f>
        <v/>
      </c>
      <c r="K37" s="84">
        <f>IF($A37="","",F37-J37)</f>
        <v/>
      </c>
      <c r="L37" s="71">
        <f>IF($A37="","",IF(N(F37)=0,"-",J37/F37))</f>
        <v/>
      </c>
      <c r="M37" s="70">
        <f>IF($A37="","",SUMIFS('Budget'!$F$5:$F$64,'Budget'!$A$5:$A$64,$A37,'Budget'!$B$5:$B$64,"&lt;="&amp;B37))</f>
        <v/>
      </c>
      <c r="N37" s="70">
        <f>IF($A37="","",SUMIFS('Budget'!$J$5:$J$64,'Budget'!$A$5:$A$64,$A37,'Budget'!$B$5:$B$64,"&lt;="&amp;B37))</f>
        <v/>
      </c>
    </row>
    <row r="38">
      <c r="A38" s="82" t="n">
        <v>2027</v>
      </c>
      <c r="B38" s="83" t="n">
        <v>46661</v>
      </c>
      <c r="C38" s="66" t="n"/>
      <c r="D38" s="66" t="n"/>
      <c r="E38" s="66" t="n"/>
      <c r="F38" s="70">
        <f>IF($A38="","",N(C38)+N(D38)+N(E38))</f>
        <v/>
      </c>
      <c r="G38" s="70">
        <f>IF($A38="","",SUMIFS('Ordres de travail'!$V$5:$V$3004,'Ordres de travail'!$B$5:$B$3004,"&gt;="&amp;B38,'Ordres de travail'!$B$5:$B$3004,"&lt;"&amp;EDATE(B38,1)))</f>
        <v/>
      </c>
      <c r="H38" s="70">
        <f>IF($A38="","",SUMIFS('Ordres de travail'!$W$5:$W$3004,'Ordres de travail'!$B$5:$B$3004,"&gt;="&amp;B38,'Ordres de travail'!$B$5:$B$3004,"&lt;"&amp;EDATE(B38,1))+SUMIFS('Ordres de travail'!$X$5:$X$3004,'Ordres de travail'!$B$5:$B$3004,"&gt;="&amp;B38,'Ordres de travail'!$B$5:$B$3004,"&lt;"&amp;EDATE(B38,1)))</f>
        <v/>
      </c>
      <c r="I38" s="70">
        <f>IF($A38="","",SUMIFS('Ordres de travail'!$Y$5:$Y$3004,'Ordres de travail'!$B$5:$B$3004,"&gt;="&amp;B38,'Ordres de travail'!$B$5:$B$3004,"&lt;"&amp;EDATE(B38,1)))</f>
        <v/>
      </c>
      <c r="J38" s="70">
        <f>IF($A38="","",G38+H38+I38)</f>
        <v/>
      </c>
      <c r="K38" s="84">
        <f>IF($A38="","",F38-J38)</f>
        <v/>
      </c>
      <c r="L38" s="71">
        <f>IF($A38="","",IF(N(F38)=0,"-",J38/F38))</f>
        <v/>
      </c>
      <c r="M38" s="70">
        <f>IF($A38="","",SUMIFS('Budget'!$F$5:$F$64,'Budget'!$A$5:$A$64,$A38,'Budget'!$B$5:$B$64,"&lt;="&amp;B38))</f>
        <v/>
      </c>
      <c r="N38" s="70">
        <f>IF($A38="","",SUMIFS('Budget'!$J$5:$J$64,'Budget'!$A$5:$A$64,$A38,'Budget'!$B$5:$B$64,"&lt;="&amp;B38))</f>
        <v/>
      </c>
    </row>
    <row r="39">
      <c r="A39" s="82" t="n">
        <v>2027</v>
      </c>
      <c r="B39" s="83" t="n">
        <v>46692</v>
      </c>
      <c r="C39" s="66" t="n"/>
      <c r="D39" s="66" t="n"/>
      <c r="E39" s="66" t="n"/>
      <c r="F39" s="70">
        <f>IF($A39="","",N(C39)+N(D39)+N(E39))</f>
        <v/>
      </c>
      <c r="G39" s="70">
        <f>IF($A39="","",SUMIFS('Ordres de travail'!$V$5:$V$3004,'Ordres de travail'!$B$5:$B$3004,"&gt;="&amp;B39,'Ordres de travail'!$B$5:$B$3004,"&lt;"&amp;EDATE(B39,1)))</f>
        <v/>
      </c>
      <c r="H39" s="70">
        <f>IF($A39="","",SUMIFS('Ordres de travail'!$W$5:$W$3004,'Ordres de travail'!$B$5:$B$3004,"&gt;="&amp;B39,'Ordres de travail'!$B$5:$B$3004,"&lt;"&amp;EDATE(B39,1))+SUMIFS('Ordres de travail'!$X$5:$X$3004,'Ordres de travail'!$B$5:$B$3004,"&gt;="&amp;B39,'Ordres de travail'!$B$5:$B$3004,"&lt;"&amp;EDATE(B39,1)))</f>
        <v/>
      </c>
      <c r="I39" s="70">
        <f>IF($A39="","",SUMIFS('Ordres de travail'!$Y$5:$Y$3004,'Ordres de travail'!$B$5:$B$3004,"&gt;="&amp;B39,'Ordres de travail'!$B$5:$B$3004,"&lt;"&amp;EDATE(B39,1)))</f>
        <v/>
      </c>
      <c r="J39" s="70">
        <f>IF($A39="","",G39+H39+I39)</f>
        <v/>
      </c>
      <c r="K39" s="84">
        <f>IF($A39="","",F39-J39)</f>
        <v/>
      </c>
      <c r="L39" s="71">
        <f>IF($A39="","",IF(N(F39)=0,"-",J39/F39))</f>
        <v/>
      </c>
      <c r="M39" s="70">
        <f>IF($A39="","",SUMIFS('Budget'!$F$5:$F$64,'Budget'!$A$5:$A$64,$A39,'Budget'!$B$5:$B$64,"&lt;="&amp;B39))</f>
        <v/>
      </c>
      <c r="N39" s="70">
        <f>IF($A39="","",SUMIFS('Budget'!$J$5:$J$64,'Budget'!$A$5:$A$64,$A39,'Budget'!$B$5:$B$64,"&lt;="&amp;B39))</f>
        <v/>
      </c>
    </row>
    <row r="40">
      <c r="A40" s="82" t="n">
        <v>2027</v>
      </c>
      <c r="B40" s="83" t="n">
        <v>46722</v>
      </c>
      <c r="C40" s="66" t="n"/>
      <c r="D40" s="66" t="n"/>
      <c r="E40" s="66" t="n"/>
      <c r="F40" s="70">
        <f>IF($A40="","",N(C40)+N(D40)+N(E40))</f>
        <v/>
      </c>
      <c r="G40" s="70">
        <f>IF($A40="","",SUMIFS('Ordres de travail'!$V$5:$V$3004,'Ordres de travail'!$B$5:$B$3004,"&gt;="&amp;B40,'Ordres de travail'!$B$5:$B$3004,"&lt;"&amp;EDATE(B40,1)))</f>
        <v/>
      </c>
      <c r="H40" s="70">
        <f>IF($A40="","",SUMIFS('Ordres de travail'!$W$5:$W$3004,'Ordres de travail'!$B$5:$B$3004,"&gt;="&amp;B40,'Ordres de travail'!$B$5:$B$3004,"&lt;"&amp;EDATE(B40,1))+SUMIFS('Ordres de travail'!$X$5:$X$3004,'Ordres de travail'!$B$5:$B$3004,"&gt;="&amp;B40,'Ordres de travail'!$B$5:$B$3004,"&lt;"&amp;EDATE(B40,1)))</f>
        <v/>
      </c>
      <c r="I40" s="70">
        <f>IF($A40="","",SUMIFS('Ordres de travail'!$Y$5:$Y$3004,'Ordres de travail'!$B$5:$B$3004,"&gt;="&amp;B40,'Ordres de travail'!$B$5:$B$3004,"&lt;"&amp;EDATE(B40,1)))</f>
        <v/>
      </c>
      <c r="J40" s="70">
        <f>IF($A40="","",G40+H40+I40)</f>
        <v/>
      </c>
      <c r="K40" s="84">
        <f>IF($A40="","",F40-J40)</f>
        <v/>
      </c>
      <c r="L40" s="71">
        <f>IF($A40="","",IF(N(F40)=0,"-",J40/F40))</f>
        <v/>
      </c>
      <c r="M40" s="70">
        <f>IF($A40="","",SUMIFS('Budget'!$F$5:$F$64,'Budget'!$A$5:$A$64,$A40,'Budget'!$B$5:$B$64,"&lt;="&amp;B40))</f>
        <v/>
      </c>
      <c r="N40" s="70">
        <f>IF($A40="","",SUMIFS('Budget'!$J$5:$J$64,'Budget'!$A$5:$A$64,$A40,'Budget'!$B$5:$B$64,"&lt;="&amp;B40))</f>
        <v/>
      </c>
    </row>
    <row r="41">
      <c r="A41" s="82" t="n"/>
      <c r="B41" s="83" t="n"/>
      <c r="C41" s="66" t="n"/>
      <c r="D41" s="66" t="n"/>
      <c r="E41" s="66" t="n"/>
      <c r="F41" s="70">
        <f>IF($A41="","",N(C41)+N(D41)+N(E41))</f>
        <v/>
      </c>
      <c r="G41" s="70">
        <f>IF($A41="","",SUMIFS('Ordres de travail'!$V$5:$V$3004,'Ordres de travail'!$B$5:$B$3004,"&gt;="&amp;B41,'Ordres de travail'!$B$5:$B$3004,"&lt;"&amp;EDATE(B41,1)))</f>
        <v/>
      </c>
      <c r="H41" s="70">
        <f>IF($A41="","",SUMIFS('Ordres de travail'!$W$5:$W$3004,'Ordres de travail'!$B$5:$B$3004,"&gt;="&amp;B41,'Ordres de travail'!$B$5:$B$3004,"&lt;"&amp;EDATE(B41,1))+SUMIFS('Ordres de travail'!$X$5:$X$3004,'Ordres de travail'!$B$5:$B$3004,"&gt;="&amp;B41,'Ordres de travail'!$B$5:$B$3004,"&lt;"&amp;EDATE(B41,1)))</f>
        <v/>
      </c>
      <c r="I41" s="70">
        <f>IF($A41="","",SUMIFS('Ordres de travail'!$Y$5:$Y$3004,'Ordres de travail'!$B$5:$B$3004,"&gt;="&amp;B41,'Ordres de travail'!$B$5:$B$3004,"&lt;"&amp;EDATE(B41,1)))</f>
        <v/>
      </c>
      <c r="J41" s="70">
        <f>IF($A41="","",G41+H41+I41)</f>
        <v/>
      </c>
      <c r="K41" s="84">
        <f>IF($A41="","",F41-J41)</f>
        <v/>
      </c>
      <c r="L41" s="71">
        <f>IF($A41="","",IF(N(F41)=0,"-",J41/F41))</f>
        <v/>
      </c>
      <c r="M41" s="70">
        <f>IF($A41="","",SUMIFS('Budget'!$F$5:$F$64,'Budget'!$A$5:$A$64,$A41,'Budget'!$B$5:$B$64,"&lt;="&amp;B41))</f>
        <v/>
      </c>
      <c r="N41" s="70">
        <f>IF($A41="","",SUMIFS('Budget'!$J$5:$J$64,'Budget'!$A$5:$A$64,$A41,'Budget'!$B$5:$B$64,"&lt;="&amp;B41))</f>
        <v/>
      </c>
    </row>
    <row r="42">
      <c r="A42" s="82" t="n"/>
      <c r="B42" s="83" t="n"/>
      <c r="C42" s="66" t="n"/>
      <c r="D42" s="66" t="n"/>
      <c r="E42" s="66" t="n"/>
      <c r="F42" s="70">
        <f>IF($A42="","",N(C42)+N(D42)+N(E42))</f>
        <v/>
      </c>
      <c r="G42" s="70">
        <f>IF($A42="","",SUMIFS('Ordres de travail'!$V$5:$V$3004,'Ordres de travail'!$B$5:$B$3004,"&gt;="&amp;B42,'Ordres de travail'!$B$5:$B$3004,"&lt;"&amp;EDATE(B42,1)))</f>
        <v/>
      </c>
      <c r="H42" s="70">
        <f>IF($A42="","",SUMIFS('Ordres de travail'!$W$5:$W$3004,'Ordres de travail'!$B$5:$B$3004,"&gt;="&amp;B42,'Ordres de travail'!$B$5:$B$3004,"&lt;"&amp;EDATE(B42,1))+SUMIFS('Ordres de travail'!$X$5:$X$3004,'Ordres de travail'!$B$5:$B$3004,"&gt;="&amp;B42,'Ordres de travail'!$B$5:$B$3004,"&lt;"&amp;EDATE(B42,1)))</f>
        <v/>
      </c>
      <c r="I42" s="70">
        <f>IF($A42="","",SUMIFS('Ordres de travail'!$Y$5:$Y$3004,'Ordres de travail'!$B$5:$B$3004,"&gt;="&amp;B42,'Ordres de travail'!$B$5:$B$3004,"&lt;"&amp;EDATE(B42,1)))</f>
        <v/>
      </c>
      <c r="J42" s="70">
        <f>IF($A42="","",G42+H42+I42)</f>
        <v/>
      </c>
      <c r="K42" s="84">
        <f>IF($A42="","",F42-J42)</f>
        <v/>
      </c>
      <c r="L42" s="71">
        <f>IF($A42="","",IF(N(F42)=0,"-",J42/F42))</f>
        <v/>
      </c>
      <c r="M42" s="70">
        <f>IF($A42="","",SUMIFS('Budget'!$F$5:$F$64,'Budget'!$A$5:$A$64,$A42,'Budget'!$B$5:$B$64,"&lt;="&amp;B42))</f>
        <v/>
      </c>
      <c r="N42" s="70">
        <f>IF($A42="","",SUMIFS('Budget'!$J$5:$J$64,'Budget'!$A$5:$A$64,$A42,'Budget'!$B$5:$B$64,"&lt;="&amp;B42))</f>
        <v/>
      </c>
    </row>
    <row r="43">
      <c r="A43" s="82" t="n"/>
      <c r="B43" s="83" t="n"/>
      <c r="C43" s="66" t="n"/>
      <c r="D43" s="66" t="n"/>
      <c r="E43" s="66" t="n"/>
      <c r="F43" s="70">
        <f>IF($A43="","",N(C43)+N(D43)+N(E43))</f>
        <v/>
      </c>
      <c r="G43" s="70">
        <f>IF($A43="","",SUMIFS('Ordres de travail'!$V$5:$V$3004,'Ordres de travail'!$B$5:$B$3004,"&gt;="&amp;B43,'Ordres de travail'!$B$5:$B$3004,"&lt;"&amp;EDATE(B43,1)))</f>
        <v/>
      </c>
      <c r="H43" s="70">
        <f>IF($A43="","",SUMIFS('Ordres de travail'!$W$5:$W$3004,'Ordres de travail'!$B$5:$B$3004,"&gt;="&amp;B43,'Ordres de travail'!$B$5:$B$3004,"&lt;"&amp;EDATE(B43,1))+SUMIFS('Ordres de travail'!$X$5:$X$3004,'Ordres de travail'!$B$5:$B$3004,"&gt;="&amp;B43,'Ordres de travail'!$B$5:$B$3004,"&lt;"&amp;EDATE(B43,1)))</f>
        <v/>
      </c>
      <c r="I43" s="70">
        <f>IF($A43="","",SUMIFS('Ordres de travail'!$Y$5:$Y$3004,'Ordres de travail'!$B$5:$B$3004,"&gt;="&amp;B43,'Ordres de travail'!$B$5:$B$3004,"&lt;"&amp;EDATE(B43,1)))</f>
        <v/>
      </c>
      <c r="J43" s="70">
        <f>IF($A43="","",G43+H43+I43)</f>
        <v/>
      </c>
      <c r="K43" s="84">
        <f>IF($A43="","",F43-J43)</f>
        <v/>
      </c>
      <c r="L43" s="71">
        <f>IF($A43="","",IF(N(F43)=0,"-",J43/F43))</f>
        <v/>
      </c>
      <c r="M43" s="70">
        <f>IF($A43="","",SUMIFS('Budget'!$F$5:$F$64,'Budget'!$A$5:$A$64,$A43,'Budget'!$B$5:$B$64,"&lt;="&amp;B43))</f>
        <v/>
      </c>
      <c r="N43" s="70">
        <f>IF($A43="","",SUMIFS('Budget'!$J$5:$J$64,'Budget'!$A$5:$A$64,$A43,'Budget'!$B$5:$B$64,"&lt;="&amp;B43))</f>
        <v/>
      </c>
    </row>
    <row r="44">
      <c r="A44" s="82" t="n"/>
      <c r="B44" s="83" t="n"/>
      <c r="C44" s="66" t="n"/>
      <c r="D44" s="66" t="n"/>
      <c r="E44" s="66" t="n"/>
      <c r="F44" s="70">
        <f>IF($A44="","",N(C44)+N(D44)+N(E44))</f>
        <v/>
      </c>
      <c r="G44" s="70">
        <f>IF($A44="","",SUMIFS('Ordres de travail'!$V$5:$V$3004,'Ordres de travail'!$B$5:$B$3004,"&gt;="&amp;B44,'Ordres de travail'!$B$5:$B$3004,"&lt;"&amp;EDATE(B44,1)))</f>
        <v/>
      </c>
      <c r="H44" s="70">
        <f>IF($A44="","",SUMIFS('Ordres de travail'!$W$5:$W$3004,'Ordres de travail'!$B$5:$B$3004,"&gt;="&amp;B44,'Ordres de travail'!$B$5:$B$3004,"&lt;"&amp;EDATE(B44,1))+SUMIFS('Ordres de travail'!$X$5:$X$3004,'Ordres de travail'!$B$5:$B$3004,"&gt;="&amp;B44,'Ordres de travail'!$B$5:$B$3004,"&lt;"&amp;EDATE(B44,1)))</f>
        <v/>
      </c>
      <c r="I44" s="70">
        <f>IF($A44="","",SUMIFS('Ordres de travail'!$Y$5:$Y$3004,'Ordres de travail'!$B$5:$B$3004,"&gt;="&amp;B44,'Ordres de travail'!$B$5:$B$3004,"&lt;"&amp;EDATE(B44,1)))</f>
        <v/>
      </c>
      <c r="J44" s="70">
        <f>IF($A44="","",G44+H44+I44)</f>
        <v/>
      </c>
      <c r="K44" s="84">
        <f>IF($A44="","",F44-J44)</f>
        <v/>
      </c>
      <c r="L44" s="71">
        <f>IF($A44="","",IF(N(F44)=0,"-",J44/F44))</f>
        <v/>
      </c>
      <c r="M44" s="70">
        <f>IF($A44="","",SUMIFS('Budget'!$F$5:$F$64,'Budget'!$A$5:$A$64,$A44,'Budget'!$B$5:$B$64,"&lt;="&amp;B44))</f>
        <v/>
      </c>
      <c r="N44" s="70">
        <f>IF($A44="","",SUMIFS('Budget'!$J$5:$J$64,'Budget'!$A$5:$A$64,$A44,'Budget'!$B$5:$B$64,"&lt;="&amp;B44))</f>
        <v/>
      </c>
    </row>
    <row r="45">
      <c r="A45" s="82" t="n"/>
      <c r="B45" s="83" t="n"/>
      <c r="C45" s="66" t="n"/>
      <c r="D45" s="66" t="n"/>
      <c r="E45" s="66" t="n"/>
      <c r="F45" s="70">
        <f>IF($A45="","",N(C45)+N(D45)+N(E45))</f>
        <v/>
      </c>
      <c r="G45" s="70">
        <f>IF($A45="","",SUMIFS('Ordres de travail'!$V$5:$V$3004,'Ordres de travail'!$B$5:$B$3004,"&gt;="&amp;B45,'Ordres de travail'!$B$5:$B$3004,"&lt;"&amp;EDATE(B45,1)))</f>
        <v/>
      </c>
      <c r="H45" s="70">
        <f>IF($A45="","",SUMIFS('Ordres de travail'!$W$5:$W$3004,'Ordres de travail'!$B$5:$B$3004,"&gt;="&amp;B45,'Ordres de travail'!$B$5:$B$3004,"&lt;"&amp;EDATE(B45,1))+SUMIFS('Ordres de travail'!$X$5:$X$3004,'Ordres de travail'!$B$5:$B$3004,"&gt;="&amp;B45,'Ordres de travail'!$B$5:$B$3004,"&lt;"&amp;EDATE(B45,1)))</f>
        <v/>
      </c>
      <c r="I45" s="70">
        <f>IF($A45="","",SUMIFS('Ordres de travail'!$Y$5:$Y$3004,'Ordres de travail'!$B$5:$B$3004,"&gt;="&amp;B45,'Ordres de travail'!$B$5:$B$3004,"&lt;"&amp;EDATE(B45,1)))</f>
        <v/>
      </c>
      <c r="J45" s="70">
        <f>IF($A45="","",G45+H45+I45)</f>
        <v/>
      </c>
      <c r="K45" s="84">
        <f>IF($A45="","",F45-J45)</f>
        <v/>
      </c>
      <c r="L45" s="71">
        <f>IF($A45="","",IF(N(F45)=0,"-",J45/F45))</f>
        <v/>
      </c>
      <c r="M45" s="70">
        <f>IF($A45="","",SUMIFS('Budget'!$F$5:$F$64,'Budget'!$A$5:$A$64,$A45,'Budget'!$B$5:$B$64,"&lt;="&amp;B45))</f>
        <v/>
      </c>
      <c r="N45" s="70">
        <f>IF($A45="","",SUMIFS('Budget'!$J$5:$J$64,'Budget'!$A$5:$A$64,$A45,'Budget'!$B$5:$B$64,"&lt;="&amp;B45))</f>
        <v/>
      </c>
    </row>
    <row r="46">
      <c r="A46" s="82" t="n"/>
      <c r="B46" s="83" t="n"/>
      <c r="C46" s="66" t="n"/>
      <c r="D46" s="66" t="n"/>
      <c r="E46" s="66" t="n"/>
      <c r="F46" s="70">
        <f>IF($A46="","",N(C46)+N(D46)+N(E46))</f>
        <v/>
      </c>
      <c r="G46" s="70">
        <f>IF($A46="","",SUMIFS('Ordres de travail'!$V$5:$V$3004,'Ordres de travail'!$B$5:$B$3004,"&gt;="&amp;B46,'Ordres de travail'!$B$5:$B$3004,"&lt;"&amp;EDATE(B46,1)))</f>
        <v/>
      </c>
      <c r="H46" s="70">
        <f>IF($A46="","",SUMIFS('Ordres de travail'!$W$5:$W$3004,'Ordres de travail'!$B$5:$B$3004,"&gt;="&amp;B46,'Ordres de travail'!$B$5:$B$3004,"&lt;"&amp;EDATE(B46,1))+SUMIFS('Ordres de travail'!$X$5:$X$3004,'Ordres de travail'!$B$5:$B$3004,"&gt;="&amp;B46,'Ordres de travail'!$B$5:$B$3004,"&lt;"&amp;EDATE(B46,1)))</f>
        <v/>
      </c>
      <c r="I46" s="70">
        <f>IF($A46="","",SUMIFS('Ordres de travail'!$Y$5:$Y$3004,'Ordres de travail'!$B$5:$B$3004,"&gt;="&amp;B46,'Ordres de travail'!$B$5:$B$3004,"&lt;"&amp;EDATE(B46,1)))</f>
        <v/>
      </c>
      <c r="J46" s="70">
        <f>IF($A46="","",G46+H46+I46)</f>
        <v/>
      </c>
      <c r="K46" s="84">
        <f>IF($A46="","",F46-J46)</f>
        <v/>
      </c>
      <c r="L46" s="71">
        <f>IF($A46="","",IF(N(F46)=0,"-",J46/F46))</f>
        <v/>
      </c>
      <c r="M46" s="70">
        <f>IF($A46="","",SUMIFS('Budget'!$F$5:$F$64,'Budget'!$A$5:$A$64,$A46,'Budget'!$B$5:$B$64,"&lt;="&amp;B46))</f>
        <v/>
      </c>
      <c r="N46" s="70">
        <f>IF($A46="","",SUMIFS('Budget'!$J$5:$J$64,'Budget'!$A$5:$A$64,$A46,'Budget'!$B$5:$B$64,"&lt;="&amp;B46))</f>
        <v/>
      </c>
    </row>
    <row r="47">
      <c r="A47" s="82" t="n"/>
      <c r="B47" s="83" t="n"/>
      <c r="C47" s="66" t="n"/>
      <c r="D47" s="66" t="n"/>
      <c r="E47" s="66" t="n"/>
      <c r="F47" s="70">
        <f>IF($A47="","",N(C47)+N(D47)+N(E47))</f>
        <v/>
      </c>
      <c r="G47" s="70">
        <f>IF($A47="","",SUMIFS('Ordres de travail'!$V$5:$V$3004,'Ordres de travail'!$B$5:$B$3004,"&gt;="&amp;B47,'Ordres de travail'!$B$5:$B$3004,"&lt;"&amp;EDATE(B47,1)))</f>
        <v/>
      </c>
      <c r="H47" s="70">
        <f>IF($A47="","",SUMIFS('Ordres de travail'!$W$5:$W$3004,'Ordres de travail'!$B$5:$B$3004,"&gt;="&amp;B47,'Ordres de travail'!$B$5:$B$3004,"&lt;"&amp;EDATE(B47,1))+SUMIFS('Ordres de travail'!$X$5:$X$3004,'Ordres de travail'!$B$5:$B$3004,"&gt;="&amp;B47,'Ordres de travail'!$B$5:$B$3004,"&lt;"&amp;EDATE(B47,1)))</f>
        <v/>
      </c>
      <c r="I47" s="70">
        <f>IF($A47="","",SUMIFS('Ordres de travail'!$Y$5:$Y$3004,'Ordres de travail'!$B$5:$B$3004,"&gt;="&amp;B47,'Ordres de travail'!$B$5:$B$3004,"&lt;"&amp;EDATE(B47,1)))</f>
        <v/>
      </c>
      <c r="J47" s="70">
        <f>IF($A47="","",G47+H47+I47)</f>
        <v/>
      </c>
      <c r="K47" s="84">
        <f>IF($A47="","",F47-J47)</f>
        <v/>
      </c>
      <c r="L47" s="71">
        <f>IF($A47="","",IF(N(F47)=0,"-",J47/F47))</f>
        <v/>
      </c>
      <c r="M47" s="70">
        <f>IF($A47="","",SUMIFS('Budget'!$F$5:$F$64,'Budget'!$A$5:$A$64,$A47,'Budget'!$B$5:$B$64,"&lt;="&amp;B47))</f>
        <v/>
      </c>
      <c r="N47" s="70">
        <f>IF($A47="","",SUMIFS('Budget'!$J$5:$J$64,'Budget'!$A$5:$A$64,$A47,'Budget'!$B$5:$B$64,"&lt;="&amp;B47))</f>
        <v/>
      </c>
    </row>
    <row r="48">
      <c r="A48" s="82" t="n"/>
      <c r="B48" s="83" t="n"/>
      <c r="C48" s="66" t="n"/>
      <c r="D48" s="66" t="n"/>
      <c r="E48" s="66" t="n"/>
      <c r="F48" s="70">
        <f>IF($A48="","",N(C48)+N(D48)+N(E48))</f>
        <v/>
      </c>
      <c r="G48" s="70">
        <f>IF($A48="","",SUMIFS('Ordres de travail'!$V$5:$V$3004,'Ordres de travail'!$B$5:$B$3004,"&gt;="&amp;B48,'Ordres de travail'!$B$5:$B$3004,"&lt;"&amp;EDATE(B48,1)))</f>
        <v/>
      </c>
      <c r="H48" s="70">
        <f>IF($A48="","",SUMIFS('Ordres de travail'!$W$5:$W$3004,'Ordres de travail'!$B$5:$B$3004,"&gt;="&amp;B48,'Ordres de travail'!$B$5:$B$3004,"&lt;"&amp;EDATE(B48,1))+SUMIFS('Ordres de travail'!$X$5:$X$3004,'Ordres de travail'!$B$5:$B$3004,"&gt;="&amp;B48,'Ordres de travail'!$B$5:$B$3004,"&lt;"&amp;EDATE(B48,1)))</f>
        <v/>
      </c>
      <c r="I48" s="70">
        <f>IF($A48="","",SUMIFS('Ordres de travail'!$Y$5:$Y$3004,'Ordres de travail'!$B$5:$B$3004,"&gt;="&amp;B48,'Ordres de travail'!$B$5:$B$3004,"&lt;"&amp;EDATE(B48,1)))</f>
        <v/>
      </c>
      <c r="J48" s="70">
        <f>IF($A48="","",G48+H48+I48)</f>
        <v/>
      </c>
      <c r="K48" s="84">
        <f>IF($A48="","",F48-J48)</f>
        <v/>
      </c>
      <c r="L48" s="71">
        <f>IF($A48="","",IF(N(F48)=0,"-",J48/F48))</f>
        <v/>
      </c>
      <c r="M48" s="70">
        <f>IF($A48="","",SUMIFS('Budget'!$F$5:$F$64,'Budget'!$A$5:$A$64,$A48,'Budget'!$B$5:$B$64,"&lt;="&amp;B48))</f>
        <v/>
      </c>
      <c r="N48" s="70">
        <f>IF($A48="","",SUMIFS('Budget'!$J$5:$J$64,'Budget'!$A$5:$A$64,$A48,'Budget'!$B$5:$B$64,"&lt;="&amp;B48))</f>
        <v/>
      </c>
    </row>
    <row r="49">
      <c r="A49" s="82" t="n"/>
      <c r="B49" s="83" t="n"/>
      <c r="C49" s="66" t="n"/>
      <c r="D49" s="66" t="n"/>
      <c r="E49" s="66" t="n"/>
      <c r="F49" s="70">
        <f>IF($A49="","",N(C49)+N(D49)+N(E49))</f>
        <v/>
      </c>
      <c r="G49" s="70">
        <f>IF($A49="","",SUMIFS('Ordres de travail'!$V$5:$V$3004,'Ordres de travail'!$B$5:$B$3004,"&gt;="&amp;B49,'Ordres de travail'!$B$5:$B$3004,"&lt;"&amp;EDATE(B49,1)))</f>
        <v/>
      </c>
      <c r="H49" s="70">
        <f>IF($A49="","",SUMIFS('Ordres de travail'!$W$5:$W$3004,'Ordres de travail'!$B$5:$B$3004,"&gt;="&amp;B49,'Ordres de travail'!$B$5:$B$3004,"&lt;"&amp;EDATE(B49,1))+SUMIFS('Ordres de travail'!$X$5:$X$3004,'Ordres de travail'!$B$5:$B$3004,"&gt;="&amp;B49,'Ordres de travail'!$B$5:$B$3004,"&lt;"&amp;EDATE(B49,1)))</f>
        <v/>
      </c>
      <c r="I49" s="70">
        <f>IF($A49="","",SUMIFS('Ordres de travail'!$Y$5:$Y$3004,'Ordres de travail'!$B$5:$B$3004,"&gt;="&amp;B49,'Ordres de travail'!$B$5:$B$3004,"&lt;"&amp;EDATE(B49,1)))</f>
        <v/>
      </c>
      <c r="J49" s="70">
        <f>IF($A49="","",G49+H49+I49)</f>
        <v/>
      </c>
      <c r="K49" s="84">
        <f>IF($A49="","",F49-J49)</f>
        <v/>
      </c>
      <c r="L49" s="71">
        <f>IF($A49="","",IF(N(F49)=0,"-",J49/F49))</f>
        <v/>
      </c>
      <c r="M49" s="70">
        <f>IF($A49="","",SUMIFS('Budget'!$F$5:$F$64,'Budget'!$A$5:$A$64,$A49,'Budget'!$B$5:$B$64,"&lt;="&amp;B49))</f>
        <v/>
      </c>
      <c r="N49" s="70">
        <f>IF($A49="","",SUMIFS('Budget'!$J$5:$J$64,'Budget'!$A$5:$A$64,$A49,'Budget'!$B$5:$B$64,"&lt;="&amp;B49))</f>
        <v/>
      </c>
    </row>
    <row r="50">
      <c r="A50" s="82" t="n"/>
      <c r="B50" s="83" t="n"/>
      <c r="C50" s="66" t="n"/>
      <c r="D50" s="66" t="n"/>
      <c r="E50" s="66" t="n"/>
      <c r="F50" s="70">
        <f>IF($A50="","",N(C50)+N(D50)+N(E50))</f>
        <v/>
      </c>
      <c r="G50" s="70">
        <f>IF($A50="","",SUMIFS('Ordres de travail'!$V$5:$V$3004,'Ordres de travail'!$B$5:$B$3004,"&gt;="&amp;B50,'Ordres de travail'!$B$5:$B$3004,"&lt;"&amp;EDATE(B50,1)))</f>
        <v/>
      </c>
      <c r="H50" s="70">
        <f>IF($A50="","",SUMIFS('Ordres de travail'!$W$5:$W$3004,'Ordres de travail'!$B$5:$B$3004,"&gt;="&amp;B50,'Ordres de travail'!$B$5:$B$3004,"&lt;"&amp;EDATE(B50,1))+SUMIFS('Ordres de travail'!$X$5:$X$3004,'Ordres de travail'!$B$5:$B$3004,"&gt;="&amp;B50,'Ordres de travail'!$B$5:$B$3004,"&lt;"&amp;EDATE(B50,1)))</f>
        <v/>
      </c>
      <c r="I50" s="70">
        <f>IF($A50="","",SUMIFS('Ordres de travail'!$Y$5:$Y$3004,'Ordres de travail'!$B$5:$B$3004,"&gt;="&amp;B50,'Ordres de travail'!$B$5:$B$3004,"&lt;"&amp;EDATE(B50,1)))</f>
        <v/>
      </c>
      <c r="J50" s="70">
        <f>IF($A50="","",G50+H50+I50)</f>
        <v/>
      </c>
      <c r="K50" s="84">
        <f>IF($A50="","",F50-J50)</f>
        <v/>
      </c>
      <c r="L50" s="71">
        <f>IF($A50="","",IF(N(F50)=0,"-",J50/F50))</f>
        <v/>
      </c>
      <c r="M50" s="70">
        <f>IF($A50="","",SUMIFS('Budget'!$F$5:$F$64,'Budget'!$A$5:$A$64,$A50,'Budget'!$B$5:$B$64,"&lt;="&amp;B50))</f>
        <v/>
      </c>
      <c r="N50" s="70">
        <f>IF($A50="","",SUMIFS('Budget'!$J$5:$J$64,'Budget'!$A$5:$A$64,$A50,'Budget'!$B$5:$B$64,"&lt;="&amp;B50))</f>
        <v/>
      </c>
    </row>
    <row r="51">
      <c r="A51" s="82" t="n"/>
      <c r="B51" s="83" t="n"/>
      <c r="C51" s="66" t="n"/>
      <c r="D51" s="66" t="n"/>
      <c r="E51" s="66" t="n"/>
      <c r="F51" s="70">
        <f>IF($A51="","",N(C51)+N(D51)+N(E51))</f>
        <v/>
      </c>
      <c r="G51" s="70">
        <f>IF($A51="","",SUMIFS('Ordres de travail'!$V$5:$V$3004,'Ordres de travail'!$B$5:$B$3004,"&gt;="&amp;B51,'Ordres de travail'!$B$5:$B$3004,"&lt;"&amp;EDATE(B51,1)))</f>
        <v/>
      </c>
      <c r="H51" s="70">
        <f>IF($A51="","",SUMIFS('Ordres de travail'!$W$5:$W$3004,'Ordres de travail'!$B$5:$B$3004,"&gt;="&amp;B51,'Ordres de travail'!$B$5:$B$3004,"&lt;"&amp;EDATE(B51,1))+SUMIFS('Ordres de travail'!$X$5:$X$3004,'Ordres de travail'!$B$5:$B$3004,"&gt;="&amp;B51,'Ordres de travail'!$B$5:$B$3004,"&lt;"&amp;EDATE(B51,1)))</f>
        <v/>
      </c>
      <c r="I51" s="70">
        <f>IF($A51="","",SUMIFS('Ordres de travail'!$Y$5:$Y$3004,'Ordres de travail'!$B$5:$B$3004,"&gt;="&amp;B51,'Ordres de travail'!$B$5:$B$3004,"&lt;"&amp;EDATE(B51,1)))</f>
        <v/>
      </c>
      <c r="J51" s="70">
        <f>IF($A51="","",G51+H51+I51)</f>
        <v/>
      </c>
      <c r="K51" s="84">
        <f>IF($A51="","",F51-J51)</f>
        <v/>
      </c>
      <c r="L51" s="71">
        <f>IF($A51="","",IF(N(F51)=0,"-",J51/F51))</f>
        <v/>
      </c>
      <c r="M51" s="70">
        <f>IF($A51="","",SUMIFS('Budget'!$F$5:$F$64,'Budget'!$A$5:$A$64,$A51,'Budget'!$B$5:$B$64,"&lt;="&amp;B51))</f>
        <v/>
      </c>
      <c r="N51" s="70">
        <f>IF($A51="","",SUMIFS('Budget'!$J$5:$J$64,'Budget'!$A$5:$A$64,$A51,'Budget'!$B$5:$B$64,"&lt;="&amp;B51))</f>
        <v/>
      </c>
    </row>
    <row r="52">
      <c r="A52" s="82" t="n"/>
      <c r="B52" s="83" t="n"/>
      <c r="C52" s="66" t="n"/>
      <c r="D52" s="66" t="n"/>
      <c r="E52" s="66" t="n"/>
      <c r="F52" s="70">
        <f>IF($A52="","",N(C52)+N(D52)+N(E52))</f>
        <v/>
      </c>
      <c r="G52" s="70">
        <f>IF($A52="","",SUMIFS('Ordres de travail'!$V$5:$V$3004,'Ordres de travail'!$B$5:$B$3004,"&gt;="&amp;B52,'Ordres de travail'!$B$5:$B$3004,"&lt;"&amp;EDATE(B52,1)))</f>
        <v/>
      </c>
      <c r="H52" s="70">
        <f>IF($A52="","",SUMIFS('Ordres de travail'!$W$5:$W$3004,'Ordres de travail'!$B$5:$B$3004,"&gt;="&amp;B52,'Ordres de travail'!$B$5:$B$3004,"&lt;"&amp;EDATE(B52,1))+SUMIFS('Ordres de travail'!$X$5:$X$3004,'Ordres de travail'!$B$5:$B$3004,"&gt;="&amp;B52,'Ordres de travail'!$B$5:$B$3004,"&lt;"&amp;EDATE(B52,1)))</f>
        <v/>
      </c>
      <c r="I52" s="70">
        <f>IF($A52="","",SUMIFS('Ordres de travail'!$Y$5:$Y$3004,'Ordres de travail'!$B$5:$B$3004,"&gt;="&amp;B52,'Ordres de travail'!$B$5:$B$3004,"&lt;"&amp;EDATE(B52,1)))</f>
        <v/>
      </c>
      <c r="J52" s="70">
        <f>IF($A52="","",G52+H52+I52)</f>
        <v/>
      </c>
      <c r="K52" s="84">
        <f>IF($A52="","",F52-J52)</f>
        <v/>
      </c>
      <c r="L52" s="71">
        <f>IF($A52="","",IF(N(F52)=0,"-",J52/F52))</f>
        <v/>
      </c>
      <c r="M52" s="70">
        <f>IF($A52="","",SUMIFS('Budget'!$F$5:$F$64,'Budget'!$A$5:$A$64,$A52,'Budget'!$B$5:$B$64,"&lt;="&amp;B52))</f>
        <v/>
      </c>
      <c r="N52" s="70">
        <f>IF($A52="","",SUMIFS('Budget'!$J$5:$J$64,'Budget'!$A$5:$A$64,$A52,'Budget'!$B$5:$B$64,"&lt;="&amp;B52))</f>
        <v/>
      </c>
    </row>
    <row r="53">
      <c r="A53" s="82" t="n"/>
      <c r="B53" s="83" t="n"/>
      <c r="C53" s="66" t="n"/>
      <c r="D53" s="66" t="n"/>
      <c r="E53" s="66" t="n"/>
      <c r="F53" s="70">
        <f>IF($A53="","",N(C53)+N(D53)+N(E53))</f>
        <v/>
      </c>
      <c r="G53" s="70">
        <f>IF($A53="","",SUMIFS('Ordres de travail'!$V$5:$V$3004,'Ordres de travail'!$B$5:$B$3004,"&gt;="&amp;B53,'Ordres de travail'!$B$5:$B$3004,"&lt;"&amp;EDATE(B53,1)))</f>
        <v/>
      </c>
      <c r="H53" s="70">
        <f>IF($A53="","",SUMIFS('Ordres de travail'!$W$5:$W$3004,'Ordres de travail'!$B$5:$B$3004,"&gt;="&amp;B53,'Ordres de travail'!$B$5:$B$3004,"&lt;"&amp;EDATE(B53,1))+SUMIFS('Ordres de travail'!$X$5:$X$3004,'Ordres de travail'!$B$5:$B$3004,"&gt;="&amp;B53,'Ordres de travail'!$B$5:$B$3004,"&lt;"&amp;EDATE(B53,1)))</f>
        <v/>
      </c>
      <c r="I53" s="70">
        <f>IF($A53="","",SUMIFS('Ordres de travail'!$Y$5:$Y$3004,'Ordres de travail'!$B$5:$B$3004,"&gt;="&amp;B53,'Ordres de travail'!$B$5:$B$3004,"&lt;"&amp;EDATE(B53,1)))</f>
        <v/>
      </c>
      <c r="J53" s="70">
        <f>IF($A53="","",G53+H53+I53)</f>
        <v/>
      </c>
      <c r="K53" s="84">
        <f>IF($A53="","",F53-J53)</f>
        <v/>
      </c>
      <c r="L53" s="71">
        <f>IF($A53="","",IF(N(F53)=0,"-",J53/F53))</f>
        <v/>
      </c>
      <c r="M53" s="70">
        <f>IF($A53="","",SUMIFS('Budget'!$F$5:$F$64,'Budget'!$A$5:$A$64,$A53,'Budget'!$B$5:$B$64,"&lt;="&amp;B53))</f>
        <v/>
      </c>
      <c r="N53" s="70">
        <f>IF($A53="","",SUMIFS('Budget'!$J$5:$J$64,'Budget'!$A$5:$A$64,$A53,'Budget'!$B$5:$B$64,"&lt;="&amp;B53))</f>
        <v/>
      </c>
    </row>
    <row r="54">
      <c r="A54" s="82" t="n"/>
      <c r="B54" s="83" t="n"/>
      <c r="C54" s="66" t="n"/>
      <c r="D54" s="66" t="n"/>
      <c r="E54" s="66" t="n"/>
      <c r="F54" s="70">
        <f>IF($A54="","",N(C54)+N(D54)+N(E54))</f>
        <v/>
      </c>
      <c r="G54" s="70">
        <f>IF($A54="","",SUMIFS('Ordres de travail'!$V$5:$V$3004,'Ordres de travail'!$B$5:$B$3004,"&gt;="&amp;B54,'Ordres de travail'!$B$5:$B$3004,"&lt;"&amp;EDATE(B54,1)))</f>
        <v/>
      </c>
      <c r="H54" s="70">
        <f>IF($A54="","",SUMIFS('Ordres de travail'!$W$5:$W$3004,'Ordres de travail'!$B$5:$B$3004,"&gt;="&amp;B54,'Ordres de travail'!$B$5:$B$3004,"&lt;"&amp;EDATE(B54,1))+SUMIFS('Ordres de travail'!$X$5:$X$3004,'Ordres de travail'!$B$5:$B$3004,"&gt;="&amp;B54,'Ordres de travail'!$B$5:$B$3004,"&lt;"&amp;EDATE(B54,1)))</f>
        <v/>
      </c>
      <c r="I54" s="70">
        <f>IF($A54="","",SUMIFS('Ordres de travail'!$Y$5:$Y$3004,'Ordres de travail'!$B$5:$B$3004,"&gt;="&amp;B54,'Ordres de travail'!$B$5:$B$3004,"&lt;"&amp;EDATE(B54,1)))</f>
        <v/>
      </c>
      <c r="J54" s="70">
        <f>IF($A54="","",G54+H54+I54)</f>
        <v/>
      </c>
      <c r="K54" s="84">
        <f>IF($A54="","",F54-J54)</f>
        <v/>
      </c>
      <c r="L54" s="71">
        <f>IF($A54="","",IF(N(F54)=0,"-",J54/F54))</f>
        <v/>
      </c>
      <c r="M54" s="70">
        <f>IF($A54="","",SUMIFS('Budget'!$F$5:$F$64,'Budget'!$A$5:$A$64,$A54,'Budget'!$B$5:$B$64,"&lt;="&amp;B54))</f>
        <v/>
      </c>
      <c r="N54" s="70">
        <f>IF($A54="","",SUMIFS('Budget'!$J$5:$J$64,'Budget'!$A$5:$A$64,$A54,'Budget'!$B$5:$B$64,"&lt;="&amp;B54))</f>
        <v/>
      </c>
    </row>
    <row r="55">
      <c r="A55" s="82" t="n"/>
      <c r="B55" s="83" t="n"/>
      <c r="C55" s="66" t="n"/>
      <c r="D55" s="66" t="n"/>
      <c r="E55" s="66" t="n"/>
      <c r="F55" s="70">
        <f>IF($A55="","",N(C55)+N(D55)+N(E55))</f>
        <v/>
      </c>
      <c r="G55" s="70">
        <f>IF($A55="","",SUMIFS('Ordres de travail'!$V$5:$V$3004,'Ordres de travail'!$B$5:$B$3004,"&gt;="&amp;B55,'Ordres de travail'!$B$5:$B$3004,"&lt;"&amp;EDATE(B55,1)))</f>
        <v/>
      </c>
      <c r="H55" s="70">
        <f>IF($A55="","",SUMIFS('Ordres de travail'!$W$5:$W$3004,'Ordres de travail'!$B$5:$B$3004,"&gt;="&amp;B55,'Ordres de travail'!$B$5:$B$3004,"&lt;"&amp;EDATE(B55,1))+SUMIFS('Ordres de travail'!$X$5:$X$3004,'Ordres de travail'!$B$5:$B$3004,"&gt;="&amp;B55,'Ordres de travail'!$B$5:$B$3004,"&lt;"&amp;EDATE(B55,1)))</f>
        <v/>
      </c>
      <c r="I55" s="70">
        <f>IF($A55="","",SUMIFS('Ordres de travail'!$Y$5:$Y$3004,'Ordres de travail'!$B$5:$B$3004,"&gt;="&amp;B55,'Ordres de travail'!$B$5:$B$3004,"&lt;"&amp;EDATE(B55,1)))</f>
        <v/>
      </c>
      <c r="J55" s="70">
        <f>IF($A55="","",G55+H55+I55)</f>
        <v/>
      </c>
      <c r="K55" s="84">
        <f>IF($A55="","",F55-J55)</f>
        <v/>
      </c>
      <c r="L55" s="71">
        <f>IF($A55="","",IF(N(F55)=0,"-",J55/F55))</f>
        <v/>
      </c>
      <c r="M55" s="70">
        <f>IF($A55="","",SUMIFS('Budget'!$F$5:$F$64,'Budget'!$A$5:$A$64,$A55,'Budget'!$B$5:$B$64,"&lt;="&amp;B55))</f>
        <v/>
      </c>
      <c r="N55" s="70">
        <f>IF($A55="","",SUMIFS('Budget'!$J$5:$J$64,'Budget'!$A$5:$A$64,$A55,'Budget'!$B$5:$B$64,"&lt;="&amp;B55))</f>
        <v/>
      </c>
    </row>
    <row r="56">
      <c r="A56" s="82" t="n"/>
      <c r="B56" s="83" t="n"/>
      <c r="C56" s="66" t="n"/>
      <c r="D56" s="66" t="n"/>
      <c r="E56" s="66" t="n"/>
      <c r="F56" s="70">
        <f>IF($A56="","",N(C56)+N(D56)+N(E56))</f>
        <v/>
      </c>
      <c r="G56" s="70">
        <f>IF($A56="","",SUMIFS('Ordres de travail'!$V$5:$V$3004,'Ordres de travail'!$B$5:$B$3004,"&gt;="&amp;B56,'Ordres de travail'!$B$5:$B$3004,"&lt;"&amp;EDATE(B56,1)))</f>
        <v/>
      </c>
      <c r="H56" s="70">
        <f>IF($A56="","",SUMIFS('Ordres de travail'!$W$5:$W$3004,'Ordres de travail'!$B$5:$B$3004,"&gt;="&amp;B56,'Ordres de travail'!$B$5:$B$3004,"&lt;"&amp;EDATE(B56,1))+SUMIFS('Ordres de travail'!$X$5:$X$3004,'Ordres de travail'!$B$5:$B$3004,"&gt;="&amp;B56,'Ordres de travail'!$B$5:$B$3004,"&lt;"&amp;EDATE(B56,1)))</f>
        <v/>
      </c>
      <c r="I56" s="70">
        <f>IF($A56="","",SUMIFS('Ordres de travail'!$Y$5:$Y$3004,'Ordres de travail'!$B$5:$B$3004,"&gt;="&amp;B56,'Ordres de travail'!$B$5:$B$3004,"&lt;"&amp;EDATE(B56,1)))</f>
        <v/>
      </c>
      <c r="J56" s="70">
        <f>IF($A56="","",G56+H56+I56)</f>
        <v/>
      </c>
      <c r="K56" s="84">
        <f>IF($A56="","",F56-J56)</f>
        <v/>
      </c>
      <c r="L56" s="71">
        <f>IF($A56="","",IF(N(F56)=0,"-",J56/F56))</f>
        <v/>
      </c>
      <c r="M56" s="70">
        <f>IF($A56="","",SUMIFS('Budget'!$F$5:$F$64,'Budget'!$A$5:$A$64,$A56,'Budget'!$B$5:$B$64,"&lt;="&amp;B56))</f>
        <v/>
      </c>
      <c r="N56" s="70">
        <f>IF($A56="","",SUMIFS('Budget'!$J$5:$J$64,'Budget'!$A$5:$A$64,$A56,'Budget'!$B$5:$B$64,"&lt;="&amp;B56))</f>
        <v/>
      </c>
    </row>
    <row r="57">
      <c r="A57" s="82" t="n"/>
      <c r="B57" s="83" t="n"/>
      <c r="C57" s="66" t="n"/>
      <c r="D57" s="66" t="n"/>
      <c r="E57" s="66" t="n"/>
      <c r="F57" s="70">
        <f>IF($A57="","",N(C57)+N(D57)+N(E57))</f>
        <v/>
      </c>
      <c r="G57" s="70">
        <f>IF($A57="","",SUMIFS('Ordres de travail'!$V$5:$V$3004,'Ordres de travail'!$B$5:$B$3004,"&gt;="&amp;B57,'Ordres de travail'!$B$5:$B$3004,"&lt;"&amp;EDATE(B57,1)))</f>
        <v/>
      </c>
      <c r="H57" s="70">
        <f>IF($A57="","",SUMIFS('Ordres de travail'!$W$5:$W$3004,'Ordres de travail'!$B$5:$B$3004,"&gt;="&amp;B57,'Ordres de travail'!$B$5:$B$3004,"&lt;"&amp;EDATE(B57,1))+SUMIFS('Ordres de travail'!$X$5:$X$3004,'Ordres de travail'!$B$5:$B$3004,"&gt;="&amp;B57,'Ordres de travail'!$B$5:$B$3004,"&lt;"&amp;EDATE(B57,1)))</f>
        <v/>
      </c>
      <c r="I57" s="70">
        <f>IF($A57="","",SUMIFS('Ordres de travail'!$Y$5:$Y$3004,'Ordres de travail'!$B$5:$B$3004,"&gt;="&amp;B57,'Ordres de travail'!$B$5:$B$3004,"&lt;"&amp;EDATE(B57,1)))</f>
        <v/>
      </c>
      <c r="J57" s="70">
        <f>IF($A57="","",G57+H57+I57)</f>
        <v/>
      </c>
      <c r="K57" s="84">
        <f>IF($A57="","",F57-J57)</f>
        <v/>
      </c>
      <c r="L57" s="71">
        <f>IF($A57="","",IF(N(F57)=0,"-",J57/F57))</f>
        <v/>
      </c>
      <c r="M57" s="70">
        <f>IF($A57="","",SUMIFS('Budget'!$F$5:$F$64,'Budget'!$A$5:$A$64,$A57,'Budget'!$B$5:$B$64,"&lt;="&amp;B57))</f>
        <v/>
      </c>
      <c r="N57" s="70">
        <f>IF($A57="","",SUMIFS('Budget'!$J$5:$J$64,'Budget'!$A$5:$A$64,$A57,'Budget'!$B$5:$B$64,"&lt;="&amp;B57))</f>
        <v/>
      </c>
    </row>
    <row r="58">
      <c r="A58" s="82" t="n"/>
      <c r="B58" s="83" t="n"/>
      <c r="C58" s="66" t="n"/>
      <c r="D58" s="66" t="n"/>
      <c r="E58" s="66" t="n"/>
      <c r="F58" s="70">
        <f>IF($A58="","",N(C58)+N(D58)+N(E58))</f>
        <v/>
      </c>
      <c r="G58" s="70">
        <f>IF($A58="","",SUMIFS('Ordres de travail'!$V$5:$V$3004,'Ordres de travail'!$B$5:$B$3004,"&gt;="&amp;B58,'Ordres de travail'!$B$5:$B$3004,"&lt;"&amp;EDATE(B58,1)))</f>
        <v/>
      </c>
      <c r="H58" s="70">
        <f>IF($A58="","",SUMIFS('Ordres de travail'!$W$5:$W$3004,'Ordres de travail'!$B$5:$B$3004,"&gt;="&amp;B58,'Ordres de travail'!$B$5:$B$3004,"&lt;"&amp;EDATE(B58,1))+SUMIFS('Ordres de travail'!$X$5:$X$3004,'Ordres de travail'!$B$5:$B$3004,"&gt;="&amp;B58,'Ordres de travail'!$B$5:$B$3004,"&lt;"&amp;EDATE(B58,1)))</f>
        <v/>
      </c>
      <c r="I58" s="70">
        <f>IF($A58="","",SUMIFS('Ordres de travail'!$Y$5:$Y$3004,'Ordres de travail'!$B$5:$B$3004,"&gt;="&amp;B58,'Ordres de travail'!$B$5:$B$3004,"&lt;"&amp;EDATE(B58,1)))</f>
        <v/>
      </c>
      <c r="J58" s="70">
        <f>IF($A58="","",G58+H58+I58)</f>
        <v/>
      </c>
      <c r="K58" s="84">
        <f>IF($A58="","",F58-J58)</f>
        <v/>
      </c>
      <c r="L58" s="71">
        <f>IF($A58="","",IF(N(F58)=0,"-",J58/F58))</f>
        <v/>
      </c>
      <c r="M58" s="70">
        <f>IF($A58="","",SUMIFS('Budget'!$F$5:$F$64,'Budget'!$A$5:$A$64,$A58,'Budget'!$B$5:$B$64,"&lt;="&amp;B58))</f>
        <v/>
      </c>
      <c r="N58" s="70">
        <f>IF($A58="","",SUMIFS('Budget'!$J$5:$J$64,'Budget'!$A$5:$A$64,$A58,'Budget'!$B$5:$B$64,"&lt;="&amp;B58))</f>
        <v/>
      </c>
    </row>
    <row r="59">
      <c r="A59" s="82" t="n"/>
      <c r="B59" s="83" t="n"/>
      <c r="C59" s="66" t="n"/>
      <c r="D59" s="66" t="n"/>
      <c r="E59" s="66" t="n"/>
      <c r="F59" s="70">
        <f>IF($A59="","",N(C59)+N(D59)+N(E59))</f>
        <v/>
      </c>
      <c r="G59" s="70">
        <f>IF($A59="","",SUMIFS('Ordres de travail'!$V$5:$V$3004,'Ordres de travail'!$B$5:$B$3004,"&gt;="&amp;B59,'Ordres de travail'!$B$5:$B$3004,"&lt;"&amp;EDATE(B59,1)))</f>
        <v/>
      </c>
      <c r="H59" s="70">
        <f>IF($A59="","",SUMIFS('Ordres de travail'!$W$5:$W$3004,'Ordres de travail'!$B$5:$B$3004,"&gt;="&amp;B59,'Ordres de travail'!$B$5:$B$3004,"&lt;"&amp;EDATE(B59,1))+SUMIFS('Ordres de travail'!$X$5:$X$3004,'Ordres de travail'!$B$5:$B$3004,"&gt;="&amp;B59,'Ordres de travail'!$B$5:$B$3004,"&lt;"&amp;EDATE(B59,1)))</f>
        <v/>
      </c>
      <c r="I59" s="70">
        <f>IF($A59="","",SUMIFS('Ordres de travail'!$Y$5:$Y$3004,'Ordres de travail'!$B$5:$B$3004,"&gt;="&amp;B59,'Ordres de travail'!$B$5:$B$3004,"&lt;"&amp;EDATE(B59,1)))</f>
        <v/>
      </c>
      <c r="J59" s="70">
        <f>IF($A59="","",G59+H59+I59)</f>
        <v/>
      </c>
      <c r="K59" s="84">
        <f>IF($A59="","",F59-J59)</f>
        <v/>
      </c>
      <c r="L59" s="71">
        <f>IF($A59="","",IF(N(F59)=0,"-",J59/F59))</f>
        <v/>
      </c>
      <c r="M59" s="70">
        <f>IF($A59="","",SUMIFS('Budget'!$F$5:$F$64,'Budget'!$A$5:$A$64,$A59,'Budget'!$B$5:$B$64,"&lt;="&amp;B59))</f>
        <v/>
      </c>
      <c r="N59" s="70">
        <f>IF($A59="","",SUMIFS('Budget'!$J$5:$J$64,'Budget'!$A$5:$A$64,$A59,'Budget'!$B$5:$B$64,"&lt;="&amp;B59))</f>
        <v/>
      </c>
    </row>
    <row r="60">
      <c r="A60" s="82" t="n"/>
      <c r="B60" s="83" t="n"/>
      <c r="C60" s="66" t="n"/>
      <c r="D60" s="66" t="n"/>
      <c r="E60" s="66" t="n"/>
      <c r="F60" s="70">
        <f>IF($A60="","",N(C60)+N(D60)+N(E60))</f>
        <v/>
      </c>
      <c r="G60" s="70">
        <f>IF($A60="","",SUMIFS('Ordres de travail'!$V$5:$V$3004,'Ordres de travail'!$B$5:$B$3004,"&gt;="&amp;B60,'Ordres de travail'!$B$5:$B$3004,"&lt;"&amp;EDATE(B60,1)))</f>
        <v/>
      </c>
      <c r="H60" s="70">
        <f>IF($A60="","",SUMIFS('Ordres de travail'!$W$5:$W$3004,'Ordres de travail'!$B$5:$B$3004,"&gt;="&amp;B60,'Ordres de travail'!$B$5:$B$3004,"&lt;"&amp;EDATE(B60,1))+SUMIFS('Ordres de travail'!$X$5:$X$3004,'Ordres de travail'!$B$5:$B$3004,"&gt;="&amp;B60,'Ordres de travail'!$B$5:$B$3004,"&lt;"&amp;EDATE(B60,1)))</f>
        <v/>
      </c>
      <c r="I60" s="70">
        <f>IF($A60="","",SUMIFS('Ordres de travail'!$Y$5:$Y$3004,'Ordres de travail'!$B$5:$B$3004,"&gt;="&amp;B60,'Ordres de travail'!$B$5:$B$3004,"&lt;"&amp;EDATE(B60,1)))</f>
        <v/>
      </c>
      <c r="J60" s="70">
        <f>IF($A60="","",G60+H60+I60)</f>
        <v/>
      </c>
      <c r="K60" s="84">
        <f>IF($A60="","",F60-J60)</f>
        <v/>
      </c>
      <c r="L60" s="71">
        <f>IF($A60="","",IF(N(F60)=0,"-",J60/F60))</f>
        <v/>
      </c>
      <c r="M60" s="70">
        <f>IF($A60="","",SUMIFS('Budget'!$F$5:$F$64,'Budget'!$A$5:$A$64,$A60,'Budget'!$B$5:$B$64,"&lt;="&amp;B60))</f>
        <v/>
      </c>
      <c r="N60" s="70">
        <f>IF($A60="","",SUMIFS('Budget'!$J$5:$J$64,'Budget'!$A$5:$A$64,$A60,'Budget'!$B$5:$B$64,"&lt;="&amp;B60))</f>
        <v/>
      </c>
    </row>
    <row r="61">
      <c r="A61" s="82" t="n"/>
      <c r="B61" s="83" t="n"/>
      <c r="C61" s="66" t="n"/>
      <c r="D61" s="66" t="n"/>
      <c r="E61" s="66" t="n"/>
      <c r="F61" s="70">
        <f>IF($A61="","",N(C61)+N(D61)+N(E61))</f>
        <v/>
      </c>
      <c r="G61" s="70">
        <f>IF($A61="","",SUMIFS('Ordres de travail'!$V$5:$V$3004,'Ordres de travail'!$B$5:$B$3004,"&gt;="&amp;B61,'Ordres de travail'!$B$5:$B$3004,"&lt;"&amp;EDATE(B61,1)))</f>
        <v/>
      </c>
      <c r="H61" s="70">
        <f>IF($A61="","",SUMIFS('Ordres de travail'!$W$5:$W$3004,'Ordres de travail'!$B$5:$B$3004,"&gt;="&amp;B61,'Ordres de travail'!$B$5:$B$3004,"&lt;"&amp;EDATE(B61,1))+SUMIFS('Ordres de travail'!$X$5:$X$3004,'Ordres de travail'!$B$5:$B$3004,"&gt;="&amp;B61,'Ordres de travail'!$B$5:$B$3004,"&lt;"&amp;EDATE(B61,1)))</f>
        <v/>
      </c>
      <c r="I61" s="70">
        <f>IF($A61="","",SUMIFS('Ordres de travail'!$Y$5:$Y$3004,'Ordres de travail'!$B$5:$B$3004,"&gt;="&amp;B61,'Ordres de travail'!$B$5:$B$3004,"&lt;"&amp;EDATE(B61,1)))</f>
        <v/>
      </c>
      <c r="J61" s="70">
        <f>IF($A61="","",G61+H61+I61)</f>
        <v/>
      </c>
      <c r="K61" s="84">
        <f>IF($A61="","",F61-J61)</f>
        <v/>
      </c>
      <c r="L61" s="71">
        <f>IF($A61="","",IF(N(F61)=0,"-",J61/F61))</f>
        <v/>
      </c>
      <c r="M61" s="70">
        <f>IF($A61="","",SUMIFS('Budget'!$F$5:$F$64,'Budget'!$A$5:$A$64,$A61,'Budget'!$B$5:$B$64,"&lt;="&amp;B61))</f>
        <v/>
      </c>
      <c r="N61" s="70">
        <f>IF($A61="","",SUMIFS('Budget'!$J$5:$J$64,'Budget'!$A$5:$A$64,$A61,'Budget'!$B$5:$B$64,"&lt;="&amp;B61))</f>
        <v/>
      </c>
    </row>
    <row r="62">
      <c r="A62" s="82" t="n"/>
      <c r="B62" s="83" t="n"/>
      <c r="C62" s="66" t="n"/>
      <c r="D62" s="66" t="n"/>
      <c r="E62" s="66" t="n"/>
      <c r="F62" s="70">
        <f>IF($A62="","",N(C62)+N(D62)+N(E62))</f>
        <v/>
      </c>
      <c r="G62" s="70">
        <f>IF($A62="","",SUMIFS('Ordres de travail'!$V$5:$V$3004,'Ordres de travail'!$B$5:$B$3004,"&gt;="&amp;B62,'Ordres de travail'!$B$5:$B$3004,"&lt;"&amp;EDATE(B62,1)))</f>
        <v/>
      </c>
      <c r="H62" s="70">
        <f>IF($A62="","",SUMIFS('Ordres de travail'!$W$5:$W$3004,'Ordres de travail'!$B$5:$B$3004,"&gt;="&amp;B62,'Ordres de travail'!$B$5:$B$3004,"&lt;"&amp;EDATE(B62,1))+SUMIFS('Ordres de travail'!$X$5:$X$3004,'Ordres de travail'!$B$5:$B$3004,"&gt;="&amp;B62,'Ordres de travail'!$B$5:$B$3004,"&lt;"&amp;EDATE(B62,1)))</f>
        <v/>
      </c>
      <c r="I62" s="70">
        <f>IF($A62="","",SUMIFS('Ordres de travail'!$Y$5:$Y$3004,'Ordres de travail'!$B$5:$B$3004,"&gt;="&amp;B62,'Ordres de travail'!$B$5:$B$3004,"&lt;"&amp;EDATE(B62,1)))</f>
        <v/>
      </c>
      <c r="J62" s="70">
        <f>IF($A62="","",G62+H62+I62)</f>
        <v/>
      </c>
      <c r="K62" s="84">
        <f>IF($A62="","",F62-J62)</f>
        <v/>
      </c>
      <c r="L62" s="71">
        <f>IF($A62="","",IF(N(F62)=0,"-",J62/F62))</f>
        <v/>
      </c>
      <c r="M62" s="70">
        <f>IF($A62="","",SUMIFS('Budget'!$F$5:$F$64,'Budget'!$A$5:$A$64,$A62,'Budget'!$B$5:$B$64,"&lt;="&amp;B62))</f>
        <v/>
      </c>
      <c r="N62" s="70">
        <f>IF($A62="","",SUMIFS('Budget'!$J$5:$J$64,'Budget'!$A$5:$A$64,$A62,'Budget'!$B$5:$B$64,"&lt;="&amp;B62))</f>
        <v/>
      </c>
    </row>
    <row r="63">
      <c r="A63" s="82" t="n"/>
      <c r="B63" s="83" t="n"/>
      <c r="C63" s="66" t="n"/>
      <c r="D63" s="66" t="n"/>
      <c r="E63" s="66" t="n"/>
      <c r="F63" s="70">
        <f>IF($A63="","",N(C63)+N(D63)+N(E63))</f>
        <v/>
      </c>
      <c r="G63" s="70">
        <f>IF($A63="","",SUMIFS('Ordres de travail'!$V$5:$V$3004,'Ordres de travail'!$B$5:$B$3004,"&gt;="&amp;B63,'Ordres de travail'!$B$5:$B$3004,"&lt;"&amp;EDATE(B63,1)))</f>
        <v/>
      </c>
      <c r="H63" s="70">
        <f>IF($A63="","",SUMIFS('Ordres de travail'!$W$5:$W$3004,'Ordres de travail'!$B$5:$B$3004,"&gt;="&amp;B63,'Ordres de travail'!$B$5:$B$3004,"&lt;"&amp;EDATE(B63,1))+SUMIFS('Ordres de travail'!$X$5:$X$3004,'Ordres de travail'!$B$5:$B$3004,"&gt;="&amp;B63,'Ordres de travail'!$B$5:$B$3004,"&lt;"&amp;EDATE(B63,1)))</f>
        <v/>
      </c>
      <c r="I63" s="70">
        <f>IF($A63="","",SUMIFS('Ordres de travail'!$Y$5:$Y$3004,'Ordres de travail'!$B$5:$B$3004,"&gt;="&amp;B63,'Ordres de travail'!$B$5:$B$3004,"&lt;"&amp;EDATE(B63,1)))</f>
        <v/>
      </c>
      <c r="J63" s="70">
        <f>IF($A63="","",G63+H63+I63)</f>
        <v/>
      </c>
      <c r="K63" s="84">
        <f>IF($A63="","",F63-J63)</f>
        <v/>
      </c>
      <c r="L63" s="71">
        <f>IF($A63="","",IF(N(F63)=0,"-",J63/F63))</f>
        <v/>
      </c>
      <c r="M63" s="70">
        <f>IF($A63="","",SUMIFS('Budget'!$F$5:$F$64,'Budget'!$A$5:$A$64,$A63,'Budget'!$B$5:$B$64,"&lt;="&amp;B63))</f>
        <v/>
      </c>
      <c r="N63" s="70">
        <f>IF($A63="","",SUMIFS('Budget'!$J$5:$J$64,'Budget'!$A$5:$A$64,$A63,'Budget'!$B$5:$B$64,"&lt;="&amp;B63))</f>
        <v/>
      </c>
    </row>
    <row r="64">
      <c r="A64" s="82" t="n"/>
      <c r="B64" s="83" t="n"/>
      <c r="C64" s="66" t="n"/>
      <c r="D64" s="66" t="n"/>
      <c r="E64" s="66" t="n"/>
      <c r="F64" s="70">
        <f>IF($A64="","",N(C64)+N(D64)+N(E64))</f>
        <v/>
      </c>
      <c r="G64" s="70">
        <f>IF($A64="","",SUMIFS('Ordres de travail'!$V$5:$V$3004,'Ordres de travail'!$B$5:$B$3004,"&gt;="&amp;B64,'Ordres de travail'!$B$5:$B$3004,"&lt;"&amp;EDATE(B64,1)))</f>
        <v/>
      </c>
      <c r="H64" s="70">
        <f>IF($A64="","",SUMIFS('Ordres de travail'!$W$5:$W$3004,'Ordres de travail'!$B$5:$B$3004,"&gt;="&amp;B64,'Ordres de travail'!$B$5:$B$3004,"&lt;"&amp;EDATE(B64,1))+SUMIFS('Ordres de travail'!$X$5:$X$3004,'Ordres de travail'!$B$5:$B$3004,"&gt;="&amp;B64,'Ordres de travail'!$B$5:$B$3004,"&lt;"&amp;EDATE(B64,1)))</f>
        <v/>
      </c>
      <c r="I64" s="70">
        <f>IF($A64="","",SUMIFS('Ordres de travail'!$Y$5:$Y$3004,'Ordres de travail'!$B$5:$B$3004,"&gt;="&amp;B64,'Ordres de travail'!$B$5:$B$3004,"&lt;"&amp;EDATE(B64,1)))</f>
        <v/>
      </c>
      <c r="J64" s="70">
        <f>IF($A64="","",G64+H64+I64)</f>
        <v/>
      </c>
      <c r="K64" s="84">
        <f>IF($A64="","",F64-J64)</f>
        <v/>
      </c>
      <c r="L64" s="71">
        <f>IF($A64="","",IF(N(F64)=0,"-",J64/F64))</f>
        <v/>
      </c>
      <c r="M64" s="70">
        <f>IF($A64="","",SUMIFS('Budget'!$F$5:$F$64,'Budget'!$A$5:$A$64,$A64,'Budget'!$B$5:$B$64,"&lt;="&amp;B64))</f>
        <v/>
      </c>
      <c r="N64" s="70">
        <f>IF($A64="","",SUMIFS('Budget'!$J$5:$J$64,'Budget'!$A$5:$A$64,$A64,'Budget'!$B$5:$B$64,"&lt;="&amp;B64))</f>
        <v/>
      </c>
    </row>
  </sheetData>
  <autoFilter ref="A4:N64"/>
  <conditionalFormatting sqref="L5:L64">
    <cfRule type="expression" priority="1" dxfId="1">
      <formula>AND(ISNUMBER(L5),L5&gt;1)</formula>
    </cfRule>
  </conditionalFormatting>
  <pageMargins left="0.75" right="0.75" top="1" bottom="1" header="0.5" footer="0.5"/>
  <pageSetup orientation="landscape" fitToHeight="0" fitToWidth="1"/>
</worksheet>
</file>

<file path=xl/worksheets/sheet12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F1504"/>
  <sheetViews>
    <sheetView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3" customWidth="1" min="2" max="2"/>
    <col width="34" customWidth="1" min="3" max="3"/>
    <col width="11" customWidth="1" min="4" max="4"/>
    <col width="18" customWidth="1" min="5" max="5"/>
    <col width="13" customWidth="1" min="6" max="6"/>
  </cols>
  <sheetData>
    <row r="1">
      <c r="A1" s="62" t="inlineStr">
        <is>
          <t>Relevés de compteurs</t>
        </is>
      </c>
    </row>
    <row r="2">
      <c r="A2" s="3" t="inlineStr">
        <is>
          <t>Relevés d'heures de fonctionnement, base de la maintenance conditionnelle (ex. entretien compresseur toutes les 2000 h).</t>
        </is>
      </c>
    </row>
    <row r="3">
      <c r="A3" s="63" t="inlineStr">
        <is>
          <t>Saisie : texte bleu   |   Calcul automatique : fond gris (ne pas modifier)   |   Les listes déroulantes proviennent de l'onglet Paramètres.</t>
        </is>
      </c>
    </row>
    <row r="4" ht="42" customHeight="1">
      <c r="A4" s="48" t="inlineStr">
        <is>
          <t>Date relevé</t>
        </is>
      </c>
      <c r="B4" s="48" t="inlineStr">
        <is>
          <t>Code équipement</t>
        </is>
      </c>
      <c r="C4" s="64" t="inlineStr">
        <is>
          <t>Désignation</t>
        </is>
      </c>
      <c r="D4" s="48" t="inlineStr">
        <is>
          <t>Compteur (h)</t>
        </is>
      </c>
      <c r="E4" s="48" t="inlineStr">
        <is>
          <t>Relevé par</t>
        </is>
      </c>
      <c r="F4" s="64" t="inlineStr">
        <is>
          <t>Heures depuis relevé précédent</t>
        </is>
      </c>
    </row>
    <row r="5">
      <c r="A5" s="65" t="n">
        <v>45658</v>
      </c>
      <c r="B5" s="7" t="inlineStr">
        <is>
          <t>EQ-LOG-001</t>
        </is>
      </c>
      <c r="C5" s="9">
        <f>IF(B5="","",IFERROR(INDEX('Équipements'!$B$5:$B$304,MATCH(B5,'Équipements'!$A$5:$A$304,0)),"Code inconnu"))</f>
        <v/>
      </c>
      <c r="D5" s="67" t="n">
        <v>15264</v>
      </c>
      <c r="E5" s="7" t="inlineStr">
        <is>
          <t>Ronde maintenance</t>
        </is>
      </c>
      <c r="F5" s="68">
        <f>IF(OR(B5="",A5=""),"",IF(COUNTIFS('Relevés compteurs'!$B$5:$B$1504,B5,'Relevés compteurs'!$A$5:$A$1504,"&lt;"&amp;A5)=0,"",D5-_xlfn.MAXIFS('Relevés compteurs'!$D$5:$D$1504,'Relevés compteurs'!$B$5:$B$1504,B5,'Relevés compteurs'!$A$5:$A$1504,"&lt;"&amp;A5)))</f>
        <v/>
      </c>
    </row>
    <row r="6">
      <c r="A6" s="65" t="n">
        <v>45658</v>
      </c>
      <c r="B6" s="7" t="inlineStr">
        <is>
          <t>EQ-LOG-002</t>
        </is>
      </c>
      <c r="C6" s="9">
        <f>IF(B6="","",IFERROR(INDEX('Équipements'!$B$5:$B$304,MATCH(B6,'Équipements'!$A$5:$A$304,0)),"Code inconnu"))</f>
        <v/>
      </c>
      <c r="D6" s="67" t="n">
        <v>22805</v>
      </c>
      <c r="E6" s="7" t="inlineStr">
        <is>
          <t>Ronde maintenance</t>
        </is>
      </c>
      <c r="F6" s="68">
        <f>IF(OR(B6="",A6=""),"",IF(COUNTIFS('Relevés compteurs'!$B$5:$B$1504,B6,'Relevés compteurs'!$A$5:$A$1504,"&lt;"&amp;A6)=0,"",D6-_xlfn.MAXIFS('Relevés compteurs'!$D$5:$D$1504,'Relevés compteurs'!$B$5:$B$1504,B6,'Relevés compteurs'!$A$5:$A$1504,"&lt;"&amp;A6)))</f>
        <v/>
      </c>
    </row>
    <row r="7">
      <c r="A7" s="65" t="n">
        <v>45658</v>
      </c>
      <c r="B7" s="7" t="inlineStr">
        <is>
          <t>EQ-LOG-003</t>
        </is>
      </c>
      <c r="C7" s="9">
        <f>IF(B7="","",IFERROR(INDEX('Équipements'!$B$5:$B$304,MATCH(B7,'Équipements'!$A$5:$A$304,0)),"Code inconnu"))</f>
        <v/>
      </c>
      <c r="D7" s="67" t="n">
        <v>21316</v>
      </c>
      <c r="E7" s="7" t="inlineStr">
        <is>
          <t>Lucas Fontaine</t>
        </is>
      </c>
      <c r="F7" s="68">
        <f>IF(OR(B7="",A7=""),"",IF(COUNTIFS('Relevés compteurs'!$B$5:$B$1504,B7,'Relevés compteurs'!$A$5:$A$1504,"&lt;"&amp;A7)=0,"",D7-_xlfn.MAXIFS('Relevés compteurs'!$D$5:$D$1504,'Relevés compteurs'!$B$5:$B$1504,B7,'Relevés compteurs'!$A$5:$A$1504,"&lt;"&amp;A7)))</f>
        <v/>
      </c>
    </row>
    <row r="8">
      <c r="A8" s="65" t="n">
        <v>45658</v>
      </c>
      <c r="B8" s="7" t="inlineStr">
        <is>
          <t>EQ-LOG-005</t>
        </is>
      </c>
      <c r="C8" s="9">
        <f>IF(B8="","",IFERROR(INDEX('Équipements'!$B$5:$B$304,MATCH(B8,'Équipements'!$A$5:$A$304,0)),"Code inconnu"))</f>
        <v/>
      </c>
      <c r="D8" s="67" t="n">
        <v>2636</v>
      </c>
      <c r="E8" s="7" t="inlineStr">
        <is>
          <t>Ronde maintenance</t>
        </is>
      </c>
      <c r="F8" s="68">
        <f>IF(OR(B8="",A8=""),"",IF(COUNTIFS('Relevés compteurs'!$B$5:$B$1504,B8,'Relevés compteurs'!$A$5:$A$1504,"&lt;"&amp;A8)=0,"",D8-_xlfn.MAXIFS('Relevés compteurs'!$D$5:$D$1504,'Relevés compteurs'!$B$5:$B$1504,B8,'Relevés compteurs'!$A$5:$A$1504,"&lt;"&amp;A8)))</f>
        <v/>
      </c>
    </row>
    <row r="9">
      <c r="A9" s="65" t="n">
        <v>45658</v>
      </c>
      <c r="B9" s="7" t="inlineStr">
        <is>
          <t>EQ-SOU-001</t>
        </is>
      </c>
      <c r="C9" s="9">
        <f>IF(B9="","",IFERROR(INDEX('Équipements'!$B$5:$B$304,MATCH(B9,'Équipements'!$A$5:$A$304,0)),"Code inconnu"))</f>
        <v/>
      </c>
      <c r="D9" s="67" t="n">
        <v>13710</v>
      </c>
      <c r="E9" s="7" t="inlineStr">
        <is>
          <t>Ronde maintenance</t>
        </is>
      </c>
      <c r="F9" s="68">
        <f>IF(OR(B9="",A9=""),"",IF(COUNTIFS('Relevés compteurs'!$B$5:$B$1504,B9,'Relevés compteurs'!$A$5:$A$1504,"&lt;"&amp;A9)=0,"",D9-_xlfn.MAXIFS('Relevés compteurs'!$D$5:$D$1504,'Relevés compteurs'!$B$5:$B$1504,B9,'Relevés compteurs'!$A$5:$A$1504,"&lt;"&amp;A9)))</f>
        <v/>
      </c>
    </row>
    <row r="10">
      <c r="A10" s="65" t="n">
        <v>45658</v>
      </c>
      <c r="B10" s="7" t="inlineStr">
        <is>
          <t>EQ-TOL-001</t>
        </is>
      </c>
      <c r="C10" s="9">
        <f>IF(B10="","",IFERROR(INDEX('Équipements'!$B$5:$B$304,MATCH(B10,'Équipements'!$A$5:$A$304,0)),"Code inconnu"))</f>
        <v/>
      </c>
      <c r="D10" s="67" t="n">
        <v>14028</v>
      </c>
      <c r="E10" s="7" t="inlineStr">
        <is>
          <t>Nadia Rousseau</t>
        </is>
      </c>
      <c r="F10" s="68">
        <f>IF(OR(B10="",A10=""),"",IF(COUNTIFS('Relevés compteurs'!$B$5:$B$1504,B10,'Relevés compteurs'!$A$5:$A$1504,"&lt;"&amp;A10)=0,"",D10-_xlfn.MAXIFS('Relevés compteurs'!$D$5:$D$1504,'Relevés compteurs'!$B$5:$B$1504,B10,'Relevés compteurs'!$A$5:$A$1504,"&lt;"&amp;A10)))</f>
        <v/>
      </c>
    </row>
    <row r="11">
      <c r="A11" s="65" t="n">
        <v>45658</v>
      </c>
      <c r="B11" s="7" t="inlineStr">
        <is>
          <t>EQ-TOL-002</t>
        </is>
      </c>
      <c r="C11" s="9">
        <f>IF(B11="","",IFERROR(INDEX('Équipements'!$B$5:$B$304,MATCH(B11,'Équipements'!$A$5:$A$304,0)),"Code inconnu"))</f>
        <v/>
      </c>
      <c r="D11" s="67" t="n">
        <v>44870</v>
      </c>
      <c r="E11" s="7" t="inlineStr">
        <is>
          <t>Lucas Fontaine</t>
        </is>
      </c>
      <c r="F11" s="68">
        <f>IF(OR(B11="",A11=""),"",IF(COUNTIFS('Relevés compteurs'!$B$5:$B$1504,B11,'Relevés compteurs'!$A$5:$A$1504,"&lt;"&amp;A11)=0,"",D11-_xlfn.MAXIFS('Relevés compteurs'!$D$5:$D$1504,'Relevés compteurs'!$B$5:$B$1504,B11,'Relevés compteurs'!$A$5:$A$1504,"&lt;"&amp;A11)))</f>
        <v/>
      </c>
    </row>
    <row r="12">
      <c r="A12" s="65" t="n">
        <v>45658</v>
      </c>
      <c r="B12" s="7" t="inlineStr">
        <is>
          <t>EQ-TOL-003</t>
        </is>
      </c>
      <c r="C12" s="9">
        <f>IF(B12="","",IFERROR(INDEX('Équipements'!$B$5:$B$304,MATCH(B12,'Équipements'!$A$5:$A$304,0)),"Code inconnu"))</f>
        <v/>
      </c>
      <c r="D12" s="67" t="n">
        <v>19287</v>
      </c>
      <c r="E12" s="7" t="inlineStr">
        <is>
          <t>Lucas Fontaine</t>
        </is>
      </c>
      <c r="F12" s="68">
        <f>IF(OR(B12="",A12=""),"",IF(COUNTIFS('Relevés compteurs'!$B$5:$B$1504,B12,'Relevés compteurs'!$A$5:$A$1504,"&lt;"&amp;A12)=0,"",D12-_xlfn.MAXIFS('Relevés compteurs'!$D$5:$D$1504,'Relevés compteurs'!$B$5:$B$1504,B12,'Relevés compteurs'!$A$5:$A$1504,"&lt;"&amp;A12)))</f>
        <v/>
      </c>
    </row>
    <row r="13">
      <c r="A13" s="65" t="n">
        <v>45658</v>
      </c>
      <c r="B13" s="7" t="inlineStr">
        <is>
          <t>EQ-USI-001</t>
        </is>
      </c>
      <c r="C13" s="9">
        <f>IF(B13="","",IFERROR(INDEX('Équipements'!$B$5:$B$304,MATCH(B13,'Équipements'!$A$5:$A$304,0)),"Code inconnu"))</f>
        <v/>
      </c>
      <c r="D13" s="67" t="n">
        <v>18956</v>
      </c>
      <c r="E13" s="7" t="inlineStr">
        <is>
          <t>Nadia Rousseau</t>
        </is>
      </c>
      <c r="F13" s="68">
        <f>IF(OR(B13="",A13=""),"",IF(COUNTIFS('Relevés compteurs'!$B$5:$B$1504,B13,'Relevés compteurs'!$A$5:$A$1504,"&lt;"&amp;A13)=0,"",D13-_xlfn.MAXIFS('Relevés compteurs'!$D$5:$D$1504,'Relevés compteurs'!$B$5:$B$1504,B13,'Relevés compteurs'!$A$5:$A$1504,"&lt;"&amp;A13)))</f>
        <v/>
      </c>
    </row>
    <row r="14">
      <c r="A14" s="65" t="n">
        <v>45658</v>
      </c>
      <c r="B14" s="7" t="inlineStr">
        <is>
          <t>EQ-USI-002</t>
        </is>
      </c>
      <c r="C14" s="9">
        <f>IF(B14="","",IFERROR(INDEX('Équipements'!$B$5:$B$304,MATCH(B14,'Équipements'!$A$5:$A$304,0)),"Code inconnu"))</f>
        <v/>
      </c>
      <c r="D14" s="67" t="n">
        <v>27713</v>
      </c>
      <c r="E14" s="7" t="inlineStr">
        <is>
          <t>Lucas Fontaine</t>
        </is>
      </c>
      <c r="F14" s="68">
        <f>IF(OR(B14="",A14=""),"",IF(COUNTIFS('Relevés compteurs'!$B$5:$B$1504,B14,'Relevés compteurs'!$A$5:$A$1504,"&lt;"&amp;A14)=0,"",D14-_xlfn.MAXIFS('Relevés compteurs'!$D$5:$D$1504,'Relevés compteurs'!$B$5:$B$1504,B14,'Relevés compteurs'!$A$5:$A$1504,"&lt;"&amp;A14)))</f>
        <v/>
      </c>
    </row>
    <row r="15">
      <c r="A15" s="65" t="n">
        <v>45658</v>
      </c>
      <c r="B15" s="7" t="inlineStr">
        <is>
          <t>EQ-USI-004</t>
        </is>
      </c>
      <c r="C15" s="9">
        <f>IF(B15="","",IFERROR(INDEX('Équipements'!$B$5:$B$304,MATCH(B15,'Équipements'!$A$5:$A$304,0)),"Code inconnu"))</f>
        <v/>
      </c>
      <c r="D15" s="67" t="n">
        <v>33271</v>
      </c>
      <c r="E15" s="7" t="inlineStr">
        <is>
          <t>Nadia Rousseau</t>
        </is>
      </c>
      <c r="F15" s="68">
        <f>IF(OR(B15="",A15=""),"",IF(COUNTIFS('Relevés compteurs'!$B$5:$B$1504,B15,'Relevés compteurs'!$A$5:$A$1504,"&lt;"&amp;A15)=0,"",D15-_xlfn.MAXIFS('Relevés compteurs'!$D$5:$D$1504,'Relevés compteurs'!$B$5:$B$1504,B15,'Relevés compteurs'!$A$5:$A$1504,"&lt;"&amp;A15)))</f>
        <v/>
      </c>
    </row>
    <row r="16">
      <c r="A16" s="65" t="n">
        <v>45658</v>
      </c>
      <c r="B16" s="7" t="inlineStr">
        <is>
          <t>EQ-USI-005</t>
        </is>
      </c>
      <c r="C16" s="9">
        <f>IF(B16="","",IFERROR(INDEX('Équipements'!$B$5:$B$304,MATCH(B16,'Équipements'!$A$5:$A$304,0)),"Code inconnu"))</f>
        <v/>
      </c>
      <c r="D16" s="67" t="n">
        <v>16064</v>
      </c>
      <c r="E16" s="7" t="inlineStr">
        <is>
          <t>Ronde maintenance</t>
        </is>
      </c>
      <c r="F16" s="68">
        <f>IF(OR(B16="",A16=""),"",IF(COUNTIFS('Relevés compteurs'!$B$5:$B$1504,B16,'Relevés compteurs'!$A$5:$A$1504,"&lt;"&amp;A16)=0,"",D16-_xlfn.MAXIFS('Relevés compteurs'!$D$5:$D$1504,'Relevés compteurs'!$B$5:$B$1504,B16,'Relevés compteurs'!$A$5:$A$1504,"&lt;"&amp;A16)))</f>
        <v/>
      </c>
    </row>
    <row r="17">
      <c r="A17" s="65" t="n">
        <v>45658</v>
      </c>
      <c r="B17" s="7" t="inlineStr">
        <is>
          <t>EQ-UTI-001</t>
        </is>
      </c>
      <c r="C17" s="9">
        <f>IF(B17="","",IFERROR(INDEX('Équipements'!$B$5:$B$304,MATCH(B17,'Équipements'!$A$5:$A$304,0)),"Code inconnu"))</f>
        <v/>
      </c>
      <c r="D17" s="67" t="n">
        <v>35607</v>
      </c>
      <c r="E17" s="7" t="inlineStr">
        <is>
          <t>Ronde maintenance</t>
        </is>
      </c>
      <c r="F17" s="68">
        <f>IF(OR(B17="",A17=""),"",IF(COUNTIFS('Relevés compteurs'!$B$5:$B$1504,B17,'Relevés compteurs'!$A$5:$A$1504,"&lt;"&amp;A17)=0,"",D17-_xlfn.MAXIFS('Relevés compteurs'!$D$5:$D$1504,'Relevés compteurs'!$B$5:$B$1504,B17,'Relevés compteurs'!$A$5:$A$1504,"&lt;"&amp;A17)))</f>
        <v/>
      </c>
    </row>
    <row r="18">
      <c r="A18" s="65" t="n">
        <v>45658</v>
      </c>
      <c r="B18" s="7" t="inlineStr">
        <is>
          <t>EQ-UTI-002</t>
        </is>
      </c>
      <c r="C18" s="9">
        <f>IF(B18="","",IFERROR(INDEX('Équipements'!$B$5:$B$304,MATCH(B18,'Équipements'!$A$5:$A$304,0)),"Code inconnu"))</f>
        <v/>
      </c>
      <c r="D18" s="67" t="n">
        <v>31677</v>
      </c>
      <c r="E18" s="7" t="inlineStr">
        <is>
          <t>Nadia Rousseau</t>
        </is>
      </c>
      <c r="F18" s="68">
        <f>IF(OR(B18="",A18=""),"",IF(COUNTIFS('Relevés compteurs'!$B$5:$B$1504,B18,'Relevés compteurs'!$A$5:$A$1504,"&lt;"&amp;A18)=0,"",D18-_xlfn.MAXIFS('Relevés compteurs'!$D$5:$D$1504,'Relevés compteurs'!$B$5:$B$1504,B18,'Relevés compteurs'!$A$5:$A$1504,"&lt;"&amp;A18)))</f>
        <v/>
      </c>
    </row>
    <row r="19">
      <c r="A19" s="65" t="n">
        <v>45691</v>
      </c>
      <c r="B19" s="7" t="inlineStr">
        <is>
          <t>EQ-LOG-001</t>
        </is>
      </c>
      <c r="C19" s="9">
        <f>IF(B19="","",IFERROR(INDEX('Équipements'!$B$5:$B$304,MATCH(B19,'Équipements'!$A$5:$A$304,0)),"Code inconnu"))</f>
        <v/>
      </c>
      <c r="D19" s="67" t="n">
        <v>15451</v>
      </c>
      <c r="E19" s="7" t="inlineStr">
        <is>
          <t>Lucas Fontaine</t>
        </is>
      </c>
      <c r="F19" s="68">
        <f>IF(OR(B19="",A19=""),"",IF(COUNTIFS('Relevés compteurs'!$B$5:$B$1504,B19,'Relevés compteurs'!$A$5:$A$1504,"&lt;"&amp;A19)=0,"",D19-_xlfn.MAXIFS('Relevés compteurs'!$D$5:$D$1504,'Relevés compteurs'!$B$5:$B$1504,B19,'Relevés compteurs'!$A$5:$A$1504,"&lt;"&amp;A19)))</f>
        <v/>
      </c>
    </row>
    <row r="20">
      <c r="A20" s="65" t="n">
        <v>45691</v>
      </c>
      <c r="B20" s="7" t="inlineStr">
        <is>
          <t>EQ-LOG-002</t>
        </is>
      </c>
      <c r="C20" s="9">
        <f>IF(B20="","",IFERROR(INDEX('Équipements'!$B$5:$B$304,MATCH(B20,'Équipements'!$A$5:$A$304,0)),"Code inconnu"))</f>
        <v/>
      </c>
      <c r="D20" s="67" t="n">
        <v>23002</v>
      </c>
      <c r="E20" s="7" t="inlineStr">
        <is>
          <t>Ronde maintenance</t>
        </is>
      </c>
      <c r="F20" s="68">
        <f>IF(OR(B20="",A20=""),"",IF(COUNTIFS('Relevés compteurs'!$B$5:$B$1504,B20,'Relevés compteurs'!$A$5:$A$1504,"&lt;"&amp;A20)=0,"",D20-_xlfn.MAXIFS('Relevés compteurs'!$D$5:$D$1504,'Relevés compteurs'!$B$5:$B$1504,B20,'Relevés compteurs'!$A$5:$A$1504,"&lt;"&amp;A20)))</f>
        <v/>
      </c>
    </row>
    <row r="21">
      <c r="A21" s="65" t="n">
        <v>45691</v>
      </c>
      <c r="B21" s="7" t="inlineStr">
        <is>
          <t>EQ-LOG-003</t>
        </is>
      </c>
      <c r="C21" s="9">
        <f>IF(B21="","",IFERROR(INDEX('Équipements'!$B$5:$B$304,MATCH(B21,'Équipements'!$A$5:$A$304,0)),"Code inconnu"))</f>
        <v/>
      </c>
      <c r="D21" s="67" t="n">
        <v>21447</v>
      </c>
      <c r="E21" s="7" t="inlineStr">
        <is>
          <t>Nadia Rousseau</t>
        </is>
      </c>
      <c r="F21" s="68">
        <f>IF(OR(B21="",A21=""),"",IF(COUNTIFS('Relevés compteurs'!$B$5:$B$1504,B21,'Relevés compteurs'!$A$5:$A$1504,"&lt;"&amp;A21)=0,"",D21-_xlfn.MAXIFS('Relevés compteurs'!$D$5:$D$1504,'Relevés compteurs'!$B$5:$B$1504,B21,'Relevés compteurs'!$A$5:$A$1504,"&lt;"&amp;A21)))</f>
        <v/>
      </c>
    </row>
    <row r="22">
      <c r="A22" s="65" t="n">
        <v>45691</v>
      </c>
      <c r="B22" s="7" t="inlineStr">
        <is>
          <t>EQ-LOG-005</t>
        </is>
      </c>
      <c r="C22" s="9">
        <f>IF(B22="","",IFERROR(INDEX('Équipements'!$B$5:$B$304,MATCH(B22,'Équipements'!$A$5:$A$304,0)),"Code inconnu"))</f>
        <v/>
      </c>
      <c r="D22" s="67" t="n">
        <v>2662</v>
      </c>
      <c r="E22" s="7" t="inlineStr">
        <is>
          <t>Nadia Rousseau</t>
        </is>
      </c>
      <c r="F22" s="68">
        <f>IF(OR(B22="",A22=""),"",IF(COUNTIFS('Relevés compteurs'!$B$5:$B$1504,B22,'Relevés compteurs'!$A$5:$A$1504,"&lt;"&amp;A22)=0,"",D22-_xlfn.MAXIFS('Relevés compteurs'!$D$5:$D$1504,'Relevés compteurs'!$B$5:$B$1504,B22,'Relevés compteurs'!$A$5:$A$1504,"&lt;"&amp;A22)))</f>
        <v/>
      </c>
    </row>
    <row r="23">
      <c r="A23" s="65" t="n">
        <v>45691</v>
      </c>
      <c r="B23" s="7" t="inlineStr">
        <is>
          <t>EQ-SOU-001</t>
        </is>
      </c>
      <c r="C23" s="9">
        <f>IF(B23="","",IFERROR(INDEX('Équipements'!$B$5:$B$304,MATCH(B23,'Équipements'!$A$5:$A$304,0)),"Code inconnu"))</f>
        <v/>
      </c>
      <c r="D23" s="67" t="n">
        <v>14016</v>
      </c>
      <c r="E23" s="7" t="inlineStr">
        <is>
          <t>Lucas Fontaine</t>
        </is>
      </c>
      <c r="F23" s="68">
        <f>IF(OR(B23="",A23=""),"",IF(COUNTIFS('Relevés compteurs'!$B$5:$B$1504,B23,'Relevés compteurs'!$A$5:$A$1504,"&lt;"&amp;A23)=0,"",D23-_xlfn.MAXIFS('Relevés compteurs'!$D$5:$D$1504,'Relevés compteurs'!$B$5:$B$1504,B23,'Relevés compteurs'!$A$5:$A$1504,"&lt;"&amp;A23)))</f>
        <v/>
      </c>
    </row>
    <row r="24">
      <c r="A24" s="65" t="n">
        <v>45691</v>
      </c>
      <c r="B24" s="7" t="inlineStr">
        <is>
          <t>EQ-TOL-001</t>
        </is>
      </c>
      <c r="C24" s="9">
        <f>IF(B24="","",IFERROR(INDEX('Équipements'!$B$5:$B$304,MATCH(B24,'Équipements'!$A$5:$A$304,0)),"Code inconnu"))</f>
        <v/>
      </c>
      <c r="D24" s="67" t="n">
        <v>14299</v>
      </c>
      <c r="E24" s="7" t="inlineStr">
        <is>
          <t>Ronde maintenance</t>
        </is>
      </c>
      <c r="F24" s="68">
        <f>IF(OR(B24="",A24=""),"",IF(COUNTIFS('Relevés compteurs'!$B$5:$B$1504,B24,'Relevés compteurs'!$A$5:$A$1504,"&lt;"&amp;A24)=0,"",D24-_xlfn.MAXIFS('Relevés compteurs'!$D$5:$D$1504,'Relevés compteurs'!$B$5:$B$1504,B24,'Relevés compteurs'!$A$5:$A$1504,"&lt;"&amp;A24)))</f>
        <v/>
      </c>
    </row>
    <row r="25">
      <c r="A25" s="65" t="n">
        <v>45691</v>
      </c>
      <c r="B25" s="7" t="inlineStr">
        <is>
          <t>EQ-TOL-002</t>
        </is>
      </c>
      <c r="C25" s="9">
        <f>IF(B25="","",IFERROR(INDEX('Équipements'!$B$5:$B$304,MATCH(B25,'Équipements'!$A$5:$A$304,0)),"Code inconnu"))</f>
        <v/>
      </c>
      <c r="D25" s="67" t="n">
        <v>45099</v>
      </c>
      <c r="E25" s="7" t="inlineStr">
        <is>
          <t>Lucas Fontaine</t>
        </is>
      </c>
      <c r="F25" s="68">
        <f>IF(OR(B25="",A25=""),"",IF(COUNTIFS('Relevés compteurs'!$B$5:$B$1504,B25,'Relevés compteurs'!$A$5:$A$1504,"&lt;"&amp;A25)=0,"",D25-_xlfn.MAXIFS('Relevés compteurs'!$D$5:$D$1504,'Relevés compteurs'!$B$5:$B$1504,B25,'Relevés compteurs'!$A$5:$A$1504,"&lt;"&amp;A25)))</f>
        <v/>
      </c>
    </row>
    <row r="26">
      <c r="A26" s="65" t="n">
        <v>45691</v>
      </c>
      <c r="B26" s="7" t="inlineStr">
        <is>
          <t>EQ-TOL-003</t>
        </is>
      </c>
      <c r="C26" s="9">
        <f>IF(B26="","",IFERROR(INDEX('Équipements'!$B$5:$B$304,MATCH(B26,'Équipements'!$A$5:$A$304,0)),"Code inconnu"))</f>
        <v/>
      </c>
      <c r="D26" s="67" t="n">
        <v>19544</v>
      </c>
      <c r="E26" s="7" t="inlineStr">
        <is>
          <t>Ronde maintenance</t>
        </is>
      </c>
      <c r="F26" s="68">
        <f>IF(OR(B26="",A26=""),"",IF(COUNTIFS('Relevés compteurs'!$B$5:$B$1504,B26,'Relevés compteurs'!$A$5:$A$1504,"&lt;"&amp;A26)=0,"",D26-_xlfn.MAXIFS('Relevés compteurs'!$D$5:$D$1504,'Relevés compteurs'!$B$5:$B$1504,B26,'Relevés compteurs'!$A$5:$A$1504,"&lt;"&amp;A26)))</f>
        <v/>
      </c>
    </row>
    <row r="27">
      <c r="A27" s="65" t="n">
        <v>45691</v>
      </c>
      <c r="B27" s="7" t="inlineStr">
        <is>
          <t>EQ-USI-001</t>
        </is>
      </c>
      <c r="C27" s="9">
        <f>IF(B27="","",IFERROR(INDEX('Équipements'!$B$5:$B$304,MATCH(B27,'Équipements'!$A$5:$A$304,0)),"Code inconnu"))</f>
        <v/>
      </c>
      <c r="D27" s="67" t="n">
        <v>19261</v>
      </c>
      <c r="E27" s="7" t="inlineStr">
        <is>
          <t>Nadia Rousseau</t>
        </is>
      </c>
      <c r="F27" s="68">
        <f>IF(OR(B27="",A27=""),"",IF(COUNTIFS('Relevés compteurs'!$B$5:$B$1504,B27,'Relevés compteurs'!$A$5:$A$1504,"&lt;"&amp;A27)=0,"",D27-_xlfn.MAXIFS('Relevés compteurs'!$D$5:$D$1504,'Relevés compteurs'!$B$5:$B$1504,B27,'Relevés compteurs'!$A$5:$A$1504,"&lt;"&amp;A27)))</f>
        <v/>
      </c>
    </row>
    <row r="28">
      <c r="A28" s="65" t="n">
        <v>45691</v>
      </c>
      <c r="B28" s="7" t="inlineStr">
        <is>
          <t>EQ-USI-002</t>
        </is>
      </c>
      <c r="C28" s="9">
        <f>IF(B28="","",IFERROR(INDEX('Équipements'!$B$5:$B$304,MATCH(B28,'Équipements'!$A$5:$A$304,0)),"Code inconnu"))</f>
        <v/>
      </c>
      <c r="D28" s="67" t="n">
        <v>27969</v>
      </c>
      <c r="E28" s="7" t="inlineStr">
        <is>
          <t>Ronde maintenance</t>
        </is>
      </c>
      <c r="F28" s="68">
        <f>IF(OR(B28="",A28=""),"",IF(COUNTIFS('Relevés compteurs'!$B$5:$B$1504,B28,'Relevés compteurs'!$A$5:$A$1504,"&lt;"&amp;A28)=0,"",D28-_xlfn.MAXIFS('Relevés compteurs'!$D$5:$D$1504,'Relevés compteurs'!$B$5:$B$1504,B28,'Relevés compteurs'!$A$5:$A$1504,"&lt;"&amp;A28)))</f>
        <v/>
      </c>
    </row>
    <row r="29">
      <c r="A29" s="65" t="n">
        <v>45691</v>
      </c>
      <c r="B29" s="7" t="inlineStr">
        <is>
          <t>EQ-USI-004</t>
        </is>
      </c>
      <c r="C29" s="9">
        <f>IF(B29="","",IFERROR(INDEX('Équipements'!$B$5:$B$304,MATCH(B29,'Équipements'!$A$5:$A$304,0)),"Code inconnu"))</f>
        <v/>
      </c>
      <c r="D29" s="67" t="n">
        <v>33523</v>
      </c>
      <c r="E29" s="7" t="inlineStr">
        <is>
          <t>Lucas Fontaine</t>
        </is>
      </c>
      <c r="F29" s="68">
        <f>IF(OR(B29="",A29=""),"",IF(COUNTIFS('Relevés compteurs'!$B$5:$B$1504,B29,'Relevés compteurs'!$A$5:$A$1504,"&lt;"&amp;A29)=0,"",D29-_xlfn.MAXIFS('Relevés compteurs'!$D$5:$D$1504,'Relevés compteurs'!$B$5:$B$1504,B29,'Relevés compteurs'!$A$5:$A$1504,"&lt;"&amp;A29)))</f>
        <v/>
      </c>
    </row>
    <row r="30">
      <c r="A30" s="65" t="n">
        <v>45691</v>
      </c>
      <c r="B30" s="7" t="inlineStr">
        <is>
          <t>EQ-USI-005</t>
        </is>
      </c>
      <c r="C30" s="9">
        <f>IF(B30="","",IFERROR(INDEX('Équipements'!$B$5:$B$304,MATCH(B30,'Équipements'!$A$5:$A$304,0)),"Code inconnu"))</f>
        <v/>
      </c>
      <c r="D30" s="67" t="n">
        <v>16376</v>
      </c>
      <c r="E30" s="7" t="inlineStr">
        <is>
          <t>Ronde maintenance</t>
        </is>
      </c>
      <c r="F30" s="68">
        <f>IF(OR(B30="",A30=""),"",IF(COUNTIFS('Relevés compteurs'!$B$5:$B$1504,B30,'Relevés compteurs'!$A$5:$A$1504,"&lt;"&amp;A30)=0,"",D30-_xlfn.MAXIFS('Relevés compteurs'!$D$5:$D$1504,'Relevés compteurs'!$B$5:$B$1504,B30,'Relevés compteurs'!$A$5:$A$1504,"&lt;"&amp;A30)))</f>
        <v/>
      </c>
    </row>
    <row r="31">
      <c r="A31" s="65" t="n">
        <v>45691</v>
      </c>
      <c r="B31" s="7" t="inlineStr">
        <is>
          <t>EQ-UTI-001</t>
        </is>
      </c>
      <c r="C31" s="9">
        <f>IF(B31="","",IFERROR(INDEX('Équipements'!$B$5:$B$304,MATCH(B31,'Équipements'!$A$5:$A$304,0)),"Code inconnu"))</f>
        <v/>
      </c>
      <c r="D31" s="67" t="n">
        <v>36092</v>
      </c>
      <c r="E31" s="7" t="inlineStr">
        <is>
          <t>Nadia Rousseau</t>
        </is>
      </c>
      <c r="F31" s="68">
        <f>IF(OR(B31="",A31=""),"",IF(COUNTIFS('Relevés compteurs'!$B$5:$B$1504,B31,'Relevés compteurs'!$A$5:$A$1504,"&lt;"&amp;A31)=0,"",D31-_xlfn.MAXIFS('Relevés compteurs'!$D$5:$D$1504,'Relevés compteurs'!$B$5:$B$1504,B31,'Relevés compteurs'!$A$5:$A$1504,"&lt;"&amp;A31)))</f>
        <v/>
      </c>
    </row>
    <row r="32">
      <c r="A32" s="65" t="n">
        <v>45691</v>
      </c>
      <c r="B32" s="7" t="inlineStr">
        <is>
          <t>EQ-UTI-002</t>
        </is>
      </c>
      <c r="C32" s="9">
        <f>IF(B32="","",IFERROR(INDEX('Équipements'!$B$5:$B$304,MATCH(B32,'Équipements'!$A$5:$A$304,0)),"Code inconnu"))</f>
        <v/>
      </c>
      <c r="D32" s="67" t="n">
        <v>31846</v>
      </c>
      <c r="E32" s="7" t="inlineStr">
        <is>
          <t>Ronde maintenance</t>
        </is>
      </c>
      <c r="F32" s="68">
        <f>IF(OR(B32="",A32=""),"",IF(COUNTIFS('Relevés compteurs'!$B$5:$B$1504,B32,'Relevés compteurs'!$A$5:$A$1504,"&lt;"&amp;A32)=0,"",D32-_xlfn.MAXIFS('Relevés compteurs'!$D$5:$D$1504,'Relevés compteurs'!$B$5:$B$1504,B32,'Relevés compteurs'!$A$5:$A$1504,"&lt;"&amp;A32)))</f>
        <v/>
      </c>
    </row>
    <row r="33">
      <c r="A33" s="65" t="n">
        <v>45719</v>
      </c>
      <c r="B33" s="7" t="inlineStr">
        <is>
          <t>EQ-LOG-001</t>
        </is>
      </c>
      <c r="C33" s="9">
        <f>IF(B33="","",IFERROR(INDEX('Équipements'!$B$5:$B$304,MATCH(B33,'Équipements'!$A$5:$A$304,0)),"Code inconnu"))</f>
        <v/>
      </c>
      <c r="D33" s="67" t="n">
        <v>15659</v>
      </c>
      <c r="E33" s="7" t="inlineStr">
        <is>
          <t>Ronde maintenance</t>
        </is>
      </c>
      <c r="F33" s="68">
        <f>IF(OR(B33="",A33=""),"",IF(COUNTIFS('Relevés compteurs'!$B$5:$B$1504,B33,'Relevés compteurs'!$A$5:$A$1504,"&lt;"&amp;A33)=0,"",D33-_xlfn.MAXIFS('Relevés compteurs'!$D$5:$D$1504,'Relevés compteurs'!$B$5:$B$1504,B33,'Relevés compteurs'!$A$5:$A$1504,"&lt;"&amp;A33)))</f>
        <v/>
      </c>
    </row>
    <row r="34">
      <c r="A34" s="65" t="n">
        <v>45719</v>
      </c>
      <c r="B34" s="7" t="inlineStr">
        <is>
          <t>EQ-LOG-002</t>
        </is>
      </c>
      <c r="C34" s="9">
        <f>IF(B34="","",IFERROR(INDEX('Équipements'!$B$5:$B$304,MATCH(B34,'Équipements'!$A$5:$A$304,0)),"Code inconnu"))</f>
        <v/>
      </c>
      <c r="D34" s="67" t="n">
        <v>23204</v>
      </c>
      <c r="E34" s="7" t="inlineStr">
        <is>
          <t>Ronde maintenance</t>
        </is>
      </c>
      <c r="F34" s="68">
        <f>IF(OR(B34="",A34=""),"",IF(COUNTIFS('Relevés compteurs'!$B$5:$B$1504,B34,'Relevés compteurs'!$A$5:$A$1504,"&lt;"&amp;A34)=0,"",D34-_xlfn.MAXIFS('Relevés compteurs'!$D$5:$D$1504,'Relevés compteurs'!$B$5:$B$1504,B34,'Relevés compteurs'!$A$5:$A$1504,"&lt;"&amp;A34)))</f>
        <v/>
      </c>
    </row>
    <row r="35">
      <c r="A35" s="65" t="n">
        <v>45719</v>
      </c>
      <c r="B35" s="7" t="inlineStr">
        <is>
          <t>EQ-LOG-003</t>
        </is>
      </c>
      <c r="C35" s="9">
        <f>IF(B35="","",IFERROR(INDEX('Équipements'!$B$5:$B$304,MATCH(B35,'Équipements'!$A$5:$A$304,0)),"Code inconnu"))</f>
        <v/>
      </c>
      <c r="D35" s="67" t="n">
        <v>21586</v>
      </c>
      <c r="E35" s="7" t="inlineStr">
        <is>
          <t>Ronde maintenance</t>
        </is>
      </c>
      <c r="F35" s="68">
        <f>IF(OR(B35="",A35=""),"",IF(COUNTIFS('Relevés compteurs'!$B$5:$B$1504,B35,'Relevés compteurs'!$A$5:$A$1504,"&lt;"&amp;A35)=0,"",D35-_xlfn.MAXIFS('Relevés compteurs'!$D$5:$D$1504,'Relevés compteurs'!$B$5:$B$1504,B35,'Relevés compteurs'!$A$5:$A$1504,"&lt;"&amp;A35)))</f>
        <v/>
      </c>
    </row>
    <row r="36">
      <c r="A36" s="65" t="n">
        <v>45719</v>
      </c>
      <c r="B36" s="7" t="inlineStr">
        <is>
          <t>EQ-LOG-005</t>
        </is>
      </c>
      <c r="C36" s="9">
        <f>IF(B36="","",IFERROR(INDEX('Équipements'!$B$5:$B$304,MATCH(B36,'Équipements'!$A$5:$A$304,0)),"Code inconnu"))</f>
        <v/>
      </c>
      <c r="D36" s="67" t="n">
        <v>2692</v>
      </c>
      <c r="E36" s="7" t="inlineStr">
        <is>
          <t>Lucas Fontaine</t>
        </is>
      </c>
      <c r="F36" s="68">
        <f>IF(OR(B36="",A36=""),"",IF(COUNTIFS('Relevés compteurs'!$B$5:$B$1504,B36,'Relevés compteurs'!$A$5:$A$1504,"&lt;"&amp;A36)=0,"",D36-_xlfn.MAXIFS('Relevés compteurs'!$D$5:$D$1504,'Relevés compteurs'!$B$5:$B$1504,B36,'Relevés compteurs'!$A$5:$A$1504,"&lt;"&amp;A36)))</f>
        <v/>
      </c>
    </row>
    <row r="37">
      <c r="A37" s="65" t="n">
        <v>45719</v>
      </c>
      <c r="B37" s="7" t="inlineStr">
        <is>
          <t>EQ-SOU-001</t>
        </is>
      </c>
      <c r="C37" s="9">
        <f>IF(B37="","",IFERROR(INDEX('Équipements'!$B$5:$B$304,MATCH(B37,'Équipements'!$A$5:$A$304,0)),"Code inconnu"))</f>
        <v/>
      </c>
      <c r="D37" s="67" t="n">
        <v>14327</v>
      </c>
      <c r="E37" s="7" t="inlineStr">
        <is>
          <t>Ronde maintenance</t>
        </is>
      </c>
      <c r="F37" s="68">
        <f>IF(OR(B37="",A37=""),"",IF(COUNTIFS('Relevés compteurs'!$B$5:$B$1504,B37,'Relevés compteurs'!$A$5:$A$1504,"&lt;"&amp;A37)=0,"",D37-_xlfn.MAXIFS('Relevés compteurs'!$D$5:$D$1504,'Relevés compteurs'!$B$5:$B$1504,B37,'Relevés compteurs'!$A$5:$A$1504,"&lt;"&amp;A37)))</f>
        <v/>
      </c>
    </row>
    <row r="38">
      <c r="A38" s="65" t="n">
        <v>45719</v>
      </c>
      <c r="B38" s="7" t="inlineStr">
        <is>
          <t>EQ-TOL-001</t>
        </is>
      </c>
      <c r="C38" s="9">
        <f>IF(B38="","",IFERROR(INDEX('Équipements'!$B$5:$B$304,MATCH(B38,'Équipements'!$A$5:$A$304,0)),"Code inconnu"))</f>
        <v/>
      </c>
      <c r="D38" s="67" t="n">
        <v>14621</v>
      </c>
      <c r="E38" s="7" t="inlineStr">
        <is>
          <t>Lucas Fontaine</t>
        </is>
      </c>
      <c r="F38" s="68">
        <f>IF(OR(B38="",A38=""),"",IF(COUNTIFS('Relevés compteurs'!$B$5:$B$1504,B38,'Relevés compteurs'!$A$5:$A$1504,"&lt;"&amp;A38)=0,"",D38-_xlfn.MAXIFS('Relevés compteurs'!$D$5:$D$1504,'Relevés compteurs'!$B$5:$B$1504,B38,'Relevés compteurs'!$A$5:$A$1504,"&lt;"&amp;A38)))</f>
        <v/>
      </c>
    </row>
    <row r="39">
      <c r="A39" s="65" t="n">
        <v>45719</v>
      </c>
      <c r="B39" s="7" t="inlineStr">
        <is>
          <t>EQ-TOL-002</t>
        </is>
      </c>
      <c r="C39" s="9">
        <f>IF(B39="","",IFERROR(INDEX('Équipements'!$B$5:$B$304,MATCH(B39,'Équipements'!$A$5:$A$304,0)),"Code inconnu"))</f>
        <v/>
      </c>
      <c r="D39" s="67" t="n">
        <v>45344</v>
      </c>
      <c r="E39" s="7" t="inlineStr">
        <is>
          <t>Ronde maintenance</t>
        </is>
      </c>
      <c r="F39" s="68">
        <f>IF(OR(B39="",A39=""),"",IF(COUNTIFS('Relevés compteurs'!$B$5:$B$1504,B39,'Relevés compteurs'!$A$5:$A$1504,"&lt;"&amp;A39)=0,"",D39-_xlfn.MAXIFS('Relevés compteurs'!$D$5:$D$1504,'Relevés compteurs'!$B$5:$B$1504,B39,'Relevés compteurs'!$A$5:$A$1504,"&lt;"&amp;A39)))</f>
        <v/>
      </c>
    </row>
    <row r="40">
      <c r="A40" s="65" t="n">
        <v>45719</v>
      </c>
      <c r="B40" s="7" t="inlineStr">
        <is>
          <t>EQ-TOL-003</t>
        </is>
      </c>
      <c r="C40" s="9">
        <f>IF(B40="","",IFERROR(INDEX('Équipements'!$B$5:$B$304,MATCH(B40,'Équipements'!$A$5:$A$304,0)),"Code inconnu"))</f>
        <v/>
      </c>
      <c r="D40" s="67" t="n">
        <v>19785</v>
      </c>
      <c r="E40" s="7" t="inlineStr">
        <is>
          <t>Nadia Rousseau</t>
        </is>
      </c>
      <c r="F40" s="68">
        <f>IF(OR(B40="",A40=""),"",IF(COUNTIFS('Relevés compteurs'!$B$5:$B$1504,B40,'Relevés compteurs'!$A$5:$A$1504,"&lt;"&amp;A40)=0,"",D40-_xlfn.MAXIFS('Relevés compteurs'!$D$5:$D$1504,'Relevés compteurs'!$B$5:$B$1504,B40,'Relevés compteurs'!$A$5:$A$1504,"&lt;"&amp;A40)))</f>
        <v/>
      </c>
    </row>
    <row r="41">
      <c r="A41" s="65" t="n">
        <v>45719</v>
      </c>
      <c r="B41" s="7" t="inlineStr">
        <is>
          <t>EQ-USI-001</t>
        </is>
      </c>
      <c r="C41" s="9">
        <f>IF(B41="","",IFERROR(INDEX('Équipements'!$B$5:$B$304,MATCH(B41,'Équipements'!$A$5:$A$304,0)),"Code inconnu"))</f>
        <v/>
      </c>
      <c r="D41" s="67" t="n">
        <v>19502</v>
      </c>
      <c r="E41" s="7" t="inlineStr">
        <is>
          <t>Ronde maintenance</t>
        </is>
      </c>
      <c r="F41" s="68">
        <f>IF(OR(B41="",A41=""),"",IF(COUNTIFS('Relevés compteurs'!$B$5:$B$1504,B41,'Relevés compteurs'!$A$5:$A$1504,"&lt;"&amp;A41)=0,"",D41-_xlfn.MAXIFS('Relevés compteurs'!$D$5:$D$1504,'Relevés compteurs'!$B$5:$B$1504,B41,'Relevés compteurs'!$A$5:$A$1504,"&lt;"&amp;A41)))</f>
        <v/>
      </c>
    </row>
    <row r="42">
      <c r="A42" s="65" t="n">
        <v>45719</v>
      </c>
      <c r="B42" s="7" t="inlineStr">
        <is>
          <t>EQ-USI-002</t>
        </is>
      </c>
      <c r="C42" s="9">
        <f>IF(B42="","",IFERROR(INDEX('Équipements'!$B$5:$B$304,MATCH(B42,'Équipements'!$A$5:$A$304,0)),"Code inconnu"))</f>
        <v/>
      </c>
      <c r="D42" s="67" t="n">
        <v>28265</v>
      </c>
      <c r="E42" s="7" t="inlineStr">
        <is>
          <t>Ronde maintenance</t>
        </is>
      </c>
      <c r="F42" s="68">
        <f>IF(OR(B42="",A42=""),"",IF(COUNTIFS('Relevés compteurs'!$B$5:$B$1504,B42,'Relevés compteurs'!$A$5:$A$1504,"&lt;"&amp;A42)=0,"",D42-_xlfn.MAXIFS('Relevés compteurs'!$D$5:$D$1504,'Relevés compteurs'!$B$5:$B$1504,B42,'Relevés compteurs'!$A$5:$A$1504,"&lt;"&amp;A42)))</f>
        <v/>
      </c>
    </row>
    <row r="43">
      <c r="A43" s="65" t="n">
        <v>45719</v>
      </c>
      <c r="B43" s="7" t="inlineStr">
        <is>
          <t>EQ-USI-004</t>
        </is>
      </c>
      <c r="C43" s="9">
        <f>IF(B43="","",IFERROR(INDEX('Équipements'!$B$5:$B$304,MATCH(B43,'Équipements'!$A$5:$A$304,0)),"Code inconnu"))</f>
        <v/>
      </c>
      <c r="D43" s="67" t="n">
        <v>33814</v>
      </c>
      <c r="E43" s="7" t="inlineStr">
        <is>
          <t>Ronde maintenance</t>
        </is>
      </c>
      <c r="F43" s="68">
        <f>IF(OR(B43="",A43=""),"",IF(COUNTIFS('Relevés compteurs'!$B$5:$B$1504,B43,'Relevés compteurs'!$A$5:$A$1504,"&lt;"&amp;A43)=0,"",D43-_xlfn.MAXIFS('Relevés compteurs'!$D$5:$D$1504,'Relevés compteurs'!$B$5:$B$1504,B43,'Relevés compteurs'!$A$5:$A$1504,"&lt;"&amp;A43)))</f>
        <v/>
      </c>
    </row>
    <row r="44">
      <c r="A44" s="65" t="n">
        <v>45719</v>
      </c>
      <c r="B44" s="7" t="inlineStr">
        <is>
          <t>EQ-USI-005</t>
        </is>
      </c>
      <c r="C44" s="9">
        <f>IF(B44="","",IFERROR(INDEX('Équipements'!$B$5:$B$304,MATCH(B44,'Équipements'!$A$5:$A$304,0)),"Code inconnu"))</f>
        <v/>
      </c>
      <c r="D44" s="67" t="n">
        <v>16632</v>
      </c>
      <c r="E44" s="7" t="inlineStr">
        <is>
          <t>Ronde maintenance</t>
        </is>
      </c>
      <c r="F44" s="68">
        <f>IF(OR(B44="",A44=""),"",IF(COUNTIFS('Relevés compteurs'!$B$5:$B$1504,B44,'Relevés compteurs'!$A$5:$A$1504,"&lt;"&amp;A44)=0,"",D44-_xlfn.MAXIFS('Relevés compteurs'!$D$5:$D$1504,'Relevés compteurs'!$B$5:$B$1504,B44,'Relevés compteurs'!$A$5:$A$1504,"&lt;"&amp;A44)))</f>
        <v/>
      </c>
    </row>
    <row r="45">
      <c r="A45" s="65" t="n">
        <v>45719</v>
      </c>
      <c r="B45" s="7" t="inlineStr">
        <is>
          <t>EQ-UTI-001</t>
        </is>
      </c>
      <c r="C45" s="9">
        <f>IF(B45="","",IFERROR(INDEX('Équipements'!$B$5:$B$304,MATCH(B45,'Équipements'!$A$5:$A$304,0)),"Code inconnu"))</f>
        <v/>
      </c>
      <c r="D45" s="67" t="n">
        <v>36532</v>
      </c>
      <c r="E45" s="7" t="inlineStr">
        <is>
          <t>Ronde maintenance</t>
        </is>
      </c>
      <c r="F45" s="68">
        <f>IF(OR(B45="",A45=""),"",IF(COUNTIFS('Relevés compteurs'!$B$5:$B$1504,B45,'Relevés compteurs'!$A$5:$A$1504,"&lt;"&amp;A45)=0,"",D45-_xlfn.MAXIFS('Relevés compteurs'!$D$5:$D$1504,'Relevés compteurs'!$B$5:$B$1504,B45,'Relevés compteurs'!$A$5:$A$1504,"&lt;"&amp;A45)))</f>
        <v/>
      </c>
    </row>
    <row r="46">
      <c r="A46" s="65" t="n">
        <v>45719</v>
      </c>
      <c r="B46" s="7" t="inlineStr">
        <is>
          <t>EQ-UTI-002</t>
        </is>
      </c>
      <c r="C46" s="9">
        <f>IF(B46="","",IFERROR(INDEX('Équipements'!$B$5:$B$304,MATCH(B46,'Équipements'!$A$5:$A$304,0)),"Code inconnu"))</f>
        <v/>
      </c>
      <c r="D46" s="67" t="n">
        <v>32016</v>
      </c>
      <c r="E46" s="7" t="inlineStr">
        <is>
          <t>Nadia Rousseau</t>
        </is>
      </c>
      <c r="F46" s="68">
        <f>IF(OR(B46="",A46=""),"",IF(COUNTIFS('Relevés compteurs'!$B$5:$B$1504,B46,'Relevés compteurs'!$A$5:$A$1504,"&lt;"&amp;A46)=0,"",D46-_xlfn.MAXIFS('Relevés compteurs'!$D$5:$D$1504,'Relevés compteurs'!$B$5:$B$1504,B46,'Relevés compteurs'!$A$5:$A$1504,"&lt;"&amp;A46)))</f>
        <v/>
      </c>
    </row>
    <row r="47">
      <c r="A47" s="65" t="n">
        <v>45748</v>
      </c>
      <c r="B47" s="7" t="inlineStr">
        <is>
          <t>EQ-LOG-001</t>
        </is>
      </c>
      <c r="C47" s="9">
        <f>IF(B47="","",IFERROR(INDEX('Équipements'!$B$5:$B$304,MATCH(B47,'Équipements'!$A$5:$A$304,0)),"Code inconnu"))</f>
        <v/>
      </c>
      <c r="D47" s="67" t="n">
        <v>15852</v>
      </c>
      <c r="E47" s="7" t="inlineStr">
        <is>
          <t>Lucas Fontaine</t>
        </is>
      </c>
      <c r="F47" s="68">
        <f>IF(OR(B47="",A47=""),"",IF(COUNTIFS('Relevés compteurs'!$B$5:$B$1504,B47,'Relevés compteurs'!$A$5:$A$1504,"&lt;"&amp;A47)=0,"",D47-_xlfn.MAXIFS('Relevés compteurs'!$D$5:$D$1504,'Relevés compteurs'!$B$5:$B$1504,B47,'Relevés compteurs'!$A$5:$A$1504,"&lt;"&amp;A47)))</f>
        <v/>
      </c>
    </row>
    <row r="48">
      <c r="A48" s="65" t="n">
        <v>45748</v>
      </c>
      <c r="B48" s="7" t="inlineStr">
        <is>
          <t>EQ-LOG-002</t>
        </is>
      </c>
      <c r="C48" s="9">
        <f>IF(B48="","",IFERROR(INDEX('Équipements'!$B$5:$B$304,MATCH(B48,'Équipements'!$A$5:$A$304,0)),"Code inconnu"))</f>
        <v/>
      </c>
      <c r="D48" s="67" t="n">
        <v>23412</v>
      </c>
      <c r="E48" s="7" t="inlineStr">
        <is>
          <t>Ronde maintenance</t>
        </is>
      </c>
      <c r="F48" s="68">
        <f>IF(OR(B48="",A48=""),"",IF(COUNTIFS('Relevés compteurs'!$B$5:$B$1504,B48,'Relevés compteurs'!$A$5:$A$1504,"&lt;"&amp;A48)=0,"",D48-_xlfn.MAXIFS('Relevés compteurs'!$D$5:$D$1504,'Relevés compteurs'!$B$5:$B$1504,B48,'Relevés compteurs'!$A$5:$A$1504,"&lt;"&amp;A48)))</f>
        <v/>
      </c>
    </row>
    <row r="49">
      <c r="A49" s="65" t="n">
        <v>45748</v>
      </c>
      <c r="B49" s="7" t="inlineStr">
        <is>
          <t>EQ-LOG-003</t>
        </is>
      </c>
      <c r="C49" s="9">
        <f>IF(B49="","",IFERROR(INDEX('Équipements'!$B$5:$B$304,MATCH(B49,'Équipements'!$A$5:$A$304,0)),"Code inconnu"))</f>
        <v/>
      </c>
      <c r="D49" s="67" t="n">
        <v>21729</v>
      </c>
      <c r="E49" s="7" t="inlineStr">
        <is>
          <t>Lucas Fontaine</t>
        </is>
      </c>
      <c r="F49" s="68">
        <f>IF(OR(B49="",A49=""),"",IF(COUNTIFS('Relevés compteurs'!$B$5:$B$1504,B49,'Relevés compteurs'!$A$5:$A$1504,"&lt;"&amp;A49)=0,"",D49-_xlfn.MAXIFS('Relevés compteurs'!$D$5:$D$1504,'Relevés compteurs'!$B$5:$B$1504,B49,'Relevés compteurs'!$A$5:$A$1504,"&lt;"&amp;A49)))</f>
        <v/>
      </c>
    </row>
    <row r="50">
      <c r="A50" s="65" t="n">
        <v>45748</v>
      </c>
      <c r="B50" s="7" t="inlineStr">
        <is>
          <t>EQ-LOG-005</t>
        </is>
      </c>
      <c r="C50" s="9">
        <f>IF(B50="","",IFERROR(INDEX('Équipements'!$B$5:$B$304,MATCH(B50,'Équipements'!$A$5:$A$304,0)),"Code inconnu"))</f>
        <v/>
      </c>
      <c r="D50" s="67" t="n">
        <v>2718</v>
      </c>
      <c r="E50" s="7" t="inlineStr">
        <is>
          <t>Nadia Rousseau</t>
        </is>
      </c>
      <c r="F50" s="68">
        <f>IF(OR(B50="",A50=""),"",IF(COUNTIFS('Relevés compteurs'!$B$5:$B$1504,B50,'Relevés compteurs'!$A$5:$A$1504,"&lt;"&amp;A50)=0,"",D50-_xlfn.MAXIFS('Relevés compteurs'!$D$5:$D$1504,'Relevés compteurs'!$B$5:$B$1504,B50,'Relevés compteurs'!$A$5:$A$1504,"&lt;"&amp;A50)))</f>
        <v/>
      </c>
    </row>
    <row r="51">
      <c r="A51" s="65" t="n">
        <v>45748</v>
      </c>
      <c r="B51" s="7" t="inlineStr">
        <is>
          <t>EQ-SOU-001</t>
        </is>
      </c>
      <c r="C51" s="9">
        <f>IF(B51="","",IFERROR(INDEX('Équipements'!$B$5:$B$304,MATCH(B51,'Équipements'!$A$5:$A$304,0)),"Code inconnu"))</f>
        <v/>
      </c>
      <c r="D51" s="67" t="n">
        <v>14568</v>
      </c>
      <c r="E51" s="7" t="inlineStr">
        <is>
          <t>Lucas Fontaine</t>
        </is>
      </c>
      <c r="F51" s="68">
        <f>IF(OR(B51="",A51=""),"",IF(COUNTIFS('Relevés compteurs'!$B$5:$B$1504,B51,'Relevés compteurs'!$A$5:$A$1504,"&lt;"&amp;A51)=0,"",D51-_xlfn.MAXIFS('Relevés compteurs'!$D$5:$D$1504,'Relevés compteurs'!$B$5:$B$1504,B51,'Relevés compteurs'!$A$5:$A$1504,"&lt;"&amp;A51)))</f>
        <v/>
      </c>
    </row>
    <row r="52">
      <c r="A52" s="65" t="n">
        <v>45748</v>
      </c>
      <c r="B52" s="7" t="inlineStr">
        <is>
          <t>EQ-TOL-001</t>
        </is>
      </c>
      <c r="C52" s="9">
        <f>IF(B52="","",IFERROR(INDEX('Équipements'!$B$5:$B$304,MATCH(B52,'Équipements'!$A$5:$A$304,0)),"Code inconnu"))</f>
        <v/>
      </c>
      <c r="D52" s="67" t="n">
        <v>14911</v>
      </c>
      <c r="E52" s="7" t="inlineStr">
        <is>
          <t>Lucas Fontaine</t>
        </is>
      </c>
      <c r="F52" s="68">
        <f>IF(OR(B52="",A52=""),"",IF(COUNTIFS('Relevés compteurs'!$B$5:$B$1504,B52,'Relevés compteurs'!$A$5:$A$1504,"&lt;"&amp;A52)=0,"",D52-_xlfn.MAXIFS('Relevés compteurs'!$D$5:$D$1504,'Relevés compteurs'!$B$5:$B$1504,B52,'Relevés compteurs'!$A$5:$A$1504,"&lt;"&amp;A52)))</f>
        <v/>
      </c>
    </row>
    <row r="53">
      <c r="A53" s="65" t="n">
        <v>45748</v>
      </c>
      <c r="B53" s="7" t="inlineStr">
        <is>
          <t>EQ-TOL-002</t>
        </is>
      </c>
      <c r="C53" s="9">
        <f>IF(B53="","",IFERROR(INDEX('Équipements'!$B$5:$B$304,MATCH(B53,'Équipements'!$A$5:$A$304,0)),"Code inconnu"))</f>
        <v/>
      </c>
      <c r="D53" s="67" t="n">
        <v>45616</v>
      </c>
      <c r="E53" s="7" t="inlineStr">
        <is>
          <t>Nadia Rousseau</t>
        </is>
      </c>
      <c r="F53" s="68">
        <f>IF(OR(B53="",A53=""),"",IF(COUNTIFS('Relevés compteurs'!$B$5:$B$1504,B53,'Relevés compteurs'!$A$5:$A$1504,"&lt;"&amp;A53)=0,"",D53-_xlfn.MAXIFS('Relevés compteurs'!$D$5:$D$1504,'Relevés compteurs'!$B$5:$B$1504,B53,'Relevés compteurs'!$A$5:$A$1504,"&lt;"&amp;A53)))</f>
        <v/>
      </c>
    </row>
    <row r="54">
      <c r="A54" s="65" t="n">
        <v>45748</v>
      </c>
      <c r="B54" s="7" t="inlineStr">
        <is>
          <t>EQ-TOL-003</t>
        </is>
      </c>
      <c r="C54" s="9">
        <f>IF(B54="","",IFERROR(INDEX('Équipements'!$B$5:$B$304,MATCH(B54,'Équipements'!$A$5:$A$304,0)),"Code inconnu"))</f>
        <v/>
      </c>
      <c r="D54" s="67" t="n">
        <v>20024</v>
      </c>
      <c r="E54" s="7" t="inlineStr">
        <is>
          <t>Ronde maintenance</t>
        </is>
      </c>
      <c r="F54" s="68">
        <f>IF(OR(B54="",A54=""),"",IF(COUNTIFS('Relevés compteurs'!$B$5:$B$1504,B54,'Relevés compteurs'!$A$5:$A$1504,"&lt;"&amp;A54)=0,"",D54-_xlfn.MAXIFS('Relevés compteurs'!$D$5:$D$1504,'Relevés compteurs'!$B$5:$B$1504,B54,'Relevés compteurs'!$A$5:$A$1504,"&lt;"&amp;A54)))</f>
        <v/>
      </c>
    </row>
    <row r="55">
      <c r="A55" s="65" t="n">
        <v>45748</v>
      </c>
      <c r="B55" s="7" t="inlineStr">
        <is>
          <t>EQ-USI-001</t>
        </is>
      </c>
      <c r="C55" s="9">
        <f>IF(B55="","",IFERROR(INDEX('Équipements'!$B$5:$B$304,MATCH(B55,'Équipements'!$A$5:$A$304,0)),"Code inconnu"))</f>
        <v/>
      </c>
      <c r="D55" s="67" t="n">
        <v>19797</v>
      </c>
      <c r="E55" s="7" t="inlineStr">
        <is>
          <t>Nadia Rousseau</t>
        </is>
      </c>
      <c r="F55" s="68">
        <f>IF(OR(B55="",A55=""),"",IF(COUNTIFS('Relevés compteurs'!$B$5:$B$1504,B55,'Relevés compteurs'!$A$5:$A$1504,"&lt;"&amp;A55)=0,"",D55-_xlfn.MAXIFS('Relevés compteurs'!$D$5:$D$1504,'Relevés compteurs'!$B$5:$B$1504,B55,'Relevés compteurs'!$A$5:$A$1504,"&lt;"&amp;A55)))</f>
        <v/>
      </c>
    </row>
    <row r="56">
      <c r="A56" s="65" t="n">
        <v>45748</v>
      </c>
      <c r="B56" s="7" t="inlineStr">
        <is>
          <t>EQ-USI-002</t>
        </is>
      </c>
      <c r="C56" s="9">
        <f>IF(B56="","",IFERROR(INDEX('Équipements'!$B$5:$B$304,MATCH(B56,'Équipements'!$A$5:$A$304,0)),"Code inconnu"))</f>
        <v/>
      </c>
      <c r="D56" s="67" t="n">
        <v>28556</v>
      </c>
      <c r="E56" s="7" t="inlineStr">
        <is>
          <t>Lucas Fontaine</t>
        </is>
      </c>
      <c r="F56" s="68">
        <f>IF(OR(B56="",A56=""),"",IF(COUNTIFS('Relevés compteurs'!$B$5:$B$1504,B56,'Relevés compteurs'!$A$5:$A$1504,"&lt;"&amp;A56)=0,"",D56-_xlfn.MAXIFS('Relevés compteurs'!$D$5:$D$1504,'Relevés compteurs'!$B$5:$B$1504,B56,'Relevés compteurs'!$A$5:$A$1504,"&lt;"&amp;A56)))</f>
        <v/>
      </c>
    </row>
    <row r="57">
      <c r="A57" s="65" t="n">
        <v>45748</v>
      </c>
      <c r="B57" s="7" t="inlineStr">
        <is>
          <t>EQ-USI-004</t>
        </is>
      </c>
      <c r="C57" s="9">
        <f>IF(B57="","",IFERROR(INDEX('Équipements'!$B$5:$B$304,MATCH(B57,'Équipements'!$A$5:$A$304,0)),"Code inconnu"))</f>
        <v/>
      </c>
      <c r="D57" s="67" t="n">
        <v>34086</v>
      </c>
      <c r="E57" s="7" t="inlineStr">
        <is>
          <t>Lucas Fontaine</t>
        </is>
      </c>
      <c r="F57" s="68">
        <f>IF(OR(B57="",A57=""),"",IF(COUNTIFS('Relevés compteurs'!$B$5:$B$1504,B57,'Relevés compteurs'!$A$5:$A$1504,"&lt;"&amp;A57)=0,"",D57-_xlfn.MAXIFS('Relevés compteurs'!$D$5:$D$1504,'Relevés compteurs'!$B$5:$B$1504,B57,'Relevés compteurs'!$A$5:$A$1504,"&lt;"&amp;A57)))</f>
        <v/>
      </c>
    </row>
    <row r="58">
      <c r="A58" s="65" t="n">
        <v>45748</v>
      </c>
      <c r="B58" s="7" t="inlineStr">
        <is>
          <t>EQ-USI-005</t>
        </is>
      </c>
      <c r="C58" s="9">
        <f>IF(B58="","",IFERROR(INDEX('Équipements'!$B$5:$B$304,MATCH(B58,'Équipements'!$A$5:$A$304,0)),"Code inconnu"))</f>
        <v/>
      </c>
      <c r="D58" s="67" t="n">
        <v>16880</v>
      </c>
      <c r="E58" s="7" t="inlineStr">
        <is>
          <t>Ronde maintenance</t>
        </is>
      </c>
      <c r="F58" s="68">
        <f>IF(OR(B58="",A58=""),"",IF(COUNTIFS('Relevés compteurs'!$B$5:$B$1504,B58,'Relevés compteurs'!$A$5:$A$1504,"&lt;"&amp;A58)=0,"",D58-_xlfn.MAXIFS('Relevés compteurs'!$D$5:$D$1504,'Relevés compteurs'!$B$5:$B$1504,B58,'Relevés compteurs'!$A$5:$A$1504,"&lt;"&amp;A58)))</f>
        <v/>
      </c>
    </row>
    <row r="59">
      <c r="A59" s="65" t="n">
        <v>45748</v>
      </c>
      <c r="B59" s="7" t="inlineStr">
        <is>
          <t>EQ-UTI-001</t>
        </is>
      </c>
      <c r="C59" s="9">
        <f>IF(B59="","",IFERROR(INDEX('Équipements'!$B$5:$B$304,MATCH(B59,'Équipements'!$A$5:$A$304,0)),"Code inconnu"))</f>
        <v/>
      </c>
      <c r="D59" s="67" t="n">
        <v>37022</v>
      </c>
      <c r="E59" s="7" t="inlineStr">
        <is>
          <t>Nadia Rousseau</t>
        </is>
      </c>
      <c r="F59" s="68">
        <f>IF(OR(B59="",A59=""),"",IF(COUNTIFS('Relevés compteurs'!$B$5:$B$1504,B59,'Relevés compteurs'!$A$5:$A$1504,"&lt;"&amp;A59)=0,"",D59-_xlfn.MAXIFS('Relevés compteurs'!$D$5:$D$1504,'Relevés compteurs'!$B$5:$B$1504,B59,'Relevés compteurs'!$A$5:$A$1504,"&lt;"&amp;A59)))</f>
        <v/>
      </c>
    </row>
    <row r="60">
      <c r="A60" s="65" t="n">
        <v>45748</v>
      </c>
      <c r="B60" s="7" t="inlineStr">
        <is>
          <t>EQ-UTI-002</t>
        </is>
      </c>
      <c r="C60" s="9">
        <f>IF(B60="","",IFERROR(INDEX('Équipements'!$B$5:$B$304,MATCH(B60,'Équipements'!$A$5:$A$304,0)),"Code inconnu"))</f>
        <v/>
      </c>
      <c r="D60" s="67" t="n">
        <v>32223</v>
      </c>
      <c r="E60" s="7" t="inlineStr">
        <is>
          <t>Ronde maintenance</t>
        </is>
      </c>
      <c r="F60" s="68">
        <f>IF(OR(B60="",A60=""),"",IF(COUNTIFS('Relevés compteurs'!$B$5:$B$1504,B60,'Relevés compteurs'!$A$5:$A$1504,"&lt;"&amp;A60)=0,"",D60-_xlfn.MAXIFS('Relevés compteurs'!$D$5:$D$1504,'Relevés compteurs'!$B$5:$B$1504,B60,'Relevés compteurs'!$A$5:$A$1504,"&lt;"&amp;A60)))</f>
        <v/>
      </c>
    </row>
    <row r="61">
      <c r="A61" s="65" t="n">
        <v>45778</v>
      </c>
      <c r="B61" s="7" t="inlineStr">
        <is>
          <t>EQ-LOG-001</t>
        </is>
      </c>
      <c r="C61" s="9">
        <f>IF(B61="","",IFERROR(INDEX('Équipements'!$B$5:$B$304,MATCH(B61,'Équipements'!$A$5:$A$304,0)),"Code inconnu"))</f>
        <v/>
      </c>
      <c r="D61" s="67" t="n">
        <v>16087</v>
      </c>
      <c r="E61" s="7" t="inlineStr">
        <is>
          <t>Nadia Rousseau</t>
        </is>
      </c>
      <c r="F61" s="68">
        <f>IF(OR(B61="",A61=""),"",IF(COUNTIFS('Relevés compteurs'!$B$5:$B$1504,B61,'Relevés compteurs'!$A$5:$A$1504,"&lt;"&amp;A61)=0,"",D61-_xlfn.MAXIFS('Relevés compteurs'!$D$5:$D$1504,'Relevés compteurs'!$B$5:$B$1504,B61,'Relevés compteurs'!$A$5:$A$1504,"&lt;"&amp;A61)))</f>
        <v/>
      </c>
    </row>
    <row r="62">
      <c r="A62" s="65" t="n">
        <v>45778</v>
      </c>
      <c r="B62" s="7" t="inlineStr">
        <is>
          <t>EQ-LOG-002</t>
        </is>
      </c>
      <c r="C62" s="9">
        <f>IF(B62="","",IFERROR(INDEX('Équipements'!$B$5:$B$304,MATCH(B62,'Équipements'!$A$5:$A$304,0)),"Code inconnu"))</f>
        <v/>
      </c>
      <c r="D62" s="67" t="n">
        <v>23654</v>
      </c>
      <c r="E62" s="7" t="inlineStr">
        <is>
          <t>Nadia Rousseau</t>
        </is>
      </c>
      <c r="F62" s="68">
        <f>IF(OR(B62="",A62=""),"",IF(COUNTIFS('Relevés compteurs'!$B$5:$B$1504,B62,'Relevés compteurs'!$A$5:$A$1504,"&lt;"&amp;A62)=0,"",D62-_xlfn.MAXIFS('Relevés compteurs'!$D$5:$D$1504,'Relevés compteurs'!$B$5:$B$1504,B62,'Relevés compteurs'!$A$5:$A$1504,"&lt;"&amp;A62)))</f>
        <v/>
      </c>
    </row>
    <row r="63">
      <c r="A63" s="65" t="n">
        <v>45778</v>
      </c>
      <c r="B63" s="7" t="inlineStr">
        <is>
          <t>EQ-LOG-003</t>
        </is>
      </c>
      <c r="C63" s="9">
        <f>IF(B63="","",IFERROR(INDEX('Équipements'!$B$5:$B$304,MATCH(B63,'Équipements'!$A$5:$A$304,0)),"Code inconnu"))</f>
        <v/>
      </c>
      <c r="D63" s="67" t="n">
        <v>21877</v>
      </c>
      <c r="E63" s="7" t="inlineStr">
        <is>
          <t>Ronde maintenance</t>
        </is>
      </c>
      <c r="F63" s="68">
        <f>IF(OR(B63="",A63=""),"",IF(COUNTIFS('Relevés compteurs'!$B$5:$B$1504,B63,'Relevés compteurs'!$A$5:$A$1504,"&lt;"&amp;A63)=0,"",D63-_xlfn.MAXIFS('Relevés compteurs'!$D$5:$D$1504,'Relevés compteurs'!$B$5:$B$1504,B63,'Relevés compteurs'!$A$5:$A$1504,"&lt;"&amp;A63)))</f>
        <v/>
      </c>
    </row>
    <row r="64">
      <c r="A64" s="65" t="n">
        <v>45778</v>
      </c>
      <c r="B64" s="7" t="inlineStr">
        <is>
          <t>EQ-LOG-005</t>
        </is>
      </c>
      <c r="C64" s="9">
        <f>IF(B64="","",IFERROR(INDEX('Équipements'!$B$5:$B$304,MATCH(B64,'Équipements'!$A$5:$A$304,0)),"Code inconnu"))</f>
        <v/>
      </c>
      <c r="D64" s="67" t="n">
        <v>2745</v>
      </c>
      <c r="E64" s="7" t="inlineStr">
        <is>
          <t>Ronde maintenance</t>
        </is>
      </c>
      <c r="F64" s="68">
        <f>IF(OR(B64="",A64=""),"",IF(COUNTIFS('Relevés compteurs'!$B$5:$B$1504,B64,'Relevés compteurs'!$A$5:$A$1504,"&lt;"&amp;A64)=0,"",D64-_xlfn.MAXIFS('Relevés compteurs'!$D$5:$D$1504,'Relevés compteurs'!$B$5:$B$1504,B64,'Relevés compteurs'!$A$5:$A$1504,"&lt;"&amp;A64)))</f>
        <v/>
      </c>
    </row>
    <row r="65">
      <c r="A65" s="65" t="n">
        <v>45778</v>
      </c>
      <c r="B65" s="7" t="inlineStr">
        <is>
          <t>EQ-SOU-001</t>
        </is>
      </c>
      <c r="C65" s="9">
        <f>IF(B65="","",IFERROR(INDEX('Équipements'!$B$5:$B$304,MATCH(B65,'Équipements'!$A$5:$A$304,0)),"Code inconnu"))</f>
        <v/>
      </c>
      <c r="D65" s="67" t="n">
        <v>14873</v>
      </c>
      <c r="E65" s="7" t="inlineStr">
        <is>
          <t>Lucas Fontaine</t>
        </is>
      </c>
      <c r="F65" s="68">
        <f>IF(OR(B65="",A65=""),"",IF(COUNTIFS('Relevés compteurs'!$B$5:$B$1504,B65,'Relevés compteurs'!$A$5:$A$1504,"&lt;"&amp;A65)=0,"",D65-_xlfn.MAXIFS('Relevés compteurs'!$D$5:$D$1504,'Relevés compteurs'!$B$5:$B$1504,B65,'Relevés compteurs'!$A$5:$A$1504,"&lt;"&amp;A65)))</f>
        <v/>
      </c>
    </row>
    <row r="66">
      <c r="A66" s="65" t="n">
        <v>45778</v>
      </c>
      <c r="B66" s="7" t="inlineStr">
        <is>
          <t>EQ-TOL-001</t>
        </is>
      </c>
      <c r="C66" s="9">
        <f>IF(B66="","",IFERROR(INDEX('Équipements'!$B$5:$B$304,MATCH(B66,'Équipements'!$A$5:$A$304,0)),"Code inconnu"))</f>
        <v/>
      </c>
      <c r="D66" s="67" t="n">
        <v>15260</v>
      </c>
      <c r="E66" s="7" t="inlineStr">
        <is>
          <t>Nadia Rousseau</t>
        </is>
      </c>
      <c r="F66" s="68">
        <f>IF(OR(B66="",A66=""),"",IF(COUNTIFS('Relevés compteurs'!$B$5:$B$1504,B66,'Relevés compteurs'!$A$5:$A$1504,"&lt;"&amp;A66)=0,"",D66-_xlfn.MAXIFS('Relevés compteurs'!$D$5:$D$1504,'Relevés compteurs'!$B$5:$B$1504,B66,'Relevés compteurs'!$A$5:$A$1504,"&lt;"&amp;A66)))</f>
        <v/>
      </c>
    </row>
    <row r="67">
      <c r="A67" s="65" t="n">
        <v>45778</v>
      </c>
      <c r="B67" s="7" t="inlineStr">
        <is>
          <t>EQ-TOL-002</t>
        </is>
      </c>
      <c r="C67" s="9">
        <f>IF(B67="","",IFERROR(INDEX('Équipements'!$B$5:$B$304,MATCH(B67,'Équipements'!$A$5:$A$304,0)),"Code inconnu"))</f>
        <v/>
      </c>
      <c r="D67" s="67" t="n">
        <v>45894</v>
      </c>
      <c r="E67" s="7" t="inlineStr">
        <is>
          <t>Nadia Rousseau</t>
        </is>
      </c>
      <c r="F67" s="68">
        <f>IF(OR(B67="",A67=""),"",IF(COUNTIFS('Relevés compteurs'!$B$5:$B$1504,B67,'Relevés compteurs'!$A$5:$A$1504,"&lt;"&amp;A67)=0,"",D67-_xlfn.MAXIFS('Relevés compteurs'!$D$5:$D$1504,'Relevés compteurs'!$B$5:$B$1504,B67,'Relevés compteurs'!$A$5:$A$1504,"&lt;"&amp;A67)))</f>
        <v/>
      </c>
    </row>
    <row r="68">
      <c r="A68" s="65" t="n">
        <v>45778</v>
      </c>
      <c r="B68" s="7" t="inlineStr">
        <is>
          <t>EQ-TOL-003</t>
        </is>
      </c>
      <c r="C68" s="9">
        <f>IF(B68="","",IFERROR(INDEX('Équipements'!$B$5:$B$304,MATCH(B68,'Équipements'!$A$5:$A$304,0)),"Code inconnu"))</f>
        <v/>
      </c>
      <c r="D68" s="67" t="n">
        <v>20275</v>
      </c>
      <c r="E68" s="7" t="inlineStr">
        <is>
          <t>Ronde maintenance</t>
        </is>
      </c>
      <c r="F68" s="68">
        <f>IF(OR(B68="",A68=""),"",IF(COUNTIFS('Relevés compteurs'!$B$5:$B$1504,B68,'Relevés compteurs'!$A$5:$A$1504,"&lt;"&amp;A68)=0,"",D68-_xlfn.MAXIFS('Relevés compteurs'!$D$5:$D$1504,'Relevés compteurs'!$B$5:$B$1504,B68,'Relevés compteurs'!$A$5:$A$1504,"&lt;"&amp;A68)))</f>
        <v/>
      </c>
    </row>
    <row r="69">
      <c r="A69" s="65" t="n">
        <v>45778</v>
      </c>
      <c r="B69" s="7" t="inlineStr">
        <is>
          <t>EQ-USI-001</t>
        </is>
      </c>
      <c r="C69" s="9">
        <f>IF(B69="","",IFERROR(INDEX('Équipements'!$B$5:$B$304,MATCH(B69,'Équipements'!$A$5:$A$304,0)),"Code inconnu"))</f>
        <v/>
      </c>
      <c r="D69" s="67" t="n">
        <v>20099</v>
      </c>
      <c r="E69" s="7" t="inlineStr">
        <is>
          <t>Nadia Rousseau</t>
        </is>
      </c>
      <c r="F69" s="68">
        <f>IF(OR(B69="",A69=""),"",IF(COUNTIFS('Relevés compteurs'!$B$5:$B$1504,B69,'Relevés compteurs'!$A$5:$A$1504,"&lt;"&amp;A69)=0,"",D69-_xlfn.MAXIFS('Relevés compteurs'!$D$5:$D$1504,'Relevés compteurs'!$B$5:$B$1504,B69,'Relevés compteurs'!$A$5:$A$1504,"&lt;"&amp;A69)))</f>
        <v/>
      </c>
    </row>
    <row r="70">
      <c r="A70" s="65" t="n">
        <v>45778</v>
      </c>
      <c r="B70" s="7" t="inlineStr">
        <is>
          <t>EQ-USI-002</t>
        </is>
      </c>
      <c r="C70" s="9">
        <f>IF(B70="","",IFERROR(INDEX('Équipements'!$B$5:$B$304,MATCH(B70,'Équipements'!$A$5:$A$304,0)),"Code inconnu"))</f>
        <v/>
      </c>
      <c r="D70" s="67" t="n">
        <v>28863</v>
      </c>
      <c r="E70" s="7" t="inlineStr">
        <is>
          <t>Ronde maintenance</t>
        </is>
      </c>
      <c r="F70" s="68">
        <f>IF(OR(B70="",A70=""),"",IF(COUNTIFS('Relevés compteurs'!$B$5:$B$1504,B70,'Relevés compteurs'!$A$5:$A$1504,"&lt;"&amp;A70)=0,"",D70-_xlfn.MAXIFS('Relevés compteurs'!$D$5:$D$1504,'Relevés compteurs'!$B$5:$B$1504,B70,'Relevés compteurs'!$A$5:$A$1504,"&lt;"&amp;A70)))</f>
        <v/>
      </c>
    </row>
    <row r="71">
      <c r="A71" s="65" t="n">
        <v>45778</v>
      </c>
      <c r="B71" s="7" t="inlineStr">
        <is>
          <t>EQ-USI-004</t>
        </is>
      </c>
      <c r="C71" s="9">
        <f>IF(B71="","",IFERROR(INDEX('Équipements'!$B$5:$B$304,MATCH(B71,'Équipements'!$A$5:$A$304,0)),"Code inconnu"))</f>
        <v/>
      </c>
      <c r="D71" s="67" t="n">
        <v>34366</v>
      </c>
      <c r="E71" s="7" t="inlineStr">
        <is>
          <t>Nadia Rousseau</t>
        </is>
      </c>
      <c r="F71" s="68">
        <f>IF(OR(B71="",A71=""),"",IF(COUNTIFS('Relevés compteurs'!$B$5:$B$1504,B71,'Relevés compteurs'!$A$5:$A$1504,"&lt;"&amp;A71)=0,"",D71-_xlfn.MAXIFS('Relevés compteurs'!$D$5:$D$1504,'Relevés compteurs'!$B$5:$B$1504,B71,'Relevés compteurs'!$A$5:$A$1504,"&lt;"&amp;A71)))</f>
        <v/>
      </c>
    </row>
    <row r="72">
      <c r="A72" s="65" t="n">
        <v>45778</v>
      </c>
      <c r="B72" s="7" t="inlineStr">
        <is>
          <t>EQ-USI-005</t>
        </is>
      </c>
      <c r="C72" s="9">
        <f>IF(B72="","",IFERROR(INDEX('Équipements'!$B$5:$B$304,MATCH(B72,'Équipements'!$A$5:$A$304,0)),"Code inconnu"))</f>
        <v/>
      </c>
      <c r="D72" s="67" t="n">
        <v>17160</v>
      </c>
      <c r="E72" s="7" t="inlineStr">
        <is>
          <t>Nadia Rousseau</t>
        </is>
      </c>
      <c r="F72" s="68">
        <f>IF(OR(B72="",A72=""),"",IF(COUNTIFS('Relevés compteurs'!$B$5:$B$1504,B72,'Relevés compteurs'!$A$5:$A$1504,"&lt;"&amp;A72)=0,"",D72-_xlfn.MAXIFS('Relevés compteurs'!$D$5:$D$1504,'Relevés compteurs'!$B$5:$B$1504,B72,'Relevés compteurs'!$A$5:$A$1504,"&lt;"&amp;A72)))</f>
        <v/>
      </c>
    </row>
    <row r="73">
      <c r="A73" s="65" t="n">
        <v>45778</v>
      </c>
      <c r="B73" s="7" t="inlineStr">
        <is>
          <t>EQ-UTI-001</t>
        </is>
      </c>
      <c r="C73" s="9">
        <f>IF(B73="","",IFERROR(INDEX('Équipements'!$B$5:$B$304,MATCH(B73,'Équipements'!$A$5:$A$304,0)),"Code inconnu"))</f>
        <v/>
      </c>
      <c r="D73" s="67" t="n">
        <v>37517</v>
      </c>
      <c r="E73" s="7" t="inlineStr">
        <is>
          <t>Ronde maintenance</t>
        </is>
      </c>
      <c r="F73" s="68">
        <f>IF(OR(B73="",A73=""),"",IF(COUNTIFS('Relevés compteurs'!$B$5:$B$1504,B73,'Relevés compteurs'!$A$5:$A$1504,"&lt;"&amp;A73)=0,"",D73-_xlfn.MAXIFS('Relevés compteurs'!$D$5:$D$1504,'Relevés compteurs'!$B$5:$B$1504,B73,'Relevés compteurs'!$A$5:$A$1504,"&lt;"&amp;A73)))</f>
        <v/>
      </c>
    </row>
    <row r="74">
      <c r="A74" s="65" t="n">
        <v>45778</v>
      </c>
      <c r="B74" s="7" t="inlineStr">
        <is>
          <t>EQ-UTI-002</t>
        </is>
      </c>
      <c r="C74" s="9">
        <f>IF(B74="","",IFERROR(INDEX('Équipements'!$B$5:$B$304,MATCH(B74,'Équipements'!$A$5:$A$304,0)),"Code inconnu"))</f>
        <v/>
      </c>
      <c r="D74" s="67" t="n">
        <v>32384</v>
      </c>
      <c r="E74" s="7" t="inlineStr">
        <is>
          <t>Lucas Fontaine</t>
        </is>
      </c>
      <c r="F74" s="68">
        <f>IF(OR(B74="",A74=""),"",IF(COUNTIFS('Relevés compteurs'!$B$5:$B$1504,B74,'Relevés compteurs'!$A$5:$A$1504,"&lt;"&amp;A74)=0,"",D74-_xlfn.MAXIFS('Relevés compteurs'!$D$5:$D$1504,'Relevés compteurs'!$B$5:$B$1504,B74,'Relevés compteurs'!$A$5:$A$1504,"&lt;"&amp;A74)))</f>
        <v/>
      </c>
    </row>
    <row r="75">
      <c r="A75" s="65" t="n">
        <v>45810</v>
      </c>
      <c r="B75" s="7" t="inlineStr">
        <is>
          <t>EQ-LOG-001</t>
        </is>
      </c>
      <c r="C75" s="9">
        <f>IF(B75="","",IFERROR(INDEX('Équipements'!$B$5:$B$304,MATCH(B75,'Équipements'!$A$5:$A$304,0)),"Code inconnu"))</f>
        <v/>
      </c>
      <c r="D75" s="67" t="n">
        <v>16329</v>
      </c>
      <c r="E75" s="7" t="inlineStr">
        <is>
          <t>Nadia Rousseau</t>
        </is>
      </c>
      <c r="F75" s="68">
        <f>IF(OR(B75="",A75=""),"",IF(COUNTIFS('Relevés compteurs'!$B$5:$B$1504,B75,'Relevés compteurs'!$A$5:$A$1504,"&lt;"&amp;A75)=0,"",D75-_xlfn.MAXIFS('Relevés compteurs'!$D$5:$D$1504,'Relevés compteurs'!$B$5:$B$1504,B75,'Relevés compteurs'!$A$5:$A$1504,"&lt;"&amp;A75)))</f>
        <v/>
      </c>
    </row>
    <row r="76">
      <c r="A76" s="65" t="n">
        <v>45810</v>
      </c>
      <c r="B76" s="7" t="inlineStr">
        <is>
          <t>EQ-LOG-002</t>
        </is>
      </c>
      <c r="C76" s="9">
        <f>IF(B76="","",IFERROR(INDEX('Équipements'!$B$5:$B$304,MATCH(B76,'Équipements'!$A$5:$A$304,0)),"Code inconnu"))</f>
        <v/>
      </c>
      <c r="D76" s="67" t="n">
        <v>23882</v>
      </c>
      <c r="E76" s="7" t="inlineStr">
        <is>
          <t>Nadia Rousseau</t>
        </is>
      </c>
      <c r="F76" s="68">
        <f>IF(OR(B76="",A76=""),"",IF(COUNTIFS('Relevés compteurs'!$B$5:$B$1504,B76,'Relevés compteurs'!$A$5:$A$1504,"&lt;"&amp;A76)=0,"",D76-_xlfn.MAXIFS('Relevés compteurs'!$D$5:$D$1504,'Relevés compteurs'!$B$5:$B$1504,B76,'Relevés compteurs'!$A$5:$A$1504,"&lt;"&amp;A76)))</f>
        <v/>
      </c>
    </row>
    <row r="77">
      <c r="A77" s="65" t="n">
        <v>45810</v>
      </c>
      <c r="B77" s="7" t="inlineStr">
        <is>
          <t>EQ-LOG-003</t>
        </is>
      </c>
      <c r="C77" s="9">
        <f>IF(B77="","",IFERROR(INDEX('Équipements'!$B$5:$B$304,MATCH(B77,'Équipements'!$A$5:$A$304,0)),"Code inconnu"))</f>
        <v/>
      </c>
      <c r="D77" s="67" t="n">
        <v>22013</v>
      </c>
      <c r="E77" s="7" t="inlineStr">
        <is>
          <t>Nadia Rousseau</t>
        </is>
      </c>
      <c r="F77" s="68">
        <f>IF(OR(B77="",A77=""),"",IF(COUNTIFS('Relevés compteurs'!$B$5:$B$1504,B77,'Relevés compteurs'!$A$5:$A$1504,"&lt;"&amp;A77)=0,"",D77-_xlfn.MAXIFS('Relevés compteurs'!$D$5:$D$1504,'Relevés compteurs'!$B$5:$B$1504,B77,'Relevés compteurs'!$A$5:$A$1504,"&lt;"&amp;A77)))</f>
        <v/>
      </c>
    </row>
    <row r="78">
      <c r="A78" s="65" t="n">
        <v>45810</v>
      </c>
      <c r="B78" s="7" t="inlineStr">
        <is>
          <t>EQ-LOG-005</t>
        </is>
      </c>
      <c r="C78" s="9">
        <f>IF(B78="","",IFERROR(INDEX('Équipements'!$B$5:$B$304,MATCH(B78,'Équipements'!$A$5:$A$304,0)),"Code inconnu"))</f>
        <v/>
      </c>
      <c r="D78" s="67" t="n">
        <v>2773</v>
      </c>
      <c r="E78" s="7" t="inlineStr">
        <is>
          <t>Ronde maintenance</t>
        </is>
      </c>
      <c r="F78" s="68">
        <f>IF(OR(B78="",A78=""),"",IF(COUNTIFS('Relevés compteurs'!$B$5:$B$1504,B78,'Relevés compteurs'!$A$5:$A$1504,"&lt;"&amp;A78)=0,"",D78-_xlfn.MAXIFS('Relevés compteurs'!$D$5:$D$1504,'Relevés compteurs'!$B$5:$B$1504,B78,'Relevés compteurs'!$A$5:$A$1504,"&lt;"&amp;A78)))</f>
        <v/>
      </c>
    </row>
    <row r="79">
      <c r="A79" s="65" t="n">
        <v>45810</v>
      </c>
      <c r="B79" s="7" t="inlineStr">
        <is>
          <t>EQ-SOU-001</t>
        </is>
      </c>
      <c r="C79" s="9">
        <f>IF(B79="","",IFERROR(INDEX('Équipements'!$B$5:$B$304,MATCH(B79,'Équipements'!$A$5:$A$304,0)),"Code inconnu"))</f>
        <v/>
      </c>
      <c r="D79" s="67" t="n">
        <v>15175</v>
      </c>
      <c r="E79" s="7" t="inlineStr">
        <is>
          <t>Lucas Fontaine</t>
        </is>
      </c>
      <c r="F79" s="68">
        <f>IF(OR(B79="",A79=""),"",IF(COUNTIFS('Relevés compteurs'!$B$5:$B$1504,B79,'Relevés compteurs'!$A$5:$A$1504,"&lt;"&amp;A79)=0,"",D79-_xlfn.MAXIFS('Relevés compteurs'!$D$5:$D$1504,'Relevés compteurs'!$B$5:$B$1504,B79,'Relevés compteurs'!$A$5:$A$1504,"&lt;"&amp;A79)))</f>
        <v/>
      </c>
    </row>
    <row r="80">
      <c r="A80" s="65" t="n">
        <v>45810</v>
      </c>
      <c r="B80" s="7" t="inlineStr">
        <is>
          <t>EQ-TOL-001</t>
        </is>
      </c>
      <c r="C80" s="9">
        <f>IF(B80="","",IFERROR(INDEX('Équipements'!$B$5:$B$304,MATCH(B80,'Équipements'!$A$5:$A$304,0)),"Code inconnu"))</f>
        <v/>
      </c>
      <c r="D80" s="67" t="n">
        <v>15546</v>
      </c>
      <c r="E80" s="7" t="inlineStr">
        <is>
          <t>Lucas Fontaine</t>
        </is>
      </c>
      <c r="F80" s="68">
        <f>IF(OR(B80="",A80=""),"",IF(COUNTIFS('Relevés compteurs'!$B$5:$B$1504,B80,'Relevés compteurs'!$A$5:$A$1504,"&lt;"&amp;A80)=0,"",D80-_xlfn.MAXIFS('Relevés compteurs'!$D$5:$D$1504,'Relevés compteurs'!$B$5:$B$1504,B80,'Relevés compteurs'!$A$5:$A$1504,"&lt;"&amp;A80)))</f>
        <v/>
      </c>
    </row>
    <row r="81">
      <c r="A81" s="65" t="n">
        <v>45810</v>
      </c>
      <c r="B81" s="7" t="inlineStr">
        <is>
          <t>EQ-TOL-002</t>
        </is>
      </c>
      <c r="C81" s="9">
        <f>IF(B81="","",IFERROR(INDEX('Équipements'!$B$5:$B$304,MATCH(B81,'Équipements'!$A$5:$A$304,0)),"Code inconnu"))</f>
        <v/>
      </c>
      <c r="D81" s="67" t="n">
        <v>46181</v>
      </c>
      <c r="E81" s="7" t="inlineStr">
        <is>
          <t>Ronde maintenance</t>
        </is>
      </c>
      <c r="F81" s="68">
        <f>IF(OR(B81="",A81=""),"",IF(COUNTIFS('Relevés compteurs'!$B$5:$B$1504,B81,'Relevés compteurs'!$A$5:$A$1504,"&lt;"&amp;A81)=0,"",D81-_xlfn.MAXIFS('Relevés compteurs'!$D$5:$D$1504,'Relevés compteurs'!$B$5:$B$1504,B81,'Relevés compteurs'!$A$5:$A$1504,"&lt;"&amp;A81)))</f>
        <v/>
      </c>
    </row>
    <row r="82">
      <c r="A82" s="65" t="n">
        <v>45810</v>
      </c>
      <c r="B82" s="7" t="inlineStr">
        <is>
          <t>EQ-TOL-003</t>
        </is>
      </c>
      <c r="C82" s="9">
        <f>IF(B82="","",IFERROR(INDEX('Équipements'!$B$5:$B$304,MATCH(B82,'Équipements'!$A$5:$A$304,0)),"Code inconnu"))</f>
        <v/>
      </c>
      <c r="D82" s="67" t="n">
        <v>20529</v>
      </c>
      <c r="E82" s="7" t="inlineStr">
        <is>
          <t>Lucas Fontaine</t>
        </is>
      </c>
      <c r="F82" s="68">
        <f>IF(OR(B82="",A82=""),"",IF(COUNTIFS('Relevés compteurs'!$B$5:$B$1504,B82,'Relevés compteurs'!$A$5:$A$1504,"&lt;"&amp;A82)=0,"",D82-_xlfn.MAXIFS('Relevés compteurs'!$D$5:$D$1504,'Relevés compteurs'!$B$5:$B$1504,B82,'Relevés compteurs'!$A$5:$A$1504,"&lt;"&amp;A82)))</f>
        <v/>
      </c>
    </row>
    <row r="83">
      <c r="A83" s="65" t="n">
        <v>45810</v>
      </c>
      <c r="B83" s="7" t="inlineStr">
        <is>
          <t>EQ-USI-001</t>
        </is>
      </c>
      <c r="C83" s="9">
        <f>IF(B83="","",IFERROR(INDEX('Équipements'!$B$5:$B$304,MATCH(B83,'Équipements'!$A$5:$A$304,0)),"Code inconnu"))</f>
        <v/>
      </c>
      <c r="D83" s="67" t="n">
        <v>20346</v>
      </c>
      <c r="E83" s="7" t="inlineStr">
        <is>
          <t>Ronde maintenance</t>
        </is>
      </c>
      <c r="F83" s="68">
        <f>IF(OR(B83="",A83=""),"",IF(COUNTIFS('Relevés compteurs'!$B$5:$B$1504,B83,'Relevés compteurs'!$A$5:$A$1504,"&lt;"&amp;A83)=0,"",D83-_xlfn.MAXIFS('Relevés compteurs'!$D$5:$D$1504,'Relevés compteurs'!$B$5:$B$1504,B83,'Relevés compteurs'!$A$5:$A$1504,"&lt;"&amp;A83)))</f>
        <v/>
      </c>
    </row>
    <row r="84">
      <c r="A84" s="65" t="n">
        <v>45810</v>
      </c>
      <c r="B84" s="7" t="inlineStr">
        <is>
          <t>EQ-USI-002</t>
        </is>
      </c>
      <c r="C84" s="9">
        <f>IF(B84="","",IFERROR(INDEX('Équipements'!$B$5:$B$304,MATCH(B84,'Équipements'!$A$5:$A$304,0)),"Code inconnu"))</f>
        <v/>
      </c>
      <c r="D84" s="67" t="n">
        <v>29141</v>
      </c>
      <c r="E84" s="7" t="inlineStr">
        <is>
          <t>Lucas Fontaine</t>
        </is>
      </c>
      <c r="F84" s="68">
        <f>IF(OR(B84="",A84=""),"",IF(COUNTIFS('Relevés compteurs'!$B$5:$B$1504,B84,'Relevés compteurs'!$A$5:$A$1504,"&lt;"&amp;A84)=0,"",D84-_xlfn.MAXIFS('Relevés compteurs'!$D$5:$D$1504,'Relevés compteurs'!$B$5:$B$1504,B84,'Relevés compteurs'!$A$5:$A$1504,"&lt;"&amp;A84)))</f>
        <v/>
      </c>
    </row>
    <row r="85">
      <c r="A85" s="65" t="n">
        <v>45810</v>
      </c>
      <c r="B85" s="7" t="inlineStr">
        <is>
          <t>EQ-USI-004</t>
        </is>
      </c>
      <c r="C85" s="9">
        <f>IF(B85="","",IFERROR(INDEX('Équipements'!$B$5:$B$304,MATCH(B85,'Équipements'!$A$5:$A$304,0)),"Code inconnu"))</f>
        <v/>
      </c>
      <c r="D85" s="67" t="n">
        <v>34624</v>
      </c>
      <c r="E85" s="7" t="inlineStr">
        <is>
          <t>Ronde maintenance</t>
        </is>
      </c>
      <c r="F85" s="68">
        <f>IF(OR(B85="",A85=""),"",IF(COUNTIFS('Relevés compteurs'!$B$5:$B$1504,B85,'Relevés compteurs'!$A$5:$A$1504,"&lt;"&amp;A85)=0,"",D85-_xlfn.MAXIFS('Relevés compteurs'!$D$5:$D$1504,'Relevés compteurs'!$B$5:$B$1504,B85,'Relevés compteurs'!$A$5:$A$1504,"&lt;"&amp;A85)))</f>
        <v/>
      </c>
    </row>
    <row r="86">
      <c r="A86" s="65" t="n">
        <v>45810</v>
      </c>
      <c r="B86" s="7" t="inlineStr">
        <is>
          <t>EQ-USI-005</t>
        </is>
      </c>
      <c r="C86" s="9">
        <f>IF(B86="","",IFERROR(INDEX('Équipements'!$B$5:$B$304,MATCH(B86,'Équipements'!$A$5:$A$304,0)),"Code inconnu"))</f>
        <v/>
      </c>
      <c r="D86" s="67" t="n">
        <v>17436</v>
      </c>
      <c r="E86" s="7" t="inlineStr">
        <is>
          <t>Nadia Rousseau</t>
        </is>
      </c>
      <c r="F86" s="68">
        <f>IF(OR(B86="",A86=""),"",IF(COUNTIFS('Relevés compteurs'!$B$5:$B$1504,B86,'Relevés compteurs'!$A$5:$A$1504,"&lt;"&amp;A86)=0,"",D86-_xlfn.MAXIFS('Relevés compteurs'!$D$5:$D$1504,'Relevés compteurs'!$B$5:$B$1504,B86,'Relevés compteurs'!$A$5:$A$1504,"&lt;"&amp;A86)))</f>
        <v/>
      </c>
    </row>
    <row r="87">
      <c r="A87" s="65" t="n">
        <v>45810</v>
      </c>
      <c r="B87" s="7" t="inlineStr">
        <is>
          <t>EQ-UTI-001</t>
        </is>
      </c>
      <c r="C87" s="9">
        <f>IF(B87="","",IFERROR(INDEX('Équipements'!$B$5:$B$304,MATCH(B87,'Équipements'!$A$5:$A$304,0)),"Code inconnu"))</f>
        <v/>
      </c>
      <c r="D87" s="67" t="n">
        <v>37907</v>
      </c>
      <c r="E87" s="7" t="inlineStr">
        <is>
          <t>Lucas Fontaine</t>
        </is>
      </c>
      <c r="F87" s="68">
        <f>IF(OR(B87="",A87=""),"",IF(COUNTIFS('Relevés compteurs'!$B$5:$B$1504,B87,'Relevés compteurs'!$A$5:$A$1504,"&lt;"&amp;A87)=0,"",D87-_xlfn.MAXIFS('Relevés compteurs'!$D$5:$D$1504,'Relevés compteurs'!$B$5:$B$1504,B87,'Relevés compteurs'!$A$5:$A$1504,"&lt;"&amp;A87)))</f>
        <v/>
      </c>
    </row>
    <row r="88">
      <c r="A88" s="65" t="n">
        <v>45810</v>
      </c>
      <c r="B88" s="7" t="inlineStr">
        <is>
          <t>EQ-UTI-002</t>
        </is>
      </c>
      <c r="C88" s="9">
        <f>IF(B88="","",IFERROR(INDEX('Équipements'!$B$5:$B$304,MATCH(B88,'Équipements'!$A$5:$A$304,0)),"Code inconnu"))</f>
        <v/>
      </c>
      <c r="D88" s="67" t="n">
        <v>32550</v>
      </c>
      <c r="E88" s="7" t="inlineStr">
        <is>
          <t>Ronde maintenance</t>
        </is>
      </c>
      <c r="F88" s="68">
        <f>IF(OR(B88="",A88=""),"",IF(COUNTIFS('Relevés compteurs'!$B$5:$B$1504,B88,'Relevés compteurs'!$A$5:$A$1504,"&lt;"&amp;A88)=0,"",D88-_xlfn.MAXIFS('Relevés compteurs'!$D$5:$D$1504,'Relevés compteurs'!$B$5:$B$1504,B88,'Relevés compteurs'!$A$5:$A$1504,"&lt;"&amp;A88)))</f>
        <v/>
      </c>
    </row>
    <row r="89">
      <c r="A89" s="65" t="n">
        <v>45839</v>
      </c>
      <c r="B89" s="7" t="inlineStr">
        <is>
          <t>EQ-LOG-001</t>
        </is>
      </c>
      <c r="C89" s="9">
        <f>IF(B89="","",IFERROR(INDEX('Équipements'!$B$5:$B$304,MATCH(B89,'Équipements'!$A$5:$A$304,0)),"Code inconnu"))</f>
        <v/>
      </c>
      <c r="D89" s="67" t="n">
        <v>16564</v>
      </c>
      <c r="E89" s="7" t="inlineStr">
        <is>
          <t>Ronde maintenance</t>
        </is>
      </c>
      <c r="F89" s="68">
        <f>IF(OR(B89="",A89=""),"",IF(COUNTIFS('Relevés compteurs'!$B$5:$B$1504,B89,'Relevés compteurs'!$A$5:$A$1504,"&lt;"&amp;A89)=0,"",D89-_xlfn.MAXIFS('Relevés compteurs'!$D$5:$D$1504,'Relevés compteurs'!$B$5:$B$1504,B89,'Relevés compteurs'!$A$5:$A$1504,"&lt;"&amp;A89)))</f>
        <v/>
      </c>
    </row>
    <row r="90">
      <c r="A90" s="65" t="n">
        <v>45839</v>
      </c>
      <c r="B90" s="7" t="inlineStr">
        <is>
          <t>EQ-LOG-002</t>
        </is>
      </c>
      <c r="C90" s="9">
        <f>IF(B90="","",IFERROR(INDEX('Équipements'!$B$5:$B$304,MATCH(B90,'Équipements'!$A$5:$A$304,0)),"Code inconnu"))</f>
        <v/>
      </c>
      <c r="D90" s="67" t="n">
        <v>24091</v>
      </c>
      <c r="E90" s="7" t="inlineStr">
        <is>
          <t>Lucas Fontaine</t>
        </is>
      </c>
      <c r="F90" s="68">
        <f>IF(OR(B90="",A90=""),"",IF(COUNTIFS('Relevés compteurs'!$B$5:$B$1504,B90,'Relevés compteurs'!$A$5:$A$1504,"&lt;"&amp;A90)=0,"",D90-_xlfn.MAXIFS('Relevés compteurs'!$D$5:$D$1504,'Relevés compteurs'!$B$5:$B$1504,B90,'Relevés compteurs'!$A$5:$A$1504,"&lt;"&amp;A90)))</f>
        <v/>
      </c>
    </row>
    <row r="91">
      <c r="A91" s="65" t="n">
        <v>45839</v>
      </c>
      <c r="B91" s="7" t="inlineStr">
        <is>
          <t>EQ-LOG-003</t>
        </is>
      </c>
      <c r="C91" s="9">
        <f>IF(B91="","",IFERROR(INDEX('Équipements'!$B$5:$B$304,MATCH(B91,'Équipements'!$A$5:$A$304,0)),"Code inconnu"))</f>
        <v/>
      </c>
      <c r="D91" s="67" t="n">
        <v>22141</v>
      </c>
      <c r="E91" s="7" t="inlineStr">
        <is>
          <t>Lucas Fontaine</t>
        </is>
      </c>
      <c r="F91" s="68">
        <f>IF(OR(B91="",A91=""),"",IF(COUNTIFS('Relevés compteurs'!$B$5:$B$1504,B91,'Relevés compteurs'!$A$5:$A$1504,"&lt;"&amp;A91)=0,"",D91-_xlfn.MAXIFS('Relevés compteurs'!$D$5:$D$1504,'Relevés compteurs'!$B$5:$B$1504,B91,'Relevés compteurs'!$A$5:$A$1504,"&lt;"&amp;A91)))</f>
        <v/>
      </c>
    </row>
    <row r="92">
      <c r="A92" s="65" t="n">
        <v>45839</v>
      </c>
      <c r="B92" s="7" t="inlineStr">
        <is>
          <t>EQ-LOG-005</t>
        </is>
      </c>
      <c r="C92" s="9">
        <f>IF(B92="","",IFERROR(INDEX('Équipements'!$B$5:$B$304,MATCH(B92,'Équipements'!$A$5:$A$304,0)),"Code inconnu"))</f>
        <v/>
      </c>
      <c r="D92" s="67" t="n">
        <v>2802</v>
      </c>
      <c r="E92" s="7" t="inlineStr">
        <is>
          <t>Ronde maintenance</t>
        </is>
      </c>
      <c r="F92" s="68">
        <f>IF(OR(B92="",A92=""),"",IF(COUNTIFS('Relevés compteurs'!$B$5:$B$1504,B92,'Relevés compteurs'!$A$5:$A$1504,"&lt;"&amp;A92)=0,"",D92-_xlfn.MAXIFS('Relevés compteurs'!$D$5:$D$1504,'Relevés compteurs'!$B$5:$B$1504,B92,'Relevés compteurs'!$A$5:$A$1504,"&lt;"&amp;A92)))</f>
        <v/>
      </c>
    </row>
    <row r="93">
      <c r="A93" s="65" t="n">
        <v>45839</v>
      </c>
      <c r="B93" s="7" t="inlineStr">
        <is>
          <t>EQ-SOU-001</t>
        </is>
      </c>
      <c r="C93" s="9">
        <f>IF(B93="","",IFERROR(INDEX('Équipements'!$B$5:$B$304,MATCH(B93,'Équipements'!$A$5:$A$304,0)),"Code inconnu"))</f>
        <v/>
      </c>
      <c r="D93" s="67" t="n">
        <v>15457</v>
      </c>
      <c r="E93" s="7" t="inlineStr">
        <is>
          <t>Ronde maintenance</t>
        </is>
      </c>
      <c r="F93" s="68">
        <f>IF(OR(B93="",A93=""),"",IF(COUNTIFS('Relevés compteurs'!$B$5:$B$1504,B93,'Relevés compteurs'!$A$5:$A$1504,"&lt;"&amp;A93)=0,"",D93-_xlfn.MAXIFS('Relevés compteurs'!$D$5:$D$1504,'Relevés compteurs'!$B$5:$B$1504,B93,'Relevés compteurs'!$A$5:$A$1504,"&lt;"&amp;A93)))</f>
        <v/>
      </c>
    </row>
    <row r="94">
      <c r="A94" s="65" t="n">
        <v>45839</v>
      </c>
      <c r="B94" s="7" t="inlineStr">
        <is>
          <t>EQ-TOL-001</t>
        </is>
      </c>
      <c r="C94" s="9">
        <f>IF(B94="","",IFERROR(INDEX('Équipements'!$B$5:$B$304,MATCH(B94,'Équipements'!$A$5:$A$304,0)),"Code inconnu"))</f>
        <v/>
      </c>
      <c r="D94" s="67" t="n">
        <v>15819</v>
      </c>
      <c r="E94" s="7" t="inlineStr">
        <is>
          <t>Ronde maintenance</t>
        </is>
      </c>
      <c r="F94" s="68">
        <f>IF(OR(B94="",A94=""),"",IF(COUNTIFS('Relevés compteurs'!$B$5:$B$1504,B94,'Relevés compteurs'!$A$5:$A$1504,"&lt;"&amp;A94)=0,"",D94-_xlfn.MAXIFS('Relevés compteurs'!$D$5:$D$1504,'Relevés compteurs'!$B$5:$B$1504,B94,'Relevés compteurs'!$A$5:$A$1504,"&lt;"&amp;A94)))</f>
        <v/>
      </c>
    </row>
    <row r="95">
      <c r="A95" s="65" t="n">
        <v>45839</v>
      </c>
      <c r="B95" s="7" t="inlineStr">
        <is>
          <t>EQ-TOL-002</t>
        </is>
      </c>
      <c r="C95" s="9">
        <f>IF(B95="","",IFERROR(INDEX('Équipements'!$B$5:$B$304,MATCH(B95,'Équipements'!$A$5:$A$304,0)),"Code inconnu"))</f>
        <v/>
      </c>
      <c r="D95" s="67" t="n">
        <v>46440</v>
      </c>
      <c r="E95" s="7" t="inlineStr">
        <is>
          <t>Nadia Rousseau</t>
        </is>
      </c>
      <c r="F95" s="68">
        <f>IF(OR(B95="",A95=""),"",IF(COUNTIFS('Relevés compteurs'!$B$5:$B$1504,B95,'Relevés compteurs'!$A$5:$A$1504,"&lt;"&amp;A95)=0,"",D95-_xlfn.MAXIFS('Relevés compteurs'!$D$5:$D$1504,'Relevés compteurs'!$B$5:$B$1504,B95,'Relevés compteurs'!$A$5:$A$1504,"&lt;"&amp;A95)))</f>
        <v/>
      </c>
    </row>
    <row r="96">
      <c r="A96" s="65" t="n">
        <v>45839</v>
      </c>
      <c r="B96" s="7" t="inlineStr">
        <is>
          <t>EQ-TOL-003</t>
        </is>
      </c>
      <c r="C96" s="9">
        <f>IF(B96="","",IFERROR(INDEX('Équipements'!$B$5:$B$304,MATCH(B96,'Équipements'!$A$5:$A$304,0)),"Code inconnu"))</f>
        <v/>
      </c>
      <c r="D96" s="67" t="n">
        <v>20790</v>
      </c>
      <c r="E96" s="7" t="inlineStr">
        <is>
          <t>Nadia Rousseau</t>
        </is>
      </c>
      <c r="F96" s="68">
        <f>IF(OR(B96="",A96=""),"",IF(COUNTIFS('Relevés compteurs'!$B$5:$B$1504,B96,'Relevés compteurs'!$A$5:$A$1504,"&lt;"&amp;A96)=0,"",D96-_xlfn.MAXIFS('Relevés compteurs'!$D$5:$D$1504,'Relevés compteurs'!$B$5:$B$1504,B96,'Relevés compteurs'!$A$5:$A$1504,"&lt;"&amp;A96)))</f>
        <v/>
      </c>
    </row>
    <row r="97">
      <c r="A97" s="65" t="n">
        <v>45839</v>
      </c>
      <c r="B97" s="7" t="inlineStr">
        <is>
          <t>EQ-USI-001</t>
        </is>
      </c>
      <c r="C97" s="9">
        <f>IF(B97="","",IFERROR(INDEX('Équipements'!$B$5:$B$304,MATCH(B97,'Équipements'!$A$5:$A$304,0)),"Code inconnu"))</f>
        <v/>
      </c>
      <c r="D97" s="67" t="n">
        <v>20613</v>
      </c>
      <c r="E97" s="7" t="inlineStr">
        <is>
          <t>Nadia Rousseau</t>
        </is>
      </c>
      <c r="F97" s="68">
        <f>IF(OR(B97="",A97=""),"",IF(COUNTIFS('Relevés compteurs'!$B$5:$B$1504,B97,'Relevés compteurs'!$A$5:$A$1504,"&lt;"&amp;A97)=0,"",D97-_xlfn.MAXIFS('Relevés compteurs'!$D$5:$D$1504,'Relevés compteurs'!$B$5:$B$1504,B97,'Relevés compteurs'!$A$5:$A$1504,"&lt;"&amp;A97)))</f>
        <v/>
      </c>
    </row>
    <row r="98">
      <c r="A98" s="65" t="n">
        <v>45839</v>
      </c>
      <c r="B98" s="7" t="inlineStr">
        <is>
          <t>EQ-USI-002</t>
        </is>
      </c>
      <c r="C98" s="9">
        <f>IF(B98="","",IFERROR(INDEX('Équipements'!$B$5:$B$304,MATCH(B98,'Équipements'!$A$5:$A$304,0)),"Code inconnu"))</f>
        <v/>
      </c>
      <c r="D98" s="67" t="n">
        <v>29437</v>
      </c>
      <c r="E98" s="7" t="inlineStr">
        <is>
          <t>Ronde maintenance</t>
        </is>
      </c>
      <c r="F98" s="68">
        <f>IF(OR(B98="",A98=""),"",IF(COUNTIFS('Relevés compteurs'!$B$5:$B$1504,B98,'Relevés compteurs'!$A$5:$A$1504,"&lt;"&amp;A98)=0,"",D98-_xlfn.MAXIFS('Relevés compteurs'!$D$5:$D$1504,'Relevés compteurs'!$B$5:$B$1504,B98,'Relevés compteurs'!$A$5:$A$1504,"&lt;"&amp;A98)))</f>
        <v/>
      </c>
    </row>
    <row r="99">
      <c r="A99" s="65" t="n">
        <v>45839</v>
      </c>
      <c r="B99" s="7" t="inlineStr">
        <is>
          <t>EQ-USI-004</t>
        </is>
      </c>
      <c r="C99" s="9">
        <f>IF(B99="","",IFERROR(INDEX('Équipements'!$B$5:$B$304,MATCH(B99,'Équipements'!$A$5:$A$304,0)),"Code inconnu"))</f>
        <v/>
      </c>
      <c r="D99" s="67" t="n">
        <v>34925</v>
      </c>
      <c r="E99" s="7" t="inlineStr">
        <is>
          <t>Nadia Rousseau</t>
        </is>
      </c>
      <c r="F99" s="68">
        <f>IF(OR(B99="",A99=""),"",IF(COUNTIFS('Relevés compteurs'!$B$5:$B$1504,B99,'Relevés compteurs'!$A$5:$A$1504,"&lt;"&amp;A99)=0,"",D99-_xlfn.MAXIFS('Relevés compteurs'!$D$5:$D$1504,'Relevés compteurs'!$B$5:$B$1504,B99,'Relevés compteurs'!$A$5:$A$1504,"&lt;"&amp;A99)))</f>
        <v/>
      </c>
    </row>
    <row r="100">
      <c r="A100" s="65" t="n">
        <v>45839</v>
      </c>
      <c r="B100" s="7" t="inlineStr">
        <is>
          <t>EQ-USI-005</t>
        </is>
      </c>
      <c r="C100" s="9">
        <f>IF(B100="","",IFERROR(INDEX('Équipements'!$B$5:$B$304,MATCH(B100,'Équipements'!$A$5:$A$304,0)),"Code inconnu"))</f>
        <v/>
      </c>
      <c r="D100" s="67" t="n">
        <v>17699</v>
      </c>
      <c r="E100" s="7" t="inlineStr">
        <is>
          <t>Lucas Fontaine</t>
        </is>
      </c>
      <c r="F100" s="68">
        <f>IF(OR(B100="",A100=""),"",IF(COUNTIFS('Relevés compteurs'!$B$5:$B$1504,B100,'Relevés compteurs'!$A$5:$A$1504,"&lt;"&amp;A100)=0,"",D100-_xlfn.MAXIFS('Relevés compteurs'!$D$5:$D$1504,'Relevés compteurs'!$B$5:$B$1504,B100,'Relevés compteurs'!$A$5:$A$1504,"&lt;"&amp;A100)))</f>
        <v/>
      </c>
    </row>
    <row r="101">
      <c r="A101" s="65" t="n">
        <v>45839</v>
      </c>
      <c r="B101" s="7" t="inlineStr">
        <is>
          <t>EQ-UTI-001</t>
        </is>
      </c>
      <c r="C101" s="9">
        <f>IF(B101="","",IFERROR(INDEX('Équipements'!$B$5:$B$304,MATCH(B101,'Équipements'!$A$5:$A$304,0)),"Code inconnu"))</f>
        <v/>
      </c>
      <c r="D101" s="67" t="n">
        <v>38289</v>
      </c>
      <c r="E101" s="7" t="inlineStr">
        <is>
          <t>Nadia Rousseau</t>
        </is>
      </c>
      <c r="F101" s="68">
        <f>IF(OR(B101="",A101=""),"",IF(COUNTIFS('Relevés compteurs'!$B$5:$B$1504,B101,'Relevés compteurs'!$A$5:$A$1504,"&lt;"&amp;A101)=0,"",D101-_xlfn.MAXIFS('Relevés compteurs'!$D$5:$D$1504,'Relevés compteurs'!$B$5:$B$1504,B101,'Relevés compteurs'!$A$5:$A$1504,"&lt;"&amp;A101)))</f>
        <v/>
      </c>
    </row>
    <row r="102">
      <c r="A102" s="65" t="n">
        <v>45839</v>
      </c>
      <c r="B102" s="7" t="inlineStr">
        <is>
          <t>EQ-UTI-002</t>
        </is>
      </c>
      <c r="C102" s="9">
        <f>IF(B102="","",IFERROR(INDEX('Équipements'!$B$5:$B$304,MATCH(B102,'Équipements'!$A$5:$A$304,0)),"Code inconnu"))</f>
        <v/>
      </c>
      <c r="D102" s="67" t="n">
        <v>32716</v>
      </c>
      <c r="E102" s="7" t="inlineStr">
        <is>
          <t>Ronde maintenance</t>
        </is>
      </c>
      <c r="F102" s="68">
        <f>IF(OR(B102="",A102=""),"",IF(COUNTIFS('Relevés compteurs'!$B$5:$B$1504,B102,'Relevés compteurs'!$A$5:$A$1504,"&lt;"&amp;A102)=0,"",D102-_xlfn.MAXIFS('Relevés compteurs'!$D$5:$D$1504,'Relevés compteurs'!$B$5:$B$1504,B102,'Relevés compteurs'!$A$5:$A$1504,"&lt;"&amp;A102)))</f>
        <v/>
      </c>
    </row>
    <row r="103">
      <c r="A103" s="65" t="n">
        <v>45870</v>
      </c>
      <c r="B103" s="7" t="inlineStr">
        <is>
          <t>EQ-LOG-001</t>
        </is>
      </c>
      <c r="C103" s="9">
        <f>IF(B103="","",IFERROR(INDEX('Équipements'!$B$5:$B$304,MATCH(B103,'Équipements'!$A$5:$A$304,0)),"Code inconnu"))</f>
        <v/>
      </c>
      <c r="D103" s="67" t="n">
        <v>16790</v>
      </c>
      <c r="E103" s="7" t="inlineStr">
        <is>
          <t>Nadia Rousseau</t>
        </is>
      </c>
      <c r="F103" s="68">
        <f>IF(OR(B103="",A103=""),"",IF(COUNTIFS('Relevés compteurs'!$B$5:$B$1504,B103,'Relevés compteurs'!$A$5:$A$1504,"&lt;"&amp;A103)=0,"",D103-_xlfn.MAXIFS('Relevés compteurs'!$D$5:$D$1504,'Relevés compteurs'!$B$5:$B$1504,B103,'Relevés compteurs'!$A$5:$A$1504,"&lt;"&amp;A103)))</f>
        <v/>
      </c>
    </row>
    <row r="104">
      <c r="A104" s="65" t="n">
        <v>45870</v>
      </c>
      <c r="B104" s="7" t="inlineStr">
        <is>
          <t>EQ-LOG-002</t>
        </is>
      </c>
      <c r="C104" s="9">
        <f>IF(B104="","",IFERROR(INDEX('Équipements'!$B$5:$B$304,MATCH(B104,'Équipements'!$A$5:$A$304,0)),"Code inconnu"))</f>
        <v/>
      </c>
      <c r="D104" s="67" t="n">
        <v>24325</v>
      </c>
      <c r="E104" s="7" t="inlineStr">
        <is>
          <t>Ronde maintenance</t>
        </is>
      </c>
      <c r="F104" s="68">
        <f>IF(OR(B104="",A104=""),"",IF(COUNTIFS('Relevés compteurs'!$B$5:$B$1504,B104,'Relevés compteurs'!$A$5:$A$1504,"&lt;"&amp;A104)=0,"",D104-_xlfn.MAXIFS('Relevés compteurs'!$D$5:$D$1504,'Relevés compteurs'!$B$5:$B$1504,B104,'Relevés compteurs'!$A$5:$A$1504,"&lt;"&amp;A104)))</f>
        <v/>
      </c>
    </row>
    <row r="105">
      <c r="A105" s="65" t="n">
        <v>45870</v>
      </c>
      <c r="B105" s="7" t="inlineStr">
        <is>
          <t>EQ-LOG-003</t>
        </is>
      </c>
      <c r="C105" s="9">
        <f>IF(B105="","",IFERROR(INDEX('Équipements'!$B$5:$B$304,MATCH(B105,'Équipements'!$A$5:$A$304,0)),"Code inconnu"))</f>
        <v/>
      </c>
      <c r="D105" s="67" t="n">
        <v>22289</v>
      </c>
      <c r="E105" s="7" t="inlineStr">
        <is>
          <t>Nadia Rousseau</t>
        </is>
      </c>
      <c r="F105" s="68">
        <f>IF(OR(B105="",A105=""),"",IF(COUNTIFS('Relevés compteurs'!$B$5:$B$1504,B105,'Relevés compteurs'!$A$5:$A$1504,"&lt;"&amp;A105)=0,"",D105-_xlfn.MAXIFS('Relevés compteurs'!$D$5:$D$1504,'Relevés compteurs'!$B$5:$B$1504,B105,'Relevés compteurs'!$A$5:$A$1504,"&lt;"&amp;A105)))</f>
        <v/>
      </c>
    </row>
    <row r="106">
      <c r="A106" s="65" t="n">
        <v>45870</v>
      </c>
      <c r="B106" s="7" t="inlineStr">
        <is>
          <t>EQ-LOG-005</t>
        </is>
      </c>
      <c r="C106" s="9">
        <f>IF(B106="","",IFERROR(INDEX('Équipements'!$B$5:$B$304,MATCH(B106,'Équipements'!$A$5:$A$304,0)),"Code inconnu"))</f>
        <v/>
      </c>
      <c r="D106" s="67" t="n">
        <v>2830</v>
      </c>
      <c r="E106" s="7" t="inlineStr">
        <is>
          <t>Nadia Rousseau</t>
        </is>
      </c>
      <c r="F106" s="68">
        <f>IF(OR(B106="",A106=""),"",IF(COUNTIFS('Relevés compteurs'!$B$5:$B$1504,B106,'Relevés compteurs'!$A$5:$A$1504,"&lt;"&amp;A106)=0,"",D106-_xlfn.MAXIFS('Relevés compteurs'!$D$5:$D$1504,'Relevés compteurs'!$B$5:$B$1504,B106,'Relevés compteurs'!$A$5:$A$1504,"&lt;"&amp;A106)))</f>
        <v/>
      </c>
    </row>
    <row r="107">
      <c r="A107" s="65" t="n">
        <v>45870</v>
      </c>
      <c r="B107" s="7" t="inlineStr">
        <is>
          <t>EQ-SOU-001</t>
        </is>
      </c>
      <c r="C107" s="9">
        <f>IF(B107="","",IFERROR(INDEX('Équipements'!$B$5:$B$304,MATCH(B107,'Équipements'!$A$5:$A$304,0)),"Code inconnu"))</f>
        <v/>
      </c>
      <c r="D107" s="67" t="n">
        <v>15732</v>
      </c>
      <c r="E107" s="7" t="inlineStr">
        <is>
          <t>Lucas Fontaine</t>
        </is>
      </c>
      <c r="F107" s="68">
        <f>IF(OR(B107="",A107=""),"",IF(COUNTIFS('Relevés compteurs'!$B$5:$B$1504,B107,'Relevés compteurs'!$A$5:$A$1504,"&lt;"&amp;A107)=0,"",D107-_xlfn.MAXIFS('Relevés compteurs'!$D$5:$D$1504,'Relevés compteurs'!$B$5:$B$1504,B107,'Relevés compteurs'!$A$5:$A$1504,"&lt;"&amp;A107)))</f>
        <v/>
      </c>
    </row>
    <row r="108">
      <c r="A108" s="65" t="n">
        <v>45870</v>
      </c>
      <c r="B108" s="7" t="inlineStr">
        <is>
          <t>EQ-TOL-001</t>
        </is>
      </c>
      <c r="C108" s="9">
        <f>IF(B108="","",IFERROR(INDEX('Équipements'!$B$5:$B$304,MATCH(B108,'Équipements'!$A$5:$A$304,0)),"Code inconnu"))</f>
        <v/>
      </c>
      <c r="D108" s="67" t="n">
        <v>16098</v>
      </c>
      <c r="E108" s="7" t="inlineStr">
        <is>
          <t>Ronde maintenance</t>
        </is>
      </c>
      <c r="F108" s="68">
        <f>IF(OR(B108="",A108=""),"",IF(COUNTIFS('Relevés compteurs'!$B$5:$B$1504,B108,'Relevés compteurs'!$A$5:$A$1504,"&lt;"&amp;A108)=0,"",D108-_xlfn.MAXIFS('Relevés compteurs'!$D$5:$D$1504,'Relevés compteurs'!$B$5:$B$1504,B108,'Relevés compteurs'!$A$5:$A$1504,"&lt;"&amp;A108)))</f>
        <v/>
      </c>
    </row>
    <row r="109">
      <c r="A109" s="65" t="n">
        <v>45870</v>
      </c>
      <c r="B109" s="7" t="inlineStr">
        <is>
          <t>EQ-TOL-002</t>
        </is>
      </c>
      <c r="C109" s="9">
        <f>IF(B109="","",IFERROR(INDEX('Équipements'!$B$5:$B$304,MATCH(B109,'Équipements'!$A$5:$A$304,0)),"Code inconnu"))</f>
        <v/>
      </c>
      <c r="D109" s="67" t="n">
        <v>46712</v>
      </c>
      <c r="E109" s="7" t="inlineStr">
        <is>
          <t>Ronde maintenance</t>
        </is>
      </c>
      <c r="F109" s="68">
        <f>IF(OR(B109="",A109=""),"",IF(COUNTIFS('Relevés compteurs'!$B$5:$B$1504,B109,'Relevés compteurs'!$A$5:$A$1504,"&lt;"&amp;A109)=0,"",D109-_xlfn.MAXIFS('Relevés compteurs'!$D$5:$D$1504,'Relevés compteurs'!$B$5:$B$1504,B109,'Relevés compteurs'!$A$5:$A$1504,"&lt;"&amp;A109)))</f>
        <v/>
      </c>
    </row>
    <row r="110">
      <c r="A110" s="65" t="n">
        <v>45870</v>
      </c>
      <c r="B110" s="7" t="inlineStr">
        <is>
          <t>EQ-TOL-003</t>
        </is>
      </c>
      <c r="C110" s="9">
        <f>IF(B110="","",IFERROR(INDEX('Équipements'!$B$5:$B$304,MATCH(B110,'Équipements'!$A$5:$A$304,0)),"Code inconnu"))</f>
        <v/>
      </c>
      <c r="D110" s="67" t="n">
        <v>21041</v>
      </c>
      <c r="E110" s="7" t="inlineStr">
        <is>
          <t>Ronde maintenance</t>
        </is>
      </c>
      <c r="F110" s="68">
        <f>IF(OR(B110="",A110=""),"",IF(COUNTIFS('Relevés compteurs'!$B$5:$B$1504,B110,'Relevés compteurs'!$A$5:$A$1504,"&lt;"&amp;A110)=0,"",D110-_xlfn.MAXIFS('Relevés compteurs'!$D$5:$D$1504,'Relevés compteurs'!$B$5:$B$1504,B110,'Relevés compteurs'!$A$5:$A$1504,"&lt;"&amp;A110)))</f>
        <v/>
      </c>
    </row>
    <row r="111">
      <c r="A111" s="65" t="n">
        <v>45870</v>
      </c>
      <c r="B111" s="7" t="inlineStr">
        <is>
          <t>EQ-USI-001</t>
        </is>
      </c>
      <c r="C111" s="9">
        <f>IF(B111="","",IFERROR(INDEX('Équipements'!$B$5:$B$304,MATCH(B111,'Équipements'!$A$5:$A$304,0)),"Code inconnu"))</f>
        <v/>
      </c>
      <c r="D111" s="67" t="n">
        <v>20872</v>
      </c>
      <c r="E111" s="7" t="inlineStr">
        <is>
          <t>Nadia Rousseau</t>
        </is>
      </c>
      <c r="F111" s="68">
        <f>IF(OR(B111="",A111=""),"",IF(COUNTIFS('Relevés compteurs'!$B$5:$B$1504,B111,'Relevés compteurs'!$A$5:$A$1504,"&lt;"&amp;A111)=0,"",D111-_xlfn.MAXIFS('Relevés compteurs'!$D$5:$D$1504,'Relevés compteurs'!$B$5:$B$1504,B111,'Relevés compteurs'!$A$5:$A$1504,"&lt;"&amp;A111)))</f>
        <v/>
      </c>
    </row>
    <row r="112">
      <c r="A112" s="65" t="n">
        <v>45870</v>
      </c>
      <c r="B112" s="7" t="inlineStr">
        <is>
          <t>EQ-USI-002</t>
        </is>
      </c>
      <c r="C112" s="9">
        <f>IF(B112="","",IFERROR(INDEX('Équipements'!$B$5:$B$304,MATCH(B112,'Équipements'!$A$5:$A$304,0)),"Code inconnu"))</f>
        <v/>
      </c>
      <c r="D112" s="67" t="n">
        <v>29744</v>
      </c>
      <c r="E112" s="7" t="inlineStr">
        <is>
          <t>Nadia Rousseau</t>
        </is>
      </c>
      <c r="F112" s="68">
        <f>IF(OR(B112="",A112=""),"",IF(COUNTIFS('Relevés compteurs'!$B$5:$B$1504,B112,'Relevés compteurs'!$A$5:$A$1504,"&lt;"&amp;A112)=0,"",D112-_xlfn.MAXIFS('Relevés compteurs'!$D$5:$D$1504,'Relevés compteurs'!$B$5:$B$1504,B112,'Relevés compteurs'!$A$5:$A$1504,"&lt;"&amp;A112)))</f>
        <v/>
      </c>
    </row>
    <row r="113">
      <c r="A113" s="65" t="n">
        <v>45870</v>
      </c>
      <c r="B113" s="7" t="inlineStr">
        <is>
          <t>EQ-USI-004</t>
        </is>
      </c>
      <c r="C113" s="9">
        <f>IF(B113="","",IFERROR(INDEX('Équipements'!$B$5:$B$304,MATCH(B113,'Équipements'!$A$5:$A$304,0)),"Code inconnu"))</f>
        <v/>
      </c>
      <c r="D113" s="67" t="n">
        <v>35181</v>
      </c>
      <c r="E113" s="7" t="inlineStr">
        <is>
          <t>Ronde maintenance</t>
        </is>
      </c>
      <c r="F113" s="68">
        <f>IF(OR(B113="",A113=""),"",IF(COUNTIFS('Relevés compteurs'!$B$5:$B$1504,B113,'Relevés compteurs'!$A$5:$A$1504,"&lt;"&amp;A113)=0,"",D113-_xlfn.MAXIFS('Relevés compteurs'!$D$5:$D$1504,'Relevés compteurs'!$B$5:$B$1504,B113,'Relevés compteurs'!$A$5:$A$1504,"&lt;"&amp;A113)))</f>
        <v/>
      </c>
    </row>
    <row r="114">
      <c r="A114" s="65" t="n">
        <v>45870</v>
      </c>
      <c r="B114" s="7" t="inlineStr">
        <is>
          <t>EQ-USI-005</t>
        </is>
      </c>
      <c r="C114" s="9">
        <f>IF(B114="","",IFERROR(INDEX('Équipements'!$B$5:$B$304,MATCH(B114,'Équipements'!$A$5:$A$304,0)),"Code inconnu"))</f>
        <v/>
      </c>
      <c r="D114" s="67" t="n">
        <v>17962</v>
      </c>
      <c r="E114" s="7" t="inlineStr">
        <is>
          <t>Lucas Fontaine</t>
        </is>
      </c>
      <c r="F114" s="68">
        <f>IF(OR(B114="",A114=""),"",IF(COUNTIFS('Relevés compteurs'!$B$5:$B$1504,B114,'Relevés compteurs'!$A$5:$A$1504,"&lt;"&amp;A114)=0,"",D114-_xlfn.MAXIFS('Relevés compteurs'!$D$5:$D$1504,'Relevés compteurs'!$B$5:$B$1504,B114,'Relevés compteurs'!$A$5:$A$1504,"&lt;"&amp;A114)))</f>
        <v/>
      </c>
    </row>
    <row r="115">
      <c r="A115" s="65" t="n">
        <v>45870</v>
      </c>
      <c r="B115" s="7" t="inlineStr">
        <is>
          <t>EQ-UTI-001</t>
        </is>
      </c>
      <c r="C115" s="9">
        <f>IF(B115="","",IFERROR(INDEX('Équipements'!$B$5:$B$304,MATCH(B115,'Équipements'!$A$5:$A$304,0)),"Code inconnu"))</f>
        <v/>
      </c>
      <c r="D115" s="67" t="n">
        <v>38694</v>
      </c>
      <c r="E115" s="7" t="inlineStr">
        <is>
          <t>Nadia Rousseau</t>
        </is>
      </c>
      <c r="F115" s="68">
        <f>IF(OR(B115="",A115=""),"",IF(COUNTIFS('Relevés compteurs'!$B$5:$B$1504,B115,'Relevés compteurs'!$A$5:$A$1504,"&lt;"&amp;A115)=0,"",D115-_xlfn.MAXIFS('Relevés compteurs'!$D$5:$D$1504,'Relevés compteurs'!$B$5:$B$1504,B115,'Relevés compteurs'!$A$5:$A$1504,"&lt;"&amp;A115)))</f>
        <v/>
      </c>
    </row>
    <row r="116">
      <c r="A116" s="65" t="n">
        <v>45870</v>
      </c>
      <c r="B116" s="7" t="inlineStr">
        <is>
          <t>EQ-UTI-002</t>
        </is>
      </c>
      <c r="C116" s="9">
        <f>IF(B116="","",IFERROR(INDEX('Équipements'!$B$5:$B$304,MATCH(B116,'Équipements'!$A$5:$A$304,0)),"Code inconnu"))</f>
        <v/>
      </c>
      <c r="D116" s="67" t="n">
        <v>32893</v>
      </c>
      <c r="E116" s="7" t="inlineStr">
        <is>
          <t>Lucas Fontaine</t>
        </is>
      </c>
      <c r="F116" s="68">
        <f>IF(OR(B116="",A116=""),"",IF(COUNTIFS('Relevés compteurs'!$B$5:$B$1504,B116,'Relevés compteurs'!$A$5:$A$1504,"&lt;"&amp;A116)=0,"",D116-_xlfn.MAXIFS('Relevés compteurs'!$D$5:$D$1504,'Relevés compteurs'!$B$5:$B$1504,B116,'Relevés compteurs'!$A$5:$A$1504,"&lt;"&amp;A116)))</f>
        <v/>
      </c>
    </row>
    <row r="117">
      <c r="A117" s="65" t="n">
        <v>45901</v>
      </c>
      <c r="B117" s="7" t="inlineStr">
        <is>
          <t>EQ-LOG-001</t>
        </is>
      </c>
      <c r="C117" s="9">
        <f>IF(B117="","",IFERROR(INDEX('Équipements'!$B$5:$B$304,MATCH(B117,'Équipements'!$A$5:$A$304,0)),"Code inconnu"))</f>
        <v/>
      </c>
      <c r="D117" s="67" t="n">
        <v>17028</v>
      </c>
      <c r="E117" s="7" t="inlineStr">
        <is>
          <t>Ronde maintenance</t>
        </is>
      </c>
      <c r="F117" s="68">
        <f>IF(OR(B117="",A117=""),"",IF(COUNTIFS('Relevés compteurs'!$B$5:$B$1504,B117,'Relevés compteurs'!$A$5:$A$1504,"&lt;"&amp;A117)=0,"",D117-_xlfn.MAXIFS('Relevés compteurs'!$D$5:$D$1504,'Relevés compteurs'!$B$5:$B$1504,B117,'Relevés compteurs'!$A$5:$A$1504,"&lt;"&amp;A117)))</f>
        <v/>
      </c>
    </row>
    <row r="118">
      <c r="A118" s="65" t="n">
        <v>45901</v>
      </c>
      <c r="B118" s="7" t="inlineStr">
        <is>
          <t>EQ-LOG-002</t>
        </is>
      </c>
      <c r="C118" s="9">
        <f>IF(B118="","",IFERROR(INDEX('Équipements'!$B$5:$B$304,MATCH(B118,'Équipements'!$A$5:$A$304,0)),"Code inconnu"))</f>
        <v/>
      </c>
      <c r="D118" s="67" t="n">
        <v>24533</v>
      </c>
      <c r="E118" s="7" t="inlineStr">
        <is>
          <t>Nadia Rousseau</t>
        </is>
      </c>
      <c r="F118" s="68">
        <f>IF(OR(B118="",A118=""),"",IF(COUNTIFS('Relevés compteurs'!$B$5:$B$1504,B118,'Relevés compteurs'!$A$5:$A$1504,"&lt;"&amp;A118)=0,"",D118-_xlfn.MAXIFS('Relevés compteurs'!$D$5:$D$1504,'Relevés compteurs'!$B$5:$B$1504,B118,'Relevés compteurs'!$A$5:$A$1504,"&lt;"&amp;A118)))</f>
        <v/>
      </c>
    </row>
    <row r="119">
      <c r="A119" s="65" t="n">
        <v>45901</v>
      </c>
      <c r="B119" s="7" t="inlineStr">
        <is>
          <t>EQ-LOG-003</t>
        </is>
      </c>
      <c r="C119" s="9">
        <f>IF(B119="","",IFERROR(INDEX('Équipements'!$B$5:$B$304,MATCH(B119,'Équipements'!$A$5:$A$304,0)),"Code inconnu"))</f>
        <v/>
      </c>
      <c r="D119" s="67" t="n">
        <v>22443</v>
      </c>
      <c r="E119" s="7" t="inlineStr">
        <is>
          <t>Lucas Fontaine</t>
        </is>
      </c>
      <c r="F119" s="68">
        <f>IF(OR(B119="",A119=""),"",IF(COUNTIFS('Relevés compteurs'!$B$5:$B$1504,B119,'Relevés compteurs'!$A$5:$A$1504,"&lt;"&amp;A119)=0,"",D119-_xlfn.MAXIFS('Relevés compteurs'!$D$5:$D$1504,'Relevés compteurs'!$B$5:$B$1504,B119,'Relevés compteurs'!$A$5:$A$1504,"&lt;"&amp;A119)))</f>
        <v/>
      </c>
    </row>
    <row r="120">
      <c r="A120" s="65" t="n">
        <v>45901</v>
      </c>
      <c r="B120" s="7" t="inlineStr">
        <is>
          <t>EQ-LOG-005</t>
        </is>
      </c>
      <c r="C120" s="9">
        <f>IF(B120="","",IFERROR(INDEX('Équipements'!$B$5:$B$304,MATCH(B120,'Équipements'!$A$5:$A$304,0)),"Code inconnu"))</f>
        <v/>
      </c>
      <c r="D120" s="67" t="n">
        <v>2862</v>
      </c>
      <c r="E120" s="7" t="inlineStr">
        <is>
          <t>Lucas Fontaine</t>
        </is>
      </c>
      <c r="F120" s="68">
        <f>IF(OR(B120="",A120=""),"",IF(COUNTIFS('Relevés compteurs'!$B$5:$B$1504,B120,'Relevés compteurs'!$A$5:$A$1504,"&lt;"&amp;A120)=0,"",D120-_xlfn.MAXIFS('Relevés compteurs'!$D$5:$D$1504,'Relevés compteurs'!$B$5:$B$1504,B120,'Relevés compteurs'!$A$5:$A$1504,"&lt;"&amp;A120)))</f>
        <v/>
      </c>
    </row>
    <row r="121">
      <c r="A121" s="65" t="n">
        <v>45901</v>
      </c>
      <c r="B121" s="7" t="inlineStr">
        <is>
          <t>EQ-SOU-001</t>
        </is>
      </c>
      <c r="C121" s="9">
        <f>IF(B121="","",IFERROR(INDEX('Équipements'!$B$5:$B$304,MATCH(B121,'Équipements'!$A$5:$A$304,0)),"Code inconnu"))</f>
        <v/>
      </c>
      <c r="D121" s="67" t="n">
        <v>15990</v>
      </c>
      <c r="E121" s="7" t="inlineStr">
        <is>
          <t>Nadia Rousseau</t>
        </is>
      </c>
      <c r="F121" s="68">
        <f>IF(OR(B121="",A121=""),"",IF(COUNTIFS('Relevés compteurs'!$B$5:$B$1504,B121,'Relevés compteurs'!$A$5:$A$1504,"&lt;"&amp;A121)=0,"",D121-_xlfn.MAXIFS('Relevés compteurs'!$D$5:$D$1504,'Relevés compteurs'!$B$5:$B$1504,B121,'Relevés compteurs'!$A$5:$A$1504,"&lt;"&amp;A121)))</f>
        <v/>
      </c>
    </row>
    <row r="122">
      <c r="A122" s="65" t="n">
        <v>45901</v>
      </c>
      <c r="B122" s="7" t="inlineStr">
        <is>
          <t>EQ-TOL-001</t>
        </is>
      </c>
      <c r="C122" s="9">
        <f>IF(B122="","",IFERROR(INDEX('Équipements'!$B$5:$B$304,MATCH(B122,'Équipements'!$A$5:$A$304,0)),"Code inconnu"))</f>
        <v/>
      </c>
      <c r="D122" s="67" t="n">
        <v>16389</v>
      </c>
      <c r="E122" s="7" t="inlineStr">
        <is>
          <t>Nadia Rousseau</t>
        </is>
      </c>
      <c r="F122" s="68">
        <f>IF(OR(B122="",A122=""),"",IF(COUNTIFS('Relevés compteurs'!$B$5:$B$1504,B122,'Relevés compteurs'!$A$5:$A$1504,"&lt;"&amp;A122)=0,"",D122-_xlfn.MAXIFS('Relevés compteurs'!$D$5:$D$1504,'Relevés compteurs'!$B$5:$B$1504,B122,'Relevés compteurs'!$A$5:$A$1504,"&lt;"&amp;A122)))</f>
        <v/>
      </c>
    </row>
    <row r="123">
      <c r="A123" s="65" t="n">
        <v>45901</v>
      </c>
      <c r="B123" s="7" t="inlineStr">
        <is>
          <t>EQ-TOL-002</t>
        </is>
      </c>
      <c r="C123" s="9">
        <f>IF(B123="","",IFERROR(INDEX('Équipements'!$B$5:$B$304,MATCH(B123,'Équipements'!$A$5:$A$304,0)),"Code inconnu"))</f>
        <v/>
      </c>
      <c r="D123" s="67" t="n">
        <v>47007</v>
      </c>
      <c r="E123" s="7" t="inlineStr">
        <is>
          <t>Ronde maintenance</t>
        </is>
      </c>
      <c r="F123" s="68">
        <f>IF(OR(B123="",A123=""),"",IF(COUNTIFS('Relevés compteurs'!$B$5:$B$1504,B123,'Relevés compteurs'!$A$5:$A$1504,"&lt;"&amp;A123)=0,"",D123-_xlfn.MAXIFS('Relevés compteurs'!$D$5:$D$1504,'Relevés compteurs'!$B$5:$B$1504,B123,'Relevés compteurs'!$A$5:$A$1504,"&lt;"&amp;A123)))</f>
        <v/>
      </c>
    </row>
    <row r="124">
      <c r="A124" s="65" t="n">
        <v>45901</v>
      </c>
      <c r="B124" s="7" t="inlineStr">
        <is>
          <t>EQ-TOL-003</t>
        </is>
      </c>
      <c r="C124" s="9">
        <f>IF(B124="","",IFERROR(INDEX('Équipements'!$B$5:$B$304,MATCH(B124,'Équipements'!$A$5:$A$304,0)),"Code inconnu"))</f>
        <v/>
      </c>
      <c r="D124" s="67" t="n">
        <v>21302</v>
      </c>
      <c r="E124" s="7" t="inlineStr">
        <is>
          <t>Lucas Fontaine</t>
        </is>
      </c>
      <c r="F124" s="68">
        <f>IF(OR(B124="",A124=""),"",IF(COUNTIFS('Relevés compteurs'!$B$5:$B$1504,B124,'Relevés compteurs'!$A$5:$A$1504,"&lt;"&amp;A124)=0,"",D124-_xlfn.MAXIFS('Relevés compteurs'!$D$5:$D$1504,'Relevés compteurs'!$B$5:$B$1504,B124,'Relevés compteurs'!$A$5:$A$1504,"&lt;"&amp;A124)))</f>
        <v/>
      </c>
    </row>
    <row r="125">
      <c r="A125" s="65" t="n">
        <v>45901</v>
      </c>
      <c r="B125" s="7" t="inlineStr">
        <is>
          <t>EQ-USI-001</t>
        </is>
      </c>
      <c r="C125" s="9">
        <f>IF(B125="","",IFERROR(INDEX('Équipements'!$B$5:$B$304,MATCH(B125,'Équipements'!$A$5:$A$304,0)),"Code inconnu"))</f>
        <v/>
      </c>
      <c r="D125" s="67" t="n">
        <v>21113</v>
      </c>
      <c r="E125" s="7" t="inlineStr">
        <is>
          <t>Nadia Rousseau</t>
        </is>
      </c>
      <c r="F125" s="68">
        <f>IF(OR(B125="",A125=""),"",IF(COUNTIFS('Relevés compteurs'!$B$5:$B$1504,B125,'Relevés compteurs'!$A$5:$A$1504,"&lt;"&amp;A125)=0,"",D125-_xlfn.MAXIFS('Relevés compteurs'!$D$5:$D$1504,'Relevés compteurs'!$B$5:$B$1504,B125,'Relevés compteurs'!$A$5:$A$1504,"&lt;"&amp;A125)))</f>
        <v/>
      </c>
    </row>
    <row r="126">
      <c r="A126" s="65" t="n">
        <v>45901</v>
      </c>
      <c r="B126" s="7" t="inlineStr">
        <is>
          <t>EQ-USI-002</t>
        </is>
      </c>
      <c r="C126" s="9">
        <f>IF(B126="","",IFERROR(INDEX('Équipements'!$B$5:$B$304,MATCH(B126,'Équipements'!$A$5:$A$304,0)),"Code inconnu"))</f>
        <v/>
      </c>
      <c r="D126" s="67" t="n">
        <v>29990</v>
      </c>
      <c r="E126" s="7" t="inlineStr">
        <is>
          <t>Lucas Fontaine</t>
        </is>
      </c>
      <c r="F126" s="68">
        <f>IF(OR(B126="",A126=""),"",IF(COUNTIFS('Relevés compteurs'!$B$5:$B$1504,B126,'Relevés compteurs'!$A$5:$A$1504,"&lt;"&amp;A126)=0,"",D126-_xlfn.MAXIFS('Relevés compteurs'!$D$5:$D$1504,'Relevés compteurs'!$B$5:$B$1504,B126,'Relevés compteurs'!$A$5:$A$1504,"&lt;"&amp;A126)))</f>
        <v/>
      </c>
    </row>
    <row r="127">
      <c r="A127" s="65" t="n">
        <v>45901</v>
      </c>
      <c r="B127" s="7" t="inlineStr">
        <is>
          <t>EQ-USI-004</t>
        </is>
      </c>
      <c r="C127" s="9">
        <f>IF(B127="","",IFERROR(INDEX('Équipements'!$B$5:$B$304,MATCH(B127,'Équipements'!$A$5:$A$304,0)),"Code inconnu"))</f>
        <v/>
      </c>
      <c r="D127" s="67" t="n">
        <v>35475</v>
      </c>
      <c r="E127" s="7" t="inlineStr">
        <is>
          <t>Lucas Fontaine</t>
        </is>
      </c>
      <c r="F127" s="68">
        <f>IF(OR(B127="",A127=""),"",IF(COUNTIFS('Relevés compteurs'!$B$5:$B$1504,B127,'Relevés compteurs'!$A$5:$A$1504,"&lt;"&amp;A127)=0,"",D127-_xlfn.MAXIFS('Relevés compteurs'!$D$5:$D$1504,'Relevés compteurs'!$B$5:$B$1504,B127,'Relevés compteurs'!$A$5:$A$1504,"&lt;"&amp;A127)))</f>
        <v/>
      </c>
    </row>
    <row r="128">
      <c r="A128" s="65" t="n">
        <v>45901</v>
      </c>
      <c r="B128" s="7" t="inlineStr">
        <is>
          <t>EQ-USI-005</t>
        </is>
      </c>
      <c r="C128" s="9">
        <f>IF(B128="","",IFERROR(INDEX('Équipements'!$B$5:$B$304,MATCH(B128,'Équipements'!$A$5:$A$304,0)),"Code inconnu"))</f>
        <v/>
      </c>
      <c r="D128" s="67" t="n">
        <v>18247</v>
      </c>
      <c r="E128" s="7" t="inlineStr">
        <is>
          <t>Nadia Rousseau</t>
        </is>
      </c>
      <c r="F128" s="68">
        <f>IF(OR(B128="",A128=""),"",IF(COUNTIFS('Relevés compteurs'!$B$5:$B$1504,B128,'Relevés compteurs'!$A$5:$A$1504,"&lt;"&amp;A128)=0,"",D128-_xlfn.MAXIFS('Relevés compteurs'!$D$5:$D$1504,'Relevés compteurs'!$B$5:$B$1504,B128,'Relevés compteurs'!$A$5:$A$1504,"&lt;"&amp;A128)))</f>
        <v/>
      </c>
    </row>
    <row r="129">
      <c r="A129" s="65" t="n">
        <v>45901</v>
      </c>
      <c r="B129" s="7" t="inlineStr">
        <is>
          <t>EQ-UTI-001</t>
        </is>
      </c>
      <c r="C129" s="9">
        <f>IF(B129="","",IFERROR(INDEX('Équipements'!$B$5:$B$304,MATCH(B129,'Équipements'!$A$5:$A$304,0)),"Code inconnu"))</f>
        <v/>
      </c>
      <c r="D129" s="67" t="n">
        <v>39156</v>
      </c>
      <c r="E129" s="7" t="inlineStr">
        <is>
          <t>Ronde maintenance</t>
        </is>
      </c>
      <c r="F129" s="68">
        <f>IF(OR(B129="",A129=""),"",IF(COUNTIFS('Relevés compteurs'!$B$5:$B$1504,B129,'Relevés compteurs'!$A$5:$A$1504,"&lt;"&amp;A129)=0,"",D129-_xlfn.MAXIFS('Relevés compteurs'!$D$5:$D$1504,'Relevés compteurs'!$B$5:$B$1504,B129,'Relevés compteurs'!$A$5:$A$1504,"&lt;"&amp;A129)))</f>
        <v/>
      </c>
    </row>
    <row r="130">
      <c r="A130" s="65" t="n">
        <v>45901</v>
      </c>
      <c r="B130" s="7" t="inlineStr">
        <is>
          <t>EQ-UTI-002</t>
        </is>
      </c>
      <c r="C130" s="9">
        <f>IF(B130="","",IFERROR(INDEX('Équipements'!$B$5:$B$304,MATCH(B130,'Équipements'!$A$5:$A$304,0)),"Code inconnu"))</f>
        <v/>
      </c>
      <c r="D130" s="67" t="n">
        <v>33081</v>
      </c>
      <c r="E130" s="7" t="inlineStr">
        <is>
          <t>Ronde maintenance</t>
        </is>
      </c>
      <c r="F130" s="68">
        <f>IF(OR(B130="",A130=""),"",IF(COUNTIFS('Relevés compteurs'!$B$5:$B$1504,B130,'Relevés compteurs'!$A$5:$A$1504,"&lt;"&amp;A130)=0,"",D130-_xlfn.MAXIFS('Relevés compteurs'!$D$5:$D$1504,'Relevés compteurs'!$B$5:$B$1504,B130,'Relevés compteurs'!$A$5:$A$1504,"&lt;"&amp;A130)))</f>
        <v/>
      </c>
    </row>
    <row r="131">
      <c r="A131" s="65" t="n">
        <v>45931</v>
      </c>
      <c r="B131" s="7" t="inlineStr">
        <is>
          <t>EQ-LOG-001</t>
        </is>
      </c>
      <c r="C131" s="9">
        <f>IF(B131="","",IFERROR(INDEX('Équipements'!$B$5:$B$304,MATCH(B131,'Équipements'!$A$5:$A$304,0)),"Code inconnu"))</f>
        <v/>
      </c>
      <c r="D131" s="67" t="n">
        <v>17224</v>
      </c>
      <c r="E131" s="7" t="inlineStr">
        <is>
          <t>Lucas Fontaine</t>
        </is>
      </c>
      <c r="F131" s="68">
        <f>IF(OR(B131="",A131=""),"",IF(COUNTIFS('Relevés compteurs'!$B$5:$B$1504,B131,'Relevés compteurs'!$A$5:$A$1504,"&lt;"&amp;A131)=0,"",D131-_xlfn.MAXIFS('Relevés compteurs'!$D$5:$D$1504,'Relevés compteurs'!$B$5:$B$1504,B131,'Relevés compteurs'!$A$5:$A$1504,"&lt;"&amp;A131)))</f>
        <v/>
      </c>
    </row>
    <row r="132">
      <c r="A132" s="65" t="n">
        <v>45931</v>
      </c>
      <c r="B132" s="7" t="inlineStr">
        <is>
          <t>EQ-LOG-002</t>
        </is>
      </c>
      <c r="C132" s="9">
        <f>IF(B132="","",IFERROR(INDEX('Équipements'!$B$5:$B$304,MATCH(B132,'Équipements'!$A$5:$A$304,0)),"Code inconnu"))</f>
        <v/>
      </c>
      <c r="D132" s="67" t="n">
        <v>24726</v>
      </c>
      <c r="E132" s="7" t="inlineStr">
        <is>
          <t>Lucas Fontaine</t>
        </is>
      </c>
      <c r="F132" s="68">
        <f>IF(OR(B132="",A132=""),"",IF(COUNTIFS('Relevés compteurs'!$B$5:$B$1504,B132,'Relevés compteurs'!$A$5:$A$1504,"&lt;"&amp;A132)=0,"",D132-_xlfn.MAXIFS('Relevés compteurs'!$D$5:$D$1504,'Relevés compteurs'!$B$5:$B$1504,B132,'Relevés compteurs'!$A$5:$A$1504,"&lt;"&amp;A132)))</f>
        <v/>
      </c>
    </row>
    <row r="133">
      <c r="A133" s="65" t="n">
        <v>45931</v>
      </c>
      <c r="B133" s="7" t="inlineStr">
        <is>
          <t>EQ-LOG-003</t>
        </is>
      </c>
      <c r="C133" s="9">
        <f>IF(B133="","",IFERROR(INDEX('Équipements'!$B$5:$B$304,MATCH(B133,'Équipements'!$A$5:$A$304,0)),"Code inconnu"))</f>
        <v/>
      </c>
      <c r="D133" s="67" t="n">
        <v>22599</v>
      </c>
      <c r="E133" s="7" t="inlineStr">
        <is>
          <t>Lucas Fontaine</t>
        </is>
      </c>
      <c r="F133" s="68">
        <f>IF(OR(B133="",A133=""),"",IF(COUNTIFS('Relevés compteurs'!$B$5:$B$1504,B133,'Relevés compteurs'!$A$5:$A$1504,"&lt;"&amp;A133)=0,"",D133-_xlfn.MAXIFS('Relevés compteurs'!$D$5:$D$1504,'Relevés compteurs'!$B$5:$B$1504,B133,'Relevés compteurs'!$A$5:$A$1504,"&lt;"&amp;A133)))</f>
        <v/>
      </c>
    </row>
    <row r="134">
      <c r="A134" s="65" t="n">
        <v>45931</v>
      </c>
      <c r="B134" s="7" t="inlineStr">
        <is>
          <t>EQ-LOG-005</t>
        </is>
      </c>
      <c r="C134" s="9">
        <f>IF(B134="","",IFERROR(INDEX('Équipements'!$B$5:$B$304,MATCH(B134,'Équipements'!$A$5:$A$304,0)),"Code inconnu"))</f>
        <v/>
      </c>
      <c r="D134" s="67" t="n">
        <v>2887</v>
      </c>
      <c r="E134" s="7" t="inlineStr">
        <is>
          <t>Nadia Rousseau</t>
        </is>
      </c>
      <c r="F134" s="68">
        <f>IF(OR(B134="",A134=""),"",IF(COUNTIFS('Relevés compteurs'!$B$5:$B$1504,B134,'Relevés compteurs'!$A$5:$A$1504,"&lt;"&amp;A134)=0,"",D134-_xlfn.MAXIFS('Relevés compteurs'!$D$5:$D$1504,'Relevés compteurs'!$B$5:$B$1504,B134,'Relevés compteurs'!$A$5:$A$1504,"&lt;"&amp;A134)))</f>
        <v/>
      </c>
    </row>
    <row r="135">
      <c r="A135" s="65" t="n">
        <v>45931</v>
      </c>
      <c r="B135" s="7" t="inlineStr">
        <is>
          <t>EQ-SOU-001</t>
        </is>
      </c>
      <c r="C135" s="9">
        <f>IF(B135="","",IFERROR(INDEX('Équipements'!$B$5:$B$304,MATCH(B135,'Équipements'!$A$5:$A$304,0)),"Code inconnu"))</f>
        <v/>
      </c>
      <c r="D135" s="67" t="n">
        <v>16295</v>
      </c>
      <c r="E135" s="7" t="inlineStr">
        <is>
          <t>Ronde maintenance</t>
        </is>
      </c>
      <c r="F135" s="68">
        <f>IF(OR(B135="",A135=""),"",IF(COUNTIFS('Relevés compteurs'!$B$5:$B$1504,B135,'Relevés compteurs'!$A$5:$A$1504,"&lt;"&amp;A135)=0,"",D135-_xlfn.MAXIFS('Relevés compteurs'!$D$5:$D$1504,'Relevés compteurs'!$B$5:$B$1504,B135,'Relevés compteurs'!$A$5:$A$1504,"&lt;"&amp;A135)))</f>
        <v/>
      </c>
    </row>
    <row r="136">
      <c r="A136" s="65" t="n">
        <v>45931</v>
      </c>
      <c r="B136" s="7" t="inlineStr">
        <is>
          <t>EQ-TOL-001</t>
        </is>
      </c>
      <c r="C136" s="9">
        <f>IF(B136="","",IFERROR(INDEX('Équipements'!$B$5:$B$304,MATCH(B136,'Équipements'!$A$5:$A$304,0)),"Code inconnu"))</f>
        <v/>
      </c>
      <c r="D136" s="67" t="n">
        <v>16668</v>
      </c>
      <c r="E136" s="7" t="inlineStr">
        <is>
          <t>Ronde maintenance</t>
        </is>
      </c>
      <c r="F136" s="68">
        <f>IF(OR(B136="",A136=""),"",IF(COUNTIFS('Relevés compteurs'!$B$5:$B$1504,B136,'Relevés compteurs'!$A$5:$A$1504,"&lt;"&amp;A136)=0,"",D136-_xlfn.MAXIFS('Relevés compteurs'!$D$5:$D$1504,'Relevés compteurs'!$B$5:$B$1504,B136,'Relevés compteurs'!$A$5:$A$1504,"&lt;"&amp;A136)))</f>
        <v/>
      </c>
    </row>
    <row r="137">
      <c r="A137" s="65" t="n">
        <v>45931</v>
      </c>
      <c r="B137" s="7" t="inlineStr">
        <is>
          <t>EQ-TOL-002</t>
        </is>
      </c>
      <c r="C137" s="9">
        <f>IF(B137="","",IFERROR(INDEX('Équipements'!$B$5:$B$304,MATCH(B137,'Équipements'!$A$5:$A$304,0)),"Code inconnu"))</f>
        <v/>
      </c>
      <c r="D137" s="67" t="n">
        <v>47279</v>
      </c>
      <c r="E137" s="7" t="inlineStr">
        <is>
          <t>Ronde maintenance</t>
        </is>
      </c>
      <c r="F137" s="68">
        <f>IF(OR(B137="",A137=""),"",IF(COUNTIFS('Relevés compteurs'!$B$5:$B$1504,B137,'Relevés compteurs'!$A$5:$A$1504,"&lt;"&amp;A137)=0,"",D137-_xlfn.MAXIFS('Relevés compteurs'!$D$5:$D$1504,'Relevés compteurs'!$B$5:$B$1504,B137,'Relevés compteurs'!$A$5:$A$1504,"&lt;"&amp;A137)))</f>
        <v/>
      </c>
    </row>
    <row r="138">
      <c r="A138" s="65" t="n">
        <v>45931</v>
      </c>
      <c r="B138" s="7" t="inlineStr">
        <is>
          <t>EQ-TOL-003</t>
        </is>
      </c>
      <c r="C138" s="9">
        <f>IF(B138="","",IFERROR(INDEX('Équipements'!$B$5:$B$304,MATCH(B138,'Équipements'!$A$5:$A$304,0)),"Code inconnu"))</f>
        <v/>
      </c>
      <c r="D138" s="67" t="n">
        <v>21584</v>
      </c>
      <c r="E138" s="7" t="inlineStr">
        <is>
          <t>Lucas Fontaine</t>
        </is>
      </c>
      <c r="F138" s="68">
        <f>IF(OR(B138="",A138=""),"",IF(COUNTIFS('Relevés compteurs'!$B$5:$B$1504,B138,'Relevés compteurs'!$A$5:$A$1504,"&lt;"&amp;A138)=0,"",D138-_xlfn.MAXIFS('Relevés compteurs'!$D$5:$D$1504,'Relevés compteurs'!$B$5:$B$1504,B138,'Relevés compteurs'!$A$5:$A$1504,"&lt;"&amp;A138)))</f>
        <v/>
      </c>
    </row>
    <row r="139">
      <c r="A139" s="65" t="n">
        <v>45931</v>
      </c>
      <c r="B139" s="7" t="inlineStr">
        <is>
          <t>EQ-USI-001</t>
        </is>
      </c>
      <c r="C139" s="9">
        <f>IF(B139="","",IFERROR(INDEX('Équipements'!$B$5:$B$304,MATCH(B139,'Équipements'!$A$5:$A$304,0)),"Code inconnu"))</f>
        <v/>
      </c>
      <c r="D139" s="67" t="n">
        <v>21423</v>
      </c>
      <c r="E139" s="7" t="inlineStr">
        <is>
          <t>Ronde maintenance</t>
        </is>
      </c>
      <c r="F139" s="68">
        <f>IF(OR(B139="",A139=""),"",IF(COUNTIFS('Relevés compteurs'!$B$5:$B$1504,B139,'Relevés compteurs'!$A$5:$A$1504,"&lt;"&amp;A139)=0,"",D139-_xlfn.MAXIFS('Relevés compteurs'!$D$5:$D$1504,'Relevés compteurs'!$B$5:$B$1504,B139,'Relevés compteurs'!$A$5:$A$1504,"&lt;"&amp;A139)))</f>
        <v/>
      </c>
    </row>
    <row r="140">
      <c r="A140" s="65" t="n">
        <v>45931</v>
      </c>
      <c r="B140" s="7" t="inlineStr">
        <is>
          <t>EQ-USI-002</t>
        </is>
      </c>
      <c r="C140" s="9">
        <f>IF(B140="","",IFERROR(INDEX('Équipements'!$B$5:$B$304,MATCH(B140,'Équipements'!$A$5:$A$304,0)),"Code inconnu"))</f>
        <v/>
      </c>
      <c r="D140" s="67" t="n">
        <v>30261</v>
      </c>
      <c r="E140" s="7" t="inlineStr">
        <is>
          <t>Lucas Fontaine</t>
        </is>
      </c>
      <c r="F140" s="68">
        <f>IF(OR(B140="",A140=""),"",IF(COUNTIFS('Relevés compteurs'!$B$5:$B$1504,B140,'Relevés compteurs'!$A$5:$A$1504,"&lt;"&amp;A140)=0,"",D140-_xlfn.MAXIFS('Relevés compteurs'!$D$5:$D$1504,'Relevés compteurs'!$B$5:$B$1504,B140,'Relevés compteurs'!$A$5:$A$1504,"&lt;"&amp;A140)))</f>
        <v/>
      </c>
    </row>
    <row r="141">
      <c r="A141" s="65" t="n">
        <v>45931</v>
      </c>
      <c r="B141" s="7" t="inlineStr">
        <is>
          <t>EQ-USI-004</t>
        </is>
      </c>
      <c r="C141" s="9">
        <f>IF(B141="","",IFERROR(INDEX('Équipements'!$B$5:$B$304,MATCH(B141,'Équipements'!$A$5:$A$304,0)),"Code inconnu"))</f>
        <v/>
      </c>
      <c r="D141" s="67" t="n">
        <v>35742</v>
      </c>
      <c r="E141" s="7" t="inlineStr">
        <is>
          <t>Ronde maintenance</t>
        </is>
      </c>
      <c r="F141" s="68">
        <f>IF(OR(B141="",A141=""),"",IF(COUNTIFS('Relevés compteurs'!$B$5:$B$1504,B141,'Relevés compteurs'!$A$5:$A$1504,"&lt;"&amp;A141)=0,"",D141-_xlfn.MAXIFS('Relevés compteurs'!$D$5:$D$1504,'Relevés compteurs'!$B$5:$B$1504,B141,'Relevés compteurs'!$A$5:$A$1504,"&lt;"&amp;A141)))</f>
        <v/>
      </c>
    </row>
    <row r="142">
      <c r="A142" s="65" t="n">
        <v>45931</v>
      </c>
      <c r="B142" s="7" t="inlineStr">
        <is>
          <t>EQ-USI-005</t>
        </is>
      </c>
      <c r="C142" s="9">
        <f>IF(B142="","",IFERROR(INDEX('Équipements'!$B$5:$B$304,MATCH(B142,'Équipements'!$A$5:$A$304,0)),"Code inconnu"))</f>
        <v/>
      </c>
      <c r="D142" s="67" t="n">
        <v>18535</v>
      </c>
      <c r="E142" s="7" t="inlineStr">
        <is>
          <t>Ronde maintenance</t>
        </is>
      </c>
      <c r="F142" s="68">
        <f>IF(OR(B142="",A142=""),"",IF(COUNTIFS('Relevés compteurs'!$B$5:$B$1504,B142,'Relevés compteurs'!$A$5:$A$1504,"&lt;"&amp;A142)=0,"",D142-_xlfn.MAXIFS('Relevés compteurs'!$D$5:$D$1504,'Relevés compteurs'!$B$5:$B$1504,B142,'Relevés compteurs'!$A$5:$A$1504,"&lt;"&amp;A142)))</f>
        <v/>
      </c>
    </row>
    <row r="143">
      <c r="A143" s="65" t="n">
        <v>45931</v>
      </c>
      <c r="B143" s="7" t="inlineStr">
        <is>
          <t>EQ-UTI-001</t>
        </is>
      </c>
      <c r="C143" s="9">
        <f>IF(B143="","",IFERROR(INDEX('Équipements'!$B$5:$B$304,MATCH(B143,'Équipements'!$A$5:$A$304,0)),"Code inconnu"))</f>
        <v/>
      </c>
      <c r="D143" s="67" t="n">
        <v>39540</v>
      </c>
      <c r="E143" s="7" t="inlineStr">
        <is>
          <t>Lucas Fontaine</t>
        </is>
      </c>
      <c r="F143" s="68">
        <f>IF(OR(B143="",A143=""),"",IF(COUNTIFS('Relevés compteurs'!$B$5:$B$1504,B143,'Relevés compteurs'!$A$5:$A$1504,"&lt;"&amp;A143)=0,"",D143-_xlfn.MAXIFS('Relevés compteurs'!$D$5:$D$1504,'Relevés compteurs'!$B$5:$B$1504,B143,'Relevés compteurs'!$A$5:$A$1504,"&lt;"&amp;A143)))</f>
        <v/>
      </c>
    </row>
    <row r="144">
      <c r="A144" s="65" t="n">
        <v>45931</v>
      </c>
      <c r="B144" s="7" t="inlineStr">
        <is>
          <t>EQ-UTI-002</t>
        </is>
      </c>
      <c r="C144" s="9">
        <f>IF(B144="","",IFERROR(INDEX('Équipements'!$B$5:$B$304,MATCH(B144,'Équipements'!$A$5:$A$304,0)),"Code inconnu"))</f>
        <v/>
      </c>
      <c r="D144" s="67" t="n">
        <v>33272</v>
      </c>
      <c r="E144" s="7" t="inlineStr">
        <is>
          <t>Ronde maintenance</t>
        </is>
      </c>
      <c r="F144" s="68">
        <f>IF(OR(B144="",A144=""),"",IF(COUNTIFS('Relevés compteurs'!$B$5:$B$1504,B144,'Relevés compteurs'!$A$5:$A$1504,"&lt;"&amp;A144)=0,"",D144-_xlfn.MAXIFS('Relevés compteurs'!$D$5:$D$1504,'Relevés compteurs'!$B$5:$B$1504,B144,'Relevés compteurs'!$A$5:$A$1504,"&lt;"&amp;A144)))</f>
        <v/>
      </c>
    </row>
    <row r="145">
      <c r="A145" s="65" t="n">
        <v>45964</v>
      </c>
      <c r="B145" s="7" t="inlineStr">
        <is>
          <t>EQ-LOG-001</t>
        </is>
      </c>
      <c r="C145" s="9">
        <f>IF(B145="","",IFERROR(INDEX('Équipements'!$B$5:$B$304,MATCH(B145,'Équipements'!$A$5:$A$304,0)),"Code inconnu"))</f>
        <v/>
      </c>
      <c r="D145" s="67" t="n">
        <v>17443</v>
      </c>
      <c r="E145" s="7" t="inlineStr">
        <is>
          <t>Ronde maintenance</t>
        </is>
      </c>
      <c r="F145" s="68">
        <f>IF(OR(B145="",A145=""),"",IF(COUNTIFS('Relevés compteurs'!$B$5:$B$1504,B145,'Relevés compteurs'!$A$5:$A$1504,"&lt;"&amp;A145)=0,"",D145-_xlfn.MAXIFS('Relevés compteurs'!$D$5:$D$1504,'Relevés compteurs'!$B$5:$B$1504,B145,'Relevés compteurs'!$A$5:$A$1504,"&lt;"&amp;A145)))</f>
        <v/>
      </c>
    </row>
    <row r="146">
      <c r="A146" s="65" t="n">
        <v>45964</v>
      </c>
      <c r="B146" s="7" t="inlineStr">
        <is>
          <t>EQ-LOG-002</t>
        </is>
      </c>
      <c r="C146" s="9">
        <f>IF(B146="","",IFERROR(INDEX('Équipements'!$B$5:$B$304,MATCH(B146,'Équipements'!$A$5:$A$304,0)),"Code inconnu"))</f>
        <v/>
      </c>
      <c r="D146" s="67" t="n">
        <v>24960</v>
      </c>
      <c r="E146" s="7" t="inlineStr">
        <is>
          <t>Nadia Rousseau</t>
        </is>
      </c>
      <c r="F146" s="68">
        <f>IF(OR(B146="",A146=""),"",IF(COUNTIFS('Relevés compteurs'!$B$5:$B$1504,B146,'Relevés compteurs'!$A$5:$A$1504,"&lt;"&amp;A146)=0,"",D146-_xlfn.MAXIFS('Relevés compteurs'!$D$5:$D$1504,'Relevés compteurs'!$B$5:$B$1504,B146,'Relevés compteurs'!$A$5:$A$1504,"&lt;"&amp;A146)))</f>
        <v/>
      </c>
    </row>
    <row r="147">
      <c r="A147" s="65" t="n">
        <v>45964</v>
      </c>
      <c r="B147" s="7" t="inlineStr">
        <is>
          <t>EQ-LOG-003</t>
        </is>
      </c>
      <c r="C147" s="9">
        <f>IF(B147="","",IFERROR(INDEX('Équipements'!$B$5:$B$304,MATCH(B147,'Équipements'!$A$5:$A$304,0)),"Code inconnu"))</f>
        <v/>
      </c>
      <c r="D147" s="67" t="n">
        <v>22745</v>
      </c>
      <c r="E147" s="7" t="inlineStr">
        <is>
          <t>Ronde maintenance</t>
        </is>
      </c>
      <c r="F147" s="68">
        <f>IF(OR(B147="",A147=""),"",IF(COUNTIFS('Relevés compteurs'!$B$5:$B$1504,B147,'Relevés compteurs'!$A$5:$A$1504,"&lt;"&amp;A147)=0,"",D147-_xlfn.MAXIFS('Relevés compteurs'!$D$5:$D$1504,'Relevés compteurs'!$B$5:$B$1504,B147,'Relevés compteurs'!$A$5:$A$1504,"&lt;"&amp;A147)))</f>
        <v/>
      </c>
    </row>
    <row r="148">
      <c r="A148" s="65" t="n">
        <v>45964</v>
      </c>
      <c r="B148" s="7" t="inlineStr">
        <is>
          <t>EQ-LOG-005</t>
        </is>
      </c>
      <c r="C148" s="9">
        <f>IF(B148="","",IFERROR(INDEX('Équipements'!$B$5:$B$304,MATCH(B148,'Équipements'!$A$5:$A$304,0)),"Code inconnu"))</f>
        <v/>
      </c>
      <c r="D148" s="67" t="n">
        <v>2912</v>
      </c>
      <c r="E148" s="7" t="inlineStr">
        <is>
          <t>Ronde maintenance</t>
        </is>
      </c>
      <c r="F148" s="68">
        <f>IF(OR(B148="",A148=""),"",IF(COUNTIFS('Relevés compteurs'!$B$5:$B$1504,B148,'Relevés compteurs'!$A$5:$A$1504,"&lt;"&amp;A148)=0,"",D148-_xlfn.MAXIFS('Relevés compteurs'!$D$5:$D$1504,'Relevés compteurs'!$B$5:$B$1504,B148,'Relevés compteurs'!$A$5:$A$1504,"&lt;"&amp;A148)))</f>
        <v/>
      </c>
    </row>
    <row r="149">
      <c r="A149" s="65" t="n">
        <v>45964</v>
      </c>
      <c r="B149" s="7" t="inlineStr">
        <is>
          <t>EQ-SOU-001</t>
        </is>
      </c>
      <c r="C149" s="9">
        <f>IF(B149="","",IFERROR(INDEX('Équipements'!$B$5:$B$304,MATCH(B149,'Équipements'!$A$5:$A$304,0)),"Code inconnu"))</f>
        <v/>
      </c>
      <c r="D149" s="67" t="n">
        <v>16599</v>
      </c>
      <c r="E149" s="7" t="inlineStr">
        <is>
          <t>Nadia Rousseau</t>
        </is>
      </c>
      <c r="F149" s="68">
        <f>IF(OR(B149="",A149=""),"",IF(COUNTIFS('Relevés compteurs'!$B$5:$B$1504,B149,'Relevés compteurs'!$A$5:$A$1504,"&lt;"&amp;A149)=0,"",D149-_xlfn.MAXIFS('Relevés compteurs'!$D$5:$D$1504,'Relevés compteurs'!$B$5:$B$1504,B149,'Relevés compteurs'!$A$5:$A$1504,"&lt;"&amp;A149)))</f>
        <v/>
      </c>
    </row>
    <row r="150">
      <c r="A150" s="65" t="n">
        <v>45964</v>
      </c>
      <c r="B150" s="7" t="inlineStr">
        <is>
          <t>EQ-TOL-001</t>
        </is>
      </c>
      <c r="C150" s="9">
        <f>IF(B150="","",IFERROR(INDEX('Équipements'!$B$5:$B$304,MATCH(B150,'Équipements'!$A$5:$A$304,0)),"Code inconnu"))</f>
        <v/>
      </c>
      <c r="D150" s="67" t="n">
        <v>16945</v>
      </c>
      <c r="E150" s="7" t="inlineStr">
        <is>
          <t>Ronde maintenance</t>
        </is>
      </c>
      <c r="F150" s="68">
        <f>IF(OR(B150="",A150=""),"",IF(COUNTIFS('Relevés compteurs'!$B$5:$B$1504,B150,'Relevés compteurs'!$A$5:$A$1504,"&lt;"&amp;A150)=0,"",D150-_xlfn.MAXIFS('Relevés compteurs'!$D$5:$D$1504,'Relevés compteurs'!$B$5:$B$1504,B150,'Relevés compteurs'!$A$5:$A$1504,"&lt;"&amp;A150)))</f>
        <v/>
      </c>
    </row>
    <row r="151">
      <c r="A151" s="65" t="n">
        <v>45964</v>
      </c>
      <c r="B151" s="7" t="inlineStr">
        <is>
          <t>EQ-TOL-002</t>
        </is>
      </c>
      <c r="C151" s="9">
        <f>IF(B151="","",IFERROR(INDEX('Équipements'!$B$5:$B$304,MATCH(B151,'Équipements'!$A$5:$A$304,0)),"Code inconnu"))</f>
        <v/>
      </c>
      <c r="D151" s="67" t="n">
        <v>47576</v>
      </c>
      <c r="E151" s="7" t="inlineStr">
        <is>
          <t>Nadia Rousseau</t>
        </is>
      </c>
      <c r="F151" s="68">
        <f>IF(OR(B151="",A151=""),"",IF(COUNTIFS('Relevés compteurs'!$B$5:$B$1504,B151,'Relevés compteurs'!$A$5:$A$1504,"&lt;"&amp;A151)=0,"",D151-_xlfn.MAXIFS('Relevés compteurs'!$D$5:$D$1504,'Relevés compteurs'!$B$5:$B$1504,B151,'Relevés compteurs'!$A$5:$A$1504,"&lt;"&amp;A151)))</f>
        <v/>
      </c>
    </row>
    <row r="152">
      <c r="A152" s="65" t="n">
        <v>45964</v>
      </c>
      <c r="B152" s="7" t="inlineStr">
        <is>
          <t>EQ-TOL-003</t>
        </is>
      </c>
      <c r="C152" s="9">
        <f>IF(B152="","",IFERROR(INDEX('Équipements'!$B$5:$B$304,MATCH(B152,'Équipements'!$A$5:$A$304,0)),"Code inconnu"))</f>
        <v/>
      </c>
      <c r="D152" s="67" t="n">
        <v>21819</v>
      </c>
      <c r="E152" s="7" t="inlineStr">
        <is>
          <t>Nadia Rousseau</t>
        </is>
      </c>
      <c r="F152" s="68">
        <f>IF(OR(B152="",A152=""),"",IF(COUNTIFS('Relevés compteurs'!$B$5:$B$1504,B152,'Relevés compteurs'!$A$5:$A$1504,"&lt;"&amp;A152)=0,"",D152-_xlfn.MAXIFS('Relevés compteurs'!$D$5:$D$1504,'Relevés compteurs'!$B$5:$B$1504,B152,'Relevés compteurs'!$A$5:$A$1504,"&lt;"&amp;A152)))</f>
        <v/>
      </c>
    </row>
    <row r="153">
      <c r="A153" s="65" t="n">
        <v>45964</v>
      </c>
      <c r="B153" s="7" t="inlineStr">
        <is>
          <t>EQ-USI-001</t>
        </is>
      </c>
      <c r="C153" s="9">
        <f>IF(B153="","",IFERROR(INDEX('Équipements'!$B$5:$B$304,MATCH(B153,'Équipements'!$A$5:$A$304,0)),"Code inconnu"))</f>
        <v/>
      </c>
      <c r="D153" s="67" t="n">
        <v>21718</v>
      </c>
      <c r="E153" s="7" t="inlineStr">
        <is>
          <t>Nadia Rousseau</t>
        </is>
      </c>
      <c r="F153" s="68">
        <f>IF(OR(B153="",A153=""),"",IF(COUNTIFS('Relevés compteurs'!$B$5:$B$1504,B153,'Relevés compteurs'!$A$5:$A$1504,"&lt;"&amp;A153)=0,"",D153-_xlfn.MAXIFS('Relevés compteurs'!$D$5:$D$1504,'Relevés compteurs'!$B$5:$B$1504,B153,'Relevés compteurs'!$A$5:$A$1504,"&lt;"&amp;A153)))</f>
        <v/>
      </c>
    </row>
    <row r="154">
      <c r="A154" s="65" t="n">
        <v>45964</v>
      </c>
      <c r="B154" s="7" t="inlineStr">
        <is>
          <t>EQ-USI-002</t>
        </is>
      </c>
      <c r="C154" s="9">
        <f>IF(B154="","",IFERROR(INDEX('Équipements'!$B$5:$B$304,MATCH(B154,'Équipements'!$A$5:$A$304,0)),"Code inconnu"))</f>
        <v/>
      </c>
      <c r="D154" s="67" t="n">
        <v>30562</v>
      </c>
      <c r="E154" s="7" t="inlineStr">
        <is>
          <t>Lucas Fontaine</t>
        </is>
      </c>
      <c r="F154" s="68">
        <f>IF(OR(B154="",A154=""),"",IF(COUNTIFS('Relevés compteurs'!$B$5:$B$1504,B154,'Relevés compteurs'!$A$5:$A$1504,"&lt;"&amp;A154)=0,"",D154-_xlfn.MAXIFS('Relevés compteurs'!$D$5:$D$1504,'Relevés compteurs'!$B$5:$B$1504,B154,'Relevés compteurs'!$A$5:$A$1504,"&lt;"&amp;A154)))</f>
        <v/>
      </c>
    </row>
    <row r="155">
      <c r="A155" s="65" t="n">
        <v>45964</v>
      </c>
      <c r="B155" s="7" t="inlineStr">
        <is>
          <t>EQ-USI-004</t>
        </is>
      </c>
      <c r="C155" s="9">
        <f>IF(B155="","",IFERROR(INDEX('Équipements'!$B$5:$B$304,MATCH(B155,'Équipements'!$A$5:$A$304,0)),"Code inconnu"))</f>
        <v/>
      </c>
      <c r="D155" s="67" t="n">
        <v>35994</v>
      </c>
      <c r="E155" s="7" t="inlineStr">
        <is>
          <t>Ronde maintenance</t>
        </is>
      </c>
      <c r="F155" s="68">
        <f>IF(OR(B155="",A155=""),"",IF(COUNTIFS('Relevés compteurs'!$B$5:$B$1504,B155,'Relevés compteurs'!$A$5:$A$1504,"&lt;"&amp;A155)=0,"",D155-_xlfn.MAXIFS('Relevés compteurs'!$D$5:$D$1504,'Relevés compteurs'!$B$5:$B$1504,B155,'Relevés compteurs'!$A$5:$A$1504,"&lt;"&amp;A155)))</f>
        <v/>
      </c>
    </row>
    <row r="156">
      <c r="A156" s="65" t="n">
        <v>45964</v>
      </c>
      <c r="B156" s="7" t="inlineStr">
        <is>
          <t>EQ-USI-005</t>
        </is>
      </c>
      <c r="C156" s="9">
        <f>IF(B156="","",IFERROR(INDEX('Équipements'!$B$5:$B$304,MATCH(B156,'Équipements'!$A$5:$A$304,0)),"Code inconnu"))</f>
        <v/>
      </c>
      <c r="D156" s="67" t="n">
        <v>18824</v>
      </c>
      <c r="E156" s="7" t="inlineStr">
        <is>
          <t>Ronde maintenance</t>
        </is>
      </c>
      <c r="F156" s="68">
        <f>IF(OR(B156="",A156=""),"",IF(COUNTIFS('Relevés compteurs'!$B$5:$B$1504,B156,'Relevés compteurs'!$A$5:$A$1504,"&lt;"&amp;A156)=0,"",D156-_xlfn.MAXIFS('Relevés compteurs'!$D$5:$D$1504,'Relevés compteurs'!$B$5:$B$1504,B156,'Relevés compteurs'!$A$5:$A$1504,"&lt;"&amp;A156)))</f>
        <v/>
      </c>
    </row>
    <row r="157">
      <c r="A157" s="65" t="n">
        <v>45964</v>
      </c>
      <c r="B157" s="7" t="inlineStr">
        <is>
          <t>EQ-UTI-001</t>
        </is>
      </c>
      <c r="C157" s="9">
        <f>IF(B157="","",IFERROR(INDEX('Équipements'!$B$5:$B$304,MATCH(B157,'Équipements'!$A$5:$A$304,0)),"Code inconnu"))</f>
        <v/>
      </c>
      <c r="D157" s="67" t="n">
        <v>39916</v>
      </c>
      <c r="E157" s="7" t="inlineStr">
        <is>
          <t>Nadia Rousseau</t>
        </is>
      </c>
      <c r="F157" s="68">
        <f>IF(OR(B157="",A157=""),"",IF(COUNTIFS('Relevés compteurs'!$B$5:$B$1504,B157,'Relevés compteurs'!$A$5:$A$1504,"&lt;"&amp;A157)=0,"",D157-_xlfn.MAXIFS('Relevés compteurs'!$D$5:$D$1504,'Relevés compteurs'!$B$5:$B$1504,B157,'Relevés compteurs'!$A$5:$A$1504,"&lt;"&amp;A157)))</f>
        <v/>
      </c>
    </row>
    <row r="158">
      <c r="A158" s="65" t="n">
        <v>45964</v>
      </c>
      <c r="B158" s="7" t="inlineStr">
        <is>
          <t>EQ-UTI-002</t>
        </is>
      </c>
      <c r="C158" s="9">
        <f>IF(B158="","",IFERROR(INDEX('Équipements'!$B$5:$B$304,MATCH(B158,'Équipements'!$A$5:$A$304,0)),"Code inconnu"))</f>
        <v/>
      </c>
      <c r="D158" s="67" t="n">
        <v>33436</v>
      </c>
      <c r="E158" s="7" t="inlineStr">
        <is>
          <t>Nadia Rousseau</t>
        </is>
      </c>
      <c r="F158" s="68">
        <f>IF(OR(B158="",A158=""),"",IF(COUNTIFS('Relevés compteurs'!$B$5:$B$1504,B158,'Relevés compteurs'!$A$5:$A$1504,"&lt;"&amp;A158)=0,"",D158-_xlfn.MAXIFS('Relevés compteurs'!$D$5:$D$1504,'Relevés compteurs'!$B$5:$B$1504,B158,'Relevés compteurs'!$A$5:$A$1504,"&lt;"&amp;A158)))</f>
        <v/>
      </c>
    </row>
    <row r="159">
      <c r="A159" s="65" t="n">
        <v>45992</v>
      </c>
      <c r="B159" s="7" t="inlineStr">
        <is>
          <t>EQ-LOG-001</t>
        </is>
      </c>
      <c r="C159" s="9">
        <f>IF(B159="","",IFERROR(INDEX('Équipements'!$B$5:$B$304,MATCH(B159,'Équipements'!$A$5:$A$304,0)),"Code inconnu"))</f>
        <v/>
      </c>
      <c r="D159" s="67" t="n">
        <v>17630</v>
      </c>
      <c r="E159" s="7" t="inlineStr">
        <is>
          <t>Nadia Rousseau</t>
        </is>
      </c>
      <c r="F159" s="68">
        <f>IF(OR(B159="",A159=""),"",IF(COUNTIFS('Relevés compteurs'!$B$5:$B$1504,B159,'Relevés compteurs'!$A$5:$A$1504,"&lt;"&amp;A159)=0,"",D159-_xlfn.MAXIFS('Relevés compteurs'!$D$5:$D$1504,'Relevés compteurs'!$B$5:$B$1504,B159,'Relevés compteurs'!$A$5:$A$1504,"&lt;"&amp;A159)))</f>
        <v/>
      </c>
    </row>
    <row r="160">
      <c r="A160" s="65" t="n">
        <v>45992</v>
      </c>
      <c r="B160" s="7" t="inlineStr">
        <is>
          <t>EQ-LOG-002</t>
        </is>
      </c>
      <c r="C160" s="9">
        <f>IF(B160="","",IFERROR(INDEX('Équipements'!$B$5:$B$304,MATCH(B160,'Équipements'!$A$5:$A$304,0)),"Code inconnu"))</f>
        <v/>
      </c>
      <c r="D160" s="67" t="n">
        <v>25161</v>
      </c>
      <c r="E160" s="7" t="inlineStr">
        <is>
          <t>Lucas Fontaine</t>
        </is>
      </c>
      <c r="F160" s="68">
        <f>IF(OR(B160="",A160=""),"",IF(COUNTIFS('Relevés compteurs'!$B$5:$B$1504,B160,'Relevés compteurs'!$A$5:$A$1504,"&lt;"&amp;A160)=0,"",D160-_xlfn.MAXIFS('Relevés compteurs'!$D$5:$D$1504,'Relevés compteurs'!$B$5:$B$1504,B160,'Relevés compteurs'!$A$5:$A$1504,"&lt;"&amp;A160)))</f>
        <v/>
      </c>
    </row>
    <row r="161">
      <c r="A161" s="65" t="n">
        <v>45992</v>
      </c>
      <c r="B161" s="7" t="inlineStr">
        <is>
          <t>EQ-LOG-003</t>
        </is>
      </c>
      <c r="C161" s="9">
        <f>IF(B161="","",IFERROR(INDEX('Équipements'!$B$5:$B$304,MATCH(B161,'Équipements'!$A$5:$A$304,0)),"Code inconnu"))</f>
        <v/>
      </c>
      <c r="D161" s="67" t="n">
        <v>22905</v>
      </c>
      <c r="E161" s="7" t="inlineStr">
        <is>
          <t>Nadia Rousseau</t>
        </is>
      </c>
      <c r="F161" s="68">
        <f>IF(OR(B161="",A161=""),"",IF(COUNTIFS('Relevés compteurs'!$B$5:$B$1504,B161,'Relevés compteurs'!$A$5:$A$1504,"&lt;"&amp;A161)=0,"",D161-_xlfn.MAXIFS('Relevés compteurs'!$D$5:$D$1504,'Relevés compteurs'!$B$5:$B$1504,B161,'Relevés compteurs'!$A$5:$A$1504,"&lt;"&amp;A161)))</f>
        <v/>
      </c>
    </row>
    <row r="162">
      <c r="A162" s="65" t="n">
        <v>45992</v>
      </c>
      <c r="B162" s="7" t="inlineStr">
        <is>
          <t>EQ-LOG-005</t>
        </is>
      </c>
      <c r="C162" s="9">
        <f>IF(B162="","",IFERROR(INDEX('Équipements'!$B$5:$B$304,MATCH(B162,'Équipements'!$A$5:$A$304,0)),"Code inconnu"))</f>
        <v/>
      </c>
      <c r="D162" s="67" t="n">
        <v>2944</v>
      </c>
      <c r="E162" s="7" t="inlineStr">
        <is>
          <t>Ronde maintenance</t>
        </is>
      </c>
      <c r="F162" s="68">
        <f>IF(OR(B162="",A162=""),"",IF(COUNTIFS('Relevés compteurs'!$B$5:$B$1504,B162,'Relevés compteurs'!$A$5:$A$1504,"&lt;"&amp;A162)=0,"",D162-_xlfn.MAXIFS('Relevés compteurs'!$D$5:$D$1504,'Relevés compteurs'!$B$5:$B$1504,B162,'Relevés compteurs'!$A$5:$A$1504,"&lt;"&amp;A162)))</f>
        <v/>
      </c>
    </row>
    <row r="163">
      <c r="A163" s="65" t="n">
        <v>45992</v>
      </c>
      <c r="B163" s="7" t="inlineStr">
        <is>
          <t>EQ-SOU-001</t>
        </is>
      </c>
      <c r="C163" s="9">
        <f>IF(B163="","",IFERROR(INDEX('Équipements'!$B$5:$B$304,MATCH(B163,'Équipements'!$A$5:$A$304,0)),"Code inconnu"))</f>
        <v/>
      </c>
      <c r="D163" s="67" t="n">
        <v>16903</v>
      </c>
      <c r="E163" s="7" t="inlineStr">
        <is>
          <t>Ronde maintenance</t>
        </is>
      </c>
      <c r="F163" s="68">
        <f>IF(OR(B163="",A163=""),"",IF(COUNTIFS('Relevés compteurs'!$B$5:$B$1504,B163,'Relevés compteurs'!$A$5:$A$1504,"&lt;"&amp;A163)=0,"",D163-_xlfn.MAXIFS('Relevés compteurs'!$D$5:$D$1504,'Relevés compteurs'!$B$5:$B$1504,B163,'Relevés compteurs'!$A$5:$A$1504,"&lt;"&amp;A163)))</f>
        <v/>
      </c>
    </row>
    <row r="164">
      <c r="A164" s="65" t="n">
        <v>45992</v>
      </c>
      <c r="B164" s="7" t="inlineStr">
        <is>
          <t>EQ-TOL-001</t>
        </is>
      </c>
      <c r="C164" s="9">
        <f>IF(B164="","",IFERROR(INDEX('Équipements'!$B$5:$B$304,MATCH(B164,'Équipements'!$A$5:$A$304,0)),"Code inconnu"))</f>
        <v/>
      </c>
      <c r="D164" s="67" t="n">
        <v>17230</v>
      </c>
      <c r="E164" s="7" t="inlineStr">
        <is>
          <t>Ronde maintenance</t>
        </is>
      </c>
      <c r="F164" s="68">
        <f>IF(OR(B164="",A164=""),"",IF(COUNTIFS('Relevés compteurs'!$B$5:$B$1504,B164,'Relevés compteurs'!$A$5:$A$1504,"&lt;"&amp;A164)=0,"",D164-_xlfn.MAXIFS('Relevés compteurs'!$D$5:$D$1504,'Relevés compteurs'!$B$5:$B$1504,B164,'Relevés compteurs'!$A$5:$A$1504,"&lt;"&amp;A164)))</f>
        <v/>
      </c>
    </row>
    <row r="165">
      <c r="A165" s="65" t="n">
        <v>45992</v>
      </c>
      <c r="B165" s="7" t="inlineStr">
        <is>
          <t>EQ-TOL-002</t>
        </is>
      </c>
      <c r="C165" s="9">
        <f>IF(B165="","",IFERROR(INDEX('Équipements'!$B$5:$B$304,MATCH(B165,'Équipements'!$A$5:$A$304,0)),"Code inconnu"))</f>
        <v/>
      </c>
      <c r="D165" s="67" t="n">
        <v>47857</v>
      </c>
      <c r="E165" s="7" t="inlineStr">
        <is>
          <t>Ronde maintenance</t>
        </is>
      </c>
      <c r="F165" s="68">
        <f>IF(OR(B165="",A165=""),"",IF(COUNTIFS('Relevés compteurs'!$B$5:$B$1504,B165,'Relevés compteurs'!$A$5:$A$1504,"&lt;"&amp;A165)=0,"",D165-_xlfn.MAXIFS('Relevés compteurs'!$D$5:$D$1504,'Relevés compteurs'!$B$5:$B$1504,B165,'Relevés compteurs'!$A$5:$A$1504,"&lt;"&amp;A165)))</f>
        <v/>
      </c>
    </row>
    <row r="166">
      <c r="A166" s="65" t="n">
        <v>45992</v>
      </c>
      <c r="B166" s="7" t="inlineStr">
        <is>
          <t>EQ-TOL-003</t>
        </is>
      </c>
      <c r="C166" s="9">
        <f>IF(B166="","",IFERROR(INDEX('Équipements'!$B$5:$B$304,MATCH(B166,'Équipements'!$A$5:$A$304,0)),"Code inconnu"))</f>
        <v/>
      </c>
      <c r="D166" s="67" t="n">
        <v>22113</v>
      </c>
      <c r="E166" s="7" t="inlineStr">
        <is>
          <t>Ronde maintenance</t>
        </is>
      </c>
      <c r="F166" s="68">
        <f>IF(OR(B166="",A166=""),"",IF(COUNTIFS('Relevés compteurs'!$B$5:$B$1504,B166,'Relevés compteurs'!$A$5:$A$1504,"&lt;"&amp;A166)=0,"",D166-_xlfn.MAXIFS('Relevés compteurs'!$D$5:$D$1504,'Relevés compteurs'!$B$5:$B$1504,B166,'Relevés compteurs'!$A$5:$A$1504,"&lt;"&amp;A166)))</f>
        <v/>
      </c>
    </row>
    <row r="167">
      <c r="A167" s="65" t="n">
        <v>45992</v>
      </c>
      <c r="B167" s="7" t="inlineStr">
        <is>
          <t>EQ-USI-001</t>
        </is>
      </c>
      <c r="C167" s="9">
        <f>IF(B167="","",IFERROR(INDEX('Équipements'!$B$5:$B$304,MATCH(B167,'Équipements'!$A$5:$A$304,0)),"Code inconnu"))</f>
        <v/>
      </c>
      <c r="D167" s="67" t="n">
        <v>21960</v>
      </c>
      <c r="E167" s="7" t="inlineStr">
        <is>
          <t>Lucas Fontaine</t>
        </is>
      </c>
      <c r="F167" s="68">
        <f>IF(OR(B167="",A167=""),"",IF(COUNTIFS('Relevés compteurs'!$B$5:$B$1504,B167,'Relevés compteurs'!$A$5:$A$1504,"&lt;"&amp;A167)=0,"",D167-_xlfn.MAXIFS('Relevés compteurs'!$D$5:$D$1504,'Relevés compteurs'!$B$5:$B$1504,B167,'Relevés compteurs'!$A$5:$A$1504,"&lt;"&amp;A167)))</f>
        <v/>
      </c>
    </row>
    <row r="168">
      <c r="A168" s="65" t="n">
        <v>45992</v>
      </c>
      <c r="B168" s="7" t="inlineStr">
        <is>
          <t>EQ-USI-002</t>
        </is>
      </c>
      <c r="C168" s="9">
        <f>IF(B168="","",IFERROR(INDEX('Équipements'!$B$5:$B$304,MATCH(B168,'Équipements'!$A$5:$A$304,0)),"Code inconnu"))</f>
        <v/>
      </c>
      <c r="D168" s="67" t="n">
        <v>30843</v>
      </c>
      <c r="E168" s="7" t="inlineStr">
        <is>
          <t>Lucas Fontaine</t>
        </is>
      </c>
      <c r="F168" s="68">
        <f>IF(OR(B168="",A168=""),"",IF(COUNTIFS('Relevés compteurs'!$B$5:$B$1504,B168,'Relevés compteurs'!$A$5:$A$1504,"&lt;"&amp;A168)=0,"",D168-_xlfn.MAXIFS('Relevés compteurs'!$D$5:$D$1504,'Relevés compteurs'!$B$5:$B$1504,B168,'Relevés compteurs'!$A$5:$A$1504,"&lt;"&amp;A168)))</f>
        <v/>
      </c>
    </row>
    <row r="169">
      <c r="A169" s="65" t="n">
        <v>45992</v>
      </c>
      <c r="B169" s="7" t="inlineStr">
        <is>
          <t>EQ-USI-004</t>
        </is>
      </c>
      <c r="C169" s="9">
        <f>IF(B169="","",IFERROR(INDEX('Équipements'!$B$5:$B$304,MATCH(B169,'Équipements'!$A$5:$A$304,0)),"Code inconnu"))</f>
        <v/>
      </c>
      <c r="D169" s="67" t="n">
        <v>36275</v>
      </c>
      <c r="E169" s="7" t="inlineStr">
        <is>
          <t>Lucas Fontaine</t>
        </is>
      </c>
      <c r="F169" s="68">
        <f>IF(OR(B169="",A169=""),"",IF(COUNTIFS('Relevés compteurs'!$B$5:$B$1504,B169,'Relevés compteurs'!$A$5:$A$1504,"&lt;"&amp;A169)=0,"",D169-_xlfn.MAXIFS('Relevés compteurs'!$D$5:$D$1504,'Relevés compteurs'!$B$5:$B$1504,B169,'Relevés compteurs'!$A$5:$A$1504,"&lt;"&amp;A169)))</f>
        <v/>
      </c>
    </row>
    <row r="170">
      <c r="A170" s="65" t="n">
        <v>45992</v>
      </c>
      <c r="B170" s="7" t="inlineStr">
        <is>
          <t>EQ-USI-005</t>
        </is>
      </c>
      <c r="C170" s="9">
        <f>IF(B170="","",IFERROR(INDEX('Équipements'!$B$5:$B$304,MATCH(B170,'Équipements'!$A$5:$A$304,0)),"Code inconnu"))</f>
        <v/>
      </c>
      <c r="D170" s="67" t="n">
        <v>19097</v>
      </c>
      <c r="E170" s="7" t="inlineStr">
        <is>
          <t>Ronde maintenance</t>
        </is>
      </c>
      <c r="F170" s="68">
        <f>IF(OR(B170="",A170=""),"",IF(COUNTIFS('Relevés compteurs'!$B$5:$B$1504,B170,'Relevés compteurs'!$A$5:$A$1504,"&lt;"&amp;A170)=0,"",D170-_xlfn.MAXIFS('Relevés compteurs'!$D$5:$D$1504,'Relevés compteurs'!$B$5:$B$1504,B170,'Relevés compteurs'!$A$5:$A$1504,"&lt;"&amp;A170)))</f>
        <v/>
      </c>
    </row>
    <row r="171">
      <c r="A171" s="65" t="n">
        <v>45992</v>
      </c>
      <c r="B171" s="7" t="inlineStr">
        <is>
          <t>EQ-UTI-001</t>
        </is>
      </c>
      <c r="C171" s="9">
        <f>IF(B171="","",IFERROR(INDEX('Équipements'!$B$5:$B$304,MATCH(B171,'Équipements'!$A$5:$A$304,0)),"Code inconnu"))</f>
        <v/>
      </c>
      <c r="D171" s="67" t="n">
        <v>40413</v>
      </c>
      <c r="E171" s="7" t="inlineStr">
        <is>
          <t>Ronde maintenance</t>
        </is>
      </c>
      <c r="F171" s="68">
        <f>IF(OR(B171="",A171=""),"",IF(COUNTIFS('Relevés compteurs'!$B$5:$B$1504,B171,'Relevés compteurs'!$A$5:$A$1504,"&lt;"&amp;A171)=0,"",D171-_xlfn.MAXIFS('Relevés compteurs'!$D$5:$D$1504,'Relevés compteurs'!$B$5:$B$1504,B171,'Relevés compteurs'!$A$5:$A$1504,"&lt;"&amp;A171)))</f>
        <v/>
      </c>
    </row>
    <row r="172">
      <c r="A172" s="65" t="n">
        <v>45992</v>
      </c>
      <c r="B172" s="7" t="inlineStr">
        <is>
          <t>EQ-UTI-002</t>
        </is>
      </c>
      <c r="C172" s="9">
        <f>IF(B172="","",IFERROR(INDEX('Équipements'!$B$5:$B$304,MATCH(B172,'Équipements'!$A$5:$A$304,0)),"Code inconnu"))</f>
        <v/>
      </c>
      <c r="D172" s="67" t="n">
        <v>33639</v>
      </c>
      <c r="E172" s="7" t="inlineStr">
        <is>
          <t>Lucas Fontaine</t>
        </is>
      </c>
      <c r="F172" s="68">
        <f>IF(OR(B172="",A172=""),"",IF(COUNTIFS('Relevés compteurs'!$B$5:$B$1504,B172,'Relevés compteurs'!$A$5:$A$1504,"&lt;"&amp;A172)=0,"",D172-_xlfn.MAXIFS('Relevés compteurs'!$D$5:$D$1504,'Relevés compteurs'!$B$5:$B$1504,B172,'Relevés compteurs'!$A$5:$A$1504,"&lt;"&amp;A172)))</f>
        <v/>
      </c>
    </row>
    <row r="173">
      <c r="A173" s="65" t="n">
        <v>46023</v>
      </c>
      <c r="B173" s="7" t="inlineStr">
        <is>
          <t>EQ-LOG-001</t>
        </is>
      </c>
      <c r="C173" s="9">
        <f>IF(B173="","",IFERROR(INDEX('Équipements'!$B$5:$B$304,MATCH(B173,'Équipements'!$A$5:$A$304,0)),"Code inconnu"))</f>
        <v/>
      </c>
      <c r="D173" s="67" t="n">
        <v>17854</v>
      </c>
      <c r="E173" s="7" t="inlineStr">
        <is>
          <t>Lucas Fontaine</t>
        </is>
      </c>
      <c r="F173" s="68">
        <f>IF(OR(B173="",A173=""),"",IF(COUNTIFS('Relevés compteurs'!$B$5:$B$1504,B173,'Relevés compteurs'!$A$5:$A$1504,"&lt;"&amp;A173)=0,"",D173-_xlfn.MAXIFS('Relevés compteurs'!$D$5:$D$1504,'Relevés compteurs'!$B$5:$B$1504,B173,'Relevés compteurs'!$A$5:$A$1504,"&lt;"&amp;A173)))</f>
        <v/>
      </c>
    </row>
    <row r="174">
      <c r="A174" s="65" t="n">
        <v>46023</v>
      </c>
      <c r="B174" s="7" t="inlineStr">
        <is>
          <t>EQ-LOG-002</t>
        </is>
      </c>
      <c r="C174" s="9">
        <f>IF(B174="","",IFERROR(INDEX('Équipements'!$B$5:$B$304,MATCH(B174,'Équipements'!$A$5:$A$304,0)),"Code inconnu"))</f>
        <v/>
      </c>
      <c r="D174" s="67" t="n">
        <v>25380</v>
      </c>
      <c r="E174" s="7" t="inlineStr">
        <is>
          <t>Ronde maintenance</t>
        </is>
      </c>
      <c r="F174" s="68">
        <f>IF(OR(B174="",A174=""),"",IF(COUNTIFS('Relevés compteurs'!$B$5:$B$1504,B174,'Relevés compteurs'!$A$5:$A$1504,"&lt;"&amp;A174)=0,"",D174-_xlfn.MAXIFS('Relevés compteurs'!$D$5:$D$1504,'Relevés compteurs'!$B$5:$B$1504,B174,'Relevés compteurs'!$A$5:$A$1504,"&lt;"&amp;A174)))</f>
        <v/>
      </c>
    </row>
    <row r="175">
      <c r="A175" s="65" t="n">
        <v>46023</v>
      </c>
      <c r="B175" s="7" t="inlineStr">
        <is>
          <t>EQ-LOG-003</t>
        </is>
      </c>
      <c r="C175" s="9">
        <f>IF(B175="","",IFERROR(INDEX('Équipements'!$B$5:$B$304,MATCH(B175,'Équipements'!$A$5:$A$304,0)),"Code inconnu"))</f>
        <v/>
      </c>
      <c r="D175" s="67" t="n">
        <v>23056</v>
      </c>
      <c r="E175" s="7" t="inlineStr">
        <is>
          <t>Ronde maintenance</t>
        </is>
      </c>
      <c r="F175" s="68">
        <f>IF(OR(B175="",A175=""),"",IF(COUNTIFS('Relevés compteurs'!$B$5:$B$1504,B175,'Relevés compteurs'!$A$5:$A$1504,"&lt;"&amp;A175)=0,"",D175-_xlfn.MAXIFS('Relevés compteurs'!$D$5:$D$1504,'Relevés compteurs'!$B$5:$B$1504,B175,'Relevés compteurs'!$A$5:$A$1504,"&lt;"&amp;A175)))</f>
        <v/>
      </c>
    </row>
    <row r="176">
      <c r="A176" s="65" t="n">
        <v>46023</v>
      </c>
      <c r="B176" s="7" t="inlineStr">
        <is>
          <t>EQ-LOG-005</t>
        </is>
      </c>
      <c r="C176" s="9">
        <f>IF(B176="","",IFERROR(INDEX('Équipements'!$B$5:$B$304,MATCH(B176,'Équipements'!$A$5:$A$304,0)),"Code inconnu"))</f>
        <v/>
      </c>
      <c r="D176" s="67" t="n">
        <v>2969</v>
      </c>
      <c r="E176" s="7" t="inlineStr">
        <is>
          <t>Nadia Rousseau</t>
        </is>
      </c>
      <c r="F176" s="68">
        <f>IF(OR(B176="",A176=""),"",IF(COUNTIFS('Relevés compteurs'!$B$5:$B$1504,B176,'Relevés compteurs'!$A$5:$A$1504,"&lt;"&amp;A176)=0,"",D176-_xlfn.MAXIFS('Relevés compteurs'!$D$5:$D$1504,'Relevés compteurs'!$B$5:$B$1504,B176,'Relevés compteurs'!$A$5:$A$1504,"&lt;"&amp;A176)))</f>
        <v/>
      </c>
    </row>
    <row r="177">
      <c r="A177" s="65" t="n">
        <v>46023</v>
      </c>
      <c r="B177" s="7" t="inlineStr">
        <is>
          <t>EQ-SOU-001</t>
        </is>
      </c>
      <c r="C177" s="9">
        <f>IF(B177="","",IFERROR(INDEX('Équipements'!$B$5:$B$304,MATCH(B177,'Équipements'!$A$5:$A$304,0)),"Code inconnu"))</f>
        <v/>
      </c>
      <c r="D177" s="67" t="n">
        <v>17179</v>
      </c>
      <c r="E177" s="7" t="inlineStr">
        <is>
          <t>Lucas Fontaine</t>
        </is>
      </c>
      <c r="F177" s="68">
        <f>IF(OR(B177="",A177=""),"",IF(COUNTIFS('Relevés compteurs'!$B$5:$B$1504,B177,'Relevés compteurs'!$A$5:$A$1504,"&lt;"&amp;A177)=0,"",D177-_xlfn.MAXIFS('Relevés compteurs'!$D$5:$D$1504,'Relevés compteurs'!$B$5:$B$1504,B177,'Relevés compteurs'!$A$5:$A$1504,"&lt;"&amp;A177)))</f>
        <v/>
      </c>
    </row>
    <row r="178">
      <c r="A178" s="65" t="n">
        <v>46023</v>
      </c>
      <c r="B178" s="7" t="inlineStr">
        <is>
          <t>EQ-TOL-001</t>
        </is>
      </c>
      <c r="C178" s="9">
        <f>IF(B178="","",IFERROR(INDEX('Équipements'!$B$5:$B$304,MATCH(B178,'Équipements'!$A$5:$A$304,0)),"Code inconnu"))</f>
        <v/>
      </c>
      <c r="D178" s="67" t="n">
        <v>17567</v>
      </c>
      <c r="E178" s="7" t="inlineStr">
        <is>
          <t>Ronde maintenance</t>
        </is>
      </c>
      <c r="F178" s="68">
        <f>IF(OR(B178="",A178=""),"",IF(COUNTIFS('Relevés compteurs'!$B$5:$B$1504,B178,'Relevés compteurs'!$A$5:$A$1504,"&lt;"&amp;A178)=0,"",D178-_xlfn.MAXIFS('Relevés compteurs'!$D$5:$D$1504,'Relevés compteurs'!$B$5:$B$1504,B178,'Relevés compteurs'!$A$5:$A$1504,"&lt;"&amp;A178)))</f>
        <v/>
      </c>
    </row>
    <row r="179">
      <c r="A179" s="65" t="n">
        <v>46023</v>
      </c>
      <c r="B179" s="7" t="inlineStr">
        <is>
          <t>EQ-TOL-002</t>
        </is>
      </c>
      <c r="C179" s="9">
        <f>IF(B179="","",IFERROR(INDEX('Équipements'!$B$5:$B$304,MATCH(B179,'Équipements'!$A$5:$A$304,0)),"Code inconnu"))</f>
        <v/>
      </c>
      <c r="D179" s="67" t="n">
        <v>48104</v>
      </c>
      <c r="E179" s="7" t="inlineStr">
        <is>
          <t>Ronde maintenance</t>
        </is>
      </c>
      <c r="F179" s="68">
        <f>IF(OR(B179="",A179=""),"",IF(COUNTIFS('Relevés compteurs'!$B$5:$B$1504,B179,'Relevés compteurs'!$A$5:$A$1504,"&lt;"&amp;A179)=0,"",D179-_xlfn.MAXIFS('Relevés compteurs'!$D$5:$D$1504,'Relevés compteurs'!$B$5:$B$1504,B179,'Relevés compteurs'!$A$5:$A$1504,"&lt;"&amp;A179)))</f>
        <v/>
      </c>
    </row>
    <row r="180">
      <c r="A180" s="65" t="n">
        <v>46023</v>
      </c>
      <c r="B180" s="7" t="inlineStr">
        <is>
          <t>EQ-TOL-003</t>
        </is>
      </c>
      <c r="C180" s="9">
        <f>IF(B180="","",IFERROR(INDEX('Équipements'!$B$5:$B$304,MATCH(B180,'Équipements'!$A$5:$A$304,0)),"Code inconnu"))</f>
        <v/>
      </c>
      <c r="D180" s="67" t="n">
        <v>22369</v>
      </c>
      <c r="E180" s="7" t="inlineStr">
        <is>
          <t>Nadia Rousseau</t>
        </is>
      </c>
      <c r="F180" s="68">
        <f>IF(OR(B180="",A180=""),"",IF(COUNTIFS('Relevés compteurs'!$B$5:$B$1504,B180,'Relevés compteurs'!$A$5:$A$1504,"&lt;"&amp;A180)=0,"",D180-_xlfn.MAXIFS('Relevés compteurs'!$D$5:$D$1504,'Relevés compteurs'!$B$5:$B$1504,B180,'Relevés compteurs'!$A$5:$A$1504,"&lt;"&amp;A180)))</f>
        <v/>
      </c>
    </row>
    <row r="181">
      <c r="A181" s="65" t="n">
        <v>46023</v>
      </c>
      <c r="B181" s="7" t="inlineStr">
        <is>
          <t>EQ-USI-001</t>
        </is>
      </c>
      <c r="C181" s="9">
        <f>IF(B181="","",IFERROR(INDEX('Équipements'!$B$5:$B$304,MATCH(B181,'Équipements'!$A$5:$A$304,0)),"Code inconnu"))</f>
        <v/>
      </c>
      <c r="D181" s="67" t="n">
        <v>22222</v>
      </c>
      <c r="E181" s="7" t="inlineStr">
        <is>
          <t>Nadia Rousseau</t>
        </is>
      </c>
      <c r="F181" s="68">
        <f>IF(OR(B181="",A181=""),"",IF(COUNTIFS('Relevés compteurs'!$B$5:$B$1504,B181,'Relevés compteurs'!$A$5:$A$1504,"&lt;"&amp;A181)=0,"",D181-_xlfn.MAXIFS('Relevés compteurs'!$D$5:$D$1504,'Relevés compteurs'!$B$5:$B$1504,B181,'Relevés compteurs'!$A$5:$A$1504,"&lt;"&amp;A181)))</f>
        <v/>
      </c>
    </row>
    <row r="182">
      <c r="A182" s="65" t="n">
        <v>46023</v>
      </c>
      <c r="B182" s="7" t="inlineStr">
        <is>
          <t>EQ-USI-002</t>
        </is>
      </c>
      <c r="C182" s="9">
        <f>IF(B182="","",IFERROR(INDEX('Équipements'!$B$5:$B$304,MATCH(B182,'Équipements'!$A$5:$A$304,0)),"Code inconnu"))</f>
        <v/>
      </c>
      <c r="D182" s="67" t="n">
        <v>31122</v>
      </c>
      <c r="E182" s="7" t="inlineStr">
        <is>
          <t>Nadia Rousseau</t>
        </is>
      </c>
      <c r="F182" s="68">
        <f>IF(OR(B182="",A182=""),"",IF(COUNTIFS('Relevés compteurs'!$B$5:$B$1504,B182,'Relevés compteurs'!$A$5:$A$1504,"&lt;"&amp;A182)=0,"",D182-_xlfn.MAXIFS('Relevés compteurs'!$D$5:$D$1504,'Relevés compteurs'!$B$5:$B$1504,B182,'Relevés compteurs'!$A$5:$A$1504,"&lt;"&amp;A182)))</f>
        <v/>
      </c>
    </row>
    <row r="183">
      <c r="A183" s="65" t="n">
        <v>46023</v>
      </c>
      <c r="B183" s="7" t="inlineStr">
        <is>
          <t>EQ-USI-004</t>
        </is>
      </c>
      <c r="C183" s="9">
        <f>IF(B183="","",IFERROR(INDEX('Équipements'!$B$5:$B$304,MATCH(B183,'Équipements'!$A$5:$A$304,0)),"Code inconnu"))</f>
        <v/>
      </c>
      <c r="D183" s="67" t="n">
        <v>36584</v>
      </c>
      <c r="E183" s="7" t="inlineStr">
        <is>
          <t>Ronde maintenance</t>
        </is>
      </c>
      <c r="F183" s="68">
        <f>IF(OR(B183="",A183=""),"",IF(COUNTIFS('Relevés compteurs'!$B$5:$B$1504,B183,'Relevés compteurs'!$A$5:$A$1504,"&lt;"&amp;A183)=0,"",D183-_xlfn.MAXIFS('Relevés compteurs'!$D$5:$D$1504,'Relevés compteurs'!$B$5:$B$1504,B183,'Relevés compteurs'!$A$5:$A$1504,"&lt;"&amp;A183)))</f>
        <v/>
      </c>
    </row>
    <row r="184">
      <c r="A184" s="65" t="n">
        <v>46023</v>
      </c>
      <c r="B184" s="7" t="inlineStr">
        <is>
          <t>EQ-USI-005</t>
        </is>
      </c>
      <c r="C184" s="9">
        <f>IF(B184="","",IFERROR(INDEX('Équipements'!$B$5:$B$304,MATCH(B184,'Équipements'!$A$5:$A$304,0)),"Code inconnu"))</f>
        <v/>
      </c>
      <c r="D184" s="67" t="n">
        <v>19370</v>
      </c>
      <c r="E184" s="7" t="inlineStr">
        <is>
          <t>Nadia Rousseau</t>
        </is>
      </c>
      <c r="F184" s="68">
        <f>IF(OR(B184="",A184=""),"",IF(COUNTIFS('Relevés compteurs'!$B$5:$B$1504,B184,'Relevés compteurs'!$A$5:$A$1504,"&lt;"&amp;A184)=0,"",D184-_xlfn.MAXIFS('Relevés compteurs'!$D$5:$D$1504,'Relevés compteurs'!$B$5:$B$1504,B184,'Relevés compteurs'!$A$5:$A$1504,"&lt;"&amp;A184)))</f>
        <v/>
      </c>
    </row>
    <row r="185">
      <c r="A185" s="65" t="n">
        <v>46023</v>
      </c>
      <c r="B185" s="7" t="inlineStr">
        <is>
          <t>EQ-UTI-001</t>
        </is>
      </c>
      <c r="C185" s="9">
        <f>IF(B185="","",IFERROR(INDEX('Équipements'!$B$5:$B$304,MATCH(B185,'Équipements'!$A$5:$A$304,0)),"Code inconnu"))</f>
        <v/>
      </c>
      <c r="D185" s="67" t="n">
        <v>40851</v>
      </c>
      <c r="E185" s="7" t="inlineStr">
        <is>
          <t>Ronde maintenance</t>
        </is>
      </c>
      <c r="F185" s="68">
        <f>IF(OR(B185="",A185=""),"",IF(COUNTIFS('Relevés compteurs'!$B$5:$B$1504,B185,'Relevés compteurs'!$A$5:$A$1504,"&lt;"&amp;A185)=0,"",D185-_xlfn.MAXIFS('Relevés compteurs'!$D$5:$D$1504,'Relevés compteurs'!$B$5:$B$1504,B185,'Relevés compteurs'!$A$5:$A$1504,"&lt;"&amp;A185)))</f>
        <v/>
      </c>
    </row>
    <row r="186">
      <c r="A186" s="65" t="n">
        <v>46023</v>
      </c>
      <c r="B186" s="7" t="inlineStr">
        <is>
          <t>EQ-UTI-002</t>
        </is>
      </c>
      <c r="C186" s="9">
        <f>IF(B186="","",IFERROR(INDEX('Équipements'!$B$5:$B$304,MATCH(B186,'Équipements'!$A$5:$A$304,0)),"Code inconnu"))</f>
        <v/>
      </c>
      <c r="D186" s="67" t="n">
        <v>33805</v>
      </c>
      <c r="E186" s="7" t="inlineStr">
        <is>
          <t>Ronde maintenance</t>
        </is>
      </c>
      <c r="F186" s="68">
        <f>IF(OR(B186="",A186=""),"",IF(COUNTIFS('Relevés compteurs'!$B$5:$B$1504,B186,'Relevés compteurs'!$A$5:$A$1504,"&lt;"&amp;A186)=0,"",D186-_xlfn.MAXIFS('Relevés compteurs'!$D$5:$D$1504,'Relevés compteurs'!$B$5:$B$1504,B186,'Relevés compteurs'!$A$5:$A$1504,"&lt;"&amp;A186)))</f>
        <v/>
      </c>
    </row>
    <row r="187">
      <c r="A187" s="65" t="n">
        <v>46055</v>
      </c>
      <c r="B187" s="7" t="inlineStr">
        <is>
          <t>EQ-LOG-001</t>
        </is>
      </c>
      <c r="C187" s="9">
        <f>IF(B187="","",IFERROR(INDEX('Équipements'!$B$5:$B$304,MATCH(B187,'Équipements'!$A$5:$A$304,0)),"Code inconnu"))</f>
        <v/>
      </c>
      <c r="D187" s="67" t="n">
        <v>18084</v>
      </c>
      <c r="E187" s="7" t="inlineStr">
        <is>
          <t>Lucas Fontaine</t>
        </is>
      </c>
      <c r="F187" s="68">
        <f>IF(OR(B187="",A187=""),"",IF(COUNTIFS('Relevés compteurs'!$B$5:$B$1504,B187,'Relevés compteurs'!$A$5:$A$1504,"&lt;"&amp;A187)=0,"",D187-_xlfn.MAXIFS('Relevés compteurs'!$D$5:$D$1504,'Relevés compteurs'!$B$5:$B$1504,B187,'Relevés compteurs'!$A$5:$A$1504,"&lt;"&amp;A187)))</f>
        <v/>
      </c>
    </row>
    <row r="188">
      <c r="A188" s="65" t="n">
        <v>46055</v>
      </c>
      <c r="B188" s="7" t="inlineStr">
        <is>
          <t>EQ-LOG-002</t>
        </is>
      </c>
      <c r="C188" s="9">
        <f>IF(B188="","",IFERROR(INDEX('Équipements'!$B$5:$B$304,MATCH(B188,'Équipements'!$A$5:$A$304,0)),"Code inconnu"))</f>
        <v/>
      </c>
      <c r="D188" s="67" t="n">
        <v>25621</v>
      </c>
      <c r="E188" s="7" t="inlineStr">
        <is>
          <t>Lucas Fontaine</t>
        </is>
      </c>
      <c r="F188" s="68">
        <f>IF(OR(B188="",A188=""),"",IF(COUNTIFS('Relevés compteurs'!$B$5:$B$1504,B188,'Relevés compteurs'!$A$5:$A$1504,"&lt;"&amp;A188)=0,"",D188-_xlfn.MAXIFS('Relevés compteurs'!$D$5:$D$1504,'Relevés compteurs'!$B$5:$B$1504,B188,'Relevés compteurs'!$A$5:$A$1504,"&lt;"&amp;A188)))</f>
        <v/>
      </c>
    </row>
    <row r="189">
      <c r="A189" s="65" t="n">
        <v>46055</v>
      </c>
      <c r="B189" s="7" t="inlineStr">
        <is>
          <t>EQ-LOG-003</t>
        </is>
      </c>
      <c r="C189" s="9">
        <f>IF(B189="","",IFERROR(INDEX('Équipements'!$B$5:$B$304,MATCH(B189,'Équipements'!$A$5:$A$304,0)),"Code inconnu"))</f>
        <v/>
      </c>
      <c r="D189" s="67" t="n">
        <v>23186</v>
      </c>
      <c r="E189" s="7" t="inlineStr">
        <is>
          <t>Lucas Fontaine</t>
        </is>
      </c>
      <c r="F189" s="68">
        <f>IF(OR(B189="",A189=""),"",IF(COUNTIFS('Relevés compteurs'!$B$5:$B$1504,B189,'Relevés compteurs'!$A$5:$A$1504,"&lt;"&amp;A189)=0,"",D189-_xlfn.MAXIFS('Relevés compteurs'!$D$5:$D$1504,'Relevés compteurs'!$B$5:$B$1504,B189,'Relevés compteurs'!$A$5:$A$1504,"&lt;"&amp;A189)))</f>
        <v/>
      </c>
    </row>
    <row r="190">
      <c r="A190" s="65" t="n">
        <v>46055</v>
      </c>
      <c r="B190" s="7" t="inlineStr">
        <is>
          <t>EQ-LOG-005</t>
        </is>
      </c>
      <c r="C190" s="9">
        <f>IF(B190="","",IFERROR(INDEX('Équipements'!$B$5:$B$304,MATCH(B190,'Équipements'!$A$5:$A$304,0)),"Code inconnu"))</f>
        <v/>
      </c>
      <c r="D190" s="67" t="n">
        <v>2995</v>
      </c>
      <c r="E190" s="7" t="inlineStr">
        <is>
          <t>Ronde maintenance</t>
        </is>
      </c>
      <c r="F190" s="68">
        <f>IF(OR(B190="",A190=""),"",IF(COUNTIFS('Relevés compteurs'!$B$5:$B$1504,B190,'Relevés compteurs'!$A$5:$A$1504,"&lt;"&amp;A190)=0,"",D190-_xlfn.MAXIFS('Relevés compteurs'!$D$5:$D$1504,'Relevés compteurs'!$B$5:$B$1504,B190,'Relevés compteurs'!$A$5:$A$1504,"&lt;"&amp;A190)))</f>
        <v/>
      </c>
    </row>
    <row r="191">
      <c r="A191" s="65" t="n">
        <v>46055</v>
      </c>
      <c r="B191" s="7" t="inlineStr">
        <is>
          <t>EQ-SOU-001</t>
        </is>
      </c>
      <c r="C191" s="9">
        <f>IF(B191="","",IFERROR(INDEX('Équipements'!$B$5:$B$304,MATCH(B191,'Équipements'!$A$5:$A$304,0)),"Code inconnu"))</f>
        <v/>
      </c>
      <c r="D191" s="67" t="n">
        <v>17437</v>
      </c>
      <c r="E191" s="7" t="inlineStr">
        <is>
          <t>Ronde maintenance</t>
        </is>
      </c>
      <c r="F191" s="68">
        <f>IF(OR(B191="",A191=""),"",IF(COUNTIFS('Relevés compteurs'!$B$5:$B$1504,B191,'Relevés compteurs'!$A$5:$A$1504,"&lt;"&amp;A191)=0,"",D191-_xlfn.MAXIFS('Relevés compteurs'!$D$5:$D$1504,'Relevés compteurs'!$B$5:$B$1504,B191,'Relevés compteurs'!$A$5:$A$1504,"&lt;"&amp;A191)))</f>
        <v/>
      </c>
    </row>
    <row r="192">
      <c r="A192" s="65" t="n">
        <v>46055</v>
      </c>
      <c r="B192" s="7" t="inlineStr">
        <is>
          <t>EQ-TOL-001</t>
        </is>
      </c>
      <c r="C192" s="9">
        <f>IF(B192="","",IFERROR(INDEX('Équipements'!$B$5:$B$304,MATCH(B192,'Équipements'!$A$5:$A$304,0)),"Code inconnu"))</f>
        <v/>
      </c>
      <c r="D192" s="67" t="n">
        <v>17857</v>
      </c>
      <c r="E192" s="7" t="inlineStr">
        <is>
          <t>Nadia Rousseau</t>
        </is>
      </c>
      <c r="F192" s="68">
        <f>IF(OR(B192="",A192=""),"",IF(COUNTIFS('Relevés compteurs'!$B$5:$B$1504,B192,'Relevés compteurs'!$A$5:$A$1504,"&lt;"&amp;A192)=0,"",D192-_xlfn.MAXIFS('Relevés compteurs'!$D$5:$D$1504,'Relevés compteurs'!$B$5:$B$1504,B192,'Relevés compteurs'!$A$5:$A$1504,"&lt;"&amp;A192)))</f>
        <v/>
      </c>
    </row>
    <row r="193">
      <c r="A193" s="65" t="n">
        <v>46055</v>
      </c>
      <c r="B193" s="7" t="inlineStr">
        <is>
          <t>EQ-TOL-002</t>
        </is>
      </c>
      <c r="C193" s="9">
        <f>IF(B193="","",IFERROR(INDEX('Équipements'!$B$5:$B$304,MATCH(B193,'Équipements'!$A$5:$A$304,0)),"Code inconnu"))</f>
        <v/>
      </c>
      <c r="D193" s="67" t="n">
        <v>48384</v>
      </c>
      <c r="E193" s="7" t="inlineStr">
        <is>
          <t>Lucas Fontaine</t>
        </is>
      </c>
      <c r="F193" s="68">
        <f>IF(OR(B193="",A193=""),"",IF(COUNTIFS('Relevés compteurs'!$B$5:$B$1504,B193,'Relevés compteurs'!$A$5:$A$1504,"&lt;"&amp;A193)=0,"",D193-_xlfn.MAXIFS('Relevés compteurs'!$D$5:$D$1504,'Relevés compteurs'!$B$5:$B$1504,B193,'Relevés compteurs'!$A$5:$A$1504,"&lt;"&amp;A193)))</f>
        <v/>
      </c>
    </row>
    <row r="194">
      <c r="A194" s="65" t="n">
        <v>46055</v>
      </c>
      <c r="B194" s="7" t="inlineStr">
        <is>
          <t>EQ-TOL-003</t>
        </is>
      </c>
      <c r="C194" s="9">
        <f>IF(B194="","",IFERROR(INDEX('Équipements'!$B$5:$B$304,MATCH(B194,'Équipements'!$A$5:$A$304,0)),"Code inconnu"))</f>
        <v/>
      </c>
      <c r="D194" s="67" t="n">
        <v>22613</v>
      </c>
      <c r="E194" s="7" t="inlineStr">
        <is>
          <t>Nadia Rousseau</t>
        </is>
      </c>
      <c r="F194" s="68">
        <f>IF(OR(B194="",A194=""),"",IF(COUNTIFS('Relevés compteurs'!$B$5:$B$1504,B194,'Relevés compteurs'!$A$5:$A$1504,"&lt;"&amp;A194)=0,"",D194-_xlfn.MAXIFS('Relevés compteurs'!$D$5:$D$1504,'Relevés compteurs'!$B$5:$B$1504,B194,'Relevés compteurs'!$A$5:$A$1504,"&lt;"&amp;A194)))</f>
        <v/>
      </c>
    </row>
    <row r="195">
      <c r="A195" s="65" t="n">
        <v>46055</v>
      </c>
      <c r="B195" s="7" t="inlineStr">
        <is>
          <t>EQ-USI-001</t>
        </is>
      </c>
      <c r="C195" s="9">
        <f>IF(B195="","",IFERROR(INDEX('Équipements'!$B$5:$B$304,MATCH(B195,'Équipements'!$A$5:$A$304,0)),"Code inconnu"))</f>
        <v/>
      </c>
      <c r="D195" s="67" t="n">
        <v>22483</v>
      </c>
      <c r="E195" s="7" t="inlineStr">
        <is>
          <t>Lucas Fontaine</t>
        </is>
      </c>
      <c r="F195" s="68">
        <f>IF(OR(B195="",A195=""),"",IF(COUNTIFS('Relevés compteurs'!$B$5:$B$1504,B195,'Relevés compteurs'!$A$5:$A$1504,"&lt;"&amp;A195)=0,"",D195-_xlfn.MAXIFS('Relevés compteurs'!$D$5:$D$1504,'Relevés compteurs'!$B$5:$B$1504,B195,'Relevés compteurs'!$A$5:$A$1504,"&lt;"&amp;A195)))</f>
        <v/>
      </c>
    </row>
    <row r="196">
      <c r="A196" s="65" t="n">
        <v>46055</v>
      </c>
      <c r="B196" s="7" t="inlineStr">
        <is>
          <t>EQ-USI-002</t>
        </is>
      </c>
      <c r="C196" s="9">
        <f>IF(B196="","",IFERROR(INDEX('Équipements'!$B$5:$B$304,MATCH(B196,'Équipements'!$A$5:$A$304,0)),"Code inconnu"))</f>
        <v/>
      </c>
      <c r="D196" s="67" t="n">
        <v>31427</v>
      </c>
      <c r="E196" s="7" t="inlineStr">
        <is>
          <t>Lucas Fontaine</t>
        </is>
      </c>
      <c r="F196" s="68">
        <f>IF(OR(B196="",A196=""),"",IF(COUNTIFS('Relevés compteurs'!$B$5:$B$1504,B196,'Relevés compteurs'!$A$5:$A$1504,"&lt;"&amp;A196)=0,"",D196-_xlfn.MAXIFS('Relevés compteurs'!$D$5:$D$1504,'Relevés compteurs'!$B$5:$B$1504,B196,'Relevés compteurs'!$A$5:$A$1504,"&lt;"&amp;A196)))</f>
        <v/>
      </c>
    </row>
    <row r="197">
      <c r="A197" s="65" t="n">
        <v>46055</v>
      </c>
      <c r="B197" s="7" t="inlineStr">
        <is>
          <t>EQ-USI-004</t>
        </is>
      </c>
      <c r="C197" s="9">
        <f>IF(B197="","",IFERROR(INDEX('Équipements'!$B$5:$B$304,MATCH(B197,'Équipements'!$A$5:$A$304,0)),"Code inconnu"))</f>
        <v/>
      </c>
      <c r="D197" s="67" t="n">
        <v>36899</v>
      </c>
      <c r="E197" s="7" t="inlineStr">
        <is>
          <t>Ronde maintenance</t>
        </is>
      </c>
      <c r="F197" s="68">
        <f>IF(OR(B197="",A197=""),"",IF(COUNTIFS('Relevés compteurs'!$B$5:$B$1504,B197,'Relevés compteurs'!$A$5:$A$1504,"&lt;"&amp;A197)=0,"",D197-_xlfn.MAXIFS('Relevés compteurs'!$D$5:$D$1504,'Relevés compteurs'!$B$5:$B$1504,B197,'Relevés compteurs'!$A$5:$A$1504,"&lt;"&amp;A197)))</f>
        <v/>
      </c>
    </row>
    <row r="198">
      <c r="A198" s="65" t="n">
        <v>46055</v>
      </c>
      <c r="B198" s="7" t="inlineStr">
        <is>
          <t>EQ-USI-005</t>
        </is>
      </c>
      <c r="C198" s="9">
        <f>IF(B198="","",IFERROR(INDEX('Équipements'!$B$5:$B$304,MATCH(B198,'Équipements'!$A$5:$A$304,0)),"Code inconnu"))</f>
        <v/>
      </c>
      <c r="D198" s="67" t="n">
        <v>19612</v>
      </c>
      <c r="E198" s="7" t="inlineStr">
        <is>
          <t>Nadia Rousseau</t>
        </is>
      </c>
      <c r="F198" s="68">
        <f>IF(OR(B198="",A198=""),"",IF(COUNTIFS('Relevés compteurs'!$B$5:$B$1504,B198,'Relevés compteurs'!$A$5:$A$1504,"&lt;"&amp;A198)=0,"",D198-_xlfn.MAXIFS('Relevés compteurs'!$D$5:$D$1504,'Relevés compteurs'!$B$5:$B$1504,B198,'Relevés compteurs'!$A$5:$A$1504,"&lt;"&amp;A198)))</f>
        <v/>
      </c>
    </row>
    <row r="199">
      <c r="A199" s="65" t="n">
        <v>46055</v>
      </c>
      <c r="B199" s="7" t="inlineStr">
        <is>
          <t>EQ-UTI-001</t>
        </is>
      </c>
      <c r="C199" s="9">
        <f>IF(B199="","",IFERROR(INDEX('Équipements'!$B$5:$B$304,MATCH(B199,'Équipements'!$A$5:$A$304,0)),"Code inconnu"))</f>
        <v/>
      </c>
      <c r="D199" s="67" t="n">
        <v>41259</v>
      </c>
      <c r="E199" s="7" t="inlineStr">
        <is>
          <t>Nadia Rousseau</t>
        </is>
      </c>
      <c r="F199" s="68">
        <f>IF(OR(B199="",A199=""),"",IF(COUNTIFS('Relevés compteurs'!$B$5:$B$1504,B199,'Relevés compteurs'!$A$5:$A$1504,"&lt;"&amp;A199)=0,"",D199-_xlfn.MAXIFS('Relevés compteurs'!$D$5:$D$1504,'Relevés compteurs'!$B$5:$B$1504,B199,'Relevés compteurs'!$A$5:$A$1504,"&lt;"&amp;A199)))</f>
        <v/>
      </c>
    </row>
    <row r="200">
      <c r="A200" s="65" t="n">
        <v>46055</v>
      </c>
      <c r="B200" s="7" t="inlineStr">
        <is>
          <t>EQ-UTI-002</t>
        </is>
      </c>
      <c r="C200" s="9">
        <f>IF(B200="","",IFERROR(INDEX('Équipements'!$B$5:$B$304,MATCH(B200,'Équipements'!$A$5:$A$304,0)),"Code inconnu"))</f>
        <v/>
      </c>
      <c r="D200" s="67" t="n">
        <v>34010</v>
      </c>
      <c r="E200" s="7" t="inlineStr">
        <is>
          <t>Lucas Fontaine</t>
        </is>
      </c>
      <c r="F200" s="68">
        <f>IF(OR(B200="",A200=""),"",IF(COUNTIFS('Relevés compteurs'!$B$5:$B$1504,B200,'Relevés compteurs'!$A$5:$A$1504,"&lt;"&amp;A200)=0,"",D200-_xlfn.MAXIFS('Relevés compteurs'!$D$5:$D$1504,'Relevés compteurs'!$B$5:$B$1504,B200,'Relevés compteurs'!$A$5:$A$1504,"&lt;"&amp;A200)))</f>
        <v/>
      </c>
    </row>
    <row r="201">
      <c r="A201" s="65" t="n">
        <v>46083</v>
      </c>
      <c r="B201" s="7" t="inlineStr">
        <is>
          <t>EQ-LOG-001</t>
        </is>
      </c>
      <c r="C201" s="9">
        <f>IF(B201="","",IFERROR(INDEX('Équipements'!$B$5:$B$304,MATCH(B201,'Équipements'!$A$5:$A$304,0)),"Code inconnu"))</f>
        <v/>
      </c>
      <c r="D201" s="67" t="n">
        <v>18320</v>
      </c>
      <c r="E201" s="7" t="inlineStr">
        <is>
          <t>Lucas Fontaine</t>
        </is>
      </c>
      <c r="F201" s="68">
        <f>IF(OR(B201="",A201=""),"",IF(COUNTIFS('Relevés compteurs'!$B$5:$B$1504,B201,'Relevés compteurs'!$A$5:$A$1504,"&lt;"&amp;A201)=0,"",D201-_xlfn.MAXIFS('Relevés compteurs'!$D$5:$D$1504,'Relevés compteurs'!$B$5:$B$1504,B201,'Relevés compteurs'!$A$5:$A$1504,"&lt;"&amp;A201)))</f>
        <v/>
      </c>
    </row>
    <row r="202">
      <c r="A202" s="65" t="n">
        <v>46083</v>
      </c>
      <c r="B202" s="7" t="inlineStr">
        <is>
          <t>EQ-LOG-002</t>
        </is>
      </c>
      <c r="C202" s="9">
        <f>IF(B202="","",IFERROR(INDEX('Équipements'!$B$5:$B$304,MATCH(B202,'Équipements'!$A$5:$A$304,0)),"Code inconnu"))</f>
        <v/>
      </c>
      <c r="D202" s="67" t="n">
        <v>25823</v>
      </c>
      <c r="E202" s="7" t="inlineStr">
        <is>
          <t>Ronde maintenance</t>
        </is>
      </c>
      <c r="F202" s="68">
        <f>IF(OR(B202="",A202=""),"",IF(COUNTIFS('Relevés compteurs'!$B$5:$B$1504,B202,'Relevés compteurs'!$A$5:$A$1504,"&lt;"&amp;A202)=0,"",D202-_xlfn.MAXIFS('Relevés compteurs'!$D$5:$D$1504,'Relevés compteurs'!$B$5:$B$1504,B202,'Relevés compteurs'!$A$5:$A$1504,"&lt;"&amp;A202)))</f>
        <v/>
      </c>
    </row>
    <row r="203">
      <c r="A203" s="65" t="n">
        <v>46083</v>
      </c>
      <c r="B203" s="7" t="inlineStr">
        <is>
          <t>EQ-LOG-003</t>
        </is>
      </c>
      <c r="C203" s="9">
        <f>IF(B203="","",IFERROR(INDEX('Équipements'!$B$5:$B$304,MATCH(B203,'Équipements'!$A$5:$A$304,0)),"Code inconnu"))</f>
        <v/>
      </c>
      <c r="D203" s="67" t="n">
        <v>23349</v>
      </c>
      <c r="E203" s="7" t="inlineStr">
        <is>
          <t>Nadia Rousseau</t>
        </is>
      </c>
      <c r="F203" s="68">
        <f>IF(OR(B203="",A203=""),"",IF(COUNTIFS('Relevés compteurs'!$B$5:$B$1504,B203,'Relevés compteurs'!$A$5:$A$1504,"&lt;"&amp;A203)=0,"",D203-_xlfn.MAXIFS('Relevés compteurs'!$D$5:$D$1504,'Relevés compteurs'!$B$5:$B$1504,B203,'Relevés compteurs'!$A$5:$A$1504,"&lt;"&amp;A203)))</f>
        <v/>
      </c>
    </row>
    <row r="204">
      <c r="A204" s="65" t="n">
        <v>46083</v>
      </c>
      <c r="B204" s="7" t="inlineStr">
        <is>
          <t>EQ-LOG-005</t>
        </is>
      </c>
      <c r="C204" s="9">
        <f>IF(B204="","",IFERROR(INDEX('Équipements'!$B$5:$B$304,MATCH(B204,'Équipements'!$A$5:$A$304,0)),"Code inconnu"))</f>
        <v/>
      </c>
      <c r="D204" s="67" t="n">
        <v>3023</v>
      </c>
      <c r="E204" s="7" t="inlineStr">
        <is>
          <t>Lucas Fontaine</t>
        </is>
      </c>
      <c r="F204" s="68">
        <f>IF(OR(B204="",A204=""),"",IF(COUNTIFS('Relevés compteurs'!$B$5:$B$1504,B204,'Relevés compteurs'!$A$5:$A$1504,"&lt;"&amp;A204)=0,"",D204-_xlfn.MAXIFS('Relevés compteurs'!$D$5:$D$1504,'Relevés compteurs'!$B$5:$B$1504,B204,'Relevés compteurs'!$A$5:$A$1504,"&lt;"&amp;A204)))</f>
        <v/>
      </c>
    </row>
    <row r="205">
      <c r="A205" s="65" t="n">
        <v>46083</v>
      </c>
      <c r="B205" s="7" t="inlineStr">
        <is>
          <t>EQ-SOU-001</t>
        </is>
      </c>
      <c r="C205" s="9">
        <f>IF(B205="","",IFERROR(INDEX('Équipements'!$B$5:$B$304,MATCH(B205,'Équipements'!$A$5:$A$304,0)),"Code inconnu"))</f>
        <v/>
      </c>
      <c r="D205" s="67" t="n">
        <v>17739</v>
      </c>
      <c r="E205" s="7" t="inlineStr">
        <is>
          <t>Ronde maintenance</t>
        </is>
      </c>
      <c r="F205" s="68">
        <f>IF(OR(B205="",A205=""),"",IF(COUNTIFS('Relevés compteurs'!$B$5:$B$1504,B205,'Relevés compteurs'!$A$5:$A$1504,"&lt;"&amp;A205)=0,"",D205-_xlfn.MAXIFS('Relevés compteurs'!$D$5:$D$1504,'Relevés compteurs'!$B$5:$B$1504,B205,'Relevés compteurs'!$A$5:$A$1504,"&lt;"&amp;A205)))</f>
        <v/>
      </c>
    </row>
    <row r="206">
      <c r="A206" s="65" t="n">
        <v>46083</v>
      </c>
      <c r="B206" s="7" t="inlineStr">
        <is>
          <t>EQ-TOL-001</t>
        </is>
      </c>
      <c r="C206" s="9">
        <f>IF(B206="","",IFERROR(INDEX('Équipements'!$B$5:$B$304,MATCH(B206,'Équipements'!$A$5:$A$304,0)),"Code inconnu"))</f>
        <v/>
      </c>
      <c r="D206" s="67" t="n">
        <v>18136</v>
      </c>
      <c r="E206" s="7" t="inlineStr">
        <is>
          <t>Nadia Rousseau</t>
        </is>
      </c>
      <c r="F206" s="68">
        <f>IF(OR(B206="",A206=""),"",IF(COUNTIFS('Relevés compteurs'!$B$5:$B$1504,B206,'Relevés compteurs'!$A$5:$A$1504,"&lt;"&amp;A206)=0,"",D206-_xlfn.MAXIFS('Relevés compteurs'!$D$5:$D$1504,'Relevés compteurs'!$B$5:$B$1504,B206,'Relevés compteurs'!$A$5:$A$1504,"&lt;"&amp;A206)))</f>
        <v/>
      </c>
    </row>
    <row r="207">
      <c r="A207" s="65" t="n">
        <v>46083</v>
      </c>
      <c r="B207" s="7" t="inlineStr">
        <is>
          <t>EQ-TOL-002</t>
        </is>
      </c>
      <c r="C207" s="9">
        <f>IF(B207="","",IFERROR(INDEX('Équipements'!$B$5:$B$304,MATCH(B207,'Équipements'!$A$5:$A$304,0)),"Code inconnu"))</f>
        <v/>
      </c>
      <c r="D207" s="67" t="n">
        <v>48667</v>
      </c>
      <c r="E207" s="7" t="inlineStr">
        <is>
          <t>Lucas Fontaine</t>
        </is>
      </c>
      <c r="F207" s="68">
        <f>IF(OR(B207="",A207=""),"",IF(COUNTIFS('Relevés compteurs'!$B$5:$B$1504,B207,'Relevés compteurs'!$A$5:$A$1504,"&lt;"&amp;A207)=0,"",D207-_xlfn.MAXIFS('Relevés compteurs'!$D$5:$D$1504,'Relevés compteurs'!$B$5:$B$1504,B207,'Relevés compteurs'!$A$5:$A$1504,"&lt;"&amp;A207)))</f>
        <v/>
      </c>
    </row>
    <row r="208">
      <c r="A208" s="65" t="n">
        <v>46083</v>
      </c>
      <c r="B208" s="7" t="inlineStr">
        <is>
          <t>EQ-TOL-003</t>
        </is>
      </c>
      <c r="C208" s="9">
        <f>IF(B208="","",IFERROR(INDEX('Équipements'!$B$5:$B$304,MATCH(B208,'Équipements'!$A$5:$A$304,0)),"Code inconnu"))</f>
        <v/>
      </c>
      <c r="D208" s="67" t="n">
        <v>22842</v>
      </c>
      <c r="E208" s="7" t="inlineStr">
        <is>
          <t>Nadia Rousseau</t>
        </is>
      </c>
      <c r="F208" s="68">
        <f>IF(OR(B208="",A208=""),"",IF(COUNTIFS('Relevés compteurs'!$B$5:$B$1504,B208,'Relevés compteurs'!$A$5:$A$1504,"&lt;"&amp;A208)=0,"",D208-_xlfn.MAXIFS('Relevés compteurs'!$D$5:$D$1504,'Relevés compteurs'!$B$5:$B$1504,B208,'Relevés compteurs'!$A$5:$A$1504,"&lt;"&amp;A208)))</f>
        <v/>
      </c>
    </row>
    <row r="209">
      <c r="A209" s="65" t="n">
        <v>46083</v>
      </c>
      <c r="B209" s="7" t="inlineStr">
        <is>
          <t>EQ-USI-001</t>
        </is>
      </c>
      <c r="C209" s="9">
        <f>IF(B209="","",IFERROR(INDEX('Équipements'!$B$5:$B$304,MATCH(B209,'Équipements'!$A$5:$A$304,0)),"Code inconnu"))</f>
        <v/>
      </c>
      <c r="D209" s="67" t="n">
        <v>22772</v>
      </c>
      <c r="E209" s="7" t="inlineStr">
        <is>
          <t>Ronde maintenance</t>
        </is>
      </c>
      <c r="F209" s="68">
        <f>IF(OR(B209="",A209=""),"",IF(COUNTIFS('Relevés compteurs'!$B$5:$B$1504,B209,'Relevés compteurs'!$A$5:$A$1504,"&lt;"&amp;A209)=0,"",D209-_xlfn.MAXIFS('Relevés compteurs'!$D$5:$D$1504,'Relevés compteurs'!$B$5:$B$1504,B209,'Relevés compteurs'!$A$5:$A$1504,"&lt;"&amp;A209)))</f>
        <v/>
      </c>
    </row>
    <row r="210">
      <c r="A210" s="65" t="n">
        <v>46083</v>
      </c>
      <c r="B210" s="7" t="inlineStr">
        <is>
          <t>EQ-USI-002</t>
        </is>
      </c>
      <c r="C210" s="9">
        <f>IF(B210="","",IFERROR(INDEX('Équipements'!$B$5:$B$304,MATCH(B210,'Équipements'!$A$5:$A$304,0)),"Code inconnu"))</f>
        <v/>
      </c>
      <c r="D210" s="67" t="n">
        <v>31680</v>
      </c>
      <c r="E210" s="7" t="inlineStr">
        <is>
          <t>Ronde maintenance</t>
        </is>
      </c>
      <c r="F210" s="68">
        <f>IF(OR(B210="",A210=""),"",IF(COUNTIFS('Relevés compteurs'!$B$5:$B$1504,B210,'Relevés compteurs'!$A$5:$A$1504,"&lt;"&amp;A210)=0,"",D210-_xlfn.MAXIFS('Relevés compteurs'!$D$5:$D$1504,'Relevés compteurs'!$B$5:$B$1504,B210,'Relevés compteurs'!$A$5:$A$1504,"&lt;"&amp;A210)))</f>
        <v/>
      </c>
    </row>
    <row r="211">
      <c r="A211" s="65" t="n">
        <v>46083</v>
      </c>
      <c r="B211" s="7" t="inlineStr">
        <is>
          <t>EQ-USI-004</t>
        </is>
      </c>
      <c r="C211" s="9">
        <f>IF(B211="","",IFERROR(INDEX('Équipements'!$B$5:$B$304,MATCH(B211,'Équipements'!$A$5:$A$304,0)),"Code inconnu"))</f>
        <v/>
      </c>
      <c r="D211" s="67" t="n">
        <v>37200</v>
      </c>
      <c r="E211" s="7" t="inlineStr">
        <is>
          <t>Ronde maintenance</t>
        </is>
      </c>
      <c r="F211" s="68">
        <f>IF(OR(B211="",A211=""),"",IF(COUNTIFS('Relevés compteurs'!$B$5:$B$1504,B211,'Relevés compteurs'!$A$5:$A$1504,"&lt;"&amp;A211)=0,"",D211-_xlfn.MAXIFS('Relevés compteurs'!$D$5:$D$1504,'Relevés compteurs'!$B$5:$B$1504,B211,'Relevés compteurs'!$A$5:$A$1504,"&lt;"&amp;A211)))</f>
        <v/>
      </c>
    </row>
    <row r="212">
      <c r="A212" s="65" t="n">
        <v>46083</v>
      </c>
      <c r="B212" s="7" t="inlineStr">
        <is>
          <t>EQ-USI-005</t>
        </is>
      </c>
      <c r="C212" s="9">
        <f>IF(B212="","",IFERROR(INDEX('Équipements'!$B$5:$B$304,MATCH(B212,'Équipements'!$A$5:$A$304,0)),"Code inconnu"))</f>
        <v/>
      </c>
      <c r="D212" s="67" t="n">
        <v>19922</v>
      </c>
      <c r="E212" s="7" t="inlineStr">
        <is>
          <t>Lucas Fontaine</t>
        </is>
      </c>
      <c r="F212" s="68">
        <f>IF(OR(B212="",A212=""),"",IF(COUNTIFS('Relevés compteurs'!$B$5:$B$1504,B212,'Relevés compteurs'!$A$5:$A$1504,"&lt;"&amp;A212)=0,"",D212-_xlfn.MAXIFS('Relevés compteurs'!$D$5:$D$1504,'Relevés compteurs'!$B$5:$B$1504,B212,'Relevés compteurs'!$A$5:$A$1504,"&lt;"&amp;A212)))</f>
        <v/>
      </c>
    </row>
    <row r="213">
      <c r="A213" s="65" t="n">
        <v>46083</v>
      </c>
      <c r="B213" s="7" t="inlineStr">
        <is>
          <t>EQ-UTI-001</t>
        </is>
      </c>
      <c r="C213" s="9">
        <f>IF(B213="","",IFERROR(INDEX('Équipements'!$B$5:$B$304,MATCH(B213,'Équipements'!$A$5:$A$304,0)),"Code inconnu"))</f>
        <v/>
      </c>
      <c r="D213" s="67" t="n">
        <v>41727</v>
      </c>
      <c r="E213" s="7" t="inlineStr">
        <is>
          <t>Nadia Rousseau</t>
        </is>
      </c>
      <c r="F213" s="68">
        <f>IF(OR(B213="",A213=""),"",IF(COUNTIFS('Relevés compteurs'!$B$5:$B$1504,B213,'Relevés compteurs'!$A$5:$A$1504,"&lt;"&amp;A213)=0,"",D213-_xlfn.MAXIFS('Relevés compteurs'!$D$5:$D$1504,'Relevés compteurs'!$B$5:$B$1504,B213,'Relevés compteurs'!$A$5:$A$1504,"&lt;"&amp;A213)))</f>
        <v/>
      </c>
    </row>
    <row r="214">
      <c r="A214" s="65" t="n">
        <v>46083</v>
      </c>
      <c r="B214" s="7" t="inlineStr">
        <is>
          <t>EQ-UTI-002</t>
        </is>
      </c>
      <c r="C214" s="9">
        <f>IF(B214="","",IFERROR(INDEX('Équipements'!$B$5:$B$304,MATCH(B214,'Équipements'!$A$5:$A$304,0)),"Code inconnu"))</f>
        <v/>
      </c>
      <c r="D214" s="67" t="n">
        <v>34213</v>
      </c>
      <c r="E214" s="7" t="inlineStr">
        <is>
          <t>Ronde maintenance</t>
        </is>
      </c>
      <c r="F214" s="68">
        <f>IF(OR(B214="",A214=""),"",IF(COUNTIFS('Relevés compteurs'!$B$5:$B$1504,B214,'Relevés compteurs'!$A$5:$A$1504,"&lt;"&amp;A214)=0,"",D214-_xlfn.MAXIFS('Relevés compteurs'!$D$5:$D$1504,'Relevés compteurs'!$B$5:$B$1504,B214,'Relevés compteurs'!$A$5:$A$1504,"&lt;"&amp;A214)))</f>
        <v/>
      </c>
    </row>
    <row r="215">
      <c r="A215" s="65" t="n">
        <v>46113</v>
      </c>
      <c r="B215" s="7" t="inlineStr">
        <is>
          <t>EQ-LOG-001</t>
        </is>
      </c>
      <c r="C215" s="9">
        <f>IF(B215="","",IFERROR(INDEX('Équipements'!$B$5:$B$304,MATCH(B215,'Équipements'!$A$5:$A$304,0)),"Code inconnu"))</f>
        <v/>
      </c>
      <c r="D215" s="67" t="n">
        <v>18517</v>
      </c>
      <c r="E215" s="7" t="inlineStr">
        <is>
          <t>Lucas Fontaine</t>
        </is>
      </c>
      <c r="F215" s="68">
        <f>IF(OR(B215="",A215=""),"",IF(COUNTIFS('Relevés compteurs'!$B$5:$B$1504,B215,'Relevés compteurs'!$A$5:$A$1504,"&lt;"&amp;A215)=0,"",D215-_xlfn.MAXIFS('Relevés compteurs'!$D$5:$D$1504,'Relevés compteurs'!$B$5:$B$1504,B215,'Relevés compteurs'!$A$5:$A$1504,"&lt;"&amp;A215)))</f>
        <v/>
      </c>
    </row>
    <row r="216">
      <c r="A216" s="65" t="n">
        <v>46113</v>
      </c>
      <c r="B216" s="7" t="inlineStr">
        <is>
          <t>EQ-LOG-002</t>
        </is>
      </c>
      <c r="C216" s="9">
        <f>IF(B216="","",IFERROR(INDEX('Équipements'!$B$5:$B$304,MATCH(B216,'Équipements'!$A$5:$A$304,0)),"Code inconnu"))</f>
        <v/>
      </c>
      <c r="D216" s="67" t="n">
        <v>26012</v>
      </c>
      <c r="E216" s="7" t="inlineStr">
        <is>
          <t>Nadia Rousseau</t>
        </is>
      </c>
      <c r="F216" s="68">
        <f>IF(OR(B216="",A216=""),"",IF(COUNTIFS('Relevés compteurs'!$B$5:$B$1504,B216,'Relevés compteurs'!$A$5:$A$1504,"&lt;"&amp;A216)=0,"",D216-_xlfn.MAXIFS('Relevés compteurs'!$D$5:$D$1504,'Relevés compteurs'!$B$5:$B$1504,B216,'Relevés compteurs'!$A$5:$A$1504,"&lt;"&amp;A216)))</f>
        <v/>
      </c>
    </row>
    <row r="217">
      <c r="A217" s="65" t="n">
        <v>46113</v>
      </c>
      <c r="B217" s="7" t="inlineStr">
        <is>
          <t>EQ-LOG-003</t>
        </is>
      </c>
      <c r="C217" s="9">
        <f>IF(B217="","",IFERROR(INDEX('Équipements'!$B$5:$B$304,MATCH(B217,'Équipements'!$A$5:$A$304,0)),"Code inconnu"))</f>
        <v/>
      </c>
      <c r="D217" s="67" t="n">
        <v>23507</v>
      </c>
      <c r="E217" s="7" t="inlineStr">
        <is>
          <t>Nadia Rousseau</t>
        </is>
      </c>
      <c r="F217" s="68">
        <f>IF(OR(B217="",A217=""),"",IF(COUNTIFS('Relevés compteurs'!$B$5:$B$1504,B217,'Relevés compteurs'!$A$5:$A$1504,"&lt;"&amp;A217)=0,"",D217-_xlfn.MAXIFS('Relevés compteurs'!$D$5:$D$1504,'Relevés compteurs'!$B$5:$B$1504,B217,'Relevés compteurs'!$A$5:$A$1504,"&lt;"&amp;A217)))</f>
        <v/>
      </c>
    </row>
    <row r="218">
      <c r="A218" s="65" t="n">
        <v>46113</v>
      </c>
      <c r="B218" s="7" t="inlineStr">
        <is>
          <t>EQ-LOG-005</t>
        </is>
      </c>
      <c r="C218" s="9">
        <f>IF(B218="","",IFERROR(INDEX('Équipements'!$B$5:$B$304,MATCH(B218,'Équipements'!$A$5:$A$304,0)),"Code inconnu"))</f>
        <v/>
      </c>
      <c r="D218" s="67" t="n">
        <v>3051</v>
      </c>
      <c r="E218" s="7" t="inlineStr">
        <is>
          <t>Nadia Rousseau</t>
        </is>
      </c>
      <c r="F218" s="68">
        <f>IF(OR(B218="",A218=""),"",IF(COUNTIFS('Relevés compteurs'!$B$5:$B$1504,B218,'Relevés compteurs'!$A$5:$A$1504,"&lt;"&amp;A218)=0,"",D218-_xlfn.MAXIFS('Relevés compteurs'!$D$5:$D$1504,'Relevés compteurs'!$B$5:$B$1504,B218,'Relevés compteurs'!$A$5:$A$1504,"&lt;"&amp;A218)))</f>
        <v/>
      </c>
    </row>
    <row r="219">
      <c r="A219" s="65" t="n">
        <v>46113</v>
      </c>
      <c r="B219" s="7" t="inlineStr">
        <is>
          <t>EQ-SOU-001</t>
        </is>
      </c>
      <c r="C219" s="9">
        <f>IF(B219="","",IFERROR(INDEX('Équipements'!$B$5:$B$304,MATCH(B219,'Équipements'!$A$5:$A$304,0)),"Code inconnu"))</f>
        <v/>
      </c>
      <c r="D219" s="67" t="n">
        <v>18055</v>
      </c>
      <c r="E219" s="7" t="inlineStr">
        <is>
          <t>Ronde maintenance</t>
        </is>
      </c>
      <c r="F219" s="68">
        <f>IF(OR(B219="",A219=""),"",IF(COUNTIFS('Relevés compteurs'!$B$5:$B$1504,B219,'Relevés compteurs'!$A$5:$A$1504,"&lt;"&amp;A219)=0,"",D219-_xlfn.MAXIFS('Relevés compteurs'!$D$5:$D$1504,'Relevés compteurs'!$B$5:$B$1504,B219,'Relevés compteurs'!$A$5:$A$1504,"&lt;"&amp;A219)))</f>
        <v/>
      </c>
    </row>
    <row r="220">
      <c r="A220" s="65" t="n">
        <v>46113</v>
      </c>
      <c r="B220" s="7" t="inlineStr">
        <is>
          <t>EQ-TOL-001</t>
        </is>
      </c>
      <c r="C220" s="9">
        <f>IF(B220="","",IFERROR(INDEX('Équipements'!$B$5:$B$304,MATCH(B220,'Équipements'!$A$5:$A$304,0)),"Code inconnu"))</f>
        <v/>
      </c>
      <c r="D220" s="67" t="n">
        <v>18431</v>
      </c>
      <c r="E220" s="7" t="inlineStr">
        <is>
          <t>Lucas Fontaine</t>
        </is>
      </c>
      <c r="F220" s="68">
        <f>IF(OR(B220="",A220=""),"",IF(COUNTIFS('Relevés compteurs'!$B$5:$B$1504,B220,'Relevés compteurs'!$A$5:$A$1504,"&lt;"&amp;A220)=0,"",D220-_xlfn.MAXIFS('Relevés compteurs'!$D$5:$D$1504,'Relevés compteurs'!$B$5:$B$1504,B220,'Relevés compteurs'!$A$5:$A$1504,"&lt;"&amp;A220)))</f>
        <v/>
      </c>
    </row>
    <row r="221">
      <c r="A221" s="65" t="n">
        <v>46113</v>
      </c>
      <c r="B221" s="7" t="inlineStr">
        <is>
          <t>EQ-TOL-002</t>
        </is>
      </c>
      <c r="C221" s="9">
        <f>IF(B221="","",IFERROR(INDEX('Équipements'!$B$5:$B$304,MATCH(B221,'Équipements'!$A$5:$A$304,0)),"Code inconnu"))</f>
        <v/>
      </c>
      <c r="D221" s="67" t="n">
        <v>48961</v>
      </c>
      <c r="E221" s="7" t="inlineStr">
        <is>
          <t>Lucas Fontaine</t>
        </is>
      </c>
      <c r="F221" s="68">
        <f>IF(OR(B221="",A221=""),"",IF(COUNTIFS('Relevés compteurs'!$B$5:$B$1504,B221,'Relevés compteurs'!$A$5:$A$1504,"&lt;"&amp;A221)=0,"",D221-_xlfn.MAXIFS('Relevés compteurs'!$D$5:$D$1504,'Relevés compteurs'!$B$5:$B$1504,B221,'Relevés compteurs'!$A$5:$A$1504,"&lt;"&amp;A221)))</f>
        <v/>
      </c>
    </row>
    <row r="222">
      <c r="A222" s="65" t="n">
        <v>46113</v>
      </c>
      <c r="B222" s="7" t="inlineStr">
        <is>
          <t>EQ-TOL-003</t>
        </is>
      </c>
      <c r="C222" s="9">
        <f>IF(B222="","",IFERROR(INDEX('Équipements'!$B$5:$B$304,MATCH(B222,'Équipements'!$A$5:$A$304,0)),"Code inconnu"))</f>
        <v/>
      </c>
      <c r="D222" s="67" t="n">
        <v>23120</v>
      </c>
      <c r="E222" s="7" t="inlineStr">
        <is>
          <t>Lucas Fontaine</t>
        </is>
      </c>
      <c r="F222" s="68">
        <f>IF(OR(B222="",A222=""),"",IF(COUNTIFS('Relevés compteurs'!$B$5:$B$1504,B222,'Relevés compteurs'!$A$5:$A$1504,"&lt;"&amp;A222)=0,"",D222-_xlfn.MAXIFS('Relevés compteurs'!$D$5:$D$1504,'Relevés compteurs'!$B$5:$B$1504,B222,'Relevés compteurs'!$A$5:$A$1504,"&lt;"&amp;A222)))</f>
        <v/>
      </c>
    </row>
    <row r="223">
      <c r="A223" s="65" t="n">
        <v>46113</v>
      </c>
      <c r="B223" s="7" t="inlineStr">
        <is>
          <t>EQ-USI-001</t>
        </is>
      </c>
      <c r="C223" s="9">
        <f>IF(B223="","",IFERROR(INDEX('Équipements'!$B$5:$B$304,MATCH(B223,'Équipements'!$A$5:$A$304,0)),"Code inconnu"))</f>
        <v/>
      </c>
      <c r="D223" s="67" t="n">
        <v>23017</v>
      </c>
      <c r="E223" s="7" t="inlineStr">
        <is>
          <t>Ronde maintenance</t>
        </is>
      </c>
      <c r="F223" s="68">
        <f>IF(OR(B223="",A223=""),"",IF(COUNTIFS('Relevés compteurs'!$B$5:$B$1504,B223,'Relevés compteurs'!$A$5:$A$1504,"&lt;"&amp;A223)=0,"",D223-_xlfn.MAXIFS('Relevés compteurs'!$D$5:$D$1504,'Relevés compteurs'!$B$5:$B$1504,B223,'Relevés compteurs'!$A$5:$A$1504,"&lt;"&amp;A223)))</f>
        <v/>
      </c>
    </row>
    <row r="224">
      <c r="A224" s="65" t="n">
        <v>46113</v>
      </c>
      <c r="B224" s="7" t="inlineStr">
        <is>
          <t>EQ-USI-002</t>
        </is>
      </c>
      <c r="C224" s="9">
        <f>IF(B224="","",IFERROR(INDEX('Équipements'!$B$5:$B$304,MATCH(B224,'Équipements'!$A$5:$A$304,0)),"Code inconnu"))</f>
        <v/>
      </c>
      <c r="D224" s="67" t="n">
        <v>31960</v>
      </c>
      <c r="E224" s="7" t="inlineStr">
        <is>
          <t>Lucas Fontaine</t>
        </is>
      </c>
      <c r="F224" s="68">
        <f>IF(OR(B224="",A224=""),"",IF(COUNTIFS('Relevés compteurs'!$B$5:$B$1504,B224,'Relevés compteurs'!$A$5:$A$1504,"&lt;"&amp;A224)=0,"",D224-_xlfn.MAXIFS('Relevés compteurs'!$D$5:$D$1504,'Relevés compteurs'!$B$5:$B$1504,B224,'Relevés compteurs'!$A$5:$A$1504,"&lt;"&amp;A224)))</f>
        <v/>
      </c>
    </row>
    <row r="225">
      <c r="A225" s="65" t="n">
        <v>46113</v>
      </c>
      <c r="B225" s="7" t="inlineStr">
        <is>
          <t>EQ-USI-004</t>
        </is>
      </c>
      <c r="C225" s="9">
        <f>IF(B225="","",IFERROR(INDEX('Équipements'!$B$5:$B$304,MATCH(B225,'Équipements'!$A$5:$A$304,0)),"Code inconnu"))</f>
        <v/>
      </c>
      <c r="D225" s="67" t="n">
        <v>37472</v>
      </c>
      <c r="E225" s="7" t="inlineStr">
        <is>
          <t>Ronde maintenance</t>
        </is>
      </c>
      <c r="F225" s="68">
        <f>IF(OR(B225="",A225=""),"",IF(COUNTIFS('Relevés compteurs'!$B$5:$B$1504,B225,'Relevés compteurs'!$A$5:$A$1504,"&lt;"&amp;A225)=0,"",D225-_xlfn.MAXIFS('Relevés compteurs'!$D$5:$D$1504,'Relevés compteurs'!$B$5:$B$1504,B225,'Relevés compteurs'!$A$5:$A$1504,"&lt;"&amp;A225)))</f>
        <v/>
      </c>
    </row>
    <row r="226">
      <c r="A226" s="65" t="n">
        <v>46113</v>
      </c>
      <c r="B226" s="7" t="inlineStr">
        <is>
          <t>EQ-USI-005</t>
        </is>
      </c>
      <c r="C226" s="9">
        <f>IF(B226="","",IFERROR(INDEX('Équipements'!$B$5:$B$304,MATCH(B226,'Équipements'!$A$5:$A$304,0)),"Code inconnu"))</f>
        <v/>
      </c>
      <c r="D226" s="67" t="n">
        <v>20233</v>
      </c>
      <c r="E226" s="7" t="inlineStr">
        <is>
          <t>Lucas Fontaine</t>
        </is>
      </c>
      <c r="F226" s="68">
        <f>IF(OR(B226="",A226=""),"",IF(COUNTIFS('Relevés compteurs'!$B$5:$B$1504,B226,'Relevés compteurs'!$A$5:$A$1504,"&lt;"&amp;A226)=0,"",D226-_xlfn.MAXIFS('Relevés compteurs'!$D$5:$D$1504,'Relevés compteurs'!$B$5:$B$1504,B226,'Relevés compteurs'!$A$5:$A$1504,"&lt;"&amp;A226)))</f>
        <v/>
      </c>
    </row>
    <row r="227">
      <c r="A227" s="65" t="n">
        <v>46113</v>
      </c>
      <c r="B227" s="7" t="inlineStr">
        <is>
          <t>EQ-UTI-001</t>
        </is>
      </c>
      <c r="C227" s="9">
        <f>IF(B227="","",IFERROR(INDEX('Équipements'!$B$5:$B$304,MATCH(B227,'Équipements'!$A$5:$A$304,0)),"Code inconnu"))</f>
        <v/>
      </c>
      <c r="D227" s="67" t="n">
        <v>42154</v>
      </c>
      <c r="E227" s="7" t="inlineStr">
        <is>
          <t>Ronde maintenance</t>
        </is>
      </c>
      <c r="F227" s="68">
        <f>IF(OR(B227="",A227=""),"",IF(COUNTIFS('Relevés compteurs'!$B$5:$B$1504,B227,'Relevés compteurs'!$A$5:$A$1504,"&lt;"&amp;A227)=0,"",D227-_xlfn.MAXIFS('Relevés compteurs'!$D$5:$D$1504,'Relevés compteurs'!$B$5:$B$1504,B227,'Relevés compteurs'!$A$5:$A$1504,"&lt;"&amp;A227)))</f>
        <v/>
      </c>
    </row>
    <row r="228">
      <c r="A228" s="65" t="n">
        <v>46113</v>
      </c>
      <c r="B228" s="7" t="inlineStr">
        <is>
          <t>EQ-UTI-002</t>
        </is>
      </c>
      <c r="C228" s="9">
        <f>IF(B228="","",IFERROR(INDEX('Équipements'!$B$5:$B$304,MATCH(B228,'Équipements'!$A$5:$A$304,0)),"Code inconnu"))</f>
        <v/>
      </c>
      <c r="D228" s="67" t="n">
        <v>34372</v>
      </c>
      <c r="E228" s="7" t="inlineStr">
        <is>
          <t>Lucas Fontaine</t>
        </is>
      </c>
      <c r="F228" s="68">
        <f>IF(OR(B228="",A228=""),"",IF(COUNTIFS('Relevés compteurs'!$B$5:$B$1504,B228,'Relevés compteurs'!$A$5:$A$1504,"&lt;"&amp;A228)=0,"",D228-_xlfn.MAXIFS('Relevés compteurs'!$D$5:$D$1504,'Relevés compteurs'!$B$5:$B$1504,B228,'Relevés compteurs'!$A$5:$A$1504,"&lt;"&amp;A228)))</f>
        <v/>
      </c>
    </row>
    <row r="229">
      <c r="A229" s="65" t="n">
        <v>46143</v>
      </c>
      <c r="B229" s="7" t="inlineStr">
        <is>
          <t>EQ-LOG-001</t>
        </is>
      </c>
      <c r="C229" s="9">
        <f>IF(B229="","",IFERROR(INDEX('Équipements'!$B$5:$B$304,MATCH(B229,'Équipements'!$A$5:$A$304,0)),"Code inconnu"))</f>
        <v/>
      </c>
      <c r="D229" s="67" t="n">
        <v>18735</v>
      </c>
      <c r="E229" s="7" t="inlineStr">
        <is>
          <t>Nadia Rousseau</t>
        </is>
      </c>
      <c r="F229" s="68">
        <f>IF(OR(B229="",A229=""),"",IF(COUNTIFS('Relevés compteurs'!$B$5:$B$1504,B229,'Relevés compteurs'!$A$5:$A$1504,"&lt;"&amp;A229)=0,"",D229-_xlfn.MAXIFS('Relevés compteurs'!$D$5:$D$1504,'Relevés compteurs'!$B$5:$B$1504,B229,'Relevés compteurs'!$A$5:$A$1504,"&lt;"&amp;A229)))</f>
        <v/>
      </c>
    </row>
    <row r="230">
      <c r="A230" s="65" t="n">
        <v>46143</v>
      </c>
      <c r="B230" s="7" t="inlineStr">
        <is>
          <t>EQ-LOG-002</t>
        </is>
      </c>
      <c r="C230" s="9">
        <f>IF(B230="","",IFERROR(INDEX('Équipements'!$B$5:$B$304,MATCH(B230,'Équipements'!$A$5:$A$304,0)),"Code inconnu"))</f>
        <v/>
      </c>
      <c r="D230" s="67" t="n">
        <v>26236</v>
      </c>
      <c r="E230" s="7" t="inlineStr">
        <is>
          <t>Lucas Fontaine</t>
        </is>
      </c>
      <c r="F230" s="68">
        <f>IF(OR(B230="",A230=""),"",IF(COUNTIFS('Relevés compteurs'!$B$5:$B$1504,B230,'Relevés compteurs'!$A$5:$A$1504,"&lt;"&amp;A230)=0,"",D230-_xlfn.MAXIFS('Relevés compteurs'!$D$5:$D$1504,'Relevés compteurs'!$B$5:$B$1504,B230,'Relevés compteurs'!$A$5:$A$1504,"&lt;"&amp;A230)))</f>
        <v/>
      </c>
    </row>
    <row r="231">
      <c r="A231" s="65" t="n">
        <v>46143</v>
      </c>
      <c r="B231" s="7" t="inlineStr">
        <is>
          <t>EQ-LOG-003</t>
        </is>
      </c>
      <c r="C231" s="9">
        <f>IF(B231="","",IFERROR(INDEX('Équipements'!$B$5:$B$304,MATCH(B231,'Équipements'!$A$5:$A$304,0)),"Code inconnu"))</f>
        <v/>
      </c>
      <c r="D231" s="67" t="n">
        <v>23657</v>
      </c>
      <c r="E231" s="7" t="inlineStr">
        <is>
          <t>Ronde maintenance</t>
        </is>
      </c>
      <c r="F231" s="68">
        <f>IF(OR(B231="",A231=""),"",IF(COUNTIFS('Relevés compteurs'!$B$5:$B$1504,B231,'Relevés compteurs'!$A$5:$A$1504,"&lt;"&amp;A231)=0,"",D231-_xlfn.MAXIFS('Relevés compteurs'!$D$5:$D$1504,'Relevés compteurs'!$B$5:$B$1504,B231,'Relevés compteurs'!$A$5:$A$1504,"&lt;"&amp;A231)))</f>
        <v/>
      </c>
    </row>
    <row r="232">
      <c r="A232" s="65" t="n">
        <v>46143</v>
      </c>
      <c r="B232" s="7" t="inlineStr">
        <is>
          <t>EQ-LOG-005</t>
        </is>
      </c>
      <c r="C232" s="9">
        <f>IF(B232="","",IFERROR(INDEX('Équipements'!$B$5:$B$304,MATCH(B232,'Équipements'!$A$5:$A$304,0)),"Code inconnu"))</f>
        <v/>
      </c>
      <c r="D232" s="67" t="n">
        <v>3081</v>
      </c>
      <c r="E232" s="7" t="inlineStr">
        <is>
          <t>Ronde maintenance</t>
        </is>
      </c>
      <c r="F232" s="68">
        <f>IF(OR(B232="",A232=""),"",IF(COUNTIFS('Relevés compteurs'!$B$5:$B$1504,B232,'Relevés compteurs'!$A$5:$A$1504,"&lt;"&amp;A232)=0,"",D232-_xlfn.MAXIFS('Relevés compteurs'!$D$5:$D$1504,'Relevés compteurs'!$B$5:$B$1504,B232,'Relevés compteurs'!$A$5:$A$1504,"&lt;"&amp;A232)))</f>
        <v/>
      </c>
    </row>
    <row r="233">
      <c r="A233" s="65" t="n">
        <v>46143</v>
      </c>
      <c r="B233" s="7" t="inlineStr">
        <is>
          <t>EQ-SOU-001</t>
        </is>
      </c>
      <c r="C233" s="9">
        <f>IF(B233="","",IFERROR(INDEX('Équipements'!$B$5:$B$304,MATCH(B233,'Équipements'!$A$5:$A$304,0)),"Code inconnu"))</f>
        <v/>
      </c>
      <c r="D233" s="67" t="n">
        <v>18296</v>
      </c>
      <c r="E233" s="7" t="inlineStr">
        <is>
          <t>Lucas Fontaine</t>
        </is>
      </c>
      <c r="F233" s="68">
        <f>IF(OR(B233="",A233=""),"",IF(COUNTIFS('Relevés compteurs'!$B$5:$B$1504,B233,'Relevés compteurs'!$A$5:$A$1504,"&lt;"&amp;A233)=0,"",D233-_xlfn.MAXIFS('Relevés compteurs'!$D$5:$D$1504,'Relevés compteurs'!$B$5:$B$1504,B233,'Relevés compteurs'!$A$5:$A$1504,"&lt;"&amp;A233)))</f>
        <v/>
      </c>
    </row>
    <row r="234">
      <c r="A234" s="65" t="n">
        <v>46143</v>
      </c>
      <c r="B234" s="7" t="inlineStr">
        <is>
          <t>EQ-TOL-001</t>
        </is>
      </c>
      <c r="C234" s="9">
        <f>IF(B234="","",IFERROR(INDEX('Équipements'!$B$5:$B$304,MATCH(B234,'Équipements'!$A$5:$A$304,0)),"Code inconnu"))</f>
        <v/>
      </c>
      <c r="D234" s="67" t="n">
        <v>18707</v>
      </c>
      <c r="E234" s="7" t="inlineStr">
        <is>
          <t>Nadia Rousseau</t>
        </is>
      </c>
      <c r="F234" s="68">
        <f>IF(OR(B234="",A234=""),"",IF(COUNTIFS('Relevés compteurs'!$B$5:$B$1504,B234,'Relevés compteurs'!$A$5:$A$1504,"&lt;"&amp;A234)=0,"",D234-_xlfn.MAXIFS('Relevés compteurs'!$D$5:$D$1504,'Relevés compteurs'!$B$5:$B$1504,B234,'Relevés compteurs'!$A$5:$A$1504,"&lt;"&amp;A234)))</f>
        <v/>
      </c>
    </row>
    <row r="235">
      <c r="A235" s="65" t="n">
        <v>46143</v>
      </c>
      <c r="B235" s="7" t="inlineStr">
        <is>
          <t>EQ-TOL-002</t>
        </is>
      </c>
      <c r="C235" s="9">
        <f>IF(B235="","",IFERROR(INDEX('Équipements'!$B$5:$B$304,MATCH(B235,'Équipements'!$A$5:$A$304,0)),"Code inconnu"))</f>
        <v/>
      </c>
      <c r="D235" s="67" t="n">
        <v>49199</v>
      </c>
      <c r="E235" s="7" t="inlineStr">
        <is>
          <t>Ronde maintenance</t>
        </is>
      </c>
      <c r="F235" s="68">
        <f>IF(OR(B235="",A235=""),"",IF(COUNTIFS('Relevés compteurs'!$B$5:$B$1504,B235,'Relevés compteurs'!$A$5:$A$1504,"&lt;"&amp;A235)=0,"",D235-_xlfn.MAXIFS('Relevés compteurs'!$D$5:$D$1504,'Relevés compteurs'!$B$5:$B$1504,B235,'Relevés compteurs'!$A$5:$A$1504,"&lt;"&amp;A235)))</f>
        <v/>
      </c>
    </row>
    <row r="236">
      <c r="A236" s="65" t="n">
        <v>46143</v>
      </c>
      <c r="B236" s="7" t="inlineStr">
        <is>
          <t>EQ-TOL-003</t>
        </is>
      </c>
      <c r="C236" s="9">
        <f>IF(B236="","",IFERROR(INDEX('Équipements'!$B$5:$B$304,MATCH(B236,'Équipements'!$A$5:$A$304,0)),"Code inconnu"))</f>
        <v/>
      </c>
      <c r="D236" s="67" t="n">
        <v>23377</v>
      </c>
      <c r="E236" s="7" t="inlineStr">
        <is>
          <t>Nadia Rousseau</t>
        </is>
      </c>
      <c r="F236" s="68">
        <f>IF(OR(B236="",A236=""),"",IF(COUNTIFS('Relevés compteurs'!$B$5:$B$1504,B236,'Relevés compteurs'!$A$5:$A$1504,"&lt;"&amp;A236)=0,"",D236-_xlfn.MAXIFS('Relevés compteurs'!$D$5:$D$1504,'Relevés compteurs'!$B$5:$B$1504,B236,'Relevés compteurs'!$A$5:$A$1504,"&lt;"&amp;A236)))</f>
        <v/>
      </c>
    </row>
    <row r="237">
      <c r="A237" s="65" t="n">
        <v>46143</v>
      </c>
      <c r="B237" s="7" t="inlineStr">
        <is>
          <t>EQ-USI-001</t>
        </is>
      </c>
      <c r="C237" s="9">
        <f>IF(B237="","",IFERROR(INDEX('Équipements'!$B$5:$B$304,MATCH(B237,'Équipements'!$A$5:$A$304,0)),"Code inconnu"))</f>
        <v/>
      </c>
      <c r="D237" s="67" t="n">
        <v>23254</v>
      </c>
      <c r="E237" s="7" t="inlineStr">
        <is>
          <t>Ronde maintenance</t>
        </is>
      </c>
      <c r="F237" s="68">
        <f>IF(OR(B237="",A237=""),"",IF(COUNTIFS('Relevés compteurs'!$B$5:$B$1504,B237,'Relevés compteurs'!$A$5:$A$1504,"&lt;"&amp;A237)=0,"",D237-_xlfn.MAXIFS('Relevés compteurs'!$D$5:$D$1504,'Relevés compteurs'!$B$5:$B$1504,B237,'Relevés compteurs'!$A$5:$A$1504,"&lt;"&amp;A237)))</f>
        <v/>
      </c>
    </row>
    <row r="238">
      <c r="A238" s="65" t="n">
        <v>46143</v>
      </c>
      <c r="B238" s="7" t="inlineStr">
        <is>
          <t>EQ-USI-002</t>
        </is>
      </c>
      <c r="C238" s="9">
        <f>IF(B238="","",IFERROR(INDEX('Équipements'!$B$5:$B$304,MATCH(B238,'Équipements'!$A$5:$A$304,0)),"Code inconnu"))</f>
        <v/>
      </c>
      <c r="D238" s="67" t="n">
        <v>32213</v>
      </c>
      <c r="E238" s="7" t="inlineStr">
        <is>
          <t>Lucas Fontaine</t>
        </is>
      </c>
      <c r="F238" s="68">
        <f>IF(OR(B238="",A238=""),"",IF(COUNTIFS('Relevés compteurs'!$B$5:$B$1504,B238,'Relevés compteurs'!$A$5:$A$1504,"&lt;"&amp;A238)=0,"",D238-_xlfn.MAXIFS('Relevés compteurs'!$D$5:$D$1504,'Relevés compteurs'!$B$5:$B$1504,B238,'Relevés compteurs'!$A$5:$A$1504,"&lt;"&amp;A238)))</f>
        <v/>
      </c>
    </row>
    <row r="239">
      <c r="A239" s="65" t="n">
        <v>46143</v>
      </c>
      <c r="B239" s="7" t="inlineStr">
        <is>
          <t>EQ-USI-004</t>
        </is>
      </c>
      <c r="C239" s="9">
        <f>IF(B239="","",IFERROR(INDEX('Équipements'!$B$5:$B$304,MATCH(B239,'Équipements'!$A$5:$A$304,0)),"Code inconnu"))</f>
        <v/>
      </c>
      <c r="D239" s="67" t="n">
        <v>37745</v>
      </c>
      <c r="E239" s="7" t="inlineStr">
        <is>
          <t>Ronde maintenance</t>
        </is>
      </c>
      <c r="F239" s="68">
        <f>IF(OR(B239="",A239=""),"",IF(COUNTIFS('Relevés compteurs'!$B$5:$B$1504,B239,'Relevés compteurs'!$A$5:$A$1504,"&lt;"&amp;A239)=0,"",D239-_xlfn.MAXIFS('Relevés compteurs'!$D$5:$D$1504,'Relevés compteurs'!$B$5:$B$1504,B239,'Relevés compteurs'!$A$5:$A$1504,"&lt;"&amp;A239)))</f>
        <v/>
      </c>
    </row>
    <row r="240">
      <c r="A240" s="65" t="n">
        <v>46143</v>
      </c>
      <c r="B240" s="7" t="inlineStr">
        <is>
          <t>EQ-USI-005</t>
        </is>
      </c>
      <c r="C240" s="9">
        <f>IF(B240="","",IFERROR(INDEX('Équipements'!$B$5:$B$304,MATCH(B240,'Équipements'!$A$5:$A$304,0)),"Code inconnu"))</f>
        <v/>
      </c>
      <c r="D240" s="67" t="n">
        <v>20491</v>
      </c>
      <c r="E240" s="7" t="inlineStr">
        <is>
          <t>Lucas Fontaine</t>
        </is>
      </c>
      <c r="F240" s="68">
        <f>IF(OR(B240="",A240=""),"",IF(COUNTIFS('Relevés compteurs'!$B$5:$B$1504,B240,'Relevés compteurs'!$A$5:$A$1504,"&lt;"&amp;A240)=0,"",D240-_xlfn.MAXIFS('Relevés compteurs'!$D$5:$D$1504,'Relevés compteurs'!$B$5:$B$1504,B240,'Relevés compteurs'!$A$5:$A$1504,"&lt;"&amp;A240)))</f>
        <v/>
      </c>
    </row>
    <row r="241">
      <c r="A241" s="65" t="n">
        <v>46143</v>
      </c>
      <c r="B241" s="7" t="inlineStr">
        <is>
          <t>EQ-UTI-001</t>
        </is>
      </c>
      <c r="C241" s="9">
        <f>IF(B241="","",IFERROR(INDEX('Équipements'!$B$5:$B$304,MATCH(B241,'Équipements'!$A$5:$A$304,0)),"Code inconnu"))</f>
        <v/>
      </c>
      <c r="D241" s="67" t="n">
        <v>42626</v>
      </c>
      <c r="E241" s="7" t="inlineStr">
        <is>
          <t>Lucas Fontaine</t>
        </is>
      </c>
      <c r="F241" s="68">
        <f>IF(OR(B241="",A241=""),"",IF(COUNTIFS('Relevés compteurs'!$B$5:$B$1504,B241,'Relevés compteurs'!$A$5:$A$1504,"&lt;"&amp;A241)=0,"",D241-_xlfn.MAXIFS('Relevés compteurs'!$D$5:$D$1504,'Relevés compteurs'!$B$5:$B$1504,B241,'Relevés compteurs'!$A$5:$A$1504,"&lt;"&amp;A241)))</f>
        <v/>
      </c>
    </row>
    <row r="242">
      <c r="A242" s="65" t="n">
        <v>46143</v>
      </c>
      <c r="B242" s="7" t="inlineStr">
        <is>
          <t>EQ-UTI-002</t>
        </is>
      </c>
      <c r="C242" s="9">
        <f>IF(B242="","",IFERROR(INDEX('Équipements'!$B$5:$B$304,MATCH(B242,'Équipements'!$A$5:$A$304,0)),"Code inconnu"))</f>
        <v/>
      </c>
      <c r="D242" s="67" t="n">
        <v>34533</v>
      </c>
      <c r="E242" s="7" t="inlineStr">
        <is>
          <t>Nadia Rousseau</t>
        </is>
      </c>
      <c r="F242" s="68">
        <f>IF(OR(B242="",A242=""),"",IF(COUNTIFS('Relevés compteurs'!$B$5:$B$1504,B242,'Relevés compteurs'!$A$5:$A$1504,"&lt;"&amp;A242)=0,"",D242-_xlfn.MAXIFS('Relevés compteurs'!$D$5:$D$1504,'Relevés compteurs'!$B$5:$B$1504,B242,'Relevés compteurs'!$A$5:$A$1504,"&lt;"&amp;A242)))</f>
        <v/>
      </c>
    </row>
    <row r="243">
      <c r="A243" s="65" t="n">
        <v>46174</v>
      </c>
      <c r="B243" s="7" t="inlineStr">
        <is>
          <t>EQ-LOG-001</t>
        </is>
      </c>
      <c r="C243" s="9">
        <f>IF(B243="","",IFERROR(INDEX('Équipements'!$B$5:$B$304,MATCH(B243,'Équipements'!$A$5:$A$304,0)),"Code inconnu"))</f>
        <v/>
      </c>
      <c r="D243" s="67" t="n">
        <v>18970</v>
      </c>
      <c r="E243" s="7" t="inlineStr">
        <is>
          <t>Lucas Fontaine</t>
        </is>
      </c>
      <c r="F243" s="68">
        <f>IF(OR(B243="",A243=""),"",IF(COUNTIFS('Relevés compteurs'!$B$5:$B$1504,B243,'Relevés compteurs'!$A$5:$A$1504,"&lt;"&amp;A243)=0,"",D243-_xlfn.MAXIFS('Relevés compteurs'!$D$5:$D$1504,'Relevés compteurs'!$B$5:$B$1504,B243,'Relevés compteurs'!$A$5:$A$1504,"&lt;"&amp;A243)))</f>
        <v/>
      </c>
    </row>
    <row r="244">
      <c r="A244" s="65" t="n">
        <v>46174</v>
      </c>
      <c r="B244" s="7" t="inlineStr">
        <is>
          <t>EQ-LOG-002</t>
        </is>
      </c>
      <c r="C244" s="9">
        <f>IF(B244="","",IFERROR(INDEX('Équipements'!$B$5:$B$304,MATCH(B244,'Équipements'!$A$5:$A$304,0)),"Code inconnu"))</f>
        <v/>
      </c>
      <c r="D244" s="67" t="n">
        <v>26433</v>
      </c>
      <c r="E244" s="7" t="inlineStr">
        <is>
          <t>Lucas Fontaine</t>
        </is>
      </c>
      <c r="F244" s="68">
        <f>IF(OR(B244="",A244=""),"",IF(COUNTIFS('Relevés compteurs'!$B$5:$B$1504,B244,'Relevés compteurs'!$A$5:$A$1504,"&lt;"&amp;A244)=0,"",D244-_xlfn.MAXIFS('Relevés compteurs'!$D$5:$D$1504,'Relevés compteurs'!$B$5:$B$1504,B244,'Relevés compteurs'!$A$5:$A$1504,"&lt;"&amp;A244)))</f>
        <v/>
      </c>
    </row>
    <row r="245">
      <c r="A245" s="65" t="n">
        <v>46174</v>
      </c>
      <c r="B245" s="7" t="inlineStr">
        <is>
          <t>EQ-LOG-003</t>
        </is>
      </c>
      <c r="C245" s="9">
        <f>IF(B245="","",IFERROR(INDEX('Équipements'!$B$5:$B$304,MATCH(B245,'Équipements'!$A$5:$A$304,0)),"Code inconnu"))</f>
        <v/>
      </c>
      <c r="D245" s="67" t="n">
        <v>23783</v>
      </c>
      <c r="E245" s="7" t="inlineStr">
        <is>
          <t>Ronde maintenance</t>
        </is>
      </c>
      <c r="F245" s="68">
        <f>IF(OR(B245="",A245=""),"",IF(COUNTIFS('Relevés compteurs'!$B$5:$B$1504,B245,'Relevés compteurs'!$A$5:$A$1504,"&lt;"&amp;A245)=0,"",D245-_xlfn.MAXIFS('Relevés compteurs'!$D$5:$D$1504,'Relevés compteurs'!$B$5:$B$1504,B245,'Relevés compteurs'!$A$5:$A$1504,"&lt;"&amp;A245)))</f>
        <v/>
      </c>
    </row>
    <row r="246">
      <c r="A246" s="65" t="n">
        <v>46174</v>
      </c>
      <c r="B246" s="7" t="inlineStr">
        <is>
          <t>EQ-LOG-005</t>
        </is>
      </c>
      <c r="C246" s="9">
        <f>IF(B246="","",IFERROR(INDEX('Équipements'!$B$5:$B$304,MATCH(B246,'Équipements'!$A$5:$A$304,0)),"Code inconnu"))</f>
        <v/>
      </c>
      <c r="D246" s="67" t="n">
        <v>3113</v>
      </c>
      <c r="E246" s="7" t="inlineStr">
        <is>
          <t>Ronde maintenance</t>
        </is>
      </c>
      <c r="F246" s="68">
        <f>IF(OR(B246="",A246=""),"",IF(COUNTIFS('Relevés compteurs'!$B$5:$B$1504,B246,'Relevés compteurs'!$A$5:$A$1504,"&lt;"&amp;A246)=0,"",D246-_xlfn.MAXIFS('Relevés compteurs'!$D$5:$D$1504,'Relevés compteurs'!$B$5:$B$1504,B246,'Relevés compteurs'!$A$5:$A$1504,"&lt;"&amp;A246)))</f>
        <v/>
      </c>
    </row>
    <row r="247">
      <c r="A247" s="65" t="n">
        <v>46174</v>
      </c>
      <c r="B247" s="7" t="inlineStr">
        <is>
          <t>EQ-SOU-001</t>
        </is>
      </c>
      <c r="C247" s="9">
        <f>IF(B247="","",IFERROR(INDEX('Équipements'!$B$5:$B$304,MATCH(B247,'Équipements'!$A$5:$A$304,0)),"Code inconnu"))</f>
        <v/>
      </c>
      <c r="D247" s="67" t="n">
        <v>18600</v>
      </c>
      <c r="E247" s="7" t="inlineStr">
        <is>
          <t>Ronde maintenance</t>
        </is>
      </c>
      <c r="F247" s="68">
        <f>IF(OR(B247="",A247=""),"",IF(COUNTIFS('Relevés compteurs'!$B$5:$B$1504,B247,'Relevés compteurs'!$A$5:$A$1504,"&lt;"&amp;A247)=0,"",D247-_xlfn.MAXIFS('Relevés compteurs'!$D$5:$D$1504,'Relevés compteurs'!$B$5:$B$1504,B247,'Relevés compteurs'!$A$5:$A$1504,"&lt;"&amp;A247)))</f>
        <v/>
      </c>
    </row>
    <row r="248">
      <c r="A248" s="65" t="n">
        <v>46174</v>
      </c>
      <c r="B248" s="7" t="inlineStr">
        <is>
          <t>EQ-TOL-001</t>
        </is>
      </c>
      <c r="C248" s="9">
        <f>IF(B248="","",IFERROR(INDEX('Équipements'!$B$5:$B$304,MATCH(B248,'Équipements'!$A$5:$A$304,0)),"Code inconnu"))</f>
        <v/>
      </c>
      <c r="D248" s="67" t="n">
        <v>19028</v>
      </c>
      <c r="E248" s="7" t="inlineStr">
        <is>
          <t>Nadia Rousseau</t>
        </is>
      </c>
      <c r="F248" s="68">
        <f>IF(OR(B248="",A248=""),"",IF(COUNTIFS('Relevés compteurs'!$B$5:$B$1504,B248,'Relevés compteurs'!$A$5:$A$1504,"&lt;"&amp;A248)=0,"",D248-_xlfn.MAXIFS('Relevés compteurs'!$D$5:$D$1504,'Relevés compteurs'!$B$5:$B$1504,B248,'Relevés compteurs'!$A$5:$A$1504,"&lt;"&amp;A248)))</f>
        <v/>
      </c>
    </row>
    <row r="249">
      <c r="A249" s="65" t="n">
        <v>46174</v>
      </c>
      <c r="B249" s="7" t="inlineStr">
        <is>
          <t>EQ-TOL-002</t>
        </is>
      </c>
      <c r="C249" s="9">
        <f>IF(B249="","",IFERROR(INDEX('Équipements'!$B$5:$B$304,MATCH(B249,'Équipements'!$A$5:$A$304,0)),"Code inconnu"))</f>
        <v/>
      </c>
      <c r="D249" s="67" t="n">
        <v>49498</v>
      </c>
      <c r="E249" s="7" t="inlineStr">
        <is>
          <t>Ronde maintenance</t>
        </is>
      </c>
      <c r="F249" s="68">
        <f>IF(OR(B249="",A249=""),"",IF(COUNTIFS('Relevés compteurs'!$B$5:$B$1504,B249,'Relevés compteurs'!$A$5:$A$1504,"&lt;"&amp;A249)=0,"",D249-_xlfn.MAXIFS('Relevés compteurs'!$D$5:$D$1504,'Relevés compteurs'!$B$5:$B$1504,B249,'Relevés compteurs'!$A$5:$A$1504,"&lt;"&amp;A249)))</f>
        <v/>
      </c>
    </row>
    <row r="250">
      <c r="A250" s="65" t="n">
        <v>46174</v>
      </c>
      <c r="B250" s="7" t="inlineStr">
        <is>
          <t>EQ-TOL-003</t>
        </is>
      </c>
      <c r="C250" s="9">
        <f>IF(B250="","",IFERROR(INDEX('Équipements'!$B$5:$B$304,MATCH(B250,'Équipements'!$A$5:$A$304,0)),"Code inconnu"))</f>
        <v/>
      </c>
      <c r="D250" s="67" t="n">
        <v>23636</v>
      </c>
      <c r="E250" s="7" t="inlineStr">
        <is>
          <t>Lucas Fontaine</t>
        </is>
      </c>
      <c r="F250" s="68">
        <f>IF(OR(B250="",A250=""),"",IF(COUNTIFS('Relevés compteurs'!$B$5:$B$1504,B250,'Relevés compteurs'!$A$5:$A$1504,"&lt;"&amp;A250)=0,"",D250-_xlfn.MAXIFS('Relevés compteurs'!$D$5:$D$1504,'Relevés compteurs'!$B$5:$B$1504,B250,'Relevés compteurs'!$A$5:$A$1504,"&lt;"&amp;A250)))</f>
        <v/>
      </c>
    </row>
    <row r="251">
      <c r="A251" s="65" t="n">
        <v>46174</v>
      </c>
      <c r="B251" s="7" t="inlineStr">
        <is>
          <t>EQ-USI-001</t>
        </is>
      </c>
      <c r="C251" s="9">
        <f>IF(B251="","",IFERROR(INDEX('Équipements'!$B$5:$B$304,MATCH(B251,'Équipements'!$A$5:$A$304,0)),"Code inconnu"))</f>
        <v/>
      </c>
      <c r="D251" s="67" t="n">
        <v>23524</v>
      </c>
      <c r="E251" s="7" t="inlineStr">
        <is>
          <t>Nadia Rousseau</t>
        </is>
      </c>
      <c r="F251" s="68">
        <f>IF(OR(B251="",A251=""),"",IF(COUNTIFS('Relevés compteurs'!$B$5:$B$1504,B251,'Relevés compteurs'!$A$5:$A$1504,"&lt;"&amp;A251)=0,"",D251-_xlfn.MAXIFS('Relevés compteurs'!$D$5:$D$1504,'Relevés compteurs'!$B$5:$B$1504,B251,'Relevés compteurs'!$A$5:$A$1504,"&lt;"&amp;A251)))</f>
        <v/>
      </c>
    </row>
    <row r="252">
      <c r="A252" s="65" t="n">
        <v>46174</v>
      </c>
      <c r="B252" s="7" t="inlineStr">
        <is>
          <t>EQ-USI-002</t>
        </is>
      </c>
      <c r="C252" s="9">
        <f>IF(B252="","",IFERROR(INDEX('Équipements'!$B$5:$B$304,MATCH(B252,'Équipements'!$A$5:$A$304,0)),"Code inconnu"))</f>
        <v/>
      </c>
      <c r="D252" s="67" t="n">
        <v>32527</v>
      </c>
      <c r="E252" s="7" t="inlineStr">
        <is>
          <t>Lucas Fontaine</t>
        </is>
      </c>
      <c r="F252" s="68">
        <f>IF(OR(B252="",A252=""),"",IF(COUNTIFS('Relevés compteurs'!$B$5:$B$1504,B252,'Relevés compteurs'!$A$5:$A$1504,"&lt;"&amp;A252)=0,"",D252-_xlfn.MAXIFS('Relevés compteurs'!$D$5:$D$1504,'Relevés compteurs'!$B$5:$B$1504,B252,'Relevés compteurs'!$A$5:$A$1504,"&lt;"&amp;A252)))</f>
        <v/>
      </c>
    </row>
    <row r="253">
      <c r="A253" s="65" t="n">
        <v>46174</v>
      </c>
      <c r="B253" s="7" t="inlineStr">
        <is>
          <t>EQ-USI-004</t>
        </is>
      </c>
      <c r="C253" s="9">
        <f>IF(B253="","",IFERROR(INDEX('Équipements'!$B$5:$B$304,MATCH(B253,'Équipements'!$A$5:$A$304,0)),"Code inconnu"))</f>
        <v/>
      </c>
      <c r="D253" s="67" t="n">
        <v>38052</v>
      </c>
      <c r="E253" s="7" t="inlineStr">
        <is>
          <t>Ronde maintenance</t>
        </is>
      </c>
      <c r="F253" s="68">
        <f>IF(OR(B253="",A253=""),"",IF(COUNTIFS('Relevés compteurs'!$B$5:$B$1504,B253,'Relevés compteurs'!$A$5:$A$1504,"&lt;"&amp;A253)=0,"",D253-_xlfn.MAXIFS('Relevés compteurs'!$D$5:$D$1504,'Relevés compteurs'!$B$5:$B$1504,B253,'Relevés compteurs'!$A$5:$A$1504,"&lt;"&amp;A253)))</f>
        <v/>
      </c>
    </row>
    <row r="254">
      <c r="A254" s="65" t="n">
        <v>46174</v>
      </c>
      <c r="B254" s="7" t="inlineStr">
        <is>
          <t>EQ-USI-005</t>
        </is>
      </c>
      <c r="C254" s="9">
        <f>IF(B254="","",IFERROR(INDEX('Équipements'!$B$5:$B$304,MATCH(B254,'Équipements'!$A$5:$A$304,0)),"Code inconnu"))</f>
        <v/>
      </c>
      <c r="D254" s="67" t="n">
        <v>20750</v>
      </c>
      <c r="E254" s="7" t="inlineStr">
        <is>
          <t>Ronde maintenance</t>
        </is>
      </c>
      <c r="F254" s="68">
        <f>IF(OR(B254="",A254=""),"",IF(COUNTIFS('Relevés compteurs'!$B$5:$B$1504,B254,'Relevés compteurs'!$A$5:$A$1504,"&lt;"&amp;A254)=0,"",D254-_xlfn.MAXIFS('Relevés compteurs'!$D$5:$D$1504,'Relevés compteurs'!$B$5:$B$1504,B254,'Relevés compteurs'!$A$5:$A$1504,"&lt;"&amp;A254)))</f>
        <v/>
      </c>
    </row>
    <row r="255">
      <c r="A255" s="65" t="n">
        <v>46174</v>
      </c>
      <c r="B255" s="7" t="inlineStr">
        <is>
          <t>EQ-UTI-001</t>
        </is>
      </c>
      <c r="C255" s="9">
        <f>IF(B255="","",IFERROR(INDEX('Équipements'!$B$5:$B$304,MATCH(B255,'Équipements'!$A$5:$A$304,0)),"Code inconnu"))</f>
        <v/>
      </c>
      <c r="D255" s="67" t="n">
        <v>43019</v>
      </c>
      <c r="E255" s="7" t="inlineStr">
        <is>
          <t>Lucas Fontaine</t>
        </is>
      </c>
      <c r="F255" s="68">
        <f>IF(OR(B255="",A255=""),"",IF(COUNTIFS('Relevés compteurs'!$B$5:$B$1504,B255,'Relevés compteurs'!$A$5:$A$1504,"&lt;"&amp;A255)=0,"",D255-_xlfn.MAXIFS('Relevés compteurs'!$D$5:$D$1504,'Relevés compteurs'!$B$5:$B$1504,B255,'Relevés compteurs'!$A$5:$A$1504,"&lt;"&amp;A255)))</f>
        <v/>
      </c>
    </row>
    <row r="256">
      <c r="A256" s="65" t="n">
        <v>46174</v>
      </c>
      <c r="B256" s="7" t="inlineStr">
        <is>
          <t>EQ-UTI-002</t>
        </is>
      </c>
      <c r="C256" s="9">
        <f>IF(B256="","",IFERROR(INDEX('Équipements'!$B$5:$B$304,MATCH(B256,'Équipements'!$A$5:$A$304,0)),"Code inconnu"))</f>
        <v/>
      </c>
      <c r="D256" s="67" t="n">
        <v>34734</v>
      </c>
      <c r="E256" s="7" t="inlineStr">
        <is>
          <t>Lucas Fontaine</t>
        </is>
      </c>
      <c r="F256" s="68">
        <f>IF(OR(B256="",A256=""),"",IF(COUNTIFS('Relevés compteurs'!$B$5:$B$1504,B256,'Relevés compteurs'!$A$5:$A$1504,"&lt;"&amp;A256)=0,"",D256-_xlfn.MAXIFS('Relevés compteurs'!$D$5:$D$1504,'Relevés compteurs'!$B$5:$B$1504,B256,'Relevés compteurs'!$A$5:$A$1504,"&lt;"&amp;A256)))</f>
        <v/>
      </c>
    </row>
    <row r="257">
      <c r="A257" s="65" t="n">
        <v>46204</v>
      </c>
      <c r="B257" s="7" t="inlineStr">
        <is>
          <t>EQ-LOG-001</t>
        </is>
      </c>
      <c r="C257" s="9">
        <f>IF(B257="","",IFERROR(INDEX('Équipements'!$B$5:$B$304,MATCH(B257,'Équipements'!$A$5:$A$304,0)),"Code inconnu"))</f>
        <v/>
      </c>
      <c r="D257" s="67" t="n">
        <v>19216</v>
      </c>
      <c r="E257" s="7" t="inlineStr">
        <is>
          <t>Lucas Fontaine</t>
        </is>
      </c>
      <c r="F257" s="68">
        <f>IF(OR(B257="",A257=""),"",IF(COUNTIFS('Relevés compteurs'!$B$5:$B$1504,B257,'Relevés compteurs'!$A$5:$A$1504,"&lt;"&amp;A257)=0,"",D257-_xlfn.MAXIFS('Relevés compteurs'!$D$5:$D$1504,'Relevés compteurs'!$B$5:$B$1504,B257,'Relevés compteurs'!$A$5:$A$1504,"&lt;"&amp;A257)))</f>
        <v/>
      </c>
    </row>
    <row r="258">
      <c r="A258" s="65" t="n">
        <v>46204</v>
      </c>
      <c r="B258" s="7" t="inlineStr">
        <is>
          <t>EQ-LOG-002</t>
        </is>
      </c>
      <c r="C258" s="9">
        <f>IF(B258="","",IFERROR(INDEX('Équipements'!$B$5:$B$304,MATCH(B258,'Équipements'!$A$5:$A$304,0)),"Code inconnu"))</f>
        <v/>
      </c>
      <c r="D258" s="67" t="n">
        <v>26637</v>
      </c>
      <c r="E258" s="7" t="inlineStr">
        <is>
          <t>Lucas Fontaine</t>
        </is>
      </c>
      <c r="F258" s="68">
        <f>IF(OR(B258="",A258=""),"",IF(COUNTIFS('Relevés compteurs'!$B$5:$B$1504,B258,'Relevés compteurs'!$A$5:$A$1504,"&lt;"&amp;A258)=0,"",D258-_xlfn.MAXIFS('Relevés compteurs'!$D$5:$D$1504,'Relevés compteurs'!$B$5:$B$1504,B258,'Relevés compteurs'!$A$5:$A$1504,"&lt;"&amp;A258)))</f>
        <v/>
      </c>
    </row>
    <row r="259">
      <c r="A259" s="65" t="n">
        <v>46204</v>
      </c>
      <c r="B259" s="7" t="inlineStr">
        <is>
          <t>EQ-LOG-003</t>
        </is>
      </c>
      <c r="C259" s="9">
        <f>IF(B259="","",IFERROR(INDEX('Équipements'!$B$5:$B$304,MATCH(B259,'Équipements'!$A$5:$A$304,0)),"Code inconnu"))</f>
        <v/>
      </c>
      <c r="D259" s="67" t="n">
        <v>23908</v>
      </c>
      <c r="E259" s="7" t="inlineStr">
        <is>
          <t>Lucas Fontaine</t>
        </is>
      </c>
      <c r="F259" s="68">
        <f>IF(OR(B259="",A259=""),"",IF(COUNTIFS('Relevés compteurs'!$B$5:$B$1504,B259,'Relevés compteurs'!$A$5:$A$1504,"&lt;"&amp;A259)=0,"",D259-_xlfn.MAXIFS('Relevés compteurs'!$D$5:$D$1504,'Relevés compteurs'!$B$5:$B$1504,B259,'Relevés compteurs'!$A$5:$A$1504,"&lt;"&amp;A259)))</f>
        <v/>
      </c>
    </row>
    <row r="260">
      <c r="A260" s="65" t="n">
        <v>46204</v>
      </c>
      <c r="B260" s="7" t="inlineStr">
        <is>
          <t>EQ-LOG-005</t>
        </is>
      </c>
      <c r="C260" s="9">
        <f>IF(B260="","",IFERROR(INDEX('Équipements'!$B$5:$B$304,MATCH(B260,'Équipements'!$A$5:$A$304,0)),"Code inconnu"))</f>
        <v/>
      </c>
      <c r="D260" s="67" t="n">
        <v>3143</v>
      </c>
      <c r="E260" s="7" t="inlineStr">
        <is>
          <t>Ronde maintenance</t>
        </is>
      </c>
      <c r="F260" s="68">
        <f>IF(OR(B260="",A260=""),"",IF(COUNTIFS('Relevés compteurs'!$B$5:$B$1504,B260,'Relevés compteurs'!$A$5:$A$1504,"&lt;"&amp;A260)=0,"",D260-_xlfn.MAXIFS('Relevés compteurs'!$D$5:$D$1504,'Relevés compteurs'!$B$5:$B$1504,B260,'Relevés compteurs'!$A$5:$A$1504,"&lt;"&amp;A260)))</f>
        <v/>
      </c>
    </row>
    <row r="261">
      <c r="A261" s="65" t="n">
        <v>46204</v>
      </c>
      <c r="B261" s="7" t="inlineStr">
        <is>
          <t>EQ-SOU-001</t>
        </is>
      </c>
      <c r="C261" s="9">
        <f>IF(B261="","",IFERROR(INDEX('Équipements'!$B$5:$B$304,MATCH(B261,'Équipements'!$A$5:$A$304,0)),"Code inconnu"))</f>
        <v/>
      </c>
      <c r="D261" s="67" t="n">
        <v>18913</v>
      </c>
      <c r="E261" s="7" t="inlineStr">
        <is>
          <t>Ronde maintenance</t>
        </is>
      </c>
      <c r="F261" s="68">
        <f>IF(OR(B261="",A261=""),"",IF(COUNTIFS('Relevés compteurs'!$B$5:$B$1504,B261,'Relevés compteurs'!$A$5:$A$1504,"&lt;"&amp;A261)=0,"",D261-_xlfn.MAXIFS('Relevés compteurs'!$D$5:$D$1504,'Relevés compteurs'!$B$5:$B$1504,B261,'Relevés compteurs'!$A$5:$A$1504,"&lt;"&amp;A261)))</f>
        <v/>
      </c>
    </row>
    <row r="262">
      <c r="A262" s="65" t="n">
        <v>46204</v>
      </c>
      <c r="B262" s="7" t="inlineStr">
        <is>
          <t>EQ-TOL-001</t>
        </is>
      </c>
      <c r="C262" s="9">
        <f>IF(B262="","",IFERROR(INDEX('Équipements'!$B$5:$B$304,MATCH(B262,'Équipements'!$A$5:$A$304,0)),"Code inconnu"))</f>
        <v/>
      </c>
      <c r="D262" s="67" t="n">
        <v>19362</v>
      </c>
      <c r="E262" s="7" t="inlineStr">
        <is>
          <t>Ronde maintenance</t>
        </is>
      </c>
      <c r="F262" s="68">
        <f>IF(OR(B262="",A262=""),"",IF(COUNTIFS('Relevés compteurs'!$B$5:$B$1504,B262,'Relevés compteurs'!$A$5:$A$1504,"&lt;"&amp;A262)=0,"",D262-_xlfn.MAXIFS('Relevés compteurs'!$D$5:$D$1504,'Relevés compteurs'!$B$5:$B$1504,B262,'Relevés compteurs'!$A$5:$A$1504,"&lt;"&amp;A262)))</f>
        <v/>
      </c>
    </row>
    <row r="263">
      <c r="A263" s="65" t="n">
        <v>46204</v>
      </c>
      <c r="B263" s="7" t="inlineStr">
        <is>
          <t>EQ-TOL-002</t>
        </is>
      </c>
      <c r="C263" s="9">
        <f>IF(B263="","",IFERROR(INDEX('Équipements'!$B$5:$B$304,MATCH(B263,'Équipements'!$A$5:$A$304,0)),"Code inconnu"))</f>
        <v/>
      </c>
      <c r="D263" s="67" t="n">
        <v>49727</v>
      </c>
      <c r="E263" s="7" t="inlineStr">
        <is>
          <t>Ronde maintenance</t>
        </is>
      </c>
      <c r="F263" s="68">
        <f>IF(OR(B263="",A263=""),"",IF(COUNTIFS('Relevés compteurs'!$B$5:$B$1504,B263,'Relevés compteurs'!$A$5:$A$1504,"&lt;"&amp;A263)=0,"",D263-_xlfn.MAXIFS('Relevés compteurs'!$D$5:$D$1504,'Relevés compteurs'!$B$5:$B$1504,B263,'Relevés compteurs'!$A$5:$A$1504,"&lt;"&amp;A263)))</f>
        <v/>
      </c>
    </row>
    <row r="264">
      <c r="A264" s="65" t="n">
        <v>46204</v>
      </c>
      <c r="B264" s="7" t="inlineStr">
        <is>
          <t>EQ-TOL-003</t>
        </is>
      </c>
      <c r="C264" s="9">
        <f>IF(B264="","",IFERROR(INDEX('Équipements'!$B$5:$B$304,MATCH(B264,'Équipements'!$A$5:$A$304,0)),"Code inconnu"))</f>
        <v/>
      </c>
      <c r="D264" s="67" t="n">
        <v>23910</v>
      </c>
      <c r="E264" s="7" t="inlineStr">
        <is>
          <t>Ronde maintenance</t>
        </is>
      </c>
      <c r="F264" s="68">
        <f>IF(OR(B264="",A264=""),"",IF(COUNTIFS('Relevés compteurs'!$B$5:$B$1504,B264,'Relevés compteurs'!$A$5:$A$1504,"&lt;"&amp;A264)=0,"",D264-_xlfn.MAXIFS('Relevés compteurs'!$D$5:$D$1504,'Relevés compteurs'!$B$5:$B$1504,B264,'Relevés compteurs'!$A$5:$A$1504,"&lt;"&amp;A264)))</f>
        <v/>
      </c>
    </row>
    <row r="265">
      <c r="A265" s="65" t="n">
        <v>46204</v>
      </c>
      <c r="B265" s="7" t="inlineStr">
        <is>
          <t>EQ-USI-001</t>
        </is>
      </c>
      <c r="C265" s="9">
        <f>IF(B265="","",IFERROR(INDEX('Équipements'!$B$5:$B$304,MATCH(B265,'Équipements'!$A$5:$A$304,0)),"Code inconnu"))</f>
        <v/>
      </c>
      <c r="D265" s="67" t="n">
        <v>23819</v>
      </c>
      <c r="E265" s="7" t="inlineStr">
        <is>
          <t>Lucas Fontaine</t>
        </is>
      </c>
      <c r="F265" s="68">
        <f>IF(OR(B265="",A265=""),"",IF(COUNTIFS('Relevés compteurs'!$B$5:$B$1504,B265,'Relevés compteurs'!$A$5:$A$1504,"&lt;"&amp;A265)=0,"",D265-_xlfn.MAXIFS('Relevés compteurs'!$D$5:$D$1504,'Relevés compteurs'!$B$5:$B$1504,B265,'Relevés compteurs'!$A$5:$A$1504,"&lt;"&amp;A265)))</f>
        <v/>
      </c>
    </row>
    <row r="266">
      <c r="A266" s="65" t="n">
        <v>46204</v>
      </c>
      <c r="B266" s="7" t="inlineStr">
        <is>
          <t>EQ-USI-002</t>
        </is>
      </c>
      <c r="C266" s="9">
        <f>IF(B266="","",IFERROR(INDEX('Équipements'!$B$5:$B$304,MATCH(B266,'Équipements'!$A$5:$A$304,0)),"Code inconnu"))</f>
        <v/>
      </c>
      <c r="D266" s="67" t="n">
        <v>32814</v>
      </c>
      <c r="E266" s="7" t="inlineStr">
        <is>
          <t>Ronde maintenance</t>
        </is>
      </c>
      <c r="F266" s="68">
        <f>IF(OR(B266="",A266=""),"",IF(COUNTIFS('Relevés compteurs'!$B$5:$B$1504,B266,'Relevés compteurs'!$A$5:$A$1504,"&lt;"&amp;A266)=0,"",D266-_xlfn.MAXIFS('Relevés compteurs'!$D$5:$D$1504,'Relevés compteurs'!$B$5:$B$1504,B266,'Relevés compteurs'!$A$5:$A$1504,"&lt;"&amp;A266)))</f>
        <v/>
      </c>
    </row>
    <row r="267">
      <c r="A267" s="65" t="n">
        <v>46204</v>
      </c>
      <c r="B267" s="7" t="inlineStr">
        <is>
          <t>EQ-USI-004</t>
        </is>
      </c>
      <c r="C267" s="9">
        <f>IF(B267="","",IFERROR(INDEX('Équipements'!$B$5:$B$304,MATCH(B267,'Équipements'!$A$5:$A$304,0)),"Code inconnu"))</f>
        <v/>
      </c>
      <c r="D267" s="67" t="n">
        <v>38305</v>
      </c>
      <c r="E267" s="7" t="inlineStr">
        <is>
          <t>Nadia Rousseau</t>
        </is>
      </c>
      <c r="F267" s="68">
        <f>IF(OR(B267="",A267=""),"",IF(COUNTIFS('Relevés compteurs'!$B$5:$B$1504,B267,'Relevés compteurs'!$A$5:$A$1504,"&lt;"&amp;A267)=0,"",D267-_xlfn.MAXIFS('Relevés compteurs'!$D$5:$D$1504,'Relevés compteurs'!$B$5:$B$1504,B267,'Relevés compteurs'!$A$5:$A$1504,"&lt;"&amp;A267)))</f>
        <v/>
      </c>
    </row>
    <row r="268">
      <c r="A268" s="65" t="n">
        <v>46204</v>
      </c>
      <c r="B268" s="7" t="inlineStr">
        <is>
          <t>EQ-USI-005</t>
        </is>
      </c>
      <c r="C268" s="9">
        <f>IF(B268="","",IFERROR(INDEX('Équipements'!$B$5:$B$304,MATCH(B268,'Équipements'!$A$5:$A$304,0)),"Code inconnu"))</f>
        <v/>
      </c>
      <c r="D268" s="67" t="n">
        <v>21006</v>
      </c>
      <c r="E268" s="7" t="inlineStr">
        <is>
          <t>Lucas Fontaine</t>
        </is>
      </c>
      <c r="F268" s="68">
        <f>IF(OR(B268="",A268=""),"",IF(COUNTIFS('Relevés compteurs'!$B$5:$B$1504,B268,'Relevés compteurs'!$A$5:$A$1504,"&lt;"&amp;A268)=0,"",D268-_xlfn.MAXIFS('Relevés compteurs'!$D$5:$D$1504,'Relevés compteurs'!$B$5:$B$1504,B268,'Relevés compteurs'!$A$5:$A$1504,"&lt;"&amp;A268)))</f>
        <v/>
      </c>
    </row>
    <row r="269">
      <c r="A269" s="65" t="n">
        <v>46204</v>
      </c>
      <c r="B269" s="7" t="inlineStr">
        <is>
          <t>EQ-UTI-001</t>
        </is>
      </c>
      <c r="C269" s="9">
        <f>IF(B269="","",IFERROR(INDEX('Équipements'!$B$5:$B$304,MATCH(B269,'Équipements'!$A$5:$A$304,0)),"Code inconnu"))</f>
        <v/>
      </c>
      <c r="D269" s="67" t="n">
        <v>43415</v>
      </c>
      <c r="E269" s="7" t="inlineStr">
        <is>
          <t>Nadia Rousseau</t>
        </is>
      </c>
      <c r="F269" s="68">
        <f>IF(OR(B269="",A269=""),"",IF(COUNTIFS('Relevés compteurs'!$B$5:$B$1504,B269,'Relevés compteurs'!$A$5:$A$1504,"&lt;"&amp;A269)=0,"",D269-_xlfn.MAXIFS('Relevés compteurs'!$D$5:$D$1504,'Relevés compteurs'!$B$5:$B$1504,B269,'Relevés compteurs'!$A$5:$A$1504,"&lt;"&amp;A269)))</f>
        <v/>
      </c>
    </row>
    <row r="270">
      <c r="A270" s="65" t="n">
        <v>46204</v>
      </c>
      <c r="B270" s="7" t="inlineStr">
        <is>
          <t>EQ-UTI-002</t>
        </is>
      </c>
      <c r="C270" s="9">
        <f>IF(B270="","",IFERROR(INDEX('Équipements'!$B$5:$B$304,MATCH(B270,'Équipements'!$A$5:$A$304,0)),"Code inconnu"))</f>
        <v/>
      </c>
      <c r="D270" s="67" t="n">
        <v>34926</v>
      </c>
      <c r="E270" s="7" t="inlineStr">
        <is>
          <t>Lucas Fontaine</t>
        </is>
      </c>
      <c r="F270" s="68">
        <f>IF(OR(B270="",A270=""),"",IF(COUNTIFS('Relevés compteurs'!$B$5:$B$1504,B270,'Relevés compteurs'!$A$5:$A$1504,"&lt;"&amp;A270)=0,"",D270-_xlfn.MAXIFS('Relevés compteurs'!$D$5:$D$1504,'Relevés compteurs'!$B$5:$B$1504,B270,'Relevés compteurs'!$A$5:$A$1504,"&lt;"&amp;A270)))</f>
        <v/>
      </c>
    </row>
    <row r="271">
      <c r="A271" s="65" t="n">
        <v>46237</v>
      </c>
      <c r="B271" s="7" t="inlineStr">
        <is>
          <t>EQ-LOG-001</t>
        </is>
      </c>
      <c r="C271" s="9">
        <f>IF(B271="","",IFERROR(INDEX('Équipements'!$B$5:$B$304,MATCH(B271,'Équipements'!$A$5:$A$304,0)),"Code inconnu"))</f>
        <v/>
      </c>
      <c r="D271" s="67" t="n">
        <v>19454</v>
      </c>
      <c r="E271" s="7" t="inlineStr">
        <is>
          <t>Nadia Rousseau</t>
        </is>
      </c>
      <c r="F271" s="68">
        <f>IF(OR(B271="",A271=""),"",IF(COUNTIFS('Relevés compteurs'!$B$5:$B$1504,B271,'Relevés compteurs'!$A$5:$A$1504,"&lt;"&amp;A271)=0,"",D271-_xlfn.MAXIFS('Relevés compteurs'!$D$5:$D$1504,'Relevés compteurs'!$B$5:$B$1504,B271,'Relevés compteurs'!$A$5:$A$1504,"&lt;"&amp;A271)))</f>
        <v/>
      </c>
    </row>
    <row r="272">
      <c r="A272" s="65" t="n">
        <v>46237</v>
      </c>
      <c r="B272" s="7" t="inlineStr">
        <is>
          <t>EQ-LOG-002</t>
        </is>
      </c>
      <c r="C272" s="9">
        <f>IF(B272="","",IFERROR(INDEX('Équipements'!$B$5:$B$304,MATCH(B272,'Équipements'!$A$5:$A$304,0)),"Code inconnu"))</f>
        <v/>
      </c>
      <c r="D272" s="67" t="n">
        <v>26835</v>
      </c>
      <c r="E272" s="7" t="inlineStr">
        <is>
          <t>Ronde maintenance</t>
        </is>
      </c>
      <c r="F272" s="68">
        <f>IF(OR(B272="",A272=""),"",IF(COUNTIFS('Relevés compteurs'!$B$5:$B$1504,B272,'Relevés compteurs'!$A$5:$A$1504,"&lt;"&amp;A272)=0,"",D272-_xlfn.MAXIFS('Relevés compteurs'!$D$5:$D$1504,'Relevés compteurs'!$B$5:$B$1504,B272,'Relevés compteurs'!$A$5:$A$1504,"&lt;"&amp;A272)))</f>
        <v/>
      </c>
    </row>
    <row r="273">
      <c r="A273" s="65" t="n">
        <v>46237</v>
      </c>
      <c r="B273" s="7" t="inlineStr">
        <is>
          <t>EQ-LOG-003</t>
        </is>
      </c>
      <c r="C273" s="9">
        <f>IF(B273="","",IFERROR(INDEX('Équipements'!$B$5:$B$304,MATCH(B273,'Équipements'!$A$5:$A$304,0)),"Code inconnu"))</f>
        <v/>
      </c>
      <c r="D273" s="67" t="n">
        <v>24068</v>
      </c>
      <c r="E273" s="7" t="inlineStr">
        <is>
          <t>Lucas Fontaine</t>
        </is>
      </c>
      <c r="F273" s="68">
        <f>IF(OR(B273="",A273=""),"",IF(COUNTIFS('Relevés compteurs'!$B$5:$B$1504,B273,'Relevés compteurs'!$A$5:$A$1504,"&lt;"&amp;A273)=0,"",D273-_xlfn.MAXIFS('Relevés compteurs'!$D$5:$D$1504,'Relevés compteurs'!$B$5:$B$1504,B273,'Relevés compteurs'!$A$5:$A$1504,"&lt;"&amp;A273)))</f>
        <v/>
      </c>
    </row>
    <row r="274">
      <c r="A274" s="65" t="n">
        <v>46237</v>
      </c>
      <c r="B274" s="7" t="inlineStr">
        <is>
          <t>EQ-LOG-005</t>
        </is>
      </c>
      <c r="C274" s="9">
        <f>IF(B274="","",IFERROR(INDEX('Équipements'!$B$5:$B$304,MATCH(B274,'Équipements'!$A$5:$A$304,0)),"Code inconnu"))</f>
        <v/>
      </c>
      <c r="D274" s="67" t="n">
        <v>3168</v>
      </c>
      <c r="E274" s="7" t="inlineStr">
        <is>
          <t>Nadia Rousseau</t>
        </is>
      </c>
      <c r="F274" s="68">
        <f>IF(OR(B274="",A274=""),"",IF(COUNTIFS('Relevés compteurs'!$B$5:$B$1504,B274,'Relevés compteurs'!$A$5:$A$1504,"&lt;"&amp;A274)=0,"",D274-_xlfn.MAXIFS('Relevés compteurs'!$D$5:$D$1504,'Relevés compteurs'!$B$5:$B$1504,B274,'Relevés compteurs'!$A$5:$A$1504,"&lt;"&amp;A274)))</f>
        <v/>
      </c>
    </row>
    <row r="275">
      <c r="A275" s="65" t="n">
        <v>46237</v>
      </c>
      <c r="B275" s="7" t="inlineStr">
        <is>
          <t>EQ-SOU-001</t>
        </is>
      </c>
      <c r="C275" s="9">
        <f>IF(B275="","",IFERROR(INDEX('Équipements'!$B$5:$B$304,MATCH(B275,'Équipements'!$A$5:$A$304,0)),"Code inconnu"))</f>
        <v/>
      </c>
      <c r="D275" s="67" t="n">
        <v>19173</v>
      </c>
      <c r="E275" s="7" t="inlineStr">
        <is>
          <t>Lucas Fontaine</t>
        </is>
      </c>
      <c r="F275" s="68">
        <f>IF(OR(B275="",A275=""),"",IF(COUNTIFS('Relevés compteurs'!$B$5:$B$1504,B275,'Relevés compteurs'!$A$5:$A$1504,"&lt;"&amp;A275)=0,"",D275-_xlfn.MAXIFS('Relevés compteurs'!$D$5:$D$1504,'Relevés compteurs'!$B$5:$B$1504,B275,'Relevés compteurs'!$A$5:$A$1504,"&lt;"&amp;A275)))</f>
        <v/>
      </c>
    </row>
    <row r="276">
      <c r="A276" s="65" t="n">
        <v>46237</v>
      </c>
      <c r="B276" s="7" t="inlineStr">
        <is>
          <t>EQ-TOL-001</t>
        </is>
      </c>
      <c r="C276" s="9">
        <f>IF(B276="","",IFERROR(INDEX('Équipements'!$B$5:$B$304,MATCH(B276,'Équipements'!$A$5:$A$304,0)),"Code inconnu"))</f>
        <v/>
      </c>
      <c r="D276" s="67" t="n">
        <v>19711</v>
      </c>
      <c r="E276" s="7" t="inlineStr">
        <is>
          <t>Nadia Rousseau</t>
        </is>
      </c>
      <c r="F276" s="68">
        <f>IF(OR(B276="",A276=""),"",IF(COUNTIFS('Relevés compteurs'!$B$5:$B$1504,B276,'Relevés compteurs'!$A$5:$A$1504,"&lt;"&amp;A276)=0,"",D276-_xlfn.MAXIFS('Relevés compteurs'!$D$5:$D$1504,'Relevés compteurs'!$B$5:$B$1504,B276,'Relevés compteurs'!$A$5:$A$1504,"&lt;"&amp;A276)))</f>
        <v/>
      </c>
    </row>
    <row r="277">
      <c r="A277" s="65" t="n">
        <v>46237</v>
      </c>
      <c r="B277" s="7" t="inlineStr">
        <is>
          <t>EQ-TOL-002</t>
        </is>
      </c>
      <c r="C277" s="9">
        <f>IF(B277="","",IFERROR(INDEX('Équipements'!$B$5:$B$304,MATCH(B277,'Équipements'!$A$5:$A$304,0)),"Code inconnu"))</f>
        <v/>
      </c>
      <c r="D277" s="67" t="n">
        <v>49987</v>
      </c>
      <c r="E277" s="7" t="inlineStr">
        <is>
          <t>Ronde maintenance</t>
        </is>
      </c>
      <c r="F277" s="68">
        <f>IF(OR(B277="",A277=""),"",IF(COUNTIFS('Relevés compteurs'!$B$5:$B$1504,B277,'Relevés compteurs'!$A$5:$A$1504,"&lt;"&amp;A277)=0,"",D277-_xlfn.MAXIFS('Relevés compteurs'!$D$5:$D$1504,'Relevés compteurs'!$B$5:$B$1504,B277,'Relevés compteurs'!$A$5:$A$1504,"&lt;"&amp;A277)))</f>
        <v/>
      </c>
    </row>
    <row r="278">
      <c r="A278" s="65" t="n">
        <v>46237</v>
      </c>
      <c r="B278" s="7" t="inlineStr">
        <is>
          <t>EQ-TOL-003</t>
        </is>
      </c>
      <c r="C278" s="9">
        <f>IF(B278="","",IFERROR(INDEX('Équipements'!$B$5:$B$304,MATCH(B278,'Équipements'!$A$5:$A$304,0)),"Code inconnu"))</f>
        <v/>
      </c>
      <c r="D278" s="67" t="n">
        <v>24195</v>
      </c>
      <c r="E278" s="7" t="inlineStr">
        <is>
          <t>Lucas Fontaine</t>
        </is>
      </c>
      <c r="F278" s="68">
        <f>IF(OR(B278="",A278=""),"",IF(COUNTIFS('Relevés compteurs'!$B$5:$B$1504,B278,'Relevés compteurs'!$A$5:$A$1504,"&lt;"&amp;A278)=0,"",D278-_xlfn.MAXIFS('Relevés compteurs'!$D$5:$D$1504,'Relevés compteurs'!$B$5:$B$1504,B278,'Relevés compteurs'!$A$5:$A$1504,"&lt;"&amp;A278)))</f>
        <v/>
      </c>
    </row>
    <row r="279">
      <c r="A279" s="65" t="n">
        <v>46237</v>
      </c>
      <c r="B279" s="7" t="inlineStr">
        <is>
          <t>EQ-USI-001</t>
        </is>
      </c>
      <c r="C279" s="9">
        <f>IF(B279="","",IFERROR(INDEX('Équipements'!$B$5:$B$304,MATCH(B279,'Équipements'!$A$5:$A$304,0)),"Code inconnu"))</f>
        <v/>
      </c>
      <c r="D279" s="67" t="n">
        <v>24110</v>
      </c>
      <c r="E279" s="7" t="inlineStr">
        <is>
          <t>Lucas Fontaine</t>
        </is>
      </c>
      <c r="F279" s="68">
        <f>IF(OR(B279="",A279=""),"",IF(COUNTIFS('Relevés compteurs'!$B$5:$B$1504,B279,'Relevés compteurs'!$A$5:$A$1504,"&lt;"&amp;A279)=0,"",D279-_xlfn.MAXIFS('Relevés compteurs'!$D$5:$D$1504,'Relevés compteurs'!$B$5:$B$1504,B279,'Relevés compteurs'!$A$5:$A$1504,"&lt;"&amp;A279)))</f>
        <v/>
      </c>
    </row>
    <row r="280">
      <c r="A280" s="65" t="n">
        <v>46237</v>
      </c>
      <c r="B280" s="7" t="inlineStr">
        <is>
          <t>EQ-USI-002</t>
        </is>
      </c>
      <c r="C280" s="9">
        <f>IF(B280="","",IFERROR(INDEX('Équipements'!$B$5:$B$304,MATCH(B280,'Équipements'!$A$5:$A$304,0)),"Code inconnu"))</f>
        <v/>
      </c>
      <c r="D280" s="67" t="n">
        <v>33094</v>
      </c>
      <c r="E280" s="7" t="inlineStr">
        <is>
          <t>Lucas Fontaine</t>
        </is>
      </c>
      <c r="F280" s="68">
        <f>IF(OR(B280="",A280=""),"",IF(COUNTIFS('Relevés compteurs'!$B$5:$B$1504,B280,'Relevés compteurs'!$A$5:$A$1504,"&lt;"&amp;A280)=0,"",D280-_xlfn.MAXIFS('Relevés compteurs'!$D$5:$D$1504,'Relevés compteurs'!$B$5:$B$1504,B280,'Relevés compteurs'!$A$5:$A$1504,"&lt;"&amp;A280)))</f>
        <v/>
      </c>
    </row>
    <row r="281">
      <c r="A281" s="65" t="n">
        <v>46237</v>
      </c>
      <c r="B281" s="7" t="inlineStr">
        <is>
          <t>EQ-USI-004</t>
        </is>
      </c>
      <c r="C281" s="9">
        <f>IF(B281="","",IFERROR(INDEX('Équipements'!$B$5:$B$304,MATCH(B281,'Équipements'!$A$5:$A$304,0)),"Code inconnu"))</f>
        <v/>
      </c>
      <c r="D281" s="67" t="n">
        <v>38562</v>
      </c>
      <c r="E281" s="7" t="inlineStr">
        <is>
          <t>Ronde maintenance</t>
        </is>
      </c>
      <c r="F281" s="68">
        <f>IF(OR(B281="",A281=""),"",IF(COUNTIFS('Relevés compteurs'!$B$5:$B$1504,B281,'Relevés compteurs'!$A$5:$A$1504,"&lt;"&amp;A281)=0,"",D281-_xlfn.MAXIFS('Relevés compteurs'!$D$5:$D$1504,'Relevés compteurs'!$B$5:$B$1504,B281,'Relevés compteurs'!$A$5:$A$1504,"&lt;"&amp;A281)))</f>
        <v/>
      </c>
    </row>
    <row r="282">
      <c r="A282" s="65" t="n">
        <v>46237</v>
      </c>
      <c r="B282" s="7" t="inlineStr">
        <is>
          <t>EQ-USI-005</t>
        </is>
      </c>
      <c r="C282" s="9">
        <f>IF(B282="","",IFERROR(INDEX('Équipements'!$B$5:$B$304,MATCH(B282,'Équipements'!$A$5:$A$304,0)),"Code inconnu"))</f>
        <v/>
      </c>
      <c r="D282" s="67" t="n">
        <v>21268</v>
      </c>
      <c r="E282" s="7" t="inlineStr">
        <is>
          <t>Nadia Rousseau</t>
        </is>
      </c>
      <c r="F282" s="68">
        <f>IF(OR(B282="",A282=""),"",IF(COUNTIFS('Relevés compteurs'!$B$5:$B$1504,B282,'Relevés compteurs'!$A$5:$A$1504,"&lt;"&amp;A282)=0,"",D282-_xlfn.MAXIFS('Relevés compteurs'!$D$5:$D$1504,'Relevés compteurs'!$B$5:$B$1504,B282,'Relevés compteurs'!$A$5:$A$1504,"&lt;"&amp;A282)))</f>
        <v/>
      </c>
    </row>
    <row r="283">
      <c r="A283" s="65" t="n">
        <v>46237</v>
      </c>
      <c r="B283" s="7" t="inlineStr">
        <is>
          <t>EQ-UTI-001</t>
        </is>
      </c>
      <c r="C283" s="9">
        <f>IF(B283="","",IFERROR(INDEX('Équipements'!$B$5:$B$304,MATCH(B283,'Équipements'!$A$5:$A$304,0)),"Code inconnu"))</f>
        <v/>
      </c>
      <c r="D283" s="67" t="n">
        <v>43864</v>
      </c>
      <c r="E283" s="7" t="inlineStr">
        <is>
          <t>Nadia Rousseau</t>
        </is>
      </c>
      <c r="F283" s="68">
        <f>IF(OR(B283="",A283=""),"",IF(COUNTIFS('Relevés compteurs'!$B$5:$B$1504,B283,'Relevés compteurs'!$A$5:$A$1504,"&lt;"&amp;A283)=0,"",D283-_xlfn.MAXIFS('Relevés compteurs'!$D$5:$D$1504,'Relevés compteurs'!$B$5:$B$1504,B283,'Relevés compteurs'!$A$5:$A$1504,"&lt;"&amp;A283)))</f>
        <v/>
      </c>
    </row>
    <row r="284">
      <c r="A284" s="65" t="n">
        <v>46237</v>
      </c>
      <c r="B284" s="7" t="inlineStr">
        <is>
          <t>EQ-UTI-002</t>
        </is>
      </c>
      <c r="C284" s="9">
        <f>IF(B284="","",IFERROR(INDEX('Équipements'!$B$5:$B$304,MATCH(B284,'Équipements'!$A$5:$A$304,0)),"Code inconnu"))</f>
        <v/>
      </c>
      <c r="D284" s="67" t="n">
        <v>35089</v>
      </c>
      <c r="E284" s="7" t="inlineStr">
        <is>
          <t>Ronde maintenance</t>
        </is>
      </c>
      <c r="F284" s="68">
        <f>IF(OR(B284="",A284=""),"",IF(COUNTIFS('Relevés compteurs'!$B$5:$B$1504,B284,'Relevés compteurs'!$A$5:$A$1504,"&lt;"&amp;A284)=0,"",D284-_xlfn.MAXIFS('Relevés compteurs'!$D$5:$D$1504,'Relevés compteurs'!$B$5:$B$1504,B284,'Relevés compteurs'!$A$5:$A$1504,"&lt;"&amp;A284)))</f>
        <v/>
      </c>
    </row>
    <row r="285">
      <c r="A285" s="65" t="n">
        <v>46266</v>
      </c>
      <c r="B285" s="7" t="inlineStr">
        <is>
          <t>EQ-LOG-001</t>
        </is>
      </c>
      <c r="C285" s="9">
        <f>IF(B285="","",IFERROR(INDEX('Équipements'!$B$5:$B$304,MATCH(B285,'Équipements'!$A$5:$A$304,0)),"Code inconnu"))</f>
        <v/>
      </c>
      <c r="D285" s="67" t="n">
        <v>19676</v>
      </c>
      <c r="E285" s="7" t="inlineStr">
        <is>
          <t>Nadia Rousseau</t>
        </is>
      </c>
      <c r="F285" s="68">
        <f>IF(OR(B285="",A285=""),"",IF(COUNTIFS('Relevés compteurs'!$B$5:$B$1504,B285,'Relevés compteurs'!$A$5:$A$1504,"&lt;"&amp;A285)=0,"",D285-_xlfn.MAXIFS('Relevés compteurs'!$D$5:$D$1504,'Relevés compteurs'!$B$5:$B$1504,B285,'Relevés compteurs'!$A$5:$A$1504,"&lt;"&amp;A285)))</f>
        <v/>
      </c>
    </row>
    <row r="286">
      <c r="A286" s="65" t="n">
        <v>46266</v>
      </c>
      <c r="B286" s="7" t="inlineStr">
        <is>
          <t>EQ-LOG-002</t>
        </is>
      </c>
      <c r="C286" s="9">
        <f>IF(B286="","",IFERROR(INDEX('Équipements'!$B$5:$B$304,MATCH(B286,'Équipements'!$A$5:$A$304,0)),"Code inconnu"))</f>
        <v/>
      </c>
      <c r="D286" s="67" t="n">
        <v>27070</v>
      </c>
      <c r="E286" s="7" t="inlineStr">
        <is>
          <t>Lucas Fontaine</t>
        </is>
      </c>
      <c r="F286" s="68">
        <f>IF(OR(B286="",A286=""),"",IF(COUNTIFS('Relevés compteurs'!$B$5:$B$1504,B286,'Relevés compteurs'!$A$5:$A$1504,"&lt;"&amp;A286)=0,"",D286-_xlfn.MAXIFS('Relevés compteurs'!$D$5:$D$1504,'Relevés compteurs'!$B$5:$B$1504,B286,'Relevés compteurs'!$A$5:$A$1504,"&lt;"&amp;A286)))</f>
        <v/>
      </c>
    </row>
    <row r="287">
      <c r="A287" s="65" t="n">
        <v>46266</v>
      </c>
      <c r="B287" s="7" t="inlineStr">
        <is>
          <t>EQ-LOG-003</t>
        </is>
      </c>
      <c r="C287" s="9">
        <f>IF(B287="","",IFERROR(INDEX('Équipements'!$B$5:$B$304,MATCH(B287,'Équipements'!$A$5:$A$304,0)),"Code inconnu"))</f>
        <v/>
      </c>
      <c r="D287" s="67" t="n">
        <v>24219</v>
      </c>
      <c r="E287" s="7" t="inlineStr">
        <is>
          <t>Ronde maintenance</t>
        </is>
      </c>
      <c r="F287" s="68">
        <f>IF(OR(B287="",A287=""),"",IF(COUNTIFS('Relevés compteurs'!$B$5:$B$1504,B287,'Relevés compteurs'!$A$5:$A$1504,"&lt;"&amp;A287)=0,"",D287-_xlfn.MAXIFS('Relevés compteurs'!$D$5:$D$1504,'Relevés compteurs'!$B$5:$B$1504,B287,'Relevés compteurs'!$A$5:$A$1504,"&lt;"&amp;A287)))</f>
        <v/>
      </c>
    </row>
    <row r="288">
      <c r="A288" s="65" t="n">
        <v>46266</v>
      </c>
      <c r="B288" s="7" t="inlineStr">
        <is>
          <t>EQ-LOG-005</t>
        </is>
      </c>
      <c r="C288" s="9">
        <f>IF(B288="","",IFERROR(INDEX('Équipements'!$B$5:$B$304,MATCH(B288,'Équipements'!$A$5:$A$304,0)),"Code inconnu"))</f>
        <v/>
      </c>
      <c r="D288" s="67" t="n">
        <v>3198</v>
      </c>
      <c r="E288" s="7" t="inlineStr">
        <is>
          <t>Ronde maintenance</t>
        </is>
      </c>
      <c r="F288" s="68">
        <f>IF(OR(B288="",A288=""),"",IF(COUNTIFS('Relevés compteurs'!$B$5:$B$1504,B288,'Relevés compteurs'!$A$5:$A$1504,"&lt;"&amp;A288)=0,"",D288-_xlfn.MAXIFS('Relevés compteurs'!$D$5:$D$1504,'Relevés compteurs'!$B$5:$B$1504,B288,'Relevés compteurs'!$A$5:$A$1504,"&lt;"&amp;A288)))</f>
        <v/>
      </c>
    </row>
    <row r="289">
      <c r="A289" s="65" t="n">
        <v>46266</v>
      </c>
      <c r="B289" s="7" t="inlineStr">
        <is>
          <t>EQ-SOU-001</t>
        </is>
      </c>
      <c r="C289" s="9">
        <f>IF(B289="","",IFERROR(INDEX('Équipements'!$B$5:$B$304,MATCH(B289,'Équipements'!$A$5:$A$304,0)),"Code inconnu"))</f>
        <v/>
      </c>
      <c r="D289" s="67" t="n">
        <v>19411</v>
      </c>
      <c r="E289" s="7" t="inlineStr">
        <is>
          <t>Ronde maintenance</t>
        </is>
      </c>
      <c r="F289" s="68">
        <f>IF(OR(B289="",A289=""),"",IF(COUNTIFS('Relevés compteurs'!$B$5:$B$1504,B289,'Relevés compteurs'!$A$5:$A$1504,"&lt;"&amp;A289)=0,"",D289-_xlfn.MAXIFS('Relevés compteurs'!$D$5:$D$1504,'Relevés compteurs'!$B$5:$B$1504,B289,'Relevés compteurs'!$A$5:$A$1504,"&lt;"&amp;A289)))</f>
        <v/>
      </c>
    </row>
    <row r="290">
      <c r="A290" s="65" t="n">
        <v>46266</v>
      </c>
      <c r="B290" s="7" t="inlineStr">
        <is>
          <t>EQ-TOL-001</t>
        </is>
      </c>
      <c r="C290" s="9">
        <f>IF(B290="","",IFERROR(INDEX('Équipements'!$B$5:$B$304,MATCH(B290,'Équipements'!$A$5:$A$304,0)),"Code inconnu"))</f>
        <v/>
      </c>
      <c r="D290" s="67" t="n">
        <v>20009</v>
      </c>
      <c r="E290" s="7" t="inlineStr">
        <is>
          <t>Lucas Fontaine</t>
        </is>
      </c>
      <c r="F290" s="68">
        <f>IF(OR(B290="",A290=""),"",IF(COUNTIFS('Relevés compteurs'!$B$5:$B$1504,B290,'Relevés compteurs'!$A$5:$A$1504,"&lt;"&amp;A290)=0,"",D290-_xlfn.MAXIFS('Relevés compteurs'!$D$5:$D$1504,'Relevés compteurs'!$B$5:$B$1504,B290,'Relevés compteurs'!$A$5:$A$1504,"&lt;"&amp;A290)))</f>
        <v/>
      </c>
    </row>
    <row r="291">
      <c r="A291" s="65" t="n">
        <v>46266</v>
      </c>
      <c r="B291" s="7" t="inlineStr">
        <is>
          <t>EQ-TOL-002</t>
        </is>
      </c>
      <c r="C291" s="9">
        <f>IF(B291="","",IFERROR(INDEX('Équipements'!$B$5:$B$304,MATCH(B291,'Équipements'!$A$5:$A$304,0)),"Code inconnu"))</f>
        <v/>
      </c>
      <c r="D291" s="67" t="n">
        <v>50220</v>
      </c>
      <c r="E291" s="7" t="inlineStr">
        <is>
          <t>Nadia Rousseau</t>
        </is>
      </c>
      <c r="F291" s="68">
        <f>IF(OR(B291="",A291=""),"",IF(COUNTIFS('Relevés compteurs'!$B$5:$B$1504,B291,'Relevés compteurs'!$A$5:$A$1504,"&lt;"&amp;A291)=0,"",D291-_xlfn.MAXIFS('Relevés compteurs'!$D$5:$D$1504,'Relevés compteurs'!$B$5:$B$1504,B291,'Relevés compteurs'!$A$5:$A$1504,"&lt;"&amp;A291)))</f>
        <v/>
      </c>
    </row>
    <row r="292">
      <c r="A292" s="65" t="n">
        <v>46266</v>
      </c>
      <c r="B292" s="7" t="inlineStr">
        <is>
          <t>EQ-TOL-003</t>
        </is>
      </c>
      <c r="C292" s="9">
        <f>IF(B292="","",IFERROR(INDEX('Équipements'!$B$5:$B$304,MATCH(B292,'Équipements'!$A$5:$A$304,0)),"Code inconnu"))</f>
        <v/>
      </c>
      <c r="D292" s="67" t="n">
        <v>24425</v>
      </c>
      <c r="E292" s="7" t="inlineStr">
        <is>
          <t>Lucas Fontaine</t>
        </is>
      </c>
      <c r="F292" s="68">
        <f>IF(OR(B292="",A292=""),"",IF(COUNTIFS('Relevés compteurs'!$B$5:$B$1504,B292,'Relevés compteurs'!$A$5:$A$1504,"&lt;"&amp;A292)=0,"",D292-_xlfn.MAXIFS('Relevés compteurs'!$D$5:$D$1504,'Relevés compteurs'!$B$5:$B$1504,B292,'Relevés compteurs'!$A$5:$A$1504,"&lt;"&amp;A292)))</f>
        <v/>
      </c>
    </row>
    <row r="293">
      <c r="A293" s="65" t="n">
        <v>46266</v>
      </c>
      <c r="B293" s="7" t="inlineStr">
        <is>
          <t>EQ-USI-001</t>
        </is>
      </c>
      <c r="C293" s="9">
        <f>IF(B293="","",IFERROR(INDEX('Équipements'!$B$5:$B$304,MATCH(B293,'Équipements'!$A$5:$A$304,0)),"Code inconnu"))</f>
        <v/>
      </c>
      <c r="D293" s="67" t="n">
        <v>24350</v>
      </c>
      <c r="E293" s="7" t="inlineStr">
        <is>
          <t>Lucas Fontaine</t>
        </is>
      </c>
      <c r="F293" s="68">
        <f>IF(OR(B293="",A293=""),"",IF(COUNTIFS('Relevés compteurs'!$B$5:$B$1504,B293,'Relevés compteurs'!$A$5:$A$1504,"&lt;"&amp;A293)=0,"",D293-_xlfn.MAXIFS('Relevés compteurs'!$D$5:$D$1504,'Relevés compteurs'!$B$5:$B$1504,B293,'Relevés compteurs'!$A$5:$A$1504,"&lt;"&amp;A293)))</f>
        <v/>
      </c>
    </row>
    <row r="294">
      <c r="A294" s="65" t="n">
        <v>46266</v>
      </c>
      <c r="B294" s="7" t="inlineStr">
        <is>
          <t>EQ-USI-002</t>
        </is>
      </c>
      <c r="C294" s="9">
        <f>IF(B294="","",IFERROR(INDEX('Équipements'!$B$5:$B$304,MATCH(B294,'Équipements'!$A$5:$A$304,0)),"Code inconnu"))</f>
        <v/>
      </c>
      <c r="D294" s="67" t="n">
        <v>33397</v>
      </c>
      <c r="E294" s="7" t="inlineStr">
        <is>
          <t>Nadia Rousseau</t>
        </is>
      </c>
      <c r="F294" s="68">
        <f>IF(OR(B294="",A294=""),"",IF(COUNTIFS('Relevés compteurs'!$B$5:$B$1504,B294,'Relevés compteurs'!$A$5:$A$1504,"&lt;"&amp;A294)=0,"",D294-_xlfn.MAXIFS('Relevés compteurs'!$D$5:$D$1504,'Relevés compteurs'!$B$5:$B$1504,B294,'Relevés compteurs'!$A$5:$A$1504,"&lt;"&amp;A294)))</f>
        <v/>
      </c>
    </row>
    <row r="295">
      <c r="A295" s="65" t="n">
        <v>46266</v>
      </c>
      <c r="B295" s="7" t="inlineStr">
        <is>
          <t>EQ-USI-004</t>
        </is>
      </c>
      <c r="C295" s="9">
        <f>IF(B295="","",IFERROR(INDEX('Équipements'!$B$5:$B$304,MATCH(B295,'Équipements'!$A$5:$A$304,0)),"Code inconnu"))</f>
        <v/>
      </c>
      <c r="D295" s="67" t="n">
        <v>38866</v>
      </c>
      <c r="E295" s="7" t="inlineStr">
        <is>
          <t>Nadia Rousseau</t>
        </is>
      </c>
      <c r="F295" s="68">
        <f>IF(OR(B295="",A295=""),"",IF(COUNTIFS('Relevés compteurs'!$B$5:$B$1504,B295,'Relevés compteurs'!$A$5:$A$1504,"&lt;"&amp;A295)=0,"",D295-_xlfn.MAXIFS('Relevés compteurs'!$D$5:$D$1504,'Relevés compteurs'!$B$5:$B$1504,B295,'Relevés compteurs'!$A$5:$A$1504,"&lt;"&amp;A295)))</f>
        <v/>
      </c>
    </row>
    <row r="296">
      <c r="A296" s="65" t="n">
        <v>46266</v>
      </c>
      <c r="B296" s="7" t="inlineStr">
        <is>
          <t>EQ-USI-005</t>
        </is>
      </c>
      <c r="C296" s="9">
        <f>IF(B296="","",IFERROR(INDEX('Équipements'!$B$5:$B$304,MATCH(B296,'Équipements'!$A$5:$A$304,0)),"Code inconnu"))</f>
        <v/>
      </c>
      <c r="D296" s="67" t="n">
        <v>21581</v>
      </c>
      <c r="E296" s="7" t="inlineStr">
        <is>
          <t>Nadia Rousseau</t>
        </is>
      </c>
      <c r="F296" s="68">
        <f>IF(OR(B296="",A296=""),"",IF(COUNTIFS('Relevés compteurs'!$B$5:$B$1504,B296,'Relevés compteurs'!$A$5:$A$1504,"&lt;"&amp;A296)=0,"",D296-_xlfn.MAXIFS('Relevés compteurs'!$D$5:$D$1504,'Relevés compteurs'!$B$5:$B$1504,B296,'Relevés compteurs'!$A$5:$A$1504,"&lt;"&amp;A296)))</f>
        <v/>
      </c>
    </row>
    <row r="297">
      <c r="A297" s="65" t="n">
        <v>46266</v>
      </c>
      <c r="B297" s="7" t="inlineStr">
        <is>
          <t>EQ-UTI-001</t>
        </is>
      </c>
      <c r="C297" s="9">
        <f>IF(B297="","",IFERROR(INDEX('Équipements'!$B$5:$B$304,MATCH(B297,'Équipements'!$A$5:$A$304,0)),"Code inconnu"))</f>
        <v/>
      </c>
      <c r="D297" s="67" t="n">
        <v>44318</v>
      </c>
      <c r="E297" s="7" t="inlineStr">
        <is>
          <t>Lucas Fontaine</t>
        </is>
      </c>
      <c r="F297" s="68">
        <f>IF(OR(B297="",A297=""),"",IF(COUNTIFS('Relevés compteurs'!$B$5:$B$1504,B297,'Relevés compteurs'!$A$5:$A$1504,"&lt;"&amp;A297)=0,"",D297-_xlfn.MAXIFS('Relevés compteurs'!$D$5:$D$1504,'Relevés compteurs'!$B$5:$B$1504,B297,'Relevés compteurs'!$A$5:$A$1504,"&lt;"&amp;A297)))</f>
        <v/>
      </c>
    </row>
    <row r="298">
      <c r="A298" s="65" t="n">
        <v>46266</v>
      </c>
      <c r="B298" s="7" t="inlineStr">
        <is>
          <t>EQ-UTI-002</t>
        </is>
      </c>
      <c r="C298" s="9">
        <f>IF(B298="","",IFERROR(INDEX('Équipements'!$B$5:$B$304,MATCH(B298,'Équipements'!$A$5:$A$304,0)),"Code inconnu"))</f>
        <v/>
      </c>
      <c r="D298" s="67" t="n">
        <v>35276</v>
      </c>
      <c r="E298" s="7" t="inlineStr">
        <is>
          <t>Lucas Fontaine</t>
        </is>
      </c>
      <c r="F298" s="68">
        <f>IF(OR(B298="",A298=""),"",IF(COUNTIFS('Relevés compteurs'!$B$5:$B$1504,B298,'Relevés compteurs'!$A$5:$A$1504,"&lt;"&amp;A298)=0,"",D298-_xlfn.MAXIFS('Relevés compteurs'!$D$5:$D$1504,'Relevés compteurs'!$B$5:$B$1504,B298,'Relevés compteurs'!$A$5:$A$1504,"&lt;"&amp;A298)))</f>
        <v/>
      </c>
    </row>
    <row r="299">
      <c r="A299" s="65" t="n">
        <v>46296</v>
      </c>
      <c r="B299" s="7" t="inlineStr">
        <is>
          <t>EQ-LOG-001</t>
        </is>
      </c>
      <c r="C299" s="9">
        <f>IF(B299="","",IFERROR(INDEX('Équipements'!$B$5:$B$304,MATCH(B299,'Équipements'!$A$5:$A$304,0)),"Code inconnu"))</f>
        <v/>
      </c>
      <c r="D299" s="67" t="n">
        <v>19910</v>
      </c>
      <c r="E299" s="7" t="inlineStr">
        <is>
          <t>Ronde maintenance</t>
        </is>
      </c>
      <c r="F299" s="68">
        <f>IF(OR(B299="",A299=""),"",IF(COUNTIFS('Relevés compteurs'!$B$5:$B$1504,B299,'Relevés compteurs'!$A$5:$A$1504,"&lt;"&amp;A299)=0,"",D299-_xlfn.MAXIFS('Relevés compteurs'!$D$5:$D$1504,'Relevés compteurs'!$B$5:$B$1504,B299,'Relevés compteurs'!$A$5:$A$1504,"&lt;"&amp;A299)))</f>
        <v/>
      </c>
    </row>
    <row r="300">
      <c r="A300" s="65" t="n">
        <v>46296</v>
      </c>
      <c r="B300" s="7" t="inlineStr">
        <is>
          <t>EQ-LOG-002</t>
        </is>
      </c>
      <c r="C300" s="9">
        <f>IF(B300="","",IFERROR(INDEX('Équipements'!$B$5:$B$304,MATCH(B300,'Équipements'!$A$5:$A$304,0)),"Code inconnu"))</f>
        <v/>
      </c>
      <c r="D300" s="67" t="n">
        <v>27273</v>
      </c>
      <c r="E300" s="7" t="inlineStr">
        <is>
          <t>Ronde maintenance</t>
        </is>
      </c>
      <c r="F300" s="68">
        <f>IF(OR(B300="",A300=""),"",IF(COUNTIFS('Relevés compteurs'!$B$5:$B$1504,B300,'Relevés compteurs'!$A$5:$A$1504,"&lt;"&amp;A300)=0,"",D300-_xlfn.MAXIFS('Relevés compteurs'!$D$5:$D$1504,'Relevés compteurs'!$B$5:$B$1504,B300,'Relevés compteurs'!$A$5:$A$1504,"&lt;"&amp;A300)))</f>
        <v/>
      </c>
    </row>
    <row r="301">
      <c r="A301" s="65" t="n">
        <v>46296</v>
      </c>
      <c r="B301" s="7" t="inlineStr">
        <is>
          <t>EQ-LOG-003</t>
        </is>
      </c>
      <c r="C301" s="9">
        <f>IF(B301="","",IFERROR(INDEX('Équipements'!$B$5:$B$304,MATCH(B301,'Équipements'!$A$5:$A$304,0)),"Code inconnu"))</f>
        <v/>
      </c>
      <c r="D301" s="67" t="n">
        <v>24357</v>
      </c>
      <c r="E301" s="7" t="inlineStr">
        <is>
          <t>Lucas Fontaine</t>
        </is>
      </c>
      <c r="F301" s="68">
        <f>IF(OR(B301="",A301=""),"",IF(COUNTIFS('Relevés compteurs'!$B$5:$B$1504,B301,'Relevés compteurs'!$A$5:$A$1504,"&lt;"&amp;A301)=0,"",D301-_xlfn.MAXIFS('Relevés compteurs'!$D$5:$D$1504,'Relevés compteurs'!$B$5:$B$1504,B301,'Relevés compteurs'!$A$5:$A$1504,"&lt;"&amp;A301)))</f>
        <v/>
      </c>
    </row>
    <row r="302">
      <c r="A302" s="65" t="n">
        <v>46296</v>
      </c>
      <c r="B302" s="7" t="inlineStr">
        <is>
          <t>EQ-LOG-005</t>
        </is>
      </c>
      <c r="C302" s="9">
        <f>IF(B302="","",IFERROR(INDEX('Équipements'!$B$5:$B$304,MATCH(B302,'Équipements'!$A$5:$A$304,0)),"Code inconnu"))</f>
        <v/>
      </c>
      <c r="D302" s="67" t="n">
        <v>3231</v>
      </c>
      <c r="E302" s="7" t="inlineStr">
        <is>
          <t>Nadia Rousseau</t>
        </is>
      </c>
      <c r="F302" s="68">
        <f>IF(OR(B302="",A302=""),"",IF(COUNTIFS('Relevés compteurs'!$B$5:$B$1504,B302,'Relevés compteurs'!$A$5:$A$1504,"&lt;"&amp;A302)=0,"",D302-_xlfn.MAXIFS('Relevés compteurs'!$D$5:$D$1504,'Relevés compteurs'!$B$5:$B$1504,B302,'Relevés compteurs'!$A$5:$A$1504,"&lt;"&amp;A302)))</f>
        <v/>
      </c>
    </row>
    <row r="303">
      <c r="A303" s="65" t="n">
        <v>46296</v>
      </c>
      <c r="B303" s="7" t="inlineStr">
        <is>
          <t>EQ-SOU-001</t>
        </is>
      </c>
      <c r="C303" s="9">
        <f>IF(B303="","",IFERROR(INDEX('Équipements'!$B$5:$B$304,MATCH(B303,'Équipements'!$A$5:$A$304,0)),"Code inconnu"))</f>
        <v/>
      </c>
      <c r="D303" s="67" t="n">
        <v>19718</v>
      </c>
      <c r="E303" s="7" t="inlineStr">
        <is>
          <t>Lucas Fontaine</t>
        </is>
      </c>
      <c r="F303" s="68">
        <f>IF(OR(B303="",A303=""),"",IF(COUNTIFS('Relevés compteurs'!$B$5:$B$1504,B303,'Relevés compteurs'!$A$5:$A$1504,"&lt;"&amp;A303)=0,"",D303-_xlfn.MAXIFS('Relevés compteurs'!$D$5:$D$1504,'Relevés compteurs'!$B$5:$B$1504,B303,'Relevés compteurs'!$A$5:$A$1504,"&lt;"&amp;A303)))</f>
        <v/>
      </c>
    </row>
    <row r="304">
      <c r="A304" s="65" t="n">
        <v>46296</v>
      </c>
      <c r="B304" s="7" t="inlineStr">
        <is>
          <t>EQ-TOL-001</t>
        </is>
      </c>
      <c r="C304" s="9">
        <f>IF(B304="","",IFERROR(INDEX('Équipements'!$B$5:$B$304,MATCH(B304,'Équipements'!$A$5:$A$304,0)),"Code inconnu"))</f>
        <v/>
      </c>
      <c r="D304" s="67" t="n">
        <v>20342</v>
      </c>
      <c r="E304" s="7" t="inlineStr">
        <is>
          <t>Ronde maintenance</t>
        </is>
      </c>
      <c r="F304" s="68">
        <f>IF(OR(B304="",A304=""),"",IF(COUNTIFS('Relevés compteurs'!$B$5:$B$1504,B304,'Relevés compteurs'!$A$5:$A$1504,"&lt;"&amp;A304)=0,"",D304-_xlfn.MAXIFS('Relevés compteurs'!$D$5:$D$1504,'Relevés compteurs'!$B$5:$B$1504,B304,'Relevés compteurs'!$A$5:$A$1504,"&lt;"&amp;A304)))</f>
        <v/>
      </c>
    </row>
    <row r="305">
      <c r="A305" s="65" t="n">
        <v>46296</v>
      </c>
      <c r="B305" s="7" t="inlineStr">
        <is>
          <t>EQ-TOL-002</t>
        </is>
      </c>
      <c r="C305" s="9">
        <f>IF(B305="","",IFERROR(INDEX('Équipements'!$B$5:$B$304,MATCH(B305,'Équipements'!$A$5:$A$304,0)),"Code inconnu"))</f>
        <v/>
      </c>
      <c r="D305" s="67" t="n">
        <v>50513</v>
      </c>
      <c r="E305" s="7" t="inlineStr">
        <is>
          <t>Nadia Rousseau</t>
        </is>
      </c>
      <c r="F305" s="68">
        <f>IF(OR(B305="",A305=""),"",IF(COUNTIFS('Relevés compteurs'!$B$5:$B$1504,B305,'Relevés compteurs'!$A$5:$A$1504,"&lt;"&amp;A305)=0,"",D305-_xlfn.MAXIFS('Relevés compteurs'!$D$5:$D$1504,'Relevés compteurs'!$B$5:$B$1504,B305,'Relevés compteurs'!$A$5:$A$1504,"&lt;"&amp;A305)))</f>
        <v/>
      </c>
    </row>
    <row r="306">
      <c r="A306" s="65" t="n">
        <v>46296</v>
      </c>
      <c r="B306" s="7" t="inlineStr">
        <is>
          <t>EQ-TOL-003</t>
        </is>
      </c>
      <c r="C306" s="9">
        <f>IF(B306="","",IFERROR(INDEX('Équipements'!$B$5:$B$304,MATCH(B306,'Équipements'!$A$5:$A$304,0)),"Code inconnu"))</f>
        <v/>
      </c>
      <c r="D306" s="67" t="n">
        <v>24718</v>
      </c>
      <c r="E306" s="7" t="inlineStr">
        <is>
          <t>Ronde maintenance</t>
        </is>
      </c>
      <c r="F306" s="68">
        <f>IF(OR(B306="",A306=""),"",IF(COUNTIFS('Relevés compteurs'!$B$5:$B$1504,B306,'Relevés compteurs'!$A$5:$A$1504,"&lt;"&amp;A306)=0,"",D306-_xlfn.MAXIFS('Relevés compteurs'!$D$5:$D$1504,'Relevés compteurs'!$B$5:$B$1504,B306,'Relevés compteurs'!$A$5:$A$1504,"&lt;"&amp;A306)))</f>
        <v/>
      </c>
    </row>
    <row r="307">
      <c r="A307" s="65" t="n">
        <v>46296</v>
      </c>
      <c r="B307" s="7" t="inlineStr">
        <is>
          <t>EQ-USI-001</t>
        </is>
      </c>
      <c r="C307" s="9">
        <f>IF(B307="","",IFERROR(INDEX('Équipements'!$B$5:$B$304,MATCH(B307,'Équipements'!$A$5:$A$304,0)),"Code inconnu"))</f>
        <v/>
      </c>
      <c r="D307" s="67" t="n">
        <v>24658</v>
      </c>
      <c r="E307" s="7" t="inlineStr">
        <is>
          <t>Nadia Rousseau</t>
        </is>
      </c>
      <c r="F307" s="68">
        <f>IF(OR(B307="",A307=""),"",IF(COUNTIFS('Relevés compteurs'!$B$5:$B$1504,B307,'Relevés compteurs'!$A$5:$A$1504,"&lt;"&amp;A307)=0,"",D307-_xlfn.MAXIFS('Relevés compteurs'!$D$5:$D$1504,'Relevés compteurs'!$B$5:$B$1504,B307,'Relevés compteurs'!$A$5:$A$1504,"&lt;"&amp;A307)))</f>
        <v/>
      </c>
    </row>
    <row r="308">
      <c r="A308" s="65" t="n">
        <v>46296</v>
      </c>
      <c r="B308" s="7" t="inlineStr">
        <is>
          <t>EQ-USI-002</t>
        </is>
      </c>
      <c r="C308" s="9">
        <f>IF(B308="","",IFERROR(INDEX('Équipements'!$B$5:$B$304,MATCH(B308,'Équipements'!$A$5:$A$304,0)),"Code inconnu"))</f>
        <v/>
      </c>
      <c r="D308" s="67" t="n">
        <v>33670</v>
      </c>
      <c r="E308" s="7" t="inlineStr">
        <is>
          <t>Nadia Rousseau</t>
        </is>
      </c>
      <c r="F308" s="68">
        <f>IF(OR(B308="",A308=""),"",IF(COUNTIFS('Relevés compteurs'!$B$5:$B$1504,B308,'Relevés compteurs'!$A$5:$A$1504,"&lt;"&amp;A308)=0,"",D308-_xlfn.MAXIFS('Relevés compteurs'!$D$5:$D$1504,'Relevés compteurs'!$B$5:$B$1504,B308,'Relevés compteurs'!$A$5:$A$1504,"&lt;"&amp;A308)))</f>
        <v/>
      </c>
    </row>
    <row r="309">
      <c r="A309" s="65" t="n">
        <v>46296</v>
      </c>
      <c r="B309" s="7" t="inlineStr">
        <is>
          <t>EQ-USI-004</t>
        </is>
      </c>
      <c r="C309" s="9">
        <f>IF(B309="","",IFERROR(INDEX('Équipements'!$B$5:$B$304,MATCH(B309,'Équipements'!$A$5:$A$304,0)),"Code inconnu"))</f>
        <v/>
      </c>
      <c r="D309" s="67" t="n">
        <v>39111</v>
      </c>
      <c r="E309" s="7" t="inlineStr">
        <is>
          <t>Nadia Rousseau</t>
        </is>
      </c>
      <c r="F309" s="68">
        <f>IF(OR(B309="",A309=""),"",IF(COUNTIFS('Relevés compteurs'!$B$5:$B$1504,B309,'Relevés compteurs'!$A$5:$A$1504,"&lt;"&amp;A309)=0,"",D309-_xlfn.MAXIFS('Relevés compteurs'!$D$5:$D$1504,'Relevés compteurs'!$B$5:$B$1504,B309,'Relevés compteurs'!$A$5:$A$1504,"&lt;"&amp;A309)))</f>
        <v/>
      </c>
    </row>
    <row r="310">
      <c r="A310" s="65" t="n">
        <v>46296</v>
      </c>
      <c r="B310" s="7" t="inlineStr">
        <is>
          <t>EQ-USI-005</t>
        </is>
      </c>
      <c r="C310" s="9">
        <f>IF(B310="","",IFERROR(INDEX('Équipements'!$B$5:$B$304,MATCH(B310,'Équipements'!$A$5:$A$304,0)),"Code inconnu"))</f>
        <v/>
      </c>
      <c r="D310" s="67" t="n">
        <v>21877</v>
      </c>
      <c r="E310" s="7" t="inlineStr">
        <is>
          <t>Ronde maintenance</t>
        </is>
      </c>
      <c r="F310" s="68">
        <f>IF(OR(B310="",A310=""),"",IF(COUNTIFS('Relevés compteurs'!$B$5:$B$1504,B310,'Relevés compteurs'!$A$5:$A$1504,"&lt;"&amp;A310)=0,"",D310-_xlfn.MAXIFS('Relevés compteurs'!$D$5:$D$1504,'Relevés compteurs'!$B$5:$B$1504,B310,'Relevés compteurs'!$A$5:$A$1504,"&lt;"&amp;A310)))</f>
        <v/>
      </c>
    </row>
    <row r="311">
      <c r="A311" s="65" t="n">
        <v>46296</v>
      </c>
      <c r="B311" s="7" t="inlineStr">
        <is>
          <t>EQ-UTI-001</t>
        </is>
      </c>
      <c r="C311" s="9">
        <f>IF(B311="","",IFERROR(INDEX('Équipements'!$B$5:$B$304,MATCH(B311,'Équipements'!$A$5:$A$304,0)),"Code inconnu"))</f>
        <v/>
      </c>
      <c r="D311" s="67" t="n">
        <v>44704</v>
      </c>
      <c r="E311" s="7" t="inlineStr">
        <is>
          <t>Lucas Fontaine</t>
        </is>
      </c>
      <c r="F311" s="68">
        <f>IF(OR(B311="",A311=""),"",IF(COUNTIFS('Relevés compteurs'!$B$5:$B$1504,B311,'Relevés compteurs'!$A$5:$A$1504,"&lt;"&amp;A311)=0,"",D311-_xlfn.MAXIFS('Relevés compteurs'!$D$5:$D$1504,'Relevés compteurs'!$B$5:$B$1504,B311,'Relevés compteurs'!$A$5:$A$1504,"&lt;"&amp;A311)))</f>
        <v/>
      </c>
    </row>
    <row r="312">
      <c r="A312" s="65" t="n">
        <v>46296</v>
      </c>
      <c r="B312" s="7" t="inlineStr">
        <is>
          <t>EQ-UTI-002</t>
        </is>
      </c>
      <c r="C312" s="9">
        <f>IF(B312="","",IFERROR(INDEX('Équipements'!$B$5:$B$304,MATCH(B312,'Équipements'!$A$5:$A$304,0)),"Code inconnu"))</f>
        <v/>
      </c>
      <c r="D312" s="67" t="n">
        <v>35481</v>
      </c>
      <c r="E312" s="7" t="inlineStr">
        <is>
          <t>Lucas Fontaine</t>
        </is>
      </c>
      <c r="F312" s="68">
        <f>IF(OR(B312="",A312=""),"",IF(COUNTIFS('Relevés compteurs'!$B$5:$B$1504,B312,'Relevés compteurs'!$A$5:$A$1504,"&lt;"&amp;A312)=0,"",D312-_xlfn.MAXIFS('Relevés compteurs'!$D$5:$D$1504,'Relevés compteurs'!$B$5:$B$1504,B312,'Relevés compteurs'!$A$5:$A$1504,"&lt;"&amp;A312)))</f>
        <v/>
      </c>
    </row>
    <row r="313">
      <c r="A313" s="65" t="n"/>
      <c r="B313" s="7" t="n"/>
      <c r="C313" s="9">
        <f>IF(B313="","",IFERROR(INDEX('Équipements'!$B$5:$B$304,MATCH(B313,'Équipements'!$A$5:$A$304,0)),"Code inconnu"))</f>
        <v/>
      </c>
      <c r="D313" s="67" t="n"/>
      <c r="E313" s="7" t="n"/>
      <c r="F313" s="68">
        <f>IF(OR(B313="",A313=""),"",IF(COUNTIFS('Relevés compteurs'!$B$5:$B$1504,B313,'Relevés compteurs'!$A$5:$A$1504,"&lt;"&amp;A313)=0,"",D313-_xlfn.MAXIFS('Relevés compteurs'!$D$5:$D$1504,'Relevés compteurs'!$B$5:$B$1504,B313,'Relevés compteurs'!$A$5:$A$1504,"&lt;"&amp;A313)))</f>
        <v/>
      </c>
    </row>
    <row r="314">
      <c r="A314" s="65" t="n"/>
      <c r="B314" s="7" t="n"/>
      <c r="C314" s="9">
        <f>IF(B314="","",IFERROR(INDEX('Équipements'!$B$5:$B$304,MATCH(B314,'Équipements'!$A$5:$A$304,0)),"Code inconnu"))</f>
        <v/>
      </c>
      <c r="D314" s="67" t="n"/>
      <c r="E314" s="7" t="n"/>
      <c r="F314" s="68">
        <f>IF(OR(B314="",A314=""),"",IF(COUNTIFS('Relevés compteurs'!$B$5:$B$1504,B314,'Relevés compteurs'!$A$5:$A$1504,"&lt;"&amp;A314)=0,"",D314-_xlfn.MAXIFS('Relevés compteurs'!$D$5:$D$1504,'Relevés compteurs'!$B$5:$B$1504,B314,'Relevés compteurs'!$A$5:$A$1504,"&lt;"&amp;A314)))</f>
        <v/>
      </c>
    </row>
    <row r="315">
      <c r="A315" s="65" t="n"/>
      <c r="B315" s="7" t="n"/>
      <c r="C315" s="9">
        <f>IF(B315="","",IFERROR(INDEX('Équipements'!$B$5:$B$304,MATCH(B315,'Équipements'!$A$5:$A$304,0)),"Code inconnu"))</f>
        <v/>
      </c>
      <c r="D315" s="67" t="n"/>
      <c r="E315" s="7" t="n"/>
      <c r="F315" s="68">
        <f>IF(OR(B315="",A315=""),"",IF(COUNTIFS('Relevés compteurs'!$B$5:$B$1504,B315,'Relevés compteurs'!$A$5:$A$1504,"&lt;"&amp;A315)=0,"",D315-_xlfn.MAXIFS('Relevés compteurs'!$D$5:$D$1504,'Relevés compteurs'!$B$5:$B$1504,B315,'Relevés compteurs'!$A$5:$A$1504,"&lt;"&amp;A315)))</f>
        <v/>
      </c>
    </row>
    <row r="316">
      <c r="A316" s="65" t="n"/>
      <c r="B316" s="7" t="n"/>
      <c r="C316" s="9">
        <f>IF(B316="","",IFERROR(INDEX('Équipements'!$B$5:$B$304,MATCH(B316,'Équipements'!$A$5:$A$304,0)),"Code inconnu"))</f>
        <v/>
      </c>
      <c r="D316" s="67" t="n"/>
      <c r="E316" s="7" t="n"/>
      <c r="F316" s="68">
        <f>IF(OR(B316="",A316=""),"",IF(COUNTIFS('Relevés compteurs'!$B$5:$B$1504,B316,'Relevés compteurs'!$A$5:$A$1504,"&lt;"&amp;A316)=0,"",D316-_xlfn.MAXIFS('Relevés compteurs'!$D$5:$D$1504,'Relevés compteurs'!$B$5:$B$1504,B316,'Relevés compteurs'!$A$5:$A$1504,"&lt;"&amp;A316)))</f>
        <v/>
      </c>
    </row>
    <row r="317">
      <c r="A317" s="65" t="n"/>
      <c r="B317" s="7" t="n"/>
      <c r="C317" s="9">
        <f>IF(B317="","",IFERROR(INDEX('Équipements'!$B$5:$B$304,MATCH(B317,'Équipements'!$A$5:$A$304,0)),"Code inconnu"))</f>
        <v/>
      </c>
      <c r="D317" s="67" t="n"/>
      <c r="E317" s="7" t="n"/>
      <c r="F317" s="68">
        <f>IF(OR(B317="",A317=""),"",IF(COUNTIFS('Relevés compteurs'!$B$5:$B$1504,B317,'Relevés compteurs'!$A$5:$A$1504,"&lt;"&amp;A317)=0,"",D317-_xlfn.MAXIFS('Relevés compteurs'!$D$5:$D$1504,'Relevés compteurs'!$B$5:$B$1504,B317,'Relevés compteurs'!$A$5:$A$1504,"&lt;"&amp;A317)))</f>
        <v/>
      </c>
    </row>
    <row r="318">
      <c r="A318" s="65" t="n"/>
      <c r="B318" s="7" t="n"/>
      <c r="C318" s="9">
        <f>IF(B318="","",IFERROR(INDEX('Équipements'!$B$5:$B$304,MATCH(B318,'Équipements'!$A$5:$A$304,0)),"Code inconnu"))</f>
        <v/>
      </c>
      <c r="D318" s="67" t="n"/>
      <c r="E318" s="7" t="n"/>
      <c r="F318" s="68">
        <f>IF(OR(B318="",A318=""),"",IF(COUNTIFS('Relevés compteurs'!$B$5:$B$1504,B318,'Relevés compteurs'!$A$5:$A$1504,"&lt;"&amp;A318)=0,"",D318-_xlfn.MAXIFS('Relevés compteurs'!$D$5:$D$1504,'Relevés compteurs'!$B$5:$B$1504,B318,'Relevés compteurs'!$A$5:$A$1504,"&lt;"&amp;A318)))</f>
        <v/>
      </c>
    </row>
    <row r="319">
      <c r="A319" s="65" t="n"/>
      <c r="B319" s="7" t="n"/>
      <c r="C319" s="9">
        <f>IF(B319="","",IFERROR(INDEX('Équipements'!$B$5:$B$304,MATCH(B319,'Équipements'!$A$5:$A$304,0)),"Code inconnu"))</f>
        <v/>
      </c>
      <c r="D319" s="67" t="n"/>
      <c r="E319" s="7" t="n"/>
      <c r="F319" s="68">
        <f>IF(OR(B319="",A319=""),"",IF(COUNTIFS('Relevés compteurs'!$B$5:$B$1504,B319,'Relevés compteurs'!$A$5:$A$1504,"&lt;"&amp;A319)=0,"",D319-_xlfn.MAXIFS('Relevés compteurs'!$D$5:$D$1504,'Relevés compteurs'!$B$5:$B$1504,B319,'Relevés compteurs'!$A$5:$A$1504,"&lt;"&amp;A319)))</f>
        <v/>
      </c>
    </row>
    <row r="320">
      <c r="A320" s="65" t="n"/>
      <c r="B320" s="7" t="n"/>
      <c r="C320" s="9">
        <f>IF(B320="","",IFERROR(INDEX('Équipements'!$B$5:$B$304,MATCH(B320,'Équipements'!$A$5:$A$304,0)),"Code inconnu"))</f>
        <v/>
      </c>
      <c r="D320" s="67" t="n"/>
      <c r="E320" s="7" t="n"/>
      <c r="F320" s="68">
        <f>IF(OR(B320="",A320=""),"",IF(COUNTIFS('Relevés compteurs'!$B$5:$B$1504,B320,'Relevés compteurs'!$A$5:$A$1504,"&lt;"&amp;A320)=0,"",D320-_xlfn.MAXIFS('Relevés compteurs'!$D$5:$D$1504,'Relevés compteurs'!$B$5:$B$1504,B320,'Relevés compteurs'!$A$5:$A$1504,"&lt;"&amp;A320)))</f>
        <v/>
      </c>
    </row>
    <row r="321">
      <c r="A321" s="65" t="n"/>
      <c r="B321" s="7" t="n"/>
      <c r="C321" s="9">
        <f>IF(B321="","",IFERROR(INDEX('Équipements'!$B$5:$B$304,MATCH(B321,'Équipements'!$A$5:$A$304,0)),"Code inconnu"))</f>
        <v/>
      </c>
      <c r="D321" s="67" t="n"/>
      <c r="E321" s="7" t="n"/>
      <c r="F321" s="68">
        <f>IF(OR(B321="",A321=""),"",IF(COUNTIFS('Relevés compteurs'!$B$5:$B$1504,B321,'Relevés compteurs'!$A$5:$A$1504,"&lt;"&amp;A321)=0,"",D321-_xlfn.MAXIFS('Relevés compteurs'!$D$5:$D$1504,'Relevés compteurs'!$B$5:$B$1504,B321,'Relevés compteurs'!$A$5:$A$1504,"&lt;"&amp;A321)))</f>
        <v/>
      </c>
    </row>
    <row r="322">
      <c r="A322" s="65" t="n"/>
      <c r="B322" s="7" t="n"/>
      <c r="C322" s="9">
        <f>IF(B322="","",IFERROR(INDEX('Équipements'!$B$5:$B$304,MATCH(B322,'Équipements'!$A$5:$A$304,0)),"Code inconnu"))</f>
        <v/>
      </c>
      <c r="D322" s="67" t="n"/>
      <c r="E322" s="7" t="n"/>
      <c r="F322" s="68">
        <f>IF(OR(B322="",A322=""),"",IF(COUNTIFS('Relevés compteurs'!$B$5:$B$1504,B322,'Relevés compteurs'!$A$5:$A$1504,"&lt;"&amp;A322)=0,"",D322-_xlfn.MAXIFS('Relevés compteurs'!$D$5:$D$1504,'Relevés compteurs'!$B$5:$B$1504,B322,'Relevés compteurs'!$A$5:$A$1504,"&lt;"&amp;A322)))</f>
        <v/>
      </c>
    </row>
    <row r="323">
      <c r="A323" s="65" t="n"/>
      <c r="B323" s="7" t="n"/>
      <c r="C323" s="9">
        <f>IF(B323="","",IFERROR(INDEX('Équipements'!$B$5:$B$304,MATCH(B323,'Équipements'!$A$5:$A$304,0)),"Code inconnu"))</f>
        <v/>
      </c>
      <c r="D323" s="67" t="n"/>
      <c r="E323" s="7" t="n"/>
      <c r="F323" s="68">
        <f>IF(OR(B323="",A323=""),"",IF(COUNTIFS('Relevés compteurs'!$B$5:$B$1504,B323,'Relevés compteurs'!$A$5:$A$1504,"&lt;"&amp;A323)=0,"",D323-_xlfn.MAXIFS('Relevés compteurs'!$D$5:$D$1504,'Relevés compteurs'!$B$5:$B$1504,B323,'Relevés compteurs'!$A$5:$A$1504,"&lt;"&amp;A323)))</f>
        <v/>
      </c>
    </row>
    <row r="324">
      <c r="A324" s="65" t="n"/>
      <c r="B324" s="7" t="n"/>
      <c r="C324" s="9">
        <f>IF(B324="","",IFERROR(INDEX('Équipements'!$B$5:$B$304,MATCH(B324,'Équipements'!$A$5:$A$304,0)),"Code inconnu"))</f>
        <v/>
      </c>
      <c r="D324" s="67" t="n"/>
      <c r="E324" s="7" t="n"/>
      <c r="F324" s="68">
        <f>IF(OR(B324="",A324=""),"",IF(COUNTIFS('Relevés compteurs'!$B$5:$B$1504,B324,'Relevés compteurs'!$A$5:$A$1504,"&lt;"&amp;A324)=0,"",D324-_xlfn.MAXIFS('Relevés compteurs'!$D$5:$D$1504,'Relevés compteurs'!$B$5:$B$1504,B324,'Relevés compteurs'!$A$5:$A$1504,"&lt;"&amp;A324)))</f>
        <v/>
      </c>
    </row>
    <row r="325">
      <c r="A325" s="65" t="n"/>
      <c r="B325" s="7" t="n"/>
      <c r="C325" s="9">
        <f>IF(B325="","",IFERROR(INDEX('Équipements'!$B$5:$B$304,MATCH(B325,'Équipements'!$A$5:$A$304,0)),"Code inconnu"))</f>
        <v/>
      </c>
      <c r="D325" s="67" t="n"/>
      <c r="E325" s="7" t="n"/>
      <c r="F325" s="68">
        <f>IF(OR(B325="",A325=""),"",IF(COUNTIFS('Relevés compteurs'!$B$5:$B$1504,B325,'Relevés compteurs'!$A$5:$A$1504,"&lt;"&amp;A325)=0,"",D325-_xlfn.MAXIFS('Relevés compteurs'!$D$5:$D$1504,'Relevés compteurs'!$B$5:$B$1504,B325,'Relevés compteurs'!$A$5:$A$1504,"&lt;"&amp;A325)))</f>
        <v/>
      </c>
    </row>
    <row r="326">
      <c r="A326" s="65" t="n"/>
      <c r="B326" s="7" t="n"/>
      <c r="C326" s="9">
        <f>IF(B326="","",IFERROR(INDEX('Équipements'!$B$5:$B$304,MATCH(B326,'Équipements'!$A$5:$A$304,0)),"Code inconnu"))</f>
        <v/>
      </c>
      <c r="D326" s="67" t="n"/>
      <c r="E326" s="7" t="n"/>
      <c r="F326" s="68">
        <f>IF(OR(B326="",A326=""),"",IF(COUNTIFS('Relevés compteurs'!$B$5:$B$1504,B326,'Relevés compteurs'!$A$5:$A$1504,"&lt;"&amp;A326)=0,"",D326-_xlfn.MAXIFS('Relevés compteurs'!$D$5:$D$1504,'Relevés compteurs'!$B$5:$B$1504,B326,'Relevés compteurs'!$A$5:$A$1504,"&lt;"&amp;A326)))</f>
        <v/>
      </c>
    </row>
    <row r="327">
      <c r="A327" s="65" t="n"/>
      <c r="B327" s="7" t="n"/>
      <c r="C327" s="9">
        <f>IF(B327="","",IFERROR(INDEX('Équipements'!$B$5:$B$304,MATCH(B327,'Équipements'!$A$5:$A$304,0)),"Code inconnu"))</f>
        <v/>
      </c>
      <c r="D327" s="67" t="n"/>
      <c r="E327" s="7" t="n"/>
      <c r="F327" s="68">
        <f>IF(OR(B327="",A327=""),"",IF(COUNTIFS('Relevés compteurs'!$B$5:$B$1504,B327,'Relevés compteurs'!$A$5:$A$1504,"&lt;"&amp;A327)=0,"",D327-_xlfn.MAXIFS('Relevés compteurs'!$D$5:$D$1504,'Relevés compteurs'!$B$5:$B$1504,B327,'Relevés compteurs'!$A$5:$A$1504,"&lt;"&amp;A327)))</f>
        <v/>
      </c>
    </row>
    <row r="328">
      <c r="A328" s="65" t="n"/>
      <c r="B328" s="7" t="n"/>
      <c r="C328" s="9">
        <f>IF(B328="","",IFERROR(INDEX('Équipements'!$B$5:$B$304,MATCH(B328,'Équipements'!$A$5:$A$304,0)),"Code inconnu"))</f>
        <v/>
      </c>
      <c r="D328" s="67" t="n"/>
      <c r="E328" s="7" t="n"/>
      <c r="F328" s="68">
        <f>IF(OR(B328="",A328=""),"",IF(COUNTIFS('Relevés compteurs'!$B$5:$B$1504,B328,'Relevés compteurs'!$A$5:$A$1504,"&lt;"&amp;A328)=0,"",D328-_xlfn.MAXIFS('Relevés compteurs'!$D$5:$D$1504,'Relevés compteurs'!$B$5:$B$1504,B328,'Relevés compteurs'!$A$5:$A$1504,"&lt;"&amp;A328)))</f>
        <v/>
      </c>
    </row>
    <row r="329">
      <c r="A329" s="65" t="n"/>
      <c r="B329" s="7" t="n"/>
      <c r="C329" s="9">
        <f>IF(B329="","",IFERROR(INDEX('Équipements'!$B$5:$B$304,MATCH(B329,'Équipements'!$A$5:$A$304,0)),"Code inconnu"))</f>
        <v/>
      </c>
      <c r="D329" s="67" t="n"/>
      <c r="E329" s="7" t="n"/>
      <c r="F329" s="68">
        <f>IF(OR(B329="",A329=""),"",IF(COUNTIFS('Relevés compteurs'!$B$5:$B$1504,B329,'Relevés compteurs'!$A$5:$A$1504,"&lt;"&amp;A329)=0,"",D329-_xlfn.MAXIFS('Relevés compteurs'!$D$5:$D$1504,'Relevés compteurs'!$B$5:$B$1504,B329,'Relevés compteurs'!$A$5:$A$1504,"&lt;"&amp;A329)))</f>
        <v/>
      </c>
    </row>
    <row r="330">
      <c r="A330" s="65" t="n"/>
      <c r="B330" s="7" t="n"/>
      <c r="C330" s="9">
        <f>IF(B330="","",IFERROR(INDEX('Équipements'!$B$5:$B$304,MATCH(B330,'Équipements'!$A$5:$A$304,0)),"Code inconnu"))</f>
        <v/>
      </c>
      <c r="D330" s="67" t="n"/>
      <c r="E330" s="7" t="n"/>
      <c r="F330" s="68">
        <f>IF(OR(B330="",A330=""),"",IF(COUNTIFS('Relevés compteurs'!$B$5:$B$1504,B330,'Relevés compteurs'!$A$5:$A$1504,"&lt;"&amp;A330)=0,"",D330-_xlfn.MAXIFS('Relevés compteurs'!$D$5:$D$1504,'Relevés compteurs'!$B$5:$B$1504,B330,'Relevés compteurs'!$A$5:$A$1504,"&lt;"&amp;A330)))</f>
        <v/>
      </c>
    </row>
    <row r="331">
      <c r="A331" s="65" t="n"/>
      <c r="B331" s="7" t="n"/>
      <c r="C331" s="9">
        <f>IF(B331="","",IFERROR(INDEX('Équipements'!$B$5:$B$304,MATCH(B331,'Équipements'!$A$5:$A$304,0)),"Code inconnu"))</f>
        <v/>
      </c>
      <c r="D331" s="67" t="n"/>
      <c r="E331" s="7" t="n"/>
      <c r="F331" s="68">
        <f>IF(OR(B331="",A331=""),"",IF(COUNTIFS('Relevés compteurs'!$B$5:$B$1504,B331,'Relevés compteurs'!$A$5:$A$1504,"&lt;"&amp;A331)=0,"",D331-_xlfn.MAXIFS('Relevés compteurs'!$D$5:$D$1504,'Relevés compteurs'!$B$5:$B$1504,B331,'Relevés compteurs'!$A$5:$A$1504,"&lt;"&amp;A331)))</f>
        <v/>
      </c>
    </row>
    <row r="332">
      <c r="A332" s="65" t="n"/>
      <c r="B332" s="7" t="n"/>
      <c r="C332" s="9">
        <f>IF(B332="","",IFERROR(INDEX('Équipements'!$B$5:$B$304,MATCH(B332,'Équipements'!$A$5:$A$304,0)),"Code inconnu"))</f>
        <v/>
      </c>
      <c r="D332" s="67" t="n"/>
      <c r="E332" s="7" t="n"/>
      <c r="F332" s="68">
        <f>IF(OR(B332="",A332=""),"",IF(COUNTIFS('Relevés compteurs'!$B$5:$B$1504,B332,'Relevés compteurs'!$A$5:$A$1504,"&lt;"&amp;A332)=0,"",D332-_xlfn.MAXIFS('Relevés compteurs'!$D$5:$D$1504,'Relevés compteurs'!$B$5:$B$1504,B332,'Relevés compteurs'!$A$5:$A$1504,"&lt;"&amp;A332)))</f>
        <v/>
      </c>
    </row>
    <row r="333">
      <c r="A333" s="65" t="n"/>
      <c r="B333" s="7" t="n"/>
      <c r="C333" s="9">
        <f>IF(B333="","",IFERROR(INDEX('Équipements'!$B$5:$B$304,MATCH(B333,'Équipements'!$A$5:$A$304,0)),"Code inconnu"))</f>
        <v/>
      </c>
      <c r="D333" s="67" t="n"/>
      <c r="E333" s="7" t="n"/>
      <c r="F333" s="68">
        <f>IF(OR(B333="",A333=""),"",IF(COUNTIFS('Relevés compteurs'!$B$5:$B$1504,B333,'Relevés compteurs'!$A$5:$A$1504,"&lt;"&amp;A333)=0,"",D333-_xlfn.MAXIFS('Relevés compteurs'!$D$5:$D$1504,'Relevés compteurs'!$B$5:$B$1504,B333,'Relevés compteurs'!$A$5:$A$1504,"&lt;"&amp;A333)))</f>
        <v/>
      </c>
    </row>
    <row r="334">
      <c r="A334" s="65" t="n"/>
      <c r="B334" s="7" t="n"/>
      <c r="C334" s="9">
        <f>IF(B334="","",IFERROR(INDEX('Équipements'!$B$5:$B$304,MATCH(B334,'Équipements'!$A$5:$A$304,0)),"Code inconnu"))</f>
        <v/>
      </c>
      <c r="D334" s="67" t="n"/>
      <c r="E334" s="7" t="n"/>
      <c r="F334" s="68">
        <f>IF(OR(B334="",A334=""),"",IF(COUNTIFS('Relevés compteurs'!$B$5:$B$1504,B334,'Relevés compteurs'!$A$5:$A$1504,"&lt;"&amp;A334)=0,"",D334-_xlfn.MAXIFS('Relevés compteurs'!$D$5:$D$1504,'Relevés compteurs'!$B$5:$B$1504,B334,'Relevés compteurs'!$A$5:$A$1504,"&lt;"&amp;A334)))</f>
        <v/>
      </c>
    </row>
    <row r="335">
      <c r="A335" s="65" t="n"/>
      <c r="B335" s="7" t="n"/>
      <c r="C335" s="9">
        <f>IF(B335="","",IFERROR(INDEX('Équipements'!$B$5:$B$304,MATCH(B335,'Équipements'!$A$5:$A$304,0)),"Code inconnu"))</f>
        <v/>
      </c>
      <c r="D335" s="67" t="n"/>
      <c r="E335" s="7" t="n"/>
      <c r="F335" s="68">
        <f>IF(OR(B335="",A335=""),"",IF(COUNTIFS('Relevés compteurs'!$B$5:$B$1504,B335,'Relevés compteurs'!$A$5:$A$1504,"&lt;"&amp;A335)=0,"",D335-_xlfn.MAXIFS('Relevés compteurs'!$D$5:$D$1504,'Relevés compteurs'!$B$5:$B$1504,B335,'Relevés compteurs'!$A$5:$A$1504,"&lt;"&amp;A335)))</f>
        <v/>
      </c>
    </row>
    <row r="336">
      <c r="A336" s="65" t="n"/>
      <c r="B336" s="7" t="n"/>
      <c r="C336" s="9">
        <f>IF(B336="","",IFERROR(INDEX('Équipements'!$B$5:$B$304,MATCH(B336,'Équipements'!$A$5:$A$304,0)),"Code inconnu"))</f>
        <v/>
      </c>
      <c r="D336" s="67" t="n"/>
      <c r="E336" s="7" t="n"/>
      <c r="F336" s="68">
        <f>IF(OR(B336="",A336=""),"",IF(COUNTIFS('Relevés compteurs'!$B$5:$B$1504,B336,'Relevés compteurs'!$A$5:$A$1504,"&lt;"&amp;A336)=0,"",D336-_xlfn.MAXIFS('Relevés compteurs'!$D$5:$D$1504,'Relevés compteurs'!$B$5:$B$1504,B336,'Relevés compteurs'!$A$5:$A$1504,"&lt;"&amp;A336)))</f>
        <v/>
      </c>
    </row>
    <row r="337">
      <c r="A337" s="65" t="n"/>
      <c r="B337" s="7" t="n"/>
      <c r="C337" s="9">
        <f>IF(B337="","",IFERROR(INDEX('Équipements'!$B$5:$B$304,MATCH(B337,'Équipements'!$A$5:$A$304,0)),"Code inconnu"))</f>
        <v/>
      </c>
      <c r="D337" s="67" t="n"/>
      <c r="E337" s="7" t="n"/>
      <c r="F337" s="68">
        <f>IF(OR(B337="",A337=""),"",IF(COUNTIFS('Relevés compteurs'!$B$5:$B$1504,B337,'Relevés compteurs'!$A$5:$A$1504,"&lt;"&amp;A337)=0,"",D337-_xlfn.MAXIFS('Relevés compteurs'!$D$5:$D$1504,'Relevés compteurs'!$B$5:$B$1504,B337,'Relevés compteurs'!$A$5:$A$1504,"&lt;"&amp;A337)))</f>
        <v/>
      </c>
    </row>
    <row r="338">
      <c r="A338" s="65" t="n"/>
      <c r="B338" s="7" t="n"/>
      <c r="C338" s="9">
        <f>IF(B338="","",IFERROR(INDEX('Équipements'!$B$5:$B$304,MATCH(B338,'Équipements'!$A$5:$A$304,0)),"Code inconnu"))</f>
        <v/>
      </c>
      <c r="D338" s="67" t="n"/>
      <c r="E338" s="7" t="n"/>
      <c r="F338" s="68">
        <f>IF(OR(B338="",A338=""),"",IF(COUNTIFS('Relevés compteurs'!$B$5:$B$1504,B338,'Relevés compteurs'!$A$5:$A$1504,"&lt;"&amp;A338)=0,"",D338-_xlfn.MAXIFS('Relevés compteurs'!$D$5:$D$1504,'Relevés compteurs'!$B$5:$B$1504,B338,'Relevés compteurs'!$A$5:$A$1504,"&lt;"&amp;A338)))</f>
        <v/>
      </c>
    </row>
    <row r="339">
      <c r="A339" s="65" t="n"/>
      <c r="B339" s="7" t="n"/>
      <c r="C339" s="9">
        <f>IF(B339="","",IFERROR(INDEX('Équipements'!$B$5:$B$304,MATCH(B339,'Équipements'!$A$5:$A$304,0)),"Code inconnu"))</f>
        <v/>
      </c>
      <c r="D339" s="67" t="n"/>
      <c r="E339" s="7" t="n"/>
      <c r="F339" s="68">
        <f>IF(OR(B339="",A339=""),"",IF(COUNTIFS('Relevés compteurs'!$B$5:$B$1504,B339,'Relevés compteurs'!$A$5:$A$1504,"&lt;"&amp;A339)=0,"",D339-_xlfn.MAXIFS('Relevés compteurs'!$D$5:$D$1504,'Relevés compteurs'!$B$5:$B$1504,B339,'Relevés compteurs'!$A$5:$A$1504,"&lt;"&amp;A339)))</f>
        <v/>
      </c>
    </row>
    <row r="340">
      <c r="A340" s="65" t="n"/>
      <c r="B340" s="7" t="n"/>
      <c r="C340" s="9">
        <f>IF(B340="","",IFERROR(INDEX('Équipements'!$B$5:$B$304,MATCH(B340,'Équipements'!$A$5:$A$304,0)),"Code inconnu"))</f>
        <v/>
      </c>
      <c r="D340" s="67" t="n"/>
      <c r="E340" s="7" t="n"/>
      <c r="F340" s="68">
        <f>IF(OR(B340="",A340=""),"",IF(COUNTIFS('Relevés compteurs'!$B$5:$B$1504,B340,'Relevés compteurs'!$A$5:$A$1504,"&lt;"&amp;A340)=0,"",D340-_xlfn.MAXIFS('Relevés compteurs'!$D$5:$D$1504,'Relevés compteurs'!$B$5:$B$1504,B340,'Relevés compteurs'!$A$5:$A$1504,"&lt;"&amp;A340)))</f>
        <v/>
      </c>
    </row>
    <row r="341">
      <c r="A341" s="65" t="n"/>
      <c r="B341" s="7" t="n"/>
      <c r="C341" s="9">
        <f>IF(B341="","",IFERROR(INDEX('Équipements'!$B$5:$B$304,MATCH(B341,'Équipements'!$A$5:$A$304,0)),"Code inconnu"))</f>
        <v/>
      </c>
      <c r="D341" s="67" t="n"/>
      <c r="E341" s="7" t="n"/>
      <c r="F341" s="68">
        <f>IF(OR(B341="",A341=""),"",IF(COUNTIFS('Relevés compteurs'!$B$5:$B$1504,B341,'Relevés compteurs'!$A$5:$A$1504,"&lt;"&amp;A341)=0,"",D341-_xlfn.MAXIFS('Relevés compteurs'!$D$5:$D$1504,'Relevés compteurs'!$B$5:$B$1504,B341,'Relevés compteurs'!$A$5:$A$1504,"&lt;"&amp;A341)))</f>
        <v/>
      </c>
    </row>
    <row r="342">
      <c r="A342" s="65" t="n"/>
      <c r="B342" s="7" t="n"/>
      <c r="C342" s="9">
        <f>IF(B342="","",IFERROR(INDEX('Équipements'!$B$5:$B$304,MATCH(B342,'Équipements'!$A$5:$A$304,0)),"Code inconnu"))</f>
        <v/>
      </c>
      <c r="D342" s="67" t="n"/>
      <c r="E342" s="7" t="n"/>
      <c r="F342" s="68">
        <f>IF(OR(B342="",A342=""),"",IF(COUNTIFS('Relevés compteurs'!$B$5:$B$1504,B342,'Relevés compteurs'!$A$5:$A$1504,"&lt;"&amp;A342)=0,"",D342-_xlfn.MAXIFS('Relevés compteurs'!$D$5:$D$1504,'Relevés compteurs'!$B$5:$B$1504,B342,'Relevés compteurs'!$A$5:$A$1504,"&lt;"&amp;A342)))</f>
        <v/>
      </c>
    </row>
    <row r="343">
      <c r="A343" s="65" t="n"/>
      <c r="B343" s="7" t="n"/>
      <c r="C343" s="9">
        <f>IF(B343="","",IFERROR(INDEX('Équipements'!$B$5:$B$304,MATCH(B343,'Équipements'!$A$5:$A$304,0)),"Code inconnu"))</f>
        <v/>
      </c>
      <c r="D343" s="67" t="n"/>
      <c r="E343" s="7" t="n"/>
      <c r="F343" s="68">
        <f>IF(OR(B343="",A343=""),"",IF(COUNTIFS('Relevés compteurs'!$B$5:$B$1504,B343,'Relevés compteurs'!$A$5:$A$1504,"&lt;"&amp;A343)=0,"",D343-_xlfn.MAXIFS('Relevés compteurs'!$D$5:$D$1504,'Relevés compteurs'!$B$5:$B$1504,B343,'Relevés compteurs'!$A$5:$A$1504,"&lt;"&amp;A343)))</f>
        <v/>
      </c>
    </row>
    <row r="344">
      <c r="A344" s="65" t="n"/>
      <c r="B344" s="7" t="n"/>
      <c r="C344" s="9">
        <f>IF(B344="","",IFERROR(INDEX('Équipements'!$B$5:$B$304,MATCH(B344,'Équipements'!$A$5:$A$304,0)),"Code inconnu"))</f>
        <v/>
      </c>
      <c r="D344" s="67" t="n"/>
      <c r="E344" s="7" t="n"/>
      <c r="F344" s="68">
        <f>IF(OR(B344="",A344=""),"",IF(COUNTIFS('Relevés compteurs'!$B$5:$B$1504,B344,'Relevés compteurs'!$A$5:$A$1504,"&lt;"&amp;A344)=0,"",D344-_xlfn.MAXIFS('Relevés compteurs'!$D$5:$D$1504,'Relevés compteurs'!$B$5:$B$1504,B344,'Relevés compteurs'!$A$5:$A$1504,"&lt;"&amp;A344)))</f>
        <v/>
      </c>
    </row>
    <row r="345">
      <c r="A345" s="65" t="n"/>
      <c r="B345" s="7" t="n"/>
      <c r="C345" s="9">
        <f>IF(B345="","",IFERROR(INDEX('Équipements'!$B$5:$B$304,MATCH(B345,'Équipements'!$A$5:$A$304,0)),"Code inconnu"))</f>
        <v/>
      </c>
      <c r="D345" s="67" t="n"/>
      <c r="E345" s="7" t="n"/>
      <c r="F345" s="68">
        <f>IF(OR(B345="",A345=""),"",IF(COUNTIFS('Relevés compteurs'!$B$5:$B$1504,B345,'Relevés compteurs'!$A$5:$A$1504,"&lt;"&amp;A345)=0,"",D345-_xlfn.MAXIFS('Relevés compteurs'!$D$5:$D$1504,'Relevés compteurs'!$B$5:$B$1504,B345,'Relevés compteurs'!$A$5:$A$1504,"&lt;"&amp;A345)))</f>
        <v/>
      </c>
    </row>
    <row r="346">
      <c r="A346" s="65" t="n"/>
      <c r="B346" s="7" t="n"/>
      <c r="C346" s="9">
        <f>IF(B346="","",IFERROR(INDEX('Équipements'!$B$5:$B$304,MATCH(B346,'Équipements'!$A$5:$A$304,0)),"Code inconnu"))</f>
        <v/>
      </c>
      <c r="D346" s="67" t="n"/>
      <c r="E346" s="7" t="n"/>
      <c r="F346" s="68">
        <f>IF(OR(B346="",A346=""),"",IF(COUNTIFS('Relevés compteurs'!$B$5:$B$1504,B346,'Relevés compteurs'!$A$5:$A$1504,"&lt;"&amp;A346)=0,"",D346-_xlfn.MAXIFS('Relevés compteurs'!$D$5:$D$1504,'Relevés compteurs'!$B$5:$B$1504,B346,'Relevés compteurs'!$A$5:$A$1504,"&lt;"&amp;A346)))</f>
        <v/>
      </c>
    </row>
    <row r="347">
      <c r="A347" s="65" t="n"/>
      <c r="B347" s="7" t="n"/>
      <c r="C347" s="9">
        <f>IF(B347="","",IFERROR(INDEX('Équipements'!$B$5:$B$304,MATCH(B347,'Équipements'!$A$5:$A$304,0)),"Code inconnu"))</f>
        <v/>
      </c>
      <c r="D347" s="67" t="n"/>
      <c r="E347" s="7" t="n"/>
      <c r="F347" s="68">
        <f>IF(OR(B347="",A347=""),"",IF(COUNTIFS('Relevés compteurs'!$B$5:$B$1504,B347,'Relevés compteurs'!$A$5:$A$1504,"&lt;"&amp;A347)=0,"",D347-_xlfn.MAXIFS('Relevés compteurs'!$D$5:$D$1504,'Relevés compteurs'!$B$5:$B$1504,B347,'Relevés compteurs'!$A$5:$A$1504,"&lt;"&amp;A347)))</f>
        <v/>
      </c>
    </row>
    <row r="348">
      <c r="A348" s="65" t="n"/>
      <c r="B348" s="7" t="n"/>
      <c r="C348" s="9">
        <f>IF(B348="","",IFERROR(INDEX('Équipements'!$B$5:$B$304,MATCH(B348,'Équipements'!$A$5:$A$304,0)),"Code inconnu"))</f>
        <v/>
      </c>
      <c r="D348" s="67" t="n"/>
      <c r="E348" s="7" t="n"/>
      <c r="F348" s="68">
        <f>IF(OR(B348="",A348=""),"",IF(COUNTIFS('Relevés compteurs'!$B$5:$B$1504,B348,'Relevés compteurs'!$A$5:$A$1504,"&lt;"&amp;A348)=0,"",D348-_xlfn.MAXIFS('Relevés compteurs'!$D$5:$D$1504,'Relevés compteurs'!$B$5:$B$1504,B348,'Relevés compteurs'!$A$5:$A$1504,"&lt;"&amp;A348)))</f>
        <v/>
      </c>
    </row>
    <row r="349">
      <c r="A349" s="65" t="n"/>
      <c r="B349" s="7" t="n"/>
      <c r="C349" s="9">
        <f>IF(B349="","",IFERROR(INDEX('Équipements'!$B$5:$B$304,MATCH(B349,'Équipements'!$A$5:$A$304,0)),"Code inconnu"))</f>
        <v/>
      </c>
      <c r="D349" s="67" t="n"/>
      <c r="E349" s="7" t="n"/>
      <c r="F349" s="68">
        <f>IF(OR(B349="",A349=""),"",IF(COUNTIFS('Relevés compteurs'!$B$5:$B$1504,B349,'Relevés compteurs'!$A$5:$A$1504,"&lt;"&amp;A349)=0,"",D349-_xlfn.MAXIFS('Relevés compteurs'!$D$5:$D$1504,'Relevés compteurs'!$B$5:$B$1504,B349,'Relevés compteurs'!$A$5:$A$1504,"&lt;"&amp;A349)))</f>
        <v/>
      </c>
    </row>
    <row r="350">
      <c r="A350" s="65" t="n"/>
      <c r="B350" s="7" t="n"/>
      <c r="C350" s="9">
        <f>IF(B350="","",IFERROR(INDEX('Équipements'!$B$5:$B$304,MATCH(B350,'Équipements'!$A$5:$A$304,0)),"Code inconnu"))</f>
        <v/>
      </c>
      <c r="D350" s="67" t="n"/>
      <c r="E350" s="7" t="n"/>
      <c r="F350" s="68">
        <f>IF(OR(B350="",A350=""),"",IF(COUNTIFS('Relevés compteurs'!$B$5:$B$1504,B350,'Relevés compteurs'!$A$5:$A$1504,"&lt;"&amp;A350)=0,"",D350-_xlfn.MAXIFS('Relevés compteurs'!$D$5:$D$1504,'Relevés compteurs'!$B$5:$B$1504,B350,'Relevés compteurs'!$A$5:$A$1504,"&lt;"&amp;A350)))</f>
        <v/>
      </c>
    </row>
    <row r="351">
      <c r="A351" s="65" t="n"/>
      <c r="B351" s="7" t="n"/>
      <c r="C351" s="9">
        <f>IF(B351="","",IFERROR(INDEX('Équipements'!$B$5:$B$304,MATCH(B351,'Équipements'!$A$5:$A$304,0)),"Code inconnu"))</f>
        <v/>
      </c>
      <c r="D351" s="67" t="n"/>
      <c r="E351" s="7" t="n"/>
      <c r="F351" s="68">
        <f>IF(OR(B351="",A351=""),"",IF(COUNTIFS('Relevés compteurs'!$B$5:$B$1504,B351,'Relevés compteurs'!$A$5:$A$1504,"&lt;"&amp;A351)=0,"",D351-_xlfn.MAXIFS('Relevés compteurs'!$D$5:$D$1504,'Relevés compteurs'!$B$5:$B$1504,B351,'Relevés compteurs'!$A$5:$A$1504,"&lt;"&amp;A351)))</f>
        <v/>
      </c>
    </row>
    <row r="352">
      <c r="A352" s="65" t="n"/>
      <c r="B352" s="7" t="n"/>
      <c r="C352" s="9">
        <f>IF(B352="","",IFERROR(INDEX('Équipements'!$B$5:$B$304,MATCH(B352,'Équipements'!$A$5:$A$304,0)),"Code inconnu"))</f>
        <v/>
      </c>
      <c r="D352" s="67" t="n"/>
      <c r="E352" s="7" t="n"/>
      <c r="F352" s="68">
        <f>IF(OR(B352="",A352=""),"",IF(COUNTIFS('Relevés compteurs'!$B$5:$B$1504,B352,'Relevés compteurs'!$A$5:$A$1504,"&lt;"&amp;A352)=0,"",D352-_xlfn.MAXIFS('Relevés compteurs'!$D$5:$D$1504,'Relevés compteurs'!$B$5:$B$1504,B352,'Relevés compteurs'!$A$5:$A$1504,"&lt;"&amp;A352)))</f>
        <v/>
      </c>
    </row>
    <row r="353">
      <c r="A353" s="65" t="n"/>
      <c r="B353" s="7" t="n"/>
      <c r="C353" s="9">
        <f>IF(B353="","",IFERROR(INDEX('Équipements'!$B$5:$B$304,MATCH(B353,'Équipements'!$A$5:$A$304,0)),"Code inconnu"))</f>
        <v/>
      </c>
      <c r="D353" s="67" t="n"/>
      <c r="E353" s="7" t="n"/>
      <c r="F353" s="68">
        <f>IF(OR(B353="",A353=""),"",IF(COUNTIFS('Relevés compteurs'!$B$5:$B$1504,B353,'Relevés compteurs'!$A$5:$A$1504,"&lt;"&amp;A353)=0,"",D353-_xlfn.MAXIFS('Relevés compteurs'!$D$5:$D$1504,'Relevés compteurs'!$B$5:$B$1504,B353,'Relevés compteurs'!$A$5:$A$1504,"&lt;"&amp;A353)))</f>
        <v/>
      </c>
    </row>
    <row r="354">
      <c r="A354" s="65" t="n"/>
      <c r="B354" s="7" t="n"/>
      <c r="C354" s="9">
        <f>IF(B354="","",IFERROR(INDEX('Équipements'!$B$5:$B$304,MATCH(B354,'Équipements'!$A$5:$A$304,0)),"Code inconnu"))</f>
        <v/>
      </c>
      <c r="D354" s="67" t="n"/>
      <c r="E354" s="7" t="n"/>
      <c r="F354" s="68">
        <f>IF(OR(B354="",A354=""),"",IF(COUNTIFS('Relevés compteurs'!$B$5:$B$1504,B354,'Relevés compteurs'!$A$5:$A$1504,"&lt;"&amp;A354)=0,"",D354-_xlfn.MAXIFS('Relevés compteurs'!$D$5:$D$1504,'Relevés compteurs'!$B$5:$B$1504,B354,'Relevés compteurs'!$A$5:$A$1504,"&lt;"&amp;A354)))</f>
        <v/>
      </c>
    </row>
    <row r="355">
      <c r="A355" s="65" t="n"/>
      <c r="B355" s="7" t="n"/>
      <c r="C355" s="9">
        <f>IF(B355="","",IFERROR(INDEX('Équipements'!$B$5:$B$304,MATCH(B355,'Équipements'!$A$5:$A$304,0)),"Code inconnu"))</f>
        <v/>
      </c>
      <c r="D355" s="67" t="n"/>
      <c r="E355" s="7" t="n"/>
      <c r="F355" s="68">
        <f>IF(OR(B355="",A355=""),"",IF(COUNTIFS('Relevés compteurs'!$B$5:$B$1504,B355,'Relevés compteurs'!$A$5:$A$1504,"&lt;"&amp;A355)=0,"",D355-_xlfn.MAXIFS('Relevés compteurs'!$D$5:$D$1504,'Relevés compteurs'!$B$5:$B$1504,B355,'Relevés compteurs'!$A$5:$A$1504,"&lt;"&amp;A355)))</f>
        <v/>
      </c>
    </row>
    <row r="356">
      <c r="A356" s="65" t="n"/>
      <c r="B356" s="7" t="n"/>
      <c r="C356" s="9">
        <f>IF(B356="","",IFERROR(INDEX('Équipements'!$B$5:$B$304,MATCH(B356,'Équipements'!$A$5:$A$304,0)),"Code inconnu"))</f>
        <v/>
      </c>
      <c r="D356" s="67" t="n"/>
      <c r="E356" s="7" t="n"/>
      <c r="F356" s="68">
        <f>IF(OR(B356="",A356=""),"",IF(COUNTIFS('Relevés compteurs'!$B$5:$B$1504,B356,'Relevés compteurs'!$A$5:$A$1504,"&lt;"&amp;A356)=0,"",D356-_xlfn.MAXIFS('Relevés compteurs'!$D$5:$D$1504,'Relevés compteurs'!$B$5:$B$1504,B356,'Relevés compteurs'!$A$5:$A$1504,"&lt;"&amp;A356)))</f>
        <v/>
      </c>
    </row>
    <row r="357">
      <c r="A357" s="65" t="n"/>
      <c r="B357" s="7" t="n"/>
      <c r="C357" s="9">
        <f>IF(B357="","",IFERROR(INDEX('Équipements'!$B$5:$B$304,MATCH(B357,'Équipements'!$A$5:$A$304,0)),"Code inconnu"))</f>
        <v/>
      </c>
      <c r="D357" s="67" t="n"/>
      <c r="E357" s="7" t="n"/>
      <c r="F357" s="68">
        <f>IF(OR(B357="",A357=""),"",IF(COUNTIFS('Relevés compteurs'!$B$5:$B$1504,B357,'Relevés compteurs'!$A$5:$A$1504,"&lt;"&amp;A357)=0,"",D357-_xlfn.MAXIFS('Relevés compteurs'!$D$5:$D$1504,'Relevés compteurs'!$B$5:$B$1504,B357,'Relevés compteurs'!$A$5:$A$1504,"&lt;"&amp;A357)))</f>
        <v/>
      </c>
    </row>
    <row r="358">
      <c r="A358" s="65" t="n"/>
      <c r="B358" s="7" t="n"/>
      <c r="C358" s="9">
        <f>IF(B358="","",IFERROR(INDEX('Équipements'!$B$5:$B$304,MATCH(B358,'Équipements'!$A$5:$A$304,0)),"Code inconnu"))</f>
        <v/>
      </c>
      <c r="D358" s="67" t="n"/>
      <c r="E358" s="7" t="n"/>
      <c r="F358" s="68">
        <f>IF(OR(B358="",A358=""),"",IF(COUNTIFS('Relevés compteurs'!$B$5:$B$1504,B358,'Relevés compteurs'!$A$5:$A$1504,"&lt;"&amp;A358)=0,"",D358-_xlfn.MAXIFS('Relevés compteurs'!$D$5:$D$1504,'Relevés compteurs'!$B$5:$B$1504,B358,'Relevés compteurs'!$A$5:$A$1504,"&lt;"&amp;A358)))</f>
        <v/>
      </c>
    </row>
    <row r="359">
      <c r="A359" s="65" t="n"/>
      <c r="B359" s="7" t="n"/>
      <c r="C359" s="9">
        <f>IF(B359="","",IFERROR(INDEX('Équipements'!$B$5:$B$304,MATCH(B359,'Équipements'!$A$5:$A$304,0)),"Code inconnu"))</f>
        <v/>
      </c>
      <c r="D359" s="67" t="n"/>
      <c r="E359" s="7" t="n"/>
      <c r="F359" s="68">
        <f>IF(OR(B359="",A359=""),"",IF(COUNTIFS('Relevés compteurs'!$B$5:$B$1504,B359,'Relevés compteurs'!$A$5:$A$1504,"&lt;"&amp;A359)=0,"",D359-_xlfn.MAXIFS('Relevés compteurs'!$D$5:$D$1504,'Relevés compteurs'!$B$5:$B$1504,B359,'Relevés compteurs'!$A$5:$A$1504,"&lt;"&amp;A359)))</f>
        <v/>
      </c>
    </row>
    <row r="360">
      <c r="A360" s="65" t="n"/>
      <c r="B360" s="7" t="n"/>
      <c r="C360" s="9">
        <f>IF(B360="","",IFERROR(INDEX('Équipements'!$B$5:$B$304,MATCH(B360,'Équipements'!$A$5:$A$304,0)),"Code inconnu"))</f>
        <v/>
      </c>
      <c r="D360" s="67" t="n"/>
      <c r="E360" s="7" t="n"/>
      <c r="F360" s="68">
        <f>IF(OR(B360="",A360=""),"",IF(COUNTIFS('Relevés compteurs'!$B$5:$B$1504,B360,'Relevés compteurs'!$A$5:$A$1504,"&lt;"&amp;A360)=0,"",D360-_xlfn.MAXIFS('Relevés compteurs'!$D$5:$D$1504,'Relevés compteurs'!$B$5:$B$1504,B360,'Relevés compteurs'!$A$5:$A$1504,"&lt;"&amp;A360)))</f>
        <v/>
      </c>
    </row>
    <row r="361">
      <c r="A361" s="65" t="n"/>
      <c r="B361" s="7" t="n"/>
      <c r="C361" s="9">
        <f>IF(B361="","",IFERROR(INDEX('Équipements'!$B$5:$B$304,MATCH(B361,'Équipements'!$A$5:$A$304,0)),"Code inconnu"))</f>
        <v/>
      </c>
      <c r="D361" s="67" t="n"/>
      <c r="E361" s="7" t="n"/>
      <c r="F361" s="68">
        <f>IF(OR(B361="",A361=""),"",IF(COUNTIFS('Relevés compteurs'!$B$5:$B$1504,B361,'Relevés compteurs'!$A$5:$A$1504,"&lt;"&amp;A361)=0,"",D361-_xlfn.MAXIFS('Relevés compteurs'!$D$5:$D$1504,'Relevés compteurs'!$B$5:$B$1504,B361,'Relevés compteurs'!$A$5:$A$1504,"&lt;"&amp;A361)))</f>
        <v/>
      </c>
    </row>
    <row r="362">
      <c r="A362" s="65" t="n"/>
      <c r="B362" s="7" t="n"/>
      <c r="C362" s="9">
        <f>IF(B362="","",IFERROR(INDEX('Équipements'!$B$5:$B$304,MATCH(B362,'Équipements'!$A$5:$A$304,0)),"Code inconnu"))</f>
        <v/>
      </c>
      <c r="D362" s="67" t="n"/>
      <c r="E362" s="7" t="n"/>
      <c r="F362" s="68">
        <f>IF(OR(B362="",A362=""),"",IF(COUNTIFS('Relevés compteurs'!$B$5:$B$1504,B362,'Relevés compteurs'!$A$5:$A$1504,"&lt;"&amp;A362)=0,"",D362-_xlfn.MAXIFS('Relevés compteurs'!$D$5:$D$1504,'Relevés compteurs'!$B$5:$B$1504,B362,'Relevés compteurs'!$A$5:$A$1504,"&lt;"&amp;A362)))</f>
        <v/>
      </c>
    </row>
    <row r="363">
      <c r="A363" s="65" t="n"/>
      <c r="B363" s="7" t="n"/>
      <c r="C363" s="9">
        <f>IF(B363="","",IFERROR(INDEX('Équipements'!$B$5:$B$304,MATCH(B363,'Équipements'!$A$5:$A$304,0)),"Code inconnu"))</f>
        <v/>
      </c>
      <c r="D363" s="67" t="n"/>
      <c r="E363" s="7" t="n"/>
      <c r="F363" s="68">
        <f>IF(OR(B363="",A363=""),"",IF(COUNTIFS('Relevés compteurs'!$B$5:$B$1504,B363,'Relevés compteurs'!$A$5:$A$1504,"&lt;"&amp;A363)=0,"",D363-_xlfn.MAXIFS('Relevés compteurs'!$D$5:$D$1504,'Relevés compteurs'!$B$5:$B$1504,B363,'Relevés compteurs'!$A$5:$A$1504,"&lt;"&amp;A363)))</f>
        <v/>
      </c>
    </row>
    <row r="364">
      <c r="A364" s="65" t="n"/>
      <c r="B364" s="7" t="n"/>
      <c r="C364" s="9">
        <f>IF(B364="","",IFERROR(INDEX('Équipements'!$B$5:$B$304,MATCH(B364,'Équipements'!$A$5:$A$304,0)),"Code inconnu"))</f>
        <v/>
      </c>
      <c r="D364" s="67" t="n"/>
      <c r="E364" s="7" t="n"/>
      <c r="F364" s="68">
        <f>IF(OR(B364="",A364=""),"",IF(COUNTIFS('Relevés compteurs'!$B$5:$B$1504,B364,'Relevés compteurs'!$A$5:$A$1504,"&lt;"&amp;A364)=0,"",D364-_xlfn.MAXIFS('Relevés compteurs'!$D$5:$D$1504,'Relevés compteurs'!$B$5:$B$1504,B364,'Relevés compteurs'!$A$5:$A$1504,"&lt;"&amp;A364)))</f>
        <v/>
      </c>
    </row>
    <row r="365">
      <c r="A365" s="65" t="n"/>
      <c r="B365" s="7" t="n"/>
      <c r="C365" s="9">
        <f>IF(B365="","",IFERROR(INDEX('Équipements'!$B$5:$B$304,MATCH(B365,'Équipements'!$A$5:$A$304,0)),"Code inconnu"))</f>
        <v/>
      </c>
      <c r="D365" s="67" t="n"/>
      <c r="E365" s="7" t="n"/>
      <c r="F365" s="68">
        <f>IF(OR(B365="",A365=""),"",IF(COUNTIFS('Relevés compteurs'!$B$5:$B$1504,B365,'Relevés compteurs'!$A$5:$A$1504,"&lt;"&amp;A365)=0,"",D365-_xlfn.MAXIFS('Relevés compteurs'!$D$5:$D$1504,'Relevés compteurs'!$B$5:$B$1504,B365,'Relevés compteurs'!$A$5:$A$1504,"&lt;"&amp;A365)))</f>
        <v/>
      </c>
    </row>
    <row r="366">
      <c r="A366" s="65" t="n"/>
      <c r="B366" s="7" t="n"/>
      <c r="C366" s="9">
        <f>IF(B366="","",IFERROR(INDEX('Équipements'!$B$5:$B$304,MATCH(B366,'Équipements'!$A$5:$A$304,0)),"Code inconnu"))</f>
        <v/>
      </c>
      <c r="D366" s="67" t="n"/>
      <c r="E366" s="7" t="n"/>
      <c r="F366" s="68">
        <f>IF(OR(B366="",A366=""),"",IF(COUNTIFS('Relevés compteurs'!$B$5:$B$1504,B366,'Relevés compteurs'!$A$5:$A$1504,"&lt;"&amp;A366)=0,"",D366-_xlfn.MAXIFS('Relevés compteurs'!$D$5:$D$1504,'Relevés compteurs'!$B$5:$B$1504,B366,'Relevés compteurs'!$A$5:$A$1504,"&lt;"&amp;A366)))</f>
        <v/>
      </c>
    </row>
    <row r="367">
      <c r="A367" s="65" t="n"/>
      <c r="B367" s="7" t="n"/>
      <c r="C367" s="9">
        <f>IF(B367="","",IFERROR(INDEX('Équipements'!$B$5:$B$304,MATCH(B367,'Équipements'!$A$5:$A$304,0)),"Code inconnu"))</f>
        <v/>
      </c>
      <c r="D367" s="67" t="n"/>
      <c r="E367" s="7" t="n"/>
      <c r="F367" s="68">
        <f>IF(OR(B367="",A367=""),"",IF(COUNTIFS('Relevés compteurs'!$B$5:$B$1504,B367,'Relevés compteurs'!$A$5:$A$1504,"&lt;"&amp;A367)=0,"",D367-_xlfn.MAXIFS('Relevés compteurs'!$D$5:$D$1504,'Relevés compteurs'!$B$5:$B$1504,B367,'Relevés compteurs'!$A$5:$A$1504,"&lt;"&amp;A367)))</f>
        <v/>
      </c>
    </row>
    <row r="368">
      <c r="A368" s="65" t="n"/>
      <c r="B368" s="7" t="n"/>
      <c r="C368" s="9">
        <f>IF(B368="","",IFERROR(INDEX('Équipements'!$B$5:$B$304,MATCH(B368,'Équipements'!$A$5:$A$304,0)),"Code inconnu"))</f>
        <v/>
      </c>
      <c r="D368" s="67" t="n"/>
      <c r="E368" s="7" t="n"/>
      <c r="F368" s="68">
        <f>IF(OR(B368="",A368=""),"",IF(COUNTIFS('Relevés compteurs'!$B$5:$B$1504,B368,'Relevés compteurs'!$A$5:$A$1504,"&lt;"&amp;A368)=0,"",D368-_xlfn.MAXIFS('Relevés compteurs'!$D$5:$D$1504,'Relevés compteurs'!$B$5:$B$1504,B368,'Relevés compteurs'!$A$5:$A$1504,"&lt;"&amp;A368)))</f>
        <v/>
      </c>
    </row>
    <row r="369">
      <c r="A369" s="65" t="n"/>
      <c r="B369" s="7" t="n"/>
      <c r="C369" s="9">
        <f>IF(B369="","",IFERROR(INDEX('Équipements'!$B$5:$B$304,MATCH(B369,'Équipements'!$A$5:$A$304,0)),"Code inconnu"))</f>
        <v/>
      </c>
      <c r="D369" s="67" t="n"/>
      <c r="E369" s="7" t="n"/>
      <c r="F369" s="68">
        <f>IF(OR(B369="",A369=""),"",IF(COUNTIFS('Relevés compteurs'!$B$5:$B$1504,B369,'Relevés compteurs'!$A$5:$A$1504,"&lt;"&amp;A369)=0,"",D369-_xlfn.MAXIFS('Relevés compteurs'!$D$5:$D$1504,'Relevés compteurs'!$B$5:$B$1504,B369,'Relevés compteurs'!$A$5:$A$1504,"&lt;"&amp;A369)))</f>
        <v/>
      </c>
    </row>
    <row r="370">
      <c r="A370" s="65" t="n"/>
      <c r="B370" s="7" t="n"/>
      <c r="C370" s="9">
        <f>IF(B370="","",IFERROR(INDEX('Équipements'!$B$5:$B$304,MATCH(B370,'Équipements'!$A$5:$A$304,0)),"Code inconnu"))</f>
        <v/>
      </c>
      <c r="D370" s="67" t="n"/>
      <c r="E370" s="7" t="n"/>
      <c r="F370" s="68">
        <f>IF(OR(B370="",A370=""),"",IF(COUNTIFS('Relevés compteurs'!$B$5:$B$1504,B370,'Relevés compteurs'!$A$5:$A$1504,"&lt;"&amp;A370)=0,"",D370-_xlfn.MAXIFS('Relevés compteurs'!$D$5:$D$1504,'Relevés compteurs'!$B$5:$B$1504,B370,'Relevés compteurs'!$A$5:$A$1504,"&lt;"&amp;A370)))</f>
        <v/>
      </c>
    </row>
    <row r="371">
      <c r="A371" s="65" t="n"/>
      <c r="B371" s="7" t="n"/>
      <c r="C371" s="9">
        <f>IF(B371="","",IFERROR(INDEX('Équipements'!$B$5:$B$304,MATCH(B371,'Équipements'!$A$5:$A$304,0)),"Code inconnu"))</f>
        <v/>
      </c>
      <c r="D371" s="67" t="n"/>
      <c r="E371" s="7" t="n"/>
      <c r="F371" s="68">
        <f>IF(OR(B371="",A371=""),"",IF(COUNTIFS('Relevés compteurs'!$B$5:$B$1504,B371,'Relevés compteurs'!$A$5:$A$1504,"&lt;"&amp;A371)=0,"",D371-_xlfn.MAXIFS('Relevés compteurs'!$D$5:$D$1504,'Relevés compteurs'!$B$5:$B$1504,B371,'Relevés compteurs'!$A$5:$A$1504,"&lt;"&amp;A371)))</f>
        <v/>
      </c>
    </row>
    <row r="372">
      <c r="A372" s="65" t="n"/>
      <c r="B372" s="7" t="n"/>
      <c r="C372" s="9">
        <f>IF(B372="","",IFERROR(INDEX('Équipements'!$B$5:$B$304,MATCH(B372,'Équipements'!$A$5:$A$304,0)),"Code inconnu"))</f>
        <v/>
      </c>
      <c r="D372" s="67" t="n"/>
      <c r="E372" s="7" t="n"/>
      <c r="F372" s="68">
        <f>IF(OR(B372="",A372=""),"",IF(COUNTIFS('Relevés compteurs'!$B$5:$B$1504,B372,'Relevés compteurs'!$A$5:$A$1504,"&lt;"&amp;A372)=0,"",D372-_xlfn.MAXIFS('Relevés compteurs'!$D$5:$D$1504,'Relevés compteurs'!$B$5:$B$1504,B372,'Relevés compteurs'!$A$5:$A$1504,"&lt;"&amp;A372)))</f>
        <v/>
      </c>
    </row>
    <row r="373">
      <c r="A373" s="65" t="n"/>
      <c r="B373" s="7" t="n"/>
      <c r="C373" s="9">
        <f>IF(B373="","",IFERROR(INDEX('Équipements'!$B$5:$B$304,MATCH(B373,'Équipements'!$A$5:$A$304,0)),"Code inconnu"))</f>
        <v/>
      </c>
      <c r="D373" s="67" t="n"/>
      <c r="E373" s="7" t="n"/>
      <c r="F373" s="68">
        <f>IF(OR(B373="",A373=""),"",IF(COUNTIFS('Relevés compteurs'!$B$5:$B$1504,B373,'Relevés compteurs'!$A$5:$A$1504,"&lt;"&amp;A373)=0,"",D373-_xlfn.MAXIFS('Relevés compteurs'!$D$5:$D$1504,'Relevés compteurs'!$B$5:$B$1504,B373,'Relevés compteurs'!$A$5:$A$1504,"&lt;"&amp;A373)))</f>
        <v/>
      </c>
    </row>
    <row r="374">
      <c r="A374" s="65" t="n"/>
      <c r="B374" s="7" t="n"/>
      <c r="C374" s="9">
        <f>IF(B374="","",IFERROR(INDEX('Équipements'!$B$5:$B$304,MATCH(B374,'Équipements'!$A$5:$A$304,0)),"Code inconnu"))</f>
        <v/>
      </c>
      <c r="D374" s="67" t="n"/>
      <c r="E374" s="7" t="n"/>
      <c r="F374" s="68">
        <f>IF(OR(B374="",A374=""),"",IF(COUNTIFS('Relevés compteurs'!$B$5:$B$1504,B374,'Relevés compteurs'!$A$5:$A$1504,"&lt;"&amp;A374)=0,"",D374-_xlfn.MAXIFS('Relevés compteurs'!$D$5:$D$1504,'Relevés compteurs'!$B$5:$B$1504,B374,'Relevés compteurs'!$A$5:$A$1504,"&lt;"&amp;A374)))</f>
        <v/>
      </c>
    </row>
    <row r="375">
      <c r="A375" s="65" t="n"/>
      <c r="B375" s="7" t="n"/>
      <c r="C375" s="9">
        <f>IF(B375="","",IFERROR(INDEX('Équipements'!$B$5:$B$304,MATCH(B375,'Équipements'!$A$5:$A$304,0)),"Code inconnu"))</f>
        <v/>
      </c>
      <c r="D375" s="67" t="n"/>
      <c r="E375" s="7" t="n"/>
      <c r="F375" s="68">
        <f>IF(OR(B375="",A375=""),"",IF(COUNTIFS('Relevés compteurs'!$B$5:$B$1504,B375,'Relevés compteurs'!$A$5:$A$1504,"&lt;"&amp;A375)=0,"",D375-_xlfn.MAXIFS('Relevés compteurs'!$D$5:$D$1504,'Relevés compteurs'!$B$5:$B$1504,B375,'Relevés compteurs'!$A$5:$A$1504,"&lt;"&amp;A375)))</f>
        <v/>
      </c>
    </row>
    <row r="376">
      <c r="A376" s="65" t="n"/>
      <c r="B376" s="7" t="n"/>
      <c r="C376" s="9">
        <f>IF(B376="","",IFERROR(INDEX('Équipements'!$B$5:$B$304,MATCH(B376,'Équipements'!$A$5:$A$304,0)),"Code inconnu"))</f>
        <v/>
      </c>
      <c r="D376" s="67" t="n"/>
      <c r="E376" s="7" t="n"/>
      <c r="F376" s="68">
        <f>IF(OR(B376="",A376=""),"",IF(COUNTIFS('Relevés compteurs'!$B$5:$B$1504,B376,'Relevés compteurs'!$A$5:$A$1504,"&lt;"&amp;A376)=0,"",D376-_xlfn.MAXIFS('Relevés compteurs'!$D$5:$D$1504,'Relevés compteurs'!$B$5:$B$1504,B376,'Relevés compteurs'!$A$5:$A$1504,"&lt;"&amp;A376)))</f>
        <v/>
      </c>
    </row>
    <row r="377">
      <c r="A377" s="65" t="n"/>
      <c r="B377" s="7" t="n"/>
      <c r="C377" s="9">
        <f>IF(B377="","",IFERROR(INDEX('Équipements'!$B$5:$B$304,MATCH(B377,'Équipements'!$A$5:$A$304,0)),"Code inconnu"))</f>
        <v/>
      </c>
      <c r="D377" s="67" t="n"/>
      <c r="E377" s="7" t="n"/>
      <c r="F377" s="68">
        <f>IF(OR(B377="",A377=""),"",IF(COUNTIFS('Relevés compteurs'!$B$5:$B$1504,B377,'Relevés compteurs'!$A$5:$A$1504,"&lt;"&amp;A377)=0,"",D377-_xlfn.MAXIFS('Relevés compteurs'!$D$5:$D$1504,'Relevés compteurs'!$B$5:$B$1504,B377,'Relevés compteurs'!$A$5:$A$1504,"&lt;"&amp;A377)))</f>
        <v/>
      </c>
    </row>
    <row r="378">
      <c r="A378" s="65" t="n"/>
      <c r="B378" s="7" t="n"/>
      <c r="C378" s="9">
        <f>IF(B378="","",IFERROR(INDEX('Équipements'!$B$5:$B$304,MATCH(B378,'Équipements'!$A$5:$A$304,0)),"Code inconnu"))</f>
        <v/>
      </c>
      <c r="D378" s="67" t="n"/>
      <c r="E378" s="7" t="n"/>
      <c r="F378" s="68">
        <f>IF(OR(B378="",A378=""),"",IF(COUNTIFS('Relevés compteurs'!$B$5:$B$1504,B378,'Relevés compteurs'!$A$5:$A$1504,"&lt;"&amp;A378)=0,"",D378-_xlfn.MAXIFS('Relevés compteurs'!$D$5:$D$1504,'Relevés compteurs'!$B$5:$B$1504,B378,'Relevés compteurs'!$A$5:$A$1504,"&lt;"&amp;A378)))</f>
        <v/>
      </c>
    </row>
    <row r="379">
      <c r="A379" s="65" t="n"/>
      <c r="B379" s="7" t="n"/>
      <c r="C379" s="9">
        <f>IF(B379="","",IFERROR(INDEX('Équipements'!$B$5:$B$304,MATCH(B379,'Équipements'!$A$5:$A$304,0)),"Code inconnu"))</f>
        <v/>
      </c>
      <c r="D379" s="67" t="n"/>
      <c r="E379" s="7" t="n"/>
      <c r="F379" s="68">
        <f>IF(OR(B379="",A379=""),"",IF(COUNTIFS('Relevés compteurs'!$B$5:$B$1504,B379,'Relevés compteurs'!$A$5:$A$1504,"&lt;"&amp;A379)=0,"",D379-_xlfn.MAXIFS('Relevés compteurs'!$D$5:$D$1504,'Relevés compteurs'!$B$5:$B$1504,B379,'Relevés compteurs'!$A$5:$A$1504,"&lt;"&amp;A379)))</f>
        <v/>
      </c>
    </row>
    <row r="380">
      <c r="A380" s="65" t="n"/>
      <c r="B380" s="7" t="n"/>
      <c r="C380" s="9">
        <f>IF(B380="","",IFERROR(INDEX('Équipements'!$B$5:$B$304,MATCH(B380,'Équipements'!$A$5:$A$304,0)),"Code inconnu"))</f>
        <v/>
      </c>
      <c r="D380" s="67" t="n"/>
      <c r="E380" s="7" t="n"/>
      <c r="F380" s="68">
        <f>IF(OR(B380="",A380=""),"",IF(COUNTIFS('Relevés compteurs'!$B$5:$B$1504,B380,'Relevés compteurs'!$A$5:$A$1504,"&lt;"&amp;A380)=0,"",D380-_xlfn.MAXIFS('Relevés compteurs'!$D$5:$D$1504,'Relevés compteurs'!$B$5:$B$1504,B380,'Relevés compteurs'!$A$5:$A$1504,"&lt;"&amp;A380)))</f>
        <v/>
      </c>
    </row>
    <row r="381">
      <c r="A381" s="65" t="n"/>
      <c r="B381" s="7" t="n"/>
      <c r="C381" s="9">
        <f>IF(B381="","",IFERROR(INDEX('Équipements'!$B$5:$B$304,MATCH(B381,'Équipements'!$A$5:$A$304,0)),"Code inconnu"))</f>
        <v/>
      </c>
      <c r="D381" s="67" t="n"/>
      <c r="E381" s="7" t="n"/>
      <c r="F381" s="68">
        <f>IF(OR(B381="",A381=""),"",IF(COUNTIFS('Relevés compteurs'!$B$5:$B$1504,B381,'Relevés compteurs'!$A$5:$A$1504,"&lt;"&amp;A381)=0,"",D381-_xlfn.MAXIFS('Relevés compteurs'!$D$5:$D$1504,'Relevés compteurs'!$B$5:$B$1504,B381,'Relevés compteurs'!$A$5:$A$1504,"&lt;"&amp;A381)))</f>
        <v/>
      </c>
    </row>
    <row r="382">
      <c r="A382" s="65" t="n"/>
      <c r="B382" s="7" t="n"/>
      <c r="C382" s="9">
        <f>IF(B382="","",IFERROR(INDEX('Équipements'!$B$5:$B$304,MATCH(B382,'Équipements'!$A$5:$A$304,0)),"Code inconnu"))</f>
        <v/>
      </c>
      <c r="D382" s="67" t="n"/>
      <c r="E382" s="7" t="n"/>
      <c r="F382" s="68">
        <f>IF(OR(B382="",A382=""),"",IF(COUNTIFS('Relevés compteurs'!$B$5:$B$1504,B382,'Relevés compteurs'!$A$5:$A$1504,"&lt;"&amp;A382)=0,"",D382-_xlfn.MAXIFS('Relevés compteurs'!$D$5:$D$1504,'Relevés compteurs'!$B$5:$B$1504,B382,'Relevés compteurs'!$A$5:$A$1504,"&lt;"&amp;A382)))</f>
        <v/>
      </c>
    </row>
    <row r="383">
      <c r="A383" s="65" t="n"/>
      <c r="B383" s="7" t="n"/>
      <c r="C383" s="9">
        <f>IF(B383="","",IFERROR(INDEX('Équipements'!$B$5:$B$304,MATCH(B383,'Équipements'!$A$5:$A$304,0)),"Code inconnu"))</f>
        <v/>
      </c>
      <c r="D383" s="67" t="n"/>
      <c r="E383" s="7" t="n"/>
      <c r="F383" s="68">
        <f>IF(OR(B383="",A383=""),"",IF(COUNTIFS('Relevés compteurs'!$B$5:$B$1504,B383,'Relevés compteurs'!$A$5:$A$1504,"&lt;"&amp;A383)=0,"",D383-_xlfn.MAXIFS('Relevés compteurs'!$D$5:$D$1504,'Relevés compteurs'!$B$5:$B$1504,B383,'Relevés compteurs'!$A$5:$A$1504,"&lt;"&amp;A383)))</f>
        <v/>
      </c>
    </row>
    <row r="384">
      <c r="A384" s="65" t="n"/>
      <c r="B384" s="7" t="n"/>
      <c r="C384" s="9">
        <f>IF(B384="","",IFERROR(INDEX('Équipements'!$B$5:$B$304,MATCH(B384,'Équipements'!$A$5:$A$304,0)),"Code inconnu"))</f>
        <v/>
      </c>
      <c r="D384" s="67" t="n"/>
      <c r="E384" s="7" t="n"/>
      <c r="F384" s="68">
        <f>IF(OR(B384="",A384=""),"",IF(COUNTIFS('Relevés compteurs'!$B$5:$B$1504,B384,'Relevés compteurs'!$A$5:$A$1504,"&lt;"&amp;A384)=0,"",D384-_xlfn.MAXIFS('Relevés compteurs'!$D$5:$D$1504,'Relevés compteurs'!$B$5:$B$1504,B384,'Relevés compteurs'!$A$5:$A$1504,"&lt;"&amp;A384)))</f>
        <v/>
      </c>
    </row>
    <row r="385">
      <c r="A385" s="65" t="n"/>
      <c r="B385" s="7" t="n"/>
      <c r="C385" s="9">
        <f>IF(B385="","",IFERROR(INDEX('Équipements'!$B$5:$B$304,MATCH(B385,'Équipements'!$A$5:$A$304,0)),"Code inconnu"))</f>
        <v/>
      </c>
      <c r="D385" s="67" t="n"/>
      <c r="E385" s="7" t="n"/>
      <c r="F385" s="68">
        <f>IF(OR(B385="",A385=""),"",IF(COUNTIFS('Relevés compteurs'!$B$5:$B$1504,B385,'Relevés compteurs'!$A$5:$A$1504,"&lt;"&amp;A385)=0,"",D385-_xlfn.MAXIFS('Relevés compteurs'!$D$5:$D$1504,'Relevés compteurs'!$B$5:$B$1504,B385,'Relevés compteurs'!$A$5:$A$1504,"&lt;"&amp;A385)))</f>
        <v/>
      </c>
    </row>
    <row r="386">
      <c r="A386" s="65" t="n"/>
      <c r="B386" s="7" t="n"/>
      <c r="C386" s="9">
        <f>IF(B386="","",IFERROR(INDEX('Équipements'!$B$5:$B$304,MATCH(B386,'Équipements'!$A$5:$A$304,0)),"Code inconnu"))</f>
        <v/>
      </c>
      <c r="D386" s="67" t="n"/>
      <c r="E386" s="7" t="n"/>
      <c r="F386" s="68">
        <f>IF(OR(B386="",A386=""),"",IF(COUNTIFS('Relevés compteurs'!$B$5:$B$1504,B386,'Relevés compteurs'!$A$5:$A$1504,"&lt;"&amp;A386)=0,"",D386-_xlfn.MAXIFS('Relevés compteurs'!$D$5:$D$1504,'Relevés compteurs'!$B$5:$B$1504,B386,'Relevés compteurs'!$A$5:$A$1504,"&lt;"&amp;A386)))</f>
        <v/>
      </c>
    </row>
    <row r="387">
      <c r="A387" s="65" t="n"/>
      <c r="B387" s="7" t="n"/>
      <c r="C387" s="9">
        <f>IF(B387="","",IFERROR(INDEX('Équipements'!$B$5:$B$304,MATCH(B387,'Équipements'!$A$5:$A$304,0)),"Code inconnu"))</f>
        <v/>
      </c>
      <c r="D387" s="67" t="n"/>
      <c r="E387" s="7" t="n"/>
      <c r="F387" s="68">
        <f>IF(OR(B387="",A387=""),"",IF(COUNTIFS('Relevés compteurs'!$B$5:$B$1504,B387,'Relevés compteurs'!$A$5:$A$1504,"&lt;"&amp;A387)=0,"",D387-_xlfn.MAXIFS('Relevés compteurs'!$D$5:$D$1504,'Relevés compteurs'!$B$5:$B$1504,B387,'Relevés compteurs'!$A$5:$A$1504,"&lt;"&amp;A387)))</f>
        <v/>
      </c>
    </row>
    <row r="388">
      <c r="A388" s="65" t="n"/>
      <c r="B388" s="7" t="n"/>
      <c r="C388" s="9">
        <f>IF(B388="","",IFERROR(INDEX('Équipements'!$B$5:$B$304,MATCH(B388,'Équipements'!$A$5:$A$304,0)),"Code inconnu"))</f>
        <v/>
      </c>
      <c r="D388" s="67" t="n"/>
      <c r="E388" s="7" t="n"/>
      <c r="F388" s="68">
        <f>IF(OR(B388="",A388=""),"",IF(COUNTIFS('Relevés compteurs'!$B$5:$B$1504,B388,'Relevés compteurs'!$A$5:$A$1504,"&lt;"&amp;A388)=0,"",D388-_xlfn.MAXIFS('Relevés compteurs'!$D$5:$D$1504,'Relevés compteurs'!$B$5:$B$1504,B388,'Relevés compteurs'!$A$5:$A$1504,"&lt;"&amp;A388)))</f>
        <v/>
      </c>
    </row>
    <row r="389">
      <c r="A389" s="65" t="n"/>
      <c r="B389" s="7" t="n"/>
      <c r="C389" s="9">
        <f>IF(B389="","",IFERROR(INDEX('Équipements'!$B$5:$B$304,MATCH(B389,'Équipements'!$A$5:$A$304,0)),"Code inconnu"))</f>
        <v/>
      </c>
      <c r="D389" s="67" t="n"/>
      <c r="E389" s="7" t="n"/>
      <c r="F389" s="68">
        <f>IF(OR(B389="",A389=""),"",IF(COUNTIFS('Relevés compteurs'!$B$5:$B$1504,B389,'Relevés compteurs'!$A$5:$A$1504,"&lt;"&amp;A389)=0,"",D389-_xlfn.MAXIFS('Relevés compteurs'!$D$5:$D$1504,'Relevés compteurs'!$B$5:$B$1504,B389,'Relevés compteurs'!$A$5:$A$1504,"&lt;"&amp;A389)))</f>
        <v/>
      </c>
    </row>
    <row r="390">
      <c r="A390" s="65" t="n"/>
      <c r="B390" s="7" t="n"/>
      <c r="C390" s="9">
        <f>IF(B390="","",IFERROR(INDEX('Équipements'!$B$5:$B$304,MATCH(B390,'Équipements'!$A$5:$A$304,0)),"Code inconnu"))</f>
        <v/>
      </c>
      <c r="D390" s="67" t="n"/>
      <c r="E390" s="7" t="n"/>
      <c r="F390" s="68">
        <f>IF(OR(B390="",A390=""),"",IF(COUNTIFS('Relevés compteurs'!$B$5:$B$1504,B390,'Relevés compteurs'!$A$5:$A$1504,"&lt;"&amp;A390)=0,"",D390-_xlfn.MAXIFS('Relevés compteurs'!$D$5:$D$1504,'Relevés compteurs'!$B$5:$B$1504,B390,'Relevés compteurs'!$A$5:$A$1504,"&lt;"&amp;A390)))</f>
        <v/>
      </c>
    </row>
    <row r="391">
      <c r="A391" s="65" t="n"/>
      <c r="B391" s="7" t="n"/>
      <c r="C391" s="9">
        <f>IF(B391="","",IFERROR(INDEX('Équipements'!$B$5:$B$304,MATCH(B391,'Équipements'!$A$5:$A$304,0)),"Code inconnu"))</f>
        <v/>
      </c>
      <c r="D391" s="67" t="n"/>
      <c r="E391" s="7" t="n"/>
      <c r="F391" s="68">
        <f>IF(OR(B391="",A391=""),"",IF(COUNTIFS('Relevés compteurs'!$B$5:$B$1504,B391,'Relevés compteurs'!$A$5:$A$1504,"&lt;"&amp;A391)=0,"",D391-_xlfn.MAXIFS('Relevés compteurs'!$D$5:$D$1504,'Relevés compteurs'!$B$5:$B$1504,B391,'Relevés compteurs'!$A$5:$A$1504,"&lt;"&amp;A391)))</f>
        <v/>
      </c>
    </row>
    <row r="392">
      <c r="A392" s="65" t="n"/>
      <c r="B392" s="7" t="n"/>
      <c r="C392" s="9">
        <f>IF(B392="","",IFERROR(INDEX('Équipements'!$B$5:$B$304,MATCH(B392,'Équipements'!$A$5:$A$304,0)),"Code inconnu"))</f>
        <v/>
      </c>
      <c r="D392" s="67" t="n"/>
      <c r="E392" s="7" t="n"/>
      <c r="F392" s="68">
        <f>IF(OR(B392="",A392=""),"",IF(COUNTIFS('Relevés compteurs'!$B$5:$B$1504,B392,'Relevés compteurs'!$A$5:$A$1504,"&lt;"&amp;A392)=0,"",D392-_xlfn.MAXIFS('Relevés compteurs'!$D$5:$D$1504,'Relevés compteurs'!$B$5:$B$1504,B392,'Relevés compteurs'!$A$5:$A$1504,"&lt;"&amp;A392)))</f>
        <v/>
      </c>
    </row>
    <row r="393">
      <c r="A393" s="65" t="n"/>
      <c r="B393" s="7" t="n"/>
      <c r="C393" s="9">
        <f>IF(B393="","",IFERROR(INDEX('Équipements'!$B$5:$B$304,MATCH(B393,'Équipements'!$A$5:$A$304,0)),"Code inconnu"))</f>
        <v/>
      </c>
      <c r="D393" s="67" t="n"/>
      <c r="E393" s="7" t="n"/>
      <c r="F393" s="68">
        <f>IF(OR(B393="",A393=""),"",IF(COUNTIFS('Relevés compteurs'!$B$5:$B$1504,B393,'Relevés compteurs'!$A$5:$A$1504,"&lt;"&amp;A393)=0,"",D393-_xlfn.MAXIFS('Relevés compteurs'!$D$5:$D$1504,'Relevés compteurs'!$B$5:$B$1504,B393,'Relevés compteurs'!$A$5:$A$1504,"&lt;"&amp;A393)))</f>
        <v/>
      </c>
    </row>
    <row r="394">
      <c r="A394" s="65" t="n"/>
      <c r="B394" s="7" t="n"/>
      <c r="C394" s="9">
        <f>IF(B394="","",IFERROR(INDEX('Équipements'!$B$5:$B$304,MATCH(B394,'Équipements'!$A$5:$A$304,0)),"Code inconnu"))</f>
        <v/>
      </c>
      <c r="D394" s="67" t="n"/>
      <c r="E394" s="7" t="n"/>
      <c r="F394" s="68">
        <f>IF(OR(B394="",A394=""),"",IF(COUNTIFS('Relevés compteurs'!$B$5:$B$1504,B394,'Relevés compteurs'!$A$5:$A$1504,"&lt;"&amp;A394)=0,"",D394-_xlfn.MAXIFS('Relevés compteurs'!$D$5:$D$1504,'Relevés compteurs'!$B$5:$B$1504,B394,'Relevés compteurs'!$A$5:$A$1504,"&lt;"&amp;A394)))</f>
        <v/>
      </c>
    </row>
    <row r="395">
      <c r="A395" s="65" t="n"/>
      <c r="B395" s="7" t="n"/>
      <c r="C395" s="9">
        <f>IF(B395="","",IFERROR(INDEX('Équipements'!$B$5:$B$304,MATCH(B395,'Équipements'!$A$5:$A$304,0)),"Code inconnu"))</f>
        <v/>
      </c>
      <c r="D395" s="67" t="n"/>
      <c r="E395" s="7" t="n"/>
      <c r="F395" s="68">
        <f>IF(OR(B395="",A395=""),"",IF(COUNTIFS('Relevés compteurs'!$B$5:$B$1504,B395,'Relevés compteurs'!$A$5:$A$1504,"&lt;"&amp;A395)=0,"",D395-_xlfn.MAXIFS('Relevés compteurs'!$D$5:$D$1504,'Relevés compteurs'!$B$5:$B$1504,B395,'Relevés compteurs'!$A$5:$A$1504,"&lt;"&amp;A395)))</f>
        <v/>
      </c>
    </row>
    <row r="396">
      <c r="A396" s="65" t="n"/>
      <c r="B396" s="7" t="n"/>
      <c r="C396" s="9">
        <f>IF(B396="","",IFERROR(INDEX('Équipements'!$B$5:$B$304,MATCH(B396,'Équipements'!$A$5:$A$304,0)),"Code inconnu"))</f>
        <v/>
      </c>
      <c r="D396" s="67" t="n"/>
      <c r="E396" s="7" t="n"/>
      <c r="F396" s="68">
        <f>IF(OR(B396="",A396=""),"",IF(COUNTIFS('Relevés compteurs'!$B$5:$B$1504,B396,'Relevés compteurs'!$A$5:$A$1504,"&lt;"&amp;A396)=0,"",D396-_xlfn.MAXIFS('Relevés compteurs'!$D$5:$D$1504,'Relevés compteurs'!$B$5:$B$1504,B396,'Relevés compteurs'!$A$5:$A$1504,"&lt;"&amp;A396)))</f>
        <v/>
      </c>
    </row>
    <row r="397">
      <c r="A397" s="65" t="n"/>
      <c r="B397" s="7" t="n"/>
      <c r="C397" s="9">
        <f>IF(B397="","",IFERROR(INDEX('Équipements'!$B$5:$B$304,MATCH(B397,'Équipements'!$A$5:$A$304,0)),"Code inconnu"))</f>
        <v/>
      </c>
      <c r="D397" s="67" t="n"/>
      <c r="E397" s="7" t="n"/>
      <c r="F397" s="68">
        <f>IF(OR(B397="",A397=""),"",IF(COUNTIFS('Relevés compteurs'!$B$5:$B$1504,B397,'Relevés compteurs'!$A$5:$A$1504,"&lt;"&amp;A397)=0,"",D397-_xlfn.MAXIFS('Relevés compteurs'!$D$5:$D$1504,'Relevés compteurs'!$B$5:$B$1504,B397,'Relevés compteurs'!$A$5:$A$1504,"&lt;"&amp;A397)))</f>
        <v/>
      </c>
    </row>
    <row r="398">
      <c r="A398" s="65" t="n"/>
      <c r="B398" s="7" t="n"/>
      <c r="C398" s="9">
        <f>IF(B398="","",IFERROR(INDEX('Équipements'!$B$5:$B$304,MATCH(B398,'Équipements'!$A$5:$A$304,0)),"Code inconnu"))</f>
        <v/>
      </c>
      <c r="D398" s="67" t="n"/>
      <c r="E398" s="7" t="n"/>
      <c r="F398" s="68">
        <f>IF(OR(B398="",A398=""),"",IF(COUNTIFS('Relevés compteurs'!$B$5:$B$1504,B398,'Relevés compteurs'!$A$5:$A$1504,"&lt;"&amp;A398)=0,"",D398-_xlfn.MAXIFS('Relevés compteurs'!$D$5:$D$1504,'Relevés compteurs'!$B$5:$B$1504,B398,'Relevés compteurs'!$A$5:$A$1504,"&lt;"&amp;A398)))</f>
        <v/>
      </c>
    </row>
    <row r="399">
      <c r="A399" s="65" t="n"/>
      <c r="B399" s="7" t="n"/>
      <c r="C399" s="9">
        <f>IF(B399="","",IFERROR(INDEX('Équipements'!$B$5:$B$304,MATCH(B399,'Équipements'!$A$5:$A$304,0)),"Code inconnu"))</f>
        <v/>
      </c>
      <c r="D399" s="67" t="n"/>
      <c r="E399" s="7" t="n"/>
      <c r="F399" s="68">
        <f>IF(OR(B399="",A399=""),"",IF(COUNTIFS('Relevés compteurs'!$B$5:$B$1504,B399,'Relevés compteurs'!$A$5:$A$1504,"&lt;"&amp;A399)=0,"",D399-_xlfn.MAXIFS('Relevés compteurs'!$D$5:$D$1504,'Relevés compteurs'!$B$5:$B$1504,B399,'Relevés compteurs'!$A$5:$A$1504,"&lt;"&amp;A399)))</f>
        <v/>
      </c>
    </row>
    <row r="400">
      <c r="A400" s="65" t="n"/>
      <c r="B400" s="7" t="n"/>
      <c r="C400" s="9">
        <f>IF(B400="","",IFERROR(INDEX('Équipements'!$B$5:$B$304,MATCH(B400,'Équipements'!$A$5:$A$304,0)),"Code inconnu"))</f>
        <v/>
      </c>
      <c r="D400" s="67" t="n"/>
      <c r="E400" s="7" t="n"/>
      <c r="F400" s="68">
        <f>IF(OR(B400="",A400=""),"",IF(COUNTIFS('Relevés compteurs'!$B$5:$B$1504,B400,'Relevés compteurs'!$A$5:$A$1504,"&lt;"&amp;A400)=0,"",D400-_xlfn.MAXIFS('Relevés compteurs'!$D$5:$D$1504,'Relevés compteurs'!$B$5:$B$1504,B400,'Relevés compteurs'!$A$5:$A$1504,"&lt;"&amp;A400)))</f>
        <v/>
      </c>
    </row>
    <row r="401">
      <c r="A401" s="65" t="n"/>
      <c r="B401" s="7" t="n"/>
      <c r="C401" s="9">
        <f>IF(B401="","",IFERROR(INDEX('Équipements'!$B$5:$B$304,MATCH(B401,'Équipements'!$A$5:$A$304,0)),"Code inconnu"))</f>
        <v/>
      </c>
      <c r="D401" s="67" t="n"/>
      <c r="E401" s="7" t="n"/>
      <c r="F401" s="68">
        <f>IF(OR(B401="",A401=""),"",IF(COUNTIFS('Relevés compteurs'!$B$5:$B$1504,B401,'Relevés compteurs'!$A$5:$A$1504,"&lt;"&amp;A401)=0,"",D401-_xlfn.MAXIFS('Relevés compteurs'!$D$5:$D$1504,'Relevés compteurs'!$B$5:$B$1504,B401,'Relevés compteurs'!$A$5:$A$1504,"&lt;"&amp;A401)))</f>
        <v/>
      </c>
    </row>
    <row r="402">
      <c r="A402" s="65" t="n"/>
      <c r="B402" s="7" t="n"/>
      <c r="C402" s="9">
        <f>IF(B402="","",IFERROR(INDEX('Équipements'!$B$5:$B$304,MATCH(B402,'Équipements'!$A$5:$A$304,0)),"Code inconnu"))</f>
        <v/>
      </c>
      <c r="D402" s="67" t="n"/>
      <c r="E402" s="7" t="n"/>
      <c r="F402" s="68">
        <f>IF(OR(B402="",A402=""),"",IF(COUNTIFS('Relevés compteurs'!$B$5:$B$1504,B402,'Relevés compteurs'!$A$5:$A$1504,"&lt;"&amp;A402)=0,"",D402-_xlfn.MAXIFS('Relevés compteurs'!$D$5:$D$1504,'Relevés compteurs'!$B$5:$B$1504,B402,'Relevés compteurs'!$A$5:$A$1504,"&lt;"&amp;A402)))</f>
        <v/>
      </c>
    </row>
    <row r="403">
      <c r="A403" s="65" t="n"/>
      <c r="B403" s="7" t="n"/>
      <c r="C403" s="9">
        <f>IF(B403="","",IFERROR(INDEX('Équipements'!$B$5:$B$304,MATCH(B403,'Équipements'!$A$5:$A$304,0)),"Code inconnu"))</f>
        <v/>
      </c>
      <c r="D403" s="67" t="n"/>
      <c r="E403" s="7" t="n"/>
      <c r="F403" s="68">
        <f>IF(OR(B403="",A403=""),"",IF(COUNTIFS('Relevés compteurs'!$B$5:$B$1504,B403,'Relevés compteurs'!$A$5:$A$1504,"&lt;"&amp;A403)=0,"",D403-_xlfn.MAXIFS('Relevés compteurs'!$D$5:$D$1504,'Relevés compteurs'!$B$5:$B$1504,B403,'Relevés compteurs'!$A$5:$A$1504,"&lt;"&amp;A403)))</f>
        <v/>
      </c>
    </row>
    <row r="404">
      <c r="A404" s="65" t="n"/>
      <c r="B404" s="7" t="n"/>
      <c r="C404" s="9">
        <f>IF(B404="","",IFERROR(INDEX('Équipements'!$B$5:$B$304,MATCH(B404,'Équipements'!$A$5:$A$304,0)),"Code inconnu"))</f>
        <v/>
      </c>
      <c r="D404" s="67" t="n"/>
      <c r="E404" s="7" t="n"/>
      <c r="F404" s="68">
        <f>IF(OR(B404="",A404=""),"",IF(COUNTIFS('Relevés compteurs'!$B$5:$B$1504,B404,'Relevés compteurs'!$A$5:$A$1504,"&lt;"&amp;A404)=0,"",D404-_xlfn.MAXIFS('Relevés compteurs'!$D$5:$D$1504,'Relevés compteurs'!$B$5:$B$1504,B404,'Relevés compteurs'!$A$5:$A$1504,"&lt;"&amp;A404)))</f>
        <v/>
      </c>
    </row>
    <row r="405">
      <c r="A405" s="65" t="n"/>
      <c r="B405" s="7" t="n"/>
      <c r="C405" s="9">
        <f>IF(B405="","",IFERROR(INDEX('Équipements'!$B$5:$B$304,MATCH(B405,'Équipements'!$A$5:$A$304,0)),"Code inconnu"))</f>
        <v/>
      </c>
      <c r="D405" s="67" t="n"/>
      <c r="E405" s="7" t="n"/>
      <c r="F405" s="68">
        <f>IF(OR(B405="",A405=""),"",IF(COUNTIFS('Relevés compteurs'!$B$5:$B$1504,B405,'Relevés compteurs'!$A$5:$A$1504,"&lt;"&amp;A405)=0,"",D405-_xlfn.MAXIFS('Relevés compteurs'!$D$5:$D$1504,'Relevés compteurs'!$B$5:$B$1504,B405,'Relevés compteurs'!$A$5:$A$1504,"&lt;"&amp;A405)))</f>
        <v/>
      </c>
    </row>
    <row r="406">
      <c r="A406" s="65" t="n"/>
      <c r="B406" s="7" t="n"/>
      <c r="C406" s="9">
        <f>IF(B406="","",IFERROR(INDEX('Équipements'!$B$5:$B$304,MATCH(B406,'Équipements'!$A$5:$A$304,0)),"Code inconnu"))</f>
        <v/>
      </c>
      <c r="D406" s="67" t="n"/>
      <c r="E406" s="7" t="n"/>
      <c r="F406" s="68">
        <f>IF(OR(B406="",A406=""),"",IF(COUNTIFS('Relevés compteurs'!$B$5:$B$1504,B406,'Relevés compteurs'!$A$5:$A$1504,"&lt;"&amp;A406)=0,"",D406-_xlfn.MAXIFS('Relevés compteurs'!$D$5:$D$1504,'Relevés compteurs'!$B$5:$B$1504,B406,'Relevés compteurs'!$A$5:$A$1504,"&lt;"&amp;A406)))</f>
        <v/>
      </c>
    </row>
    <row r="407">
      <c r="A407" s="65" t="n"/>
      <c r="B407" s="7" t="n"/>
      <c r="C407" s="9">
        <f>IF(B407="","",IFERROR(INDEX('Équipements'!$B$5:$B$304,MATCH(B407,'Équipements'!$A$5:$A$304,0)),"Code inconnu"))</f>
        <v/>
      </c>
      <c r="D407" s="67" t="n"/>
      <c r="E407" s="7" t="n"/>
      <c r="F407" s="68">
        <f>IF(OR(B407="",A407=""),"",IF(COUNTIFS('Relevés compteurs'!$B$5:$B$1504,B407,'Relevés compteurs'!$A$5:$A$1504,"&lt;"&amp;A407)=0,"",D407-_xlfn.MAXIFS('Relevés compteurs'!$D$5:$D$1504,'Relevés compteurs'!$B$5:$B$1504,B407,'Relevés compteurs'!$A$5:$A$1504,"&lt;"&amp;A407)))</f>
        <v/>
      </c>
    </row>
    <row r="408">
      <c r="A408" s="65" t="n"/>
      <c r="B408" s="7" t="n"/>
      <c r="C408" s="9">
        <f>IF(B408="","",IFERROR(INDEX('Équipements'!$B$5:$B$304,MATCH(B408,'Équipements'!$A$5:$A$304,0)),"Code inconnu"))</f>
        <v/>
      </c>
      <c r="D408" s="67" t="n"/>
      <c r="E408" s="7" t="n"/>
      <c r="F408" s="68">
        <f>IF(OR(B408="",A408=""),"",IF(COUNTIFS('Relevés compteurs'!$B$5:$B$1504,B408,'Relevés compteurs'!$A$5:$A$1504,"&lt;"&amp;A408)=0,"",D408-_xlfn.MAXIFS('Relevés compteurs'!$D$5:$D$1504,'Relevés compteurs'!$B$5:$B$1504,B408,'Relevés compteurs'!$A$5:$A$1504,"&lt;"&amp;A408)))</f>
        <v/>
      </c>
    </row>
    <row r="409">
      <c r="A409" s="65" t="n"/>
      <c r="B409" s="7" t="n"/>
      <c r="C409" s="9">
        <f>IF(B409="","",IFERROR(INDEX('Équipements'!$B$5:$B$304,MATCH(B409,'Équipements'!$A$5:$A$304,0)),"Code inconnu"))</f>
        <v/>
      </c>
      <c r="D409" s="67" t="n"/>
      <c r="E409" s="7" t="n"/>
      <c r="F409" s="68">
        <f>IF(OR(B409="",A409=""),"",IF(COUNTIFS('Relevés compteurs'!$B$5:$B$1504,B409,'Relevés compteurs'!$A$5:$A$1504,"&lt;"&amp;A409)=0,"",D409-_xlfn.MAXIFS('Relevés compteurs'!$D$5:$D$1504,'Relevés compteurs'!$B$5:$B$1504,B409,'Relevés compteurs'!$A$5:$A$1504,"&lt;"&amp;A409)))</f>
        <v/>
      </c>
    </row>
    <row r="410">
      <c r="A410" s="65" t="n"/>
      <c r="B410" s="7" t="n"/>
      <c r="C410" s="9">
        <f>IF(B410="","",IFERROR(INDEX('Équipements'!$B$5:$B$304,MATCH(B410,'Équipements'!$A$5:$A$304,0)),"Code inconnu"))</f>
        <v/>
      </c>
      <c r="D410" s="67" t="n"/>
      <c r="E410" s="7" t="n"/>
      <c r="F410" s="68">
        <f>IF(OR(B410="",A410=""),"",IF(COUNTIFS('Relevés compteurs'!$B$5:$B$1504,B410,'Relevés compteurs'!$A$5:$A$1504,"&lt;"&amp;A410)=0,"",D410-_xlfn.MAXIFS('Relevés compteurs'!$D$5:$D$1504,'Relevés compteurs'!$B$5:$B$1504,B410,'Relevés compteurs'!$A$5:$A$1504,"&lt;"&amp;A410)))</f>
        <v/>
      </c>
    </row>
    <row r="411">
      <c r="A411" s="65" t="n"/>
      <c r="B411" s="7" t="n"/>
      <c r="C411" s="9">
        <f>IF(B411="","",IFERROR(INDEX('Équipements'!$B$5:$B$304,MATCH(B411,'Équipements'!$A$5:$A$304,0)),"Code inconnu"))</f>
        <v/>
      </c>
      <c r="D411" s="67" t="n"/>
      <c r="E411" s="7" t="n"/>
      <c r="F411" s="68">
        <f>IF(OR(B411="",A411=""),"",IF(COUNTIFS('Relevés compteurs'!$B$5:$B$1504,B411,'Relevés compteurs'!$A$5:$A$1504,"&lt;"&amp;A411)=0,"",D411-_xlfn.MAXIFS('Relevés compteurs'!$D$5:$D$1504,'Relevés compteurs'!$B$5:$B$1504,B411,'Relevés compteurs'!$A$5:$A$1504,"&lt;"&amp;A411)))</f>
        <v/>
      </c>
    </row>
    <row r="412">
      <c r="A412" s="65" t="n"/>
      <c r="B412" s="7" t="n"/>
      <c r="C412" s="9">
        <f>IF(B412="","",IFERROR(INDEX('Équipements'!$B$5:$B$304,MATCH(B412,'Équipements'!$A$5:$A$304,0)),"Code inconnu"))</f>
        <v/>
      </c>
      <c r="D412" s="67" t="n"/>
      <c r="E412" s="7" t="n"/>
      <c r="F412" s="68">
        <f>IF(OR(B412="",A412=""),"",IF(COUNTIFS('Relevés compteurs'!$B$5:$B$1504,B412,'Relevés compteurs'!$A$5:$A$1504,"&lt;"&amp;A412)=0,"",D412-_xlfn.MAXIFS('Relevés compteurs'!$D$5:$D$1504,'Relevés compteurs'!$B$5:$B$1504,B412,'Relevés compteurs'!$A$5:$A$1504,"&lt;"&amp;A412)))</f>
        <v/>
      </c>
    </row>
    <row r="413">
      <c r="A413" s="65" t="n"/>
      <c r="B413" s="7" t="n"/>
      <c r="C413" s="9">
        <f>IF(B413="","",IFERROR(INDEX('Équipements'!$B$5:$B$304,MATCH(B413,'Équipements'!$A$5:$A$304,0)),"Code inconnu"))</f>
        <v/>
      </c>
      <c r="D413" s="67" t="n"/>
      <c r="E413" s="7" t="n"/>
      <c r="F413" s="68">
        <f>IF(OR(B413="",A413=""),"",IF(COUNTIFS('Relevés compteurs'!$B$5:$B$1504,B413,'Relevés compteurs'!$A$5:$A$1504,"&lt;"&amp;A413)=0,"",D413-_xlfn.MAXIFS('Relevés compteurs'!$D$5:$D$1504,'Relevés compteurs'!$B$5:$B$1504,B413,'Relevés compteurs'!$A$5:$A$1504,"&lt;"&amp;A413)))</f>
        <v/>
      </c>
    </row>
    <row r="414">
      <c r="A414" s="65" t="n"/>
      <c r="B414" s="7" t="n"/>
      <c r="C414" s="9">
        <f>IF(B414="","",IFERROR(INDEX('Équipements'!$B$5:$B$304,MATCH(B414,'Équipements'!$A$5:$A$304,0)),"Code inconnu"))</f>
        <v/>
      </c>
      <c r="D414" s="67" t="n"/>
      <c r="E414" s="7" t="n"/>
      <c r="F414" s="68">
        <f>IF(OR(B414="",A414=""),"",IF(COUNTIFS('Relevés compteurs'!$B$5:$B$1504,B414,'Relevés compteurs'!$A$5:$A$1504,"&lt;"&amp;A414)=0,"",D414-_xlfn.MAXIFS('Relevés compteurs'!$D$5:$D$1504,'Relevés compteurs'!$B$5:$B$1504,B414,'Relevés compteurs'!$A$5:$A$1504,"&lt;"&amp;A414)))</f>
        <v/>
      </c>
    </row>
    <row r="415">
      <c r="A415" s="65" t="n"/>
      <c r="B415" s="7" t="n"/>
      <c r="C415" s="9">
        <f>IF(B415="","",IFERROR(INDEX('Équipements'!$B$5:$B$304,MATCH(B415,'Équipements'!$A$5:$A$304,0)),"Code inconnu"))</f>
        <v/>
      </c>
      <c r="D415" s="67" t="n"/>
      <c r="E415" s="7" t="n"/>
      <c r="F415" s="68">
        <f>IF(OR(B415="",A415=""),"",IF(COUNTIFS('Relevés compteurs'!$B$5:$B$1504,B415,'Relevés compteurs'!$A$5:$A$1504,"&lt;"&amp;A415)=0,"",D415-_xlfn.MAXIFS('Relevés compteurs'!$D$5:$D$1504,'Relevés compteurs'!$B$5:$B$1504,B415,'Relevés compteurs'!$A$5:$A$1504,"&lt;"&amp;A415)))</f>
        <v/>
      </c>
    </row>
    <row r="416">
      <c r="A416" s="65" t="n"/>
      <c r="B416" s="7" t="n"/>
      <c r="C416" s="9">
        <f>IF(B416="","",IFERROR(INDEX('Équipements'!$B$5:$B$304,MATCH(B416,'Équipements'!$A$5:$A$304,0)),"Code inconnu"))</f>
        <v/>
      </c>
      <c r="D416" s="67" t="n"/>
      <c r="E416" s="7" t="n"/>
      <c r="F416" s="68">
        <f>IF(OR(B416="",A416=""),"",IF(COUNTIFS('Relevés compteurs'!$B$5:$B$1504,B416,'Relevés compteurs'!$A$5:$A$1504,"&lt;"&amp;A416)=0,"",D416-_xlfn.MAXIFS('Relevés compteurs'!$D$5:$D$1504,'Relevés compteurs'!$B$5:$B$1504,B416,'Relevés compteurs'!$A$5:$A$1504,"&lt;"&amp;A416)))</f>
        <v/>
      </c>
    </row>
    <row r="417">
      <c r="A417" s="65" t="n"/>
      <c r="B417" s="7" t="n"/>
      <c r="C417" s="9">
        <f>IF(B417="","",IFERROR(INDEX('Équipements'!$B$5:$B$304,MATCH(B417,'Équipements'!$A$5:$A$304,0)),"Code inconnu"))</f>
        <v/>
      </c>
      <c r="D417" s="67" t="n"/>
      <c r="E417" s="7" t="n"/>
      <c r="F417" s="68">
        <f>IF(OR(B417="",A417=""),"",IF(COUNTIFS('Relevés compteurs'!$B$5:$B$1504,B417,'Relevés compteurs'!$A$5:$A$1504,"&lt;"&amp;A417)=0,"",D417-_xlfn.MAXIFS('Relevés compteurs'!$D$5:$D$1504,'Relevés compteurs'!$B$5:$B$1504,B417,'Relevés compteurs'!$A$5:$A$1504,"&lt;"&amp;A417)))</f>
        <v/>
      </c>
    </row>
    <row r="418">
      <c r="A418" s="65" t="n"/>
      <c r="B418" s="7" t="n"/>
      <c r="C418" s="9">
        <f>IF(B418="","",IFERROR(INDEX('Équipements'!$B$5:$B$304,MATCH(B418,'Équipements'!$A$5:$A$304,0)),"Code inconnu"))</f>
        <v/>
      </c>
      <c r="D418" s="67" t="n"/>
      <c r="E418" s="7" t="n"/>
      <c r="F418" s="68">
        <f>IF(OR(B418="",A418=""),"",IF(COUNTIFS('Relevés compteurs'!$B$5:$B$1504,B418,'Relevés compteurs'!$A$5:$A$1504,"&lt;"&amp;A418)=0,"",D418-_xlfn.MAXIFS('Relevés compteurs'!$D$5:$D$1504,'Relevés compteurs'!$B$5:$B$1504,B418,'Relevés compteurs'!$A$5:$A$1504,"&lt;"&amp;A418)))</f>
        <v/>
      </c>
    </row>
    <row r="419">
      <c r="A419" s="65" t="n"/>
      <c r="B419" s="7" t="n"/>
      <c r="C419" s="9">
        <f>IF(B419="","",IFERROR(INDEX('Équipements'!$B$5:$B$304,MATCH(B419,'Équipements'!$A$5:$A$304,0)),"Code inconnu"))</f>
        <v/>
      </c>
      <c r="D419" s="67" t="n"/>
      <c r="E419" s="7" t="n"/>
      <c r="F419" s="68">
        <f>IF(OR(B419="",A419=""),"",IF(COUNTIFS('Relevés compteurs'!$B$5:$B$1504,B419,'Relevés compteurs'!$A$5:$A$1504,"&lt;"&amp;A419)=0,"",D419-_xlfn.MAXIFS('Relevés compteurs'!$D$5:$D$1504,'Relevés compteurs'!$B$5:$B$1504,B419,'Relevés compteurs'!$A$5:$A$1504,"&lt;"&amp;A419)))</f>
        <v/>
      </c>
    </row>
    <row r="420">
      <c r="A420" s="65" t="n"/>
      <c r="B420" s="7" t="n"/>
      <c r="C420" s="9">
        <f>IF(B420="","",IFERROR(INDEX('Équipements'!$B$5:$B$304,MATCH(B420,'Équipements'!$A$5:$A$304,0)),"Code inconnu"))</f>
        <v/>
      </c>
      <c r="D420" s="67" t="n"/>
      <c r="E420" s="7" t="n"/>
      <c r="F420" s="68">
        <f>IF(OR(B420="",A420=""),"",IF(COUNTIFS('Relevés compteurs'!$B$5:$B$1504,B420,'Relevés compteurs'!$A$5:$A$1504,"&lt;"&amp;A420)=0,"",D420-_xlfn.MAXIFS('Relevés compteurs'!$D$5:$D$1504,'Relevés compteurs'!$B$5:$B$1504,B420,'Relevés compteurs'!$A$5:$A$1504,"&lt;"&amp;A420)))</f>
        <v/>
      </c>
    </row>
    <row r="421">
      <c r="A421" s="65" t="n"/>
      <c r="B421" s="7" t="n"/>
      <c r="C421" s="9">
        <f>IF(B421="","",IFERROR(INDEX('Équipements'!$B$5:$B$304,MATCH(B421,'Équipements'!$A$5:$A$304,0)),"Code inconnu"))</f>
        <v/>
      </c>
      <c r="D421" s="67" t="n"/>
      <c r="E421" s="7" t="n"/>
      <c r="F421" s="68">
        <f>IF(OR(B421="",A421=""),"",IF(COUNTIFS('Relevés compteurs'!$B$5:$B$1504,B421,'Relevés compteurs'!$A$5:$A$1504,"&lt;"&amp;A421)=0,"",D421-_xlfn.MAXIFS('Relevés compteurs'!$D$5:$D$1504,'Relevés compteurs'!$B$5:$B$1504,B421,'Relevés compteurs'!$A$5:$A$1504,"&lt;"&amp;A421)))</f>
        <v/>
      </c>
    </row>
    <row r="422">
      <c r="A422" s="65" t="n"/>
      <c r="B422" s="7" t="n"/>
      <c r="C422" s="9">
        <f>IF(B422="","",IFERROR(INDEX('Équipements'!$B$5:$B$304,MATCH(B422,'Équipements'!$A$5:$A$304,0)),"Code inconnu"))</f>
        <v/>
      </c>
      <c r="D422" s="67" t="n"/>
      <c r="E422" s="7" t="n"/>
      <c r="F422" s="68">
        <f>IF(OR(B422="",A422=""),"",IF(COUNTIFS('Relevés compteurs'!$B$5:$B$1504,B422,'Relevés compteurs'!$A$5:$A$1504,"&lt;"&amp;A422)=0,"",D422-_xlfn.MAXIFS('Relevés compteurs'!$D$5:$D$1504,'Relevés compteurs'!$B$5:$B$1504,B422,'Relevés compteurs'!$A$5:$A$1504,"&lt;"&amp;A422)))</f>
        <v/>
      </c>
    </row>
    <row r="423">
      <c r="A423" s="65" t="n"/>
      <c r="B423" s="7" t="n"/>
      <c r="C423" s="9">
        <f>IF(B423="","",IFERROR(INDEX('Équipements'!$B$5:$B$304,MATCH(B423,'Équipements'!$A$5:$A$304,0)),"Code inconnu"))</f>
        <v/>
      </c>
      <c r="D423" s="67" t="n"/>
      <c r="E423" s="7" t="n"/>
      <c r="F423" s="68">
        <f>IF(OR(B423="",A423=""),"",IF(COUNTIFS('Relevés compteurs'!$B$5:$B$1504,B423,'Relevés compteurs'!$A$5:$A$1504,"&lt;"&amp;A423)=0,"",D423-_xlfn.MAXIFS('Relevés compteurs'!$D$5:$D$1504,'Relevés compteurs'!$B$5:$B$1504,B423,'Relevés compteurs'!$A$5:$A$1504,"&lt;"&amp;A423)))</f>
        <v/>
      </c>
    </row>
    <row r="424">
      <c r="A424" s="65" t="n"/>
      <c r="B424" s="7" t="n"/>
      <c r="C424" s="9">
        <f>IF(B424="","",IFERROR(INDEX('Équipements'!$B$5:$B$304,MATCH(B424,'Équipements'!$A$5:$A$304,0)),"Code inconnu"))</f>
        <v/>
      </c>
      <c r="D424" s="67" t="n"/>
      <c r="E424" s="7" t="n"/>
      <c r="F424" s="68">
        <f>IF(OR(B424="",A424=""),"",IF(COUNTIFS('Relevés compteurs'!$B$5:$B$1504,B424,'Relevés compteurs'!$A$5:$A$1504,"&lt;"&amp;A424)=0,"",D424-_xlfn.MAXIFS('Relevés compteurs'!$D$5:$D$1504,'Relevés compteurs'!$B$5:$B$1504,B424,'Relevés compteurs'!$A$5:$A$1504,"&lt;"&amp;A424)))</f>
        <v/>
      </c>
    </row>
    <row r="425">
      <c r="A425" s="65" t="n"/>
      <c r="B425" s="7" t="n"/>
      <c r="C425" s="9">
        <f>IF(B425="","",IFERROR(INDEX('Équipements'!$B$5:$B$304,MATCH(B425,'Équipements'!$A$5:$A$304,0)),"Code inconnu"))</f>
        <v/>
      </c>
      <c r="D425" s="67" t="n"/>
      <c r="E425" s="7" t="n"/>
      <c r="F425" s="68">
        <f>IF(OR(B425="",A425=""),"",IF(COUNTIFS('Relevés compteurs'!$B$5:$B$1504,B425,'Relevés compteurs'!$A$5:$A$1504,"&lt;"&amp;A425)=0,"",D425-_xlfn.MAXIFS('Relevés compteurs'!$D$5:$D$1504,'Relevés compteurs'!$B$5:$B$1504,B425,'Relevés compteurs'!$A$5:$A$1504,"&lt;"&amp;A425)))</f>
        <v/>
      </c>
    </row>
    <row r="426">
      <c r="A426" s="65" t="n"/>
      <c r="B426" s="7" t="n"/>
      <c r="C426" s="9">
        <f>IF(B426="","",IFERROR(INDEX('Équipements'!$B$5:$B$304,MATCH(B426,'Équipements'!$A$5:$A$304,0)),"Code inconnu"))</f>
        <v/>
      </c>
      <c r="D426" s="67" t="n"/>
      <c r="E426" s="7" t="n"/>
      <c r="F426" s="68">
        <f>IF(OR(B426="",A426=""),"",IF(COUNTIFS('Relevés compteurs'!$B$5:$B$1504,B426,'Relevés compteurs'!$A$5:$A$1504,"&lt;"&amp;A426)=0,"",D426-_xlfn.MAXIFS('Relevés compteurs'!$D$5:$D$1504,'Relevés compteurs'!$B$5:$B$1504,B426,'Relevés compteurs'!$A$5:$A$1504,"&lt;"&amp;A426)))</f>
        <v/>
      </c>
    </row>
    <row r="427">
      <c r="A427" s="65" t="n"/>
      <c r="B427" s="7" t="n"/>
      <c r="C427" s="9">
        <f>IF(B427="","",IFERROR(INDEX('Équipements'!$B$5:$B$304,MATCH(B427,'Équipements'!$A$5:$A$304,0)),"Code inconnu"))</f>
        <v/>
      </c>
      <c r="D427" s="67" t="n"/>
      <c r="E427" s="7" t="n"/>
      <c r="F427" s="68">
        <f>IF(OR(B427="",A427=""),"",IF(COUNTIFS('Relevés compteurs'!$B$5:$B$1504,B427,'Relevés compteurs'!$A$5:$A$1504,"&lt;"&amp;A427)=0,"",D427-_xlfn.MAXIFS('Relevés compteurs'!$D$5:$D$1504,'Relevés compteurs'!$B$5:$B$1504,B427,'Relevés compteurs'!$A$5:$A$1504,"&lt;"&amp;A427)))</f>
        <v/>
      </c>
    </row>
    <row r="428">
      <c r="A428" s="65" t="n"/>
      <c r="B428" s="7" t="n"/>
      <c r="C428" s="9">
        <f>IF(B428="","",IFERROR(INDEX('Équipements'!$B$5:$B$304,MATCH(B428,'Équipements'!$A$5:$A$304,0)),"Code inconnu"))</f>
        <v/>
      </c>
      <c r="D428" s="67" t="n"/>
      <c r="E428" s="7" t="n"/>
      <c r="F428" s="68">
        <f>IF(OR(B428="",A428=""),"",IF(COUNTIFS('Relevés compteurs'!$B$5:$B$1504,B428,'Relevés compteurs'!$A$5:$A$1504,"&lt;"&amp;A428)=0,"",D428-_xlfn.MAXIFS('Relevés compteurs'!$D$5:$D$1504,'Relevés compteurs'!$B$5:$B$1504,B428,'Relevés compteurs'!$A$5:$A$1504,"&lt;"&amp;A428)))</f>
        <v/>
      </c>
    </row>
    <row r="429">
      <c r="A429" s="65" t="n"/>
      <c r="B429" s="7" t="n"/>
      <c r="C429" s="9">
        <f>IF(B429="","",IFERROR(INDEX('Équipements'!$B$5:$B$304,MATCH(B429,'Équipements'!$A$5:$A$304,0)),"Code inconnu"))</f>
        <v/>
      </c>
      <c r="D429" s="67" t="n"/>
      <c r="E429" s="7" t="n"/>
      <c r="F429" s="68">
        <f>IF(OR(B429="",A429=""),"",IF(COUNTIFS('Relevés compteurs'!$B$5:$B$1504,B429,'Relevés compteurs'!$A$5:$A$1504,"&lt;"&amp;A429)=0,"",D429-_xlfn.MAXIFS('Relevés compteurs'!$D$5:$D$1504,'Relevés compteurs'!$B$5:$B$1504,B429,'Relevés compteurs'!$A$5:$A$1504,"&lt;"&amp;A429)))</f>
        <v/>
      </c>
    </row>
    <row r="430">
      <c r="A430" s="65" t="n"/>
      <c r="B430" s="7" t="n"/>
      <c r="C430" s="9">
        <f>IF(B430="","",IFERROR(INDEX('Équipements'!$B$5:$B$304,MATCH(B430,'Équipements'!$A$5:$A$304,0)),"Code inconnu"))</f>
        <v/>
      </c>
      <c r="D430" s="67" t="n"/>
      <c r="E430" s="7" t="n"/>
      <c r="F430" s="68">
        <f>IF(OR(B430="",A430=""),"",IF(COUNTIFS('Relevés compteurs'!$B$5:$B$1504,B430,'Relevés compteurs'!$A$5:$A$1504,"&lt;"&amp;A430)=0,"",D430-_xlfn.MAXIFS('Relevés compteurs'!$D$5:$D$1504,'Relevés compteurs'!$B$5:$B$1504,B430,'Relevés compteurs'!$A$5:$A$1504,"&lt;"&amp;A430)))</f>
        <v/>
      </c>
    </row>
    <row r="431">
      <c r="A431" s="65" t="n"/>
      <c r="B431" s="7" t="n"/>
      <c r="C431" s="9">
        <f>IF(B431="","",IFERROR(INDEX('Équipements'!$B$5:$B$304,MATCH(B431,'Équipements'!$A$5:$A$304,0)),"Code inconnu"))</f>
        <v/>
      </c>
      <c r="D431" s="67" t="n"/>
      <c r="E431" s="7" t="n"/>
      <c r="F431" s="68">
        <f>IF(OR(B431="",A431=""),"",IF(COUNTIFS('Relevés compteurs'!$B$5:$B$1504,B431,'Relevés compteurs'!$A$5:$A$1504,"&lt;"&amp;A431)=0,"",D431-_xlfn.MAXIFS('Relevés compteurs'!$D$5:$D$1504,'Relevés compteurs'!$B$5:$B$1504,B431,'Relevés compteurs'!$A$5:$A$1504,"&lt;"&amp;A431)))</f>
        <v/>
      </c>
    </row>
    <row r="432">
      <c r="A432" s="65" t="n"/>
      <c r="B432" s="7" t="n"/>
      <c r="C432" s="9">
        <f>IF(B432="","",IFERROR(INDEX('Équipements'!$B$5:$B$304,MATCH(B432,'Équipements'!$A$5:$A$304,0)),"Code inconnu"))</f>
        <v/>
      </c>
      <c r="D432" s="67" t="n"/>
      <c r="E432" s="7" t="n"/>
      <c r="F432" s="68">
        <f>IF(OR(B432="",A432=""),"",IF(COUNTIFS('Relevés compteurs'!$B$5:$B$1504,B432,'Relevés compteurs'!$A$5:$A$1504,"&lt;"&amp;A432)=0,"",D432-_xlfn.MAXIFS('Relevés compteurs'!$D$5:$D$1504,'Relevés compteurs'!$B$5:$B$1504,B432,'Relevés compteurs'!$A$5:$A$1504,"&lt;"&amp;A432)))</f>
        <v/>
      </c>
    </row>
    <row r="433">
      <c r="A433" s="65" t="n"/>
      <c r="B433" s="7" t="n"/>
      <c r="C433" s="9">
        <f>IF(B433="","",IFERROR(INDEX('Équipements'!$B$5:$B$304,MATCH(B433,'Équipements'!$A$5:$A$304,0)),"Code inconnu"))</f>
        <v/>
      </c>
      <c r="D433" s="67" t="n"/>
      <c r="E433" s="7" t="n"/>
      <c r="F433" s="68">
        <f>IF(OR(B433="",A433=""),"",IF(COUNTIFS('Relevés compteurs'!$B$5:$B$1504,B433,'Relevés compteurs'!$A$5:$A$1504,"&lt;"&amp;A433)=0,"",D433-_xlfn.MAXIFS('Relevés compteurs'!$D$5:$D$1504,'Relevés compteurs'!$B$5:$B$1504,B433,'Relevés compteurs'!$A$5:$A$1504,"&lt;"&amp;A433)))</f>
        <v/>
      </c>
    </row>
    <row r="434">
      <c r="A434" s="65" t="n"/>
      <c r="B434" s="7" t="n"/>
      <c r="C434" s="9">
        <f>IF(B434="","",IFERROR(INDEX('Équipements'!$B$5:$B$304,MATCH(B434,'Équipements'!$A$5:$A$304,0)),"Code inconnu"))</f>
        <v/>
      </c>
      <c r="D434" s="67" t="n"/>
      <c r="E434" s="7" t="n"/>
      <c r="F434" s="68">
        <f>IF(OR(B434="",A434=""),"",IF(COUNTIFS('Relevés compteurs'!$B$5:$B$1504,B434,'Relevés compteurs'!$A$5:$A$1504,"&lt;"&amp;A434)=0,"",D434-_xlfn.MAXIFS('Relevés compteurs'!$D$5:$D$1504,'Relevés compteurs'!$B$5:$B$1504,B434,'Relevés compteurs'!$A$5:$A$1504,"&lt;"&amp;A434)))</f>
        <v/>
      </c>
    </row>
    <row r="435">
      <c r="A435" s="65" t="n"/>
      <c r="B435" s="7" t="n"/>
      <c r="C435" s="9">
        <f>IF(B435="","",IFERROR(INDEX('Équipements'!$B$5:$B$304,MATCH(B435,'Équipements'!$A$5:$A$304,0)),"Code inconnu"))</f>
        <v/>
      </c>
      <c r="D435" s="67" t="n"/>
      <c r="E435" s="7" t="n"/>
      <c r="F435" s="68">
        <f>IF(OR(B435="",A435=""),"",IF(COUNTIFS('Relevés compteurs'!$B$5:$B$1504,B435,'Relevés compteurs'!$A$5:$A$1504,"&lt;"&amp;A435)=0,"",D435-_xlfn.MAXIFS('Relevés compteurs'!$D$5:$D$1504,'Relevés compteurs'!$B$5:$B$1504,B435,'Relevés compteurs'!$A$5:$A$1504,"&lt;"&amp;A435)))</f>
        <v/>
      </c>
    </row>
    <row r="436">
      <c r="A436" s="65" t="n"/>
      <c r="B436" s="7" t="n"/>
      <c r="C436" s="9">
        <f>IF(B436="","",IFERROR(INDEX('Équipements'!$B$5:$B$304,MATCH(B436,'Équipements'!$A$5:$A$304,0)),"Code inconnu"))</f>
        <v/>
      </c>
      <c r="D436" s="67" t="n"/>
      <c r="E436" s="7" t="n"/>
      <c r="F436" s="68">
        <f>IF(OR(B436="",A436=""),"",IF(COUNTIFS('Relevés compteurs'!$B$5:$B$1504,B436,'Relevés compteurs'!$A$5:$A$1504,"&lt;"&amp;A436)=0,"",D436-_xlfn.MAXIFS('Relevés compteurs'!$D$5:$D$1504,'Relevés compteurs'!$B$5:$B$1504,B436,'Relevés compteurs'!$A$5:$A$1504,"&lt;"&amp;A436)))</f>
        <v/>
      </c>
    </row>
    <row r="437">
      <c r="A437" s="65" t="n"/>
      <c r="B437" s="7" t="n"/>
      <c r="C437" s="9">
        <f>IF(B437="","",IFERROR(INDEX('Équipements'!$B$5:$B$304,MATCH(B437,'Équipements'!$A$5:$A$304,0)),"Code inconnu"))</f>
        <v/>
      </c>
      <c r="D437" s="67" t="n"/>
      <c r="E437" s="7" t="n"/>
      <c r="F437" s="68">
        <f>IF(OR(B437="",A437=""),"",IF(COUNTIFS('Relevés compteurs'!$B$5:$B$1504,B437,'Relevés compteurs'!$A$5:$A$1504,"&lt;"&amp;A437)=0,"",D437-_xlfn.MAXIFS('Relevés compteurs'!$D$5:$D$1504,'Relevés compteurs'!$B$5:$B$1504,B437,'Relevés compteurs'!$A$5:$A$1504,"&lt;"&amp;A437)))</f>
        <v/>
      </c>
    </row>
    <row r="438">
      <c r="A438" s="65" t="n"/>
      <c r="B438" s="7" t="n"/>
      <c r="C438" s="9">
        <f>IF(B438="","",IFERROR(INDEX('Équipements'!$B$5:$B$304,MATCH(B438,'Équipements'!$A$5:$A$304,0)),"Code inconnu"))</f>
        <v/>
      </c>
      <c r="D438" s="67" t="n"/>
      <c r="E438" s="7" t="n"/>
      <c r="F438" s="68">
        <f>IF(OR(B438="",A438=""),"",IF(COUNTIFS('Relevés compteurs'!$B$5:$B$1504,B438,'Relevés compteurs'!$A$5:$A$1504,"&lt;"&amp;A438)=0,"",D438-_xlfn.MAXIFS('Relevés compteurs'!$D$5:$D$1504,'Relevés compteurs'!$B$5:$B$1504,B438,'Relevés compteurs'!$A$5:$A$1504,"&lt;"&amp;A438)))</f>
        <v/>
      </c>
    </row>
    <row r="439">
      <c r="A439" s="65" t="n"/>
      <c r="B439" s="7" t="n"/>
      <c r="C439" s="9">
        <f>IF(B439="","",IFERROR(INDEX('Équipements'!$B$5:$B$304,MATCH(B439,'Équipements'!$A$5:$A$304,0)),"Code inconnu"))</f>
        <v/>
      </c>
      <c r="D439" s="67" t="n"/>
      <c r="E439" s="7" t="n"/>
      <c r="F439" s="68">
        <f>IF(OR(B439="",A439=""),"",IF(COUNTIFS('Relevés compteurs'!$B$5:$B$1504,B439,'Relevés compteurs'!$A$5:$A$1504,"&lt;"&amp;A439)=0,"",D439-_xlfn.MAXIFS('Relevés compteurs'!$D$5:$D$1504,'Relevés compteurs'!$B$5:$B$1504,B439,'Relevés compteurs'!$A$5:$A$1504,"&lt;"&amp;A439)))</f>
        <v/>
      </c>
    </row>
    <row r="440">
      <c r="A440" s="65" t="n"/>
      <c r="B440" s="7" t="n"/>
      <c r="C440" s="9">
        <f>IF(B440="","",IFERROR(INDEX('Équipements'!$B$5:$B$304,MATCH(B440,'Équipements'!$A$5:$A$304,0)),"Code inconnu"))</f>
        <v/>
      </c>
      <c r="D440" s="67" t="n"/>
      <c r="E440" s="7" t="n"/>
      <c r="F440" s="68">
        <f>IF(OR(B440="",A440=""),"",IF(COUNTIFS('Relevés compteurs'!$B$5:$B$1504,B440,'Relevés compteurs'!$A$5:$A$1504,"&lt;"&amp;A440)=0,"",D440-_xlfn.MAXIFS('Relevés compteurs'!$D$5:$D$1504,'Relevés compteurs'!$B$5:$B$1504,B440,'Relevés compteurs'!$A$5:$A$1504,"&lt;"&amp;A440)))</f>
        <v/>
      </c>
    </row>
    <row r="441">
      <c r="A441" s="65" t="n"/>
      <c r="B441" s="7" t="n"/>
      <c r="C441" s="9">
        <f>IF(B441="","",IFERROR(INDEX('Équipements'!$B$5:$B$304,MATCH(B441,'Équipements'!$A$5:$A$304,0)),"Code inconnu"))</f>
        <v/>
      </c>
      <c r="D441" s="67" t="n"/>
      <c r="E441" s="7" t="n"/>
      <c r="F441" s="68">
        <f>IF(OR(B441="",A441=""),"",IF(COUNTIFS('Relevés compteurs'!$B$5:$B$1504,B441,'Relevés compteurs'!$A$5:$A$1504,"&lt;"&amp;A441)=0,"",D441-_xlfn.MAXIFS('Relevés compteurs'!$D$5:$D$1504,'Relevés compteurs'!$B$5:$B$1504,B441,'Relevés compteurs'!$A$5:$A$1504,"&lt;"&amp;A441)))</f>
        <v/>
      </c>
    </row>
    <row r="442">
      <c r="A442" s="65" t="n"/>
      <c r="B442" s="7" t="n"/>
      <c r="C442" s="9">
        <f>IF(B442="","",IFERROR(INDEX('Équipements'!$B$5:$B$304,MATCH(B442,'Équipements'!$A$5:$A$304,0)),"Code inconnu"))</f>
        <v/>
      </c>
      <c r="D442" s="67" t="n"/>
      <c r="E442" s="7" t="n"/>
      <c r="F442" s="68">
        <f>IF(OR(B442="",A442=""),"",IF(COUNTIFS('Relevés compteurs'!$B$5:$B$1504,B442,'Relevés compteurs'!$A$5:$A$1504,"&lt;"&amp;A442)=0,"",D442-_xlfn.MAXIFS('Relevés compteurs'!$D$5:$D$1504,'Relevés compteurs'!$B$5:$B$1504,B442,'Relevés compteurs'!$A$5:$A$1504,"&lt;"&amp;A442)))</f>
        <v/>
      </c>
    </row>
    <row r="443">
      <c r="A443" s="65" t="n"/>
      <c r="B443" s="7" t="n"/>
      <c r="C443" s="9">
        <f>IF(B443="","",IFERROR(INDEX('Équipements'!$B$5:$B$304,MATCH(B443,'Équipements'!$A$5:$A$304,0)),"Code inconnu"))</f>
        <v/>
      </c>
      <c r="D443" s="67" t="n"/>
      <c r="E443" s="7" t="n"/>
      <c r="F443" s="68">
        <f>IF(OR(B443="",A443=""),"",IF(COUNTIFS('Relevés compteurs'!$B$5:$B$1504,B443,'Relevés compteurs'!$A$5:$A$1504,"&lt;"&amp;A443)=0,"",D443-_xlfn.MAXIFS('Relevés compteurs'!$D$5:$D$1504,'Relevés compteurs'!$B$5:$B$1504,B443,'Relevés compteurs'!$A$5:$A$1504,"&lt;"&amp;A443)))</f>
        <v/>
      </c>
    </row>
    <row r="444">
      <c r="A444" s="65" t="n"/>
      <c r="B444" s="7" t="n"/>
      <c r="C444" s="9">
        <f>IF(B444="","",IFERROR(INDEX('Équipements'!$B$5:$B$304,MATCH(B444,'Équipements'!$A$5:$A$304,0)),"Code inconnu"))</f>
        <v/>
      </c>
      <c r="D444" s="67" t="n"/>
      <c r="E444" s="7" t="n"/>
      <c r="F444" s="68">
        <f>IF(OR(B444="",A444=""),"",IF(COUNTIFS('Relevés compteurs'!$B$5:$B$1504,B444,'Relevés compteurs'!$A$5:$A$1504,"&lt;"&amp;A444)=0,"",D444-_xlfn.MAXIFS('Relevés compteurs'!$D$5:$D$1504,'Relevés compteurs'!$B$5:$B$1504,B444,'Relevés compteurs'!$A$5:$A$1504,"&lt;"&amp;A444)))</f>
        <v/>
      </c>
    </row>
    <row r="445">
      <c r="A445" s="65" t="n"/>
      <c r="B445" s="7" t="n"/>
      <c r="C445" s="9">
        <f>IF(B445="","",IFERROR(INDEX('Équipements'!$B$5:$B$304,MATCH(B445,'Équipements'!$A$5:$A$304,0)),"Code inconnu"))</f>
        <v/>
      </c>
      <c r="D445" s="67" t="n"/>
      <c r="E445" s="7" t="n"/>
      <c r="F445" s="68">
        <f>IF(OR(B445="",A445=""),"",IF(COUNTIFS('Relevés compteurs'!$B$5:$B$1504,B445,'Relevés compteurs'!$A$5:$A$1504,"&lt;"&amp;A445)=0,"",D445-_xlfn.MAXIFS('Relevés compteurs'!$D$5:$D$1504,'Relevés compteurs'!$B$5:$B$1504,B445,'Relevés compteurs'!$A$5:$A$1504,"&lt;"&amp;A445)))</f>
        <v/>
      </c>
    </row>
    <row r="446">
      <c r="A446" s="65" t="n"/>
      <c r="B446" s="7" t="n"/>
      <c r="C446" s="9">
        <f>IF(B446="","",IFERROR(INDEX('Équipements'!$B$5:$B$304,MATCH(B446,'Équipements'!$A$5:$A$304,0)),"Code inconnu"))</f>
        <v/>
      </c>
      <c r="D446" s="67" t="n"/>
      <c r="E446" s="7" t="n"/>
      <c r="F446" s="68">
        <f>IF(OR(B446="",A446=""),"",IF(COUNTIFS('Relevés compteurs'!$B$5:$B$1504,B446,'Relevés compteurs'!$A$5:$A$1504,"&lt;"&amp;A446)=0,"",D446-_xlfn.MAXIFS('Relevés compteurs'!$D$5:$D$1504,'Relevés compteurs'!$B$5:$B$1504,B446,'Relevés compteurs'!$A$5:$A$1504,"&lt;"&amp;A446)))</f>
        <v/>
      </c>
    </row>
    <row r="447">
      <c r="A447" s="65" t="n"/>
      <c r="B447" s="7" t="n"/>
      <c r="C447" s="9">
        <f>IF(B447="","",IFERROR(INDEX('Équipements'!$B$5:$B$304,MATCH(B447,'Équipements'!$A$5:$A$304,0)),"Code inconnu"))</f>
        <v/>
      </c>
      <c r="D447" s="67" t="n"/>
      <c r="E447" s="7" t="n"/>
      <c r="F447" s="68">
        <f>IF(OR(B447="",A447=""),"",IF(COUNTIFS('Relevés compteurs'!$B$5:$B$1504,B447,'Relevés compteurs'!$A$5:$A$1504,"&lt;"&amp;A447)=0,"",D447-_xlfn.MAXIFS('Relevés compteurs'!$D$5:$D$1504,'Relevés compteurs'!$B$5:$B$1504,B447,'Relevés compteurs'!$A$5:$A$1504,"&lt;"&amp;A447)))</f>
        <v/>
      </c>
    </row>
    <row r="448">
      <c r="A448" s="65" t="n"/>
      <c r="B448" s="7" t="n"/>
      <c r="C448" s="9">
        <f>IF(B448="","",IFERROR(INDEX('Équipements'!$B$5:$B$304,MATCH(B448,'Équipements'!$A$5:$A$304,0)),"Code inconnu"))</f>
        <v/>
      </c>
      <c r="D448" s="67" t="n"/>
      <c r="E448" s="7" t="n"/>
      <c r="F448" s="68">
        <f>IF(OR(B448="",A448=""),"",IF(COUNTIFS('Relevés compteurs'!$B$5:$B$1504,B448,'Relevés compteurs'!$A$5:$A$1504,"&lt;"&amp;A448)=0,"",D448-_xlfn.MAXIFS('Relevés compteurs'!$D$5:$D$1504,'Relevés compteurs'!$B$5:$B$1504,B448,'Relevés compteurs'!$A$5:$A$1504,"&lt;"&amp;A448)))</f>
        <v/>
      </c>
    </row>
    <row r="449">
      <c r="A449" s="65" t="n"/>
      <c r="B449" s="7" t="n"/>
      <c r="C449" s="9">
        <f>IF(B449="","",IFERROR(INDEX('Équipements'!$B$5:$B$304,MATCH(B449,'Équipements'!$A$5:$A$304,0)),"Code inconnu"))</f>
        <v/>
      </c>
      <c r="D449" s="67" t="n"/>
      <c r="E449" s="7" t="n"/>
      <c r="F449" s="68">
        <f>IF(OR(B449="",A449=""),"",IF(COUNTIFS('Relevés compteurs'!$B$5:$B$1504,B449,'Relevés compteurs'!$A$5:$A$1504,"&lt;"&amp;A449)=0,"",D449-_xlfn.MAXIFS('Relevés compteurs'!$D$5:$D$1504,'Relevés compteurs'!$B$5:$B$1504,B449,'Relevés compteurs'!$A$5:$A$1504,"&lt;"&amp;A449)))</f>
        <v/>
      </c>
    </row>
    <row r="450">
      <c r="A450" s="65" t="n"/>
      <c r="B450" s="7" t="n"/>
      <c r="C450" s="9">
        <f>IF(B450="","",IFERROR(INDEX('Équipements'!$B$5:$B$304,MATCH(B450,'Équipements'!$A$5:$A$304,0)),"Code inconnu"))</f>
        <v/>
      </c>
      <c r="D450" s="67" t="n"/>
      <c r="E450" s="7" t="n"/>
      <c r="F450" s="68">
        <f>IF(OR(B450="",A450=""),"",IF(COUNTIFS('Relevés compteurs'!$B$5:$B$1504,B450,'Relevés compteurs'!$A$5:$A$1504,"&lt;"&amp;A450)=0,"",D450-_xlfn.MAXIFS('Relevés compteurs'!$D$5:$D$1504,'Relevés compteurs'!$B$5:$B$1504,B450,'Relevés compteurs'!$A$5:$A$1504,"&lt;"&amp;A450)))</f>
        <v/>
      </c>
    </row>
    <row r="451">
      <c r="A451" s="65" t="n"/>
      <c r="B451" s="7" t="n"/>
      <c r="C451" s="9">
        <f>IF(B451="","",IFERROR(INDEX('Équipements'!$B$5:$B$304,MATCH(B451,'Équipements'!$A$5:$A$304,0)),"Code inconnu"))</f>
        <v/>
      </c>
      <c r="D451" s="67" t="n"/>
      <c r="E451" s="7" t="n"/>
      <c r="F451" s="68">
        <f>IF(OR(B451="",A451=""),"",IF(COUNTIFS('Relevés compteurs'!$B$5:$B$1504,B451,'Relevés compteurs'!$A$5:$A$1504,"&lt;"&amp;A451)=0,"",D451-_xlfn.MAXIFS('Relevés compteurs'!$D$5:$D$1504,'Relevés compteurs'!$B$5:$B$1504,B451,'Relevés compteurs'!$A$5:$A$1504,"&lt;"&amp;A451)))</f>
        <v/>
      </c>
    </row>
    <row r="452">
      <c r="A452" s="65" t="n"/>
      <c r="B452" s="7" t="n"/>
      <c r="C452" s="9">
        <f>IF(B452="","",IFERROR(INDEX('Équipements'!$B$5:$B$304,MATCH(B452,'Équipements'!$A$5:$A$304,0)),"Code inconnu"))</f>
        <v/>
      </c>
      <c r="D452" s="67" t="n"/>
      <c r="E452" s="7" t="n"/>
      <c r="F452" s="68">
        <f>IF(OR(B452="",A452=""),"",IF(COUNTIFS('Relevés compteurs'!$B$5:$B$1504,B452,'Relevés compteurs'!$A$5:$A$1504,"&lt;"&amp;A452)=0,"",D452-_xlfn.MAXIFS('Relevés compteurs'!$D$5:$D$1504,'Relevés compteurs'!$B$5:$B$1504,B452,'Relevés compteurs'!$A$5:$A$1504,"&lt;"&amp;A452)))</f>
        <v/>
      </c>
    </row>
    <row r="453">
      <c r="A453" s="65" t="n"/>
      <c r="B453" s="7" t="n"/>
      <c r="C453" s="9">
        <f>IF(B453="","",IFERROR(INDEX('Équipements'!$B$5:$B$304,MATCH(B453,'Équipements'!$A$5:$A$304,0)),"Code inconnu"))</f>
        <v/>
      </c>
      <c r="D453" s="67" t="n"/>
      <c r="E453" s="7" t="n"/>
      <c r="F453" s="68">
        <f>IF(OR(B453="",A453=""),"",IF(COUNTIFS('Relevés compteurs'!$B$5:$B$1504,B453,'Relevés compteurs'!$A$5:$A$1504,"&lt;"&amp;A453)=0,"",D453-_xlfn.MAXIFS('Relevés compteurs'!$D$5:$D$1504,'Relevés compteurs'!$B$5:$B$1504,B453,'Relevés compteurs'!$A$5:$A$1504,"&lt;"&amp;A453)))</f>
        <v/>
      </c>
    </row>
    <row r="454">
      <c r="A454" s="65" t="n"/>
      <c r="B454" s="7" t="n"/>
      <c r="C454" s="9">
        <f>IF(B454="","",IFERROR(INDEX('Équipements'!$B$5:$B$304,MATCH(B454,'Équipements'!$A$5:$A$304,0)),"Code inconnu"))</f>
        <v/>
      </c>
      <c r="D454" s="67" t="n"/>
      <c r="E454" s="7" t="n"/>
      <c r="F454" s="68">
        <f>IF(OR(B454="",A454=""),"",IF(COUNTIFS('Relevés compteurs'!$B$5:$B$1504,B454,'Relevés compteurs'!$A$5:$A$1504,"&lt;"&amp;A454)=0,"",D454-_xlfn.MAXIFS('Relevés compteurs'!$D$5:$D$1504,'Relevés compteurs'!$B$5:$B$1504,B454,'Relevés compteurs'!$A$5:$A$1504,"&lt;"&amp;A454)))</f>
        <v/>
      </c>
    </row>
    <row r="455">
      <c r="A455" s="65" t="n"/>
      <c r="B455" s="7" t="n"/>
      <c r="C455" s="9">
        <f>IF(B455="","",IFERROR(INDEX('Équipements'!$B$5:$B$304,MATCH(B455,'Équipements'!$A$5:$A$304,0)),"Code inconnu"))</f>
        <v/>
      </c>
      <c r="D455" s="67" t="n"/>
      <c r="E455" s="7" t="n"/>
      <c r="F455" s="68">
        <f>IF(OR(B455="",A455=""),"",IF(COUNTIFS('Relevés compteurs'!$B$5:$B$1504,B455,'Relevés compteurs'!$A$5:$A$1504,"&lt;"&amp;A455)=0,"",D455-_xlfn.MAXIFS('Relevés compteurs'!$D$5:$D$1504,'Relevés compteurs'!$B$5:$B$1504,B455,'Relevés compteurs'!$A$5:$A$1504,"&lt;"&amp;A455)))</f>
        <v/>
      </c>
    </row>
    <row r="456">
      <c r="A456" s="65" t="n"/>
      <c r="B456" s="7" t="n"/>
      <c r="C456" s="9">
        <f>IF(B456="","",IFERROR(INDEX('Équipements'!$B$5:$B$304,MATCH(B456,'Équipements'!$A$5:$A$304,0)),"Code inconnu"))</f>
        <v/>
      </c>
      <c r="D456" s="67" t="n"/>
      <c r="E456" s="7" t="n"/>
      <c r="F456" s="68">
        <f>IF(OR(B456="",A456=""),"",IF(COUNTIFS('Relevés compteurs'!$B$5:$B$1504,B456,'Relevés compteurs'!$A$5:$A$1504,"&lt;"&amp;A456)=0,"",D456-_xlfn.MAXIFS('Relevés compteurs'!$D$5:$D$1504,'Relevés compteurs'!$B$5:$B$1504,B456,'Relevés compteurs'!$A$5:$A$1504,"&lt;"&amp;A456)))</f>
        <v/>
      </c>
    </row>
    <row r="457">
      <c r="A457" s="65" t="n"/>
      <c r="B457" s="7" t="n"/>
      <c r="C457" s="9">
        <f>IF(B457="","",IFERROR(INDEX('Équipements'!$B$5:$B$304,MATCH(B457,'Équipements'!$A$5:$A$304,0)),"Code inconnu"))</f>
        <v/>
      </c>
      <c r="D457" s="67" t="n"/>
      <c r="E457" s="7" t="n"/>
      <c r="F457" s="68">
        <f>IF(OR(B457="",A457=""),"",IF(COUNTIFS('Relevés compteurs'!$B$5:$B$1504,B457,'Relevés compteurs'!$A$5:$A$1504,"&lt;"&amp;A457)=0,"",D457-_xlfn.MAXIFS('Relevés compteurs'!$D$5:$D$1504,'Relevés compteurs'!$B$5:$B$1504,B457,'Relevés compteurs'!$A$5:$A$1504,"&lt;"&amp;A457)))</f>
        <v/>
      </c>
    </row>
    <row r="458">
      <c r="A458" s="65" t="n"/>
      <c r="B458" s="7" t="n"/>
      <c r="C458" s="9">
        <f>IF(B458="","",IFERROR(INDEX('Équipements'!$B$5:$B$304,MATCH(B458,'Équipements'!$A$5:$A$304,0)),"Code inconnu"))</f>
        <v/>
      </c>
      <c r="D458" s="67" t="n"/>
      <c r="E458" s="7" t="n"/>
      <c r="F458" s="68">
        <f>IF(OR(B458="",A458=""),"",IF(COUNTIFS('Relevés compteurs'!$B$5:$B$1504,B458,'Relevés compteurs'!$A$5:$A$1504,"&lt;"&amp;A458)=0,"",D458-_xlfn.MAXIFS('Relevés compteurs'!$D$5:$D$1504,'Relevés compteurs'!$B$5:$B$1504,B458,'Relevés compteurs'!$A$5:$A$1504,"&lt;"&amp;A458)))</f>
        <v/>
      </c>
    </row>
    <row r="459">
      <c r="A459" s="65" t="n"/>
      <c r="B459" s="7" t="n"/>
      <c r="C459" s="9">
        <f>IF(B459="","",IFERROR(INDEX('Équipements'!$B$5:$B$304,MATCH(B459,'Équipements'!$A$5:$A$304,0)),"Code inconnu"))</f>
        <v/>
      </c>
      <c r="D459" s="67" t="n"/>
      <c r="E459" s="7" t="n"/>
      <c r="F459" s="68">
        <f>IF(OR(B459="",A459=""),"",IF(COUNTIFS('Relevés compteurs'!$B$5:$B$1504,B459,'Relevés compteurs'!$A$5:$A$1504,"&lt;"&amp;A459)=0,"",D459-_xlfn.MAXIFS('Relevés compteurs'!$D$5:$D$1504,'Relevés compteurs'!$B$5:$B$1504,B459,'Relevés compteurs'!$A$5:$A$1504,"&lt;"&amp;A459)))</f>
        <v/>
      </c>
    </row>
    <row r="460">
      <c r="A460" s="65" t="n"/>
      <c r="B460" s="7" t="n"/>
      <c r="C460" s="9">
        <f>IF(B460="","",IFERROR(INDEX('Équipements'!$B$5:$B$304,MATCH(B460,'Équipements'!$A$5:$A$304,0)),"Code inconnu"))</f>
        <v/>
      </c>
      <c r="D460" s="67" t="n"/>
      <c r="E460" s="7" t="n"/>
      <c r="F460" s="68">
        <f>IF(OR(B460="",A460=""),"",IF(COUNTIFS('Relevés compteurs'!$B$5:$B$1504,B460,'Relevés compteurs'!$A$5:$A$1504,"&lt;"&amp;A460)=0,"",D460-_xlfn.MAXIFS('Relevés compteurs'!$D$5:$D$1504,'Relevés compteurs'!$B$5:$B$1504,B460,'Relevés compteurs'!$A$5:$A$1504,"&lt;"&amp;A460)))</f>
        <v/>
      </c>
    </row>
    <row r="461">
      <c r="A461" s="65" t="n"/>
      <c r="B461" s="7" t="n"/>
      <c r="C461" s="9">
        <f>IF(B461="","",IFERROR(INDEX('Équipements'!$B$5:$B$304,MATCH(B461,'Équipements'!$A$5:$A$304,0)),"Code inconnu"))</f>
        <v/>
      </c>
      <c r="D461" s="67" t="n"/>
      <c r="E461" s="7" t="n"/>
      <c r="F461" s="68">
        <f>IF(OR(B461="",A461=""),"",IF(COUNTIFS('Relevés compteurs'!$B$5:$B$1504,B461,'Relevés compteurs'!$A$5:$A$1504,"&lt;"&amp;A461)=0,"",D461-_xlfn.MAXIFS('Relevés compteurs'!$D$5:$D$1504,'Relevés compteurs'!$B$5:$B$1504,B461,'Relevés compteurs'!$A$5:$A$1504,"&lt;"&amp;A461)))</f>
        <v/>
      </c>
    </row>
    <row r="462">
      <c r="A462" s="65" t="n"/>
      <c r="B462" s="7" t="n"/>
      <c r="C462" s="9">
        <f>IF(B462="","",IFERROR(INDEX('Équipements'!$B$5:$B$304,MATCH(B462,'Équipements'!$A$5:$A$304,0)),"Code inconnu"))</f>
        <v/>
      </c>
      <c r="D462" s="67" t="n"/>
      <c r="E462" s="7" t="n"/>
      <c r="F462" s="68">
        <f>IF(OR(B462="",A462=""),"",IF(COUNTIFS('Relevés compteurs'!$B$5:$B$1504,B462,'Relevés compteurs'!$A$5:$A$1504,"&lt;"&amp;A462)=0,"",D462-_xlfn.MAXIFS('Relevés compteurs'!$D$5:$D$1504,'Relevés compteurs'!$B$5:$B$1504,B462,'Relevés compteurs'!$A$5:$A$1504,"&lt;"&amp;A462)))</f>
        <v/>
      </c>
    </row>
    <row r="463">
      <c r="A463" s="65" t="n"/>
      <c r="B463" s="7" t="n"/>
      <c r="C463" s="9">
        <f>IF(B463="","",IFERROR(INDEX('Équipements'!$B$5:$B$304,MATCH(B463,'Équipements'!$A$5:$A$304,0)),"Code inconnu"))</f>
        <v/>
      </c>
      <c r="D463" s="67" t="n"/>
      <c r="E463" s="7" t="n"/>
      <c r="F463" s="68">
        <f>IF(OR(B463="",A463=""),"",IF(COUNTIFS('Relevés compteurs'!$B$5:$B$1504,B463,'Relevés compteurs'!$A$5:$A$1504,"&lt;"&amp;A463)=0,"",D463-_xlfn.MAXIFS('Relevés compteurs'!$D$5:$D$1504,'Relevés compteurs'!$B$5:$B$1504,B463,'Relevés compteurs'!$A$5:$A$1504,"&lt;"&amp;A463)))</f>
        <v/>
      </c>
    </row>
    <row r="464">
      <c r="A464" s="65" t="n"/>
      <c r="B464" s="7" t="n"/>
      <c r="C464" s="9">
        <f>IF(B464="","",IFERROR(INDEX('Équipements'!$B$5:$B$304,MATCH(B464,'Équipements'!$A$5:$A$304,0)),"Code inconnu"))</f>
        <v/>
      </c>
      <c r="D464" s="67" t="n"/>
      <c r="E464" s="7" t="n"/>
      <c r="F464" s="68">
        <f>IF(OR(B464="",A464=""),"",IF(COUNTIFS('Relevés compteurs'!$B$5:$B$1504,B464,'Relevés compteurs'!$A$5:$A$1504,"&lt;"&amp;A464)=0,"",D464-_xlfn.MAXIFS('Relevés compteurs'!$D$5:$D$1504,'Relevés compteurs'!$B$5:$B$1504,B464,'Relevés compteurs'!$A$5:$A$1504,"&lt;"&amp;A464)))</f>
        <v/>
      </c>
    </row>
    <row r="465">
      <c r="A465" s="65" t="n"/>
      <c r="B465" s="7" t="n"/>
      <c r="C465" s="9">
        <f>IF(B465="","",IFERROR(INDEX('Équipements'!$B$5:$B$304,MATCH(B465,'Équipements'!$A$5:$A$304,0)),"Code inconnu"))</f>
        <v/>
      </c>
      <c r="D465" s="67" t="n"/>
      <c r="E465" s="7" t="n"/>
      <c r="F465" s="68">
        <f>IF(OR(B465="",A465=""),"",IF(COUNTIFS('Relevés compteurs'!$B$5:$B$1504,B465,'Relevés compteurs'!$A$5:$A$1504,"&lt;"&amp;A465)=0,"",D465-_xlfn.MAXIFS('Relevés compteurs'!$D$5:$D$1504,'Relevés compteurs'!$B$5:$B$1504,B465,'Relevés compteurs'!$A$5:$A$1504,"&lt;"&amp;A465)))</f>
        <v/>
      </c>
    </row>
    <row r="466">
      <c r="A466" s="65" t="n"/>
      <c r="B466" s="7" t="n"/>
      <c r="C466" s="9">
        <f>IF(B466="","",IFERROR(INDEX('Équipements'!$B$5:$B$304,MATCH(B466,'Équipements'!$A$5:$A$304,0)),"Code inconnu"))</f>
        <v/>
      </c>
      <c r="D466" s="67" t="n"/>
      <c r="E466" s="7" t="n"/>
      <c r="F466" s="68">
        <f>IF(OR(B466="",A466=""),"",IF(COUNTIFS('Relevés compteurs'!$B$5:$B$1504,B466,'Relevés compteurs'!$A$5:$A$1504,"&lt;"&amp;A466)=0,"",D466-_xlfn.MAXIFS('Relevés compteurs'!$D$5:$D$1504,'Relevés compteurs'!$B$5:$B$1504,B466,'Relevés compteurs'!$A$5:$A$1504,"&lt;"&amp;A466)))</f>
        <v/>
      </c>
    </row>
    <row r="467">
      <c r="A467" s="65" t="n"/>
      <c r="B467" s="7" t="n"/>
      <c r="C467" s="9">
        <f>IF(B467="","",IFERROR(INDEX('Équipements'!$B$5:$B$304,MATCH(B467,'Équipements'!$A$5:$A$304,0)),"Code inconnu"))</f>
        <v/>
      </c>
      <c r="D467" s="67" t="n"/>
      <c r="E467" s="7" t="n"/>
      <c r="F467" s="68">
        <f>IF(OR(B467="",A467=""),"",IF(COUNTIFS('Relevés compteurs'!$B$5:$B$1504,B467,'Relevés compteurs'!$A$5:$A$1504,"&lt;"&amp;A467)=0,"",D467-_xlfn.MAXIFS('Relevés compteurs'!$D$5:$D$1504,'Relevés compteurs'!$B$5:$B$1504,B467,'Relevés compteurs'!$A$5:$A$1504,"&lt;"&amp;A467)))</f>
        <v/>
      </c>
    </row>
    <row r="468">
      <c r="A468" s="65" t="n"/>
      <c r="B468" s="7" t="n"/>
      <c r="C468" s="9">
        <f>IF(B468="","",IFERROR(INDEX('Équipements'!$B$5:$B$304,MATCH(B468,'Équipements'!$A$5:$A$304,0)),"Code inconnu"))</f>
        <v/>
      </c>
      <c r="D468" s="67" t="n"/>
      <c r="E468" s="7" t="n"/>
      <c r="F468" s="68">
        <f>IF(OR(B468="",A468=""),"",IF(COUNTIFS('Relevés compteurs'!$B$5:$B$1504,B468,'Relevés compteurs'!$A$5:$A$1504,"&lt;"&amp;A468)=0,"",D468-_xlfn.MAXIFS('Relevés compteurs'!$D$5:$D$1504,'Relevés compteurs'!$B$5:$B$1504,B468,'Relevés compteurs'!$A$5:$A$1504,"&lt;"&amp;A468)))</f>
        <v/>
      </c>
    </row>
    <row r="469">
      <c r="A469" s="65" t="n"/>
      <c r="B469" s="7" t="n"/>
      <c r="C469" s="9">
        <f>IF(B469="","",IFERROR(INDEX('Équipements'!$B$5:$B$304,MATCH(B469,'Équipements'!$A$5:$A$304,0)),"Code inconnu"))</f>
        <v/>
      </c>
      <c r="D469" s="67" t="n"/>
      <c r="E469" s="7" t="n"/>
      <c r="F469" s="68">
        <f>IF(OR(B469="",A469=""),"",IF(COUNTIFS('Relevés compteurs'!$B$5:$B$1504,B469,'Relevés compteurs'!$A$5:$A$1504,"&lt;"&amp;A469)=0,"",D469-_xlfn.MAXIFS('Relevés compteurs'!$D$5:$D$1504,'Relevés compteurs'!$B$5:$B$1504,B469,'Relevés compteurs'!$A$5:$A$1504,"&lt;"&amp;A469)))</f>
        <v/>
      </c>
    </row>
    <row r="470">
      <c r="A470" s="65" t="n"/>
      <c r="B470" s="7" t="n"/>
      <c r="C470" s="9">
        <f>IF(B470="","",IFERROR(INDEX('Équipements'!$B$5:$B$304,MATCH(B470,'Équipements'!$A$5:$A$304,0)),"Code inconnu"))</f>
        <v/>
      </c>
      <c r="D470" s="67" t="n"/>
      <c r="E470" s="7" t="n"/>
      <c r="F470" s="68">
        <f>IF(OR(B470="",A470=""),"",IF(COUNTIFS('Relevés compteurs'!$B$5:$B$1504,B470,'Relevés compteurs'!$A$5:$A$1504,"&lt;"&amp;A470)=0,"",D470-_xlfn.MAXIFS('Relevés compteurs'!$D$5:$D$1504,'Relevés compteurs'!$B$5:$B$1504,B470,'Relevés compteurs'!$A$5:$A$1504,"&lt;"&amp;A470)))</f>
        <v/>
      </c>
    </row>
    <row r="471">
      <c r="A471" s="65" t="n"/>
      <c r="B471" s="7" t="n"/>
      <c r="C471" s="9">
        <f>IF(B471="","",IFERROR(INDEX('Équipements'!$B$5:$B$304,MATCH(B471,'Équipements'!$A$5:$A$304,0)),"Code inconnu"))</f>
        <v/>
      </c>
      <c r="D471" s="67" t="n"/>
      <c r="E471" s="7" t="n"/>
      <c r="F471" s="68">
        <f>IF(OR(B471="",A471=""),"",IF(COUNTIFS('Relevés compteurs'!$B$5:$B$1504,B471,'Relevés compteurs'!$A$5:$A$1504,"&lt;"&amp;A471)=0,"",D471-_xlfn.MAXIFS('Relevés compteurs'!$D$5:$D$1504,'Relevés compteurs'!$B$5:$B$1504,B471,'Relevés compteurs'!$A$5:$A$1504,"&lt;"&amp;A471)))</f>
        <v/>
      </c>
    </row>
    <row r="472">
      <c r="A472" s="65" t="n"/>
      <c r="B472" s="7" t="n"/>
      <c r="C472" s="9">
        <f>IF(B472="","",IFERROR(INDEX('Équipements'!$B$5:$B$304,MATCH(B472,'Équipements'!$A$5:$A$304,0)),"Code inconnu"))</f>
        <v/>
      </c>
      <c r="D472" s="67" t="n"/>
      <c r="E472" s="7" t="n"/>
      <c r="F472" s="68">
        <f>IF(OR(B472="",A472=""),"",IF(COUNTIFS('Relevés compteurs'!$B$5:$B$1504,B472,'Relevés compteurs'!$A$5:$A$1504,"&lt;"&amp;A472)=0,"",D472-_xlfn.MAXIFS('Relevés compteurs'!$D$5:$D$1504,'Relevés compteurs'!$B$5:$B$1504,B472,'Relevés compteurs'!$A$5:$A$1504,"&lt;"&amp;A472)))</f>
        <v/>
      </c>
    </row>
    <row r="473">
      <c r="A473" s="65" t="n"/>
      <c r="B473" s="7" t="n"/>
      <c r="C473" s="9">
        <f>IF(B473="","",IFERROR(INDEX('Équipements'!$B$5:$B$304,MATCH(B473,'Équipements'!$A$5:$A$304,0)),"Code inconnu"))</f>
        <v/>
      </c>
      <c r="D473" s="67" t="n"/>
      <c r="E473" s="7" t="n"/>
      <c r="F473" s="68">
        <f>IF(OR(B473="",A473=""),"",IF(COUNTIFS('Relevés compteurs'!$B$5:$B$1504,B473,'Relevés compteurs'!$A$5:$A$1504,"&lt;"&amp;A473)=0,"",D473-_xlfn.MAXIFS('Relevés compteurs'!$D$5:$D$1504,'Relevés compteurs'!$B$5:$B$1504,B473,'Relevés compteurs'!$A$5:$A$1504,"&lt;"&amp;A473)))</f>
        <v/>
      </c>
    </row>
    <row r="474">
      <c r="A474" s="65" t="n"/>
      <c r="B474" s="7" t="n"/>
      <c r="C474" s="9">
        <f>IF(B474="","",IFERROR(INDEX('Équipements'!$B$5:$B$304,MATCH(B474,'Équipements'!$A$5:$A$304,0)),"Code inconnu"))</f>
        <v/>
      </c>
      <c r="D474" s="67" t="n"/>
      <c r="E474" s="7" t="n"/>
      <c r="F474" s="68">
        <f>IF(OR(B474="",A474=""),"",IF(COUNTIFS('Relevés compteurs'!$B$5:$B$1504,B474,'Relevés compteurs'!$A$5:$A$1504,"&lt;"&amp;A474)=0,"",D474-_xlfn.MAXIFS('Relevés compteurs'!$D$5:$D$1504,'Relevés compteurs'!$B$5:$B$1504,B474,'Relevés compteurs'!$A$5:$A$1504,"&lt;"&amp;A474)))</f>
        <v/>
      </c>
    </row>
    <row r="475">
      <c r="A475" s="65" t="n"/>
      <c r="B475" s="7" t="n"/>
      <c r="C475" s="9">
        <f>IF(B475="","",IFERROR(INDEX('Équipements'!$B$5:$B$304,MATCH(B475,'Équipements'!$A$5:$A$304,0)),"Code inconnu"))</f>
        <v/>
      </c>
      <c r="D475" s="67" t="n"/>
      <c r="E475" s="7" t="n"/>
      <c r="F475" s="68">
        <f>IF(OR(B475="",A475=""),"",IF(COUNTIFS('Relevés compteurs'!$B$5:$B$1504,B475,'Relevés compteurs'!$A$5:$A$1504,"&lt;"&amp;A475)=0,"",D475-_xlfn.MAXIFS('Relevés compteurs'!$D$5:$D$1504,'Relevés compteurs'!$B$5:$B$1504,B475,'Relevés compteurs'!$A$5:$A$1504,"&lt;"&amp;A475)))</f>
        <v/>
      </c>
    </row>
    <row r="476">
      <c r="A476" s="65" t="n"/>
      <c r="B476" s="7" t="n"/>
      <c r="C476" s="9">
        <f>IF(B476="","",IFERROR(INDEX('Équipements'!$B$5:$B$304,MATCH(B476,'Équipements'!$A$5:$A$304,0)),"Code inconnu"))</f>
        <v/>
      </c>
      <c r="D476" s="67" t="n"/>
      <c r="E476" s="7" t="n"/>
      <c r="F476" s="68">
        <f>IF(OR(B476="",A476=""),"",IF(COUNTIFS('Relevés compteurs'!$B$5:$B$1504,B476,'Relevés compteurs'!$A$5:$A$1504,"&lt;"&amp;A476)=0,"",D476-_xlfn.MAXIFS('Relevés compteurs'!$D$5:$D$1504,'Relevés compteurs'!$B$5:$B$1504,B476,'Relevés compteurs'!$A$5:$A$1504,"&lt;"&amp;A476)))</f>
        <v/>
      </c>
    </row>
    <row r="477">
      <c r="A477" s="65" t="n"/>
      <c r="B477" s="7" t="n"/>
      <c r="C477" s="9">
        <f>IF(B477="","",IFERROR(INDEX('Équipements'!$B$5:$B$304,MATCH(B477,'Équipements'!$A$5:$A$304,0)),"Code inconnu"))</f>
        <v/>
      </c>
      <c r="D477" s="67" t="n"/>
      <c r="E477" s="7" t="n"/>
      <c r="F477" s="68">
        <f>IF(OR(B477="",A477=""),"",IF(COUNTIFS('Relevés compteurs'!$B$5:$B$1504,B477,'Relevés compteurs'!$A$5:$A$1504,"&lt;"&amp;A477)=0,"",D477-_xlfn.MAXIFS('Relevés compteurs'!$D$5:$D$1504,'Relevés compteurs'!$B$5:$B$1504,B477,'Relevés compteurs'!$A$5:$A$1504,"&lt;"&amp;A477)))</f>
        <v/>
      </c>
    </row>
    <row r="478">
      <c r="A478" s="65" t="n"/>
      <c r="B478" s="7" t="n"/>
      <c r="C478" s="9">
        <f>IF(B478="","",IFERROR(INDEX('Équipements'!$B$5:$B$304,MATCH(B478,'Équipements'!$A$5:$A$304,0)),"Code inconnu"))</f>
        <v/>
      </c>
      <c r="D478" s="67" t="n"/>
      <c r="E478" s="7" t="n"/>
      <c r="F478" s="68">
        <f>IF(OR(B478="",A478=""),"",IF(COUNTIFS('Relevés compteurs'!$B$5:$B$1504,B478,'Relevés compteurs'!$A$5:$A$1504,"&lt;"&amp;A478)=0,"",D478-_xlfn.MAXIFS('Relevés compteurs'!$D$5:$D$1504,'Relevés compteurs'!$B$5:$B$1504,B478,'Relevés compteurs'!$A$5:$A$1504,"&lt;"&amp;A478)))</f>
        <v/>
      </c>
    </row>
    <row r="479">
      <c r="A479" s="65" t="n"/>
      <c r="B479" s="7" t="n"/>
      <c r="C479" s="9">
        <f>IF(B479="","",IFERROR(INDEX('Équipements'!$B$5:$B$304,MATCH(B479,'Équipements'!$A$5:$A$304,0)),"Code inconnu"))</f>
        <v/>
      </c>
      <c r="D479" s="67" t="n"/>
      <c r="E479" s="7" t="n"/>
      <c r="F479" s="68">
        <f>IF(OR(B479="",A479=""),"",IF(COUNTIFS('Relevés compteurs'!$B$5:$B$1504,B479,'Relevés compteurs'!$A$5:$A$1504,"&lt;"&amp;A479)=0,"",D479-_xlfn.MAXIFS('Relevés compteurs'!$D$5:$D$1504,'Relevés compteurs'!$B$5:$B$1504,B479,'Relevés compteurs'!$A$5:$A$1504,"&lt;"&amp;A479)))</f>
        <v/>
      </c>
    </row>
    <row r="480">
      <c r="A480" s="65" t="n"/>
      <c r="B480" s="7" t="n"/>
      <c r="C480" s="9">
        <f>IF(B480="","",IFERROR(INDEX('Équipements'!$B$5:$B$304,MATCH(B480,'Équipements'!$A$5:$A$304,0)),"Code inconnu"))</f>
        <v/>
      </c>
      <c r="D480" s="67" t="n"/>
      <c r="E480" s="7" t="n"/>
      <c r="F480" s="68">
        <f>IF(OR(B480="",A480=""),"",IF(COUNTIFS('Relevés compteurs'!$B$5:$B$1504,B480,'Relevés compteurs'!$A$5:$A$1504,"&lt;"&amp;A480)=0,"",D480-_xlfn.MAXIFS('Relevés compteurs'!$D$5:$D$1504,'Relevés compteurs'!$B$5:$B$1504,B480,'Relevés compteurs'!$A$5:$A$1504,"&lt;"&amp;A480)))</f>
        <v/>
      </c>
    </row>
    <row r="481">
      <c r="A481" s="65" t="n"/>
      <c r="B481" s="7" t="n"/>
      <c r="C481" s="9">
        <f>IF(B481="","",IFERROR(INDEX('Équipements'!$B$5:$B$304,MATCH(B481,'Équipements'!$A$5:$A$304,0)),"Code inconnu"))</f>
        <v/>
      </c>
      <c r="D481" s="67" t="n"/>
      <c r="E481" s="7" t="n"/>
      <c r="F481" s="68">
        <f>IF(OR(B481="",A481=""),"",IF(COUNTIFS('Relevés compteurs'!$B$5:$B$1504,B481,'Relevés compteurs'!$A$5:$A$1504,"&lt;"&amp;A481)=0,"",D481-_xlfn.MAXIFS('Relevés compteurs'!$D$5:$D$1504,'Relevés compteurs'!$B$5:$B$1504,B481,'Relevés compteurs'!$A$5:$A$1504,"&lt;"&amp;A481)))</f>
        <v/>
      </c>
    </row>
    <row r="482">
      <c r="A482" s="65" t="n"/>
      <c r="B482" s="7" t="n"/>
      <c r="C482" s="9">
        <f>IF(B482="","",IFERROR(INDEX('Équipements'!$B$5:$B$304,MATCH(B482,'Équipements'!$A$5:$A$304,0)),"Code inconnu"))</f>
        <v/>
      </c>
      <c r="D482" s="67" t="n"/>
      <c r="E482" s="7" t="n"/>
      <c r="F482" s="68">
        <f>IF(OR(B482="",A482=""),"",IF(COUNTIFS('Relevés compteurs'!$B$5:$B$1504,B482,'Relevés compteurs'!$A$5:$A$1504,"&lt;"&amp;A482)=0,"",D482-_xlfn.MAXIFS('Relevés compteurs'!$D$5:$D$1504,'Relevés compteurs'!$B$5:$B$1504,B482,'Relevés compteurs'!$A$5:$A$1504,"&lt;"&amp;A482)))</f>
        <v/>
      </c>
    </row>
    <row r="483">
      <c r="A483" s="65" t="n"/>
      <c r="B483" s="7" t="n"/>
      <c r="C483" s="9">
        <f>IF(B483="","",IFERROR(INDEX('Équipements'!$B$5:$B$304,MATCH(B483,'Équipements'!$A$5:$A$304,0)),"Code inconnu"))</f>
        <v/>
      </c>
      <c r="D483" s="67" t="n"/>
      <c r="E483" s="7" t="n"/>
      <c r="F483" s="68">
        <f>IF(OR(B483="",A483=""),"",IF(COUNTIFS('Relevés compteurs'!$B$5:$B$1504,B483,'Relevés compteurs'!$A$5:$A$1504,"&lt;"&amp;A483)=0,"",D483-_xlfn.MAXIFS('Relevés compteurs'!$D$5:$D$1504,'Relevés compteurs'!$B$5:$B$1504,B483,'Relevés compteurs'!$A$5:$A$1504,"&lt;"&amp;A483)))</f>
        <v/>
      </c>
    </row>
    <row r="484">
      <c r="A484" s="65" t="n"/>
      <c r="B484" s="7" t="n"/>
      <c r="C484" s="9">
        <f>IF(B484="","",IFERROR(INDEX('Équipements'!$B$5:$B$304,MATCH(B484,'Équipements'!$A$5:$A$304,0)),"Code inconnu"))</f>
        <v/>
      </c>
      <c r="D484" s="67" t="n"/>
      <c r="E484" s="7" t="n"/>
      <c r="F484" s="68">
        <f>IF(OR(B484="",A484=""),"",IF(COUNTIFS('Relevés compteurs'!$B$5:$B$1504,B484,'Relevés compteurs'!$A$5:$A$1504,"&lt;"&amp;A484)=0,"",D484-_xlfn.MAXIFS('Relevés compteurs'!$D$5:$D$1504,'Relevés compteurs'!$B$5:$B$1504,B484,'Relevés compteurs'!$A$5:$A$1504,"&lt;"&amp;A484)))</f>
        <v/>
      </c>
    </row>
    <row r="485">
      <c r="A485" s="65" t="n"/>
      <c r="B485" s="7" t="n"/>
      <c r="C485" s="9">
        <f>IF(B485="","",IFERROR(INDEX('Équipements'!$B$5:$B$304,MATCH(B485,'Équipements'!$A$5:$A$304,0)),"Code inconnu"))</f>
        <v/>
      </c>
      <c r="D485" s="67" t="n"/>
      <c r="E485" s="7" t="n"/>
      <c r="F485" s="68">
        <f>IF(OR(B485="",A485=""),"",IF(COUNTIFS('Relevés compteurs'!$B$5:$B$1504,B485,'Relevés compteurs'!$A$5:$A$1504,"&lt;"&amp;A485)=0,"",D485-_xlfn.MAXIFS('Relevés compteurs'!$D$5:$D$1504,'Relevés compteurs'!$B$5:$B$1504,B485,'Relevés compteurs'!$A$5:$A$1504,"&lt;"&amp;A485)))</f>
        <v/>
      </c>
    </row>
    <row r="486">
      <c r="A486" s="65" t="n"/>
      <c r="B486" s="7" t="n"/>
      <c r="C486" s="9">
        <f>IF(B486="","",IFERROR(INDEX('Équipements'!$B$5:$B$304,MATCH(B486,'Équipements'!$A$5:$A$304,0)),"Code inconnu"))</f>
        <v/>
      </c>
      <c r="D486" s="67" t="n"/>
      <c r="E486" s="7" t="n"/>
      <c r="F486" s="68">
        <f>IF(OR(B486="",A486=""),"",IF(COUNTIFS('Relevés compteurs'!$B$5:$B$1504,B486,'Relevés compteurs'!$A$5:$A$1504,"&lt;"&amp;A486)=0,"",D486-_xlfn.MAXIFS('Relevés compteurs'!$D$5:$D$1504,'Relevés compteurs'!$B$5:$B$1504,B486,'Relevés compteurs'!$A$5:$A$1504,"&lt;"&amp;A486)))</f>
        <v/>
      </c>
    </row>
    <row r="487">
      <c r="A487" s="65" t="n"/>
      <c r="B487" s="7" t="n"/>
      <c r="C487" s="9">
        <f>IF(B487="","",IFERROR(INDEX('Équipements'!$B$5:$B$304,MATCH(B487,'Équipements'!$A$5:$A$304,0)),"Code inconnu"))</f>
        <v/>
      </c>
      <c r="D487" s="67" t="n"/>
      <c r="E487" s="7" t="n"/>
      <c r="F487" s="68">
        <f>IF(OR(B487="",A487=""),"",IF(COUNTIFS('Relevés compteurs'!$B$5:$B$1504,B487,'Relevés compteurs'!$A$5:$A$1504,"&lt;"&amp;A487)=0,"",D487-_xlfn.MAXIFS('Relevés compteurs'!$D$5:$D$1504,'Relevés compteurs'!$B$5:$B$1504,B487,'Relevés compteurs'!$A$5:$A$1504,"&lt;"&amp;A487)))</f>
        <v/>
      </c>
    </row>
    <row r="488">
      <c r="A488" s="65" t="n"/>
      <c r="B488" s="7" t="n"/>
      <c r="C488" s="9">
        <f>IF(B488="","",IFERROR(INDEX('Équipements'!$B$5:$B$304,MATCH(B488,'Équipements'!$A$5:$A$304,0)),"Code inconnu"))</f>
        <v/>
      </c>
      <c r="D488" s="67" t="n"/>
      <c r="E488" s="7" t="n"/>
      <c r="F488" s="68">
        <f>IF(OR(B488="",A488=""),"",IF(COUNTIFS('Relevés compteurs'!$B$5:$B$1504,B488,'Relevés compteurs'!$A$5:$A$1504,"&lt;"&amp;A488)=0,"",D488-_xlfn.MAXIFS('Relevés compteurs'!$D$5:$D$1504,'Relevés compteurs'!$B$5:$B$1504,B488,'Relevés compteurs'!$A$5:$A$1504,"&lt;"&amp;A488)))</f>
        <v/>
      </c>
    </row>
    <row r="489">
      <c r="A489" s="65" t="n"/>
      <c r="B489" s="7" t="n"/>
      <c r="C489" s="9">
        <f>IF(B489="","",IFERROR(INDEX('Équipements'!$B$5:$B$304,MATCH(B489,'Équipements'!$A$5:$A$304,0)),"Code inconnu"))</f>
        <v/>
      </c>
      <c r="D489" s="67" t="n"/>
      <c r="E489" s="7" t="n"/>
      <c r="F489" s="68">
        <f>IF(OR(B489="",A489=""),"",IF(COUNTIFS('Relevés compteurs'!$B$5:$B$1504,B489,'Relevés compteurs'!$A$5:$A$1504,"&lt;"&amp;A489)=0,"",D489-_xlfn.MAXIFS('Relevés compteurs'!$D$5:$D$1504,'Relevés compteurs'!$B$5:$B$1504,B489,'Relevés compteurs'!$A$5:$A$1504,"&lt;"&amp;A489)))</f>
        <v/>
      </c>
    </row>
    <row r="490">
      <c r="A490" s="65" t="n"/>
      <c r="B490" s="7" t="n"/>
      <c r="C490" s="9">
        <f>IF(B490="","",IFERROR(INDEX('Équipements'!$B$5:$B$304,MATCH(B490,'Équipements'!$A$5:$A$304,0)),"Code inconnu"))</f>
        <v/>
      </c>
      <c r="D490" s="67" t="n"/>
      <c r="E490" s="7" t="n"/>
      <c r="F490" s="68">
        <f>IF(OR(B490="",A490=""),"",IF(COUNTIFS('Relevés compteurs'!$B$5:$B$1504,B490,'Relevés compteurs'!$A$5:$A$1504,"&lt;"&amp;A490)=0,"",D490-_xlfn.MAXIFS('Relevés compteurs'!$D$5:$D$1504,'Relevés compteurs'!$B$5:$B$1504,B490,'Relevés compteurs'!$A$5:$A$1504,"&lt;"&amp;A490)))</f>
        <v/>
      </c>
    </row>
    <row r="491">
      <c r="A491" s="65" t="n"/>
      <c r="B491" s="7" t="n"/>
      <c r="C491" s="9">
        <f>IF(B491="","",IFERROR(INDEX('Équipements'!$B$5:$B$304,MATCH(B491,'Équipements'!$A$5:$A$304,0)),"Code inconnu"))</f>
        <v/>
      </c>
      <c r="D491" s="67" t="n"/>
      <c r="E491" s="7" t="n"/>
      <c r="F491" s="68">
        <f>IF(OR(B491="",A491=""),"",IF(COUNTIFS('Relevés compteurs'!$B$5:$B$1504,B491,'Relevés compteurs'!$A$5:$A$1504,"&lt;"&amp;A491)=0,"",D491-_xlfn.MAXIFS('Relevés compteurs'!$D$5:$D$1504,'Relevés compteurs'!$B$5:$B$1504,B491,'Relevés compteurs'!$A$5:$A$1504,"&lt;"&amp;A491)))</f>
        <v/>
      </c>
    </row>
    <row r="492">
      <c r="A492" s="65" t="n"/>
      <c r="B492" s="7" t="n"/>
      <c r="C492" s="9">
        <f>IF(B492="","",IFERROR(INDEX('Équipements'!$B$5:$B$304,MATCH(B492,'Équipements'!$A$5:$A$304,0)),"Code inconnu"))</f>
        <v/>
      </c>
      <c r="D492" s="67" t="n"/>
      <c r="E492" s="7" t="n"/>
      <c r="F492" s="68">
        <f>IF(OR(B492="",A492=""),"",IF(COUNTIFS('Relevés compteurs'!$B$5:$B$1504,B492,'Relevés compteurs'!$A$5:$A$1504,"&lt;"&amp;A492)=0,"",D492-_xlfn.MAXIFS('Relevés compteurs'!$D$5:$D$1504,'Relevés compteurs'!$B$5:$B$1504,B492,'Relevés compteurs'!$A$5:$A$1504,"&lt;"&amp;A492)))</f>
        <v/>
      </c>
    </row>
    <row r="493">
      <c r="A493" s="65" t="n"/>
      <c r="B493" s="7" t="n"/>
      <c r="C493" s="9">
        <f>IF(B493="","",IFERROR(INDEX('Équipements'!$B$5:$B$304,MATCH(B493,'Équipements'!$A$5:$A$304,0)),"Code inconnu"))</f>
        <v/>
      </c>
      <c r="D493" s="67" t="n"/>
      <c r="E493" s="7" t="n"/>
      <c r="F493" s="68">
        <f>IF(OR(B493="",A493=""),"",IF(COUNTIFS('Relevés compteurs'!$B$5:$B$1504,B493,'Relevés compteurs'!$A$5:$A$1504,"&lt;"&amp;A493)=0,"",D493-_xlfn.MAXIFS('Relevés compteurs'!$D$5:$D$1504,'Relevés compteurs'!$B$5:$B$1504,B493,'Relevés compteurs'!$A$5:$A$1504,"&lt;"&amp;A493)))</f>
        <v/>
      </c>
    </row>
    <row r="494">
      <c r="A494" s="65" t="n"/>
      <c r="B494" s="7" t="n"/>
      <c r="C494" s="9">
        <f>IF(B494="","",IFERROR(INDEX('Équipements'!$B$5:$B$304,MATCH(B494,'Équipements'!$A$5:$A$304,0)),"Code inconnu"))</f>
        <v/>
      </c>
      <c r="D494" s="67" t="n"/>
      <c r="E494" s="7" t="n"/>
      <c r="F494" s="68">
        <f>IF(OR(B494="",A494=""),"",IF(COUNTIFS('Relevés compteurs'!$B$5:$B$1504,B494,'Relevés compteurs'!$A$5:$A$1504,"&lt;"&amp;A494)=0,"",D494-_xlfn.MAXIFS('Relevés compteurs'!$D$5:$D$1504,'Relevés compteurs'!$B$5:$B$1504,B494,'Relevés compteurs'!$A$5:$A$1504,"&lt;"&amp;A494)))</f>
        <v/>
      </c>
    </row>
    <row r="495">
      <c r="A495" s="65" t="n"/>
      <c r="B495" s="7" t="n"/>
      <c r="C495" s="9">
        <f>IF(B495="","",IFERROR(INDEX('Équipements'!$B$5:$B$304,MATCH(B495,'Équipements'!$A$5:$A$304,0)),"Code inconnu"))</f>
        <v/>
      </c>
      <c r="D495" s="67" t="n"/>
      <c r="E495" s="7" t="n"/>
      <c r="F495" s="68">
        <f>IF(OR(B495="",A495=""),"",IF(COUNTIFS('Relevés compteurs'!$B$5:$B$1504,B495,'Relevés compteurs'!$A$5:$A$1504,"&lt;"&amp;A495)=0,"",D495-_xlfn.MAXIFS('Relevés compteurs'!$D$5:$D$1504,'Relevés compteurs'!$B$5:$B$1504,B495,'Relevés compteurs'!$A$5:$A$1504,"&lt;"&amp;A495)))</f>
        <v/>
      </c>
    </row>
    <row r="496">
      <c r="A496" s="65" t="n"/>
      <c r="B496" s="7" t="n"/>
      <c r="C496" s="9">
        <f>IF(B496="","",IFERROR(INDEX('Équipements'!$B$5:$B$304,MATCH(B496,'Équipements'!$A$5:$A$304,0)),"Code inconnu"))</f>
        <v/>
      </c>
      <c r="D496" s="67" t="n"/>
      <c r="E496" s="7" t="n"/>
      <c r="F496" s="68">
        <f>IF(OR(B496="",A496=""),"",IF(COUNTIFS('Relevés compteurs'!$B$5:$B$1504,B496,'Relevés compteurs'!$A$5:$A$1504,"&lt;"&amp;A496)=0,"",D496-_xlfn.MAXIFS('Relevés compteurs'!$D$5:$D$1504,'Relevés compteurs'!$B$5:$B$1504,B496,'Relevés compteurs'!$A$5:$A$1504,"&lt;"&amp;A496)))</f>
        <v/>
      </c>
    </row>
    <row r="497">
      <c r="A497" s="65" t="n"/>
      <c r="B497" s="7" t="n"/>
      <c r="C497" s="9">
        <f>IF(B497="","",IFERROR(INDEX('Équipements'!$B$5:$B$304,MATCH(B497,'Équipements'!$A$5:$A$304,0)),"Code inconnu"))</f>
        <v/>
      </c>
      <c r="D497" s="67" t="n"/>
      <c r="E497" s="7" t="n"/>
      <c r="F497" s="68">
        <f>IF(OR(B497="",A497=""),"",IF(COUNTIFS('Relevés compteurs'!$B$5:$B$1504,B497,'Relevés compteurs'!$A$5:$A$1504,"&lt;"&amp;A497)=0,"",D497-_xlfn.MAXIFS('Relevés compteurs'!$D$5:$D$1504,'Relevés compteurs'!$B$5:$B$1504,B497,'Relevés compteurs'!$A$5:$A$1504,"&lt;"&amp;A497)))</f>
        <v/>
      </c>
    </row>
    <row r="498">
      <c r="A498" s="65" t="n"/>
      <c r="B498" s="7" t="n"/>
      <c r="C498" s="9">
        <f>IF(B498="","",IFERROR(INDEX('Équipements'!$B$5:$B$304,MATCH(B498,'Équipements'!$A$5:$A$304,0)),"Code inconnu"))</f>
        <v/>
      </c>
      <c r="D498" s="67" t="n"/>
      <c r="E498" s="7" t="n"/>
      <c r="F498" s="68">
        <f>IF(OR(B498="",A498=""),"",IF(COUNTIFS('Relevés compteurs'!$B$5:$B$1504,B498,'Relevés compteurs'!$A$5:$A$1504,"&lt;"&amp;A498)=0,"",D498-_xlfn.MAXIFS('Relevés compteurs'!$D$5:$D$1504,'Relevés compteurs'!$B$5:$B$1504,B498,'Relevés compteurs'!$A$5:$A$1504,"&lt;"&amp;A498)))</f>
        <v/>
      </c>
    </row>
    <row r="499">
      <c r="A499" s="65" t="n"/>
      <c r="B499" s="7" t="n"/>
      <c r="C499" s="9">
        <f>IF(B499="","",IFERROR(INDEX('Équipements'!$B$5:$B$304,MATCH(B499,'Équipements'!$A$5:$A$304,0)),"Code inconnu"))</f>
        <v/>
      </c>
      <c r="D499" s="67" t="n"/>
      <c r="E499" s="7" t="n"/>
      <c r="F499" s="68">
        <f>IF(OR(B499="",A499=""),"",IF(COUNTIFS('Relevés compteurs'!$B$5:$B$1504,B499,'Relevés compteurs'!$A$5:$A$1504,"&lt;"&amp;A499)=0,"",D499-_xlfn.MAXIFS('Relevés compteurs'!$D$5:$D$1504,'Relevés compteurs'!$B$5:$B$1504,B499,'Relevés compteurs'!$A$5:$A$1504,"&lt;"&amp;A499)))</f>
        <v/>
      </c>
    </row>
    <row r="500">
      <c r="A500" s="65" t="n"/>
      <c r="B500" s="7" t="n"/>
      <c r="C500" s="9">
        <f>IF(B500="","",IFERROR(INDEX('Équipements'!$B$5:$B$304,MATCH(B500,'Équipements'!$A$5:$A$304,0)),"Code inconnu"))</f>
        <v/>
      </c>
      <c r="D500" s="67" t="n"/>
      <c r="E500" s="7" t="n"/>
      <c r="F500" s="68">
        <f>IF(OR(B500="",A500=""),"",IF(COUNTIFS('Relevés compteurs'!$B$5:$B$1504,B500,'Relevés compteurs'!$A$5:$A$1504,"&lt;"&amp;A500)=0,"",D500-_xlfn.MAXIFS('Relevés compteurs'!$D$5:$D$1504,'Relevés compteurs'!$B$5:$B$1504,B500,'Relevés compteurs'!$A$5:$A$1504,"&lt;"&amp;A500)))</f>
        <v/>
      </c>
    </row>
    <row r="501">
      <c r="A501" s="65" t="n"/>
      <c r="B501" s="7" t="n"/>
      <c r="C501" s="9">
        <f>IF(B501="","",IFERROR(INDEX('Équipements'!$B$5:$B$304,MATCH(B501,'Équipements'!$A$5:$A$304,0)),"Code inconnu"))</f>
        <v/>
      </c>
      <c r="D501" s="67" t="n"/>
      <c r="E501" s="7" t="n"/>
      <c r="F501" s="68">
        <f>IF(OR(B501="",A501=""),"",IF(COUNTIFS('Relevés compteurs'!$B$5:$B$1504,B501,'Relevés compteurs'!$A$5:$A$1504,"&lt;"&amp;A501)=0,"",D501-_xlfn.MAXIFS('Relevés compteurs'!$D$5:$D$1504,'Relevés compteurs'!$B$5:$B$1504,B501,'Relevés compteurs'!$A$5:$A$1504,"&lt;"&amp;A501)))</f>
        <v/>
      </c>
    </row>
    <row r="502">
      <c r="A502" s="65" t="n"/>
      <c r="B502" s="7" t="n"/>
      <c r="C502" s="9">
        <f>IF(B502="","",IFERROR(INDEX('Équipements'!$B$5:$B$304,MATCH(B502,'Équipements'!$A$5:$A$304,0)),"Code inconnu"))</f>
        <v/>
      </c>
      <c r="D502" s="67" t="n"/>
      <c r="E502" s="7" t="n"/>
      <c r="F502" s="68">
        <f>IF(OR(B502="",A502=""),"",IF(COUNTIFS('Relevés compteurs'!$B$5:$B$1504,B502,'Relevés compteurs'!$A$5:$A$1504,"&lt;"&amp;A502)=0,"",D502-_xlfn.MAXIFS('Relevés compteurs'!$D$5:$D$1504,'Relevés compteurs'!$B$5:$B$1504,B502,'Relevés compteurs'!$A$5:$A$1504,"&lt;"&amp;A502)))</f>
        <v/>
      </c>
    </row>
    <row r="503">
      <c r="A503" s="65" t="n"/>
      <c r="B503" s="7" t="n"/>
      <c r="C503" s="9">
        <f>IF(B503="","",IFERROR(INDEX('Équipements'!$B$5:$B$304,MATCH(B503,'Équipements'!$A$5:$A$304,0)),"Code inconnu"))</f>
        <v/>
      </c>
      <c r="D503" s="67" t="n"/>
      <c r="E503" s="7" t="n"/>
      <c r="F503" s="68">
        <f>IF(OR(B503="",A503=""),"",IF(COUNTIFS('Relevés compteurs'!$B$5:$B$1504,B503,'Relevés compteurs'!$A$5:$A$1504,"&lt;"&amp;A503)=0,"",D503-_xlfn.MAXIFS('Relevés compteurs'!$D$5:$D$1504,'Relevés compteurs'!$B$5:$B$1504,B503,'Relevés compteurs'!$A$5:$A$1504,"&lt;"&amp;A503)))</f>
        <v/>
      </c>
    </row>
    <row r="504">
      <c r="A504" s="65" t="n"/>
      <c r="B504" s="7" t="n"/>
      <c r="C504" s="9">
        <f>IF(B504="","",IFERROR(INDEX('Équipements'!$B$5:$B$304,MATCH(B504,'Équipements'!$A$5:$A$304,0)),"Code inconnu"))</f>
        <v/>
      </c>
      <c r="D504" s="67" t="n"/>
      <c r="E504" s="7" t="n"/>
      <c r="F504" s="68">
        <f>IF(OR(B504="",A504=""),"",IF(COUNTIFS('Relevés compteurs'!$B$5:$B$1504,B504,'Relevés compteurs'!$A$5:$A$1504,"&lt;"&amp;A504)=0,"",D504-_xlfn.MAXIFS('Relevés compteurs'!$D$5:$D$1504,'Relevés compteurs'!$B$5:$B$1504,B504,'Relevés compteurs'!$A$5:$A$1504,"&lt;"&amp;A504)))</f>
        <v/>
      </c>
    </row>
    <row r="505">
      <c r="A505" s="65" t="n"/>
      <c r="B505" s="7" t="n"/>
      <c r="C505" s="9">
        <f>IF(B505="","",IFERROR(INDEX('Équipements'!$B$5:$B$304,MATCH(B505,'Équipements'!$A$5:$A$304,0)),"Code inconnu"))</f>
        <v/>
      </c>
      <c r="D505" s="67" t="n"/>
      <c r="E505" s="7" t="n"/>
      <c r="F505" s="68">
        <f>IF(OR(B505="",A505=""),"",IF(COUNTIFS('Relevés compteurs'!$B$5:$B$1504,B505,'Relevés compteurs'!$A$5:$A$1504,"&lt;"&amp;A505)=0,"",D505-_xlfn.MAXIFS('Relevés compteurs'!$D$5:$D$1504,'Relevés compteurs'!$B$5:$B$1504,B505,'Relevés compteurs'!$A$5:$A$1504,"&lt;"&amp;A505)))</f>
        <v/>
      </c>
    </row>
    <row r="506">
      <c r="A506" s="65" t="n"/>
      <c r="B506" s="7" t="n"/>
      <c r="C506" s="9">
        <f>IF(B506="","",IFERROR(INDEX('Équipements'!$B$5:$B$304,MATCH(B506,'Équipements'!$A$5:$A$304,0)),"Code inconnu"))</f>
        <v/>
      </c>
      <c r="D506" s="67" t="n"/>
      <c r="E506" s="7" t="n"/>
      <c r="F506" s="68">
        <f>IF(OR(B506="",A506=""),"",IF(COUNTIFS('Relevés compteurs'!$B$5:$B$1504,B506,'Relevés compteurs'!$A$5:$A$1504,"&lt;"&amp;A506)=0,"",D506-_xlfn.MAXIFS('Relevés compteurs'!$D$5:$D$1504,'Relevés compteurs'!$B$5:$B$1504,B506,'Relevés compteurs'!$A$5:$A$1504,"&lt;"&amp;A506)))</f>
        <v/>
      </c>
    </row>
    <row r="507">
      <c r="A507" s="65" t="n"/>
      <c r="B507" s="7" t="n"/>
      <c r="C507" s="9">
        <f>IF(B507="","",IFERROR(INDEX('Équipements'!$B$5:$B$304,MATCH(B507,'Équipements'!$A$5:$A$304,0)),"Code inconnu"))</f>
        <v/>
      </c>
      <c r="D507" s="67" t="n"/>
      <c r="E507" s="7" t="n"/>
      <c r="F507" s="68">
        <f>IF(OR(B507="",A507=""),"",IF(COUNTIFS('Relevés compteurs'!$B$5:$B$1504,B507,'Relevés compteurs'!$A$5:$A$1504,"&lt;"&amp;A507)=0,"",D507-_xlfn.MAXIFS('Relevés compteurs'!$D$5:$D$1504,'Relevés compteurs'!$B$5:$B$1504,B507,'Relevés compteurs'!$A$5:$A$1504,"&lt;"&amp;A507)))</f>
        <v/>
      </c>
    </row>
    <row r="508">
      <c r="A508" s="65" t="n"/>
      <c r="B508" s="7" t="n"/>
      <c r="C508" s="9">
        <f>IF(B508="","",IFERROR(INDEX('Équipements'!$B$5:$B$304,MATCH(B508,'Équipements'!$A$5:$A$304,0)),"Code inconnu"))</f>
        <v/>
      </c>
      <c r="D508" s="67" t="n"/>
      <c r="E508" s="7" t="n"/>
      <c r="F508" s="68">
        <f>IF(OR(B508="",A508=""),"",IF(COUNTIFS('Relevés compteurs'!$B$5:$B$1504,B508,'Relevés compteurs'!$A$5:$A$1504,"&lt;"&amp;A508)=0,"",D508-_xlfn.MAXIFS('Relevés compteurs'!$D$5:$D$1504,'Relevés compteurs'!$B$5:$B$1504,B508,'Relevés compteurs'!$A$5:$A$1504,"&lt;"&amp;A508)))</f>
        <v/>
      </c>
    </row>
    <row r="509">
      <c r="A509" s="65" t="n"/>
      <c r="B509" s="7" t="n"/>
      <c r="C509" s="9">
        <f>IF(B509="","",IFERROR(INDEX('Équipements'!$B$5:$B$304,MATCH(B509,'Équipements'!$A$5:$A$304,0)),"Code inconnu"))</f>
        <v/>
      </c>
      <c r="D509" s="67" t="n"/>
      <c r="E509" s="7" t="n"/>
      <c r="F509" s="68">
        <f>IF(OR(B509="",A509=""),"",IF(COUNTIFS('Relevés compteurs'!$B$5:$B$1504,B509,'Relevés compteurs'!$A$5:$A$1504,"&lt;"&amp;A509)=0,"",D509-_xlfn.MAXIFS('Relevés compteurs'!$D$5:$D$1504,'Relevés compteurs'!$B$5:$B$1504,B509,'Relevés compteurs'!$A$5:$A$1504,"&lt;"&amp;A509)))</f>
        <v/>
      </c>
    </row>
    <row r="510">
      <c r="A510" s="65" t="n"/>
      <c r="B510" s="7" t="n"/>
      <c r="C510" s="9">
        <f>IF(B510="","",IFERROR(INDEX('Équipements'!$B$5:$B$304,MATCH(B510,'Équipements'!$A$5:$A$304,0)),"Code inconnu"))</f>
        <v/>
      </c>
      <c r="D510" s="67" t="n"/>
      <c r="E510" s="7" t="n"/>
      <c r="F510" s="68">
        <f>IF(OR(B510="",A510=""),"",IF(COUNTIFS('Relevés compteurs'!$B$5:$B$1504,B510,'Relevés compteurs'!$A$5:$A$1504,"&lt;"&amp;A510)=0,"",D510-_xlfn.MAXIFS('Relevés compteurs'!$D$5:$D$1504,'Relevés compteurs'!$B$5:$B$1504,B510,'Relevés compteurs'!$A$5:$A$1504,"&lt;"&amp;A510)))</f>
        <v/>
      </c>
    </row>
    <row r="511">
      <c r="A511" s="65" t="n"/>
      <c r="B511" s="7" t="n"/>
      <c r="C511" s="9">
        <f>IF(B511="","",IFERROR(INDEX('Équipements'!$B$5:$B$304,MATCH(B511,'Équipements'!$A$5:$A$304,0)),"Code inconnu"))</f>
        <v/>
      </c>
      <c r="D511" s="67" t="n"/>
      <c r="E511" s="7" t="n"/>
      <c r="F511" s="68">
        <f>IF(OR(B511="",A511=""),"",IF(COUNTIFS('Relevés compteurs'!$B$5:$B$1504,B511,'Relevés compteurs'!$A$5:$A$1504,"&lt;"&amp;A511)=0,"",D511-_xlfn.MAXIFS('Relevés compteurs'!$D$5:$D$1504,'Relevés compteurs'!$B$5:$B$1504,B511,'Relevés compteurs'!$A$5:$A$1504,"&lt;"&amp;A511)))</f>
        <v/>
      </c>
    </row>
    <row r="512">
      <c r="A512" s="65" t="n"/>
      <c r="B512" s="7" t="n"/>
      <c r="C512" s="9">
        <f>IF(B512="","",IFERROR(INDEX('Équipements'!$B$5:$B$304,MATCH(B512,'Équipements'!$A$5:$A$304,0)),"Code inconnu"))</f>
        <v/>
      </c>
      <c r="D512" s="67" t="n"/>
      <c r="E512" s="7" t="n"/>
      <c r="F512" s="68">
        <f>IF(OR(B512="",A512=""),"",IF(COUNTIFS('Relevés compteurs'!$B$5:$B$1504,B512,'Relevés compteurs'!$A$5:$A$1504,"&lt;"&amp;A512)=0,"",D512-_xlfn.MAXIFS('Relevés compteurs'!$D$5:$D$1504,'Relevés compteurs'!$B$5:$B$1504,B512,'Relevés compteurs'!$A$5:$A$1504,"&lt;"&amp;A512)))</f>
        <v/>
      </c>
    </row>
    <row r="513">
      <c r="A513" s="65" t="n"/>
      <c r="B513" s="7" t="n"/>
      <c r="C513" s="9">
        <f>IF(B513="","",IFERROR(INDEX('Équipements'!$B$5:$B$304,MATCH(B513,'Équipements'!$A$5:$A$304,0)),"Code inconnu"))</f>
        <v/>
      </c>
      <c r="D513" s="67" t="n"/>
      <c r="E513" s="7" t="n"/>
      <c r="F513" s="68">
        <f>IF(OR(B513="",A513=""),"",IF(COUNTIFS('Relevés compteurs'!$B$5:$B$1504,B513,'Relevés compteurs'!$A$5:$A$1504,"&lt;"&amp;A513)=0,"",D513-_xlfn.MAXIFS('Relevés compteurs'!$D$5:$D$1504,'Relevés compteurs'!$B$5:$B$1504,B513,'Relevés compteurs'!$A$5:$A$1504,"&lt;"&amp;A513)))</f>
        <v/>
      </c>
    </row>
    <row r="514">
      <c r="A514" s="65" t="n"/>
      <c r="B514" s="7" t="n"/>
      <c r="C514" s="9">
        <f>IF(B514="","",IFERROR(INDEX('Équipements'!$B$5:$B$304,MATCH(B514,'Équipements'!$A$5:$A$304,0)),"Code inconnu"))</f>
        <v/>
      </c>
      <c r="D514" s="67" t="n"/>
      <c r="E514" s="7" t="n"/>
      <c r="F514" s="68">
        <f>IF(OR(B514="",A514=""),"",IF(COUNTIFS('Relevés compteurs'!$B$5:$B$1504,B514,'Relevés compteurs'!$A$5:$A$1504,"&lt;"&amp;A514)=0,"",D514-_xlfn.MAXIFS('Relevés compteurs'!$D$5:$D$1504,'Relevés compteurs'!$B$5:$B$1504,B514,'Relevés compteurs'!$A$5:$A$1504,"&lt;"&amp;A514)))</f>
        <v/>
      </c>
    </row>
    <row r="515">
      <c r="A515" s="65" t="n"/>
      <c r="B515" s="7" t="n"/>
      <c r="C515" s="9">
        <f>IF(B515="","",IFERROR(INDEX('Équipements'!$B$5:$B$304,MATCH(B515,'Équipements'!$A$5:$A$304,0)),"Code inconnu"))</f>
        <v/>
      </c>
      <c r="D515" s="67" t="n"/>
      <c r="E515" s="7" t="n"/>
      <c r="F515" s="68">
        <f>IF(OR(B515="",A515=""),"",IF(COUNTIFS('Relevés compteurs'!$B$5:$B$1504,B515,'Relevés compteurs'!$A$5:$A$1504,"&lt;"&amp;A515)=0,"",D515-_xlfn.MAXIFS('Relevés compteurs'!$D$5:$D$1504,'Relevés compteurs'!$B$5:$B$1504,B515,'Relevés compteurs'!$A$5:$A$1504,"&lt;"&amp;A515)))</f>
        <v/>
      </c>
    </row>
    <row r="516">
      <c r="A516" s="65" t="n"/>
      <c r="B516" s="7" t="n"/>
      <c r="C516" s="9">
        <f>IF(B516="","",IFERROR(INDEX('Équipements'!$B$5:$B$304,MATCH(B516,'Équipements'!$A$5:$A$304,0)),"Code inconnu"))</f>
        <v/>
      </c>
      <c r="D516" s="67" t="n"/>
      <c r="E516" s="7" t="n"/>
      <c r="F516" s="68">
        <f>IF(OR(B516="",A516=""),"",IF(COUNTIFS('Relevés compteurs'!$B$5:$B$1504,B516,'Relevés compteurs'!$A$5:$A$1504,"&lt;"&amp;A516)=0,"",D516-_xlfn.MAXIFS('Relevés compteurs'!$D$5:$D$1504,'Relevés compteurs'!$B$5:$B$1504,B516,'Relevés compteurs'!$A$5:$A$1504,"&lt;"&amp;A516)))</f>
        <v/>
      </c>
    </row>
    <row r="517">
      <c r="A517" s="65" t="n"/>
      <c r="B517" s="7" t="n"/>
      <c r="C517" s="9">
        <f>IF(B517="","",IFERROR(INDEX('Équipements'!$B$5:$B$304,MATCH(B517,'Équipements'!$A$5:$A$304,0)),"Code inconnu"))</f>
        <v/>
      </c>
      <c r="D517" s="67" t="n"/>
      <c r="E517" s="7" t="n"/>
      <c r="F517" s="68">
        <f>IF(OR(B517="",A517=""),"",IF(COUNTIFS('Relevés compteurs'!$B$5:$B$1504,B517,'Relevés compteurs'!$A$5:$A$1504,"&lt;"&amp;A517)=0,"",D517-_xlfn.MAXIFS('Relevés compteurs'!$D$5:$D$1504,'Relevés compteurs'!$B$5:$B$1504,B517,'Relevés compteurs'!$A$5:$A$1504,"&lt;"&amp;A517)))</f>
        <v/>
      </c>
    </row>
    <row r="518">
      <c r="A518" s="65" t="n"/>
      <c r="B518" s="7" t="n"/>
      <c r="C518" s="9">
        <f>IF(B518="","",IFERROR(INDEX('Équipements'!$B$5:$B$304,MATCH(B518,'Équipements'!$A$5:$A$304,0)),"Code inconnu"))</f>
        <v/>
      </c>
      <c r="D518" s="67" t="n"/>
      <c r="E518" s="7" t="n"/>
      <c r="F518" s="68">
        <f>IF(OR(B518="",A518=""),"",IF(COUNTIFS('Relevés compteurs'!$B$5:$B$1504,B518,'Relevés compteurs'!$A$5:$A$1504,"&lt;"&amp;A518)=0,"",D518-_xlfn.MAXIFS('Relevés compteurs'!$D$5:$D$1504,'Relevés compteurs'!$B$5:$B$1504,B518,'Relevés compteurs'!$A$5:$A$1504,"&lt;"&amp;A518)))</f>
        <v/>
      </c>
    </row>
    <row r="519">
      <c r="A519" s="65" t="n"/>
      <c r="B519" s="7" t="n"/>
      <c r="C519" s="9">
        <f>IF(B519="","",IFERROR(INDEX('Équipements'!$B$5:$B$304,MATCH(B519,'Équipements'!$A$5:$A$304,0)),"Code inconnu"))</f>
        <v/>
      </c>
      <c r="D519" s="67" t="n"/>
      <c r="E519" s="7" t="n"/>
      <c r="F519" s="68">
        <f>IF(OR(B519="",A519=""),"",IF(COUNTIFS('Relevés compteurs'!$B$5:$B$1504,B519,'Relevés compteurs'!$A$5:$A$1504,"&lt;"&amp;A519)=0,"",D519-_xlfn.MAXIFS('Relevés compteurs'!$D$5:$D$1504,'Relevés compteurs'!$B$5:$B$1504,B519,'Relevés compteurs'!$A$5:$A$1504,"&lt;"&amp;A519)))</f>
        <v/>
      </c>
    </row>
    <row r="520">
      <c r="A520" s="65" t="n"/>
      <c r="B520" s="7" t="n"/>
      <c r="C520" s="9">
        <f>IF(B520="","",IFERROR(INDEX('Équipements'!$B$5:$B$304,MATCH(B520,'Équipements'!$A$5:$A$304,0)),"Code inconnu"))</f>
        <v/>
      </c>
      <c r="D520" s="67" t="n"/>
      <c r="E520" s="7" t="n"/>
      <c r="F520" s="68">
        <f>IF(OR(B520="",A520=""),"",IF(COUNTIFS('Relevés compteurs'!$B$5:$B$1504,B520,'Relevés compteurs'!$A$5:$A$1504,"&lt;"&amp;A520)=0,"",D520-_xlfn.MAXIFS('Relevés compteurs'!$D$5:$D$1504,'Relevés compteurs'!$B$5:$B$1504,B520,'Relevés compteurs'!$A$5:$A$1504,"&lt;"&amp;A520)))</f>
        <v/>
      </c>
    </row>
    <row r="521">
      <c r="A521" s="65" t="n"/>
      <c r="B521" s="7" t="n"/>
      <c r="C521" s="9">
        <f>IF(B521="","",IFERROR(INDEX('Équipements'!$B$5:$B$304,MATCH(B521,'Équipements'!$A$5:$A$304,0)),"Code inconnu"))</f>
        <v/>
      </c>
      <c r="D521" s="67" t="n"/>
      <c r="E521" s="7" t="n"/>
      <c r="F521" s="68">
        <f>IF(OR(B521="",A521=""),"",IF(COUNTIFS('Relevés compteurs'!$B$5:$B$1504,B521,'Relevés compteurs'!$A$5:$A$1504,"&lt;"&amp;A521)=0,"",D521-_xlfn.MAXIFS('Relevés compteurs'!$D$5:$D$1504,'Relevés compteurs'!$B$5:$B$1504,B521,'Relevés compteurs'!$A$5:$A$1504,"&lt;"&amp;A521)))</f>
        <v/>
      </c>
    </row>
    <row r="522">
      <c r="A522" s="65" t="n"/>
      <c r="B522" s="7" t="n"/>
      <c r="C522" s="9">
        <f>IF(B522="","",IFERROR(INDEX('Équipements'!$B$5:$B$304,MATCH(B522,'Équipements'!$A$5:$A$304,0)),"Code inconnu"))</f>
        <v/>
      </c>
      <c r="D522" s="67" t="n"/>
      <c r="E522" s="7" t="n"/>
      <c r="F522" s="68">
        <f>IF(OR(B522="",A522=""),"",IF(COUNTIFS('Relevés compteurs'!$B$5:$B$1504,B522,'Relevés compteurs'!$A$5:$A$1504,"&lt;"&amp;A522)=0,"",D522-_xlfn.MAXIFS('Relevés compteurs'!$D$5:$D$1504,'Relevés compteurs'!$B$5:$B$1504,B522,'Relevés compteurs'!$A$5:$A$1504,"&lt;"&amp;A522)))</f>
        <v/>
      </c>
    </row>
    <row r="523">
      <c r="A523" s="65" t="n"/>
      <c r="B523" s="7" t="n"/>
      <c r="C523" s="9">
        <f>IF(B523="","",IFERROR(INDEX('Équipements'!$B$5:$B$304,MATCH(B523,'Équipements'!$A$5:$A$304,0)),"Code inconnu"))</f>
        <v/>
      </c>
      <c r="D523" s="67" t="n"/>
      <c r="E523" s="7" t="n"/>
      <c r="F523" s="68">
        <f>IF(OR(B523="",A523=""),"",IF(COUNTIFS('Relevés compteurs'!$B$5:$B$1504,B523,'Relevés compteurs'!$A$5:$A$1504,"&lt;"&amp;A523)=0,"",D523-_xlfn.MAXIFS('Relevés compteurs'!$D$5:$D$1504,'Relevés compteurs'!$B$5:$B$1504,B523,'Relevés compteurs'!$A$5:$A$1504,"&lt;"&amp;A523)))</f>
        <v/>
      </c>
    </row>
    <row r="524">
      <c r="A524" s="65" t="n"/>
      <c r="B524" s="7" t="n"/>
      <c r="C524" s="9">
        <f>IF(B524="","",IFERROR(INDEX('Équipements'!$B$5:$B$304,MATCH(B524,'Équipements'!$A$5:$A$304,0)),"Code inconnu"))</f>
        <v/>
      </c>
      <c r="D524" s="67" t="n"/>
      <c r="E524" s="7" t="n"/>
      <c r="F524" s="68">
        <f>IF(OR(B524="",A524=""),"",IF(COUNTIFS('Relevés compteurs'!$B$5:$B$1504,B524,'Relevés compteurs'!$A$5:$A$1504,"&lt;"&amp;A524)=0,"",D524-_xlfn.MAXIFS('Relevés compteurs'!$D$5:$D$1504,'Relevés compteurs'!$B$5:$B$1504,B524,'Relevés compteurs'!$A$5:$A$1504,"&lt;"&amp;A524)))</f>
        <v/>
      </c>
    </row>
    <row r="525">
      <c r="A525" s="65" t="n"/>
      <c r="B525" s="7" t="n"/>
      <c r="C525" s="9">
        <f>IF(B525="","",IFERROR(INDEX('Équipements'!$B$5:$B$304,MATCH(B525,'Équipements'!$A$5:$A$304,0)),"Code inconnu"))</f>
        <v/>
      </c>
      <c r="D525" s="67" t="n"/>
      <c r="E525" s="7" t="n"/>
      <c r="F525" s="68">
        <f>IF(OR(B525="",A525=""),"",IF(COUNTIFS('Relevés compteurs'!$B$5:$B$1504,B525,'Relevés compteurs'!$A$5:$A$1504,"&lt;"&amp;A525)=0,"",D525-_xlfn.MAXIFS('Relevés compteurs'!$D$5:$D$1504,'Relevés compteurs'!$B$5:$B$1504,B525,'Relevés compteurs'!$A$5:$A$1504,"&lt;"&amp;A525)))</f>
        <v/>
      </c>
    </row>
    <row r="526">
      <c r="A526" s="65" t="n"/>
      <c r="B526" s="7" t="n"/>
      <c r="C526" s="9">
        <f>IF(B526="","",IFERROR(INDEX('Équipements'!$B$5:$B$304,MATCH(B526,'Équipements'!$A$5:$A$304,0)),"Code inconnu"))</f>
        <v/>
      </c>
      <c r="D526" s="67" t="n"/>
      <c r="E526" s="7" t="n"/>
      <c r="F526" s="68">
        <f>IF(OR(B526="",A526=""),"",IF(COUNTIFS('Relevés compteurs'!$B$5:$B$1504,B526,'Relevés compteurs'!$A$5:$A$1504,"&lt;"&amp;A526)=0,"",D526-_xlfn.MAXIFS('Relevés compteurs'!$D$5:$D$1504,'Relevés compteurs'!$B$5:$B$1504,B526,'Relevés compteurs'!$A$5:$A$1504,"&lt;"&amp;A526)))</f>
        <v/>
      </c>
    </row>
    <row r="527">
      <c r="A527" s="65" t="n"/>
      <c r="B527" s="7" t="n"/>
      <c r="C527" s="9">
        <f>IF(B527="","",IFERROR(INDEX('Équipements'!$B$5:$B$304,MATCH(B527,'Équipements'!$A$5:$A$304,0)),"Code inconnu"))</f>
        <v/>
      </c>
      <c r="D527" s="67" t="n"/>
      <c r="E527" s="7" t="n"/>
      <c r="F527" s="68">
        <f>IF(OR(B527="",A527=""),"",IF(COUNTIFS('Relevés compteurs'!$B$5:$B$1504,B527,'Relevés compteurs'!$A$5:$A$1504,"&lt;"&amp;A527)=0,"",D527-_xlfn.MAXIFS('Relevés compteurs'!$D$5:$D$1504,'Relevés compteurs'!$B$5:$B$1504,B527,'Relevés compteurs'!$A$5:$A$1504,"&lt;"&amp;A527)))</f>
        <v/>
      </c>
    </row>
    <row r="528">
      <c r="A528" s="65" t="n"/>
      <c r="B528" s="7" t="n"/>
      <c r="C528" s="9">
        <f>IF(B528="","",IFERROR(INDEX('Équipements'!$B$5:$B$304,MATCH(B528,'Équipements'!$A$5:$A$304,0)),"Code inconnu"))</f>
        <v/>
      </c>
      <c r="D528" s="67" t="n"/>
      <c r="E528" s="7" t="n"/>
      <c r="F528" s="68">
        <f>IF(OR(B528="",A528=""),"",IF(COUNTIFS('Relevés compteurs'!$B$5:$B$1504,B528,'Relevés compteurs'!$A$5:$A$1504,"&lt;"&amp;A528)=0,"",D528-_xlfn.MAXIFS('Relevés compteurs'!$D$5:$D$1504,'Relevés compteurs'!$B$5:$B$1504,B528,'Relevés compteurs'!$A$5:$A$1504,"&lt;"&amp;A528)))</f>
        <v/>
      </c>
    </row>
    <row r="529">
      <c r="A529" s="65" t="n"/>
      <c r="B529" s="7" t="n"/>
      <c r="C529" s="9">
        <f>IF(B529="","",IFERROR(INDEX('Équipements'!$B$5:$B$304,MATCH(B529,'Équipements'!$A$5:$A$304,0)),"Code inconnu"))</f>
        <v/>
      </c>
      <c r="D529" s="67" t="n"/>
      <c r="E529" s="7" t="n"/>
      <c r="F529" s="68">
        <f>IF(OR(B529="",A529=""),"",IF(COUNTIFS('Relevés compteurs'!$B$5:$B$1504,B529,'Relevés compteurs'!$A$5:$A$1504,"&lt;"&amp;A529)=0,"",D529-_xlfn.MAXIFS('Relevés compteurs'!$D$5:$D$1504,'Relevés compteurs'!$B$5:$B$1504,B529,'Relevés compteurs'!$A$5:$A$1504,"&lt;"&amp;A529)))</f>
        <v/>
      </c>
    </row>
    <row r="530">
      <c r="A530" s="65" t="n"/>
      <c r="B530" s="7" t="n"/>
      <c r="C530" s="9">
        <f>IF(B530="","",IFERROR(INDEX('Équipements'!$B$5:$B$304,MATCH(B530,'Équipements'!$A$5:$A$304,0)),"Code inconnu"))</f>
        <v/>
      </c>
      <c r="D530" s="67" t="n"/>
      <c r="E530" s="7" t="n"/>
      <c r="F530" s="68">
        <f>IF(OR(B530="",A530=""),"",IF(COUNTIFS('Relevés compteurs'!$B$5:$B$1504,B530,'Relevés compteurs'!$A$5:$A$1504,"&lt;"&amp;A530)=0,"",D530-_xlfn.MAXIFS('Relevés compteurs'!$D$5:$D$1504,'Relevés compteurs'!$B$5:$B$1504,B530,'Relevés compteurs'!$A$5:$A$1504,"&lt;"&amp;A530)))</f>
        <v/>
      </c>
    </row>
    <row r="531">
      <c r="A531" s="65" t="n"/>
      <c r="B531" s="7" t="n"/>
      <c r="C531" s="9">
        <f>IF(B531="","",IFERROR(INDEX('Équipements'!$B$5:$B$304,MATCH(B531,'Équipements'!$A$5:$A$304,0)),"Code inconnu"))</f>
        <v/>
      </c>
      <c r="D531" s="67" t="n"/>
      <c r="E531" s="7" t="n"/>
      <c r="F531" s="68">
        <f>IF(OR(B531="",A531=""),"",IF(COUNTIFS('Relevés compteurs'!$B$5:$B$1504,B531,'Relevés compteurs'!$A$5:$A$1504,"&lt;"&amp;A531)=0,"",D531-_xlfn.MAXIFS('Relevés compteurs'!$D$5:$D$1504,'Relevés compteurs'!$B$5:$B$1504,B531,'Relevés compteurs'!$A$5:$A$1504,"&lt;"&amp;A531)))</f>
        <v/>
      </c>
    </row>
    <row r="532">
      <c r="A532" s="65" t="n"/>
      <c r="B532" s="7" t="n"/>
      <c r="C532" s="9">
        <f>IF(B532="","",IFERROR(INDEX('Équipements'!$B$5:$B$304,MATCH(B532,'Équipements'!$A$5:$A$304,0)),"Code inconnu"))</f>
        <v/>
      </c>
      <c r="D532" s="67" t="n"/>
      <c r="E532" s="7" t="n"/>
      <c r="F532" s="68">
        <f>IF(OR(B532="",A532=""),"",IF(COUNTIFS('Relevés compteurs'!$B$5:$B$1504,B532,'Relevés compteurs'!$A$5:$A$1504,"&lt;"&amp;A532)=0,"",D532-_xlfn.MAXIFS('Relevés compteurs'!$D$5:$D$1504,'Relevés compteurs'!$B$5:$B$1504,B532,'Relevés compteurs'!$A$5:$A$1504,"&lt;"&amp;A532)))</f>
        <v/>
      </c>
    </row>
    <row r="533">
      <c r="A533" s="65" t="n"/>
      <c r="B533" s="7" t="n"/>
      <c r="C533" s="9">
        <f>IF(B533="","",IFERROR(INDEX('Équipements'!$B$5:$B$304,MATCH(B533,'Équipements'!$A$5:$A$304,0)),"Code inconnu"))</f>
        <v/>
      </c>
      <c r="D533" s="67" t="n"/>
      <c r="E533" s="7" t="n"/>
      <c r="F533" s="68">
        <f>IF(OR(B533="",A533=""),"",IF(COUNTIFS('Relevés compteurs'!$B$5:$B$1504,B533,'Relevés compteurs'!$A$5:$A$1504,"&lt;"&amp;A533)=0,"",D533-_xlfn.MAXIFS('Relevés compteurs'!$D$5:$D$1504,'Relevés compteurs'!$B$5:$B$1504,B533,'Relevés compteurs'!$A$5:$A$1504,"&lt;"&amp;A533)))</f>
        <v/>
      </c>
    </row>
    <row r="534">
      <c r="A534" s="65" t="n"/>
      <c r="B534" s="7" t="n"/>
      <c r="C534" s="9">
        <f>IF(B534="","",IFERROR(INDEX('Équipements'!$B$5:$B$304,MATCH(B534,'Équipements'!$A$5:$A$304,0)),"Code inconnu"))</f>
        <v/>
      </c>
      <c r="D534" s="67" t="n"/>
      <c r="E534" s="7" t="n"/>
      <c r="F534" s="68">
        <f>IF(OR(B534="",A534=""),"",IF(COUNTIFS('Relevés compteurs'!$B$5:$B$1504,B534,'Relevés compteurs'!$A$5:$A$1504,"&lt;"&amp;A534)=0,"",D534-_xlfn.MAXIFS('Relevés compteurs'!$D$5:$D$1504,'Relevés compteurs'!$B$5:$B$1504,B534,'Relevés compteurs'!$A$5:$A$1504,"&lt;"&amp;A534)))</f>
        <v/>
      </c>
    </row>
    <row r="535">
      <c r="A535" s="65" t="n"/>
      <c r="B535" s="7" t="n"/>
      <c r="C535" s="9">
        <f>IF(B535="","",IFERROR(INDEX('Équipements'!$B$5:$B$304,MATCH(B535,'Équipements'!$A$5:$A$304,0)),"Code inconnu"))</f>
        <v/>
      </c>
      <c r="D535" s="67" t="n"/>
      <c r="E535" s="7" t="n"/>
      <c r="F535" s="68">
        <f>IF(OR(B535="",A535=""),"",IF(COUNTIFS('Relevés compteurs'!$B$5:$B$1504,B535,'Relevés compteurs'!$A$5:$A$1504,"&lt;"&amp;A535)=0,"",D535-_xlfn.MAXIFS('Relevés compteurs'!$D$5:$D$1504,'Relevés compteurs'!$B$5:$B$1504,B535,'Relevés compteurs'!$A$5:$A$1504,"&lt;"&amp;A535)))</f>
        <v/>
      </c>
    </row>
    <row r="536">
      <c r="A536" s="65" t="n"/>
      <c r="B536" s="7" t="n"/>
      <c r="C536" s="9">
        <f>IF(B536="","",IFERROR(INDEX('Équipements'!$B$5:$B$304,MATCH(B536,'Équipements'!$A$5:$A$304,0)),"Code inconnu"))</f>
        <v/>
      </c>
      <c r="D536" s="67" t="n"/>
      <c r="E536" s="7" t="n"/>
      <c r="F536" s="68">
        <f>IF(OR(B536="",A536=""),"",IF(COUNTIFS('Relevés compteurs'!$B$5:$B$1504,B536,'Relevés compteurs'!$A$5:$A$1504,"&lt;"&amp;A536)=0,"",D536-_xlfn.MAXIFS('Relevés compteurs'!$D$5:$D$1504,'Relevés compteurs'!$B$5:$B$1504,B536,'Relevés compteurs'!$A$5:$A$1504,"&lt;"&amp;A536)))</f>
        <v/>
      </c>
    </row>
    <row r="537">
      <c r="A537" s="65" t="n"/>
      <c r="B537" s="7" t="n"/>
      <c r="C537" s="9">
        <f>IF(B537="","",IFERROR(INDEX('Équipements'!$B$5:$B$304,MATCH(B537,'Équipements'!$A$5:$A$304,0)),"Code inconnu"))</f>
        <v/>
      </c>
      <c r="D537" s="67" t="n"/>
      <c r="E537" s="7" t="n"/>
      <c r="F537" s="68">
        <f>IF(OR(B537="",A537=""),"",IF(COUNTIFS('Relevés compteurs'!$B$5:$B$1504,B537,'Relevés compteurs'!$A$5:$A$1504,"&lt;"&amp;A537)=0,"",D537-_xlfn.MAXIFS('Relevés compteurs'!$D$5:$D$1504,'Relevés compteurs'!$B$5:$B$1504,B537,'Relevés compteurs'!$A$5:$A$1504,"&lt;"&amp;A537)))</f>
        <v/>
      </c>
    </row>
    <row r="538">
      <c r="A538" s="65" t="n"/>
      <c r="B538" s="7" t="n"/>
      <c r="C538" s="9">
        <f>IF(B538="","",IFERROR(INDEX('Équipements'!$B$5:$B$304,MATCH(B538,'Équipements'!$A$5:$A$304,0)),"Code inconnu"))</f>
        <v/>
      </c>
      <c r="D538" s="67" t="n"/>
      <c r="E538" s="7" t="n"/>
      <c r="F538" s="68">
        <f>IF(OR(B538="",A538=""),"",IF(COUNTIFS('Relevés compteurs'!$B$5:$B$1504,B538,'Relevés compteurs'!$A$5:$A$1504,"&lt;"&amp;A538)=0,"",D538-_xlfn.MAXIFS('Relevés compteurs'!$D$5:$D$1504,'Relevés compteurs'!$B$5:$B$1504,B538,'Relevés compteurs'!$A$5:$A$1504,"&lt;"&amp;A538)))</f>
        <v/>
      </c>
    </row>
    <row r="539">
      <c r="A539" s="65" t="n"/>
      <c r="B539" s="7" t="n"/>
      <c r="C539" s="9">
        <f>IF(B539="","",IFERROR(INDEX('Équipements'!$B$5:$B$304,MATCH(B539,'Équipements'!$A$5:$A$304,0)),"Code inconnu"))</f>
        <v/>
      </c>
      <c r="D539" s="67" t="n"/>
      <c r="E539" s="7" t="n"/>
      <c r="F539" s="68">
        <f>IF(OR(B539="",A539=""),"",IF(COUNTIFS('Relevés compteurs'!$B$5:$B$1504,B539,'Relevés compteurs'!$A$5:$A$1504,"&lt;"&amp;A539)=0,"",D539-_xlfn.MAXIFS('Relevés compteurs'!$D$5:$D$1504,'Relevés compteurs'!$B$5:$B$1504,B539,'Relevés compteurs'!$A$5:$A$1504,"&lt;"&amp;A539)))</f>
        <v/>
      </c>
    </row>
    <row r="540">
      <c r="A540" s="65" t="n"/>
      <c r="B540" s="7" t="n"/>
      <c r="C540" s="9">
        <f>IF(B540="","",IFERROR(INDEX('Équipements'!$B$5:$B$304,MATCH(B540,'Équipements'!$A$5:$A$304,0)),"Code inconnu"))</f>
        <v/>
      </c>
      <c r="D540" s="67" t="n"/>
      <c r="E540" s="7" t="n"/>
      <c r="F540" s="68">
        <f>IF(OR(B540="",A540=""),"",IF(COUNTIFS('Relevés compteurs'!$B$5:$B$1504,B540,'Relevés compteurs'!$A$5:$A$1504,"&lt;"&amp;A540)=0,"",D540-_xlfn.MAXIFS('Relevés compteurs'!$D$5:$D$1504,'Relevés compteurs'!$B$5:$B$1504,B540,'Relevés compteurs'!$A$5:$A$1504,"&lt;"&amp;A540)))</f>
        <v/>
      </c>
    </row>
    <row r="541">
      <c r="A541" s="65" t="n"/>
      <c r="B541" s="7" t="n"/>
      <c r="C541" s="9">
        <f>IF(B541="","",IFERROR(INDEX('Équipements'!$B$5:$B$304,MATCH(B541,'Équipements'!$A$5:$A$304,0)),"Code inconnu"))</f>
        <v/>
      </c>
      <c r="D541" s="67" t="n"/>
      <c r="E541" s="7" t="n"/>
      <c r="F541" s="68">
        <f>IF(OR(B541="",A541=""),"",IF(COUNTIFS('Relevés compteurs'!$B$5:$B$1504,B541,'Relevés compteurs'!$A$5:$A$1504,"&lt;"&amp;A541)=0,"",D541-_xlfn.MAXIFS('Relevés compteurs'!$D$5:$D$1504,'Relevés compteurs'!$B$5:$B$1504,B541,'Relevés compteurs'!$A$5:$A$1504,"&lt;"&amp;A541)))</f>
        <v/>
      </c>
    </row>
    <row r="542">
      <c r="A542" s="65" t="n"/>
      <c r="B542" s="7" t="n"/>
      <c r="C542" s="9">
        <f>IF(B542="","",IFERROR(INDEX('Équipements'!$B$5:$B$304,MATCH(B542,'Équipements'!$A$5:$A$304,0)),"Code inconnu"))</f>
        <v/>
      </c>
      <c r="D542" s="67" t="n"/>
      <c r="E542" s="7" t="n"/>
      <c r="F542" s="68">
        <f>IF(OR(B542="",A542=""),"",IF(COUNTIFS('Relevés compteurs'!$B$5:$B$1504,B542,'Relevés compteurs'!$A$5:$A$1504,"&lt;"&amp;A542)=0,"",D542-_xlfn.MAXIFS('Relevés compteurs'!$D$5:$D$1504,'Relevés compteurs'!$B$5:$B$1504,B542,'Relevés compteurs'!$A$5:$A$1504,"&lt;"&amp;A542)))</f>
        <v/>
      </c>
    </row>
    <row r="543">
      <c r="A543" s="65" t="n"/>
      <c r="B543" s="7" t="n"/>
      <c r="C543" s="9">
        <f>IF(B543="","",IFERROR(INDEX('Équipements'!$B$5:$B$304,MATCH(B543,'Équipements'!$A$5:$A$304,0)),"Code inconnu"))</f>
        <v/>
      </c>
      <c r="D543" s="67" t="n"/>
      <c r="E543" s="7" t="n"/>
      <c r="F543" s="68">
        <f>IF(OR(B543="",A543=""),"",IF(COUNTIFS('Relevés compteurs'!$B$5:$B$1504,B543,'Relevés compteurs'!$A$5:$A$1504,"&lt;"&amp;A543)=0,"",D543-_xlfn.MAXIFS('Relevés compteurs'!$D$5:$D$1504,'Relevés compteurs'!$B$5:$B$1504,B543,'Relevés compteurs'!$A$5:$A$1504,"&lt;"&amp;A543)))</f>
        <v/>
      </c>
    </row>
    <row r="544">
      <c r="A544" s="65" t="n"/>
      <c r="B544" s="7" t="n"/>
      <c r="C544" s="9">
        <f>IF(B544="","",IFERROR(INDEX('Équipements'!$B$5:$B$304,MATCH(B544,'Équipements'!$A$5:$A$304,0)),"Code inconnu"))</f>
        <v/>
      </c>
      <c r="D544" s="67" t="n"/>
      <c r="E544" s="7" t="n"/>
      <c r="F544" s="68">
        <f>IF(OR(B544="",A544=""),"",IF(COUNTIFS('Relevés compteurs'!$B$5:$B$1504,B544,'Relevés compteurs'!$A$5:$A$1504,"&lt;"&amp;A544)=0,"",D544-_xlfn.MAXIFS('Relevés compteurs'!$D$5:$D$1504,'Relevés compteurs'!$B$5:$B$1504,B544,'Relevés compteurs'!$A$5:$A$1504,"&lt;"&amp;A544)))</f>
        <v/>
      </c>
    </row>
    <row r="545">
      <c r="A545" s="65" t="n"/>
      <c r="B545" s="7" t="n"/>
      <c r="C545" s="9">
        <f>IF(B545="","",IFERROR(INDEX('Équipements'!$B$5:$B$304,MATCH(B545,'Équipements'!$A$5:$A$304,0)),"Code inconnu"))</f>
        <v/>
      </c>
      <c r="D545" s="67" t="n"/>
      <c r="E545" s="7" t="n"/>
      <c r="F545" s="68">
        <f>IF(OR(B545="",A545=""),"",IF(COUNTIFS('Relevés compteurs'!$B$5:$B$1504,B545,'Relevés compteurs'!$A$5:$A$1504,"&lt;"&amp;A545)=0,"",D545-_xlfn.MAXIFS('Relevés compteurs'!$D$5:$D$1504,'Relevés compteurs'!$B$5:$B$1504,B545,'Relevés compteurs'!$A$5:$A$1504,"&lt;"&amp;A545)))</f>
        <v/>
      </c>
    </row>
    <row r="546">
      <c r="A546" s="65" t="n"/>
      <c r="B546" s="7" t="n"/>
      <c r="C546" s="9">
        <f>IF(B546="","",IFERROR(INDEX('Équipements'!$B$5:$B$304,MATCH(B546,'Équipements'!$A$5:$A$304,0)),"Code inconnu"))</f>
        <v/>
      </c>
      <c r="D546" s="67" t="n"/>
      <c r="E546" s="7" t="n"/>
      <c r="F546" s="68">
        <f>IF(OR(B546="",A546=""),"",IF(COUNTIFS('Relevés compteurs'!$B$5:$B$1504,B546,'Relevés compteurs'!$A$5:$A$1504,"&lt;"&amp;A546)=0,"",D546-_xlfn.MAXIFS('Relevés compteurs'!$D$5:$D$1504,'Relevés compteurs'!$B$5:$B$1504,B546,'Relevés compteurs'!$A$5:$A$1504,"&lt;"&amp;A546)))</f>
        <v/>
      </c>
    </row>
    <row r="547">
      <c r="A547" s="65" t="n"/>
      <c r="B547" s="7" t="n"/>
      <c r="C547" s="9">
        <f>IF(B547="","",IFERROR(INDEX('Équipements'!$B$5:$B$304,MATCH(B547,'Équipements'!$A$5:$A$304,0)),"Code inconnu"))</f>
        <v/>
      </c>
      <c r="D547" s="67" t="n"/>
      <c r="E547" s="7" t="n"/>
      <c r="F547" s="68">
        <f>IF(OR(B547="",A547=""),"",IF(COUNTIFS('Relevés compteurs'!$B$5:$B$1504,B547,'Relevés compteurs'!$A$5:$A$1504,"&lt;"&amp;A547)=0,"",D547-_xlfn.MAXIFS('Relevés compteurs'!$D$5:$D$1504,'Relevés compteurs'!$B$5:$B$1504,B547,'Relevés compteurs'!$A$5:$A$1504,"&lt;"&amp;A547)))</f>
        <v/>
      </c>
    </row>
    <row r="548">
      <c r="A548" s="65" t="n"/>
      <c r="B548" s="7" t="n"/>
      <c r="C548" s="9">
        <f>IF(B548="","",IFERROR(INDEX('Équipements'!$B$5:$B$304,MATCH(B548,'Équipements'!$A$5:$A$304,0)),"Code inconnu"))</f>
        <v/>
      </c>
      <c r="D548" s="67" t="n"/>
      <c r="E548" s="7" t="n"/>
      <c r="F548" s="68">
        <f>IF(OR(B548="",A548=""),"",IF(COUNTIFS('Relevés compteurs'!$B$5:$B$1504,B548,'Relevés compteurs'!$A$5:$A$1504,"&lt;"&amp;A548)=0,"",D548-_xlfn.MAXIFS('Relevés compteurs'!$D$5:$D$1504,'Relevés compteurs'!$B$5:$B$1504,B548,'Relevés compteurs'!$A$5:$A$1504,"&lt;"&amp;A548)))</f>
        <v/>
      </c>
    </row>
    <row r="549">
      <c r="A549" s="65" t="n"/>
      <c r="B549" s="7" t="n"/>
      <c r="C549" s="9">
        <f>IF(B549="","",IFERROR(INDEX('Équipements'!$B$5:$B$304,MATCH(B549,'Équipements'!$A$5:$A$304,0)),"Code inconnu"))</f>
        <v/>
      </c>
      <c r="D549" s="67" t="n"/>
      <c r="E549" s="7" t="n"/>
      <c r="F549" s="68">
        <f>IF(OR(B549="",A549=""),"",IF(COUNTIFS('Relevés compteurs'!$B$5:$B$1504,B549,'Relevés compteurs'!$A$5:$A$1504,"&lt;"&amp;A549)=0,"",D549-_xlfn.MAXIFS('Relevés compteurs'!$D$5:$D$1504,'Relevés compteurs'!$B$5:$B$1504,B549,'Relevés compteurs'!$A$5:$A$1504,"&lt;"&amp;A549)))</f>
        <v/>
      </c>
    </row>
    <row r="550">
      <c r="A550" s="65" t="n"/>
      <c r="B550" s="7" t="n"/>
      <c r="C550" s="9">
        <f>IF(B550="","",IFERROR(INDEX('Équipements'!$B$5:$B$304,MATCH(B550,'Équipements'!$A$5:$A$304,0)),"Code inconnu"))</f>
        <v/>
      </c>
      <c r="D550" s="67" t="n"/>
      <c r="E550" s="7" t="n"/>
      <c r="F550" s="68">
        <f>IF(OR(B550="",A550=""),"",IF(COUNTIFS('Relevés compteurs'!$B$5:$B$1504,B550,'Relevés compteurs'!$A$5:$A$1504,"&lt;"&amp;A550)=0,"",D550-_xlfn.MAXIFS('Relevés compteurs'!$D$5:$D$1504,'Relevés compteurs'!$B$5:$B$1504,B550,'Relevés compteurs'!$A$5:$A$1504,"&lt;"&amp;A550)))</f>
        <v/>
      </c>
    </row>
    <row r="551">
      <c r="A551" s="65" t="n"/>
      <c r="B551" s="7" t="n"/>
      <c r="C551" s="9">
        <f>IF(B551="","",IFERROR(INDEX('Équipements'!$B$5:$B$304,MATCH(B551,'Équipements'!$A$5:$A$304,0)),"Code inconnu"))</f>
        <v/>
      </c>
      <c r="D551" s="67" t="n"/>
      <c r="E551" s="7" t="n"/>
      <c r="F551" s="68">
        <f>IF(OR(B551="",A551=""),"",IF(COUNTIFS('Relevés compteurs'!$B$5:$B$1504,B551,'Relevés compteurs'!$A$5:$A$1504,"&lt;"&amp;A551)=0,"",D551-_xlfn.MAXIFS('Relevés compteurs'!$D$5:$D$1504,'Relevés compteurs'!$B$5:$B$1504,B551,'Relevés compteurs'!$A$5:$A$1504,"&lt;"&amp;A551)))</f>
        <v/>
      </c>
    </row>
    <row r="552">
      <c r="A552" s="65" t="n"/>
      <c r="B552" s="7" t="n"/>
      <c r="C552" s="9">
        <f>IF(B552="","",IFERROR(INDEX('Équipements'!$B$5:$B$304,MATCH(B552,'Équipements'!$A$5:$A$304,0)),"Code inconnu"))</f>
        <v/>
      </c>
      <c r="D552" s="67" t="n"/>
      <c r="E552" s="7" t="n"/>
      <c r="F552" s="68">
        <f>IF(OR(B552="",A552=""),"",IF(COUNTIFS('Relevés compteurs'!$B$5:$B$1504,B552,'Relevés compteurs'!$A$5:$A$1504,"&lt;"&amp;A552)=0,"",D552-_xlfn.MAXIFS('Relevés compteurs'!$D$5:$D$1504,'Relevés compteurs'!$B$5:$B$1504,B552,'Relevés compteurs'!$A$5:$A$1504,"&lt;"&amp;A552)))</f>
        <v/>
      </c>
    </row>
    <row r="553">
      <c r="A553" s="65" t="n"/>
      <c r="B553" s="7" t="n"/>
      <c r="C553" s="9">
        <f>IF(B553="","",IFERROR(INDEX('Équipements'!$B$5:$B$304,MATCH(B553,'Équipements'!$A$5:$A$304,0)),"Code inconnu"))</f>
        <v/>
      </c>
      <c r="D553" s="67" t="n"/>
      <c r="E553" s="7" t="n"/>
      <c r="F553" s="68">
        <f>IF(OR(B553="",A553=""),"",IF(COUNTIFS('Relevés compteurs'!$B$5:$B$1504,B553,'Relevés compteurs'!$A$5:$A$1504,"&lt;"&amp;A553)=0,"",D553-_xlfn.MAXIFS('Relevés compteurs'!$D$5:$D$1504,'Relevés compteurs'!$B$5:$B$1504,B553,'Relevés compteurs'!$A$5:$A$1504,"&lt;"&amp;A553)))</f>
        <v/>
      </c>
    </row>
    <row r="554">
      <c r="A554" s="65" t="n"/>
      <c r="B554" s="7" t="n"/>
      <c r="C554" s="9">
        <f>IF(B554="","",IFERROR(INDEX('Équipements'!$B$5:$B$304,MATCH(B554,'Équipements'!$A$5:$A$304,0)),"Code inconnu"))</f>
        <v/>
      </c>
      <c r="D554" s="67" t="n"/>
      <c r="E554" s="7" t="n"/>
      <c r="F554" s="68">
        <f>IF(OR(B554="",A554=""),"",IF(COUNTIFS('Relevés compteurs'!$B$5:$B$1504,B554,'Relevés compteurs'!$A$5:$A$1504,"&lt;"&amp;A554)=0,"",D554-_xlfn.MAXIFS('Relevés compteurs'!$D$5:$D$1504,'Relevés compteurs'!$B$5:$B$1504,B554,'Relevés compteurs'!$A$5:$A$1504,"&lt;"&amp;A554)))</f>
        <v/>
      </c>
    </row>
    <row r="555">
      <c r="A555" s="65" t="n"/>
      <c r="B555" s="7" t="n"/>
      <c r="C555" s="9">
        <f>IF(B555="","",IFERROR(INDEX('Équipements'!$B$5:$B$304,MATCH(B555,'Équipements'!$A$5:$A$304,0)),"Code inconnu"))</f>
        <v/>
      </c>
      <c r="D555" s="67" t="n"/>
      <c r="E555" s="7" t="n"/>
      <c r="F555" s="68">
        <f>IF(OR(B555="",A555=""),"",IF(COUNTIFS('Relevés compteurs'!$B$5:$B$1504,B555,'Relevés compteurs'!$A$5:$A$1504,"&lt;"&amp;A555)=0,"",D555-_xlfn.MAXIFS('Relevés compteurs'!$D$5:$D$1504,'Relevés compteurs'!$B$5:$B$1504,B555,'Relevés compteurs'!$A$5:$A$1504,"&lt;"&amp;A555)))</f>
        <v/>
      </c>
    </row>
    <row r="556">
      <c r="A556" s="65" t="n"/>
      <c r="B556" s="7" t="n"/>
      <c r="C556" s="9">
        <f>IF(B556="","",IFERROR(INDEX('Équipements'!$B$5:$B$304,MATCH(B556,'Équipements'!$A$5:$A$304,0)),"Code inconnu"))</f>
        <v/>
      </c>
      <c r="D556" s="67" t="n"/>
      <c r="E556" s="7" t="n"/>
      <c r="F556" s="68">
        <f>IF(OR(B556="",A556=""),"",IF(COUNTIFS('Relevés compteurs'!$B$5:$B$1504,B556,'Relevés compteurs'!$A$5:$A$1504,"&lt;"&amp;A556)=0,"",D556-_xlfn.MAXIFS('Relevés compteurs'!$D$5:$D$1504,'Relevés compteurs'!$B$5:$B$1504,B556,'Relevés compteurs'!$A$5:$A$1504,"&lt;"&amp;A556)))</f>
        <v/>
      </c>
    </row>
    <row r="557">
      <c r="A557" s="65" t="n"/>
      <c r="B557" s="7" t="n"/>
      <c r="C557" s="9">
        <f>IF(B557="","",IFERROR(INDEX('Équipements'!$B$5:$B$304,MATCH(B557,'Équipements'!$A$5:$A$304,0)),"Code inconnu"))</f>
        <v/>
      </c>
      <c r="D557" s="67" t="n"/>
      <c r="E557" s="7" t="n"/>
      <c r="F557" s="68">
        <f>IF(OR(B557="",A557=""),"",IF(COUNTIFS('Relevés compteurs'!$B$5:$B$1504,B557,'Relevés compteurs'!$A$5:$A$1504,"&lt;"&amp;A557)=0,"",D557-_xlfn.MAXIFS('Relevés compteurs'!$D$5:$D$1504,'Relevés compteurs'!$B$5:$B$1504,B557,'Relevés compteurs'!$A$5:$A$1504,"&lt;"&amp;A557)))</f>
        <v/>
      </c>
    </row>
    <row r="558">
      <c r="A558" s="65" t="n"/>
      <c r="B558" s="7" t="n"/>
      <c r="C558" s="9">
        <f>IF(B558="","",IFERROR(INDEX('Équipements'!$B$5:$B$304,MATCH(B558,'Équipements'!$A$5:$A$304,0)),"Code inconnu"))</f>
        <v/>
      </c>
      <c r="D558" s="67" t="n"/>
      <c r="E558" s="7" t="n"/>
      <c r="F558" s="68">
        <f>IF(OR(B558="",A558=""),"",IF(COUNTIFS('Relevés compteurs'!$B$5:$B$1504,B558,'Relevés compteurs'!$A$5:$A$1504,"&lt;"&amp;A558)=0,"",D558-_xlfn.MAXIFS('Relevés compteurs'!$D$5:$D$1504,'Relevés compteurs'!$B$5:$B$1504,B558,'Relevés compteurs'!$A$5:$A$1504,"&lt;"&amp;A558)))</f>
        <v/>
      </c>
    </row>
    <row r="559">
      <c r="A559" s="65" t="n"/>
      <c r="B559" s="7" t="n"/>
      <c r="C559" s="9">
        <f>IF(B559="","",IFERROR(INDEX('Équipements'!$B$5:$B$304,MATCH(B559,'Équipements'!$A$5:$A$304,0)),"Code inconnu"))</f>
        <v/>
      </c>
      <c r="D559" s="67" t="n"/>
      <c r="E559" s="7" t="n"/>
      <c r="F559" s="68">
        <f>IF(OR(B559="",A559=""),"",IF(COUNTIFS('Relevés compteurs'!$B$5:$B$1504,B559,'Relevés compteurs'!$A$5:$A$1504,"&lt;"&amp;A559)=0,"",D559-_xlfn.MAXIFS('Relevés compteurs'!$D$5:$D$1504,'Relevés compteurs'!$B$5:$B$1504,B559,'Relevés compteurs'!$A$5:$A$1504,"&lt;"&amp;A559)))</f>
        <v/>
      </c>
    </row>
    <row r="560">
      <c r="A560" s="65" t="n"/>
      <c r="B560" s="7" t="n"/>
      <c r="C560" s="9">
        <f>IF(B560="","",IFERROR(INDEX('Équipements'!$B$5:$B$304,MATCH(B560,'Équipements'!$A$5:$A$304,0)),"Code inconnu"))</f>
        <v/>
      </c>
      <c r="D560" s="67" t="n"/>
      <c r="E560" s="7" t="n"/>
      <c r="F560" s="68">
        <f>IF(OR(B560="",A560=""),"",IF(COUNTIFS('Relevés compteurs'!$B$5:$B$1504,B560,'Relevés compteurs'!$A$5:$A$1504,"&lt;"&amp;A560)=0,"",D560-_xlfn.MAXIFS('Relevés compteurs'!$D$5:$D$1504,'Relevés compteurs'!$B$5:$B$1504,B560,'Relevés compteurs'!$A$5:$A$1504,"&lt;"&amp;A560)))</f>
        <v/>
      </c>
    </row>
    <row r="561">
      <c r="A561" s="65" t="n"/>
      <c r="B561" s="7" t="n"/>
      <c r="C561" s="9">
        <f>IF(B561="","",IFERROR(INDEX('Équipements'!$B$5:$B$304,MATCH(B561,'Équipements'!$A$5:$A$304,0)),"Code inconnu"))</f>
        <v/>
      </c>
      <c r="D561" s="67" t="n"/>
      <c r="E561" s="7" t="n"/>
      <c r="F561" s="68">
        <f>IF(OR(B561="",A561=""),"",IF(COUNTIFS('Relevés compteurs'!$B$5:$B$1504,B561,'Relevés compteurs'!$A$5:$A$1504,"&lt;"&amp;A561)=0,"",D561-_xlfn.MAXIFS('Relevés compteurs'!$D$5:$D$1504,'Relevés compteurs'!$B$5:$B$1504,B561,'Relevés compteurs'!$A$5:$A$1504,"&lt;"&amp;A561)))</f>
        <v/>
      </c>
    </row>
    <row r="562">
      <c r="A562" s="65" t="n"/>
      <c r="B562" s="7" t="n"/>
      <c r="C562" s="9">
        <f>IF(B562="","",IFERROR(INDEX('Équipements'!$B$5:$B$304,MATCH(B562,'Équipements'!$A$5:$A$304,0)),"Code inconnu"))</f>
        <v/>
      </c>
      <c r="D562" s="67" t="n"/>
      <c r="E562" s="7" t="n"/>
      <c r="F562" s="68">
        <f>IF(OR(B562="",A562=""),"",IF(COUNTIFS('Relevés compteurs'!$B$5:$B$1504,B562,'Relevés compteurs'!$A$5:$A$1504,"&lt;"&amp;A562)=0,"",D562-_xlfn.MAXIFS('Relevés compteurs'!$D$5:$D$1504,'Relevés compteurs'!$B$5:$B$1504,B562,'Relevés compteurs'!$A$5:$A$1504,"&lt;"&amp;A562)))</f>
        <v/>
      </c>
    </row>
    <row r="563">
      <c r="A563" s="65" t="n"/>
      <c r="B563" s="7" t="n"/>
      <c r="C563" s="9">
        <f>IF(B563="","",IFERROR(INDEX('Équipements'!$B$5:$B$304,MATCH(B563,'Équipements'!$A$5:$A$304,0)),"Code inconnu"))</f>
        <v/>
      </c>
      <c r="D563" s="67" t="n"/>
      <c r="E563" s="7" t="n"/>
      <c r="F563" s="68">
        <f>IF(OR(B563="",A563=""),"",IF(COUNTIFS('Relevés compteurs'!$B$5:$B$1504,B563,'Relevés compteurs'!$A$5:$A$1504,"&lt;"&amp;A563)=0,"",D563-_xlfn.MAXIFS('Relevés compteurs'!$D$5:$D$1504,'Relevés compteurs'!$B$5:$B$1504,B563,'Relevés compteurs'!$A$5:$A$1504,"&lt;"&amp;A563)))</f>
        <v/>
      </c>
    </row>
    <row r="564">
      <c r="A564" s="65" t="n"/>
      <c r="B564" s="7" t="n"/>
      <c r="C564" s="9">
        <f>IF(B564="","",IFERROR(INDEX('Équipements'!$B$5:$B$304,MATCH(B564,'Équipements'!$A$5:$A$304,0)),"Code inconnu"))</f>
        <v/>
      </c>
      <c r="D564" s="67" t="n"/>
      <c r="E564" s="7" t="n"/>
      <c r="F564" s="68">
        <f>IF(OR(B564="",A564=""),"",IF(COUNTIFS('Relevés compteurs'!$B$5:$B$1504,B564,'Relevés compteurs'!$A$5:$A$1504,"&lt;"&amp;A564)=0,"",D564-_xlfn.MAXIFS('Relevés compteurs'!$D$5:$D$1504,'Relevés compteurs'!$B$5:$B$1504,B564,'Relevés compteurs'!$A$5:$A$1504,"&lt;"&amp;A564)))</f>
        <v/>
      </c>
    </row>
    <row r="565">
      <c r="A565" s="65" t="n"/>
      <c r="B565" s="7" t="n"/>
      <c r="C565" s="9">
        <f>IF(B565="","",IFERROR(INDEX('Équipements'!$B$5:$B$304,MATCH(B565,'Équipements'!$A$5:$A$304,0)),"Code inconnu"))</f>
        <v/>
      </c>
      <c r="D565" s="67" t="n"/>
      <c r="E565" s="7" t="n"/>
      <c r="F565" s="68">
        <f>IF(OR(B565="",A565=""),"",IF(COUNTIFS('Relevés compteurs'!$B$5:$B$1504,B565,'Relevés compteurs'!$A$5:$A$1504,"&lt;"&amp;A565)=0,"",D565-_xlfn.MAXIFS('Relevés compteurs'!$D$5:$D$1504,'Relevés compteurs'!$B$5:$B$1504,B565,'Relevés compteurs'!$A$5:$A$1504,"&lt;"&amp;A565)))</f>
        <v/>
      </c>
    </row>
    <row r="566">
      <c r="A566" s="65" t="n"/>
      <c r="B566" s="7" t="n"/>
      <c r="C566" s="9">
        <f>IF(B566="","",IFERROR(INDEX('Équipements'!$B$5:$B$304,MATCH(B566,'Équipements'!$A$5:$A$304,0)),"Code inconnu"))</f>
        <v/>
      </c>
      <c r="D566" s="67" t="n"/>
      <c r="E566" s="7" t="n"/>
      <c r="F566" s="68">
        <f>IF(OR(B566="",A566=""),"",IF(COUNTIFS('Relevés compteurs'!$B$5:$B$1504,B566,'Relevés compteurs'!$A$5:$A$1504,"&lt;"&amp;A566)=0,"",D566-_xlfn.MAXIFS('Relevés compteurs'!$D$5:$D$1504,'Relevés compteurs'!$B$5:$B$1504,B566,'Relevés compteurs'!$A$5:$A$1504,"&lt;"&amp;A566)))</f>
        <v/>
      </c>
    </row>
    <row r="567">
      <c r="A567" s="65" t="n"/>
      <c r="B567" s="7" t="n"/>
      <c r="C567" s="9">
        <f>IF(B567="","",IFERROR(INDEX('Équipements'!$B$5:$B$304,MATCH(B567,'Équipements'!$A$5:$A$304,0)),"Code inconnu"))</f>
        <v/>
      </c>
      <c r="D567" s="67" t="n"/>
      <c r="E567" s="7" t="n"/>
      <c r="F567" s="68">
        <f>IF(OR(B567="",A567=""),"",IF(COUNTIFS('Relevés compteurs'!$B$5:$B$1504,B567,'Relevés compteurs'!$A$5:$A$1504,"&lt;"&amp;A567)=0,"",D567-_xlfn.MAXIFS('Relevés compteurs'!$D$5:$D$1504,'Relevés compteurs'!$B$5:$B$1504,B567,'Relevés compteurs'!$A$5:$A$1504,"&lt;"&amp;A567)))</f>
        <v/>
      </c>
    </row>
    <row r="568">
      <c r="A568" s="65" t="n"/>
      <c r="B568" s="7" t="n"/>
      <c r="C568" s="9">
        <f>IF(B568="","",IFERROR(INDEX('Équipements'!$B$5:$B$304,MATCH(B568,'Équipements'!$A$5:$A$304,0)),"Code inconnu"))</f>
        <v/>
      </c>
      <c r="D568" s="67" t="n"/>
      <c r="E568" s="7" t="n"/>
      <c r="F568" s="68">
        <f>IF(OR(B568="",A568=""),"",IF(COUNTIFS('Relevés compteurs'!$B$5:$B$1504,B568,'Relevés compteurs'!$A$5:$A$1504,"&lt;"&amp;A568)=0,"",D568-_xlfn.MAXIFS('Relevés compteurs'!$D$5:$D$1504,'Relevés compteurs'!$B$5:$B$1504,B568,'Relevés compteurs'!$A$5:$A$1504,"&lt;"&amp;A568)))</f>
        <v/>
      </c>
    </row>
    <row r="569">
      <c r="A569" s="65" t="n"/>
      <c r="B569" s="7" t="n"/>
      <c r="C569" s="9">
        <f>IF(B569="","",IFERROR(INDEX('Équipements'!$B$5:$B$304,MATCH(B569,'Équipements'!$A$5:$A$304,0)),"Code inconnu"))</f>
        <v/>
      </c>
      <c r="D569" s="67" t="n"/>
      <c r="E569" s="7" t="n"/>
      <c r="F569" s="68">
        <f>IF(OR(B569="",A569=""),"",IF(COUNTIFS('Relevés compteurs'!$B$5:$B$1504,B569,'Relevés compteurs'!$A$5:$A$1504,"&lt;"&amp;A569)=0,"",D569-_xlfn.MAXIFS('Relevés compteurs'!$D$5:$D$1504,'Relevés compteurs'!$B$5:$B$1504,B569,'Relevés compteurs'!$A$5:$A$1504,"&lt;"&amp;A569)))</f>
        <v/>
      </c>
    </row>
    <row r="570">
      <c r="A570" s="65" t="n"/>
      <c r="B570" s="7" t="n"/>
      <c r="C570" s="9">
        <f>IF(B570="","",IFERROR(INDEX('Équipements'!$B$5:$B$304,MATCH(B570,'Équipements'!$A$5:$A$304,0)),"Code inconnu"))</f>
        <v/>
      </c>
      <c r="D570" s="67" t="n"/>
      <c r="E570" s="7" t="n"/>
      <c r="F570" s="68">
        <f>IF(OR(B570="",A570=""),"",IF(COUNTIFS('Relevés compteurs'!$B$5:$B$1504,B570,'Relevés compteurs'!$A$5:$A$1504,"&lt;"&amp;A570)=0,"",D570-_xlfn.MAXIFS('Relevés compteurs'!$D$5:$D$1504,'Relevés compteurs'!$B$5:$B$1504,B570,'Relevés compteurs'!$A$5:$A$1504,"&lt;"&amp;A570)))</f>
        <v/>
      </c>
    </row>
    <row r="571">
      <c r="A571" s="65" t="n"/>
      <c r="B571" s="7" t="n"/>
      <c r="C571" s="9">
        <f>IF(B571="","",IFERROR(INDEX('Équipements'!$B$5:$B$304,MATCH(B571,'Équipements'!$A$5:$A$304,0)),"Code inconnu"))</f>
        <v/>
      </c>
      <c r="D571" s="67" t="n"/>
      <c r="E571" s="7" t="n"/>
      <c r="F571" s="68">
        <f>IF(OR(B571="",A571=""),"",IF(COUNTIFS('Relevés compteurs'!$B$5:$B$1504,B571,'Relevés compteurs'!$A$5:$A$1504,"&lt;"&amp;A571)=0,"",D571-_xlfn.MAXIFS('Relevés compteurs'!$D$5:$D$1504,'Relevés compteurs'!$B$5:$B$1504,B571,'Relevés compteurs'!$A$5:$A$1504,"&lt;"&amp;A571)))</f>
        <v/>
      </c>
    </row>
    <row r="572">
      <c r="A572" s="65" t="n"/>
      <c r="B572" s="7" t="n"/>
      <c r="C572" s="9">
        <f>IF(B572="","",IFERROR(INDEX('Équipements'!$B$5:$B$304,MATCH(B572,'Équipements'!$A$5:$A$304,0)),"Code inconnu"))</f>
        <v/>
      </c>
      <c r="D572" s="67" t="n"/>
      <c r="E572" s="7" t="n"/>
      <c r="F572" s="68">
        <f>IF(OR(B572="",A572=""),"",IF(COUNTIFS('Relevés compteurs'!$B$5:$B$1504,B572,'Relevés compteurs'!$A$5:$A$1504,"&lt;"&amp;A572)=0,"",D572-_xlfn.MAXIFS('Relevés compteurs'!$D$5:$D$1504,'Relevés compteurs'!$B$5:$B$1504,B572,'Relevés compteurs'!$A$5:$A$1504,"&lt;"&amp;A572)))</f>
        <v/>
      </c>
    </row>
    <row r="573">
      <c r="A573" s="65" t="n"/>
      <c r="B573" s="7" t="n"/>
      <c r="C573" s="9">
        <f>IF(B573="","",IFERROR(INDEX('Équipements'!$B$5:$B$304,MATCH(B573,'Équipements'!$A$5:$A$304,0)),"Code inconnu"))</f>
        <v/>
      </c>
      <c r="D573" s="67" t="n"/>
      <c r="E573" s="7" t="n"/>
      <c r="F573" s="68">
        <f>IF(OR(B573="",A573=""),"",IF(COUNTIFS('Relevés compteurs'!$B$5:$B$1504,B573,'Relevés compteurs'!$A$5:$A$1504,"&lt;"&amp;A573)=0,"",D573-_xlfn.MAXIFS('Relevés compteurs'!$D$5:$D$1504,'Relevés compteurs'!$B$5:$B$1504,B573,'Relevés compteurs'!$A$5:$A$1504,"&lt;"&amp;A573)))</f>
        <v/>
      </c>
    </row>
    <row r="574">
      <c r="A574" s="65" t="n"/>
      <c r="B574" s="7" t="n"/>
      <c r="C574" s="9">
        <f>IF(B574="","",IFERROR(INDEX('Équipements'!$B$5:$B$304,MATCH(B574,'Équipements'!$A$5:$A$304,0)),"Code inconnu"))</f>
        <v/>
      </c>
      <c r="D574" s="67" t="n"/>
      <c r="E574" s="7" t="n"/>
      <c r="F574" s="68">
        <f>IF(OR(B574="",A574=""),"",IF(COUNTIFS('Relevés compteurs'!$B$5:$B$1504,B574,'Relevés compteurs'!$A$5:$A$1504,"&lt;"&amp;A574)=0,"",D574-_xlfn.MAXIFS('Relevés compteurs'!$D$5:$D$1504,'Relevés compteurs'!$B$5:$B$1504,B574,'Relevés compteurs'!$A$5:$A$1504,"&lt;"&amp;A574)))</f>
        <v/>
      </c>
    </row>
    <row r="575">
      <c r="A575" s="65" t="n"/>
      <c r="B575" s="7" t="n"/>
      <c r="C575" s="9">
        <f>IF(B575="","",IFERROR(INDEX('Équipements'!$B$5:$B$304,MATCH(B575,'Équipements'!$A$5:$A$304,0)),"Code inconnu"))</f>
        <v/>
      </c>
      <c r="D575" s="67" t="n"/>
      <c r="E575" s="7" t="n"/>
      <c r="F575" s="68">
        <f>IF(OR(B575="",A575=""),"",IF(COUNTIFS('Relevés compteurs'!$B$5:$B$1504,B575,'Relevés compteurs'!$A$5:$A$1504,"&lt;"&amp;A575)=0,"",D575-_xlfn.MAXIFS('Relevés compteurs'!$D$5:$D$1504,'Relevés compteurs'!$B$5:$B$1504,B575,'Relevés compteurs'!$A$5:$A$1504,"&lt;"&amp;A575)))</f>
        <v/>
      </c>
    </row>
    <row r="576">
      <c r="A576" s="65" t="n"/>
      <c r="B576" s="7" t="n"/>
      <c r="C576" s="9">
        <f>IF(B576="","",IFERROR(INDEX('Équipements'!$B$5:$B$304,MATCH(B576,'Équipements'!$A$5:$A$304,0)),"Code inconnu"))</f>
        <v/>
      </c>
      <c r="D576" s="67" t="n"/>
      <c r="E576" s="7" t="n"/>
      <c r="F576" s="68">
        <f>IF(OR(B576="",A576=""),"",IF(COUNTIFS('Relevés compteurs'!$B$5:$B$1504,B576,'Relevés compteurs'!$A$5:$A$1504,"&lt;"&amp;A576)=0,"",D576-_xlfn.MAXIFS('Relevés compteurs'!$D$5:$D$1504,'Relevés compteurs'!$B$5:$B$1504,B576,'Relevés compteurs'!$A$5:$A$1504,"&lt;"&amp;A576)))</f>
        <v/>
      </c>
    </row>
    <row r="577">
      <c r="A577" s="65" t="n"/>
      <c r="B577" s="7" t="n"/>
      <c r="C577" s="9">
        <f>IF(B577="","",IFERROR(INDEX('Équipements'!$B$5:$B$304,MATCH(B577,'Équipements'!$A$5:$A$304,0)),"Code inconnu"))</f>
        <v/>
      </c>
      <c r="D577" s="67" t="n"/>
      <c r="E577" s="7" t="n"/>
      <c r="F577" s="68">
        <f>IF(OR(B577="",A577=""),"",IF(COUNTIFS('Relevés compteurs'!$B$5:$B$1504,B577,'Relevés compteurs'!$A$5:$A$1504,"&lt;"&amp;A577)=0,"",D577-_xlfn.MAXIFS('Relevés compteurs'!$D$5:$D$1504,'Relevés compteurs'!$B$5:$B$1504,B577,'Relevés compteurs'!$A$5:$A$1504,"&lt;"&amp;A577)))</f>
        <v/>
      </c>
    </row>
    <row r="578">
      <c r="A578" s="65" t="n"/>
      <c r="B578" s="7" t="n"/>
      <c r="C578" s="9">
        <f>IF(B578="","",IFERROR(INDEX('Équipements'!$B$5:$B$304,MATCH(B578,'Équipements'!$A$5:$A$304,0)),"Code inconnu"))</f>
        <v/>
      </c>
      <c r="D578" s="67" t="n"/>
      <c r="E578" s="7" t="n"/>
      <c r="F578" s="68">
        <f>IF(OR(B578="",A578=""),"",IF(COUNTIFS('Relevés compteurs'!$B$5:$B$1504,B578,'Relevés compteurs'!$A$5:$A$1504,"&lt;"&amp;A578)=0,"",D578-_xlfn.MAXIFS('Relevés compteurs'!$D$5:$D$1504,'Relevés compteurs'!$B$5:$B$1504,B578,'Relevés compteurs'!$A$5:$A$1504,"&lt;"&amp;A578)))</f>
        <v/>
      </c>
    </row>
    <row r="579">
      <c r="A579" s="65" t="n"/>
      <c r="B579" s="7" t="n"/>
      <c r="C579" s="9">
        <f>IF(B579="","",IFERROR(INDEX('Équipements'!$B$5:$B$304,MATCH(B579,'Équipements'!$A$5:$A$304,0)),"Code inconnu"))</f>
        <v/>
      </c>
      <c r="D579" s="67" t="n"/>
      <c r="E579" s="7" t="n"/>
      <c r="F579" s="68">
        <f>IF(OR(B579="",A579=""),"",IF(COUNTIFS('Relevés compteurs'!$B$5:$B$1504,B579,'Relevés compteurs'!$A$5:$A$1504,"&lt;"&amp;A579)=0,"",D579-_xlfn.MAXIFS('Relevés compteurs'!$D$5:$D$1504,'Relevés compteurs'!$B$5:$B$1504,B579,'Relevés compteurs'!$A$5:$A$1504,"&lt;"&amp;A579)))</f>
        <v/>
      </c>
    </row>
    <row r="580">
      <c r="A580" s="65" t="n"/>
      <c r="B580" s="7" t="n"/>
      <c r="C580" s="9">
        <f>IF(B580="","",IFERROR(INDEX('Équipements'!$B$5:$B$304,MATCH(B580,'Équipements'!$A$5:$A$304,0)),"Code inconnu"))</f>
        <v/>
      </c>
      <c r="D580" s="67" t="n"/>
      <c r="E580" s="7" t="n"/>
      <c r="F580" s="68">
        <f>IF(OR(B580="",A580=""),"",IF(COUNTIFS('Relevés compteurs'!$B$5:$B$1504,B580,'Relevés compteurs'!$A$5:$A$1504,"&lt;"&amp;A580)=0,"",D580-_xlfn.MAXIFS('Relevés compteurs'!$D$5:$D$1504,'Relevés compteurs'!$B$5:$B$1504,B580,'Relevés compteurs'!$A$5:$A$1504,"&lt;"&amp;A580)))</f>
        <v/>
      </c>
    </row>
    <row r="581">
      <c r="A581" s="65" t="n"/>
      <c r="B581" s="7" t="n"/>
      <c r="C581" s="9">
        <f>IF(B581="","",IFERROR(INDEX('Équipements'!$B$5:$B$304,MATCH(B581,'Équipements'!$A$5:$A$304,0)),"Code inconnu"))</f>
        <v/>
      </c>
      <c r="D581" s="67" t="n"/>
      <c r="E581" s="7" t="n"/>
      <c r="F581" s="68">
        <f>IF(OR(B581="",A581=""),"",IF(COUNTIFS('Relevés compteurs'!$B$5:$B$1504,B581,'Relevés compteurs'!$A$5:$A$1504,"&lt;"&amp;A581)=0,"",D581-_xlfn.MAXIFS('Relevés compteurs'!$D$5:$D$1504,'Relevés compteurs'!$B$5:$B$1504,B581,'Relevés compteurs'!$A$5:$A$1504,"&lt;"&amp;A581)))</f>
        <v/>
      </c>
    </row>
    <row r="582">
      <c r="A582" s="65" t="n"/>
      <c r="B582" s="7" t="n"/>
      <c r="C582" s="9">
        <f>IF(B582="","",IFERROR(INDEX('Équipements'!$B$5:$B$304,MATCH(B582,'Équipements'!$A$5:$A$304,0)),"Code inconnu"))</f>
        <v/>
      </c>
      <c r="D582" s="67" t="n"/>
      <c r="E582" s="7" t="n"/>
      <c r="F582" s="68">
        <f>IF(OR(B582="",A582=""),"",IF(COUNTIFS('Relevés compteurs'!$B$5:$B$1504,B582,'Relevés compteurs'!$A$5:$A$1504,"&lt;"&amp;A582)=0,"",D582-_xlfn.MAXIFS('Relevés compteurs'!$D$5:$D$1504,'Relevés compteurs'!$B$5:$B$1504,B582,'Relevés compteurs'!$A$5:$A$1504,"&lt;"&amp;A582)))</f>
        <v/>
      </c>
    </row>
    <row r="583">
      <c r="A583" s="65" t="n"/>
      <c r="B583" s="7" t="n"/>
      <c r="C583" s="9">
        <f>IF(B583="","",IFERROR(INDEX('Équipements'!$B$5:$B$304,MATCH(B583,'Équipements'!$A$5:$A$304,0)),"Code inconnu"))</f>
        <v/>
      </c>
      <c r="D583" s="67" t="n"/>
      <c r="E583" s="7" t="n"/>
      <c r="F583" s="68">
        <f>IF(OR(B583="",A583=""),"",IF(COUNTIFS('Relevés compteurs'!$B$5:$B$1504,B583,'Relevés compteurs'!$A$5:$A$1504,"&lt;"&amp;A583)=0,"",D583-_xlfn.MAXIFS('Relevés compteurs'!$D$5:$D$1504,'Relevés compteurs'!$B$5:$B$1504,B583,'Relevés compteurs'!$A$5:$A$1504,"&lt;"&amp;A583)))</f>
        <v/>
      </c>
    </row>
    <row r="584">
      <c r="A584" s="65" t="n"/>
      <c r="B584" s="7" t="n"/>
      <c r="C584" s="9">
        <f>IF(B584="","",IFERROR(INDEX('Équipements'!$B$5:$B$304,MATCH(B584,'Équipements'!$A$5:$A$304,0)),"Code inconnu"))</f>
        <v/>
      </c>
      <c r="D584" s="67" t="n"/>
      <c r="E584" s="7" t="n"/>
      <c r="F584" s="68">
        <f>IF(OR(B584="",A584=""),"",IF(COUNTIFS('Relevés compteurs'!$B$5:$B$1504,B584,'Relevés compteurs'!$A$5:$A$1504,"&lt;"&amp;A584)=0,"",D584-_xlfn.MAXIFS('Relevés compteurs'!$D$5:$D$1504,'Relevés compteurs'!$B$5:$B$1504,B584,'Relevés compteurs'!$A$5:$A$1504,"&lt;"&amp;A584)))</f>
        <v/>
      </c>
    </row>
    <row r="585">
      <c r="A585" s="65" t="n"/>
      <c r="B585" s="7" t="n"/>
      <c r="C585" s="9">
        <f>IF(B585="","",IFERROR(INDEX('Équipements'!$B$5:$B$304,MATCH(B585,'Équipements'!$A$5:$A$304,0)),"Code inconnu"))</f>
        <v/>
      </c>
      <c r="D585" s="67" t="n"/>
      <c r="E585" s="7" t="n"/>
      <c r="F585" s="68">
        <f>IF(OR(B585="",A585=""),"",IF(COUNTIFS('Relevés compteurs'!$B$5:$B$1504,B585,'Relevés compteurs'!$A$5:$A$1504,"&lt;"&amp;A585)=0,"",D585-_xlfn.MAXIFS('Relevés compteurs'!$D$5:$D$1504,'Relevés compteurs'!$B$5:$B$1504,B585,'Relevés compteurs'!$A$5:$A$1504,"&lt;"&amp;A585)))</f>
        <v/>
      </c>
    </row>
    <row r="586">
      <c r="A586" s="65" t="n"/>
      <c r="B586" s="7" t="n"/>
      <c r="C586" s="9">
        <f>IF(B586="","",IFERROR(INDEX('Équipements'!$B$5:$B$304,MATCH(B586,'Équipements'!$A$5:$A$304,0)),"Code inconnu"))</f>
        <v/>
      </c>
      <c r="D586" s="67" t="n"/>
      <c r="E586" s="7" t="n"/>
      <c r="F586" s="68">
        <f>IF(OR(B586="",A586=""),"",IF(COUNTIFS('Relevés compteurs'!$B$5:$B$1504,B586,'Relevés compteurs'!$A$5:$A$1504,"&lt;"&amp;A586)=0,"",D586-_xlfn.MAXIFS('Relevés compteurs'!$D$5:$D$1504,'Relevés compteurs'!$B$5:$B$1504,B586,'Relevés compteurs'!$A$5:$A$1504,"&lt;"&amp;A586)))</f>
        <v/>
      </c>
    </row>
    <row r="587">
      <c r="A587" s="65" t="n"/>
      <c r="B587" s="7" t="n"/>
      <c r="C587" s="9">
        <f>IF(B587="","",IFERROR(INDEX('Équipements'!$B$5:$B$304,MATCH(B587,'Équipements'!$A$5:$A$304,0)),"Code inconnu"))</f>
        <v/>
      </c>
      <c r="D587" s="67" t="n"/>
      <c r="E587" s="7" t="n"/>
      <c r="F587" s="68">
        <f>IF(OR(B587="",A587=""),"",IF(COUNTIFS('Relevés compteurs'!$B$5:$B$1504,B587,'Relevés compteurs'!$A$5:$A$1504,"&lt;"&amp;A587)=0,"",D587-_xlfn.MAXIFS('Relevés compteurs'!$D$5:$D$1504,'Relevés compteurs'!$B$5:$B$1504,B587,'Relevés compteurs'!$A$5:$A$1504,"&lt;"&amp;A587)))</f>
        <v/>
      </c>
    </row>
    <row r="588">
      <c r="A588" s="65" t="n"/>
      <c r="B588" s="7" t="n"/>
      <c r="C588" s="9">
        <f>IF(B588="","",IFERROR(INDEX('Équipements'!$B$5:$B$304,MATCH(B588,'Équipements'!$A$5:$A$304,0)),"Code inconnu"))</f>
        <v/>
      </c>
      <c r="D588" s="67" t="n"/>
      <c r="E588" s="7" t="n"/>
      <c r="F588" s="68">
        <f>IF(OR(B588="",A588=""),"",IF(COUNTIFS('Relevés compteurs'!$B$5:$B$1504,B588,'Relevés compteurs'!$A$5:$A$1504,"&lt;"&amp;A588)=0,"",D588-_xlfn.MAXIFS('Relevés compteurs'!$D$5:$D$1504,'Relevés compteurs'!$B$5:$B$1504,B588,'Relevés compteurs'!$A$5:$A$1504,"&lt;"&amp;A588)))</f>
        <v/>
      </c>
    </row>
    <row r="589">
      <c r="A589" s="65" t="n"/>
      <c r="B589" s="7" t="n"/>
      <c r="C589" s="9">
        <f>IF(B589="","",IFERROR(INDEX('Équipements'!$B$5:$B$304,MATCH(B589,'Équipements'!$A$5:$A$304,0)),"Code inconnu"))</f>
        <v/>
      </c>
      <c r="D589" s="67" t="n"/>
      <c r="E589" s="7" t="n"/>
      <c r="F589" s="68">
        <f>IF(OR(B589="",A589=""),"",IF(COUNTIFS('Relevés compteurs'!$B$5:$B$1504,B589,'Relevés compteurs'!$A$5:$A$1504,"&lt;"&amp;A589)=0,"",D589-_xlfn.MAXIFS('Relevés compteurs'!$D$5:$D$1504,'Relevés compteurs'!$B$5:$B$1504,B589,'Relevés compteurs'!$A$5:$A$1504,"&lt;"&amp;A589)))</f>
        <v/>
      </c>
    </row>
    <row r="590">
      <c r="A590" s="65" t="n"/>
      <c r="B590" s="7" t="n"/>
      <c r="C590" s="9">
        <f>IF(B590="","",IFERROR(INDEX('Équipements'!$B$5:$B$304,MATCH(B590,'Équipements'!$A$5:$A$304,0)),"Code inconnu"))</f>
        <v/>
      </c>
      <c r="D590" s="67" t="n"/>
      <c r="E590" s="7" t="n"/>
      <c r="F590" s="68">
        <f>IF(OR(B590="",A590=""),"",IF(COUNTIFS('Relevés compteurs'!$B$5:$B$1504,B590,'Relevés compteurs'!$A$5:$A$1504,"&lt;"&amp;A590)=0,"",D590-_xlfn.MAXIFS('Relevés compteurs'!$D$5:$D$1504,'Relevés compteurs'!$B$5:$B$1504,B590,'Relevés compteurs'!$A$5:$A$1504,"&lt;"&amp;A590)))</f>
        <v/>
      </c>
    </row>
    <row r="591">
      <c r="A591" s="65" t="n"/>
      <c r="B591" s="7" t="n"/>
      <c r="C591" s="9">
        <f>IF(B591="","",IFERROR(INDEX('Équipements'!$B$5:$B$304,MATCH(B591,'Équipements'!$A$5:$A$304,0)),"Code inconnu"))</f>
        <v/>
      </c>
      <c r="D591" s="67" t="n"/>
      <c r="E591" s="7" t="n"/>
      <c r="F591" s="68">
        <f>IF(OR(B591="",A591=""),"",IF(COUNTIFS('Relevés compteurs'!$B$5:$B$1504,B591,'Relevés compteurs'!$A$5:$A$1504,"&lt;"&amp;A591)=0,"",D591-_xlfn.MAXIFS('Relevés compteurs'!$D$5:$D$1504,'Relevés compteurs'!$B$5:$B$1504,B591,'Relevés compteurs'!$A$5:$A$1504,"&lt;"&amp;A591)))</f>
        <v/>
      </c>
    </row>
    <row r="592">
      <c r="A592" s="65" t="n"/>
      <c r="B592" s="7" t="n"/>
      <c r="C592" s="9">
        <f>IF(B592="","",IFERROR(INDEX('Équipements'!$B$5:$B$304,MATCH(B592,'Équipements'!$A$5:$A$304,0)),"Code inconnu"))</f>
        <v/>
      </c>
      <c r="D592" s="67" t="n"/>
      <c r="E592" s="7" t="n"/>
      <c r="F592" s="68">
        <f>IF(OR(B592="",A592=""),"",IF(COUNTIFS('Relevés compteurs'!$B$5:$B$1504,B592,'Relevés compteurs'!$A$5:$A$1504,"&lt;"&amp;A592)=0,"",D592-_xlfn.MAXIFS('Relevés compteurs'!$D$5:$D$1504,'Relevés compteurs'!$B$5:$B$1504,B592,'Relevés compteurs'!$A$5:$A$1504,"&lt;"&amp;A592)))</f>
        <v/>
      </c>
    </row>
    <row r="593">
      <c r="A593" s="65" t="n"/>
      <c r="B593" s="7" t="n"/>
      <c r="C593" s="9">
        <f>IF(B593="","",IFERROR(INDEX('Équipements'!$B$5:$B$304,MATCH(B593,'Équipements'!$A$5:$A$304,0)),"Code inconnu"))</f>
        <v/>
      </c>
      <c r="D593" s="67" t="n"/>
      <c r="E593" s="7" t="n"/>
      <c r="F593" s="68">
        <f>IF(OR(B593="",A593=""),"",IF(COUNTIFS('Relevés compteurs'!$B$5:$B$1504,B593,'Relevés compteurs'!$A$5:$A$1504,"&lt;"&amp;A593)=0,"",D593-_xlfn.MAXIFS('Relevés compteurs'!$D$5:$D$1504,'Relevés compteurs'!$B$5:$B$1504,B593,'Relevés compteurs'!$A$5:$A$1504,"&lt;"&amp;A593)))</f>
        <v/>
      </c>
    </row>
    <row r="594">
      <c r="A594" s="65" t="n"/>
      <c r="B594" s="7" t="n"/>
      <c r="C594" s="9">
        <f>IF(B594="","",IFERROR(INDEX('Équipements'!$B$5:$B$304,MATCH(B594,'Équipements'!$A$5:$A$304,0)),"Code inconnu"))</f>
        <v/>
      </c>
      <c r="D594" s="67" t="n"/>
      <c r="E594" s="7" t="n"/>
      <c r="F594" s="68">
        <f>IF(OR(B594="",A594=""),"",IF(COUNTIFS('Relevés compteurs'!$B$5:$B$1504,B594,'Relevés compteurs'!$A$5:$A$1504,"&lt;"&amp;A594)=0,"",D594-_xlfn.MAXIFS('Relevés compteurs'!$D$5:$D$1504,'Relevés compteurs'!$B$5:$B$1504,B594,'Relevés compteurs'!$A$5:$A$1504,"&lt;"&amp;A594)))</f>
        <v/>
      </c>
    </row>
    <row r="595">
      <c r="A595" s="65" t="n"/>
      <c r="B595" s="7" t="n"/>
      <c r="C595" s="9">
        <f>IF(B595="","",IFERROR(INDEX('Équipements'!$B$5:$B$304,MATCH(B595,'Équipements'!$A$5:$A$304,0)),"Code inconnu"))</f>
        <v/>
      </c>
      <c r="D595" s="67" t="n"/>
      <c r="E595" s="7" t="n"/>
      <c r="F595" s="68">
        <f>IF(OR(B595="",A595=""),"",IF(COUNTIFS('Relevés compteurs'!$B$5:$B$1504,B595,'Relevés compteurs'!$A$5:$A$1504,"&lt;"&amp;A595)=0,"",D595-_xlfn.MAXIFS('Relevés compteurs'!$D$5:$D$1504,'Relevés compteurs'!$B$5:$B$1504,B595,'Relevés compteurs'!$A$5:$A$1504,"&lt;"&amp;A595)))</f>
        <v/>
      </c>
    </row>
    <row r="596">
      <c r="A596" s="65" t="n"/>
      <c r="B596" s="7" t="n"/>
      <c r="C596" s="9">
        <f>IF(B596="","",IFERROR(INDEX('Équipements'!$B$5:$B$304,MATCH(B596,'Équipements'!$A$5:$A$304,0)),"Code inconnu"))</f>
        <v/>
      </c>
      <c r="D596" s="67" t="n"/>
      <c r="E596" s="7" t="n"/>
      <c r="F596" s="68">
        <f>IF(OR(B596="",A596=""),"",IF(COUNTIFS('Relevés compteurs'!$B$5:$B$1504,B596,'Relevés compteurs'!$A$5:$A$1504,"&lt;"&amp;A596)=0,"",D596-_xlfn.MAXIFS('Relevés compteurs'!$D$5:$D$1504,'Relevés compteurs'!$B$5:$B$1504,B596,'Relevés compteurs'!$A$5:$A$1504,"&lt;"&amp;A596)))</f>
        <v/>
      </c>
    </row>
    <row r="597">
      <c r="A597" s="65" t="n"/>
      <c r="B597" s="7" t="n"/>
      <c r="C597" s="9">
        <f>IF(B597="","",IFERROR(INDEX('Équipements'!$B$5:$B$304,MATCH(B597,'Équipements'!$A$5:$A$304,0)),"Code inconnu"))</f>
        <v/>
      </c>
      <c r="D597" s="67" t="n"/>
      <c r="E597" s="7" t="n"/>
      <c r="F597" s="68">
        <f>IF(OR(B597="",A597=""),"",IF(COUNTIFS('Relevés compteurs'!$B$5:$B$1504,B597,'Relevés compteurs'!$A$5:$A$1504,"&lt;"&amp;A597)=0,"",D597-_xlfn.MAXIFS('Relevés compteurs'!$D$5:$D$1504,'Relevés compteurs'!$B$5:$B$1504,B597,'Relevés compteurs'!$A$5:$A$1504,"&lt;"&amp;A597)))</f>
        <v/>
      </c>
    </row>
    <row r="598">
      <c r="A598" s="65" t="n"/>
      <c r="B598" s="7" t="n"/>
      <c r="C598" s="9">
        <f>IF(B598="","",IFERROR(INDEX('Équipements'!$B$5:$B$304,MATCH(B598,'Équipements'!$A$5:$A$304,0)),"Code inconnu"))</f>
        <v/>
      </c>
      <c r="D598" s="67" t="n"/>
      <c r="E598" s="7" t="n"/>
      <c r="F598" s="68">
        <f>IF(OR(B598="",A598=""),"",IF(COUNTIFS('Relevés compteurs'!$B$5:$B$1504,B598,'Relevés compteurs'!$A$5:$A$1504,"&lt;"&amp;A598)=0,"",D598-_xlfn.MAXIFS('Relevés compteurs'!$D$5:$D$1504,'Relevés compteurs'!$B$5:$B$1504,B598,'Relevés compteurs'!$A$5:$A$1504,"&lt;"&amp;A598)))</f>
        <v/>
      </c>
    </row>
    <row r="599">
      <c r="A599" s="65" t="n"/>
      <c r="B599" s="7" t="n"/>
      <c r="C599" s="9">
        <f>IF(B599="","",IFERROR(INDEX('Équipements'!$B$5:$B$304,MATCH(B599,'Équipements'!$A$5:$A$304,0)),"Code inconnu"))</f>
        <v/>
      </c>
      <c r="D599" s="67" t="n"/>
      <c r="E599" s="7" t="n"/>
      <c r="F599" s="68">
        <f>IF(OR(B599="",A599=""),"",IF(COUNTIFS('Relevés compteurs'!$B$5:$B$1504,B599,'Relevés compteurs'!$A$5:$A$1504,"&lt;"&amp;A599)=0,"",D599-_xlfn.MAXIFS('Relevés compteurs'!$D$5:$D$1504,'Relevés compteurs'!$B$5:$B$1504,B599,'Relevés compteurs'!$A$5:$A$1504,"&lt;"&amp;A599)))</f>
        <v/>
      </c>
    </row>
    <row r="600">
      <c r="A600" s="65" t="n"/>
      <c r="B600" s="7" t="n"/>
      <c r="C600" s="9">
        <f>IF(B600="","",IFERROR(INDEX('Équipements'!$B$5:$B$304,MATCH(B600,'Équipements'!$A$5:$A$304,0)),"Code inconnu"))</f>
        <v/>
      </c>
      <c r="D600" s="67" t="n"/>
      <c r="E600" s="7" t="n"/>
      <c r="F600" s="68">
        <f>IF(OR(B600="",A600=""),"",IF(COUNTIFS('Relevés compteurs'!$B$5:$B$1504,B600,'Relevés compteurs'!$A$5:$A$1504,"&lt;"&amp;A600)=0,"",D600-_xlfn.MAXIFS('Relevés compteurs'!$D$5:$D$1504,'Relevés compteurs'!$B$5:$B$1504,B600,'Relevés compteurs'!$A$5:$A$1504,"&lt;"&amp;A600)))</f>
        <v/>
      </c>
    </row>
    <row r="601">
      <c r="A601" s="65" t="n"/>
      <c r="B601" s="7" t="n"/>
      <c r="C601" s="9">
        <f>IF(B601="","",IFERROR(INDEX('Équipements'!$B$5:$B$304,MATCH(B601,'Équipements'!$A$5:$A$304,0)),"Code inconnu"))</f>
        <v/>
      </c>
      <c r="D601" s="67" t="n"/>
      <c r="E601" s="7" t="n"/>
      <c r="F601" s="68">
        <f>IF(OR(B601="",A601=""),"",IF(COUNTIFS('Relevés compteurs'!$B$5:$B$1504,B601,'Relevés compteurs'!$A$5:$A$1504,"&lt;"&amp;A601)=0,"",D601-_xlfn.MAXIFS('Relevés compteurs'!$D$5:$D$1504,'Relevés compteurs'!$B$5:$B$1504,B601,'Relevés compteurs'!$A$5:$A$1504,"&lt;"&amp;A601)))</f>
        <v/>
      </c>
    </row>
    <row r="602">
      <c r="A602" s="65" t="n"/>
      <c r="B602" s="7" t="n"/>
      <c r="C602" s="9">
        <f>IF(B602="","",IFERROR(INDEX('Équipements'!$B$5:$B$304,MATCH(B602,'Équipements'!$A$5:$A$304,0)),"Code inconnu"))</f>
        <v/>
      </c>
      <c r="D602" s="67" t="n"/>
      <c r="E602" s="7" t="n"/>
      <c r="F602" s="68">
        <f>IF(OR(B602="",A602=""),"",IF(COUNTIFS('Relevés compteurs'!$B$5:$B$1504,B602,'Relevés compteurs'!$A$5:$A$1504,"&lt;"&amp;A602)=0,"",D602-_xlfn.MAXIFS('Relevés compteurs'!$D$5:$D$1504,'Relevés compteurs'!$B$5:$B$1504,B602,'Relevés compteurs'!$A$5:$A$1504,"&lt;"&amp;A602)))</f>
        <v/>
      </c>
    </row>
    <row r="603">
      <c r="A603" s="65" t="n"/>
      <c r="B603" s="7" t="n"/>
      <c r="C603" s="9">
        <f>IF(B603="","",IFERROR(INDEX('Équipements'!$B$5:$B$304,MATCH(B603,'Équipements'!$A$5:$A$304,0)),"Code inconnu"))</f>
        <v/>
      </c>
      <c r="D603" s="67" t="n"/>
      <c r="E603" s="7" t="n"/>
      <c r="F603" s="68">
        <f>IF(OR(B603="",A603=""),"",IF(COUNTIFS('Relevés compteurs'!$B$5:$B$1504,B603,'Relevés compteurs'!$A$5:$A$1504,"&lt;"&amp;A603)=0,"",D603-_xlfn.MAXIFS('Relevés compteurs'!$D$5:$D$1504,'Relevés compteurs'!$B$5:$B$1504,B603,'Relevés compteurs'!$A$5:$A$1504,"&lt;"&amp;A603)))</f>
        <v/>
      </c>
    </row>
    <row r="604">
      <c r="A604" s="65" t="n"/>
      <c r="B604" s="7" t="n"/>
      <c r="C604" s="9">
        <f>IF(B604="","",IFERROR(INDEX('Équipements'!$B$5:$B$304,MATCH(B604,'Équipements'!$A$5:$A$304,0)),"Code inconnu"))</f>
        <v/>
      </c>
      <c r="D604" s="67" t="n"/>
      <c r="E604" s="7" t="n"/>
      <c r="F604" s="68">
        <f>IF(OR(B604="",A604=""),"",IF(COUNTIFS('Relevés compteurs'!$B$5:$B$1504,B604,'Relevés compteurs'!$A$5:$A$1504,"&lt;"&amp;A604)=0,"",D604-_xlfn.MAXIFS('Relevés compteurs'!$D$5:$D$1504,'Relevés compteurs'!$B$5:$B$1504,B604,'Relevés compteurs'!$A$5:$A$1504,"&lt;"&amp;A604)))</f>
        <v/>
      </c>
    </row>
    <row r="605">
      <c r="A605" s="65" t="n"/>
      <c r="B605" s="7" t="n"/>
      <c r="C605" s="9">
        <f>IF(B605="","",IFERROR(INDEX('Équipements'!$B$5:$B$304,MATCH(B605,'Équipements'!$A$5:$A$304,0)),"Code inconnu"))</f>
        <v/>
      </c>
      <c r="D605" s="67" t="n"/>
      <c r="E605" s="7" t="n"/>
      <c r="F605" s="68">
        <f>IF(OR(B605="",A605=""),"",IF(COUNTIFS('Relevés compteurs'!$B$5:$B$1504,B605,'Relevés compteurs'!$A$5:$A$1504,"&lt;"&amp;A605)=0,"",D605-_xlfn.MAXIFS('Relevés compteurs'!$D$5:$D$1504,'Relevés compteurs'!$B$5:$B$1504,B605,'Relevés compteurs'!$A$5:$A$1504,"&lt;"&amp;A605)))</f>
        <v/>
      </c>
    </row>
    <row r="606">
      <c r="A606" s="65" t="n"/>
      <c r="B606" s="7" t="n"/>
      <c r="C606" s="9">
        <f>IF(B606="","",IFERROR(INDEX('Équipements'!$B$5:$B$304,MATCH(B606,'Équipements'!$A$5:$A$304,0)),"Code inconnu"))</f>
        <v/>
      </c>
      <c r="D606" s="67" t="n"/>
      <c r="E606" s="7" t="n"/>
      <c r="F606" s="68">
        <f>IF(OR(B606="",A606=""),"",IF(COUNTIFS('Relevés compteurs'!$B$5:$B$1504,B606,'Relevés compteurs'!$A$5:$A$1504,"&lt;"&amp;A606)=0,"",D606-_xlfn.MAXIFS('Relevés compteurs'!$D$5:$D$1504,'Relevés compteurs'!$B$5:$B$1504,B606,'Relevés compteurs'!$A$5:$A$1504,"&lt;"&amp;A606)))</f>
        <v/>
      </c>
    </row>
    <row r="607">
      <c r="A607" s="65" t="n"/>
      <c r="B607" s="7" t="n"/>
      <c r="C607" s="9">
        <f>IF(B607="","",IFERROR(INDEX('Équipements'!$B$5:$B$304,MATCH(B607,'Équipements'!$A$5:$A$304,0)),"Code inconnu"))</f>
        <v/>
      </c>
      <c r="D607" s="67" t="n"/>
      <c r="E607" s="7" t="n"/>
      <c r="F607" s="68">
        <f>IF(OR(B607="",A607=""),"",IF(COUNTIFS('Relevés compteurs'!$B$5:$B$1504,B607,'Relevés compteurs'!$A$5:$A$1504,"&lt;"&amp;A607)=0,"",D607-_xlfn.MAXIFS('Relevés compteurs'!$D$5:$D$1504,'Relevés compteurs'!$B$5:$B$1504,B607,'Relevés compteurs'!$A$5:$A$1504,"&lt;"&amp;A607)))</f>
        <v/>
      </c>
    </row>
    <row r="608">
      <c r="A608" s="65" t="n"/>
      <c r="B608" s="7" t="n"/>
      <c r="C608" s="9">
        <f>IF(B608="","",IFERROR(INDEX('Équipements'!$B$5:$B$304,MATCH(B608,'Équipements'!$A$5:$A$304,0)),"Code inconnu"))</f>
        <v/>
      </c>
      <c r="D608" s="67" t="n"/>
      <c r="E608" s="7" t="n"/>
      <c r="F608" s="68">
        <f>IF(OR(B608="",A608=""),"",IF(COUNTIFS('Relevés compteurs'!$B$5:$B$1504,B608,'Relevés compteurs'!$A$5:$A$1504,"&lt;"&amp;A608)=0,"",D608-_xlfn.MAXIFS('Relevés compteurs'!$D$5:$D$1504,'Relevés compteurs'!$B$5:$B$1504,B608,'Relevés compteurs'!$A$5:$A$1504,"&lt;"&amp;A608)))</f>
        <v/>
      </c>
    </row>
    <row r="609">
      <c r="A609" s="65" t="n"/>
      <c r="B609" s="7" t="n"/>
      <c r="C609" s="9">
        <f>IF(B609="","",IFERROR(INDEX('Équipements'!$B$5:$B$304,MATCH(B609,'Équipements'!$A$5:$A$304,0)),"Code inconnu"))</f>
        <v/>
      </c>
      <c r="D609" s="67" t="n"/>
      <c r="E609" s="7" t="n"/>
      <c r="F609" s="68">
        <f>IF(OR(B609="",A609=""),"",IF(COUNTIFS('Relevés compteurs'!$B$5:$B$1504,B609,'Relevés compteurs'!$A$5:$A$1504,"&lt;"&amp;A609)=0,"",D609-_xlfn.MAXIFS('Relevés compteurs'!$D$5:$D$1504,'Relevés compteurs'!$B$5:$B$1504,B609,'Relevés compteurs'!$A$5:$A$1504,"&lt;"&amp;A609)))</f>
        <v/>
      </c>
    </row>
    <row r="610">
      <c r="A610" s="65" t="n"/>
      <c r="B610" s="7" t="n"/>
      <c r="C610" s="9">
        <f>IF(B610="","",IFERROR(INDEX('Équipements'!$B$5:$B$304,MATCH(B610,'Équipements'!$A$5:$A$304,0)),"Code inconnu"))</f>
        <v/>
      </c>
      <c r="D610" s="67" t="n"/>
      <c r="E610" s="7" t="n"/>
      <c r="F610" s="68">
        <f>IF(OR(B610="",A610=""),"",IF(COUNTIFS('Relevés compteurs'!$B$5:$B$1504,B610,'Relevés compteurs'!$A$5:$A$1504,"&lt;"&amp;A610)=0,"",D610-_xlfn.MAXIFS('Relevés compteurs'!$D$5:$D$1504,'Relevés compteurs'!$B$5:$B$1504,B610,'Relevés compteurs'!$A$5:$A$1504,"&lt;"&amp;A610)))</f>
        <v/>
      </c>
    </row>
    <row r="611">
      <c r="A611" s="65" t="n"/>
      <c r="B611" s="7" t="n"/>
      <c r="C611" s="9">
        <f>IF(B611="","",IFERROR(INDEX('Équipements'!$B$5:$B$304,MATCH(B611,'Équipements'!$A$5:$A$304,0)),"Code inconnu"))</f>
        <v/>
      </c>
      <c r="D611" s="67" t="n"/>
      <c r="E611" s="7" t="n"/>
      <c r="F611" s="68">
        <f>IF(OR(B611="",A611=""),"",IF(COUNTIFS('Relevés compteurs'!$B$5:$B$1504,B611,'Relevés compteurs'!$A$5:$A$1504,"&lt;"&amp;A611)=0,"",D611-_xlfn.MAXIFS('Relevés compteurs'!$D$5:$D$1504,'Relevés compteurs'!$B$5:$B$1504,B611,'Relevés compteurs'!$A$5:$A$1504,"&lt;"&amp;A611)))</f>
        <v/>
      </c>
    </row>
    <row r="612">
      <c r="A612" s="65" t="n"/>
      <c r="B612" s="7" t="n"/>
      <c r="C612" s="9">
        <f>IF(B612="","",IFERROR(INDEX('Équipements'!$B$5:$B$304,MATCH(B612,'Équipements'!$A$5:$A$304,0)),"Code inconnu"))</f>
        <v/>
      </c>
      <c r="D612" s="67" t="n"/>
      <c r="E612" s="7" t="n"/>
      <c r="F612" s="68">
        <f>IF(OR(B612="",A612=""),"",IF(COUNTIFS('Relevés compteurs'!$B$5:$B$1504,B612,'Relevés compteurs'!$A$5:$A$1504,"&lt;"&amp;A612)=0,"",D612-_xlfn.MAXIFS('Relevés compteurs'!$D$5:$D$1504,'Relevés compteurs'!$B$5:$B$1504,B612,'Relevés compteurs'!$A$5:$A$1504,"&lt;"&amp;A612)))</f>
        <v/>
      </c>
    </row>
    <row r="613">
      <c r="A613" s="65" t="n"/>
      <c r="B613" s="7" t="n"/>
      <c r="C613" s="9">
        <f>IF(B613="","",IFERROR(INDEX('Équipements'!$B$5:$B$304,MATCH(B613,'Équipements'!$A$5:$A$304,0)),"Code inconnu"))</f>
        <v/>
      </c>
      <c r="D613" s="67" t="n"/>
      <c r="E613" s="7" t="n"/>
      <c r="F613" s="68">
        <f>IF(OR(B613="",A613=""),"",IF(COUNTIFS('Relevés compteurs'!$B$5:$B$1504,B613,'Relevés compteurs'!$A$5:$A$1504,"&lt;"&amp;A613)=0,"",D613-_xlfn.MAXIFS('Relevés compteurs'!$D$5:$D$1504,'Relevés compteurs'!$B$5:$B$1504,B613,'Relevés compteurs'!$A$5:$A$1504,"&lt;"&amp;A613)))</f>
        <v/>
      </c>
    </row>
    <row r="614">
      <c r="A614" s="65" t="n"/>
      <c r="B614" s="7" t="n"/>
      <c r="C614" s="9">
        <f>IF(B614="","",IFERROR(INDEX('Équipements'!$B$5:$B$304,MATCH(B614,'Équipements'!$A$5:$A$304,0)),"Code inconnu"))</f>
        <v/>
      </c>
      <c r="D614" s="67" t="n"/>
      <c r="E614" s="7" t="n"/>
      <c r="F614" s="68">
        <f>IF(OR(B614="",A614=""),"",IF(COUNTIFS('Relevés compteurs'!$B$5:$B$1504,B614,'Relevés compteurs'!$A$5:$A$1504,"&lt;"&amp;A614)=0,"",D614-_xlfn.MAXIFS('Relevés compteurs'!$D$5:$D$1504,'Relevés compteurs'!$B$5:$B$1504,B614,'Relevés compteurs'!$A$5:$A$1504,"&lt;"&amp;A614)))</f>
        <v/>
      </c>
    </row>
    <row r="615">
      <c r="A615" s="65" t="n"/>
      <c r="B615" s="7" t="n"/>
      <c r="C615" s="9">
        <f>IF(B615="","",IFERROR(INDEX('Équipements'!$B$5:$B$304,MATCH(B615,'Équipements'!$A$5:$A$304,0)),"Code inconnu"))</f>
        <v/>
      </c>
      <c r="D615" s="67" t="n"/>
      <c r="E615" s="7" t="n"/>
      <c r="F615" s="68">
        <f>IF(OR(B615="",A615=""),"",IF(COUNTIFS('Relevés compteurs'!$B$5:$B$1504,B615,'Relevés compteurs'!$A$5:$A$1504,"&lt;"&amp;A615)=0,"",D615-_xlfn.MAXIFS('Relevés compteurs'!$D$5:$D$1504,'Relevés compteurs'!$B$5:$B$1504,B615,'Relevés compteurs'!$A$5:$A$1504,"&lt;"&amp;A615)))</f>
        <v/>
      </c>
    </row>
    <row r="616">
      <c r="A616" s="65" t="n"/>
      <c r="B616" s="7" t="n"/>
      <c r="C616" s="9">
        <f>IF(B616="","",IFERROR(INDEX('Équipements'!$B$5:$B$304,MATCH(B616,'Équipements'!$A$5:$A$304,0)),"Code inconnu"))</f>
        <v/>
      </c>
      <c r="D616" s="67" t="n"/>
      <c r="E616" s="7" t="n"/>
      <c r="F616" s="68">
        <f>IF(OR(B616="",A616=""),"",IF(COUNTIFS('Relevés compteurs'!$B$5:$B$1504,B616,'Relevés compteurs'!$A$5:$A$1504,"&lt;"&amp;A616)=0,"",D616-_xlfn.MAXIFS('Relevés compteurs'!$D$5:$D$1504,'Relevés compteurs'!$B$5:$B$1504,B616,'Relevés compteurs'!$A$5:$A$1504,"&lt;"&amp;A616)))</f>
        <v/>
      </c>
    </row>
    <row r="617">
      <c r="A617" s="65" t="n"/>
      <c r="B617" s="7" t="n"/>
      <c r="C617" s="9">
        <f>IF(B617="","",IFERROR(INDEX('Équipements'!$B$5:$B$304,MATCH(B617,'Équipements'!$A$5:$A$304,0)),"Code inconnu"))</f>
        <v/>
      </c>
      <c r="D617" s="67" t="n"/>
      <c r="E617" s="7" t="n"/>
      <c r="F617" s="68">
        <f>IF(OR(B617="",A617=""),"",IF(COUNTIFS('Relevés compteurs'!$B$5:$B$1504,B617,'Relevés compteurs'!$A$5:$A$1504,"&lt;"&amp;A617)=0,"",D617-_xlfn.MAXIFS('Relevés compteurs'!$D$5:$D$1504,'Relevés compteurs'!$B$5:$B$1504,B617,'Relevés compteurs'!$A$5:$A$1504,"&lt;"&amp;A617)))</f>
        <v/>
      </c>
    </row>
    <row r="618">
      <c r="A618" s="65" t="n"/>
      <c r="B618" s="7" t="n"/>
      <c r="C618" s="9">
        <f>IF(B618="","",IFERROR(INDEX('Équipements'!$B$5:$B$304,MATCH(B618,'Équipements'!$A$5:$A$304,0)),"Code inconnu"))</f>
        <v/>
      </c>
      <c r="D618" s="67" t="n"/>
      <c r="E618" s="7" t="n"/>
      <c r="F618" s="68">
        <f>IF(OR(B618="",A618=""),"",IF(COUNTIFS('Relevés compteurs'!$B$5:$B$1504,B618,'Relevés compteurs'!$A$5:$A$1504,"&lt;"&amp;A618)=0,"",D618-_xlfn.MAXIFS('Relevés compteurs'!$D$5:$D$1504,'Relevés compteurs'!$B$5:$B$1504,B618,'Relevés compteurs'!$A$5:$A$1504,"&lt;"&amp;A618)))</f>
        <v/>
      </c>
    </row>
    <row r="619">
      <c r="A619" s="65" t="n"/>
      <c r="B619" s="7" t="n"/>
      <c r="C619" s="9">
        <f>IF(B619="","",IFERROR(INDEX('Équipements'!$B$5:$B$304,MATCH(B619,'Équipements'!$A$5:$A$304,0)),"Code inconnu"))</f>
        <v/>
      </c>
      <c r="D619" s="67" t="n"/>
      <c r="E619" s="7" t="n"/>
      <c r="F619" s="68">
        <f>IF(OR(B619="",A619=""),"",IF(COUNTIFS('Relevés compteurs'!$B$5:$B$1504,B619,'Relevés compteurs'!$A$5:$A$1504,"&lt;"&amp;A619)=0,"",D619-_xlfn.MAXIFS('Relevés compteurs'!$D$5:$D$1504,'Relevés compteurs'!$B$5:$B$1504,B619,'Relevés compteurs'!$A$5:$A$1504,"&lt;"&amp;A619)))</f>
        <v/>
      </c>
    </row>
    <row r="620">
      <c r="A620" s="65" t="n"/>
      <c r="B620" s="7" t="n"/>
      <c r="C620" s="9">
        <f>IF(B620="","",IFERROR(INDEX('Équipements'!$B$5:$B$304,MATCH(B620,'Équipements'!$A$5:$A$304,0)),"Code inconnu"))</f>
        <v/>
      </c>
      <c r="D620" s="67" t="n"/>
      <c r="E620" s="7" t="n"/>
      <c r="F620" s="68">
        <f>IF(OR(B620="",A620=""),"",IF(COUNTIFS('Relevés compteurs'!$B$5:$B$1504,B620,'Relevés compteurs'!$A$5:$A$1504,"&lt;"&amp;A620)=0,"",D620-_xlfn.MAXIFS('Relevés compteurs'!$D$5:$D$1504,'Relevés compteurs'!$B$5:$B$1504,B620,'Relevés compteurs'!$A$5:$A$1504,"&lt;"&amp;A620)))</f>
        <v/>
      </c>
    </row>
    <row r="621">
      <c r="A621" s="65" t="n"/>
      <c r="B621" s="7" t="n"/>
      <c r="C621" s="9">
        <f>IF(B621="","",IFERROR(INDEX('Équipements'!$B$5:$B$304,MATCH(B621,'Équipements'!$A$5:$A$304,0)),"Code inconnu"))</f>
        <v/>
      </c>
      <c r="D621" s="67" t="n"/>
      <c r="E621" s="7" t="n"/>
      <c r="F621" s="68">
        <f>IF(OR(B621="",A621=""),"",IF(COUNTIFS('Relevés compteurs'!$B$5:$B$1504,B621,'Relevés compteurs'!$A$5:$A$1504,"&lt;"&amp;A621)=0,"",D621-_xlfn.MAXIFS('Relevés compteurs'!$D$5:$D$1504,'Relevés compteurs'!$B$5:$B$1504,B621,'Relevés compteurs'!$A$5:$A$1504,"&lt;"&amp;A621)))</f>
        <v/>
      </c>
    </row>
    <row r="622">
      <c r="A622" s="65" t="n"/>
      <c r="B622" s="7" t="n"/>
      <c r="C622" s="9">
        <f>IF(B622="","",IFERROR(INDEX('Équipements'!$B$5:$B$304,MATCH(B622,'Équipements'!$A$5:$A$304,0)),"Code inconnu"))</f>
        <v/>
      </c>
      <c r="D622" s="67" t="n"/>
      <c r="E622" s="7" t="n"/>
      <c r="F622" s="68">
        <f>IF(OR(B622="",A622=""),"",IF(COUNTIFS('Relevés compteurs'!$B$5:$B$1504,B622,'Relevés compteurs'!$A$5:$A$1504,"&lt;"&amp;A622)=0,"",D622-_xlfn.MAXIFS('Relevés compteurs'!$D$5:$D$1504,'Relevés compteurs'!$B$5:$B$1504,B622,'Relevés compteurs'!$A$5:$A$1504,"&lt;"&amp;A622)))</f>
        <v/>
      </c>
    </row>
    <row r="623">
      <c r="A623" s="65" t="n"/>
      <c r="B623" s="7" t="n"/>
      <c r="C623" s="9">
        <f>IF(B623="","",IFERROR(INDEX('Équipements'!$B$5:$B$304,MATCH(B623,'Équipements'!$A$5:$A$304,0)),"Code inconnu"))</f>
        <v/>
      </c>
      <c r="D623" s="67" t="n"/>
      <c r="E623" s="7" t="n"/>
      <c r="F623" s="68">
        <f>IF(OR(B623="",A623=""),"",IF(COUNTIFS('Relevés compteurs'!$B$5:$B$1504,B623,'Relevés compteurs'!$A$5:$A$1504,"&lt;"&amp;A623)=0,"",D623-_xlfn.MAXIFS('Relevés compteurs'!$D$5:$D$1504,'Relevés compteurs'!$B$5:$B$1504,B623,'Relevés compteurs'!$A$5:$A$1504,"&lt;"&amp;A623)))</f>
        <v/>
      </c>
    </row>
    <row r="624">
      <c r="A624" s="65" t="n"/>
      <c r="B624" s="7" t="n"/>
      <c r="C624" s="9">
        <f>IF(B624="","",IFERROR(INDEX('Équipements'!$B$5:$B$304,MATCH(B624,'Équipements'!$A$5:$A$304,0)),"Code inconnu"))</f>
        <v/>
      </c>
      <c r="D624" s="67" t="n"/>
      <c r="E624" s="7" t="n"/>
      <c r="F624" s="68">
        <f>IF(OR(B624="",A624=""),"",IF(COUNTIFS('Relevés compteurs'!$B$5:$B$1504,B624,'Relevés compteurs'!$A$5:$A$1504,"&lt;"&amp;A624)=0,"",D624-_xlfn.MAXIFS('Relevés compteurs'!$D$5:$D$1504,'Relevés compteurs'!$B$5:$B$1504,B624,'Relevés compteurs'!$A$5:$A$1504,"&lt;"&amp;A624)))</f>
        <v/>
      </c>
    </row>
    <row r="625">
      <c r="A625" s="65" t="n"/>
      <c r="B625" s="7" t="n"/>
      <c r="C625" s="9">
        <f>IF(B625="","",IFERROR(INDEX('Équipements'!$B$5:$B$304,MATCH(B625,'Équipements'!$A$5:$A$304,0)),"Code inconnu"))</f>
        <v/>
      </c>
      <c r="D625" s="67" t="n"/>
      <c r="E625" s="7" t="n"/>
      <c r="F625" s="68">
        <f>IF(OR(B625="",A625=""),"",IF(COUNTIFS('Relevés compteurs'!$B$5:$B$1504,B625,'Relevés compteurs'!$A$5:$A$1504,"&lt;"&amp;A625)=0,"",D625-_xlfn.MAXIFS('Relevés compteurs'!$D$5:$D$1504,'Relevés compteurs'!$B$5:$B$1504,B625,'Relevés compteurs'!$A$5:$A$1504,"&lt;"&amp;A625)))</f>
        <v/>
      </c>
    </row>
    <row r="626">
      <c r="A626" s="65" t="n"/>
      <c r="B626" s="7" t="n"/>
      <c r="C626" s="9">
        <f>IF(B626="","",IFERROR(INDEX('Équipements'!$B$5:$B$304,MATCH(B626,'Équipements'!$A$5:$A$304,0)),"Code inconnu"))</f>
        <v/>
      </c>
      <c r="D626" s="67" t="n"/>
      <c r="E626" s="7" t="n"/>
      <c r="F626" s="68">
        <f>IF(OR(B626="",A626=""),"",IF(COUNTIFS('Relevés compteurs'!$B$5:$B$1504,B626,'Relevés compteurs'!$A$5:$A$1504,"&lt;"&amp;A626)=0,"",D626-_xlfn.MAXIFS('Relevés compteurs'!$D$5:$D$1504,'Relevés compteurs'!$B$5:$B$1504,B626,'Relevés compteurs'!$A$5:$A$1504,"&lt;"&amp;A626)))</f>
        <v/>
      </c>
    </row>
    <row r="627">
      <c r="A627" s="65" t="n"/>
      <c r="B627" s="7" t="n"/>
      <c r="C627" s="9">
        <f>IF(B627="","",IFERROR(INDEX('Équipements'!$B$5:$B$304,MATCH(B627,'Équipements'!$A$5:$A$304,0)),"Code inconnu"))</f>
        <v/>
      </c>
      <c r="D627" s="67" t="n"/>
      <c r="E627" s="7" t="n"/>
      <c r="F627" s="68">
        <f>IF(OR(B627="",A627=""),"",IF(COUNTIFS('Relevés compteurs'!$B$5:$B$1504,B627,'Relevés compteurs'!$A$5:$A$1504,"&lt;"&amp;A627)=0,"",D627-_xlfn.MAXIFS('Relevés compteurs'!$D$5:$D$1504,'Relevés compteurs'!$B$5:$B$1504,B627,'Relevés compteurs'!$A$5:$A$1504,"&lt;"&amp;A627)))</f>
        <v/>
      </c>
    </row>
    <row r="628">
      <c r="A628" s="65" t="n"/>
      <c r="B628" s="7" t="n"/>
      <c r="C628" s="9">
        <f>IF(B628="","",IFERROR(INDEX('Équipements'!$B$5:$B$304,MATCH(B628,'Équipements'!$A$5:$A$304,0)),"Code inconnu"))</f>
        <v/>
      </c>
      <c r="D628" s="67" t="n"/>
      <c r="E628" s="7" t="n"/>
      <c r="F628" s="68">
        <f>IF(OR(B628="",A628=""),"",IF(COUNTIFS('Relevés compteurs'!$B$5:$B$1504,B628,'Relevés compteurs'!$A$5:$A$1504,"&lt;"&amp;A628)=0,"",D628-_xlfn.MAXIFS('Relevés compteurs'!$D$5:$D$1504,'Relevés compteurs'!$B$5:$B$1504,B628,'Relevés compteurs'!$A$5:$A$1504,"&lt;"&amp;A628)))</f>
        <v/>
      </c>
    </row>
    <row r="629">
      <c r="A629" s="65" t="n"/>
      <c r="B629" s="7" t="n"/>
      <c r="C629" s="9">
        <f>IF(B629="","",IFERROR(INDEX('Équipements'!$B$5:$B$304,MATCH(B629,'Équipements'!$A$5:$A$304,0)),"Code inconnu"))</f>
        <v/>
      </c>
      <c r="D629" s="67" t="n"/>
      <c r="E629" s="7" t="n"/>
      <c r="F629" s="68">
        <f>IF(OR(B629="",A629=""),"",IF(COUNTIFS('Relevés compteurs'!$B$5:$B$1504,B629,'Relevés compteurs'!$A$5:$A$1504,"&lt;"&amp;A629)=0,"",D629-_xlfn.MAXIFS('Relevés compteurs'!$D$5:$D$1504,'Relevés compteurs'!$B$5:$B$1504,B629,'Relevés compteurs'!$A$5:$A$1504,"&lt;"&amp;A629)))</f>
        <v/>
      </c>
    </row>
    <row r="630">
      <c r="A630" s="65" t="n"/>
      <c r="B630" s="7" t="n"/>
      <c r="C630" s="9">
        <f>IF(B630="","",IFERROR(INDEX('Équipements'!$B$5:$B$304,MATCH(B630,'Équipements'!$A$5:$A$304,0)),"Code inconnu"))</f>
        <v/>
      </c>
      <c r="D630" s="67" t="n"/>
      <c r="E630" s="7" t="n"/>
      <c r="F630" s="68">
        <f>IF(OR(B630="",A630=""),"",IF(COUNTIFS('Relevés compteurs'!$B$5:$B$1504,B630,'Relevés compteurs'!$A$5:$A$1504,"&lt;"&amp;A630)=0,"",D630-_xlfn.MAXIFS('Relevés compteurs'!$D$5:$D$1504,'Relevés compteurs'!$B$5:$B$1504,B630,'Relevés compteurs'!$A$5:$A$1504,"&lt;"&amp;A630)))</f>
        <v/>
      </c>
    </row>
    <row r="631">
      <c r="A631" s="65" t="n"/>
      <c r="B631" s="7" t="n"/>
      <c r="C631" s="9">
        <f>IF(B631="","",IFERROR(INDEX('Équipements'!$B$5:$B$304,MATCH(B631,'Équipements'!$A$5:$A$304,0)),"Code inconnu"))</f>
        <v/>
      </c>
      <c r="D631" s="67" t="n"/>
      <c r="E631" s="7" t="n"/>
      <c r="F631" s="68">
        <f>IF(OR(B631="",A631=""),"",IF(COUNTIFS('Relevés compteurs'!$B$5:$B$1504,B631,'Relevés compteurs'!$A$5:$A$1504,"&lt;"&amp;A631)=0,"",D631-_xlfn.MAXIFS('Relevés compteurs'!$D$5:$D$1504,'Relevés compteurs'!$B$5:$B$1504,B631,'Relevés compteurs'!$A$5:$A$1504,"&lt;"&amp;A631)))</f>
        <v/>
      </c>
    </row>
    <row r="632">
      <c r="A632" s="65" t="n"/>
      <c r="B632" s="7" t="n"/>
      <c r="C632" s="9">
        <f>IF(B632="","",IFERROR(INDEX('Équipements'!$B$5:$B$304,MATCH(B632,'Équipements'!$A$5:$A$304,0)),"Code inconnu"))</f>
        <v/>
      </c>
      <c r="D632" s="67" t="n"/>
      <c r="E632" s="7" t="n"/>
      <c r="F632" s="68">
        <f>IF(OR(B632="",A632=""),"",IF(COUNTIFS('Relevés compteurs'!$B$5:$B$1504,B632,'Relevés compteurs'!$A$5:$A$1504,"&lt;"&amp;A632)=0,"",D632-_xlfn.MAXIFS('Relevés compteurs'!$D$5:$D$1504,'Relevés compteurs'!$B$5:$B$1504,B632,'Relevés compteurs'!$A$5:$A$1504,"&lt;"&amp;A632)))</f>
        <v/>
      </c>
    </row>
    <row r="633">
      <c r="A633" s="65" t="n"/>
      <c r="B633" s="7" t="n"/>
      <c r="C633" s="9">
        <f>IF(B633="","",IFERROR(INDEX('Équipements'!$B$5:$B$304,MATCH(B633,'Équipements'!$A$5:$A$304,0)),"Code inconnu"))</f>
        <v/>
      </c>
      <c r="D633" s="67" t="n"/>
      <c r="E633" s="7" t="n"/>
      <c r="F633" s="68">
        <f>IF(OR(B633="",A633=""),"",IF(COUNTIFS('Relevés compteurs'!$B$5:$B$1504,B633,'Relevés compteurs'!$A$5:$A$1504,"&lt;"&amp;A633)=0,"",D633-_xlfn.MAXIFS('Relevés compteurs'!$D$5:$D$1504,'Relevés compteurs'!$B$5:$B$1504,B633,'Relevés compteurs'!$A$5:$A$1504,"&lt;"&amp;A633)))</f>
        <v/>
      </c>
    </row>
    <row r="634">
      <c r="A634" s="65" t="n"/>
      <c r="B634" s="7" t="n"/>
      <c r="C634" s="9">
        <f>IF(B634="","",IFERROR(INDEX('Équipements'!$B$5:$B$304,MATCH(B634,'Équipements'!$A$5:$A$304,0)),"Code inconnu"))</f>
        <v/>
      </c>
      <c r="D634" s="67" t="n"/>
      <c r="E634" s="7" t="n"/>
      <c r="F634" s="68">
        <f>IF(OR(B634="",A634=""),"",IF(COUNTIFS('Relevés compteurs'!$B$5:$B$1504,B634,'Relevés compteurs'!$A$5:$A$1504,"&lt;"&amp;A634)=0,"",D634-_xlfn.MAXIFS('Relevés compteurs'!$D$5:$D$1504,'Relevés compteurs'!$B$5:$B$1504,B634,'Relevés compteurs'!$A$5:$A$1504,"&lt;"&amp;A634)))</f>
        <v/>
      </c>
    </row>
    <row r="635">
      <c r="A635" s="65" t="n"/>
      <c r="B635" s="7" t="n"/>
      <c r="C635" s="9">
        <f>IF(B635="","",IFERROR(INDEX('Équipements'!$B$5:$B$304,MATCH(B635,'Équipements'!$A$5:$A$304,0)),"Code inconnu"))</f>
        <v/>
      </c>
      <c r="D635" s="67" t="n"/>
      <c r="E635" s="7" t="n"/>
      <c r="F635" s="68">
        <f>IF(OR(B635="",A635=""),"",IF(COUNTIFS('Relevés compteurs'!$B$5:$B$1504,B635,'Relevés compteurs'!$A$5:$A$1504,"&lt;"&amp;A635)=0,"",D635-_xlfn.MAXIFS('Relevés compteurs'!$D$5:$D$1504,'Relevés compteurs'!$B$5:$B$1504,B635,'Relevés compteurs'!$A$5:$A$1504,"&lt;"&amp;A635)))</f>
        <v/>
      </c>
    </row>
    <row r="636">
      <c r="A636" s="65" t="n"/>
      <c r="B636" s="7" t="n"/>
      <c r="C636" s="9">
        <f>IF(B636="","",IFERROR(INDEX('Équipements'!$B$5:$B$304,MATCH(B636,'Équipements'!$A$5:$A$304,0)),"Code inconnu"))</f>
        <v/>
      </c>
      <c r="D636" s="67" t="n"/>
      <c r="E636" s="7" t="n"/>
      <c r="F636" s="68">
        <f>IF(OR(B636="",A636=""),"",IF(COUNTIFS('Relevés compteurs'!$B$5:$B$1504,B636,'Relevés compteurs'!$A$5:$A$1504,"&lt;"&amp;A636)=0,"",D636-_xlfn.MAXIFS('Relevés compteurs'!$D$5:$D$1504,'Relevés compteurs'!$B$5:$B$1504,B636,'Relevés compteurs'!$A$5:$A$1504,"&lt;"&amp;A636)))</f>
        <v/>
      </c>
    </row>
    <row r="637">
      <c r="A637" s="65" t="n"/>
      <c r="B637" s="7" t="n"/>
      <c r="C637" s="9">
        <f>IF(B637="","",IFERROR(INDEX('Équipements'!$B$5:$B$304,MATCH(B637,'Équipements'!$A$5:$A$304,0)),"Code inconnu"))</f>
        <v/>
      </c>
      <c r="D637" s="67" t="n"/>
      <c r="E637" s="7" t="n"/>
      <c r="F637" s="68">
        <f>IF(OR(B637="",A637=""),"",IF(COUNTIFS('Relevés compteurs'!$B$5:$B$1504,B637,'Relevés compteurs'!$A$5:$A$1504,"&lt;"&amp;A637)=0,"",D637-_xlfn.MAXIFS('Relevés compteurs'!$D$5:$D$1504,'Relevés compteurs'!$B$5:$B$1504,B637,'Relevés compteurs'!$A$5:$A$1504,"&lt;"&amp;A637)))</f>
        <v/>
      </c>
    </row>
    <row r="638">
      <c r="A638" s="65" t="n"/>
      <c r="B638" s="7" t="n"/>
      <c r="C638" s="9">
        <f>IF(B638="","",IFERROR(INDEX('Équipements'!$B$5:$B$304,MATCH(B638,'Équipements'!$A$5:$A$304,0)),"Code inconnu"))</f>
        <v/>
      </c>
      <c r="D638" s="67" t="n"/>
      <c r="E638" s="7" t="n"/>
      <c r="F638" s="68">
        <f>IF(OR(B638="",A638=""),"",IF(COUNTIFS('Relevés compteurs'!$B$5:$B$1504,B638,'Relevés compteurs'!$A$5:$A$1504,"&lt;"&amp;A638)=0,"",D638-_xlfn.MAXIFS('Relevés compteurs'!$D$5:$D$1504,'Relevés compteurs'!$B$5:$B$1504,B638,'Relevés compteurs'!$A$5:$A$1504,"&lt;"&amp;A638)))</f>
        <v/>
      </c>
    </row>
    <row r="639">
      <c r="A639" s="65" t="n"/>
      <c r="B639" s="7" t="n"/>
      <c r="C639" s="9">
        <f>IF(B639="","",IFERROR(INDEX('Équipements'!$B$5:$B$304,MATCH(B639,'Équipements'!$A$5:$A$304,0)),"Code inconnu"))</f>
        <v/>
      </c>
      <c r="D639" s="67" t="n"/>
      <c r="E639" s="7" t="n"/>
      <c r="F639" s="68">
        <f>IF(OR(B639="",A639=""),"",IF(COUNTIFS('Relevés compteurs'!$B$5:$B$1504,B639,'Relevés compteurs'!$A$5:$A$1504,"&lt;"&amp;A639)=0,"",D639-_xlfn.MAXIFS('Relevés compteurs'!$D$5:$D$1504,'Relevés compteurs'!$B$5:$B$1504,B639,'Relevés compteurs'!$A$5:$A$1504,"&lt;"&amp;A639)))</f>
        <v/>
      </c>
    </row>
    <row r="640">
      <c r="A640" s="65" t="n"/>
      <c r="B640" s="7" t="n"/>
      <c r="C640" s="9">
        <f>IF(B640="","",IFERROR(INDEX('Équipements'!$B$5:$B$304,MATCH(B640,'Équipements'!$A$5:$A$304,0)),"Code inconnu"))</f>
        <v/>
      </c>
      <c r="D640" s="67" t="n"/>
      <c r="E640" s="7" t="n"/>
      <c r="F640" s="68">
        <f>IF(OR(B640="",A640=""),"",IF(COUNTIFS('Relevés compteurs'!$B$5:$B$1504,B640,'Relevés compteurs'!$A$5:$A$1504,"&lt;"&amp;A640)=0,"",D640-_xlfn.MAXIFS('Relevés compteurs'!$D$5:$D$1504,'Relevés compteurs'!$B$5:$B$1504,B640,'Relevés compteurs'!$A$5:$A$1504,"&lt;"&amp;A640)))</f>
        <v/>
      </c>
    </row>
    <row r="641">
      <c r="A641" s="65" t="n"/>
      <c r="B641" s="7" t="n"/>
      <c r="C641" s="9">
        <f>IF(B641="","",IFERROR(INDEX('Équipements'!$B$5:$B$304,MATCH(B641,'Équipements'!$A$5:$A$304,0)),"Code inconnu"))</f>
        <v/>
      </c>
      <c r="D641" s="67" t="n"/>
      <c r="E641" s="7" t="n"/>
      <c r="F641" s="68">
        <f>IF(OR(B641="",A641=""),"",IF(COUNTIFS('Relevés compteurs'!$B$5:$B$1504,B641,'Relevés compteurs'!$A$5:$A$1504,"&lt;"&amp;A641)=0,"",D641-_xlfn.MAXIFS('Relevés compteurs'!$D$5:$D$1504,'Relevés compteurs'!$B$5:$B$1504,B641,'Relevés compteurs'!$A$5:$A$1504,"&lt;"&amp;A641)))</f>
        <v/>
      </c>
    </row>
    <row r="642">
      <c r="A642" s="65" t="n"/>
      <c r="B642" s="7" t="n"/>
      <c r="C642" s="9">
        <f>IF(B642="","",IFERROR(INDEX('Équipements'!$B$5:$B$304,MATCH(B642,'Équipements'!$A$5:$A$304,0)),"Code inconnu"))</f>
        <v/>
      </c>
      <c r="D642" s="67" t="n"/>
      <c r="E642" s="7" t="n"/>
      <c r="F642" s="68">
        <f>IF(OR(B642="",A642=""),"",IF(COUNTIFS('Relevés compteurs'!$B$5:$B$1504,B642,'Relevés compteurs'!$A$5:$A$1504,"&lt;"&amp;A642)=0,"",D642-_xlfn.MAXIFS('Relevés compteurs'!$D$5:$D$1504,'Relevés compteurs'!$B$5:$B$1504,B642,'Relevés compteurs'!$A$5:$A$1504,"&lt;"&amp;A642)))</f>
        <v/>
      </c>
    </row>
    <row r="643">
      <c r="A643" s="65" t="n"/>
      <c r="B643" s="7" t="n"/>
      <c r="C643" s="9">
        <f>IF(B643="","",IFERROR(INDEX('Équipements'!$B$5:$B$304,MATCH(B643,'Équipements'!$A$5:$A$304,0)),"Code inconnu"))</f>
        <v/>
      </c>
      <c r="D643" s="67" t="n"/>
      <c r="E643" s="7" t="n"/>
      <c r="F643" s="68">
        <f>IF(OR(B643="",A643=""),"",IF(COUNTIFS('Relevés compteurs'!$B$5:$B$1504,B643,'Relevés compteurs'!$A$5:$A$1504,"&lt;"&amp;A643)=0,"",D643-_xlfn.MAXIFS('Relevés compteurs'!$D$5:$D$1504,'Relevés compteurs'!$B$5:$B$1504,B643,'Relevés compteurs'!$A$5:$A$1504,"&lt;"&amp;A643)))</f>
        <v/>
      </c>
    </row>
    <row r="644">
      <c r="A644" s="65" t="n"/>
      <c r="B644" s="7" t="n"/>
      <c r="C644" s="9">
        <f>IF(B644="","",IFERROR(INDEX('Équipements'!$B$5:$B$304,MATCH(B644,'Équipements'!$A$5:$A$304,0)),"Code inconnu"))</f>
        <v/>
      </c>
      <c r="D644" s="67" t="n"/>
      <c r="E644" s="7" t="n"/>
      <c r="F644" s="68">
        <f>IF(OR(B644="",A644=""),"",IF(COUNTIFS('Relevés compteurs'!$B$5:$B$1504,B644,'Relevés compteurs'!$A$5:$A$1504,"&lt;"&amp;A644)=0,"",D644-_xlfn.MAXIFS('Relevés compteurs'!$D$5:$D$1504,'Relevés compteurs'!$B$5:$B$1504,B644,'Relevés compteurs'!$A$5:$A$1504,"&lt;"&amp;A644)))</f>
        <v/>
      </c>
    </row>
    <row r="645">
      <c r="A645" s="65" t="n"/>
      <c r="B645" s="7" t="n"/>
      <c r="C645" s="9">
        <f>IF(B645="","",IFERROR(INDEX('Équipements'!$B$5:$B$304,MATCH(B645,'Équipements'!$A$5:$A$304,0)),"Code inconnu"))</f>
        <v/>
      </c>
      <c r="D645" s="67" t="n"/>
      <c r="E645" s="7" t="n"/>
      <c r="F645" s="68">
        <f>IF(OR(B645="",A645=""),"",IF(COUNTIFS('Relevés compteurs'!$B$5:$B$1504,B645,'Relevés compteurs'!$A$5:$A$1504,"&lt;"&amp;A645)=0,"",D645-_xlfn.MAXIFS('Relevés compteurs'!$D$5:$D$1504,'Relevés compteurs'!$B$5:$B$1504,B645,'Relevés compteurs'!$A$5:$A$1504,"&lt;"&amp;A645)))</f>
        <v/>
      </c>
    </row>
    <row r="646">
      <c r="A646" s="65" t="n"/>
      <c r="B646" s="7" t="n"/>
      <c r="C646" s="9">
        <f>IF(B646="","",IFERROR(INDEX('Équipements'!$B$5:$B$304,MATCH(B646,'Équipements'!$A$5:$A$304,0)),"Code inconnu"))</f>
        <v/>
      </c>
      <c r="D646" s="67" t="n"/>
      <c r="E646" s="7" t="n"/>
      <c r="F646" s="68">
        <f>IF(OR(B646="",A646=""),"",IF(COUNTIFS('Relevés compteurs'!$B$5:$B$1504,B646,'Relevés compteurs'!$A$5:$A$1504,"&lt;"&amp;A646)=0,"",D646-_xlfn.MAXIFS('Relevés compteurs'!$D$5:$D$1504,'Relevés compteurs'!$B$5:$B$1504,B646,'Relevés compteurs'!$A$5:$A$1504,"&lt;"&amp;A646)))</f>
        <v/>
      </c>
    </row>
    <row r="647">
      <c r="A647" s="65" t="n"/>
      <c r="B647" s="7" t="n"/>
      <c r="C647" s="9">
        <f>IF(B647="","",IFERROR(INDEX('Équipements'!$B$5:$B$304,MATCH(B647,'Équipements'!$A$5:$A$304,0)),"Code inconnu"))</f>
        <v/>
      </c>
      <c r="D647" s="67" t="n"/>
      <c r="E647" s="7" t="n"/>
      <c r="F647" s="68">
        <f>IF(OR(B647="",A647=""),"",IF(COUNTIFS('Relevés compteurs'!$B$5:$B$1504,B647,'Relevés compteurs'!$A$5:$A$1504,"&lt;"&amp;A647)=0,"",D647-_xlfn.MAXIFS('Relevés compteurs'!$D$5:$D$1504,'Relevés compteurs'!$B$5:$B$1504,B647,'Relevés compteurs'!$A$5:$A$1504,"&lt;"&amp;A647)))</f>
        <v/>
      </c>
    </row>
    <row r="648">
      <c r="A648" s="65" t="n"/>
      <c r="B648" s="7" t="n"/>
      <c r="C648" s="9">
        <f>IF(B648="","",IFERROR(INDEX('Équipements'!$B$5:$B$304,MATCH(B648,'Équipements'!$A$5:$A$304,0)),"Code inconnu"))</f>
        <v/>
      </c>
      <c r="D648" s="67" t="n"/>
      <c r="E648" s="7" t="n"/>
      <c r="F648" s="68">
        <f>IF(OR(B648="",A648=""),"",IF(COUNTIFS('Relevés compteurs'!$B$5:$B$1504,B648,'Relevés compteurs'!$A$5:$A$1504,"&lt;"&amp;A648)=0,"",D648-_xlfn.MAXIFS('Relevés compteurs'!$D$5:$D$1504,'Relevés compteurs'!$B$5:$B$1504,B648,'Relevés compteurs'!$A$5:$A$1504,"&lt;"&amp;A648)))</f>
        <v/>
      </c>
    </row>
    <row r="649">
      <c r="A649" s="65" t="n"/>
      <c r="B649" s="7" t="n"/>
      <c r="C649" s="9">
        <f>IF(B649="","",IFERROR(INDEX('Équipements'!$B$5:$B$304,MATCH(B649,'Équipements'!$A$5:$A$304,0)),"Code inconnu"))</f>
        <v/>
      </c>
      <c r="D649" s="67" t="n"/>
      <c r="E649" s="7" t="n"/>
      <c r="F649" s="68">
        <f>IF(OR(B649="",A649=""),"",IF(COUNTIFS('Relevés compteurs'!$B$5:$B$1504,B649,'Relevés compteurs'!$A$5:$A$1504,"&lt;"&amp;A649)=0,"",D649-_xlfn.MAXIFS('Relevés compteurs'!$D$5:$D$1504,'Relevés compteurs'!$B$5:$B$1504,B649,'Relevés compteurs'!$A$5:$A$1504,"&lt;"&amp;A649)))</f>
        <v/>
      </c>
    </row>
    <row r="650">
      <c r="A650" s="65" t="n"/>
      <c r="B650" s="7" t="n"/>
      <c r="C650" s="9">
        <f>IF(B650="","",IFERROR(INDEX('Équipements'!$B$5:$B$304,MATCH(B650,'Équipements'!$A$5:$A$304,0)),"Code inconnu"))</f>
        <v/>
      </c>
      <c r="D650" s="67" t="n"/>
      <c r="E650" s="7" t="n"/>
      <c r="F650" s="68">
        <f>IF(OR(B650="",A650=""),"",IF(COUNTIFS('Relevés compteurs'!$B$5:$B$1504,B650,'Relevés compteurs'!$A$5:$A$1504,"&lt;"&amp;A650)=0,"",D650-_xlfn.MAXIFS('Relevés compteurs'!$D$5:$D$1504,'Relevés compteurs'!$B$5:$B$1504,B650,'Relevés compteurs'!$A$5:$A$1504,"&lt;"&amp;A650)))</f>
        <v/>
      </c>
    </row>
    <row r="651">
      <c r="A651" s="65" t="n"/>
      <c r="B651" s="7" t="n"/>
      <c r="C651" s="9">
        <f>IF(B651="","",IFERROR(INDEX('Équipements'!$B$5:$B$304,MATCH(B651,'Équipements'!$A$5:$A$304,0)),"Code inconnu"))</f>
        <v/>
      </c>
      <c r="D651" s="67" t="n"/>
      <c r="E651" s="7" t="n"/>
      <c r="F651" s="68">
        <f>IF(OR(B651="",A651=""),"",IF(COUNTIFS('Relevés compteurs'!$B$5:$B$1504,B651,'Relevés compteurs'!$A$5:$A$1504,"&lt;"&amp;A651)=0,"",D651-_xlfn.MAXIFS('Relevés compteurs'!$D$5:$D$1504,'Relevés compteurs'!$B$5:$B$1504,B651,'Relevés compteurs'!$A$5:$A$1504,"&lt;"&amp;A651)))</f>
        <v/>
      </c>
    </row>
    <row r="652">
      <c r="A652" s="65" t="n"/>
      <c r="B652" s="7" t="n"/>
      <c r="C652" s="9">
        <f>IF(B652="","",IFERROR(INDEX('Équipements'!$B$5:$B$304,MATCH(B652,'Équipements'!$A$5:$A$304,0)),"Code inconnu"))</f>
        <v/>
      </c>
      <c r="D652" s="67" t="n"/>
      <c r="E652" s="7" t="n"/>
      <c r="F652" s="68">
        <f>IF(OR(B652="",A652=""),"",IF(COUNTIFS('Relevés compteurs'!$B$5:$B$1504,B652,'Relevés compteurs'!$A$5:$A$1504,"&lt;"&amp;A652)=0,"",D652-_xlfn.MAXIFS('Relevés compteurs'!$D$5:$D$1504,'Relevés compteurs'!$B$5:$B$1504,B652,'Relevés compteurs'!$A$5:$A$1504,"&lt;"&amp;A652)))</f>
        <v/>
      </c>
    </row>
    <row r="653">
      <c r="A653" s="65" t="n"/>
      <c r="B653" s="7" t="n"/>
      <c r="C653" s="9">
        <f>IF(B653="","",IFERROR(INDEX('Équipements'!$B$5:$B$304,MATCH(B653,'Équipements'!$A$5:$A$304,0)),"Code inconnu"))</f>
        <v/>
      </c>
      <c r="D653" s="67" t="n"/>
      <c r="E653" s="7" t="n"/>
      <c r="F653" s="68">
        <f>IF(OR(B653="",A653=""),"",IF(COUNTIFS('Relevés compteurs'!$B$5:$B$1504,B653,'Relevés compteurs'!$A$5:$A$1504,"&lt;"&amp;A653)=0,"",D653-_xlfn.MAXIFS('Relevés compteurs'!$D$5:$D$1504,'Relevés compteurs'!$B$5:$B$1504,B653,'Relevés compteurs'!$A$5:$A$1504,"&lt;"&amp;A653)))</f>
        <v/>
      </c>
    </row>
    <row r="654">
      <c r="A654" s="65" t="n"/>
      <c r="B654" s="7" t="n"/>
      <c r="C654" s="9">
        <f>IF(B654="","",IFERROR(INDEX('Équipements'!$B$5:$B$304,MATCH(B654,'Équipements'!$A$5:$A$304,0)),"Code inconnu"))</f>
        <v/>
      </c>
      <c r="D654" s="67" t="n"/>
      <c r="E654" s="7" t="n"/>
      <c r="F654" s="68">
        <f>IF(OR(B654="",A654=""),"",IF(COUNTIFS('Relevés compteurs'!$B$5:$B$1504,B654,'Relevés compteurs'!$A$5:$A$1504,"&lt;"&amp;A654)=0,"",D654-_xlfn.MAXIFS('Relevés compteurs'!$D$5:$D$1504,'Relevés compteurs'!$B$5:$B$1504,B654,'Relevés compteurs'!$A$5:$A$1504,"&lt;"&amp;A654)))</f>
        <v/>
      </c>
    </row>
    <row r="655">
      <c r="A655" s="65" t="n"/>
      <c r="B655" s="7" t="n"/>
      <c r="C655" s="9">
        <f>IF(B655="","",IFERROR(INDEX('Équipements'!$B$5:$B$304,MATCH(B655,'Équipements'!$A$5:$A$304,0)),"Code inconnu"))</f>
        <v/>
      </c>
      <c r="D655" s="67" t="n"/>
      <c r="E655" s="7" t="n"/>
      <c r="F655" s="68">
        <f>IF(OR(B655="",A655=""),"",IF(COUNTIFS('Relevés compteurs'!$B$5:$B$1504,B655,'Relevés compteurs'!$A$5:$A$1504,"&lt;"&amp;A655)=0,"",D655-_xlfn.MAXIFS('Relevés compteurs'!$D$5:$D$1504,'Relevés compteurs'!$B$5:$B$1504,B655,'Relevés compteurs'!$A$5:$A$1504,"&lt;"&amp;A655)))</f>
        <v/>
      </c>
    </row>
    <row r="656">
      <c r="A656" s="65" t="n"/>
      <c r="B656" s="7" t="n"/>
      <c r="C656" s="9">
        <f>IF(B656="","",IFERROR(INDEX('Équipements'!$B$5:$B$304,MATCH(B656,'Équipements'!$A$5:$A$304,0)),"Code inconnu"))</f>
        <v/>
      </c>
      <c r="D656" s="67" t="n"/>
      <c r="E656" s="7" t="n"/>
      <c r="F656" s="68">
        <f>IF(OR(B656="",A656=""),"",IF(COUNTIFS('Relevés compteurs'!$B$5:$B$1504,B656,'Relevés compteurs'!$A$5:$A$1504,"&lt;"&amp;A656)=0,"",D656-_xlfn.MAXIFS('Relevés compteurs'!$D$5:$D$1504,'Relevés compteurs'!$B$5:$B$1504,B656,'Relevés compteurs'!$A$5:$A$1504,"&lt;"&amp;A656)))</f>
        <v/>
      </c>
    </row>
    <row r="657">
      <c r="A657" s="65" t="n"/>
      <c r="B657" s="7" t="n"/>
      <c r="C657" s="9">
        <f>IF(B657="","",IFERROR(INDEX('Équipements'!$B$5:$B$304,MATCH(B657,'Équipements'!$A$5:$A$304,0)),"Code inconnu"))</f>
        <v/>
      </c>
      <c r="D657" s="67" t="n"/>
      <c r="E657" s="7" t="n"/>
      <c r="F657" s="68">
        <f>IF(OR(B657="",A657=""),"",IF(COUNTIFS('Relevés compteurs'!$B$5:$B$1504,B657,'Relevés compteurs'!$A$5:$A$1504,"&lt;"&amp;A657)=0,"",D657-_xlfn.MAXIFS('Relevés compteurs'!$D$5:$D$1504,'Relevés compteurs'!$B$5:$B$1504,B657,'Relevés compteurs'!$A$5:$A$1504,"&lt;"&amp;A657)))</f>
        <v/>
      </c>
    </row>
    <row r="658">
      <c r="A658" s="65" t="n"/>
      <c r="B658" s="7" t="n"/>
      <c r="C658" s="9">
        <f>IF(B658="","",IFERROR(INDEX('Équipements'!$B$5:$B$304,MATCH(B658,'Équipements'!$A$5:$A$304,0)),"Code inconnu"))</f>
        <v/>
      </c>
      <c r="D658" s="67" t="n"/>
      <c r="E658" s="7" t="n"/>
      <c r="F658" s="68">
        <f>IF(OR(B658="",A658=""),"",IF(COUNTIFS('Relevés compteurs'!$B$5:$B$1504,B658,'Relevés compteurs'!$A$5:$A$1504,"&lt;"&amp;A658)=0,"",D658-_xlfn.MAXIFS('Relevés compteurs'!$D$5:$D$1504,'Relevés compteurs'!$B$5:$B$1504,B658,'Relevés compteurs'!$A$5:$A$1504,"&lt;"&amp;A658)))</f>
        <v/>
      </c>
    </row>
    <row r="659">
      <c r="A659" s="65" t="n"/>
      <c r="B659" s="7" t="n"/>
      <c r="C659" s="9">
        <f>IF(B659="","",IFERROR(INDEX('Équipements'!$B$5:$B$304,MATCH(B659,'Équipements'!$A$5:$A$304,0)),"Code inconnu"))</f>
        <v/>
      </c>
      <c r="D659" s="67" t="n"/>
      <c r="E659" s="7" t="n"/>
      <c r="F659" s="68">
        <f>IF(OR(B659="",A659=""),"",IF(COUNTIFS('Relevés compteurs'!$B$5:$B$1504,B659,'Relevés compteurs'!$A$5:$A$1504,"&lt;"&amp;A659)=0,"",D659-_xlfn.MAXIFS('Relevés compteurs'!$D$5:$D$1504,'Relevés compteurs'!$B$5:$B$1504,B659,'Relevés compteurs'!$A$5:$A$1504,"&lt;"&amp;A659)))</f>
        <v/>
      </c>
    </row>
    <row r="660">
      <c r="A660" s="65" t="n"/>
      <c r="B660" s="7" t="n"/>
      <c r="C660" s="9">
        <f>IF(B660="","",IFERROR(INDEX('Équipements'!$B$5:$B$304,MATCH(B660,'Équipements'!$A$5:$A$304,0)),"Code inconnu"))</f>
        <v/>
      </c>
      <c r="D660" s="67" t="n"/>
      <c r="E660" s="7" t="n"/>
      <c r="F660" s="68">
        <f>IF(OR(B660="",A660=""),"",IF(COUNTIFS('Relevés compteurs'!$B$5:$B$1504,B660,'Relevés compteurs'!$A$5:$A$1504,"&lt;"&amp;A660)=0,"",D660-_xlfn.MAXIFS('Relevés compteurs'!$D$5:$D$1504,'Relevés compteurs'!$B$5:$B$1504,B660,'Relevés compteurs'!$A$5:$A$1504,"&lt;"&amp;A660)))</f>
        <v/>
      </c>
    </row>
    <row r="661">
      <c r="A661" s="65" t="n"/>
      <c r="B661" s="7" t="n"/>
      <c r="C661" s="9">
        <f>IF(B661="","",IFERROR(INDEX('Équipements'!$B$5:$B$304,MATCH(B661,'Équipements'!$A$5:$A$304,0)),"Code inconnu"))</f>
        <v/>
      </c>
      <c r="D661" s="67" t="n"/>
      <c r="E661" s="7" t="n"/>
      <c r="F661" s="68">
        <f>IF(OR(B661="",A661=""),"",IF(COUNTIFS('Relevés compteurs'!$B$5:$B$1504,B661,'Relevés compteurs'!$A$5:$A$1504,"&lt;"&amp;A661)=0,"",D661-_xlfn.MAXIFS('Relevés compteurs'!$D$5:$D$1504,'Relevés compteurs'!$B$5:$B$1504,B661,'Relevés compteurs'!$A$5:$A$1504,"&lt;"&amp;A661)))</f>
        <v/>
      </c>
    </row>
    <row r="662">
      <c r="A662" s="65" t="n"/>
      <c r="B662" s="7" t="n"/>
      <c r="C662" s="9">
        <f>IF(B662="","",IFERROR(INDEX('Équipements'!$B$5:$B$304,MATCH(B662,'Équipements'!$A$5:$A$304,0)),"Code inconnu"))</f>
        <v/>
      </c>
      <c r="D662" s="67" t="n"/>
      <c r="E662" s="7" t="n"/>
      <c r="F662" s="68">
        <f>IF(OR(B662="",A662=""),"",IF(COUNTIFS('Relevés compteurs'!$B$5:$B$1504,B662,'Relevés compteurs'!$A$5:$A$1504,"&lt;"&amp;A662)=0,"",D662-_xlfn.MAXIFS('Relevés compteurs'!$D$5:$D$1504,'Relevés compteurs'!$B$5:$B$1504,B662,'Relevés compteurs'!$A$5:$A$1504,"&lt;"&amp;A662)))</f>
        <v/>
      </c>
    </row>
    <row r="663">
      <c r="A663" s="65" t="n"/>
      <c r="B663" s="7" t="n"/>
      <c r="C663" s="9">
        <f>IF(B663="","",IFERROR(INDEX('Équipements'!$B$5:$B$304,MATCH(B663,'Équipements'!$A$5:$A$304,0)),"Code inconnu"))</f>
        <v/>
      </c>
      <c r="D663" s="67" t="n"/>
      <c r="E663" s="7" t="n"/>
      <c r="F663" s="68">
        <f>IF(OR(B663="",A663=""),"",IF(COUNTIFS('Relevés compteurs'!$B$5:$B$1504,B663,'Relevés compteurs'!$A$5:$A$1504,"&lt;"&amp;A663)=0,"",D663-_xlfn.MAXIFS('Relevés compteurs'!$D$5:$D$1504,'Relevés compteurs'!$B$5:$B$1504,B663,'Relevés compteurs'!$A$5:$A$1504,"&lt;"&amp;A663)))</f>
        <v/>
      </c>
    </row>
    <row r="664">
      <c r="A664" s="65" t="n"/>
      <c r="B664" s="7" t="n"/>
      <c r="C664" s="9">
        <f>IF(B664="","",IFERROR(INDEX('Équipements'!$B$5:$B$304,MATCH(B664,'Équipements'!$A$5:$A$304,0)),"Code inconnu"))</f>
        <v/>
      </c>
      <c r="D664" s="67" t="n"/>
      <c r="E664" s="7" t="n"/>
      <c r="F664" s="68">
        <f>IF(OR(B664="",A664=""),"",IF(COUNTIFS('Relevés compteurs'!$B$5:$B$1504,B664,'Relevés compteurs'!$A$5:$A$1504,"&lt;"&amp;A664)=0,"",D664-_xlfn.MAXIFS('Relevés compteurs'!$D$5:$D$1504,'Relevés compteurs'!$B$5:$B$1504,B664,'Relevés compteurs'!$A$5:$A$1504,"&lt;"&amp;A664)))</f>
        <v/>
      </c>
    </row>
    <row r="665">
      <c r="A665" s="65" t="n"/>
      <c r="B665" s="7" t="n"/>
      <c r="C665" s="9">
        <f>IF(B665="","",IFERROR(INDEX('Équipements'!$B$5:$B$304,MATCH(B665,'Équipements'!$A$5:$A$304,0)),"Code inconnu"))</f>
        <v/>
      </c>
      <c r="D665" s="67" t="n"/>
      <c r="E665" s="7" t="n"/>
      <c r="F665" s="68">
        <f>IF(OR(B665="",A665=""),"",IF(COUNTIFS('Relevés compteurs'!$B$5:$B$1504,B665,'Relevés compteurs'!$A$5:$A$1504,"&lt;"&amp;A665)=0,"",D665-_xlfn.MAXIFS('Relevés compteurs'!$D$5:$D$1504,'Relevés compteurs'!$B$5:$B$1504,B665,'Relevés compteurs'!$A$5:$A$1504,"&lt;"&amp;A665)))</f>
        <v/>
      </c>
    </row>
    <row r="666">
      <c r="A666" s="65" t="n"/>
      <c r="B666" s="7" t="n"/>
      <c r="C666" s="9">
        <f>IF(B666="","",IFERROR(INDEX('Équipements'!$B$5:$B$304,MATCH(B666,'Équipements'!$A$5:$A$304,0)),"Code inconnu"))</f>
        <v/>
      </c>
      <c r="D666" s="67" t="n"/>
      <c r="E666" s="7" t="n"/>
      <c r="F666" s="68">
        <f>IF(OR(B666="",A666=""),"",IF(COUNTIFS('Relevés compteurs'!$B$5:$B$1504,B666,'Relevés compteurs'!$A$5:$A$1504,"&lt;"&amp;A666)=0,"",D666-_xlfn.MAXIFS('Relevés compteurs'!$D$5:$D$1504,'Relevés compteurs'!$B$5:$B$1504,B666,'Relevés compteurs'!$A$5:$A$1504,"&lt;"&amp;A666)))</f>
        <v/>
      </c>
    </row>
    <row r="667">
      <c r="A667" s="65" t="n"/>
      <c r="B667" s="7" t="n"/>
      <c r="C667" s="9">
        <f>IF(B667="","",IFERROR(INDEX('Équipements'!$B$5:$B$304,MATCH(B667,'Équipements'!$A$5:$A$304,0)),"Code inconnu"))</f>
        <v/>
      </c>
      <c r="D667" s="67" t="n"/>
      <c r="E667" s="7" t="n"/>
      <c r="F667" s="68">
        <f>IF(OR(B667="",A667=""),"",IF(COUNTIFS('Relevés compteurs'!$B$5:$B$1504,B667,'Relevés compteurs'!$A$5:$A$1504,"&lt;"&amp;A667)=0,"",D667-_xlfn.MAXIFS('Relevés compteurs'!$D$5:$D$1504,'Relevés compteurs'!$B$5:$B$1504,B667,'Relevés compteurs'!$A$5:$A$1504,"&lt;"&amp;A667)))</f>
        <v/>
      </c>
    </row>
    <row r="668">
      <c r="A668" s="65" t="n"/>
      <c r="B668" s="7" t="n"/>
      <c r="C668" s="9">
        <f>IF(B668="","",IFERROR(INDEX('Équipements'!$B$5:$B$304,MATCH(B668,'Équipements'!$A$5:$A$304,0)),"Code inconnu"))</f>
        <v/>
      </c>
      <c r="D668" s="67" t="n"/>
      <c r="E668" s="7" t="n"/>
      <c r="F668" s="68">
        <f>IF(OR(B668="",A668=""),"",IF(COUNTIFS('Relevés compteurs'!$B$5:$B$1504,B668,'Relevés compteurs'!$A$5:$A$1504,"&lt;"&amp;A668)=0,"",D668-_xlfn.MAXIFS('Relevés compteurs'!$D$5:$D$1504,'Relevés compteurs'!$B$5:$B$1504,B668,'Relevés compteurs'!$A$5:$A$1504,"&lt;"&amp;A668)))</f>
        <v/>
      </c>
    </row>
    <row r="669">
      <c r="A669" s="65" t="n"/>
      <c r="B669" s="7" t="n"/>
      <c r="C669" s="9">
        <f>IF(B669="","",IFERROR(INDEX('Équipements'!$B$5:$B$304,MATCH(B669,'Équipements'!$A$5:$A$304,0)),"Code inconnu"))</f>
        <v/>
      </c>
      <c r="D669" s="67" t="n"/>
      <c r="E669" s="7" t="n"/>
      <c r="F669" s="68">
        <f>IF(OR(B669="",A669=""),"",IF(COUNTIFS('Relevés compteurs'!$B$5:$B$1504,B669,'Relevés compteurs'!$A$5:$A$1504,"&lt;"&amp;A669)=0,"",D669-_xlfn.MAXIFS('Relevés compteurs'!$D$5:$D$1504,'Relevés compteurs'!$B$5:$B$1504,B669,'Relevés compteurs'!$A$5:$A$1504,"&lt;"&amp;A669)))</f>
        <v/>
      </c>
    </row>
    <row r="670">
      <c r="A670" s="65" t="n"/>
      <c r="B670" s="7" t="n"/>
      <c r="C670" s="9">
        <f>IF(B670="","",IFERROR(INDEX('Équipements'!$B$5:$B$304,MATCH(B670,'Équipements'!$A$5:$A$304,0)),"Code inconnu"))</f>
        <v/>
      </c>
      <c r="D670" s="67" t="n"/>
      <c r="E670" s="7" t="n"/>
      <c r="F670" s="68">
        <f>IF(OR(B670="",A670=""),"",IF(COUNTIFS('Relevés compteurs'!$B$5:$B$1504,B670,'Relevés compteurs'!$A$5:$A$1504,"&lt;"&amp;A670)=0,"",D670-_xlfn.MAXIFS('Relevés compteurs'!$D$5:$D$1504,'Relevés compteurs'!$B$5:$B$1504,B670,'Relevés compteurs'!$A$5:$A$1504,"&lt;"&amp;A670)))</f>
        <v/>
      </c>
    </row>
    <row r="671">
      <c r="A671" s="65" t="n"/>
      <c r="B671" s="7" t="n"/>
      <c r="C671" s="9">
        <f>IF(B671="","",IFERROR(INDEX('Équipements'!$B$5:$B$304,MATCH(B671,'Équipements'!$A$5:$A$304,0)),"Code inconnu"))</f>
        <v/>
      </c>
      <c r="D671" s="67" t="n"/>
      <c r="E671" s="7" t="n"/>
      <c r="F671" s="68">
        <f>IF(OR(B671="",A671=""),"",IF(COUNTIFS('Relevés compteurs'!$B$5:$B$1504,B671,'Relevés compteurs'!$A$5:$A$1504,"&lt;"&amp;A671)=0,"",D671-_xlfn.MAXIFS('Relevés compteurs'!$D$5:$D$1504,'Relevés compteurs'!$B$5:$B$1504,B671,'Relevés compteurs'!$A$5:$A$1504,"&lt;"&amp;A671)))</f>
        <v/>
      </c>
    </row>
    <row r="672">
      <c r="A672" s="65" t="n"/>
      <c r="B672" s="7" t="n"/>
      <c r="C672" s="9">
        <f>IF(B672="","",IFERROR(INDEX('Équipements'!$B$5:$B$304,MATCH(B672,'Équipements'!$A$5:$A$304,0)),"Code inconnu"))</f>
        <v/>
      </c>
      <c r="D672" s="67" t="n"/>
      <c r="E672" s="7" t="n"/>
      <c r="F672" s="68">
        <f>IF(OR(B672="",A672=""),"",IF(COUNTIFS('Relevés compteurs'!$B$5:$B$1504,B672,'Relevés compteurs'!$A$5:$A$1504,"&lt;"&amp;A672)=0,"",D672-_xlfn.MAXIFS('Relevés compteurs'!$D$5:$D$1504,'Relevés compteurs'!$B$5:$B$1504,B672,'Relevés compteurs'!$A$5:$A$1504,"&lt;"&amp;A672)))</f>
        <v/>
      </c>
    </row>
    <row r="673">
      <c r="A673" s="65" t="n"/>
      <c r="B673" s="7" t="n"/>
      <c r="C673" s="9">
        <f>IF(B673="","",IFERROR(INDEX('Équipements'!$B$5:$B$304,MATCH(B673,'Équipements'!$A$5:$A$304,0)),"Code inconnu"))</f>
        <v/>
      </c>
      <c r="D673" s="67" t="n"/>
      <c r="E673" s="7" t="n"/>
      <c r="F673" s="68">
        <f>IF(OR(B673="",A673=""),"",IF(COUNTIFS('Relevés compteurs'!$B$5:$B$1504,B673,'Relevés compteurs'!$A$5:$A$1504,"&lt;"&amp;A673)=0,"",D673-_xlfn.MAXIFS('Relevés compteurs'!$D$5:$D$1504,'Relevés compteurs'!$B$5:$B$1504,B673,'Relevés compteurs'!$A$5:$A$1504,"&lt;"&amp;A673)))</f>
        <v/>
      </c>
    </row>
    <row r="674">
      <c r="A674" s="65" t="n"/>
      <c r="B674" s="7" t="n"/>
      <c r="C674" s="9">
        <f>IF(B674="","",IFERROR(INDEX('Équipements'!$B$5:$B$304,MATCH(B674,'Équipements'!$A$5:$A$304,0)),"Code inconnu"))</f>
        <v/>
      </c>
      <c r="D674" s="67" t="n"/>
      <c r="E674" s="7" t="n"/>
      <c r="F674" s="68">
        <f>IF(OR(B674="",A674=""),"",IF(COUNTIFS('Relevés compteurs'!$B$5:$B$1504,B674,'Relevés compteurs'!$A$5:$A$1504,"&lt;"&amp;A674)=0,"",D674-_xlfn.MAXIFS('Relevés compteurs'!$D$5:$D$1504,'Relevés compteurs'!$B$5:$B$1504,B674,'Relevés compteurs'!$A$5:$A$1504,"&lt;"&amp;A674)))</f>
        <v/>
      </c>
    </row>
    <row r="675">
      <c r="A675" s="65" t="n"/>
      <c r="B675" s="7" t="n"/>
      <c r="C675" s="9">
        <f>IF(B675="","",IFERROR(INDEX('Équipements'!$B$5:$B$304,MATCH(B675,'Équipements'!$A$5:$A$304,0)),"Code inconnu"))</f>
        <v/>
      </c>
      <c r="D675" s="67" t="n"/>
      <c r="E675" s="7" t="n"/>
      <c r="F675" s="68">
        <f>IF(OR(B675="",A675=""),"",IF(COUNTIFS('Relevés compteurs'!$B$5:$B$1504,B675,'Relevés compteurs'!$A$5:$A$1504,"&lt;"&amp;A675)=0,"",D675-_xlfn.MAXIFS('Relevés compteurs'!$D$5:$D$1504,'Relevés compteurs'!$B$5:$B$1504,B675,'Relevés compteurs'!$A$5:$A$1504,"&lt;"&amp;A675)))</f>
        <v/>
      </c>
    </row>
    <row r="676">
      <c r="A676" s="65" t="n"/>
      <c r="B676" s="7" t="n"/>
      <c r="C676" s="9">
        <f>IF(B676="","",IFERROR(INDEX('Équipements'!$B$5:$B$304,MATCH(B676,'Équipements'!$A$5:$A$304,0)),"Code inconnu"))</f>
        <v/>
      </c>
      <c r="D676" s="67" t="n"/>
      <c r="E676" s="7" t="n"/>
      <c r="F676" s="68">
        <f>IF(OR(B676="",A676=""),"",IF(COUNTIFS('Relevés compteurs'!$B$5:$B$1504,B676,'Relevés compteurs'!$A$5:$A$1504,"&lt;"&amp;A676)=0,"",D676-_xlfn.MAXIFS('Relevés compteurs'!$D$5:$D$1504,'Relevés compteurs'!$B$5:$B$1504,B676,'Relevés compteurs'!$A$5:$A$1504,"&lt;"&amp;A676)))</f>
        <v/>
      </c>
    </row>
    <row r="677">
      <c r="A677" s="65" t="n"/>
      <c r="B677" s="7" t="n"/>
      <c r="C677" s="9">
        <f>IF(B677="","",IFERROR(INDEX('Équipements'!$B$5:$B$304,MATCH(B677,'Équipements'!$A$5:$A$304,0)),"Code inconnu"))</f>
        <v/>
      </c>
      <c r="D677" s="67" t="n"/>
      <c r="E677" s="7" t="n"/>
      <c r="F677" s="68">
        <f>IF(OR(B677="",A677=""),"",IF(COUNTIFS('Relevés compteurs'!$B$5:$B$1504,B677,'Relevés compteurs'!$A$5:$A$1504,"&lt;"&amp;A677)=0,"",D677-_xlfn.MAXIFS('Relevés compteurs'!$D$5:$D$1504,'Relevés compteurs'!$B$5:$B$1504,B677,'Relevés compteurs'!$A$5:$A$1504,"&lt;"&amp;A677)))</f>
        <v/>
      </c>
    </row>
    <row r="678">
      <c r="A678" s="65" t="n"/>
      <c r="B678" s="7" t="n"/>
      <c r="C678" s="9">
        <f>IF(B678="","",IFERROR(INDEX('Équipements'!$B$5:$B$304,MATCH(B678,'Équipements'!$A$5:$A$304,0)),"Code inconnu"))</f>
        <v/>
      </c>
      <c r="D678" s="67" t="n"/>
      <c r="E678" s="7" t="n"/>
      <c r="F678" s="68">
        <f>IF(OR(B678="",A678=""),"",IF(COUNTIFS('Relevés compteurs'!$B$5:$B$1504,B678,'Relevés compteurs'!$A$5:$A$1504,"&lt;"&amp;A678)=0,"",D678-_xlfn.MAXIFS('Relevés compteurs'!$D$5:$D$1504,'Relevés compteurs'!$B$5:$B$1504,B678,'Relevés compteurs'!$A$5:$A$1504,"&lt;"&amp;A678)))</f>
        <v/>
      </c>
    </row>
    <row r="679">
      <c r="A679" s="65" t="n"/>
      <c r="B679" s="7" t="n"/>
      <c r="C679" s="9">
        <f>IF(B679="","",IFERROR(INDEX('Équipements'!$B$5:$B$304,MATCH(B679,'Équipements'!$A$5:$A$304,0)),"Code inconnu"))</f>
        <v/>
      </c>
      <c r="D679" s="67" t="n"/>
      <c r="E679" s="7" t="n"/>
      <c r="F679" s="68">
        <f>IF(OR(B679="",A679=""),"",IF(COUNTIFS('Relevés compteurs'!$B$5:$B$1504,B679,'Relevés compteurs'!$A$5:$A$1504,"&lt;"&amp;A679)=0,"",D679-_xlfn.MAXIFS('Relevés compteurs'!$D$5:$D$1504,'Relevés compteurs'!$B$5:$B$1504,B679,'Relevés compteurs'!$A$5:$A$1504,"&lt;"&amp;A679)))</f>
        <v/>
      </c>
    </row>
    <row r="680">
      <c r="A680" s="65" t="n"/>
      <c r="B680" s="7" t="n"/>
      <c r="C680" s="9">
        <f>IF(B680="","",IFERROR(INDEX('Équipements'!$B$5:$B$304,MATCH(B680,'Équipements'!$A$5:$A$304,0)),"Code inconnu"))</f>
        <v/>
      </c>
      <c r="D680" s="67" t="n"/>
      <c r="E680" s="7" t="n"/>
      <c r="F680" s="68">
        <f>IF(OR(B680="",A680=""),"",IF(COUNTIFS('Relevés compteurs'!$B$5:$B$1504,B680,'Relevés compteurs'!$A$5:$A$1504,"&lt;"&amp;A680)=0,"",D680-_xlfn.MAXIFS('Relevés compteurs'!$D$5:$D$1504,'Relevés compteurs'!$B$5:$B$1504,B680,'Relevés compteurs'!$A$5:$A$1504,"&lt;"&amp;A680)))</f>
        <v/>
      </c>
    </row>
    <row r="681">
      <c r="A681" s="65" t="n"/>
      <c r="B681" s="7" t="n"/>
      <c r="C681" s="9">
        <f>IF(B681="","",IFERROR(INDEX('Équipements'!$B$5:$B$304,MATCH(B681,'Équipements'!$A$5:$A$304,0)),"Code inconnu"))</f>
        <v/>
      </c>
      <c r="D681" s="67" t="n"/>
      <c r="E681" s="7" t="n"/>
      <c r="F681" s="68">
        <f>IF(OR(B681="",A681=""),"",IF(COUNTIFS('Relevés compteurs'!$B$5:$B$1504,B681,'Relevés compteurs'!$A$5:$A$1504,"&lt;"&amp;A681)=0,"",D681-_xlfn.MAXIFS('Relevés compteurs'!$D$5:$D$1504,'Relevés compteurs'!$B$5:$B$1504,B681,'Relevés compteurs'!$A$5:$A$1504,"&lt;"&amp;A681)))</f>
        <v/>
      </c>
    </row>
    <row r="682">
      <c r="A682" s="65" t="n"/>
      <c r="B682" s="7" t="n"/>
      <c r="C682" s="9">
        <f>IF(B682="","",IFERROR(INDEX('Équipements'!$B$5:$B$304,MATCH(B682,'Équipements'!$A$5:$A$304,0)),"Code inconnu"))</f>
        <v/>
      </c>
      <c r="D682" s="67" t="n"/>
      <c r="E682" s="7" t="n"/>
      <c r="F682" s="68">
        <f>IF(OR(B682="",A682=""),"",IF(COUNTIFS('Relevés compteurs'!$B$5:$B$1504,B682,'Relevés compteurs'!$A$5:$A$1504,"&lt;"&amp;A682)=0,"",D682-_xlfn.MAXIFS('Relevés compteurs'!$D$5:$D$1504,'Relevés compteurs'!$B$5:$B$1504,B682,'Relevés compteurs'!$A$5:$A$1504,"&lt;"&amp;A682)))</f>
        <v/>
      </c>
    </row>
    <row r="683">
      <c r="A683" s="65" t="n"/>
      <c r="B683" s="7" t="n"/>
      <c r="C683" s="9">
        <f>IF(B683="","",IFERROR(INDEX('Équipements'!$B$5:$B$304,MATCH(B683,'Équipements'!$A$5:$A$304,0)),"Code inconnu"))</f>
        <v/>
      </c>
      <c r="D683" s="67" t="n"/>
      <c r="E683" s="7" t="n"/>
      <c r="F683" s="68">
        <f>IF(OR(B683="",A683=""),"",IF(COUNTIFS('Relevés compteurs'!$B$5:$B$1504,B683,'Relevés compteurs'!$A$5:$A$1504,"&lt;"&amp;A683)=0,"",D683-_xlfn.MAXIFS('Relevés compteurs'!$D$5:$D$1504,'Relevés compteurs'!$B$5:$B$1504,B683,'Relevés compteurs'!$A$5:$A$1504,"&lt;"&amp;A683)))</f>
        <v/>
      </c>
    </row>
    <row r="684">
      <c r="A684" s="65" t="n"/>
      <c r="B684" s="7" t="n"/>
      <c r="C684" s="9">
        <f>IF(B684="","",IFERROR(INDEX('Équipements'!$B$5:$B$304,MATCH(B684,'Équipements'!$A$5:$A$304,0)),"Code inconnu"))</f>
        <v/>
      </c>
      <c r="D684" s="67" t="n"/>
      <c r="E684" s="7" t="n"/>
      <c r="F684" s="68">
        <f>IF(OR(B684="",A684=""),"",IF(COUNTIFS('Relevés compteurs'!$B$5:$B$1504,B684,'Relevés compteurs'!$A$5:$A$1504,"&lt;"&amp;A684)=0,"",D684-_xlfn.MAXIFS('Relevés compteurs'!$D$5:$D$1504,'Relevés compteurs'!$B$5:$B$1504,B684,'Relevés compteurs'!$A$5:$A$1504,"&lt;"&amp;A684)))</f>
        <v/>
      </c>
    </row>
    <row r="685">
      <c r="A685" s="65" t="n"/>
      <c r="B685" s="7" t="n"/>
      <c r="C685" s="9">
        <f>IF(B685="","",IFERROR(INDEX('Équipements'!$B$5:$B$304,MATCH(B685,'Équipements'!$A$5:$A$304,0)),"Code inconnu"))</f>
        <v/>
      </c>
      <c r="D685" s="67" t="n"/>
      <c r="E685" s="7" t="n"/>
      <c r="F685" s="68">
        <f>IF(OR(B685="",A685=""),"",IF(COUNTIFS('Relevés compteurs'!$B$5:$B$1504,B685,'Relevés compteurs'!$A$5:$A$1504,"&lt;"&amp;A685)=0,"",D685-_xlfn.MAXIFS('Relevés compteurs'!$D$5:$D$1504,'Relevés compteurs'!$B$5:$B$1504,B685,'Relevés compteurs'!$A$5:$A$1504,"&lt;"&amp;A685)))</f>
        <v/>
      </c>
    </row>
    <row r="686">
      <c r="A686" s="65" t="n"/>
      <c r="B686" s="7" t="n"/>
      <c r="C686" s="9">
        <f>IF(B686="","",IFERROR(INDEX('Équipements'!$B$5:$B$304,MATCH(B686,'Équipements'!$A$5:$A$304,0)),"Code inconnu"))</f>
        <v/>
      </c>
      <c r="D686" s="67" t="n"/>
      <c r="E686" s="7" t="n"/>
      <c r="F686" s="68">
        <f>IF(OR(B686="",A686=""),"",IF(COUNTIFS('Relevés compteurs'!$B$5:$B$1504,B686,'Relevés compteurs'!$A$5:$A$1504,"&lt;"&amp;A686)=0,"",D686-_xlfn.MAXIFS('Relevés compteurs'!$D$5:$D$1504,'Relevés compteurs'!$B$5:$B$1504,B686,'Relevés compteurs'!$A$5:$A$1504,"&lt;"&amp;A686)))</f>
        <v/>
      </c>
    </row>
    <row r="687">
      <c r="A687" s="65" t="n"/>
      <c r="B687" s="7" t="n"/>
      <c r="C687" s="9">
        <f>IF(B687="","",IFERROR(INDEX('Équipements'!$B$5:$B$304,MATCH(B687,'Équipements'!$A$5:$A$304,0)),"Code inconnu"))</f>
        <v/>
      </c>
      <c r="D687" s="67" t="n"/>
      <c r="E687" s="7" t="n"/>
      <c r="F687" s="68">
        <f>IF(OR(B687="",A687=""),"",IF(COUNTIFS('Relevés compteurs'!$B$5:$B$1504,B687,'Relevés compteurs'!$A$5:$A$1504,"&lt;"&amp;A687)=0,"",D687-_xlfn.MAXIFS('Relevés compteurs'!$D$5:$D$1504,'Relevés compteurs'!$B$5:$B$1504,B687,'Relevés compteurs'!$A$5:$A$1504,"&lt;"&amp;A687)))</f>
        <v/>
      </c>
    </row>
    <row r="688">
      <c r="A688" s="65" t="n"/>
      <c r="B688" s="7" t="n"/>
      <c r="C688" s="9">
        <f>IF(B688="","",IFERROR(INDEX('Équipements'!$B$5:$B$304,MATCH(B688,'Équipements'!$A$5:$A$304,0)),"Code inconnu"))</f>
        <v/>
      </c>
      <c r="D688" s="67" t="n"/>
      <c r="E688" s="7" t="n"/>
      <c r="F688" s="68">
        <f>IF(OR(B688="",A688=""),"",IF(COUNTIFS('Relevés compteurs'!$B$5:$B$1504,B688,'Relevés compteurs'!$A$5:$A$1504,"&lt;"&amp;A688)=0,"",D688-_xlfn.MAXIFS('Relevés compteurs'!$D$5:$D$1504,'Relevés compteurs'!$B$5:$B$1504,B688,'Relevés compteurs'!$A$5:$A$1504,"&lt;"&amp;A688)))</f>
        <v/>
      </c>
    </row>
    <row r="689">
      <c r="A689" s="65" t="n"/>
      <c r="B689" s="7" t="n"/>
      <c r="C689" s="9">
        <f>IF(B689="","",IFERROR(INDEX('Équipements'!$B$5:$B$304,MATCH(B689,'Équipements'!$A$5:$A$304,0)),"Code inconnu"))</f>
        <v/>
      </c>
      <c r="D689" s="67" t="n"/>
      <c r="E689" s="7" t="n"/>
      <c r="F689" s="68">
        <f>IF(OR(B689="",A689=""),"",IF(COUNTIFS('Relevés compteurs'!$B$5:$B$1504,B689,'Relevés compteurs'!$A$5:$A$1504,"&lt;"&amp;A689)=0,"",D689-_xlfn.MAXIFS('Relevés compteurs'!$D$5:$D$1504,'Relevés compteurs'!$B$5:$B$1504,B689,'Relevés compteurs'!$A$5:$A$1504,"&lt;"&amp;A689)))</f>
        <v/>
      </c>
    </row>
    <row r="690">
      <c r="A690" s="65" t="n"/>
      <c r="B690" s="7" t="n"/>
      <c r="C690" s="9">
        <f>IF(B690="","",IFERROR(INDEX('Équipements'!$B$5:$B$304,MATCH(B690,'Équipements'!$A$5:$A$304,0)),"Code inconnu"))</f>
        <v/>
      </c>
      <c r="D690" s="67" t="n"/>
      <c r="E690" s="7" t="n"/>
      <c r="F690" s="68">
        <f>IF(OR(B690="",A690=""),"",IF(COUNTIFS('Relevés compteurs'!$B$5:$B$1504,B690,'Relevés compteurs'!$A$5:$A$1504,"&lt;"&amp;A690)=0,"",D690-_xlfn.MAXIFS('Relevés compteurs'!$D$5:$D$1504,'Relevés compteurs'!$B$5:$B$1504,B690,'Relevés compteurs'!$A$5:$A$1504,"&lt;"&amp;A690)))</f>
        <v/>
      </c>
    </row>
    <row r="691">
      <c r="A691" s="65" t="n"/>
      <c r="B691" s="7" t="n"/>
      <c r="C691" s="9">
        <f>IF(B691="","",IFERROR(INDEX('Équipements'!$B$5:$B$304,MATCH(B691,'Équipements'!$A$5:$A$304,0)),"Code inconnu"))</f>
        <v/>
      </c>
      <c r="D691" s="67" t="n"/>
      <c r="E691" s="7" t="n"/>
      <c r="F691" s="68">
        <f>IF(OR(B691="",A691=""),"",IF(COUNTIFS('Relevés compteurs'!$B$5:$B$1504,B691,'Relevés compteurs'!$A$5:$A$1504,"&lt;"&amp;A691)=0,"",D691-_xlfn.MAXIFS('Relevés compteurs'!$D$5:$D$1504,'Relevés compteurs'!$B$5:$B$1504,B691,'Relevés compteurs'!$A$5:$A$1504,"&lt;"&amp;A691)))</f>
        <v/>
      </c>
    </row>
    <row r="692">
      <c r="A692" s="65" t="n"/>
      <c r="B692" s="7" t="n"/>
      <c r="C692" s="9">
        <f>IF(B692="","",IFERROR(INDEX('Équipements'!$B$5:$B$304,MATCH(B692,'Équipements'!$A$5:$A$304,0)),"Code inconnu"))</f>
        <v/>
      </c>
      <c r="D692" s="67" t="n"/>
      <c r="E692" s="7" t="n"/>
      <c r="F692" s="68">
        <f>IF(OR(B692="",A692=""),"",IF(COUNTIFS('Relevés compteurs'!$B$5:$B$1504,B692,'Relevés compteurs'!$A$5:$A$1504,"&lt;"&amp;A692)=0,"",D692-_xlfn.MAXIFS('Relevés compteurs'!$D$5:$D$1504,'Relevés compteurs'!$B$5:$B$1504,B692,'Relevés compteurs'!$A$5:$A$1504,"&lt;"&amp;A692)))</f>
        <v/>
      </c>
    </row>
    <row r="693">
      <c r="A693" s="65" t="n"/>
      <c r="B693" s="7" t="n"/>
      <c r="C693" s="9">
        <f>IF(B693="","",IFERROR(INDEX('Équipements'!$B$5:$B$304,MATCH(B693,'Équipements'!$A$5:$A$304,0)),"Code inconnu"))</f>
        <v/>
      </c>
      <c r="D693" s="67" t="n"/>
      <c r="E693" s="7" t="n"/>
      <c r="F693" s="68">
        <f>IF(OR(B693="",A693=""),"",IF(COUNTIFS('Relevés compteurs'!$B$5:$B$1504,B693,'Relevés compteurs'!$A$5:$A$1504,"&lt;"&amp;A693)=0,"",D693-_xlfn.MAXIFS('Relevés compteurs'!$D$5:$D$1504,'Relevés compteurs'!$B$5:$B$1504,B693,'Relevés compteurs'!$A$5:$A$1504,"&lt;"&amp;A693)))</f>
        <v/>
      </c>
    </row>
    <row r="694">
      <c r="A694" s="65" t="n"/>
      <c r="B694" s="7" t="n"/>
      <c r="C694" s="9">
        <f>IF(B694="","",IFERROR(INDEX('Équipements'!$B$5:$B$304,MATCH(B694,'Équipements'!$A$5:$A$304,0)),"Code inconnu"))</f>
        <v/>
      </c>
      <c r="D694" s="67" t="n"/>
      <c r="E694" s="7" t="n"/>
      <c r="F694" s="68">
        <f>IF(OR(B694="",A694=""),"",IF(COUNTIFS('Relevés compteurs'!$B$5:$B$1504,B694,'Relevés compteurs'!$A$5:$A$1504,"&lt;"&amp;A694)=0,"",D694-_xlfn.MAXIFS('Relevés compteurs'!$D$5:$D$1504,'Relevés compteurs'!$B$5:$B$1504,B694,'Relevés compteurs'!$A$5:$A$1504,"&lt;"&amp;A694)))</f>
        <v/>
      </c>
    </row>
    <row r="695">
      <c r="A695" s="65" t="n"/>
      <c r="B695" s="7" t="n"/>
      <c r="C695" s="9">
        <f>IF(B695="","",IFERROR(INDEX('Équipements'!$B$5:$B$304,MATCH(B695,'Équipements'!$A$5:$A$304,0)),"Code inconnu"))</f>
        <v/>
      </c>
      <c r="D695" s="67" t="n"/>
      <c r="E695" s="7" t="n"/>
      <c r="F695" s="68">
        <f>IF(OR(B695="",A695=""),"",IF(COUNTIFS('Relevés compteurs'!$B$5:$B$1504,B695,'Relevés compteurs'!$A$5:$A$1504,"&lt;"&amp;A695)=0,"",D695-_xlfn.MAXIFS('Relevés compteurs'!$D$5:$D$1504,'Relevés compteurs'!$B$5:$B$1504,B695,'Relevés compteurs'!$A$5:$A$1504,"&lt;"&amp;A695)))</f>
        <v/>
      </c>
    </row>
    <row r="696">
      <c r="A696" s="65" t="n"/>
      <c r="B696" s="7" t="n"/>
      <c r="C696" s="9">
        <f>IF(B696="","",IFERROR(INDEX('Équipements'!$B$5:$B$304,MATCH(B696,'Équipements'!$A$5:$A$304,0)),"Code inconnu"))</f>
        <v/>
      </c>
      <c r="D696" s="67" t="n"/>
      <c r="E696" s="7" t="n"/>
      <c r="F696" s="68">
        <f>IF(OR(B696="",A696=""),"",IF(COUNTIFS('Relevés compteurs'!$B$5:$B$1504,B696,'Relevés compteurs'!$A$5:$A$1504,"&lt;"&amp;A696)=0,"",D696-_xlfn.MAXIFS('Relevés compteurs'!$D$5:$D$1504,'Relevés compteurs'!$B$5:$B$1504,B696,'Relevés compteurs'!$A$5:$A$1504,"&lt;"&amp;A696)))</f>
        <v/>
      </c>
    </row>
    <row r="697">
      <c r="A697" s="65" t="n"/>
      <c r="B697" s="7" t="n"/>
      <c r="C697" s="9">
        <f>IF(B697="","",IFERROR(INDEX('Équipements'!$B$5:$B$304,MATCH(B697,'Équipements'!$A$5:$A$304,0)),"Code inconnu"))</f>
        <v/>
      </c>
      <c r="D697" s="67" t="n"/>
      <c r="E697" s="7" t="n"/>
      <c r="F697" s="68">
        <f>IF(OR(B697="",A697=""),"",IF(COUNTIFS('Relevés compteurs'!$B$5:$B$1504,B697,'Relevés compteurs'!$A$5:$A$1504,"&lt;"&amp;A697)=0,"",D697-_xlfn.MAXIFS('Relevés compteurs'!$D$5:$D$1504,'Relevés compteurs'!$B$5:$B$1504,B697,'Relevés compteurs'!$A$5:$A$1504,"&lt;"&amp;A697)))</f>
        <v/>
      </c>
    </row>
    <row r="698">
      <c r="A698" s="65" t="n"/>
      <c r="B698" s="7" t="n"/>
      <c r="C698" s="9">
        <f>IF(B698="","",IFERROR(INDEX('Équipements'!$B$5:$B$304,MATCH(B698,'Équipements'!$A$5:$A$304,0)),"Code inconnu"))</f>
        <v/>
      </c>
      <c r="D698" s="67" t="n"/>
      <c r="E698" s="7" t="n"/>
      <c r="F698" s="68">
        <f>IF(OR(B698="",A698=""),"",IF(COUNTIFS('Relevés compteurs'!$B$5:$B$1504,B698,'Relevés compteurs'!$A$5:$A$1504,"&lt;"&amp;A698)=0,"",D698-_xlfn.MAXIFS('Relevés compteurs'!$D$5:$D$1504,'Relevés compteurs'!$B$5:$B$1504,B698,'Relevés compteurs'!$A$5:$A$1504,"&lt;"&amp;A698)))</f>
        <v/>
      </c>
    </row>
    <row r="699">
      <c r="A699" s="65" t="n"/>
      <c r="B699" s="7" t="n"/>
      <c r="C699" s="9">
        <f>IF(B699="","",IFERROR(INDEX('Équipements'!$B$5:$B$304,MATCH(B699,'Équipements'!$A$5:$A$304,0)),"Code inconnu"))</f>
        <v/>
      </c>
      <c r="D699" s="67" t="n"/>
      <c r="E699" s="7" t="n"/>
      <c r="F699" s="68">
        <f>IF(OR(B699="",A699=""),"",IF(COUNTIFS('Relevés compteurs'!$B$5:$B$1504,B699,'Relevés compteurs'!$A$5:$A$1504,"&lt;"&amp;A699)=0,"",D699-_xlfn.MAXIFS('Relevés compteurs'!$D$5:$D$1504,'Relevés compteurs'!$B$5:$B$1504,B699,'Relevés compteurs'!$A$5:$A$1504,"&lt;"&amp;A699)))</f>
        <v/>
      </c>
    </row>
    <row r="700">
      <c r="A700" s="65" t="n"/>
      <c r="B700" s="7" t="n"/>
      <c r="C700" s="9">
        <f>IF(B700="","",IFERROR(INDEX('Équipements'!$B$5:$B$304,MATCH(B700,'Équipements'!$A$5:$A$304,0)),"Code inconnu"))</f>
        <v/>
      </c>
      <c r="D700" s="67" t="n"/>
      <c r="E700" s="7" t="n"/>
      <c r="F700" s="68">
        <f>IF(OR(B700="",A700=""),"",IF(COUNTIFS('Relevés compteurs'!$B$5:$B$1504,B700,'Relevés compteurs'!$A$5:$A$1504,"&lt;"&amp;A700)=0,"",D700-_xlfn.MAXIFS('Relevés compteurs'!$D$5:$D$1504,'Relevés compteurs'!$B$5:$B$1504,B700,'Relevés compteurs'!$A$5:$A$1504,"&lt;"&amp;A700)))</f>
        <v/>
      </c>
    </row>
    <row r="701">
      <c r="A701" s="65" t="n"/>
      <c r="B701" s="7" t="n"/>
      <c r="C701" s="9">
        <f>IF(B701="","",IFERROR(INDEX('Équipements'!$B$5:$B$304,MATCH(B701,'Équipements'!$A$5:$A$304,0)),"Code inconnu"))</f>
        <v/>
      </c>
      <c r="D701" s="67" t="n"/>
      <c r="E701" s="7" t="n"/>
      <c r="F701" s="68">
        <f>IF(OR(B701="",A701=""),"",IF(COUNTIFS('Relevés compteurs'!$B$5:$B$1504,B701,'Relevés compteurs'!$A$5:$A$1504,"&lt;"&amp;A701)=0,"",D701-_xlfn.MAXIFS('Relevés compteurs'!$D$5:$D$1504,'Relevés compteurs'!$B$5:$B$1504,B701,'Relevés compteurs'!$A$5:$A$1504,"&lt;"&amp;A701)))</f>
        <v/>
      </c>
    </row>
    <row r="702">
      <c r="A702" s="65" t="n"/>
      <c r="B702" s="7" t="n"/>
      <c r="C702" s="9">
        <f>IF(B702="","",IFERROR(INDEX('Équipements'!$B$5:$B$304,MATCH(B702,'Équipements'!$A$5:$A$304,0)),"Code inconnu"))</f>
        <v/>
      </c>
      <c r="D702" s="67" t="n"/>
      <c r="E702" s="7" t="n"/>
      <c r="F702" s="68">
        <f>IF(OR(B702="",A702=""),"",IF(COUNTIFS('Relevés compteurs'!$B$5:$B$1504,B702,'Relevés compteurs'!$A$5:$A$1504,"&lt;"&amp;A702)=0,"",D702-_xlfn.MAXIFS('Relevés compteurs'!$D$5:$D$1504,'Relevés compteurs'!$B$5:$B$1504,B702,'Relevés compteurs'!$A$5:$A$1504,"&lt;"&amp;A702)))</f>
        <v/>
      </c>
    </row>
    <row r="703">
      <c r="A703" s="65" t="n"/>
      <c r="B703" s="7" t="n"/>
      <c r="C703" s="9">
        <f>IF(B703="","",IFERROR(INDEX('Équipements'!$B$5:$B$304,MATCH(B703,'Équipements'!$A$5:$A$304,0)),"Code inconnu"))</f>
        <v/>
      </c>
      <c r="D703" s="67" t="n"/>
      <c r="E703" s="7" t="n"/>
      <c r="F703" s="68">
        <f>IF(OR(B703="",A703=""),"",IF(COUNTIFS('Relevés compteurs'!$B$5:$B$1504,B703,'Relevés compteurs'!$A$5:$A$1504,"&lt;"&amp;A703)=0,"",D703-_xlfn.MAXIFS('Relevés compteurs'!$D$5:$D$1504,'Relevés compteurs'!$B$5:$B$1504,B703,'Relevés compteurs'!$A$5:$A$1504,"&lt;"&amp;A703)))</f>
        <v/>
      </c>
    </row>
    <row r="704">
      <c r="A704" s="65" t="n"/>
      <c r="B704" s="7" t="n"/>
      <c r="C704" s="9">
        <f>IF(B704="","",IFERROR(INDEX('Équipements'!$B$5:$B$304,MATCH(B704,'Équipements'!$A$5:$A$304,0)),"Code inconnu"))</f>
        <v/>
      </c>
      <c r="D704" s="67" t="n"/>
      <c r="E704" s="7" t="n"/>
      <c r="F704" s="68">
        <f>IF(OR(B704="",A704=""),"",IF(COUNTIFS('Relevés compteurs'!$B$5:$B$1504,B704,'Relevés compteurs'!$A$5:$A$1504,"&lt;"&amp;A704)=0,"",D704-_xlfn.MAXIFS('Relevés compteurs'!$D$5:$D$1504,'Relevés compteurs'!$B$5:$B$1504,B704,'Relevés compteurs'!$A$5:$A$1504,"&lt;"&amp;A704)))</f>
        <v/>
      </c>
    </row>
    <row r="705">
      <c r="A705" s="65" t="n"/>
      <c r="B705" s="7" t="n"/>
      <c r="C705" s="9">
        <f>IF(B705="","",IFERROR(INDEX('Équipements'!$B$5:$B$304,MATCH(B705,'Équipements'!$A$5:$A$304,0)),"Code inconnu"))</f>
        <v/>
      </c>
      <c r="D705" s="67" t="n"/>
      <c r="E705" s="7" t="n"/>
      <c r="F705" s="68">
        <f>IF(OR(B705="",A705=""),"",IF(COUNTIFS('Relevés compteurs'!$B$5:$B$1504,B705,'Relevés compteurs'!$A$5:$A$1504,"&lt;"&amp;A705)=0,"",D705-_xlfn.MAXIFS('Relevés compteurs'!$D$5:$D$1504,'Relevés compteurs'!$B$5:$B$1504,B705,'Relevés compteurs'!$A$5:$A$1504,"&lt;"&amp;A705)))</f>
        <v/>
      </c>
    </row>
    <row r="706">
      <c r="A706" s="65" t="n"/>
      <c r="B706" s="7" t="n"/>
      <c r="C706" s="9">
        <f>IF(B706="","",IFERROR(INDEX('Équipements'!$B$5:$B$304,MATCH(B706,'Équipements'!$A$5:$A$304,0)),"Code inconnu"))</f>
        <v/>
      </c>
      <c r="D706" s="67" t="n"/>
      <c r="E706" s="7" t="n"/>
      <c r="F706" s="68">
        <f>IF(OR(B706="",A706=""),"",IF(COUNTIFS('Relevés compteurs'!$B$5:$B$1504,B706,'Relevés compteurs'!$A$5:$A$1504,"&lt;"&amp;A706)=0,"",D706-_xlfn.MAXIFS('Relevés compteurs'!$D$5:$D$1504,'Relevés compteurs'!$B$5:$B$1504,B706,'Relevés compteurs'!$A$5:$A$1504,"&lt;"&amp;A706)))</f>
        <v/>
      </c>
    </row>
    <row r="707">
      <c r="A707" s="65" t="n"/>
      <c r="B707" s="7" t="n"/>
      <c r="C707" s="9">
        <f>IF(B707="","",IFERROR(INDEX('Équipements'!$B$5:$B$304,MATCH(B707,'Équipements'!$A$5:$A$304,0)),"Code inconnu"))</f>
        <v/>
      </c>
      <c r="D707" s="67" t="n"/>
      <c r="E707" s="7" t="n"/>
      <c r="F707" s="68">
        <f>IF(OR(B707="",A707=""),"",IF(COUNTIFS('Relevés compteurs'!$B$5:$B$1504,B707,'Relevés compteurs'!$A$5:$A$1504,"&lt;"&amp;A707)=0,"",D707-_xlfn.MAXIFS('Relevés compteurs'!$D$5:$D$1504,'Relevés compteurs'!$B$5:$B$1504,B707,'Relevés compteurs'!$A$5:$A$1504,"&lt;"&amp;A707)))</f>
        <v/>
      </c>
    </row>
    <row r="708">
      <c r="A708" s="65" t="n"/>
      <c r="B708" s="7" t="n"/>
      <c r="C708" s="9">
        <f>IF(B708="","",IFERROR(INDEX('Équipements'!$B$5:$B$304,MATCH(B708,'Équipements'!$A$5:$A$304,0)),"Code inconnu"))</f>
        <v/>
      </c>
      <c r="D708" s="67" t="n"/>
      <c r="E708" s="7" t="n"/>
      <c r="F708" s="68">
        <f>IF(OR(B708="",A708=""),"",IF(COUNTIFS('Relevés compteurs'!$B$5:$B$1504,B708,'Relevés compteurs'!$A$5:$A$1504,"&lt;"&amp;A708)=0,"",D708-_xlfn.MAXIFS('Relevés compteurs'!$D$5:$D$1504,'Relevés compteurs'!$B$5:$B$1504,B708,'Relevés compteurs'!$A$5:$A$1504,"&lt;"&amp;A708)))</f>
        <v/>
      </c>
    </row>
    <row r="709">
      <c r="A709" s="65" t="n"/>
      <c r="B709" s="7" t="n"/>
      <c r="C709" s="9">
        <f>IF(B709="","",IFERROR(INDEX('Équipements'!$B$5:$B$304,MATCH(B709,'Équipements'!$A$5:$A$304,0)),"Code inconnu"))</f>
        <v/>
      </c>
      <c r="D709" s="67" t="n"/>
      <c r="E709" s="7" t="n"/>
      <c r="F709" s="68">
        <f>IF(OR(B709="",A709=""),"",IF(COUNTIFS('Relevés compteurs'!$B$5:$B$1504,B709,'Relevés compteurs'!$A$5:$A$1504,"&lt;"&amp;A709)=0,"",D709-_xlfn.MAXIFS('Relevés compteurs'!$D$5:$D$1504,'Relevés compteurs'!$B$5:$B$1504,B709,'Relevés compteurs'!$A$5:$A$1504,"&lt;"&amp;A709)))</f>
        <v/>
      </c>
    </row>
    <row r="710">
      <c r="A710" s="65" t="n"/>
      <c r="B710" s="7" t="n"/>
      <c r="C710" s="9">
        <f>IF(B710="","",IFERROR(INDEX('Équipements'!$B$5:$B$304,MATCH(B710,'Équipements'!$A$5:$A$304,0)),"Code inconnu"))</f>
        <v/>
      </c>
      <c r="D710" s="67" t="n"/>
      <c r="E710" s="7" t="n"/>
      <c r="F710" s="68">
        <f>IF(OR(B710="",A710=""),"",IF(COUNTIFS('Relevés compteurs'!$B$5:$B$1504,B710,'Relevés compteurs'!$A$5:$A$1504,"&lt;"&amp;A710)=0,"",D710-_xlfn.MAXIFS('Relevés compteurs'!$D$5:$D$1504,'Relevés compteurs'!$B$5:$B$1504,B710,'Relevés compteurs'!$A$5:$A$1504,"&lt;"&amp;A710)))</f>
        <v/>
      </c>
    </row>
    <row r="711">
      <c r="A711" s="65" t="n"/>
      <c r="B711" s="7" t="n"/>
      <c r="C711" s="9">
        <f>IF(B711="","",IFERROR(INDEX('Équipements'!$B$5:$B$304,MATCH(B711,'Équipements'!$A$5:$A$304,0)),"Code inconnu"))</f>
        <v/>
      </c>
      <c r="D711" s="67" t="n"/>
      <c r="E711" s="7" t="n"/>
      <c r="F711" s="68">
        <f>IF(OR(B711="",A711=""),"",IF(COUNTIFS('Relevés compteurs'!$B$5:$B$1504,B711,'Relevés compteurs'!$A$5:$A$1504,"&lt;"&amp;A711)=0,"",D711-_xlfn.MAXIFS('Relevés compteurs'!$D$5:$D$1504,'Relevés compteurs'!$B$5:$B$1504,B711,'Relevés compteurs'!$A$5:$A$1504,"&lt;"&amp;A711)))</f>
        <v/>
      </c>
    </row>
    <row r="712">
      <c r="A712" s="65" t="n"/>
      <c r="B712" s="7" t="n"/>
      <c r="C712" s="9">
        <f>IF(B712="","",IFERROR(INDEX('Équipements'!$B$5:$B$304,MATCH(B712,'Équipements'!$A$5:$A$304,0)),"Code inconnu"))</f>
        <v/>
      </c>
      <c r="D712" s="67" t="n"/>
      <c r="E712" s="7" t="n"/>
      <c r="F712" s="68">
        <f>IF(OR(B712="",A712=""),"",IF(COUNTIFS('Relevés compteurs'!$B$5:$B$1504,B712,'Relevés compteurs'!$A$5:$A$1504,"&lt;"&amp;A712)=0,"",D712-_xlfn.MAXIFS('Relevés compteurs'!$D$5:$D$1504,'Relevés compteurs'!$B$5:$B$1504,B712,'Relevés compteurs'!$A$5:$A$1504,"&lt;"&amp;A712)))</f>
        <v/>
      </c>
    </row>
    <row r="713">
      <c r="A713" s="65" t="n"/>
      <c r="B713" s="7" t="n"/>
      <c r="C713" s="9">
        <f>IF(B713="","",IFERROR(INDEX('Équipements'!$B$5:$B$304,MATCH(B713,'Équipements'!$A$5:$A$304,0)),"Code inconnu"))</f>
        <v/>
      </c>
      <c r="D713" s="67" t="n"/>
      <c r="E713" s="7" t="n"/>
      <c r="F713" s="68">
        <f>IF(OR(B713="",A713=""),"",IF(COUNTIFS('Relevés compteurs'!$B$5:$B$1504,B713,'Relevés compteurs'!$A$5:$A$1504,"&lt;"&amp;A713)=0,"",D713-_xlfn.MAXIFS('Relevés compteurs'!$D$5:$D$1504,'Relevés compteurs'!$B$5:$B$1504,B713,'Relevés compteurs'!$A$5:$A$1504,"&lt;"&amp;A713)))</f>
        <v/>
      </c>
    </row>
    <row r="714">
      <c r="A714" s="65" t="n"/>
      <c r="B714" s="7" t="n"/>
      <c r="C714" s="9">
        <f>IF(B714="","",IFERROR(INDEX('Équipements'!$B$5:$B$304,MATCH(B714,'Équipements'!$A$5:$A$304,0)),"Code inconnu"))</f>
        <v/>
      </c>
      <c r="D714" s="67" t="n"/>
      <c r="E714" s="7" t="n"/>
      <c r="F714" s="68">
        <f>IF(OR(B714="",A714=""),"",IF(COUNTIFS('Relevés compteurs'!$B$5:$B$1504,B714,'Relevés compteurs'!$A$5:$A$1504,"&lt;"&amp;A714)=0,"",D714-_xlfn.MAXIFS('Relevés compteurs'!$D$5:$D$1504,'Relevés compteurs'!$B$5:$B$1504,B714,'Relevés compteurs'!$A$5:$A$1504,"&lt;"&amp;A714)))</f>
        <v/>
      </c>
    </row>
    <row r="715">
      <c r="A715" s="65" t="n"/>
      <c r="B715" s="7" t="n"/>
      <c r="C715" s="9">
        <f>IF(B715="","",IFERROR(INDEX('Équipements'!$B$5:$B$304,MATCH(B715,'Équipements'!$A$5:$A$304,0)),"Code inconnu"))</f>
        <v/>
      </c>
      <c r="D715" s="67" t="n"/>
      <c r="E715" s="7" t="n"/>
      <c r="F715" s="68">
        <f>IF(OR(B715="",A715=""),"",IF(COUNTIFS('Relevés compteurs'!$B$5:$B$1504,B715,'Relevés compteurs'!$A$5:$A$1504,"&lt;"&amp;A715)=0,"",D715-_xlfn.MAXIFS('Relevés compteurs'!$D$5:$D$1504,'Relevés compteurs'!$B$5:$B$1504,B715,'Relevés compteurs'!$A$5:$A$1504,"&lt;"&amp;A715)))</f>
        <v/>
      </c>
    </row>
    <row r="716">
      <c r="A716" s="65" t="n"/>
      <c r="B716" s="7" t="n"/>
      <c r="C716" s="9">
        <f>IF(B716="","",IFERROR(INDEX('Équipements'!$B$5:$B$304,MATCH(B716,'Équipements'!$A$5:$A$304,0)),"Code inconnu"))</f>
        <v/>
      </c>
      <c r="D716" s="67" t="n"/>
      <c r="E716" s="7" t="n"/>
      <c r="F716" s="68">
        <f>IF(OR(B716="",A716=""),"",IF(COUNTIFS('Relevés compteurs'!$B$5:$B$1504,B716,'Relevés compteurs'!$A$5:$A$1504,"&lt;"&amp;A716)=0,"",D716-_xlfn.MAXIFS('Relevés compteurs'!$D$5:$D$1504,'Relevés compteurs'!$B$5:$B$1504,B716,'Relevés compteurs'!$A$5:$A$1504,"&lt;"&amp;A716)))</f>
        <v/>
      </c>
    </row>
    <row r="717">
      <c r="A717" s="65" t="n"/>
      <c r="B717" s="7" t="n"/>
      <c r="C717" s="9">
        <f>IF(B717="","",IFERROR(INDEX('Équipements'!$B$5:$B$304,MATCH(B717,'Équipements'!$A$5:$A$304,0)),"Code inconnu"))</f>
        <v/>
      </c>
      <c r="D717" s="67" t="n"/>
      <c r="E717" s="7" t="n"/>
      <c r="F717" s="68">
        <f>IF(OR(B717="",A717=""),"",IF(COUNTIFS('Relevés compteurs'!$B$5:$B$1504,B717,'Relevés compteurs'!$A$5:$A$1504,"&lt;"&amp;A717)=0,"",D717-_xlfn.MAXIFS('Relevés compteurs'!$D$5:$D$1504,'Relevés compteurs'!$B$5:$B$1504,B717,'Relevés compteurs'!$A$5:$A$1504,"&lt;"&amp;A717)))</f>
        <v/>
      </c>
    </row>
    <row r="718">
      <c r="A718" s="65" t="n"/>
      <c r="B718" s="7" t="n"/>
      <c r="C718" s="9">
        <f>IF(B718="","",IFERROR(INDEX('Équipements'!$B$5:$B$304,MATCH(B718,'Équipements'!$A$5:$A$304,0)),"Code inconnu"))</f>
        <v/>
      </c>
      <c r="D718" s="67" t="n"/>
      <c r="E718" s="7" t="n"/>
      <c r="F718" s="68">
        <f>IF(OR(B718="",A718=""),"",IF(COUNTIFS('Relevés compteurs'!$B$5:$B$1504,B718,'Relevés compteurs'!$A$5:$A$1504,"&lt;"&amp;A718)=0,"",D718-_xlfn.MAXIFS('Relevés compteurs'!$D$5:$D$1504,'Relevés compteurs'!$B$5:$B$1504,B718,'Relevés compteurs'!$A$5:$A$1504,"&lt;"&amp;A718)))</f>
        <v/>
      </c>
    </row>
    <row r="719">
      <c r="A719" s="65" t="n"/>
      <c r="B719" s="7" t="n"/>
      <c r="C719" s="9">
        <f>IF(B719="","",IFERROR(INDEX('Équipements'!$B$5:$B$304,MATCH(B719,'Équipements'!$A$5:$A$304,0)),"Code inconnu"))</f>
        <v/>
      </c>
      <c r="D719" s="67" t="n"/>
      <c r="E719" s="7" t="n"/>
      <c r="F719" s="68">
        <f>IF(OR(B719="",A719=""),"",IF(COUNTIFS('Relevés compteurs'!$B$5:$B$1504,B719,'Relevés compteurs'!$A$5:$A$1504,"&lt;"&amp;A719)=0,"",D719-_xlfn.MAXIFS('Relevés compteurs'!$D$5:$D$1504,'Relevés compteurs'!$B$5:$B$1504,B719,'Relevés compteurs'!$A$5:$A$1504,"&lt;"&amp;A719)))</f>
        <v/>
      </c>
    </row>
    <row r="720">
      <c r="A720" s="65" t="n"/>
      <c r="B720" s="7" t="n"/>
      <c r="C720" s="9">
        <f>IF(B720="","",IFERROR(INDEX('Équipements'!$B$5:$B$304,MATCH(B720,'Équipements'!$A$5:$A$304,0)),"Code inconnu"))</f>
        <v/>
      </c>
      <c r="D720" s="67" t="n"/>
      <c r="E720" s="7" t="n"/>
      <c r="F720" s="68">
        <f>IF(OR(B720="",A720=""),"",IF(COUNTIFS('Relevés compteurs'!$B$5:$B$1504,B720,'Relevés compteurs'!$A$5:$A$1504,"&lt;"&amp;A720)=0,"",D720-_xlfn.MAXIFS('Relevés compteurs'!$D$5:$D$1504,'Relevés compteurs'!$B$5:$B$1504,B720,'Relevés compteurs'!$A$5:$A$1504,"&lt;"&amp;A720)))</f>
        <v/>
      </c>
    </row>
    <row r="721">
      <c r="A721" s="65" t="n"/>
      <c r="B721" s="7" t="n"/>
      <c r="C721" s="9">
        <f>IF(B721="","",IFERROR(INDEX('Équipements'!$B$5:$B$304,MATCH(B721,'Équipements'!$A$5:$A$304,0)),"Code inconnu"))</f>
        <v/>
      </c>
      <c r="D721" s="67" t="n"/>
      <c r="E721" s="7" t="n"/>
      <c r="F721" s="68">
        <f>IF(OR(B721="",A721=""),"",IF(COUNTIFS('Relevés compteurs'!$B$5:$B$1504,B721,'Relevés compteurs'!$A$5:$A$1504,"&lt;"&amp;A721)=0,"",D721-_xlfn.MAXIFS('Relevés compteurs'!$D$5:$D$1504,'Relevés compteurs'!$B$5:$B$1504,B721,'Relevés compteurs'!$A$5:$A$1504,"&lt;"&amp;A721)))</f>
        <v/>
      </c>
    </row>
    <row r="722">
      <c r="A722" s="65" t="n"/>
      <c r="B722" s="7" t="n"/>
      <c r="C722" s="9">
        <f>IF(B722="","",IFERROR(INDEX('Équipements'!$B$5:$B$304,MATCH(B722,'Équipements'!$A$5:$A$304,0)),"Code inconnu"))</f>
        <v/>
      </c>
      <c r="D722" s="67" t="n"/>
      <c r="E722" s="7" t="n"/>
      <c r="F722" s="68">
        <f>IF(OR(B722="",A722=""),"",IF(COUNTIFS('Relevés compteurs'!$B$5:$B$1504,B722,'Relevés compteurs'!$A$5:$A$1504,"&lt;"&amp;A722)=0,"",D722-_xlfn.MAXIFS('Relevés compteurs'!$D$5:$D$1504,'Relevés compteurs'!$B$5:$B$1504,B722,'Relevés compteurs'!$A$5:$A$1504,"&lt;"&amp;A722)))</f>
        <v/>
      </c>
    </row>
    <row r="723">
      <c r="A723" s="65" t="n"/>
      <c r="B723" s="7" t="n"/>
      <c r="C723" s="9">
        <f>IF(B723="","",IFERROR(INDEX('Équipements'!$B$5:$B$304,MATCH(B723,'Équipements'!$A$5:$A$304,0)),"Code inconnu"))</f>
        <v/>
      </c>
      <c r="D723" s="67" t="n"/>
      <c r="E723" s="7" t="n"/>
      <c r="F723" s="68">
        <f>IF(OR(B723="",A723=""),"",IF(COUNTIFS('Relevés compteurs'!$B$5:$B$1504,B723,'Relevés compteurs'!$A$5:$A$1504,"&lt;"&amp;A723)=0,"",D723-_xlfn.MAXIFS('Relevés compteurs'!$D$5:$D$1504,'Relevés compteurs'!$B$5:$B$1504,B723,'Relevés compteurs'!$A$5:$A$1504,"&lt;"&amp;A723)))</f>
        <v/>
      </c>
    </row>
    <row r="724">
      <c r="A724" s="65" t="n"/>
      <c r="B724" s="7" t="n"/>
      <c r="C724" s="9">
        <f>IF(B724="","",IFERROR(INDEX('Équipements'!$B$5:$B$304,MATCH(B724,'Équipements'!$A$5:$A$304,0)),"Code inconnu"))</f>
        <v/>
      </c>
      <c r="D724" s="67" t="n"/>
      <c r="E724" s="7" t="n"/>
      <c r="F724" s="68">
        <f>IF(OR(B724="",A724=""),"",IF(COUNTIFS('Relevés compteurs'!$B$5:$B$1504,B724,'Relevés compteurs'!$A$5:$A$1504,"&lt;"&amp;A724)=0,"",D724-_xlfn.MAXIFS('Relevés compteurs'!$D$5:$D$1504,'Relevés compteurs'!$B$5:$B$1504,B724,'Relevés compteurs'!$A$5:$A$1504,"&lt;"&amp;A724)))</f>
        <v/>
      </c>
    </row>
    <row r="725">
      <c r="A725" s="65" t="n"/>
      <c r="B725" s="7" t="n"/>
      <c r="C725" s="9">
        <f>IF(B725="","",IFERROR(INDEX('Équipements'!$B$5:$B$304,MATCH(B725,'Équipements'!$A$5:$A$304,0)),"Code inconnu"))</f>
        <v/>
      </c>
      <c r="D725" s="67" t="n"/>
      <c r="E725" s="7" t="n"/>
      <c r="F725" s="68">
        <f>IF(OR(B725="",A725=""),"",IF(COUNTIFS('Relevés compteurs'!$B$5:$B$1504,B725,'Relevés compteurs'!$A$5:$A$1504,"&lt;"&amp;A725)=0,"",D725-_xlfn.MAXIFS('Relevés compteurs'!$D$5:$D$1504,'Relevés compteurs'!$B$5:$B$1504,B725,'Relevés compteurs'!$A$5:$A$1504,"&lt;"&amp;A725)))</f>
        <v/>
      </c>
    </row>
    <row r="726">
      <c r="A726" s="65" t="n"/>
      <c r="B726" s="7" t="n"/>
      <c r="C726" s="9">
        <f>IF(B726="","",IFERROR(INDEX('Équipements'!$B$5:$B$304,MATCH(B726,'Équipements'!$A$5:$A$304,0)),"Code inconnu"))</f>
        <v/>
      </c>
      <c r="D726" s="67" t="n"/>
      <c r="E726" s="7" t="n"/>
      <c r="F726" s="68">
        <f>IF(OR(B726="",A726=""),"",IF(COUNTIFS('Relevés compteurs'!$B$5:$B$1504,B726,'Relevés compteurs'!$A$5:$A$1504,"&lt;"&amp;A726)=0,"",D726-_xlfn.MAXIFS('Relevés compteurs'!$D$5:$D$1504,'Relevés compteurs'!$B$5:$B$1504,B726,'Relevés compteurs'!$A$5:$A$1504,"&lt;"&amp;A726)))</f>
        <v/>
      </c>
    </row>
    <row r="727">
      <c r="A727" s="65" t="n"/>
      <c r="B727" s="7" t="n"/>
      <c r="C727" s="9">
        <f>IF(B727="","",IFERROR(INDEX('Équipements'!$B$5:$B$304,MATCH(B727,'Équipements'!$A$5:$A$304,0)),"Code inconnu"))</f>
        <v/>
      </c>
      <c r="D727" s="67" t="n"/>
      <c r="E727" s="7" t="n"/>
      <c r="F727" s="68">
        <f>IF(OR(B727="",A727=""),"",IF(COUNTIFS('Relevés compteurs'!$B$5:$B$1504,B727,'Relevés compteurs'!$A$5:$A$1504,"&lt;"&amp;A727)=0,"",D727-_xlfn.MAXIFS('Relevés compteurs'!$D$5:$D$1504,'Relevés compteurs'!$B$5:$B$1504,B727,'Relevés compteurs'!$A$5:$A$1504,"&lt;"&amp;A727)))</f>
        <v/>
      </c>
    </row>
    <row r="728">
      <c r="A728" s="65" t="n"/>
      <c r="B728" s="7" t="n"/>
      <c r="C728" s="9">
        <f>IF(B728="","",IFERROR(INDEX('Équipements'!$B$5:$B$304,MATCH(B728,'Équipements'!$A$5:$A$304,0)),"Code inconnu"))</f>
        <v/>
      </c>
      <c r="D728" s="67" t="n"/>
      <c r="E728" s="7" t="n"/>
      <c r="F728" s="68">
        <f>IF(OR(B728="",A728=""),"",IF(COUNTIFS('Relevés compteurs'!$B$5:$B$1504,B728,'Relevés compteurs'!$A$5:$A$1504,"&lt;"&amp;A728)=0,"",D728-_xlfn.MAXIFS('Relevés compteurs'!$D$5:$D$1504,'Relevés compteurs'!$B$5:$B$1504,B728,'Relevés compteurs'!$A$5:$A$1504,"&lt;"&amp;A728)))</f>
        <v/>
      </c>
    </row>
    <row r="729">
      <c r="A729" s="65" t="n"/>
      <c r="B729" s="7" t="n"/>
      <c r="C729" s="9">
        <f>IF(B729="","",IFERROR(INDEX('Équipements'!$B$5:$B$304,MATCH(B729,'Équipements'!$A$5:$A$304,0)),"Code inconnu"))</f>
        <v/>
      </c>
      <c r="D729" s="67" t="n"/>
      <c r="E729" s="7" t="n"/>
      <c r="F729" s="68">
        <f>IF(OR(B729="",A729=""),"",IF(COUNTIFS('Relevés compteurs'!$B$5:$B$1504,B729,'Relevés compteurs'!$A$5:$A$1504,"&lt;"&amp;A729)=0,"",D729-_xlfn.MAXIFS('Relevés compteurs'!$D$5:$D$1504,'Relevés compteurs'!$B$5:$B$1504,B729,'Relevés compteurs'!$A$5:$A$1504,"&lt;"&amp;A729)))</f>
        <v/>
      </c>
    </row>
    <row r="730">
      <c r="A730" s="65" t="n"/>
      <c r="B730" s="7" t="n"/>
      <c r="C730" s="9">
        <f>IF(B730="","",IFERROR(INDEX('Équipements'!$B$5:$B$304,MATCH(B730,'Équipements'!$A$5:$A$304,0)),"Code inconnu"))</f>
        <v/>
      </c>
      <c r="D730" s="67" t="n"/>
      <c r="E730" s="7" t="n"/>
      <c r="F730" s="68">
        <f>IF(OR(B730="",A730=""),"",IF(COUNTIFS('Relevés compteurs'!$B$5:$B$1504,B730,'Relevés compteurs'!$A$5:$A$1504,"&lt;"&amp;A730)=0,"",D730-_xlfn.MAXIFS('Relevés compteurs'!$D$5:$D$1504,'Relevés compteurs'!$B$5:$B$1504,B730,'Relevés compteurs'!$A$5:$A$1504,"&lt;"&amp;A730)))</f>
        <v/>
      </c>
    </row>
    <row r="731">
      <c r="A731" s="65" t="n"/>
      <c r="B731" s="7" t="n"/>
      <c r="C731" s="9">
        <f>IF(B731="","",IFERROR(INDEX('Équipements'!$B$5:$B$304,MATCH(B731,'Équipements'!$A$5:$A$304,0)),"Code inconnu"))</f>
        <v/>
      </c>
      <c r="D731" s="67" t="n"/>
      <c r="E731" s="7" t="n"/>
      <c r="F731" s="68">
        <f>IF(OR(B731="",A731=""),"",IF(COUNTIFS('Relevés compteurs'!$B$5:$B$1504,B731,'Relevés compteurs'!$A$5:$A$1504,"&lt;"&amp;A731)=0,"",D731-_xlfn.MAXIFS('Relevés compteurs'!$D$5:$D$1504,'Relevés compteurs'!$B$5:$B$1504,B731,'Relevés compteurs'!$A$5:$A$1504,"&lt;"&amp;A731)))</f>
        <v/>
      </c>
    </row>
    <row r="732">
      <c r="A732" s="65" t="n"/>
      <c r="B732" s="7" t="n"/>
      <c r="C732" s="9">
        <f>IF(B732="","",IFERROR(INDEX('Équipements'!$B$5:$B$304,MATCH(B732,'Équipements'!$A$5:$A$304,0)),"Code inconnu"))</f>
        <v/>
      </c>
      <c r="D732" s="67" t="n"/>
      <c r="E732" s="7" t="n"/>
      <c r="F732" s="68">
        <f>IF(OR(B732="",A732=""),"",IF(COUNTIFS('Relevés compteurs'!$B$5:$B$1504,B732,'Relevés compteurs'!$A$5:$A$1504,"&lt;"&amp;A732)=0,"",D732-_xlfn.MAXIFS('Relevés compteurs'!$D$5:$D$1504,'Relevés compteurs'!$B$5:$B$1504,B732,'Relevés compteurs'!$A$5:$A$1504,"&lt;"&amp;A732)))</f>
        <v/>
      </c>
    </row>
    <row r="733">
      <c r="A733" s="65" t="n"/>
      <c r="B733" s="7" t="n"/>
      <c r="C733" s="9">
        <f>IF(B733="","",IFERROR(INDEX('Équipements'!$B$5:$B$304,MATCH(B733,'Équipements'!$A$5:$A$304,0)),"Code inconnu"))</f>
        <v/>
      </c>
      <c r="D733" s="67" t="n"/>
      <c r="E733" s="7" t="n"/>
      <c r="F733" s="68">
        <f>IF(OR(B733="",A733=""),"",IF(COUNTIFS('Relevés compteurs'!$B$5:$B$1504,B733,'Relevés compteurs'!$A$5:$A$1504,"&lt;"&amp;A733)=0,"",D733-_xlfn.MAXIFS('Relevés compteurs'!$D$5:$D$1504,'Relevés compteurs'!$B$5:$B$1504,B733,'Relevés compteurs'!$A$5:$A$1504,"&lt;"&amp;A733)))</f>
        <v/>
      </c>
    </row>
    <row r="734">
      <c r="A734" s="65" t="n"/>
      <c r="B734" s="7" t="n"/>
      <c r="C734" s="9">
        <f>IF(B734="","",IFERROR(INDEX('Équipements'!$B$5:$B$304,MATCH(B734,'Équipements'!$A$5:$A$304,0)),"Code inconnu"))</f>
        <v/>
      </c>
      <c r="D734" s="67" t="n"/>
      <c r="E734" s="7" t="n"/>
      <c r="F734" s="68">
        <f>IF(OR(B734="",A734=""),"",IF(COUNTIFS('Relevés compteurs'!$B$5:$B$1504,B734,'Relevés compteurs'!$A$5:$A$1504,"&lt;"&amp;A734)=0,"",D734-_xlfn.MAXIFS('Relevés compteurs'!$D$5:$D$1504,'Relevés compteurs'!$B$5:$B$1504,B734,'Relevés compteurs'!$A$5:$A$1504,"&lt;"&amp;A734)))</f>
        <v/>
      </c>
    </row>
    <row r="735">
      <c r="A735" s="65" t="n"/>
      <c r="B735" s="7" t="n"/>
      <c r="C735" s="9">
        <f>IF(B735="","",IFERROR(INDEX('Équipements'!$B$5:$B$304,MATCH(B735,'Équipements'!$A$5:$A$304,0)),"Code inconnu"))</f>
        <v/>
      </c>
      <c r="D735" s="67" t="n"/>
      <c r="E735" s="7" t="n"/>
      <c r="F735" s="68">
        <f>IF(OR(B735="",A735=""),"",IF(COUNTIFS('Relevés compteurs'!$B$5:$B$1504,B735,'Relevés compteurs'!$A$5:$A$1504,"&lt;"&amp;A735)=0,"",D735-_xlfn.MAXIFS('Relevés compteurs'!$D$5:$D$1504,'Relevés compteurs'!$B$5:$B$1504,B735,'Relevés compteurs'!$A$5:$A$1504,"&lt;"&amp;A735)))</f>
        <v/>
      </c>
    </row>
    <row r="736">
      <c r="A736" s="65" t="n"/>
      <c r="B736" s="7" t="n"/>
      <c r="C736" s="9">
        <f>IF(B736="","",IFERROR(INDEX('Équipements'!$B$5:$B$304,MATCH(B736,'Équipements'!$A$5:$A$304,0)),"Code inconnu"))</f>
        <v/>
      </c>
      <c r="D736" s="67" t="n"/>
      <c r="E736" s="7" t="n"/>
      <c r="F736" s="68">
        <f>IF(OR(B736="",A736=""),"",IF(COUNTIFS('Relevés compteurs'!$B$5:$B$1504,B736,'Relevés compteurs'!$A$5:$A$1504,"&lt;"&amp;A736)=0,"",D736-_xlfn.MAXIFS('Relevés compteurs'!$D$5:$D$1504,'Relevés compteurs'!$B$5:$B$1504,B736,'Relevés compteurs'!$A$5:$A$1504,"&lt;"&amp;A736)))</f>
        <v/>
      </c>
    </row>
    <row r="737">
      <c r="A737" s="65" t="n"/>
      <c r="B737" s="7" t="n"/>
      <c r="C737" s="9">
        <f>IF(B737="","",IFERROR(INDEX('Équipements'!$B$5:$B$304,MATCH(B737,'Équipements'!$A$5:$A$304,0)),"Code inconnu"))</f>
        <v/>
      </c>
      <c r="D737" s="67" t="n"/>
      <c r="E737" s="7" t="n"/>
      <c r="F737" s="68">
        <f>IF(OR(B737="",A737=""),"",IF(COUNTIFS('Relevés compteurs'!$B$5:$B$1504,B737,'Relevés compteurs'!$A$5:$A$1504,"&lt;"&amp;A737)=0,"",D737-_xlfn.MAXIFS('Relevés compteurs'!$D$5:$D$1504,'Relevés compteurs'!$B$5:$B$1504,B737,'Relevés compteurs'!$A$5:$A$1504,"&lt;"&amp;A737)))</f>
        <v/>
      </c>
    </row>
    <row r="738">
      <c r="A738" s="65" t="n"/>
      <c r="B738" s="7" t="n"/>
      <c r="C738" s="9">
        <f>IF(B738="","",IFERROR(INDEX('Équipements'!$B$5:$B$304,MATCH(B738,'Équipements'!$A$5:$A$304,0)),"Code inconnu"))</f>
        <v/>
      </c>
      <c r="D738" s="67" t="n"/>
      <c r="E738" s="7" t="n"/>
      <c r="F738" s="68">
        <f>IF(OR(B738="",A738=""),"",IF(COUNTIFS('Relevés compteurs'!$B$5:$B$1504,B738,'Relevés compteurs'!$A$5:$A$1504,"&lt;"&amp;A738)=0,"",D738-_xlfn.MAXIFS('Relevés compteurs'!$D$5:$D$1504,'Relevés compteurs'!$B$5:$B$1504,B738,'Relevés compteurs'!$A$5:$A$1504,"&lt;"&amp;A738)))</f>
        <v/>
      </c>
    </row>
    <row r="739">
      <c r="A739" s="65" t="n"/>
      <c r="B739" s="7" t="n"/>
      <c r="C739" s="9">
        <f>IF(B739="","",IFERROR(INDEX('Équipements'!$B$5:$B$304,MATCH(B739,'Équipements'!$A$5:$A$304,0)),"Code inconnu"))</f>
        <v/>
      </c>
      <c r="D739" s="67" t="n"/>
      <c r="E739" s="7" t="n"/>
      <c r="F739" s="68">
        <f>IF(OR(B739="",A739=""),"",IF(COUNTIFS('Relevés compteurs'!$B$5:$B$1504,B739,'Relevés compteurs'!$A$5:$A$1504,"&lt;"&amp;A739)=0,"",D739-_xlfn.MAXIFS('Relevés compteurs'!$D$5:$D$1504,'Relevés compteurs'!$B$5:$B$1504,B739,'Relevés compteurs'!$A$5:$A$1504,"&lt;"&amp;A739)))</f>
        <v/>
      </c>
    </row>
    <row r="740">
      <c r="A740" s="65" t="n"/>
      <c r="B740" s="7" t="n"/>
      <c r="C740" s="9">
        <f>IF(B740="","",IFERROR(INDEX('Équipements'!$B$5:$B$304,MATCH(B740,'Équipements'!$A$5:$A$304,0)),"Code inconnu"))</f>
        <v/>
      </c>
      <c r="D740" s="67" t="n"/>
      <c r="E740" s="7" t="n"/>
      <c r="F740" s="68">
        <f>IF(OR(B740="",A740=""),"",IF(COUNTIFS('Relevés compteurs'!$B$5:$B$1504,B740,'Relevés compteurs'!$A$5:$A$1504,"&lt;"&amp;A740)=0,"",D740-_xlfn.MAXIFS('Relevés compteurs'!$D$5:$D$1504,'Relevés compteurs'!$B$5:$B$1504,B740,'Relevés compteurs'!$A$5:$A$1504,"&lt;"&amp;A740)))</f>
        <v/>
      </c>
    </row>
    <row r="741">
      <c r="A741" s="65" t="n"/>
      <c r="B741" s="7" t="n"/>
      <c r="C741" s="9">
        <f>IF(B741="","",IFERROR(INDEX('Équipements'!$B$5:$B$304,MATCH(B741,'Équipements'!$A$5:$A$304,0)),"Code inconnu"))</f>
        <v/>
      </c>
      <c r="D741" s="67" t="n"/>
      <c r="E741" s="7" t="n"/>
      <c r="F741" s="68">
        <f>IF(OR(B741="",A741=""),"",IF(COUNTIFS('Relevés compteurs'!$B$5:$B$1504,B741,'Relevés compteurs'!$A$5:$A$1504,"&lt;"&amp;A741)=0,"",D741-_xlfn.MAXIFS('Relevés compteurs'!$D$5:$D$1504,'Relevés compteurs'!$B$5:$B$1504,B741,'Relevés compteurs'!$A$5:$A$1504,"&lt;"&amp;A741)))</f>
        <v/>
      </c>
    </row>
    <row r="742">
      <c r="A742" s="65" t="n"/>
      <c r="B742" s="7" t="n"/>
      <c r="C742" s="9">
        <f>IF(B742="","",IFERROR(INDEX('Équipements'!$B$5:$B$304,MATCH(B742,'Équipements'!$A$5:$A$304,0)),"Code inconnu"))</f>
        <v/>
      </c>
      <c r="D742" s="67" t="n"/>
      <c r="E742" s="7" t="n"/>
      <c r="F742" s="68">
        <f>IF(OR(B742="",A742=""),"",IF(COUNTIFS('Relevés compteurs'!$B$5:$B$1504,B742,'Relevés compteurs'!$A$5:$A$1504,"&lt;"&amp;A742)=0,"",D742-_xlfn.MAXIFS('Relevés compteurs'!$D$5:$D$1504,'Relevés compteurs'!$B$5:$B$1504,B742,'Relevés compteurs'!$A$5:$A$1504,"&lt;"&amp;A742)))</f>
        <v/>
      </c>
    </row>
    <row r="743">
      <c r="A743" s="65" t="n"/>
      <c r="B743" s="7" t="n"/>
      <c r="C743" s="9">
        <f>IF(B743="","",IFERROR(INDEX('Équipements'!$B$5:$B$304,MATCH(B743,'Équipements'!$A$5:$A$304,0)),"Code inconnu"))</f>
        <v/>
      </c>
      <c r="D743" s="67" t="n"/>
      <c r="E743" s="7" t="n"/>
      <c r="F743" s="68">
        <f>IF(OR(B743="",A743=""),"",IF(COUNTIFS('Relevés compteurs'!$B$5:$B$1504,B743,'Relevés compteurs'!$A$5:$A$1504,"&lt;"&amp;A743)=0,"",D743-_xlfn.MAXIFS('Relevés compteurs'!$D$5:$D$1504,'Relevés compteurs'!$B$5:$B$1504,B743,'Relevés compteurs'!$A$5:$A$1504,"&lt;"&amp;A743)))</f>
        <v/>
      </c>
    </row>
    <row r="744">
      <c r="A744" s="65" t="n"/>
      <c r="B744" s="7" t="n"/>
      <c r="C744" s="9">
        <f>IF(B744="","",IFERROR(INDEX('Équipements'!$B$5:$B$304,MATCH(B744,'Équipements'!$A$5:$A$304,0)),"Code inconnu"))</f>
        <v/>
      </c>
      <c r="D744" s="67" t="n"/>
      <c r="E744" s="7" t="n"/>
      <c r="F744" s="68">
        <f>IF(OR(B744="",A744=""),"",IF(COUNTIFS('Relevés compteurs'!$B$5:$B$1504,B744,'Relevés compteurs'!$A$5:$A$1504,"&lt;"&amp;A744)=0,"",D744-_xlfn.MAXIFS('Relevés compteurs'!$D$5:$D$1504,'Relevés compteurs'!$B$5:$B$1504,B744,'Relevés compteurs'!$A$5:$A$1504,"&lt;"&amp;A744)))</f>
        <v/>
      </c>
    </row>
    <row r="745">
      <c r="A745" s="65" t="n"/>
      <c r="B745" s="7" t="n"/>
      <c r="C745" s="9">
        <f>IF(B745="","",IFERROR(INDEX('Équipements'!$B$5:$B$304,MATCH(B745,'Équipements'!$A$5:$A$304,0)),"Code inconnu"))</f>
        <v/>
      </c>
      <c r="D745" s="67" t="n"/>
      <c r="E745" s="7" t="n"/>
      <c r="F745" s="68">
        <f>IF(OR(B745="",A745=""),"",IF(COUNTIFS('Relevés compteurs'!$B$5:$B$1504,B745,'Relevés compteurs'!$A$5:$A$1504,"&lt;"&amp;A745)=0,"",D745-_xlfn.MAXIFS('Relevés compteurs'!$D$5:$D$1504,'Relevés compteurs'!$B$5:$B$1504,B745,'Relevés compteurs'!$A$5:$A$1504,"&lt;"&amp;A745)))</f>
        <v/>
      </c>
    </row>
    <row r="746">
      <c r="A746" s="65" t="n"/>
      <c r="B746" s="7" t="n"/>
      <c r="C746" s="9">
        <f>IF(B746="","",IFERROR(INDEX('Équipements'!$B$5:$B$304,MATCH(B746,'Équipements'!$A$5:$A$304,0)),"Code inconnu"))</f>
        <v/>
      </c>
      <c r="D746" s="67" t="n"/>
      <c r="E746" s="7" t="n"/>
      <c r="F746" s="68">
        <f>IF(OR(B746="",A746=""),"",IF(COUNTIFS('Relevés compteurs'!$B$5:$B$1504,B746,'Relevés compteurs'!$A$5:$A$1504,"&lt;"&amp;A746)=0,"",D746-_xlfn.MAXIFS('Relevés compteurs'!$D$5:$D$1504,'Relevés compteurs'!$B$5:$B$1504,B746,'Relevés compteurs'!$A$5:$A$1504,"&lt;"&amp;A746)))</f>
        <v/>
      </c>
    </row>
    <row r="747">
      <c r="A747" s="65" t="n"/>
      <c r="B747" s="7" t="n"/>
      <c r="C747" s="9">
        <f>IF(B747="","",IFERROR(INDEX('Équipements'!$B$5:$B$304,MATCH(B747,'Équipements'!$A$5:$A$304,0)),"Code inconnu"))</f>
        <v/>
      </c>
      <c r="D747" s="67" t="n"/>
      <c r="E747" s="7" t="n"/>
      <c r="F747" s="68">
        <f>IF(OR(B747="",A747=""),"",IF(COUNTIFS('Relevés compteurs'!$B$5:$B$1504,B747,'Relevés compteurs'!$A$5:$A$1504,"&lt;"&amp;A747)=0,"",D747-_xlfn.MAXIFS('Relevés compteurs'!$D$5:$D$1504,'Relevés compteurs'!$B$5:$B$1504,B747,'Relevés compteurs'!$A$5:$A$1504,"&lt;"&amp;A747)))</f>
        <v/>
      </c>
    </row>
    <row r="748">
      <c r="A748" s="65" t="n"/>
      <c r="B748" s="7" t="n"/>
      <c r="C748" s="9">
        <f>IF(B748="","",IFERROR(INDEX('Équipements'!$B$5:$B$304,MATCH(B748,'Équipements'!$A$5:$A$304,0)),"Code inconnu"))</f>
        <v/>
      </c>
      <c r="D748" s="67" t="n"/>
      <c r="E748" s="7" t="n"/>
      <c r="F748" s="68">
        <f>IF(OR(B748="",A748=""),"",IF(COUNTIFS('Relevés compteurs'!$B$5:$B$1504,B748,'Relevés compteurs'!$A$5:$A$1504,"&lt;"&amp;A748)=0,"",D748-_xlfn.MAXIFS('Relevés compteurs'!$D$5:$D$1504,'Relevés compteurs'!$B$5:$B$1504,B748,'Relevés compteurs'!$A$5:$A$1504,"&lt;"&amp;A748)))</f>
        <v/>
      </c>
    </row>
    <row r="749">
      <c r="A749" s="65" t="n"/>
      <c r="B749" s="7" t="n"/>
      <c r="C749" s="9">
        <f>IF(B749="","",IFERROR(INDEX('Équipements'!$B$5:$B$304,MATCH(B749,'Équipements'!$A$5:$A$304,0)),"Code inconnu"))</f>
        <v/>
      </c>
      <c r="D749" s="67" t="n"/>
      <c r="E749" s="7" t="n"/>
      <c r="F749" s="68">
        <f>IF(OR(B749="",A749=""),"",IF(COUNTIFS('Relevés compteurs'!$B$5:$B$1504,B749,'Relevés compteurs'!$A$5:$A$1504,"&lt;"&amp;A749)=0,"",D749-_xlfn.MAXIFS('Relevés compteurs'!$D$5:$D$1504,'Relevés compteurs'!$B$5:$B$1504,B749,'Relevés compteurs'!$A$5:$A$1504,"&lt;"&amp;A749)))</f>
        <v/>
      </c>
    </row>
    <row r="750">
      <c r="A750" s="65" t="n"/>
      <c r="B750" s="7" t="n"/>
      <c r="C750" s="9">
        <f>IF(B750="","",IFERROR(INDEX('Équipements'!$B$5:$B$304,MATCH(B750,'Équipements'!$A$5:$A$304,0)),"Code inconnu"))</f>
        <v/>
      </c>
      <c r="D750" s="67" t="n"/>
      <c r="E750" s="7" t="n"/>
      <c r="F750" s="68">
        <f>IF(OR(B750="",A750=""),"",IF(COUNTIFS('Relevés compteurs'!$B$5:$B$1504,B750,'Relevés compteurs'!$A$5:$A$1504,"&lt;"&amp;A750)=0,"",D750-_xlfn.MAXIFS('Relevés compteurs'!$D$5:$D$1504,'Relevés compteurs'!$B$5:$B$1504,B750,'Relevés compteurs'!$A$5:$A$1504,"&lt;"&amp;A750)))</f>
        <v/>
      </c>
    </row>
    <row r="751">
      <c r="A751" s="65" t="n"/>
      <c r="B751" s="7" t="n"/>
      <c r="C751" s="9">
        <f>IF(B751="","",IFERROR(INDEX('Équipements'!$B$5:$B$304,MATCH(B751,'Équipements'!$A$5:$A$304,0)),"Code inconnu"))</f>
        <v/>
      </c>
      <c r="D751" s="67" t="n"/>
      <c r="E751" s="7" t="n"/>
      <c r="F751" s="68">
        <f>IF(OR(B751="",A751=""),"",IF(COUNTIFS('Relevés compteurs'!$B$5:$B$1504,B751,'Relevés compteurs'!$A$5:$A$1504,"&lt;"&amp;A751)=0,"",D751-_xlfn.MAXIFS('Relevés compteurs'!$D$5:$D$1504,'Relevés compteurs'!$B$5:$B$1504,B751,'Relevés compteurs'!$A$5:$A$1504,"&lt;"&amp;A751)))</f>
        <v/>
      </c>
    </row>
    <row r="752">
      <c r="A752" s="65" t="n"/>
      <c r="B752" s="7" t="n"/>
      <c r="C752" s="9">
        <f>IF(B752="","",IFERROR(INDEX('Équipements'!$B$5:$B$304,MATCH(B752,'Équipements'!$A$5:$A$304,0)),"Code inconnu"))</f>
        <v/>
      </c>
      <c r="D752" s="67" t="n"/>
      <c r="E752" s="7" t="n"/>
      <c r="F752" s="68">
        <f>IF(OR(B752="",A752=""),"",IF(COUNTIFS('Relevés compteurs'!$B$5:$B$1504,B752,'Relevés compteurs'!$A$5:$A$1504,"&lt;"&amp;A752)=0,"",D752-_xlfn.MAXIFS('Relevés compteurs'!$D$5:$D$1504,'Relevés compteurs'!$B$5:$B$1504,B752,'Relevés compteurs'!$A$5:$A$1504,"&lt;"&amp;A752)))</f>
        <v/>
      </c>
    </row>
    <row r="753">
      <c r="A753" s="65" t="n"/>
      <c r="B753" s="7" t="n"/>
      <c r="C753" s="9">
        <f>IF(B753="","",IFERROR(INDEX('Équipements'!$B$5:$B$304,MATCH(B753,'Équipements'!$A$5:$A$304,0)),"Code inconnu"))</f>
        <v/>
      </c>
      <c r="D753" s="67" t="n"/>
      <c r="E753" s="7" t="n"/>
      <c r="F753" s="68">
        <f>IF(OR(B753="",A753=""),"",IF(COUNTIFS('Relevés compteurs'!$B$5:$B$1504,B753,'Relevés compteurs'!$A$5:$A$1504,"&lt;"&amp;A753)=0,"",D753-_xlfn.MAXIFS('Relevés compteurs'!$D$5:$D$1504,'Relevés compteurs'!$B$5:$B$1504,B753,'Relevés compteurs'!$A$5:$A$1504,"&lt;"&amp;A753)))</f>
        <v/>
      </c>
    </row>
    <row r="754">
      <c r="A754" s="65" t="n"/>
      <c r="B754" s="7" t="n"/>
      <c r="C754" s="9">
        <f>IF(B754="","",IFERROR(INDEX('Équipements'!$B$5:$B$304,MATCH(B754,'Équipements'!$A$5:$A$304,0)),"Code inconnu"))</f>
        <v/>
      </c>
      <c r="D754" s="67" t="n"/>
      <c r="E754" s="7" t="n"/>
      <c r="F754" s="68">
        <f>IF(OR(B754="",A754=""),"",IF(COUNTIFS('Relevés compteurs'!$B$5:$B$1504,B754,'Relevés compteurs'!$A$5:$A$1504,"&lt;"&amp;A754)=0,"",D754-_xlfn.MAXIFS('Relevés compteurs'!$D$5:$D$1504,'Relevés compteurs'!$B$5:$B$1504,B754,'Relevés compteurs'!$A$5:$A$1504,"&lt;"&amp;A754)))</f>
        <v/>
      </c>
    </row>
    <row r="755">
      <c r="A755" s="65" t="n"/>
      <c r="B755" s="7" t="n"/>
      <c r="C755" s="9">
        <f>IF(B755="","",IFERROR(INDEX('Équipements'!$B$5:$B$304,MATCH(B755,'Équipements'!$A$5:$A$304,0)),"Code inconnu"))</f>
        <v/>
      </c>
      <c r="D755" s="67" t="n"/>
      <c r="E755" s="7" t="n"/>
      <c r="F755" s="68">
        <f>IF(OR(B755="",A755=""),"",IF(COUNTIFS('Relevés compteurs'!$B$5:$B$1504,B755,'Relevés compteurs'!$A$5:$A$1504,"&lt;"&amp;A755)=0,"",D755-_xlfn.MAXIFS('Relevés compteurs'!$D$5:$D$1504,'Relevés compteurs'!$B$5:$B$1504,B755,'Relevés compteurs'!$A$5:$A$1504,"&lt;"&amp;A755)))</f>
        <v/>
      </c>
    </row>
    <row r="756">
      <c r="A756" s="65" t="n"/>
      <c r="B756" s="7" t="n"/>
      <c r="C756" s="9">
        <f>IF(B756="","",IFERROR(INDEX('Équipements'!$B$5:$B$304,MATCH(B756,'Équipements'!$A$5:$A$304,0)),"Code inconnu"))</f>
        <v/>
      </c>
      <c r="D756" s="67" t="n"/>
      <c r="E756" s="7" t="n"/>
      <c r="F756" s="68">
        <f>IF(OR(B756="",A756=""),"",IF(COUNTIFS('Relevés compteurs'!$B$5:$B$1504,B756,'Relevés compteurs'!$A$5:$A$1504,"&lt;"&amp;A756)=0,"",D756-_xlfn.MAXIFS('Relevés compteurs'!$D$5:$D$1504,'Relevés compteurs'!$B$5:$B$1504,B756,'Relevés compteurs'!$A$5:$A$1504,"&lt;"&amp;A756)))</f>
        <v/>
      </c>
    </row>
    <row r="757">
      <c r="A757" s="65" t="n"/>
      <c r="B757" s="7" t="n"/>
      <c r="C757" s="9">
        <f>IF(B757="","",IFERROR(INDEX('Équipements'!$B$5:$B$304,MATCH(B757,'Équipements'!$A$5:$A$304,0)),"Code inconnu"))</f>
        <v/>
      </c>
      <c r="D757" s="67" t="n"/>
      <c r="E757" s="7" t="n"/>
      <c r="F757" s="68">
        <f>IF(OR(B757="",A757=""),"",IF(COUNTIFS('Relevés compteurs'!$B$5:$B$1504,B757,'Relevés compteurs'!$A$5:$A$1504,"&lt;"&amp;A757)=0,"",D757-_xlfn.MAXIFS('Relevés compteurs'!$D$5:$D$1504,'Relevés compteurs'!$B$5:$B$1504,B757,'Relevés compteurs'!$A$5:$A$1504,"&lt;"&amp;A757)))</f>
        <v/>
      </c>
    </row>
    <row r="758">
      <c r="A758" s="65" t="n"/>
      <c r="B758" s="7" t="n"/>
      <c r="C758" s="9">
        <f>IF(B758="","",IFERROR(INDEX('Équipements'!$B$5:$B$304,MATCH(B758,'Équipements'!$A$5:$A$304,0)),"Code inconnu"))</f>
        <v/>
      </c>
      <c r="D758" s="67" t="n"/>
      <c r="E758" s="7" t="n"/>
      <c r="F758" s="68">
        <f>IF(OR(B758="",A758=""),"",IF(COUNTIFS('Relevés compteurs'!$B$5:$B$1504,B758,'Relevés compteurs'!$A$5:$A$1504,"&lt;"&amp;A758)=0,"",D758-_xlfn.MAXIFS('Relevés compteurs'!$D$5:$D$1504,'Relevés compteurs'!$B$5:$B$1504,B758,'Relevés compteurs'!$A$5:$A$1504,"&lt;"&amp;A758)))</f>
        <v/>
      </c>
    </row>
    <row r="759">
      <c r="A759" s="65" t="n"/>
      <c r="B759" s="7" t="n"/>
      <c r="C759" s="9">
        <f>IF(B759="","",IFERROR(INDEX('Équipements'!$B$5:$B$304,MATCH(B759,'Équipements'!$A$5:$A$304,0)),"Code inconnu"))</f>
        <v/>
      </c>
      <c r="D759" s="67" t="n"/>
      <c r="E759" s="7" t="n"/>
      <c r="F759" s="68">
        <f>IF(OR(B759="",A759=""),"",IF(COUNTIFS('Relevés compteurs'!$B$5:$B$1504,B759,'Relevés compteurs'!$A$5:$A$1504,"&lt;"&amp;A759)=0,"",D759-_xlfn.MAXIFS('Relevés compteurs'!$D$5:$D$1504,'Relevés compteurs'!$B$5:$B$1504,B759,'Relevés compteurs'!$A$5:$A$1504,"&lt;"&amp;A759)))</f>
        <v/>
      </c>
    </row>
    <row r="760">
      <c r="A760" s="65" t="n"/>
      <c r="B760" s="7" t="n"/>
      <c r="C760" s="9">
        <f>IF(B760="","",IFERROR(INDEX('Équipements'!$B$5:$B$304,MATCH(B760,'Équipements'!$A$5:$A$304,0)),"Code inconnu"))</f>
        <v/>
      </c>
      <c r="D760" s="67" t="n"/>
      <c r="E760" s="7" t="n"/>
      <c r="F760" s="68">
        <f>IF(OR(B760="",A760=""),"",IF(COUNTIFS('Relevés compteurs'!$B$5:$B$1504,B760,'Relevés compteurs'!$A$5:$A$1504,"&lt;"&amp;A760)=0,"",D760-_xlfn.MAXIFS('Relevés compteurs'!$D$5:$D$1504,'Relevés compteurs'!$B$5:$B$1504,B760,'Relevés compteurs'!$A$5:$A$1504,"&lt;"&amp;A760)))</f>
        <v/>
      </c>
    </row>
    <row r="761">
      <c r="A761" s="65" t="n"/>
      <c r="B761" s="7" t="n"/>
      <c r="C761" s="9">
        <f>IF(B761="","",IFERROR(INDEX('Équipements'!$B$5:$B$304,MATCH(B761,'Équipements'!$A$5:$A$304,0)),"Code inconnu"))</f>
        <v/>
      </c>
      <c r="D761" s="67" t="n"/>
      <c r="E761" s="7" t="n"/>
      <c r="F761" s="68">
        <f>IF(OR(B761="",A761=""),"",IF(COUNTIFS('Relevés compteurs'!$B$5:$B$1504,B761,'Relevés compteurs'!$A$5:$A$1504,"&lt;"&amp;A761)=0,"",D761-_xlfn.MAXIFS('Relevés compteurs'!$D$5:$D$1504,'Relevés compteurs'!$B$5:$B$1504,B761,'Relevés compteurs'!$A$5:$A$1504,"&lt;"&amp;A761)))</f>
        <v/>
      </c>
    </row>
    <row r="762">
      <c r="A762" s="65" t="n"/>
      <c r="B762" s="7" t="n"/>
      <c r="C762" s="9">
        <f>IF(B762="","",IFERROR(INDEX('Équipements'!$B$5:$B$304,MATCH(B762,'Équipements'!$A$5:$A$304,0)),"Code inconnu"))</f>
        <v/>
      </c>
      <c r="D762" s="67" t="n"/>
      <c r="E762" s="7" t="n"/>
      <c r="F762" s="68">
        <f>IF(OR(B762="",A762=""),"",IF(COUNTIFS('Relevés compteurs'!$B$5:$B$1504,B762,'Relevés compteurs'!$A$5:$A$1504,"&lt;"&amp;A762)=0,"",D762-_xlfn.MAXIFS('Relevés compteurs'!$D$5:$D$1504,'Relevés compteurs'!$B$5:$B$1504,B762,'Relevés compteurs'!$A$5:$A$1504,"&lt;"&amp;A762)))</f>
        <v/>
      </c>
    </row>
    <row r="763">
      <c r="A763" s="65" t="n"/>
      <c r="B763" s="7" t="n"/>
      <c r="C763" s="9">
        <f>IF(B763="","",IFERROR(INDEX('Équipements'!$B$5:$B$304,MATCH(B763,'Équipements'!$A$5:$A$304,0)),"Code inconnu"))</f>
        <v/>
      </c>
      <c r="D763" s="67" t="n"/>
      <c r="E763" s="7" t="n"/>
      <c r="F763" s="68">
        <f>IF(OR(B763="",A763=""),"",IF(COUNTIFS('Relevés compteurs'!$B$5:$B$1504,B763,'Relevés compteurs'!$A$5:$A$1504,"&lt;"&amp;A763)=0,"",D763-_xlfn.MAXIFS('Relevés compteurs'!$D$5:$D$1504,'Relevés compteurs'!$B$5:$B$1504,B763,'Relevés compteurs'!$A$5:$A$1504,"&lt;"&amp;A763)))</f>
        <v/>
      </c>
    </row>
    <row r="764">
      <c r="A764" s="65" t="n"/>
      <c r="B764" s="7" t="n"/>
      <c r="C764" s="9">
        <f>IF(B764="","",IFERROR(INDEX('Équipements'!$B$5:$B$304,MATCH(B764,'Équipements'!$A$5:$A$304,0)),"Code inconnu"))</f>
        <v/>
      </c>
      <c r="D764" s="67" t="n"/>
      <c r="E764" s="7" t="n"/>
      <c r="F764" s="68">
        <f>IF(OR(B764="",A764=""),"",IF(COUNTIFS('Relevés compteurs'!$B$5:$B$1504,B764,'Relevés compteurs'!$A$5:$A$1504,"&lt;"&amp;A764)=0,"",D764-_xlfn.MAXIFS('Relevés compteurs'!$D$5:$D$1504,'Relevés compteurs'!$B$5:$B$1504,B764,'Relevés compteurs'!$A$5:$A$1504,"&lt;"&amp;A764)))</f>
        <v/>
      </c>
    </row>
    <row r="765">
      <c r="A765" s="65" t="n"/>
      <c r="B765" s="7" t="n"/>
      <c r="C765" s="9">
        <f>IF(B765="","",IFERROR(INDEX('Équipements'!$B$5:$B$304,MATCH(B765,'Équipements'!$A$5:$A$304,0)),"Code inconnu"))</f>
        <v/>
      </c>
      <c r="D765" s="67" t="n"/>
      <c r="E765" s="7" t="n"/>
      <c r="F765" s="68">
        <f>IF(OR(B765="",A765=""),"",IF(COUNTIFS('Relevés compteurs'!$B$5:$B$1504,B765,'Relevés compteurs'!$A$5:$A$1504,"&lt;"&amp;A765)=0,"",D765-_xlfn.MAXIFS('Relevés compteurs'!$D$5:$D$1504,'Relevés compteurs'!$B$5:$B$1504,B765,'Relevés compteurs'!$A$5:$A$1504,"&lt;"&amp;A765)))</f>
        <v/>
      </c>
    </row>
    <row r="766">
      <c r="A766" s="65" t="n"/>
      <c r="B766" s="7" t="n"/>
      <c r="C766" s="9">
        <f>IF(B766="","",IFERROR(INDEX('Équipements'!$B$5:$B$304,MATCH(B766,'Équipements'!$A$5:$A$304,0)),"Code inconnu"))</f>
        <v/>
      </c>
      <c r="D766" s="67" t="n"/>
      <c r="E766" s="7" t="n"/>
      <c r="F766" s="68">
        <f>IF(OR(B766="",A766=""),"",IF(COUNTIFS('Relevés compteurs'!$B$5:$B$1504,B766,'Relevés compteurs'!$A$5:$A$1504,"&lt;"&amp;A766)=0,"",D766-_xlfn.MAXIFS('Relevés compteurs'!$D$5:$D$1504,'Relevés compteurs'!$B$5:$B$1504,B766,'Relevés compteurs'!$A$5:$A$1504,"&lt;"&amp;A766)))</f>
        <v/>
      </c>
    </row>
    <row r="767">
      <c r="A767" s="65" t="n"/>
      <c r="B767" s="7" t="n"/>
      <c r="C767" s="9">
        <f>IF(B767="","",IFERROR(INDEX('Équipements'!$B$5:$B$304,MATCH(B767,'Équipements'!$A$5:$A$304,0)),"Code inconnu"))</f>
        <v/>
      </c>
      <c r="D767" s="67" t="n"/>
      <c r="E767" s="7" t="n"/>
      <c r="F767" s="68">
        <f>IF(OR(B767="",A767=""),"",IF(COUNTIFS('Relevés compteurs'!$B$5:$B$1504,B767,'Relevés compteurs'!$A$5:$A$1504,"&lt;"&amp;A767)=0,"",D767-_xlfn.MAXIFS('Relevés compteurs'!$D$5:$D$1504,'Relevés compteurs'!$B$5:$B$1504,B767,'Relevés compteurs'!$A$5:$A$1504,"&lt;"&amp;A767)))</f>
        <v/>
      </c>
    </row>
    <row r="768">
      <c r="A768" s="65" t="n"/>
      <c r="B768" s="7" t="n"/>
      <c r="C768" s="9">
        <f>IF(B768="","",IFERROR(INDEX('Équipements'!$B$5:$B$304,MATCH(B768,'Équipements'!$A$5:$A$304,0)),"Code inconnu"))</f>
        <v/>
      </c>
      <c r="D768" s="67" t="n"/>
      <c r="E768" s="7" t="n"/>
      <c r="F768" s="68">
        <f>IF(OR(B768="",A768=""),"",IF(COUNTIFS('Relevés compteurs'!$B$5:$B$1504,B768,'Relevés compteurs'!$A$5:$A$1504,"&lt;"&amp;A768)=0,"",D768-_xlfn.MAXIFS('Relevés compteurs'!$D$5:$D$1504,'Relevés compteurs'!$B$5:$B$1504,B768,'Relevés compteurs'!$A$5:$A$1504,"&lt;"&amp;A768)))</f>
        <v/>
      </c>
    </row>
    <row r="769">
      <c r="A769" s="65" t="n"/>
      <c r="B769" s="7" t="n"/>
      <c r="C769" s="9">
        <f>IF(B769="","",IFERROR(INDEX('Équipements'!$B$5:$B$304,MATCH(B769,'Équipements'!$A$5:$A$304,0)),"Code inconnu"))</f>
        <v/>
      </c>
      <c r="D769" s="67" t="n"/>
      <c r="E769" s="7" t="n"/>
      <c r="F769" s="68">
        <f>IF(OR(B769="",A769=""),"",IF(COUNTIFS('Relevés compteurs'!$B$5:$B$1504,B769,'Relevés compteurs'!$A$5:$A$1504,"&lt;"&amp;A769)=0,"",D769-_xlfn.MAXIFS('Relevés compteurs'!$D$5:$D$1504,'Relevés compteurs'!$B$5:$B$1504,B769,'Relevés compteurs'!$A$5:$A$1504,"&lt;"&amp;A769)))</f>
        <v/>
      </c>
    </row>
    <row r="770">
      <c r="A770" s="65" t="n"/>
      <c r="B770" s="7" t="n"/>
      <c r="C770" s="9">
        <f>IF(B770="","",IFERROR(INDEX('Équipements'!$B$5:$B$304,MATCH(B770,'Équipements'!$A$5:$A$304,0)),"Code inconnu"))</f>
        <v/>
      </c>
      <c r="D770" s="67" t="n"/>
      <c r="E770" s="7" t="n"/>
      <c r="F770" s="68">
        <f>IF(OR(B770="",A770=""),"",IF(COUNTIFS('Relevés compteurs'!$B$5:$B$1504,B770,'Relevés compteurs'!$A$5:$A$1504,"&lt;"&amp;A770)=0,"",D770-_xlfn.MAXIFS('Relevés compteurs'!$D$5:$D$1504,'Relevés compteurs'!$B$5:$B$1504,B770,'Relevés compteurs'!$A$5:$A$1504,"&lt;"&amp;A770)))</f>
        <v/>
      </c>
    </row>
    <row r="771">
      <c r="A771" s="65" t="n"/>
      <c r="B771" s="7" t="n"/>
      <c r="C771" s="9">
        <f>IF(B771="","",IFERROR(INDEX('Équipements'!$B$5:$B$304,MATCH(B771,'Équipements'!$A$5:$A$304,0)),"Code inconnu"))</f>
        <v/>
      </c>
      <c r="D771" s="67" t="n"/>
      <c r="E771" s="7" t="n"/>
      <c r="F771" s="68">
        <f>IF(OR(B771="",A771=""),"",IF(COUNTIFS('Relevés compteurs'!$B$5:$B$1504,B771,'Relevés compteurs'!$A$5:$A$1504,"&lt;"&amp;A771)=0,"",D771-_xlfn.MAXIFS('Relevés compteurs'!$D$5:$D$1504,'Relevés compteurs'!$B$5:$B$1504,B771,'Relevés compteurs'!$A$5:$A$1504,"&lt;"&amp;A771)))</f>
        <v/>
      </c>
    </row>
    <row r="772">
      <c r="A772" s="65" t="n"/>
      <c r="B772" s="7" t="n"/>
      <c r="C772" s="9">
        <f>IF(B772="","",IFERROR(INDEX('Équipements'!$B$5:$B$304,MATCH(B772,'Équipements'!$A$5:$A$304,0)),"Code inconnu"))</f>
        <v/>
      </c>
      <c r="D772" s="67" t="n"/>
      <c r="E772" s="7" t="n"/>
      <c r="F772" s="68">
        <f>IF(OR(B772="",A772=""),"",IF(COUNTIFS('Relevés compteurs'!$B$5:$B$1504,B772,'Relevés compteurs'!$A$5:$A$1504,"&lt;"&amp;A772)=0,"",D772-_xlfn.MAXIFS('Relevés compteurs'!$D$5:$D$1504,'Relevés compteurs'!$B$5:$B$1504,B772,'Relevés compteurs'!$A$5:$A$1504,"&lt;"&amp;A772)))</f>
        <v/>
      </c>
    </row>
    <row r="773">
      <c r="A773" s="65" t="n"/>
      <c r="B773" s="7" t="n"/>
      <c r="C773" s="9">
        <f>IF(B773="","",IFERROR(INDEX('Équipements'!$B$5:$B$304,MATCH(B773,'Équipements'!$A$5:$A$304,0)),"Code inconnu"))</f>
        <v/>
      </c>
      <c r="D773" s="67" t="n"/>
      <c r="E773" s="7" t="n"/>
      <c r="F773" s="68">
        <f>IF(OR(B773="",A773=""),"",IF(COUNTIFS('Relevés compteurs'!$B$5:$B$1504,B773,'Relevés compteurs'!$A$5:$A$1504,"&lt;"&amp;A773)=0,"",D773-_xlfn.MAXIFS('Relevés compteurs'!$D$5:$D$1504,'Relevés compteurs'!$B$5:$B$1504,B773,'Relevés compteurs'!$A$5:$A$1504,"&lt;"&amp;A773)))</f>
        <v/>
      </c>
    </row>
    <row r="774">
      <c r="A774" s="65" t="n"/>
      <c r="B774" s="7" t="n"/>
      <c r="C774" s="9">
        <f>IF(B774="","",IFERROR(INDEX('Équipements'!$B$5:$B$304,MATCH(B774,'Équipements'!$A$5:$A$304,0)),"Code inconnu"))</f>
        <v/>
      </c>
      <c r="D774" s="67" t="n"/>
      <c r="E774" s="7" t="n"/>
      <c r="F774" s="68">
        <f>IF(OR(B774="",A774=""),"",IF(COUNTIFS('Relevés compteurs'!$B$5:$B$1504,B774,'Relevés compteurs'!$A$5:$A$1504,"&lt;"&amp;A774)=0,"",D774-_xlfn.MAXIFS('Relevés compteurs'!$D$5:$D$1504,'Relevés compteurs'!$B$5:$B$1504,B774,'Relevés compteurs'!$A$5:$A$1504,"&lt;"&amp;A774)))</f>
        <v/>
      </c>
    </row>
    <row r="775">
      <c r="A775" s="65" t="n"/>
      <c r="B775" s="7" t="n"/>
      <c r="C775" s="9">
        <f>IF(B775="","",IFERROR(INDEX('Équipements'!$B$5:$B$304,MATCH(B775,'Équipements'!$A$5:$A$304,0)),"Code inconnu"))</f>
        <v/>
      </c>
      <c r="D775" s="67" t="n"/>
      <c r="E775" s="7" t="n"/>
      <c r="F775" s="68">
        <f>IF(OR(B775="",A775=""),"",IF(COUNTIFS('Relevés compteurs'!$B$5:$B$1504,B775,'Relevés compteurs'!$A$5:$A$1504,"&lt;"&amp;A775)=0,"",D775-_xlfn.MAXIFS('Relevés compteurs'!$D$5:$D$1504,'Relevés compteurs'!$B$5:$B$1504,B775,'Relevés compteurs'!$A$5:$A$1504,"&lt;"&amp;A775)))</f>
        <v/>
      </c>
    </row>
    <row r="776">
      <c r="A776" s="65" t="n"/>
      <c r="B776" s="7" t="n"/>
      <c r="C776" s="9">
        <f>IF(B776="","",IFERROR(INDEX('Équipements'!$B$5:$B$304,MATCH(B776,'Équipements'!$A$5:$A$304,0)),"Code inconnu"))</f>
        <v/>
      </c>
      <c r="D776" s="67" t="n"/>
      <c r="E776" s="7" t="n"/>
      <c r="F776" s="68">
        <f>IF(OR(B776="",A776=""),"",IF(COUNTIFS('Relevés compteurs'!$B$5:$B$1504,B776,'Relevés compteurs'!$A$5:$A$1504,"&lt;"&amp;A776)=0,"",D776-_xlfn.MAXIFS('Relevés compteurs'!$D$5:$D$1504,'Relevés compteurs'!$B$5:$B$1504,B776,'Relevés compteurs'!$A$5:$A$1504,"&lt;"&amp;A776)))</f>
        <v/>
      </c>
    </row>
    <row r="777">
      <c r="A777" s="65" t="n"/>
      <c r="B777" s="7" t="n"/>
      <c r="C777" s="9">
        <f>IF(B777="","",IFERROR(INDEX('Équipements'!$B$5:$B$304,MATCH(B777,'Équipements'!$A$5:$A$304,0)),"Code inconnu"))</f>
        <v/>
      </c>
      <c r="D777" s="67" t="n"/>
      <c r="E777" s="7" t="n"/>
      <c r="F777" s="68">
        <f>IF(OR(B777="",A777=""),"",IF(COUNTIFS('Relevés compteurs'!$B$5:$B$1504,B777,'Relevés compteurs'!$A$5:$A$1504,"&lt;"&amp;A777)=0,"",D777-_xlfn.MAXIFS('Relevés compteurs'!$D$5:$D$1504,'Relevés compteurs'!$B$5:$B$1504,B777,'Relevés compteurs'!$A$5:$A$1504,"&lt;"&amp;A777)))</f>
        <v/>
      </c>
    </row>
    <row r="778">
      <c r="A778" s="65" t="n"/>
      <c r="B778" s="7" t="n"/>
      <c r="C778" s="9">
        <f>IF(B778="","",IFERROR(INDEX('Équipements'!$B$5:$B$304,MATCH(B778,'Équipements'!$A$5:$A$304,0)),"Code inconnu"))</f>
        <v/>
      </c>
      <c r="D778" s="67" t="n"/>
      <c r="E778" s="7" t="n"/>
      <c r="F778" s="68">
        <f>IF(OR(B778="",A778=""),"",IF(COUNTIFS('Relevés compteurs'!$B$5:$B$1504,B778,'Relevés compteurs'!$A$5:$A$1504,"&lt;"&amp;A778)=0,"",D778-_xlfn.MAXIFS('Relevés compteurs'!$D$5:$D$1504,'Relevés compteurs'!$B$5:$B$1504,B778,'Relevés compteurs'!$A$5:$A$1504,"&lt;"&amp;A778)))</f>
        <v/>
      </c>
    </row>
    <row r="779">
      <c r="A779" s="65" t="n"/>
      <c r="B779" s="7" t="n"/>
      <c r="C779" s="9">
        <f>IF(B779="","",IFERROR(INDEX('Équipements'!$B$5:$B$304,MATCH(B779,'Équipements'!$A$5:$A$304,0)),"Code inconnu"))</f>
        <v/>
      </c>
      <c r="D779" s="67" t="n"/>
      <c r="E779" s="7" t="n"/>
      <c r="F779" s="68">
        <f>IF(OR(B779="",A779=""),"",IF(COUNTIFS('Relevés compteurs'!$B$5:$B$1504,B779,'Relevés compteurs'!$A$5:$A$1504,"&lt;"&amp;A779)=0,"",D779-_xlfn.MAXIFS('Relevés compteurs'!$D$5:$D$1504,'Relevés compteurs'!$B$5:$B$1504,B779,'Relevés compteurs'!$A$5:$A$1504,"&lt;"&amp;A779)))</f>
        <v/>
      </c>
    </row>
    <row r="780">
      <c r="A780" s="65" t="n"/>
      <c r="B780" s="7" t="n"/>
      <c r="C780" s="9">
        <f>IF(B780="","",IFERROR(INDEX('Équipements'!$B$5:$B$304,MATCH(B780,'Équipements'!$A$5:$A$304,0)),"Code inconnu"))</f>
        <v/>
      </c>
      <c r="D780" s="67" t="n"/>
      <c r="E780" s="7" t="n"/>
      <c r="F780" s="68">
        <f>IF(OR(B780="",A780=""),"",IF(COUNTIFS('Relevés compteurs'!$B$5:$B$1504,B780,'Relevés compteurs'!$A$5:$A$1504,"&lt;"&amp;A780)=0,"",D780-_xlfn.MAXIFS('Relevés compteurs'!$D$5:$D$1504,'Relevés compteurs'!$B$5:$B$1504,B780,'Relevés compteurs'!$A$5:$A$1504,"&lt;"&amp;A780)))</f>
        <v/>
      </c>
    </row>
    <row r="781">
      <c r="A781" s="65" t="n"/>
      <c r="B781" s="7" t="n"/>
      <c r="C781" s="9">
        <f>IF(B781="","",IFERROR(INDEX('Équipements'!$B$5:$B$304,MATCH(B781,'Équipements'!$A$5:$A$304,0)),"Code inconnu"))</f>
        <v/>
      </c>
      <c r="D781" s="67" t="n"/>
      <c r="E781" s="7" t="n"/>
      <c r="F781" s="68">
        <f>IF(OR(B781="",A781=""),"",IF(COUNTIFS('Relevés compteurs'!$B$5:$B$1504,B781,'Relevés compteurs'!$A$5:$A$1504,"&lt;"&amp;A781)=0,"",D781-_xlfn.MAXIFS('Relevés compteurs'!$D$5:$D$1504,'Relevés compteurs'!$B$5:$B$1504,B781,'Relevés compteurs'!$A$5:$A$1504,"&lt;"&amp;A781)))</f>
        <v/>
      </c>
    </row>
    <row r="782">
      <c r="A782" s="65" t="n"/>
      <c r="B782" s="7" t="n"/>
      <c r="C782" s="9">
        <f>IF(B782="","",IFERROR(INDEX('Équipements'!$B$5:$B$304,MATCH(B782,'Équipements'!$A$5:$A$304,0)),"Code inconnu"))</f>
        <v/>
      </c>
      <c r="D782" s="67" t="n"/>
      <c r="E782" s="7" t="n"/>
      <c r="F782" s="68">
        <f>IF(OR(B782="",A782=""),"",IF(COUNTIFS('Relevés compteurs'!$B$5:$B$1504,B782,'Relevés compteurs'!$A$5:$A$1504,"&lt;"&amp;A782)=0,"",D782-_xlfn.MAXIFS('Relevés compteurs'!$D$5:$D$1504,'Relevés compteurs'!$B$5:$B$1504,B782,'Relevés compteurs'!$A$5:$A$1504,"&lt;"&amp;A782)))</f>
        <v/>
      </c>
    </row>
    <row r="783">
      <c r="A783" s="65" t="n"/>
      <c r="B783" s="7" t="n"/>
      <c r="C783" s="9">
        <f>IF(B783="","",IFERROR(INDEX('Équipements'!$B$5:$B$304,MATCH(B783,'Équipements'!$A$5:$A$304,0)),"Code inconnu"))</f>
        <v/>
      </c>
      <c r="D783" s="67" t="n"/>
      <c r="E783" s="7" t="n"/>
      <c r="F783" s="68">
        <f>IF(OR(B783="",A783=""),"",IF(COUNTIFS('Relevés compteurs'!$B$5:$B$1504,B783,'Relevés compteurs'!$A$5:$A$1504,"&lt;"&amp;A783)=0,"",D783-_xlfn.MAXIFS('Relevés compteurs'!$D$5:$D$1504,'Relevés compteurs'!$B$5:$B$1504,B783,'Relevés compteurs'!$A$5:$A$1504,"&lt;"&amp;A783)))</f>
        <v/>
      </c>
    </row>
    <row r="784">
      <c r="A784" s="65" t="n"/>
      <c r="B784" s="7" t="n"/>
      <c r="C784" s="9">
        <f>IF(B784="","",IFERROR(INDEX('Équipements'!$B$5:$B$304,MATCH(B784,'Équipements'!$A$5:$A$304,0)),"Code inconnu"))</f>
        <v/>
      </c>
      <c r="D784" s="67" t="n"/>
      <c r="E784" s="7" t="n"/>
      <c r="F784" s="68">
        <f>IF(OR(B784="",A784=""),"",IF(COUNTIFS('Relevés compteurs'!$B$5:$B$1504,B784,'Relevés compteurs'!$A$5:$A$1504,"&lt;"&amp;A784)=0,"",D784-_xlfn.MAXIFS('Relevés compteurs'!$D$5:$D$1504,'Relevés compteurs'!$B$5:$B$1504,B784,'Relevés compteurs'!$A$5:$A$1504,"&lt;"&amp;A784)))</f>
        <v/>
      </c>
    </row>
    <row r="785">
      <c r="A785" s="65" t="n"/>
      <c r="B785" s="7" t="n"/>
      <c r="C785" s="9">
        <f>IF(B785="","",IFERROR(INDEX('Équipements'!$B$5:$B$304,MATCH(B785,'Équipements'!$A$5:$A$304,0)),"Code inconnu"))</f>
        <v/>
      </c>
      <c r="D785" s="67" t="n"/>
      <c r="E785" s="7" t="n"/>
      <c r="F785" s="68">
        <f>IF(OR(B785="",A785=""),"",IF(COUNTIFS('Relevés compteurs'!$B$5:$B$1504,B785,'Relevés compteurs'!$A$5:$A$1504,"&lt;"&amp;A785)=0,"",D785-_xlfn.MAXIFS('Relevés compteurs'!$D$5:$D$1504,'Relevés compteurs'!$B$5:$B$1504,B785,'Relevés compteurs'!$A$5:$A$1504,"&lt;"&amp;A785)))</f>
        <v/>
      </c>
    </row>
    <row r="786">
      <c r="A786" s="65" t="n"/>
      <c r="B786" s="7" t="n"/>
      <c r="C786" s="9">
        <f>IF(B786="","",IFERROR(INDEX('Équipements'!$B$5:$B$304,MATCH(B786,'Équipements'!$A$5:$A$304,0)),"Code inconnu"))</f>
        <v/>
      </c>
      <c r="D786" s="67" t="n"/>
      <c r="E786" s="7" t="n"/>
      <c r="F786" s="68">
        <f>IF(OR(B786="",A786=""),"",IF(COUNTIFS('Relevés compteurs'!$B$5:$B$1504,B786,'Relevés compteurs'!$A$5:$A$1504,"&lt;"&amp;A786)=0,"",D786-_xlfn.MAXIFS('Relevés compteurs'!$D$5:$D$1504,'Relevés compteurs'!$B$5:$B$1504,B786,'Relevés compteurs'!$A$5:$A$1504,"&lt;"&amp;A786)))</f>
        <v/>
      </c>
    </row>
    <row r="787">
      <c r="A787" s="65" t="n"/>
      <c r="B787" s="7" t="n"/>
      <c r="C787" s="9">
        <f>IF(B787="","",IFERROR(INDEX('Équipements'!$B$5:$B$304,MATCH(B787,'Équipements'!$A$5:$A$304,0)),"Code inconnu"))</f>
        <v/>
      </c>
      <c r="D787" s="67" t="n"/>
      <c r="E787" s="7" t="n"/>
      <c r="F787" s="68">
        <f>IF(OR(B787="",A787=""),"",IF(COUNTIFS('Relevés compteurs'!$B$5:$B$1504,B787,'Relevés compteurs'!$A$5:$A$1504,"&lt;"&amp;A787)=0,"",D787-_xlfn.MAXIFS('Relevés compteurs'!$D$5:$D$1504,'Relevés compteurs'!$B$5:$B$1504,B787,'Relevés compteurs'!$A$5:$A$1504,"&lt;"&amp;A787)))</f>
        <v/>
      </c>
    </row>
    <row r="788">
      <c r="A788" s="65" t="n"/>
      <c r="B788" s="7" t="n"/>
      <c r="C788" s="9">
        <f>IF(B788="","",IFERROR(INDEX('Équipements'!$B$5:$B$304,MATCH(B788,'Équipements'!$A$5:$A$304,0)),"Code inconnu"))</f>
        <v/>
      </c>
      <c r="D788" s="67" t="n"/>
      <c r="E788" s="7" t="n"/>
      <c r="F788" s="68">
        <f>IF(OR(B788="",A788=""),"",IF(COUNTIFS('Relevés compteurs'!$B$5:$B$1504,B788,'Relevés compteurs'!$A$5:$A$1504,"&lt;"&amp;A788)=0,"",D788-_xlfn.MAXIFS('Relevés compteurs'!$D$5:$D$1504,'Relevés compteurs'!$B$5:$B$1504,B788,'Relevés compteurs'!$A$5:$A$1504,"&lt;"&amp;A788)))</f>
        <v/>
      </c>
    </row>
    <row r="789">
      <c r="A789" s="65" t="n"/>
      <c r="B789" s="7" t="n"/>
      <c r="C789" s="9">
        <f>IF(B789="","",IFERROR(INDEX('Équipements'!$B$5:$B$304,MATCH(B789,'Équipements'!$A$5:$A$304,0)),"Code inconnu"))</f>
        <v/>
      </c>
      <c r="D789" s="67" t="n"/>
      <c r="E789" s="7" t="n"/>
      <c r="F789" s="68">
        <f>IF(OR(B789="",A789=""),"",IF(COUNTIFS('Relevés compteurs'!$B$5:$B$1504,B789,'Relevés compteurs'!$A$5:$A$1504,"&lt;"&amp;A789)=0,"",D789-_xlfn.MAXIFS('Relevés compteurs'!$D$5:$D$1504,'Relevés compteurs'!$B$5:$B$1504,B789,'Relevés compteurs'!$A$5:$A$1504,"&lt;"&amp;A789)))</f>
        <v/>
      </c>
    </row>
    <row r="790">
      <c r="A790" s="65" t="n"/>
      <c r="B790" s="7" t="n"/>
      <c r="C790" s="9">
        <f>IF(B790="","",IFERROR(INDEX('Équipements'!$B$5:$B$304,MATCH(B790,'Équipements'!$A$5:$A$304,0)),"Code inconnu"))</f>
        <v/>
      </c>
      <c r="D790" s="67" t="n"/>
      <c r="E790" s="7" t="n"/>
      <c r="F790" s="68">
        <f>IF(OR(B790="",A790=""),"",IF(COUNTIFS('Relevés compteurs'!$B$5:$B$1504,B790,'Relevés compteurs'!$A$5:$A$1504,"&lt;"&amp;A790)=0,"",D790-_xlfn.MAXIFS('Relevés compteurs'!$D$5:$D$1504,'Relevés compteurs'!$B$5:$B$1504,B790,'Relevés compteurs'!$A$5:$A$1504,"&lt;"&amp;A790)))</f>
        <v/>
      </c>
    </row>
    <row r="791">
      <c r="A791" s="65" t="n"/>
      <c r="B791" s="7" t="n"/>
      <c r="C791" s="9">
        <f>IF(B791="","",IFERROR(INDEX('Équipements'!$B$5:$B$304,MATCH(B791,'Équipements'!$A$5:$A$304,0)),"Code inconnu"))</f>
        <v/>
      </c>
      <c r="D791" s="67" t="n"/>
      <c r="E791" s="7" t="n"/>
      <c r="F791" s="68">
        <f>IF(OR(B791="",A791=""),"",IF(COUNTIFS('Relevés compteurs'!$B$5:$B$1504,B791,'Relevés compteurs'!$A$5:$A$1504,"&lt;"&amp;A791)=0,"",D791-_xlfn.MAXIFS('Relevés compteurs'!$D$5:$D$1504,'Relevés compteurs'!$B$5:$B$1504,B791,'Relevés compteurs'!$A$5:$A$1504,"&lt;"&amp;A791)))</f>
        <v/>
      </c>
    </row>
    <row r="792">
      <c r="A792" s="65" t="n"/>
      <c r="B792" s="7" t="n"/>
      <c r="C792" s="9">
        <f>IF(B792="","",IFERROR(INDEX('Équipements'!$B$5:$B$304,MATCH(B792,'Équipements'!$A$5:$A$304,0)),"Code inconnu"))</f>
        <v/>
      </c>
      <c r="D792" s="67" t="n"/>
      <c r="E792" s="7" t="n"/>
      <c r="F792" s="68">
        <f>IF(OR(B792="",A792=""),"",IF(COUNTIFS('Relevés compteurs'!$B$5:$B$1504,B792,'Relevés compteurs'!$A$5:$A$1504,"&lt;"&amp;A792)=0,"",D792-_xlfn.MAXIFS('Relevés compteurs'!$D$5:$D$1504,'Relevés compteurs'!$B$5:$B$1504,B792,'Relevés compteurs'!$A$5:$A$1504,"&lt;"&amp;A792)))</f>
        <v/>
      </c>
    </row>
    <row r="793">
      <c r="A793" s="65" t="n"/>
      <c r="B793" s="7" t="n"/>
      <c r="C793" s="9">
        <f>IF(B793="","",IFERROR(INDEX('Équipements'!$B$5:$B$304,MATCH(B793,'Équipements'!$A$5:$A$304,0)),"Code inconnu"))</f>
        <v/>
      </c>
      <c r="D793" s="67" t="n"/>
      <c r="E793" s="7" t="n"/>
      <c r="F793" s="68">
        <f>IF(OR(B793="",A793=""),"",IF(COUNTIFS('Relevés compteurs'!$B$5:$B$1504,B793,'Relevés compteurs'!$A$5:$A$1504,"&lt;"&amp;A793)=0,"",D793-_xlfn.MAXIFS('Relevés compteurs'!$D$5:$D$1504,'Relevés compteurs'!$B$5:$B$1504,B793,'Relevés compteurs'!$A$5:$A$1504,"&lt;"&amp;A793)))</f>
        <v/>
      </c>
    </row>
    <row r="794">
      <c r="A794" s="65" t="n"/>
      <c r="B794" s="7" t="n"/>
      <c r="C794" s="9">
        <f>IF(B794="","",IFERROR(INDEX('Équipements'!$B$5:$B$304,MATCH(B794,'Équipements'!$A$5:$A$304,0)),"Code inconnu"))</f>
        <v/>
      </c>
      <c r="D794" s="67" t="n"/>
      <c r="E794" s="7" t="n"/>
      <c r="F794" s="68">
        <f>IF(OR(B794="",A794=""),"",IF(COUNTIFS('Relevés compteurs'!$B$5:$B$1504,B794,'Relevés compteurs'!$A$5:$A$1504,"&lt;"&amp;A794)=0,"",D794-_xlfn.MAXIFS('Relevés compteurs'!$D$5:$D$1504,'Relevés compteurs'!$B$5:$B$1504,B794,'Relevés compteurs'!$A$5:$A$1504,"&lt;"&amp;A794)))</f>
        <v/>
      </c>
    </row>
    <row r="795">
      <c r="A795" s="65" t="n"/>
      <c r="B795" s="7" t="n"/>
      <c r="C795" s="9">
        <f>IF(B795="","",IFERROR(INDEX('Équipements'!$B$5:$B$304,MATCH(B795,'Équipements'!$A$5:$A$304,0)),"Code inconnu"))</f>
        <v/>
      </c>
      <c r="D795" s="67" t="n"/>
      <c r="E795" s="7" t="n"/>
      <c r="F795" s="68">
        <f>IF(OR(B795="",A795=""),"",IF(COUNTIFS('Relevés compteurs'!$B$5:$B$1504,B795,'Relevés compteurs'!$A$5:$A$1504,"&lt;"&amp;A795)=0,"",D795-_xlfn.MAXIFS('Relevés compteurs'!$D$5:$D$1504,'Relevés compteurs'!$B$5:$B$1504,B795,'Relevés compteurs'!$A$5:$A$1504,"&lt;"&amp;A795)))</f>
        <v/>
      </c>
    </row>
    <row r="796">
      <c r="A796" s="65" t="n"/>
      <c r="B796" s="7" t="n"/>
      <c r="C796" s="9">
        <f>IF(B796="","",IFERROR(INDEX('Équipements'!$B$5:$B$304,MATCH(B796,'Équipements'!$A$5:$A$304,0)),"Code inconnu"))</f>
        <v/>
      </c>
      <c r="D796" s="67" t="n"/>
      <c r="E796" s="7" t="n"/>
      <c r="F796" s="68">
        <f>IF(OR(B796="",A796=""),"",IF(COUNTIFS('Relevés compteurs'!$B$5:$B$1504,B796,'Relevés compteurs'!$A$5:$A$1504,"&lt;"&amp;A796)=0,"",D796-_xlfn.MAXIFS('Relevés compteurs'!$D$5:$D$1504,'Relevés compteurs'!$B$5:$B$1504,B796,'Relevés compteurs'!$A$5:$A$1504,"&lt;"&amp;A796)))</f>
        <v/>
      </c>
    </row>
    <row r="797">
      <c r="A797" s="65" t="n"/>
      <c r="B797" s="7" t="n"/>
      <c r="C797" s="9">
        <f>IF(B797="","",IFERROR(INDEX('Équipements'!$B$5:$B$304,MATCH(B797,'Équipements'!$A$5:$A$304,0)),"Code inconnu"))</f>
        <v/>
      </c>
      <c r="D797" s="67" t="n"/>
      <c r="E797" s="7" t="n"/>
      <c r="F797" s="68">
        <f>IF(OR(B797="",A797=""),"",IF(COUNTIFS('Relevés compteurs'!$B$5:$B$1504,B797,'Relevés compteurs'!$A$5:$A$1504,"&lt;"&amp;A797)=0,"",D797-_xlfn.MAXIFS('Relevés compteurs'!$D$5:$D$1504,'Relevés compteurs'!$B$5:$B$1504,B797,'Relevés compteurs'!$A$5:$A$1504,"&lt;"&amp;A797)))</f>
        <v/>
      </c>
    </row>
    <row r="798">
      <c r="A798" s="65" t="n"/>
      <c r="B798" s="7" t="n"/>
      <c r="C798" s="9">
        <f>IF(B798="","",IFERROR(INDEX('Équipements'!$B$5:$B$304,MATCH(B798,'Équipements'!$A$5:$A$304,0)),"Code inconnu"))</f>
        <v/>
      </c>
      <c r="D798" s="67" t="n"/>
      <c r="E798" s="7" t="n"/>
      <c r="F798" s="68">
        <f>IF(OR(B798="",A798=""),"",IF(COUNTIFS('Relevés compteurs'!$B$5:$B$1504,B798,'Relevés compteurs'!$A$5:$A$1504,"&lt;"&amp;A798)=0,"",D798-_xlfn.MAXIFS('Relevés compteurs'!$D$5:$D$1504,'Relevés compteurs'!$B$5:$B$1504,B798,'Relevés compteurs'!$A$5:$A$1504,"&lt;"&amp;A798)))</f>
        <v/>
      </c>
    </row>
    <row r="799">
      <c r="A799" s="65" t="n"/>
      <c r="B799" s="7" t="n"/>
      <c r="C799" s="9">
        <f>IF(B799="","",IFERROR(INDEX('Équipements'!$B$5:$B$304,MATCH(B799,'Équipements'!$A$5:$A$304,0)),"Code inconnu"))</f>
        <v/>
      </c>
      <c r="D799" s="67" t="n"/>
      <c r="E799" s="7" t="n"/>
      <c r="F799" s="68">
        <f>IF(OR(B799="",A799=""),"",IF(COUNTIFS('Relevés compteurs'!$B$5:$B$1504,B799,'Relevés compteurs'!$A$5:$A$1504,"&lt;"&amp;A799)=0,"",D799-_xlfn.MAXIFS('Relevés compteurs'!$D$5:$D$1504,'Relevés compteurs'!$B$5:$B$1504,B799,'Relevés compteurs'!$A$5:$A$1504,"&lt;"&amp;A799)))</f>
        <v/>
      </c>
    </row>
    <row r="800">
      <c r="A800" s="65" t="n"/>
      <c r="B800" s="7" t="n"/>
      <c r="C800" s="9">
        <f>IF(B800="","",IFERROR(INDEX('Équipements'!$B$5:$B$304,MATCH(B800,'Équipements'!$A$5:$A$304,0)),"Code inconnu"))</f>
        <v/>
      </c>
      <c r="D800" s="67" t="n"/>
      <c r="E800" s="7" t="n"/>
      <c r="F800" s="68">
        <f>IF(OR(B800="",A800=""),"",IF(COUNTIFS('Relevés compteurs'!$B$5:$B$1504,B800,'Relevés compteurs'!$A$5:$A$1504,"&lt;"&amp;A800)=0,"",D800-_xlfn.MAXIFS('Relevés compteurs'!$D$5:$D$1504,'Relevés compteurs'!$B$5:$B$1504,B800,'Relevés compteurs'!$A$5:$A$1504,"&lt;"&amp;A800)))</f>
        <v/>
      </c>
    </row>
    <row r="801">
      <c r="A801" s="65" t="n"/>
      <c r="B801" s="7" t="n"/>
      <c r="C801" s="9">
        <f>IF(B801="","",IFERROR(INDEX('Équipements'!$B$5:$B$304,MATCH(B801,'Équipements'!$A$5:$A$304,0)),"Code inconnu"))</f>
        <v/>
      </c>
      <c r="D801" s="67" t="n"/>
      <c r="E801" s="7" t="n"/>
      <c r="F801" s="68">
        <f>IF(OR(B801="",A801=""),"",IF(COUNTIFS('Relevés compteurs'!$B$5:$B$1504,B801,'Relevés compteurs'!$A$5:$A$1504,"&lt;"&amp;A801)=0,"",D801-_xlfn.MAXIFS('Relevés compteurs'!$D$5:$D$1504,'Relevés compteurs'!$B$5:$B$1504,B801,'Relevés compteurs'!$A$5:$A$1504,"&lt;"&amp;A801)))</f>
        <v/>
      </c>
    </row>
    <row r="802">
      <c r="A802" s="65" t="n"/>
      <c r="B802" s="7" t="n"/>
      <c r="C802" s="9">
        <f>IF(B802="","",IFERROR(INDEX('Équipements'!$B$5:$B$304,MATCH(B802,'Équipements'!$A$5:$A$304,0)),"Code inconnu"))</f>
        <v/>
      </c>
      <c r="D802" s="67" t="n"/>
      <c r="E802" s="7" t="n"/>
      <c r="F802" s="68">
        <f>IF(OR(B802="",A802=""),"",IF(COUNTIFS('Relevés compteurs'!$B$5:$B$1504,B802,'Relevés compteurs'!$A$5:$A$1504,"&lt;"&amp;A802)=0,"",D802-_xlfn.MAXIFS('Relevés compteurs'!$D$5:$D$1504,'Relevés compteurs'!$B$5:$B$1504,B802,'Relevés compteurs'!$A$5:$A$1504,"&lt;"&amp;A802)))</f>
        <v/>
      </c>
    </row>
    <row r="803">
      <c r="A803" s="65" t="n"/>
      <c r="B803" s="7" t="n"/>
      <c r="C803" s="9">
        <f>IF(B803="","",IFERROR(INDEX('Équipements'!$B$5:$B$304,MATCH(B803,'Équipements'!$A$5:$A$304,0)),"Code inconnu"))</f>
        <v/>
      </c>
      <c r="D803" s="67" t="n"/>
      <c r="E803" s="7" t="n"/>
      <c r="F803" s="68">
        <f>IF(OR(B803="",A803=""),"",IF(COUNTIFS('Relevés compteurs'!$B$5:$B$1504,B803,'Relevés compteurs'!$A$5:$A$1504,"&lt;"&amp;A803)=0,"",D803-_xlfn.MAXIFS('Relevés compteurs'!$D$5:$D$1504,'Relevés compteurs'!$B$5:$B$1504,B803,'Relevés compteurs'!$A$5:$A$1504,"&lt;"&amp;A803)))</f>
        <v/>
      </c>
    </row>
    <row r="804">
      <c r="A804" s="65" t="n"/>
      <c r="B804" s="7" t="n"/>
      <c r="C804" s="9">
        <f>IF(B804="","",IFERROR(INDEX('Équipements'!$B$5:$B$304,MATCH(B804,'Équipements'!$A$5:$A$304,0)),"Code inconnu"))</f>
        <v/>
      </c>
      <c r="D804" s="67" t="n"/>
      <c r="E804" s="7" t="n"/>
      <c r="F804" s="68">
        <f>IF(OR(B804="",A804=""),"",IF(COUNTIFS('Relevés compteurs'!$B$5:$B$1504,B804,'Relevés compteurs'!$A$5:$A$1504,"&lt;"&amp;A804)=0,"",D804-_xlfn.MAXIFS('Relevés compteurs'!$D$5:$D$1504,'Relevés compteurs'!$B$5:$B$1504,B804,'Relevés compteurs'!$A$5:$A$1504,"&lt;"&amp;A804)))</f>
        <v/>
      </c>
    </row>
    <row r="805">
      <c r="A805" s="65" t="n"/>
      <c r="B805" s="7" t="n"/>
      <c r="C805" s="9">
        <f>IF(B805="","",IFERROR(INDEX('Équipements'!$B$5:$B$304,MATCH(B805,'Équipements'!$A$5:$A$304,0)),"Code inconnu"))</f>
        <v/>
      </c>
      <c r="D805" s="67" t="n"/>
      <c r="E805" s="7" t="n"/>
      <c r="F805" s="68">
        <f>IF(OR(B805="",A805=""),"",IF(COUNTIFS('Relevés compteurs'!$B$5:$B$1504,B805,'Relevés compteurs'!$A$5:$A$1504,"&lt;"&amp;A805)=0,"",D805-_xlfn.MAXIFS('Relevés compteurs'!$D$5:$D$1504,'Relevés compteurs'!$B$5:$B$1504,B805,'Relevés compteurs'!$A$5:$A$1504,"&lt;"&amp;A805)))</f>
        <v/>
      </c>
    </row>
    <row r="806">
      <c r="A806" s="65" t="n"/>
      <c r="B806" s="7" t="n"/>
      <c r="C806" s="9">
        <f>IF(B806="","",IFERROR(INDEX('Équipements'!$B$5:$B$304,MATCH(B806,'Équipements'!$A$5:$A$304,0)),"Code inconnu"))</f>
        <v/>
      </c>
      <c r="D806" s="67" t="n"/>
      <c r="E806" s="7" t="n"/>
      <c r="F806" s="68">
        <f>IF(OR(B806="",A806=""),"",IF(COUNTIFS('Relevés compteurs'!$B$5:$B$1504,B806,'Relevés compteurs'!$A$5:$A$1504,"&lt;"&amp;A806)=0,"",D806-_xlfn.MAXIFS('Relevés compteurs'!$D$5:$D$1504,'Relevés compteurs'!$B$5:$B$1504,B806,'Relevés compteurs'!$A$5:$A$1504,"&lt;"&amp;A806)))</f>
        <v/>
      </c>
    </row>
    <row r="807">
      <c r="A807" s="65" t="n"/>
      <c r="B807" s="7" t="n"/>
      <c r="C807" s="9">
        <f>IF(B807="","",IFERROR(INDEX('Équipements'!$B$5:$B$304,MATCH(B807,'Équipements'!$A$5:$A$304,0)),"Code inconnu"))</f>
        <v/>
      </c>
      <c r="D807" s="67" t="n"/>
      <c r="E807" s="7" t="n"/>
      <c r="F807" s="68">
        <f>IF(OR(B807="",A807=""),"",IF(COUNTIFS('Relevés compteurs'!$B$5:$B$1504,B807,'Relevés compteurs'!$A$5:$A$1504,"&lt;"&amp;A807)=0,"",D807-_xlfn.MAXIFS('Relevés compteurs'!$D$5:$D$1504,'Relevés compteurs'!$B$5:$B$1504,B807,'Relevés compteurs'!$A$5:$A$1504,"&lt;"&amp;A807)))</f>
        <v/>
      </c>
    </row>
    <row r="808">
      <c r="A808" s="65" t="n"/>
      <c r="B808" s="7" t="n"/>
      <c r="C808" s="9">
        <f>IF(B808="","",IFERROR(INDEX('Équipements'!$B$5:$B$304,MATCH(B808,'Équipements'!$A$5:$A$304,0)),"Code inconnu"))</f>
        <v/>
      </c>
      <c r="D808" s="67" t="n"/>
      <c r="E808" s="7" t="n"/>
      <c r="F808" s="68">
        <f>IF(OR(B808="",A808=""),"",IF(COUNTIFS('Relevés compteurs'!$B$5:$B$1504,B808,'Relevés compteurs'!$A$5:$A$1504,"&lt;"&amp;A808)=0,"",D808-_xlfn.MAXIFS('Relevés compteurs'!$D$5:$D$1504,'Relevés compteurs'!$B$5:$B$1504,B808,'Relevés compteurs'!$A$5:$A$1504,"&lt;"&amp;A808)))</f>
        <v/>
      </c>
    </row>
    <row r="809">
      <c r="A809" s="65" t="n"/>
      <c r="B809" s="7" t="n"/>
      <c r="C809" s="9">
        <f>IF(B809="","",IFERROR(INDEX('Équipements'!$B$5:$B$304,MATCH(B809,'Équipements'!$A$5:$A$304,0)),"Code inconnu"))</f>
        <v/>
      </c>
      <c r="D809" s="67" t="n"/>
      <c r="E809" s="7" t="n"/>
      <c r="F809" s="68">
        <f>IF(OR(B809="",A809=""),"",IF(COUNTIFS('Relevés compteurs'!$B$5:$B$1504,B809,'Relevés compteurs'!$A$5:$A$1504,"&lt;"&amp;A809)=0,"",D809-_xlfn.MAXIFS('Relevés compteurs'!$D$5:$D$1504,'Relevés compteurs'!$B$5:$B$1504,B809,'Relevés compteurs'!$A$5:$A$1504,"&lt;"&amp;A809)))</f>
        <v/>
      </c>
    </row>
    <row r="810">
      <c r="A810" s="65" t="n"/>
      <c r="B810" s="7" t="n"/>
      <c r="C810" s="9">
        <f>IF(B810="","",IFERROR(INDEX('Équipements'!$B$5:$B$304,MATCH(B810,'Équipements'!$A$5:$A$304,0)),"Code inconnu"))</f>
        <v/>
      </c>
      <c r="D810" s="67" t="n"/>
      <c r="E810" s="7" t="n"/>
      <c r="F810" s="68">
        <f>IF(OR(B810="",A810=""),"",IF(COUNTIFS('Relevés compteurs'!$B$5:$B$1504,B810,'Relevés compteurs'!$A$5:$A$1504,"&lt;"&amp;A810)=0,"",D810-_xlfn.MAXIFS('Relevés compteurs'!$D$5:$D$1504,'Relevés compteurs'!$B$5:$B$1504,B810,'Relevés compteurs'!$A$5:$A$1504,"&lt;"&amp;A810)))</f>
        <v/>
      </c>
    </row>
    <row r="811">
      <c r="A811" s="65" t="n"/>
      <c r="B811" s="7" t="n"/>
      <c r="C811" s="9">
        <f>IF(B811="","",IFERROR(INDEX('Équipements'!$B$5:$B$304,MATCH(B811,'Équipements'!$A$5:$A$304,0)),"Code inconnu"))</f>
        <v/>
      </c>
      <c r="D811" s="67" t="n"/>
      <c r="E811" s="7" t="n"/>
      <c r="F811" s="68">
        <f>IF(OR(B811="",A811=""),"",IF(COUNTIFS('Relevés compteurs'!$B$5:$B$1504,B811,'Relevés compteurs'!$A$5:$A$1504,"&lt;"&amp;A811)=0,"",D811-_xlfn.MAXIFS('Relevés compteurs'!$D$5:$D$1504,'Relevés compteurs'!$B$5:$B$1504,B811,'Relevés compteurs'!$A$5:$A$1504,"&lt;"&amp;A811)))</f>
        <v/>
      </c>
    </row>
    <row r="812">
      <c r="A812" s="65" t="n"/>
      <c r="B812" s="7" t="n"/>
      <c r="C812" s="9">
        <f>IF(B812="","",IFERROR(INDEX('Équipements'!$B$5:$B$304,MATCH(B812,'Équipements'!$A$5:$A$304,0)),"Code inconnu"))</f>
        <v/>
      </c>
      <c r="D812" s="67" t="n"/>
      <c r="E812" s="7" t="n"/>
      <c r="F812" s="68">
        <f>IF(OR(B812="",A812=""),"",IF(COUNTIFS('Relevés compteurs'!$B$5:$B$1504,B812,'Relevés compteurs'!$A$5:$A$1504,"&lt;"&amp;A812)=0,"",D812-_xlfn.MAXIFS('Relevés compteurs'!$D$5:$D$1504,'Relevés compteurs'!$B$5:$B$1504,B812,'Relevés compteurs'!$A$5:$A$1504,"&lt;"&amp;A812)))</f>
        <v/>
      </c>
    </row>
    <row r="813">
      <c r="A813" s="65" t="n"/>
      <c r="B813" s="7" t="n"/>
      <c r="C813" s="9">
        <f>IF(B813="","",IFERROR(INDEX('Équipements'!$B$5:$B$304,MATCH(B813,'Équipements'!$A$5:$A$304,0)),"Code inconnu"))</f>
        <v/>
      </c>
      <c r="D813" s="67" t="n"/>
      <c r="E813" s="7" t="n"/>
      <c r="F813" s="68">
        <f>IF(OR(B813="",A813=""),"",IF(COUNTIFS('Relevés compteurs'!$B$5:$B$1504,B813,'Relevés compteurs'!$A$5:$A$1504,"&lt;"&amp;A813)=0,"",D813-_xlfn.MAXIFS('Relevés compteurs'!$D$5:$D$1504,'Relevés compteurs'!$B$5:$B$1504,B813,'Relevés compteurs'!$A$5:$A$1504,"&lt;"&amp;A813)))</f>
        <v/>
      </c>
    </row>
    <row r="814">
      <c r="A814" s="65" t="n"/>
      <c r="B814" s="7" t="n"/>
      <c r="C814" s="9">
        <f>IF(B814="","",IFERROR(INDEX('Équipements'!$B$5:$B$304,MATCH(B814,'Équipements'!$A$5:$A$304,0)),"Code inconnu"))</f>
        <v/>
      </c>
      <c r="D814" s="67" t="n"/>
      <c r="E814" s="7" t="n"/>
      <c r="F814" s="68">
        <f>IF(OR(B814="",A814=""),"",IF(COUNTIFS('Relevés compteurs'!$B$5:$B$1504,B814,'Relevés compteurs'!$A$5:$A$1504,"&lt;"&amp;A814)=0,"",D814-_xlfn.MAXIFS('Relevés compteurs'!$D$5:$D$1504,'Relevés compteurs'!$B$5:$B$1504,B814,'Relevés compteurs'!$A$5:$A$1504,"&lt;"&amp;A814)))</f>
        <v/>
      </c>
    </row>
    <row r="815">
      <c r="A815" s="65" t="n"/>
      <c r="B815" s="7" t="n"/>
      <c r="C815" s="9">
        <f>IF(B815="","",IFERROR(INDEX('Équipements'!$B$5:$B$304,MATCH(B815,'Équipements'!$A$5:$A$304,0)),"Code inconnu"))</f>
        <v/>
      </c>
      <c r="D815" s="67" t="n"/>
      <c r="E815" s="7" t="n"/>
      <c r="F815" s="68">
        <f>IF(OR(B815="",A815=""),"",IF(COUNTIFS('Relevés compteurs'!$B$5:$B$1504,B815,'Relevés compteurs'!$A$5:$A$1504,"&lt;"&amp;A815)=0,"",D815-_xlfn.MAXIFS('Relevés compteurs'!$D$5:$D$1504,'Relevés compteurs'!$B$5:$B$1504,B815,'Relevés compteurs'!$A$5:$A$1504,"&lt;"&amp;A815)))</f>
        <v/>
      </c>
    </row>
    <row r="816">
      <c r="A816" s="65" t="n"/>
      <c r="B816" s="7" t="n"/>
      <c r="C816" s="9">
        <f>IF(B816="","",IFERROR(INDEX('Équipements'!$B$5:$B$304,MATCH(B816,'Équipements'!$A$5:$A$304,0)),"Code inconnu"))</f>
        <v/>
      </c>
      <c r="D816" s="67" t="n"/>
      <c r="E816" s="7" t="n"/>
      <c r="F816" s="68">
        <f>IF(OR(B816="",A816=""),"",IF(COUNTIFS('Relevés compteurs'!$B$5:$B$1504,B816,'Relevés compteurs'!$A$5:$A$1504,"&lt;"&amp;A816)=0,"",D816-_xlfn.MAXIFS('Relevés compteurs'!$D$5:$D$1504,'Relevés compteurs'!$B$5:$B$1504,B816,'Relevés compteurs'!$A$5:$A$1504,"&lt;"&amp;A816)))</f>
        <v/>
      </c>
    </row>
    <row r="817">
      <c r="A817" s="65" t="n"/>
      <c r="B817" s="7" t="n"/>
      <c r="C817" s="9">
        <f>IF(B817="","",IFERROR(INDEX('Équipements'!$B$5:$B$304,MATCH(B817,'Équipements'!$A$5:$A$304,0)),"Code inconnu"))</f>
        <v/>
      </c>
      <c r="D817" s="67" t="n"/>
      <c r="E817" s="7" t="n"/>
      <c r="F817" s="68">
        <f>IF(OR(B817="",A817=""),"",IF(COUNTIFS('Relevés compteurs'!$B$5:$B$1504,B817,'Relevés compteurs'!$A$5:$A$1504,"&lt;"&amp;A817)=0,"",D817-_xlfn.MAXIFS('Relevés compteurs'!$D$5:$D$1504,'Relevés compteurs'!$B$5:$B$1504,B817,'Relevés compteurs'!$A$5:$A$1504,"&lt;"&amp;A817)))</f>
        <v/>
      </c>
    </row>
    <row r="818">
      <c r="A818" s="65" t="n"/>
      <c r="B818" s="7" t="n"/>
      <c r="C818" s="9">
        <f>IF(B818="","",IFERROR(INDEX('Équipements'!$B$5:$B$304,MATCH(B818,'Équipements'!$A$5:$A$304,0)),"Code inconnu"))</f>
        <v/>
      </c>
      <c r="D818" s="67" t="n"/>
      <c r="E818" s="7" t="n"/>
      <c r="F818" s="68">
        <f>IF(OR(B818="",A818=""),"",IF(COUNTIFS('Relevés compteurs'!$B$5:$B$1504,B818,'Relevés compteurs'!$A$5:$A$1504,"&lt;"&amp;A818)=0,"",D818-_xlfn.MAXIFS('Relevés compteurs'!$D$5:$D$1504,'Relevés compteurs'!$B$5:$B$1504,B818,'Relevés compteurs'!$A$5:$A$1504,"&lt;"&amp;A818)))</f>
        <v/>
      </c>
    </row>
    <row r="819">
      <c r="A819" s="65" t="n"/>
      <c r="B819" s="7" t="n"/>
      <c r="C819" s="9">
        <f>IF(B819="","",IFERROR(INDEX('Équipements'!$B$5:$B$304,MATCH(B819,'Équipements'!$A$5:$A$304,0)),"Code inconnu"))</f>
        <v/>
      </c>
      <c r="D819" s="67" t="n"/>
      <c r="E819" s="7" t="n"/>
      <c r="F819" s="68">
        <f>IF(OR(B819="",A819=""),"",IF(COUNTIFS('Relevés compteurs'!$B$5:$B$1504,B819,'Relevés compteurs'!$A$5:$A$1504,"&lt;"&amp;A819)=0,"",D819-_xlfn.MAXIFS('Relevés compteurs'!$D$5:$D$1504,'Relevés compteurs'!$B$5:$B$1504,B819,'Relevés compteurs'!$A$5:$A$1504,"&lt;"&amp;A819)))</f>
        <v/>
      </c>
    </row>
    <row r="820">
      <c r="A820" s="65" t="n"/>
      <c r="B820" s="7" t="n"/>
      <c r="C820" s="9">
        <f>IF(B820="","",IFERROR(INDEX('Équipements'!$B$5:$B$304,MATCH(B820,'Équipements'!$A$5:$A$304,0)),"Code inconnu"))</f>
        <v/>
      </c>
      <c r="D820" s="67" t="n"/>
      <c r="E820" s="7" t="n"/>
      <c r="F820" s="68">
        <f>IF(OR(B820="",A820=""),"",IF(COUNTIFS('Relevés compteurs'!$B$5:$B$1504,B820,'Relevés compteurs'!$A$5:$A$1504,"&lt;"&amp;A820)=0,"",D820-_xlfn.MAXIFS('Relevés compteurs'!$D$5:$D$1504,'Relevés compteurs'!$B$5:$B$1504,B820,'Relevés compteurs'!$A$5:$A$1504,"&lt;"&amp;A820)))</f>
        <v/>
      </c>
    </row>
    <row r="821">
      <c r="A821" s="65" t="n"/>
      <c r="B821" s="7" t="n"/>
      <c r="C821" s="9">
        <f>IF(B821="","",IFERROR(INDEX('Équipements'!$B$5:$B$304,MATCH(B821,'Équipements'!$A$5:$A$304,0)),"Code inconnu"))</f>
        <v/>
      </c>
      <c r="D821" s="67" t="n"/>
      <c r="E821" s="7" t="n"/>
      <c r="F821" s="68">
        <f>IF(OR(B821="",A821=""),"",IF(COUNTIFS('Relevés compteurs'!$B$5:$B$1504,B821,'Relevés compteurs'!$A$5:$A$1504,"&lt;"&amp;A821)=0,"",D821-_xlfn.MAXIFS('Relevés compteurs'!$D$5:$D$1504,'Relevés compteurs'!$B$5:$B$1504,B821,'Relevés compteurs'!$A$5:$A$1504,"&lt;"&amp;A821)))</f>
        <v/>
      </c>
    </row>
    <row r="822">
      <c r="A822" s="65" t="n"/>
      <c r="B822" s="7" t="n"/>
      <c r="C822" s="9">
        <f>IF(B822="","",IFERROR(INDEX('Équipements'!$B$5:$B$304,MATCH(B822,'Équipements'!$A$5:$A$304,0)),"Code inconnu"))</f>
        <v/>
      </c>
      <c r="D822" s="67" t="n"/>
      <c r="E822" s="7" t="n"/>
      <c r="F822" s="68">
        <f>IF(OR(B822="",A822=""),"",IF(COUNTIFS('Relevés compteurs'!$B$5:$B$1504,B822,'Relevés compteurs'!$A$5:$A$1504,"&lt;"&amp;A822)=0,"",D822-_xlfn.MAXIFS('Relevés compteurs'!$D$5:$D$1504,'Relevés compteurs'!$B$5:$B$1504,B822,'Relevés compteurs'!$A$5:$A$1504,"&lt;"&amp;A822)))</f>
        <v/>
      </c>
    </row>
    <row r="823">
      <c r="A823" s="65" t="n"/>
      <c r="B823" s="7" t="n"/>
      <c r="C823" s="9">
        <f>IF(B823="","",IFERROR(INDEX('Équipements'!$B$5:$B$304,MATCH(B823,'Équipements'!$A$5:$A$304,0)),"Code inconnu"))</f>
        <v/>
      </c>
      <c r="D823" s="67" t="n"/>
      <c r="E823" s="7" t="n"/>
      <c r="F823" s="68">
        <f>IF(OR(B823="",A823=""),"",IF(COUNTIFS('Relevés compteurs'!$B$5:$B$1504,B823,'Relevés compteurs'!$A$5:$A$1504,"&lt;"&amp;A823)=0,"",D823-_xlfn.MAXIFS('Relevés compteurs'!$D$5:$D$1504,'Relevés compteurs'!$B$5:$B$1504,B823,'Relevés compteurs'!$A$5:$A$1504,"&lt;"&amp;A823)))</f>
        <v/>
      </c>
    </row>
    <row r="824">
      <c r="A824" s="65" t="n"/>
      <c r="B824" s="7" t="n"/>
      <c r="C824" s="9">
        <f>IF(B824="","",IFERROR(INDEX('Équipements'!$B$5:$B$304,MATCH(B824,'Équipements'!$A$5:$A$304,0)),"Code inconnu"))</f>
        <v/>
      </c>
      <c r="D824" s="67" t="n"/>
      <c r="E824" s="7" t="n"/>
      <c r="F824" s="68">
        <f>IF(OR(B824="",A824=""),"",IF(COUNTIFS('Relevés compteurs'!$B$5:$B$1504,B824,'Relevés compteurs'!$A$5:$A$1504,"&lt;"&amp;A824)=0,"",D824-_xlfn.MAXIFS('Relevés compteurs'!$D$5:$D$1504,'Relevés compteurs'!$B$5:$B$1504,B824,'Relevés compteurs'!$A$5:$A$1504,"&lt;"&amp;A824)))</f>
        <v/>
      </c>
    </row>
    <row r="825">
      <c r="A825" s="65" t="n"/>
      <c r="B825" s="7" t="n"/>
      <c r="C825" s="9">
        <f>IF(B825="","",IFERROR(INDEX('Équipements'!$B$5:$B$304,MATCH(B825,'Équipements'!$A$5:$A$304,0)),"Code inconnu"))</f>
        <v/>
      </c>
      <c r="D825" s="67" t="n"/>
      <c r="E825" s="7" t="n"/>
      <c r="F825" s="68">
        <f>IF(OR(B825="",A825=""),"",IF(COUNTIFS('Relevés compteurs'!$B$5:$B$1504,B825,'Relevés compteurs'!$A$5:$A$1504,"&lt;"&amp;A825)=0,"",D825-_xlfn.MAXIFS('Relevés compteurs'!$D$5:$D$1504,'Relevés compteurs'!$B$5:$B$1504,B825,'Relevés compteurs'!$A$5:$A$1504,"&lt;"&amp;A825)))</f>
        <v/>
      </c>
    </row>
    <row r="826">
      <c r="A826" s="65" t="n"/>
      <c r="B826" s="7" t="n"/>
      <c r="C826" s="9">
        <f>IF(B826="","",IFERROR(INDEX('Équipements'!$B$5:$B$304,MATCH(B826,'Équipements'!$A$5:$A$304,0)),"Code inconnu"))</f>
        <v/>
      </c>
      <c r="D826" s="67" t="n"/>
      <c r="E826" s="7" t="n"/>
      <c r="F826" s="68">
        <f>IF(OR(B826="",A826=""),"",IF(COUNTIFS('Relevés compteurs'!$B$5:$B$1504,B826,'Relevés compteurs'!$A$5:$A$1504,"&lt;"&amp;A826)=0,"",D826-_xlfn.MAXIFS('Relevés compteurs'!$D$5:$D$1504,'Relevés compteurs'!$B$5:$B$1504,B826,'Relevés compteurs'!$A$5:$A$1504,"&lt;"&amp;A826)))</f>
        <v/>
      </c>
    </row>
    <row r="827">
      <c r="A827" s="65" t="n"/>
      <c r="B827" s="7" t="n"/>
      <c r="C827" s="9">
        <f>IF(B827="","",IFERROR(INDEX('Équipements'!$B$5:$B$304,MATCH(B827,'Équipements'!$A$5:$A$304,0)),"Code inconnu"))</f>
        <v/>
      </c>
      <c r="D827" s="67" t="n"/>
      <c r="E827" s="7" t="n"/>
      <c r="F827" s="68">
        <f>IF(OR(B827="",A827=""),"",IF(COUNTIFS('Relevés compteurs'!$B$5:$B$1504,B827,'Relevés compteurs'!$A$5:$A$1504,"&lt;"&amp;A827)=0,"",D827-_xlfn.MAXIFS('Relevés compteurs'!$D$5:$D$1504,'Relevés compteurs'!$B$5:$B$1504,B827,'Relevés compteurs'!$A$5:$A$1504,"&lt;"&amp;A827)))</f>
        <v/>
      </c>
    </row>
    <row r="828">
      <c r="A828" s="65" t="n"/>
      <c r="B828" s="7" t="n"/>
      <c r="C828" s="9">
        <f>IF(B828="","",IFERROR(INDEX('Équipements'!$B$5:$B$304,MATCH(B828,'Équipements'!$A$5:$A$304,0)),"Code inconnu"))</f>
        <v/>
      </c>
      <c r="D828" s="67" t="n"/>
      <c r="E828" s="7" t="n"/>
      <c r="F828" s="68">
        <f>IF(OR(B828="",A828=""),"",IF(COUNTIFS('Relevés compteurs'!$B$5:$B$1504,B828,'Relevés compteurs'!$A$5:$A$1504,"&lt;"&amp;A828)=0,"",D828-_xlfn.MAXIFS('Relevés compteurs'!$D$5:$D$1504,'Relevés compteurs'!$B$5:$B$1504,B828,'Relevés compteurs'!$A$5:$A$1504,"&lt;"&amp;A828)))</f>
        <v/>
      </c>
    </row>
    <row r="829">
      <c r="A829" s="65" t="n"/>
      <c r="B829" s="7" t="n"/>
      <c r="C829" s="9">
        <f>IF(B829="","",IFERROR(INDEX('Équipements'!$B$5:$B$304,MATCH(B829,'Équipements'!$A$5:$A$304,0)),"Code inconnu"))</f>
        <v/>
      </c>
      <c r="D829" s="67" t="n"/>
      <c r="E829" s="7" t="n"/>
      <c r="F829" s="68">
        <f>IF(OR(B829="",A829=""),"",IF(COUNTIFS('Relevés compteurs'!$B$5:$B$1504,B829,'Relevés compteurs'!$A$5:$A$1504,"&lt;"&amp;A829)=0,"",D829-_xlfn.MAXIFS('Relevés compteurs'!$D$5:$D$1504,'Relevés compteurs'!$B$5:$B$1504,B829,'Relevés compteurs'!$A$5:$A$1504,"&lt;"&amp;A829)))</f>
        <v/>
      </c>
    </row>
    <row r="830">
      <c r="A830" s="65" t="n"/>
      <c r="B830" s="7" t="n"/>
      <c r="C830" s="9">
        <f>IF(B830="","",IFERROR(INDEX('Équipements'!$B$5:$B$304,MATCH(B830,'Équipements'!$A$5:$A$304,0)),"Code inconnu"))</f>
        <v/>
      </c>
      <c r="D830" s="67" t="n"/>
      <c r="E830" s="7" t="n"/>
      <c r="F830" s="68">
        <f>IF(OR(B830="",A830=""),"",IF(COUNTIFS('Relevés compteurs'!$B$5:$B$1504,B830,'Relevés compteurs'!$A$5:$A$1504,"&lt;"&amp;A830)=0,"",D830-_xlfn.MAXIFS('Relevés compteurs'!$D$5:$D$1504,'Relevés compteurs'!$B$5:$B$1504,B830,'Relevés compteurs'!$A$5:$A$1504,"&lt;"&amp;A830)))</f>
        <v/>
      </c>
    </row>
    <row r="831">
      <c r="A831" s="65" t="n"/>
      <c r="B831" s="7" t="n"/>
      <c r="C831" s="9">
        <f>IF(B831="","",IFERROR(INDEX('Équipements'!$B$5:$B$304,MATCH(B831,'Équipements'!$A$5:$A$304,0)),"Code inconnu"))</f>
        <v/>
      </c>
      <c r="D831" s="67" t="n"/>
      <c r="E831" s="7" t="n"/>
      <c r="F831" s="68">
        <f>IF(OR(B831="",A831=""),"",IF(COUNTIFS('Relevés compteurs'!$B$5:$B$1504,B831,'Relevés compteurs'!$A$5:$A$1504,"&lt;"&amp;A831)=0,"",D831-_xlfn.MAXIFS('Relevés compteurs'!$D$5:$D$1504,'Relevés compteurs'!$B$5:$B$1504,B831,'Relevés compteurs'!$A$5:$A$1504,"&lt;"&amp;A831)))</f>
        <v/>
      </c>
    </row>
    <row r="832">
      <c r="A832" s="65" t="n"/>
      <c r="B832" s="7" t="n"/>
      <c r="C832" s="9">
        <f>IF(B832="","",IFERROR(INDEX('Équipements'!$B$5:$B$304,MATCH(B832,'Équipements'!$A$5:$A$304,0)),"Code inconnu"))</f>
        <v/>
      </c>
      <c r="D832" s="67" t="n"/>
      <c r="E832" s="7" t="n"/>
      <c r="F832" s="68">
        <f>IF(OR(B832="",A832=""),"",IF(COUNTIFS('Relevés compteurs'!$B$5:$B$1504,B832,'Relevés compteurs'!$A$5:$A$1504,"&lt;"&amp;A832)=0,"",D832-_xlfn.MAXIFS('Relevés compteurs'!$D$5:$D$1504,'Relevés compteurs'!$B$5:$B$1504,B832,'Relevés compteurs'!$A$5:$A$1504,"&lt;"&amp;A832)))</f>
        <v/>
      </c>
    </row>
    <row r="833">
      <c r="A833" s="65" t="n"/>
      <c r="B833" s="7" t="n"/>
      <c r="C833" s="9">
        <f>IF(B833="","",IFERROR(INDEX('Équipements'!$B$5:$B$304,MATCH(B833,'Équipements'!$A$5:$A$304,0)),"Code inconnu"))</f>
        <v/>
      </c>
      <c r="D833" s="67" t="n"/>
      <c r="E833" s="7" t="n"/>
      <c r="F833" s="68">
        <f>IF(OR(B833="",A833=""),"",IF(COUNTIFS('Relevés compteurs'!$B$5:$B$1504,B833,'Relevés compteurs'!$A$5:$A$1504,"&lt;"&amp;A833)=0,"",D833-_xlfn.MAXIFS('Relevés compteurs'!$D$5:$D$1504,'Relevés compteurs'!$B$5:$B$1504,B833,'Relevés compteurs'!$A$5:$A$1504,"&lt;"&amp;A833)))</f>
        <v/>
      </c>
    </row>
    <row r="834">
      <c r="A834" s="65" t="n"/>
      <c r="B834" s="7" t="n"/>
      <c r="C834" s="9">
        <f>IF(B834="","",IFERROR(INDEX('Équipements'!$B$5:$B$304,MATCH(B834,'Équipements'!$A$5:$A$304,0)),"Code inconnu"))</f>
        <v/>
      </c>
      <c r="D834" s="67" t="n"/>
      <c r="E834" s="7" t="n"/>
      <c r="F834" s="68">
        <f>IF(OR(B834="",A834=""),"",IF(COUNTIFS('Relevés compteurs'!$B$5:$B$1504,B834,'Relevés compteurs'!$A$5:$A$1504,"&lt;"&amp;A834)=0,"",D834-_xlfn.MAXIFS('Relevés compteurs'!$D$5:$D$1504,'Relevés compteurs'!$B$5:$B$1504,B834,'Relevés compteurs'!$A$5:$A$1504,"&lt;"&amp;A834)))</f>
        <v/>
      </c>
    </row>
    <row r="835">
      <c r="A835" s="65" t="n"/>
      <c r="B835" s="7" t="n"/>
      <c r="C835" s="9">
        <f>IF(B835="","",IFERROR(INDEX('Équipements'!$B$5:$B$304,MATCH(B835,'Équipements'!$A$5:$A$304,0)),"Code inconnu"))</f>
        <v/>
      </c>
      <c r="D835" s="67" t="n"/>
      <c r="E835" s="7" t="n"/>
      <c r="F835" s="68">
        <f>IF(OR(B835="",A835=""),"",IF(COUNTIFS('Relevés compteurs'!$B$5:$B$1504,B835,'Relevés compteurs'!$A$5:$A$1504,"&lt;"&amp;A835)=0,"",D835-_xlfn.MAXIFS('Relevés compteurs'!$D$5:$D$1504,'Relevés compteurs'!$B$5:$B$1504,B835,'Relevés compteurs'!$A$5:$A$1504,"&lt;"&amp;A835)))</f>
        <v/>
      </c>
    </row>
    <row r="836">
      <c r="A836" s="65" t="n"/>
      <c r="B836" s="7" t="n"/>
      <c r="C836" s="9">
        <f>IF(B836="","",IFERROR(INDEX('Équipements'!$B$5:$B$304,MATCH(B836,'Équipements'!$A$5:$A$304,0)),"Code inconnu"))</f>
        <v/>
      </c>
      <c r="D836" s="67" t="n"/>
      <c r="E836" s="7" t="n"/>
      <c r="F836" s="68">
        <f>IF(OR(B836="",A836=""),"",IF(COUNTIFS('Relevés compteurs'!$B$5:$B$1504,B836,'Relevés compteurs'!$A$5:$A$1504,"&lt;"&amp;A836)=0,"",D836-_xlfn.MAXIFS('Relevés compteurs'!$D$5:$D$1504,'Relevés compteurs'!$B$5:$B$1504,B836,'Relevés compteurs'!$A$5:$A$1504,"&lt;"&amp;A836)))</f>
        <v/>
      </c>
    </row>
    <row r="837">
      <c r="A837" s="65" t="n"/>
      <c r="B837" s="7" t="n"/>
      <c r="C837" s="9">
        <f>IF(B837="","",IFERROR(INDEX('Équipements'!$B$5:$B$304,MATCH(B837,'Équipements'!$A$5:$A$304,0)),"Code inconnu"))</f>
        <v/>
      </c>
      <c r="D837" s="67" t="n"/>
      <c r="E837" s="7" t="n"/>
      <c r="F837" s="68">
        <f>IF(OR(B837="",A837=""),"",IF(COUNTIFS('Relevés compteurs'!$B$5:$B$1504,B837,'Relevés compteurs'!$A$5:$A$1504,"&lt;"&amp;A837)=0,"",D837-_xlfn.MAXIFS('Relevés compteurs'!$D$5:$D$1504,'Relevés compteurs'!$B$5:$B$1504,B837,'Relevés compteurs'!$A$5:$A$1504,"&lt;"&amp;A837)))</f>
        <v/>
      </c>
    </row>
    <row r="838">
      <c r="A838" s="65" t="n"/>
      <c r="B838" s="7" t="n"/>
      <c r="C838" s="9">
        <f>IF(B838="","",IFERROR(INDEX('Équipements'!$B$5:$B$304,MATCH(B838,'Équipements'!$A$5:$A$304,0)),"Code inconnu"))</f>
        <v/>
      </c>
      <c r="D838" s="67" t="n"/>
      <c r="E838" s="7" t="n"/>
      <c r="F838" s="68">
        <f>IF(OR(B838="",A838=""),"",IF(COUNTIFS('Relevés compteurs'!$B$5:$B$1504,B838,'Relevés compteurs'!$A$5:$A$1504,"&lt;"&amp;A838)=0,"",D838-_xlfn.MAXIFS('Relevés compteurs'!$D$5:$D$1504,'Relevés compteurs'!$B$5:$B$1504,B838,'Relevés compteurs'!$A$5:$A$1504,"&lt;"&amp;A838)))</f>
        <v/>
      </c>
    </row>
    <row r="839">
      <c r="A839" s="65" t="n"/>
      <c r="B839" s="7" t="n"/>
      <c r="C839" s="9">
        <f>IF(B839="","",IFERROR(INDEX('Équipements'!$B$5:$B$304,MATCH(B839,'Équipements'!$A$5:$A$304,0)),"Code inconnu"))</f>
        <v/>
      </c>
      <c r="D839" s="67" t="n"/>
      <c r="E839" s="7" t="n"/>
      <c r="F839" s="68">
        <f>IF(OR(B839="",A839=""),"",IF(COUNTIFS('Relevés compteurs'!$B$5:$B$1504,B839,'Relevés compteurs'!$A$5:$A$1504,"&lt;"&amp;A839)=0,"",D839-_xlfn.MAXIFS('Relevés compteurs'!$D$5:$D$1504,'Relevés compteurs'!$B$5:$B$1504,B839,'Relevés compteurs'!$A$5:$A$1504,"&lt;"&amp;A839)))</f>
        <v/>
      </c>
    </row>
    <row r="840">
      <c r="A840" s="65" t="n"/>
      <c r="B840" s="7" t="n"/>
      <c r="C840" s="9">
        <f>IF(B840="","",IFERROR(INDEX('Équipements'!$B$5:$B$304,MATCH(B840,'Équipements'!$A$5:$A$304,0)),"Code inconnu"))</f>
        <v/>
      </c>
      <c r="D840" s="67" t="n"/>
      <c r="E840" s="7" t="n"/>
      <c r="F840" s="68">
        <f>IF(OR(B840="",A840=""),"",IF(COUNTIFS('Relevés compteurs'!$B$5:$B$1504,B840,'Relevés compteurs'!$A$5:$A$1504,"&lt;"&amp;A840)=0,"",D840-_xlfn.MAXIFS('Relevés compteurs'!$D$5:$D$1504,'Relevés compteurs'!$B$5:$B$1504,B840,'Relevés compteurs'!$A$5:$A$1504,"&lt;"&amp;A840)))</f>
        <v/>
      </c>
    </row>
    <row r="841">
      <c r="A841" s="65" t="n"/>
      <c r="B841" s="7" t="n"/>
      <c r="C841" s="9">
        <f>IF(B841="","",IFERROR(INDEX('Équipements'!$B$5:$B$304,MATCH(B841,'Équipements'!$A$5:$A$304,0)),"Code inconnu"))</f>
        <v/>
      </c>
      <c r="D841" s="67" t="n"/>
      <c r="E841" s="7" t="n"/>
      <c r="F841" s="68">
        <f>IF(OR(B841="",A841=""),"",IF(COUNTIFS('Relevés compteurs'!$B$5:$B$1504,B841,'Relevés compteurs'!$A$5:$A$1504,"&lt;"&amp;A841)=0,"",D841-_xlfn.MAXIFS('Relevés compteurs'!$D$5:$D$1504,'Relevés compteurs'!$B$5:$B$1504,B841,'Relevés compteurs'!$A$5:$A$1504,"&lt;"&amp;A841)))</f>
        <v/>
      </c>
    </row>
    <row r="842">
      <c r="A842" s="65" t="n"/>
      <c r="B842" s="7" t="n"/>
      <c r="C842" s="9">
        <f>IF(B842="","",IFERROR(INDEX('Équipements'!$B$5:$B$304,MATCH(B842,'Équipements'!$A$5:$A$304,0)),"Code inconnu"))</f>
        <v/>
      </c>
      <c r="D842" s="67" t="n"/>
      <c r="E842" s="7" t="n"/>
      <c r="F842" s="68">
        <f>IF(OR(B842="",A842=""),"",IF(COUNTIFS('Relevés compteurs'!$B$5:$B$1504,B842,'Relevés compteurs'!$A$5:$A$1504,"&lt;"&amp;A842)=0,"",D842-_xlfn.MAXIFS('Relevés compteurs'!$D$5:$D$1504,'Relevés compteurs'!$B$5:$B$1504,B842,'Relevés compteurs'!$A$5:$A$1504,"&lt;"&amp;A842)))</f>
        <v/>
      </c>
    </row>
    <row r="843">
      <c r="A843" s="65" t="n"/>
      <c r="B843" s="7" t="n"/>
      <c r="C843" s="9">
        <f>IF(B843="","",IFERROR(INDEX('Équipements'!$B$5:$B$304,MATCH(B843,'Équipements'!$A$5:$A$304,0)),"Code inconnu"))</f>
        <v/>
      </c>
      <c r="D843" s="67" t="n"/>
      <c r="E843" s="7" t="n"/>
      <c r="F843" s="68">
        <f>IF(OR(B843="",A843=""),"",IF(COUNTIFS('Relevés compteurs'!$B$5:$B$1504,B843,'Relevés compteurs'!$A$5:$A$1504,"&lt;"&amp;A843)=0,"",D843-_xlfn.MAXIFS('Relevés compteurs'!$D$5:$D$1504,'Relevés compteurs'!$B$5:$B$1504,B843,'Relevés compteurs'!$A$5:$A$1504,"&lt;"&amp;A843)))</f>
        <v/>
      </c>
    </row>
    <row r="844">
      <c r="A844" s="65" t="n"/>
      <c r="B844" s="7" t="n"/>
      <c r="C844" s="9">
        <f>IF(B844="","",IFERROR(INDEX('Équipements'!$B$5:$B$304,MATCH(B844,'Équipements'!$A$5:$A$304,0)),"Code inconnu"))</f>
        <v/>
      </c>
      <c r="D844" s="67" t="n"/>
      <c r="E844" s="7" t="n"/>
      <c r="F844" s="68">
        <f>IF(OR(B844="",A844=""),"",IF(COUNTIFS('Relevés compteurs'!$B$5:$B$1504,B844,'Relevés compteurs'!$A$5:$A$1504,"&lt;"&amp;A844)=0,"",D844-_xlfn.MAXIFS('Relevés compteurs'!$D$5:$D$1504,'Relevés compteurs'!$B$5:$B$1504,B844,'Relevés compteurs'!$A$5:$A$1504,"&lt;"&amp;A844)))</f>
        <v/>
      </c>
    </row>
    <row r="845">
      <c r="A845" s="65" t="n"/>
      <c r="B845" s="7" t="n"/>
      <c r="C845" s="9">
        <f>IF(B845="","",IFERROR(INDEX('Équipements'!$B$5:$B$304,MATCH(B845,'Équipements'!$A$5:$A$304,0)),"Code inconnu"))</f>
        <v/>
      </c>
      <c r="D845" s="67" t="n"/>
      <c r="E845" s="7" t="n"/>
      <c r="F845" s="68">
        <f>IF(OR(B845="",A845=""),"",IF(COUNTIFS('Relevés compteurs'!$B$5:$B$1504,B845,'Relevés compteurs'!$A$5:$A$1504,"&lt;"&amp;A845)=0,"",D845-_xlfn.MAXIFS('Relevés compteurs'!$D$5:$D$1504,'Relevés compteurs'!$B$5:$B$1504,B845,'Relevés compteurs'!$A$5:$A$1504,"&lt;"&amp;A845)))</f>
        <v/>
      </c>
    </row>
    <row r="846">
      <c r="A846" s="65" t="n"/>
      <c r="B846" s="7" t="n"/>
      <c r="C846" s="9">
        <f>IF(B846="","",IFERROR(INDEX('Équipements'!$B$5:$B$304,MATCH(B846,'Équipements'!$A$5:$A$304,0)),"Code inconnu"))</f>
        <v/>
      </c>
      <c r="D846" s="67" t="n"/>
      <c r="E846" s="7" t="n"/>
      <c r="F846" s="68">
        <f>IF(OR(B846="",A846=""),"",IF(COUNTIFS('Relevés compteurs'!$B$5:$B$1504,B846,'Relevés compteurs'!$A$5:$A$1504,"&lt;"&amp;A846)=0,"",D846-_xlfn.MAXIFS('Relevés compteurs'!$D$5:$D$1504,'Relevés compteurs'!$B$5:$B$1504,B846,'Relevés compteurs'!$A$5:$A$1504,"&lt;"&amp;A846)))</f>
        <v/>
      </c>
    </row>
    <row r="847">
      <c r="A847" s="65" t="n"/>
      <c r="B847" s="7" t="n"/>
      <c r="C847" s="9">
        <f>IF(B847="","",IFERROR(INDEX('Équipements'!$B$5:$B$304,MATCH(B847,'Équipements'!$A$5:$A$304,0)),"Code inconnu"))</f>
        <v/>
      </c>
      <c r="D847" s="67" t="n"/>
      <c r="E847" s="7" t="n"/>
      <c r="F847" s="68">
        <f>IF(OR(B847="",A847=""),"",IF(COUNTIFS('Relevés compteurs'!$B$5:$B$1504,B847,'Relevés compteurs'!$A$5:$A$1504,"&lt;"&amp;A847)=0,"",D847-_xlfn.MAXIFS('Relevés compteurs'!$D$5:$D$1504,'Relevés compteurs'!$B$5:$B$1504,B847,'Relevés compteurs'!$A$5:$A$1504,"&lt;"&amp;A847)))</f>
        <v/>
      </c>
    </row>
    <row r="848">
      <c r="A848" s="65" t="n"/>
      <c r="B848" s="7" t="n"/>
      <c r="C848" s="9">
        <f>IF(B848="","",IFERROR(INDEX('Équipements'!$B$5:$B$304,MATCH(B848,'Équipements'!$A$5:$A$304,0)),"Code inconnu"))</f>
        <v/>
      </c>
      <c r="D848" s="67" t="n"/>
      <c r="E848" s="7" t="n"/>
      <c r="F848" s="68">
        <f>IF(OR(B848="",A848=""),"",IF(COUNTIFS('Relevés compteurs'!$B$5:$B$1504,B848,'Relevés compteurs'!$A$5:$A$1504,"&lt;"&amp;A848)=0,"",D848-_xlfn.MAXIFS('Relevés compteurs'!$D$5:$D$1504,'Relevés compteurs'!$B$5:$B$1504,B848,'Relevés compteurs'!$A$5:$A$1504,"&lt;"&amp;A848)))</f>
        <v/>
      </c>
    </row>
    <row r="849">
      <c r="A849" s="65" t="n"/>
      <c r="B849" s="7" t="n"/>
      <c r="C849" s="9">
        <f>IF(B849="","",IFERROR(INDEX('Équipements'!$B$5:$B$304,MATCH(B849,'Équipements'!$A$5:$A$304,0)),"Code inconnu"))</f>
        <v/>
      </c>
      <c r="D849" s="67" t="n"/>
      <c r="E849" s="7" t="n"/>
      <c r="F849" s="68">
        <f>IF(OR(B849="",A849=""),"",IF(COUNTIFS('Relevés compteurs'!$B$5:$B$1504,B849,'Relevés compteurs'!$A$5:$A$1504,"&lt;"&amp;A849)=0,"",D849-_xlfn.MAXIFS('Relevés compteurs'!$D$5:$D$1504,'Relevés compteurs'!$B$5:$B$1504,B849,'Relevés compteurs'!$A$5:$A$1504,"&lt;"&amp;A849)))</f>
        <v/>
      </c>
    </row>
    <row r="850">
      <c r="A850" s="65" t="n"/>
      <c r="B850" s="7" t="n"/>
      <c r="C850" s="9">
        <f>IF(B850="","",IFERROR(INDEX('Équipements'!$B$5:$B$304,MATCH(B850,'Équipements'!$A$5:$A$304,0)),"Code inconnu"))</f>
        <v/>
      </c>
      <c r="D850" s="67" t="n"/>
      <c r="E850" s="7" t="n"/>
      <c r="F850" s="68">
        <f>IF(OR(B850="",A850=""),"",IF(COUNTIFS('Relevés compteurs'!$B$5:$B$1504,B850,'Relevés compteurs'!$A$5:$A$1504,"&lt;"&amp;A850)=0,"",D850-_xlfn.MAXIFS('Relevés compteurs'!$D$5:$D$1504,'Relevés compteurs'!$B$5:$B$1504,B850,'Relevés compteurs'!$A$5:$A$1504,"&lt;"&amp;A850)))</f>
        <v/>
      </c>
    </row>
    <row r="851">
      <c r="A851" s="65" t="n"/>
      <c r="B851" s="7" t="n"/>
      <c r="C851" s="9">
        <f>IF(B851="","",IFERROR(INDEX('Équipements'!$B$5:$B$304,MATCH(B851,'Équipements'!$A$5:$A$304,0)),"Code inconnu"))</f>
        <v/>
      </c>
      <c r="D851" s="67" t="n"/>
      <c r="E851" s="7" t="n"/>
      <c r="F851" s="68">
        <f>IF(OR(B851="",A851=""),"",IF(COUNTIFS('Relevés compteurs'!$B$5:$B$1504,B851,'Relevés compteurs'!$A$5:$A$1504,"&lt;"&amp;A851)=0,"",D851-_xlfn.MAXIFS('Relevés compteurs'!$D$5:$D$1504,'Relevés compteurs'!$B$5:$B$1504,B851,'Relevés compteurs'!$A$5:$A$1504,"&lt;"&amp;A851)))</f>
        <v/>
      </c>
    </row>
    <row r="852">
      <c r="A852" s="65" t="n"/>
      <c r="B852" s="7" t="n"/>
      <c r="C852" s="9">
        <f>IF(B852="","",IFERROR(INDEX('Équipements'!$B$5:$B$304,MATCH(B852,'Équipements'!$A$5:$A$304,0)),"Code inconnu"))</f>
        <v/>
      </c>
      <c r="D852" s="67" t="n"/>
      <c r="E852" s="7" t="n"/>
      <c r="F852" s="68">
        <f>IF(OR(B852="",A852=""),"",IF(COUNTIFS('Relevés compteurs'!$B$5:$B$1504,B852,'Relevés compteurs'!$A$5:$A$1504,"&lt;"&amp;A852)=0,"",D852-_xlfn.MAXIFS('Relevés compteurs'!$D$5:$D$1504,'Relevés compteurs'!$B$5:$B$1504,B852,'Relevés compteurs'!$A$5:$A$1504,"&lt;"&amp;A852)))</f>
        <v/>
      </c>
    </row>
    <row r="853">
      <c r="A853" s="65" t="n"/>
      <c r="B853" s="7" t="n"/>
      <c r="C853" s="9">
        <f>IF(B853="","",IFERROR(INDEX('Équipements'!$B$5:$B$304,MATCH(B853,'Équipements'!$A$5:$A$304,0)),"Code inconnu"))</f>
        <v/>
      </c>
      <c r="D853" s="67" t="n"/>
      <c r="E853" s="7" t="n"/>
      <c r="F853" s="68">
        <f>IF(OR(B853="",A853=""),"",IF(COUNTIFS('Relevés compteurs'!$B$5:$B$1504,B853,'Relevés compteurs'!$A$5:$A$1504,"&lt;"&amp;A853)=0,"",D853-_xlfn.MAXIFS('Relevés compteurs'!$D$5:$D$1504,'Relevés compteurs'!$B$5:$B$1504,B853,'Relevés compteurs'!$A$5:$A$1504,"&lt;"&amp;A853)))</f>
        <v/>
      </c>
    </row>
    <row r="854">
      <c r="A854" s="65" t="n"/>
      <c r="B854" s="7" t="n"/>
      <c r="C854" s="9">
        <f>IF(B854="","",IFERROR(INDEX('Équipements'!$B$5:$B$304,MATCH(B854,'Équipements'!$A$5:$A$304,0)),"Code inconnu"))</f>
        <v/>
      </c>
      <c r="D854" s="67" t="n"/>
      <c r="E854" s="7" t="n"/>
      <c r="F854" s="68">
        <f>IF(OR(B854="",A854=""),"",IF(COUNTIFS('Relevés compteurs'!$B$5:$B$1504,B854,'Relevés compteurs'!$A$5:$A$1504,"&lt;"&amp;A854)=0,"",D854-_xlfn.MAXIFS('Relevés compteurs'!$D$5:$D$1504,'Relevés compteurs'!$B$5:$B$1504,B854,'Relevés compteurs'!$A$5:$A$1504,"&lt;"&amp;A854)))</f>
        <v/>
      </c>
    </row>
    <row r="855">
      <c r="A855" s="65" t="n"/>
      <c r="B855" s="7" t="n"/>
      <c r="C855" s="9">
        <f>IF(B855="","",IFERROR(INDEX('Équipements'!$B$5:$B$304,MATCH(B855,'Équipements'!$A$5:$A$304,0)),"Code inconnu"))</f>
        <v/>
      </c>
      <c r="D855" s="67" t="n"/>
      <c r="E855" s="7" t="n"/>
      <c r="F855" s="68">
        <f>IF(OR(B855="",A855=""),"",IF(COUNTIFS('Relevés compteurs'!$B$5:$B$1504,B855,'Relevés compteurs'!$A$5:$A$1504,"&lt;"&amp;A855)=0,"",D855-_xlfn.MAXIFS('Relevés compteurs'!$D$5:$D$1504,'Relevés compteurs'!$B$5:$B$1504,B855,'Relevés compteurs'!$A$5:$A$1504,"&lt;"&amp;A855)))</f>
        <v/>
      </c>
    </row>
    <row r="856">
      <c r="A856" s="65" t="n"/>
      <c r="B856" s="7" t="n"/>
      <c r="C856" s="9">
        <f>IF(B856="","",IFERROR(INDEX('Équipements'!$B$5:$B$304,MATCH(B856,'Équipements'!$A$5:$A$304,0)),"Code inconnu"))</f>
        <v/>
      </c>
      <c r="D856" s="67" t="n"/>
      <c r="E856" s="7" t="n"/>
      <c r="F856" s="68">
        <f>IF(OR(B856="",A856=""),"",IF(COUNTIFS('Relevés compteurs'!$B$5:$B$1504,B856,'Relevés compteurs'!$A$5:$A$1504,"&lt;"&amp;A856)=0,"",D856-_xlfn.MAXIFS('Relevés compteurs'!$D$5:$D$1504,'Relevés compteurs'!$B$5:$B$1504,B856,'Relevés compteurs'!$A$5:$A$1504,"&lt;"&amp;A856)))</f>
        <v/>
      </c>
    </row>
    <row r="857">
      <c r="A857" s="65" t="n"/>
      <c r="B857" s="7" t="n"/>
      <c r="C857" s="9">
        <f>IF(B857="","",IFERROR(INDEX('Équipements'!$B$5:$B$304,MATCH(B857,'Équipements'!$A$5:$A$304,0)),"Code inconnu"))</f>
        <v/>
      </c>
      <c r="D857" s="67" t="n"/>
      <c r="E857" s="7" t="n"/>
      <c r="F857" s="68">
        <f>IF(OR(B857="",A857=""),"",IF(COUNTIFS('Relevés compteurs'!$B$5:$B$1504,B857,'Relevés compteurs'!$A$5:$A$1504,"&lt;"&amp;A857)=0,"",D857-_xlfn.MAXIFS('Relevés compteurs'!$D$5:$D$1504,'Relevés compteurs'!$B$5:$B$1504,B857,'Relevés compteurs'!$A$5:$A$1504,"&lt;"&amp;A857)))</f>
        <v/>
      </c>
    </row>
    <row r="858">
      <c r="A858" s="65" t="n"/>
      <c r="B858" s="7" t="n"/>
      <c r="C858" s="9">
        <f>IF(B858="","",IFERROR(INDEX('Équipements'!$B$5:$B$304,MATCH(B858,'Équipements'!$A$5:$A$304,0)),"Code inconnu"))</f>
        <v/>
      </c>
      <c r="D858" s="67" t="n"/>
      <c r="E858" s="7" t="n"/>
      <c r="F858" s="68">
        <f>IF(OR(B858="",A858=""),"",IF(COUNTIFS('Relevés compteurs'!$B$5:$B$1504,B858,'Relevés compteurs'!$A$5:$A$1504,"&lt;"&amp;A858)=0,"",D858-_xlfn.MAXIFS('Relevés compteurs'!$D$5:$D$1504,'Relevés compteurs'!$B$5:$B$1504,B858,'Relevés compteurs'!$A$5:$A$1504,"&lt;"&amp;A858)))</f>
        <v/>
      </c>
    </row>
    <row r="859">
      <c r="A859" s="65" t="n"/>
      <c r="B859" s="7" t="n"/>
      <c r="C859" s="9">
        <f>IF(B859="","",IFERROR(INDEX('Équipements'!$B$5:$B$304,MATCH(B859,'Équipements'!$A$5:$A$304,0)),"Code inconnu"))</f>
        <v/>
      </c>
      <c r="D859" s="67" t="n"/>
      <c r="E859" s="7" t="n"/>
      <c r="F859" s="68">
        <f>IF(OR(B859="",A859=""),"",IF(COUNTIFS('Relevés compteurs'!$B$5:$B$1504,B859,'Relevés compteurs'!$A$5:$A$1504,"&lt;"&amp;A859)=0,"",D859-_xlfn.MAXIFS('Relevés compteurs'!$D$5:$D$1504,'Relevés compteurs'!$B$5:$B$1504,B859,'Relevés compteurs'!$A$5:$A$1504,"&lt;"&amp;A859)))</f>
        <v/>
      </c>
    </row>
    <row r="860">
      <c r="A860" s="65" t="n"/>
      <c r="B860" s="7" t="n"/>
      <c r="C860" s="9">
        <f>IF(B860="","",IFERROR(INDEX('Équipements'!$B$5:$B$304,MATCH(B860,'Équipements'!$A$5:$A$304,0)),"Code inconnu"))</f>
        <v/>
      </c>
      <c r="D860" s="67" t="n"/>
      <c r="E860" s="7" t="n"/>
      <c r="F860" s="68">
        <f>IF(OR(B860="",A860=""),"",IF(COUNTIFS('Relevés compteurs'!$B$5:$B$1504,B860,'Relevés compteurs'!$A$5:$A$1504,"&lt;"&amp;A860)=0,"",D860-_xlfn.MAXIFS('Relevés compteurs'!$D$5:$D$1504,'Relevés compteurs'!$B$5:$B$1504,B860,'Relevés compteurs'!$A$5:$A$1504,"&lt;"&amp;A860)))</f>
        <v/>
      </c>
    </row>
    <row r="861">
      <c r="A861" s="65" t="n"/>
      <c r="B861" s="7" t="n"/>
      <c r="C861" s="9">
        <f>IF(B861="","",IFERROR(INDEX('Équipements'!$B$5:$B$304,MATCH(B861,'Équipements'!$A$5:$A$304,0)),"Code inconnu"))</f>
        <v/>
      </c>
      <c r="D861" s="67" t="n"/>
      <c r="E861" s="7" t="n"/>
      <c r="F861" s="68">
        <f>IF(OR(B861="",A861=""),"",IF(COUNTIFS('Relevés compteurs'!$B$5:$B$1504,B861,'Relevés compteurs'!$A$5:$A$1504,"&lt;"&amp;A861)=0,"",D861-_xlfn.MAXIFS('Relevés compteurs'!$D$5:$D$1504,'Relevés compteurs'!$B$5:$B$1504,B861,'Relevés compteurs'!$A$5:$A$1504,"&lt;"&amp;A861)))</f>
        <v/>
      </c>
    </row>
    <row r="862">
      <c r="A862" s="65" t="n"/>
      <c r="B862" s="7" t="n"/>
      <c r="C862" s="9">
        <f>IF(B862="","",IFERROR(INDEX('Équipements'!$B$5:$B$304,MATCH(B862,'Équipements'!$A$5:$A$304,0)),"Code inconnu"))</f>
        <v/>
      </c>
      <c r="D862" s="67" t="n"/>
      <c r="E862" s="7" t="n"/>
      <c r="F862" s="68">
        <f>IF(OR(B862="",A862=""),"",IF(COUNTIFS('Relevés compteurs'!$B$5:$B$1504,B862,'Relevés compteurs'!$A$5:$A$1504,"&lt;"&amp;A862)=0,"",D862-_xlfn.MAXIFS('Relevés compteurs'!$D$5:$D$1504,'Relevés compteurs'!$B$5:$B$1504,B862,'Relevés compteurs'!$A$5:$A$1504,"&lt;"&amp;A862)))</f>
        <v/>
      </c>
    </row>
    <row r="863">
      <c r="A863" s="65" t="n"/>
      <c r="B863" s="7" t="n"/>
      <c r="C863" s="9">
        <f>IF(B863="","",IFERROR(INDEX('Équipements'!$B$5:$B$304,MATCH(B863,'Équipements'!$A$5:$A$304,0)),"Code inconnu"))</f>
        <v/>
      </c>
      <c r="D863" s="67" t="n"/>
      <c r="E863" s="7" t="n"/>
      <c r="F863" s="68">
        <f>IF(OR(B863="",A863=""),"",IF(COUNTIFS('Relevés compteurs'!$B$5:$B$1504,B863,'Relevés compteurs'!$A$5:$A$1504,"&lt;"&amp;A863)=0,"",D863-_xlfn.MAXIFS('Relevés compteurs'!$D$5:$D$1504,'Relevés compteurs'!$B$5:$B$1504,B863,'Relevés compteurs'!$A$5:$A$1504,"&lt;"&amp;A863)))</f>
        <v/>
      </c>
    </row>
    <row r="864">
      <c r="A864" s="65" t="n"/>
      <c r="B864" s="7" t="n"/>
      <c r="C864" s="9">
        <f>IF(B864="","",IFERROR(INDEX('Équipements'!$B$5:$B$304,MATCH(B864,'Équipements'!$A$5:$A$304,0)),"Code inconnu"))</f>
        <v/>
      </c>
      <c r="D864" s="67" t="n"/>
      <c r="E864" s="7" t="n"/>
      <c r="F864" s="68">
        <f>IF(OR(B864="",A864=""),"",IF(COUNTIFS('Relevés compteurs'!$B$5:$B$1504,B864,'Relevés compteurs'!$A$5:$A$1504,"&lt;"&amp;A864)=0,"",D864-_xlfn.MAXIFS('Relevés compteurs'!$D$5:$D$1504,'Relevés compteurs'!$B$5:$B$1504,B864,'Relevés compteurs'!$A$5:$A$1504,"&lt;"&amp;A864)))</f>
        <v/>
      </c>
    </row>
    <row r="865">
      <c r="A865" s="65" t="n"/>
      <c r="B865" s="7" t="n"/>
      <c r="C865" s="9">
        <f>IF(B865="","",IFERROR(INDEX('Équipements'!$B$5:$B$304,MATCH(B865,'Équipements'!$A$5:$A$304,0)),"Code inconnu"))</f>
        <v/>
      </c>
      <c r="D865" s="67" t="n"/>
      <c r="E865" s="7" t="n"/>
      <c r="F865" s="68">
        <f>IF(OR(B865="",A865=""),"",IF(COUNTIFS('Relevés compteurs'!$B$5:$B$1504,B865,'Relevés compteurs'!$A$5:$A$1504,"&lt;"&amp;A865)=0,"",D865-_xlfn.MAXIFS('Relevés compteurs'!$D$5:$D$1504,'Relevés compteurs'!$B$5:$B$1504,B865,'Relevés compteurs'!$A$5:$A$1504,"&lt;"&amp;A865)))</f>
        <v/>
      </c>
    </row>
    <row r="866">
      <c r="A866" s="65" t="n"/>
      <c r="B866" s="7" t="n"/>
      <c r="C866" s="9">
        <f>IF(B866="","",IFERROR(INDEX('Équipements'!$B$5:$B$304,MATCH(B866,'Équipements'!$A$5:$A$304,0)),"Code inconnu"))</f>
        <v/>
      </c>
      <c r="D866" s="67" t="n"/>
      <c r="E866" s="7" t="n"/>
      <c r="F866" s="68">
        <f>IF(OR(B866="",A866=""),"",IF(COUNTIFS('Relevés compteurs'!$B$5:$B$1504,B866,'Relevés compteurs'!$A$5:$A$1504,"&lt;"&amp;A866)=0,"",D866-_xlfn.MAXIFS('Relevés compteurs'!$D$5:$D$1504,'Relevés compteurs'!$B$5:$B$1504,B866,'Relevés compteurs'!$A$5:$A$1504,"&lt;"&amp;A866)))</f>
        <v/>
      </c>
    </row>
    <row r="867">
      <c r="A867" s="65" t="n"/>
      <c r="B867" s="7" t="n"/>
      <c r="C867" s="9">
        <f>IF(B867="","",IFERROR(INDEX('Équipements'!$B$5:$B$304,MATCH(B867,'Équipements'!$A$5:$A$304,0)),"Code inconnu"))</f>
        <v/>
      </c>
      <c r="D867" s="67" t="n"/>
      <c r="E867" s="7" t="n"/>
      <c r="F867" s="68">
        <f>IF(OR(B867="",A867=""),"",IF(COUNTIFS('Relevés compteurs'!$B$5:$B$1504,B867,'Relevés compteurs'!$A$5:$A$1504,"&lt;"&amp;A867)=0,"",D867-_xlfn.MAXIFS('Relevés compteurs'!$D$5:$D$1504,'Relevés compteurs'!$B$5:$B$1504,B867,'Relevés compteurs'!$A$5:$A$1504,"&lt;"&amp;A867)))</f>
        <v/>
      </c>
    </row>
    <row r="868">
      <c r="A868" s="65" t="n"/>
      <c r="B868" s="7" t="n"/>
      <c r="C868" s="9">
        <f>IF(B868="","",IFERROR(INDEX('Équipements'!$B$5:$B$304,MATCH(B868,'Équipements'!$A$5:$A$304,0)),"Code inconnu"))</f>
        <v/>
      </c>
      <c r="D868" s="67" t="n"/>
      <c r="E868" s="7" t="n"/>
      <c r="F868" s="68">
        <f>IF(OR(B868="",A868=""),"",IF(COUNTIFS('Relevés compteurs'!$B$5:$B$1504,B868,'Relevés compteurs'!$A$5:$A$1504,"&lt;"&amp;A868)=0,"",D868-_xlfn.MAXIFS('Relevés compteurs'!$D$5:$D$1504,'Relevés compteurs'!$B$5:$B$1504,B868,'Relevés compteurs'!$A$5:$A$1504,"&lt;"&amp;A868)))</f>
        <v/>
      </c>
    </row>
    <row r="869">
      <c r="A869" s="65" t="n"/>
      <c r="B869" s="7" t="n"/>
      <c r="C869" s="9">
        <f>IF(B869="","",IFERROR(INDEX('Équipements'!$B$5:$B$304,MATCH(B869,'Équipements'!$A$5:$A$304,0)),"Code inconnu"))</f>
        <v/>
      </c>
      <c r="D869" s="67" t="n"/>
      <c r="E869" s="7" t="n"/>
      <c r="F869" s="68">
        <f>IF(OR(B869="",A869=""),"",IF(COUNTIFS('Relevés compteurs'!$B$5:$B$1504,B869,'Relevés compteurs'!$A$5:$A$1504,"&lt;"&amp;A869)=0,"",D869-_xlfn.MAXIFS('Relevés compteurs'!$D$5:$D$1504,'Relevés compteurs'!$B$5:$B$1504,B869,'Relevés compteurs'!$A$5:$A$1504,"&lt;"&amp;A869)))</f>
        <v/>
      </c>
    </row>
    <row r="870">
      <c r="A870" s="65" t="n"/>
      <c r="B870" s="7" t="n"/>
      <c r="C870" s="9">
        <f>IF(B870="","",IFERROR(INDEX('Équipements'!$B$5:$B$304,MATCH(B870,'Équipements'!$A$5:$A$304,0)),"Code inconnu"))</f>
        <v/>
      </c>
      <c r="D870" s="67" t="n"/>
      <c r="E870" s="7" t="n"/>
      <c r="F870" s="68">
        <f>IF(OR(B870="",A870=""),"",IF(COUNTIFS('Relevés compteurs'!$B$5:$B$1504,B870,'Relevés compteurs'!$A$5:$A$1504,"&lt;"&amp;A870)=0,"",D870-_xlfn.MAXIFS('Relevés compteurs'!$D$5:$D$1504,'Relevés compteurs'!$B$5:$B$1504,B870,'Relevés compteurs'!$A$5:$A$1504,"&lt;"&amp;A870)))</f>
        <v/>
      </c>
    </row>
    <row r="871">
      <c r="A871" s="65" t="n"/>
      <c r="B871" s="7" t="n"/>
      <c r="C871" s="9">
        <f>IF(B871="","",IFERROR(INDEX('Équipements'!$B$5:$B$304,MATCH(B871,'Équipements'!$A$5:$A$304,0)),"Code inconnu"))</f>
        <v/>
      </c>
      <c r="D871" s="67" t="n"/>
      <c r="E871" s="7" t="n"/>
      <c r="F871" s="68">
        <f>IF(OR(B871="",A871=""),"",IF(COUNTIFS('Relevés compteurs'!$B$5:$B$1504,B871,'Relevés compteurs'!$A$5:$A$1504,"&lt;"&amp;A871)=0,"",D871-_xlfn.MAXIFS('Relevés compteurs'!$D$5:$D$1504,'Relevés compteurs'!$B$5:$B$1504,B871,'Relevés compteurs'!$A$5:$A$1504,"&lt;"&amp;A871)))</f>
        <v/>
      </c>
    </row>
    <row r="872">
      <c r="A872" s="65" t="n"/>
      <c r="B872" s="7" t="n"/>
      <c r="C872" s="9">
        <f>IF(B872="","",IFERROR(INDEX('Équipements'!$B$5:$B$304,MATCH(B872,'Équipements'!$A$5:$A$304,0)),"Code inconnu"))</f>
        <v/>
      </c>
      <c r="D872" s="67" t="n"/>
      <c r="E872" s="7" t="n"/>
      <c r="F872" s="68">
        <f>IF(OR(B872="",A872=""),"",IF(COUNTIFS('Relevés compteurs'!$B$5:$B$1504,B872,'Relevés compteurs'!$A$5:$A$1504,"&lt;"&amp;A872)=0,"",D872-_xlfn.MAXIFS('Relevés compteurs'!$D$5:$D$1504,'Relevés compteurs'!$B$5:$B$1504,B872,'Relevés compteurs'!$A$5:$A$1504,"&lt;"&amp;A872)))</f>
        <v/>
      </c>
    </row>
    <row r="873">
      <c r="A873" s="65" t="n"/>
      <c r="B873" s="7" t="n"/>
      <c r="C873" s="9">
        <f>IF(B873="","",IFERROR(INDEX('Équipements'!$B$5:$B$304,MATCH(B873,'Équipements'!$A$5:$A$304,0)),"Code inconnu"))</f>
        <v/>
      </c>
      <c r="D873" s="67" t="n"/>
      <c r="E873" s="7" t="n"/>
      <c r="F873" s="68">
        <f>IF(OR(B873="",A873=""),"",IF(COUNTIFS('Relevés compteurs'!$B$5:$B$1504,B873,'Relevés compteurs'!$A$5:$A$1504,"&lt;"&amp;A873)=0,"",D873-_xlfn.MAXIFS('Relevés compteurs'!$D$5:$D$1504,'Relevés compteurs'!$B$5:$B$1504,B873,'Relevés compteurs'!$A$5:$A$1504,"&lt;"&amp;A873)))</f>
        <v/>
      </c>
    </row>
    <row r="874">
      <c r="A874" s="65" t="n"/>
      <c r="B874" s="7" t="n"/>
      <c r="C874" s="9">
        <f>IF(B874="","",IFERROR(INDEX('Équipements'!$B$5:$B$304,MATCH(B874,'Équipements'!$A$5:$A$304,0)),"Code inconnu"))</f>
        <v/>
      </c>
      <c r="D874" s="67" t="n"/>
      <c r="E874" s="7" t="n"/>
      <c r="F874" s="68">
        <f>IF(OR(B874="",A874=""),"",IF(COUNTIFS('Relevés compteurs'!$B$5:$B$1504,B874,'Relevés compteurs'!$A$5:$A$1504,"&lt;"&amp;A874)=0,"",D874-_xlfn.MAXIFS('Relevés compteurs'!$D$5:$D$1504,'Relevés compteurs'!$B$5:$B$1504,B874,'Relevés compteurs'!$A$5:$A$1504,"&lt;"&amp;A874)))</f>
        <v/>
      </c>
    </row>
    <row r="875">
      <c r="A875" s="65" t="n"/>
      <c r="B875" s="7" t="n"/>
      <c r="C875" s="9">
        <f>IF(B875="","",IFERROR(INDEX('Équipements'!$B$5:$B$304,MATCH(B875,'Équipements'!$A$5:$A$304,0)),"Code inconnu"))</f>
        <v/>
      </c>
      <c r="D875" s="67" t="n"/>
      <c r="E875" s="7" t="n"/>
      <c r="F875" s="68">
        <f>IF(OR(B875="",A875=""),"",IF(COUNTIFS('Relevés compteurs'!$B$5:$B$1504,B875,'Relevés compteurs'!$A$5:$A$1504,"&lt;"&amp;A875)=0,"",D875-_xlfn.MAXIFS('Relevés compteurs'!$D$5:$D$1504,'Relevés compteurs'!$B$5:$B$1504,B875,'Relevés compteurs'!$A$5:$A$1504,"&lt;"&amp;A875)))</f>
        <v/>
      </c>
    </row>
    <row r="876">
      <c r="A876" s="65" t="n"/>
      <c r="B876" s="7" t="n"/>
      <c r="C876" s="9">
        <f>IF(B876="","",IFERROR(INDEX('Équipements'!$B$5:$B$304,MATCH(B876,'Équipements'!$A$5:$A$304,0)),"Code inconnu"))</f>
        <v/>
      </c>
      <c r="D876" s="67" t="n"/>
      <c r="E876" s="7" t="n"/>
      <c r="F876" s="68">
        <f>IF(OR(B876="",A876=""),"",IF(COUNTIFS('Relevés compteurs'!$B$5:$B$1504,B876,'Relevés compteurs'!$A$5:$A$1504,"&lt;"&amp;A876)=0,"",D876-_xlfn.MAXIFS('Relevés compteurs'!$D$5:$D$1504,'Relevés compteurs'!$B$5:$B$1504,B876,'Relevés compteurs'!$A$5:$A$1504,"&lt;"&amp;A876)))</f>
        <v/>
      </c>
    </row>
    <row r="877">
      <c r="A877" s="65" t="n"/>
      <c r="B877" s="7" t="n"/>
      <c r="C877" s="9">
        <f>IF(B877="","",IFERROR(INDEX('Équipements'!$B$5:$B$304,MATCH(B877,'Équipements'!$A$5:$A$304,0)),"Code inconnu"))</f>
        <v/>
      </c>
      <c r="D877" s="67" t="n"/>
      <c r="E877" s="7" t="n"/>
      <c r="F877" s="68">
        <f>IF(OR(B877="",A877=""),"",IF(COUNTIFS('Relevés compteurs'!$B$5:$B$1504,B877,'Relevés compteurs'!$A$5:$A$1504,"&lt;"&amp;A877)=0,"",D877-_xlfn.MAXIFS('Relevés compteurs'!$D$5:$D$1504,'Relevés compteurs'!$B$5:$B$1504,B877,'Relevés compteurs'!$A$5:$A$1504,"&lt;"&amp;A877)))</f>
        <v/>
      </c>
    </row>
    <row r="878">
      <c r="A878" s="65" t="n"/>
      <c r="B878" s="7" t="n"/>
      <c r="C878" s="9">
        <f>IF(B878="","",IFERROR(INDEX('Équipements'!$B$5:$B$304,MATCH(B878,'Équipements'!$A$5:$A$304,0)),"Code inconnu"))</f>
        <v/>
      </c>
      <c r="D878" s="67" t="n"/>
      <c r="E878" s="7" t="n"/>
      <c r="F878" s="68">
        <f>IF(OR(B878="",A878=""),"",IF(COUNTIFS('Relevés compteurs'!$B$5:$B$1504,B878,'Relevés compteurs'!$A$5:$A$1504,"&lt;"&amp;A878)=0,"",D878-_xlfn.MAXIFS('Relevés compteurs'!$D$5:$D$1504,'Relevés compteurs'!$B$5:$B$1504,B878,'Relevés compteurs'!$A$5:$A$1504,"&lt;"&amp;A878)))</f>
        <v/>
      </c>
    </row>
    <row r="879">
      <c r="A879" s="65" t="n"/>
      <c r="B879" s="7" t="n"/>
      <c r="C879" s="9">
        <f>IF(B879="","",IFERROR(INDEX('Équipements'!$B$5:$B$304,MATCH(B879,'Équipements'!$A$5:$A$304,0)),"Code inconnu"))</f>
        <v/>
      </c>
      <c r="D879" s="67" t="n"/>
      <c r="E879" s="7" t="n"/>
      <c r="F879" s="68">
        <f>IF(OR(B879="",A879=""),"",IF(COUNTIFS('Relevés compteurs'!$B$5:$B$1504,B879,'Relevés compteurs'!$A$5:$A$1504,"&lt;"&amp;A879)=0,"",D879-_xlfn.MAXIFS('Relevés compteurs'!$D$5:$D$1504,'Relevés compteurs'!$B$5:$B$1504,B879,'Relevés compteurs'!$A$5:$A$1504,"&lt;"&amp;A879)))</f>
        <v/>
      </c>
    </row>
    <row r="880">
      <c r="A880" s="65" t="n"/>
      <c r="B880" s="7" t="n"/>
      <c r="C880" s="9">
        <f>IF(B880="","",IFERROR(INDEX('Équipements'!$B$5:$B$304,MATCH(B880,'Équipements'!$A$5:$A$304,0)),"Code inconnu"))</f>
        <v/>
      </c>
      <c r="D880" s="67" t="n"/>
      <c r="E880" s="7" t="n"/>
      <c r="F880" s="68">
        <f>IF(OR(B880="",A880=""),"",IF(COUNTIFS('Relevés compteurs'!$B$5:$B$1504,B880,'Relevés compteurs'!$A$5:$A$1504,"&lt;"&amp;A880)=0,"",D880-_xlfn.MAXIFS('Relevés compteurs'!$D$5:$D$1504,'Relevés compteurs'!$B$5:$B$1504,B880,'Relevés compteurs'!$A$5:$A$1504,"&lt;"&amp;A880)))</f>
        <v/>
      </c>
    </row>
    <row r="881">
      <c r="A881" s="65" t="n"/>
      <c r="B881" s="7" t="n"/>
      <c r="C881" s="9">
        <f>IF(B881="","",IFERROR(INDEX('Équipements'!$B$5:$B$304,MATCH(B881,'Équipements'!$A$5:$A$304,0)),"Code inconnu"))</f>
        <v/>
      </c>
      <c r="D881" s="67" t="n"/>
      <c r="E881" s="7" t="n"/>
      <c r="F881" s="68">
        <f>IF(OR(B881="",A881=""),"",IF(COUNTIFS('Relevés compteurs'!$B$5:$B$1504,B881,'Relevés compteurs'!$A$5:$A$1504,"&lt;"&amp;A881)=0,"",D881-_xlfn.MAXIFS('Relevés compteurs'!$D$5:$D$1504,'Relevés compteurs'!$B$5:$B$1504,B881,'Relevés compteurs'!$A$5:$A$1504,"&lt;"&amp;A881)))</f>
        <v/>
      </c>
    </row>
    <row r="882">
      <c r="A882" s="65" t="n"/>
      <c r="B882" s="7" t="n"/>
      <c r="C882" s="9">
        <f>IF(B882="","",IFERROR(INDEX('Équipements'!$B$5:$B$304,MATCH(B882,'Équipements'!$A$5:$A$304,0)),"Code inconnu"))</f>
        <v/>
      </c>
      <c r="D882" s="67" t="n"/>
      <c r="E882" s="7" t="n"/>
      <c r="F882" s="68">
        <f>IF(OR(B882="",A882=""),"",IF(COUNTIFS('Relevés compteurs'!$B$5:$B$1504,B882,'Relevés compteurs'!$A$5:$A$1504,"&lt;"&amp;A882)=0,"",D882-_xlfn.MAXIFS('Relevés compteurs'!$D$5:$D$1504,'Relevés compteurs'!$B$5:$B$1504,B882,'Relevés compteurs'!$A$5:$A$1504,"&lt;"&amp;A882)))</f>
        <v/>
      </c>
    </row>
    <row r="883">
      <c r="A883" s="65" t="n"/>
      <c r="B883" s="7" t="n"/>
      <c r="C883" s="9">
        <f>IF(B883="","",IFERROR(INDEX('Équipements'!$B$5:$B$304,MATCH(B883,'Équipements'!$A$5:$A$304,0)),"Code inconnu"))</f>
        <v/>
      </c>
      <c r="D883" s="67" t="n"/>
      <c r="E883" s="7" t="n"/>
      <c r="F883" s="68">
        <f>IF(OR(B883="",A883=""),"",IF(COUNTIFS('Relevés compteurs'!$B$5:$B$1504,B883,'Relevés compteurs'!$A$5:$A$1504,"&lt;"&amp;A883)=0,"",D883-_xlfn.MAXIFS('Relevés compteurs'!$D$5:$D$1504,'Relevés compteurs'!$B$5:$B$1504,B883,'Relevés compteurs'!$A$5:$A$1504,"&lt;"&amp;A883)))</f>
        <v/>
      </c>
    </row>
    <row r="884">
      <c r="A884" s="65" t="n"/>
      <c r="B884" s="7" t="n"/>
      <c r="C884" s="9">
        <f>IF(B884="","",IFERROR(INDEX('Équipements'!$B$5:$B$304,MATCH(B884,'Équipements'!$A$5:$A$304,0)),"Code inconnu"))</f>
        <v/>
      </c>
      <c r="D884" s="67" t="n"/>
      <c r="E884" s="7" t="n"/>
      <c r="F884" s="68">
        <f>IF(OR(B884="",A884=""),"",IF(COUNTIFS('Relevés compteurs'!$B$5:$B$1504,B884,'Relevés compteurs'!$A$5:$A$1504,"&lt;"&amp;A884)=0,"",D884-_xlfn.MAXIFS('Relevés compteurs'!$D$5:$D$1504,'Relevés compteurs'!$B$5:$B$1504,B884,'Relevés compteurs'!$A$5:$A$1504,"&lt;"&amp;A884)))</f>
        <v/>
      </c>
    </row>
    <row r="885">
      <c r="A885" s="65" t="n"/>
      <c r="B885" s="7" t="n"/>
      <c r="C885" s="9">
        <f>IF(B885="","",IFERROR(INDEX('Équipements'!$B$5:$B$304,MATCH(B885,'Équipements'!$A$5:$A$304,0)),"Code inconnu"))</f>
        <v/>
      </c>
      <c r="D885" s="67" t="n"/>
      <c r="E885" s="7" t="n"/>
      <c r="F885" s="68">
        <f>IF(OR(B885="",A885=""),"",IF(COUNTIFS('Relevés compteurs'!$B$5:$B$1504,B885,'Relevés compteurs'!$A$5:$A$1504,"&lt;"&amp;A885)=0,"",D885-_xlfn.MAXIFS('Relevés compteurs'!$D$5:$D$1504,'Relevés compteurs'!$B$5:$B$1504,B885,'Relevés compteurs'!$A$5:$A$1504,"&lt;"&amp;A885)))</f>
        <v/>
      </c>
    </row>
    <row r="886">
      <c r="A886" s="65" t="n"/>
      <c r="B886" s="7" t="n"/>
      <c r="C886" s="9">
        <f>IF(B886="","",IFERROR(INDEX('Équipements'!$B$5:$B$304,MATCH(B886,'Équipements'!$A$5:$A$304,0)),"Code inconnu"))</f>
        <v/>
      </c>
      <c r="D886" s="67" t="n"/>
      <c r="E886" s="7" t="n"/>
      <c r="F886" s="68">
        <f>IF(OR(B886="",A886=""),"",IF(COUNTIFS('Relevés compteurs'!$B$5:$B$1504,B886,'Relevés compteurs'!$A$5:$A$1504,"&lt;"&amp;A886)=0,"",D886-_xlfn.MAXIFS('Relevés compteurs'!$D$5:$D$1504,'Relevés compteurs'!$B$5:$B$1504,B886,'Relevés compteurs'!$A$5:$A$1504,"&lt;"&amp;A886)))</f>
        <v/>
      </c>
    </row>
    <row r="887">
      <c r="A887" s="65" t="n"/>
      <c r="B887" s="7" t="n"/>
      <c r="C887" s="9">
        <f>IF(B887="","",IFERROR(INDEX('Équipements'!$B$5:$B$304,MATCH(B887,'Équipements'!$A$5:$A$304,0)),"Code inconnu"))</f>
        <v/>
      </c>
      <c r="D887" s="67" t="n"/>
      <c r="E887" s="7" t="n"/>
      <c r="F887" s="68">
        <f>IF(OR(B887="",A887=""),"",IF(COUNTIFS('Relevés compteurs'!$B$5:$B$1504,B887,'Relevés compteurs'!$A$5:$A$1504,"&lt;"&amp;A887)=0,"",D887-_xlfn.MAXIFS('Relevés compteurs'!$D$5:$D$1504,'Relevés compteurs'!$B$5:$B$1504,B887,'Relevés compteurs'!$A$5:$A$1504,"&lt;"&amp;A887)))</f>
        <v/>
      </c>
    </row>
    <row r="888">
      <c r="A888" s="65" t="n"/>
      <c r="B888" s="7" t="n"/>
      <c r="C888" s="9">
        <f>IF(B888="","",IFERROR(INDEX('Équipements'!$B$5:$B$304,MATCH(B888,'Équipements'!$A$5:$A$304,0)),"Code inconnu"))</f>
        <v/>
      </c>
      <c r="D888" s="67" t="n"/>
      <c r="E888" s="7" t="n"/>
      <c r="F888" s="68">
        <f>IF(OR(B888="",A888=""),"",IF(COUNTIFS('Relevés compteurs'!$B$5:$B$1504,B888,'Relevés compteurs'!$A$5:$A$1504,"&lt;"&amp;A888)=0,"",D888-_xlfn.MAXIFS('Relevés compteurs'!$D$5:$D$1504,'Relevés compteurs'!$B$5:$B$1504,B888,'Relevés compteurs'!$A$5:$A$1504,"&lt;"&amp;A888)))</f>
        <v/>
      </c>
    </row>
    <row r="889">
      <c r="A889" s="65" t="n"/>
      <c r="B889" s="7" t="n"/>
      <c r="C889" s="9">
        <f>IF(B889="","",IFERROR(INDEX('Équipements'!$B$5:$B$304,MATCH(B889,'Équipements'!$A$5:$A$304,0)),"Code inconnu"))</f>
        <v/>
      </c>
      <c r="D889" s="67" t="n"/>
      <c r="E889" s="7" t="n"/>
      <c r="F889" s="68">
        <f>IF(OR(B889="",A889=""),"",IF(COUNTIFS('Relevés compteurs'!$B$5:$B$1504,B889,'Relevés compteurs'!$A$5:$A$1504,"&lt;"&amp;A889)=0,"",D889-_xlfn.MAXIFS('Relevés compteurs'!$D$5:$D$1504,'Relevés compteurs'!$B$5:$B$1504,B889,'Relevés compteurs'!$A$5:$A$1504,"&lt;"&amp;A889)))</f>
        <v/>
      </c>
    </row>
    <row r="890">
      <c r="A890" s="65" t="n"/>
      <c r="B890" s="7" t="n"/>
      <c r="C890" s="9">
        <f>IF(B890="","",IFERROR(INDEX('Équipements'!$B$5:$B$304,MATCH(B890,'Équipements'!$A$5:$A$304,0)),"Code inconnu"))</f>
        <v/>
      </c>
      <c r="D890" s="67" t="n"/>
      <c r="E890" s="7" t="n"/>
      <c r="F890" s="68">
        <f>IF(OR(B890="",A890=""),"",IF(COUNTIFS('Relevés compteurs'!$B$5:$B$1504,B890,'Relevés compteurs'!$A$5:$A$1504,"&lt;"&amp;A890)=0,"",D890-_xlfn.MAXIFS('Relevés compteurs'!$D$5:$D$1504,'Relevés compteurs'!$B$5:$B$1504,B890,'Relevés compteurs'!$A$5:$A$1504,"&lt;"&amp;A890)))</f>
        <v/>
      </c>
    </row>
    <row r="891">
      <c r="A891" s="65" t="n"/>
      <c r="B891" s="7" t="n"/>
      <c r="C891" s="9">
        <f>IF(B891="","",IFERROR(INDEX('Équipements'!$B$5:$B$304,MATCH(B891,'Équipements'!$A$5:$A$304,0)),"Code inconnu"))</f>
        <v/>
      </c>
      <c r="D891" s="67" t="n"/>
      <c r="E891" s="7" t="n"/>
      <c r="F891" s="68">
        <f>IF(OR(B891="",A891=""),"",IF(COUNTIFS('Relevés compteurs'!$B$5:$B$1504,B891,'Relevés compteurs'!$A$5:$A$1504,"&lt;"&amp;A891)=0,"",D891-_xlfn.MAXIFS('Relevés compteurs'!$D$5:$D$1504,'Relevés compteurs'!$B$5:$B$1504,B891,'Relevés compteurs'!$A$5:$A$1504,"&lt;"&amp;A891)))</f>
        <v/>
      </c>
    </row>
    <row r="892">
      <c r="A892" s="65" t="n"/>
      <c r="B892" s="7" t="n"/>
      <c r="C892" s="9">
        <f>IF(B892="","",IFERROR(INDEX('Équipements'!$B$5:$B$304,MATCH(B892,'Équipements'!$A$5:$A$304,0)),"Code inconnu"))</f>
        <v/>
      </c>
      <c r="D892" s="67" t="n"/>
      <c r="E892" s="7" t="n"/>
      <c r="F892" s="68">
        <f>IF(OR(B892="",A892=""),"",IF(COUNTIFS('Relevés compteurs'!$B$5:$B$1504,B892,'Relevés compteurs'!$A$5:$A$1504,"&lt;"&amp;A892)=0,"",D892-_xlfn.MAXIFS('Relevés compteurs'!$D$5:$D$1504,'Relevés compteurs'!$B$5:$B$1504,B892,'Relevés compteurs'!$A$5:$A$1504,"&lt;"&amp;A892)))</f>
        <v/>
      </c>
    </row>
    <row r="893">
      <c r="A893" s="65" t="n"/>
      <c r="B893" s="7" t="n"/>
      <c r="C893" s="9">
        <f>IF(B893="","",IFERROR(INDEX('Équipements'!$B$5:$B$304,MATCH(B893,'Équipements'!$A$5:$A$304,0)),"Code inconnu"))</f>
        <v/>
      </c>
      <c r="D893" s="67" t="n"/>
      <c r="E893" s="7" t="n"/>
      <c r="F893" s="68">
        <f>IF(OR(B893="",A893=""),"",IF(COUNTIFS('Relevés compteurs'!$B$5:$B$1504,B893,'Relevés compteurs'!$A$5:$A$1504,"&lt;"&amp;A893)=0,"",D893-_xlfn.MAXIFS('Relevés compteurs'!$D$5:$D$1504,'Relevés compteurs'!$B$5:$B$1504,B893,'Relevés compteurs'!$A$5:$A$1504,"&lt;"&amp;A893)))</f>
        <v/>
      </c>
    </row>
    <row r="894">
      <c r="A894" s="65" t="n"/>
      <c r="B894" s="7" t="n"/>
      <c r="C894" s="9">
        <f>IF(B894="","",IFERROR(INDEX('Équipements'!$B$5:$B$304,MATCH(B894,'Équipements'!$A$5:$A$304,0)),"Code inconnu"))</f>
        <v/>
      </c>
      <c r="D894" s="67" t="n"/>
      <c r="E894" s="7" t="n"/>
      <c r="F894" s="68">
        <f>IF(OR(B894="",A894=""),"",IF(COUNTIFS('Relevés compteurs'!$B$5:$B$1504,B894,'Relevés compteurs'!$A$5:$A$1504,"&lt;"&amp;A894)=0,"",D894-_xlfn.MAXIFS('Relevés compteurs'!$D$5:$D$1504,'Relevés compteurs'!$B$5:$B$1504,B894,'Relevés compteurs'!$A$5:$A$1504,"&lt;"&amp;A894)))</f>
        <v/>
      </c>
    </row>
    <row r="895">
      <c r="A895" s="65" t="n"/>
      <c r="B895" s="7" t="n"/>
      <c r="C895" s="9">
        <f>IF(B895="","",IFERROR(INDEX('Équipements'!$B$5:$B$304,MATCH(B895,'Équipements'!$A$5:$A$304,0)),"Code inconnu"))</f>
        <v/>
      </c>
      <c r="D895" s="67" t="n"/>
      <c r="E895" s="7" t="n"/>
      <c r="F895" s="68">
        <f>IF(OR(B895="",A895=""),"",IF(COUNTIFS('Relevés compteurs'!$B$5:$B$1504,B895,'Relevés compteurs'!$A$5:$A$1504,"&lt;"&amp;A895)=0,"",D895-_xlfn.MAXIFS('Relevés compteurs'!$D$5:$D$1504,'Relevés compteurs'!$B$5:$B$1504,B895,'Relevés compteurs'!$A$5:$A$1504,"&lt;"&amp;A895)))</f>
        <v/>
      </c>
    </row>
    <row r="896">
      <c r="A896" s="65" t="n"/>
      <c r="B896" s="7" t="n"/>
      <c r="C896" s="9">
        <f>IF(B896="","",IFERROR(INDEX('Équipements'!$B$5:$B$304,MATCH(B896,'Équipements'!$A$5:$A$304,0)),"Code inconnu"))</f>
        <v/>
      </c>
      <c r="D896" s="67" t="n"/>
      <c r="E896" s="7" t="n"/>
      <c r="F896" s="68">
        <f>IF(OR(B896="",A896=""),"",IF(COUNTIFS('Relevés compteurs'!$B$5:$B$1504,B896,'Relevés compteurs'!$A$5:$A$1504,"&lt;"&amp;A896)=0,"",D896-_xlfn.MAXIFS('Relevés compteurs'!$D$5:$D$1504,'Relevés compteurs'!$B$5:$B$1504,B896,'Relevés compteurs'!$A$5:$A$1504,"&lt;"&amp;A896)))</f>
        <v/>
      </c>
    </row>
    <row r="897">
      <c r="A897" s="65" t="n"/>
      <c r="B897" s="7" t="n"/>
      <c r="C897" s="9">
        <f>IF(B897="","",IFERROR(INDEX('Équipements'!$B$5:$B$304,MATCH(B897,'Équipements'!$A$5:$A$304,0)),"Code inconnu"))</f>
        <v/>
      </c>
      <c r="D897" s="67" t="n"/>
      <c r="E897" s="7" t="n"/>
      <c r="F897" s="68">
        <f>IF(OR(B897="",A897=""),"",IF(COUNTIFS('Relevés compteurs'!$B$5:$B$1504,B897,'Relevés compteurs'!$A$5:$A$1504,"&lt;"&amp;A897)=0,"",D897-_xlfn.MAXIFS('Relevés compteurs'!$D$5:$D$1504,'Relevés compteurs'!$B$5:$B$1504,B897,'Relevés compteurs'!$A$5:$A$1504,"&lt;"&amp;A897)))</f>
        <v/>
      </c>
    </row>
    <row r="898">
      <c r="A898" s="65" t="n"/>
      <c r="B898" s="7" t="n"/>
      <c r="C898" s="9">
        <f>IF(B898="","",IFERROR(INDEX('Équipements'!$B$5:$B$304,MATCH(B898,'Équipements'!$A$5:$A$304,0)),"Code inconnu"))</f>
        <v/>
      </c>
      <c r="D898" s="67" t="n"/>
      <c r="E898" s="7" t="n"/>
      <c r="F898" s="68">
        <f>IF(OR(B898="",A898=""),"",IF(COUNTIFS('Relevés compteurs'!$B$5:$B$1504,B898,'Relevés compteurs'!$A$5:$A$1504,"&lt;"&amp;A898)=0,"",D898-_xlfn.MAXIFS('Relevés compteurs'!$D$5:$D$1504,'Relevés compteurs'!$B$5:$B$1504,B898,'Relevés compteurs'!$A$5:$A$1504,"&lt;"&amp;A898)))</f>
        <v/>
      </c>
    </row>
    <row r="899">
      <c r="A899" s="65" t="n"/>
      <c r="B899" s="7" t="n"/>
      <c r="C899" s="9">
        <f>IF(B899="","",IFERROR(INDEX('Équipements'!$B$5:$B$304,MATCH(B899,'Équipements'!$A$5:$A$304,0)),"Code inconnu"))</f>
        <v/>
      </c>
      <c r="D899" s="67" t="n"/>
      <c r="E899" s="7" t="n"/>
      <c r="F899" s="68">
        <f>IF(OR(B899="",A899=""),"",IF(COUNTIFS('Relevés compteurs'!$B$5:$B$1504,B899,'Relevés compteurs'!$A$5:$A$1504,"&lt;"&amp;A899)=0,"",D899-_xlfn.MAXIFS('Relevés compteurs'!$D$5:$D$1504,'Relevés compteurs'!$B$5:$B$1504,B899,'Relevés compteurs'!$A$5:$A$1504,"&lt;"&amp;A899)))</f>
        <v/>
      </c>
    </row>
    <row r="900">
      <c r="A900" s="65" t="n"/>
      <c r="B900" s="7" t="n"/>
      <c r="C900" s="9">
        <f>IF(B900="","",IFERROR(INDEX('Équipements'!$B$5:$B$304,MATCH(B900,'Équipements'!$A$5:$A$304,0)),"Code inconnu"))</f>
        <v/>
      </c>
      <c r="D900" s="67" t="n"/>
      <c r="E900" s="7" t="n"/>
      <c r="F900" s="68">
        <f>IF(OR(B900="",A900=""),"",IF(COUNTIFS('Relevés compteurs'!$B$5:$B$1504,B900,'Relevés compteurs'!$A$5:$A$1504,"&lt;"&amp;A900)=0,"",D900-_xlfn.MAXIFS('Relevés compteurs'!$D$5:$D$1504,'Relevés compteurs'!$B$5:$B$1504,B900,'Relevés compteurs'!$A$5:$A$1504,"&lt;"&amp;A900)))</f>
        <v/>
      </c>
    </row>
    <row r="901">
      <c r="A901" s="65" t="n"/>
      <c r="B901" s="7" t="n"/>
      <c r="C901" s="9">
        <f>IF(B901="","",IFERROR(INDEX('Équipements'!$B$5:$B$304,MATCH(B901,'Équipements'!$A$5:$A$304,0)),"Code inconnu"))</f>
        <v/>
      </c>
      <c r="D901" s="67" t="n"/>
      <c r="E901" s="7" t="n"/>
      <c r="F901" s="68">
        <f>IF(OR(B901="",A901=""),"",IF(COUNTIFS('Relevés compteurs'!$B$5:$B$1504,B901,'Relevés compteurs'!$A$5:$A$1504,"&lt;"&amp;A901)=0,"",D901-_xlfn.MAXIFS('Relevés compteurs'!$D$5:$D$1504,'Relevés compteurs'!$B$5:$B$1504,B901,'Relevés compteurs'!$A$5:$A$1504,"&lt;"&amp;A901)))</f>
        <v/>
      </c>
    </row>
    <row r="902">
      <c r="A902" s="65" t="n"/>
      <c r="B902" s="7" t="n"/>
      <c r="C902" s="9">
        <f>IF(B902="","",IFERROR(INDEX('Équipements'!$B$5:$B$304,MATCH(B902,'Équipements'!$A$5:$A$304,0)),"Code inconnu"))</f>
        <v/>
      </c>
      <c r="D902" s="67" t="n"/>
      <c r="E902" s="7" t="n"/>
      <c r="F902" s="68">
        <f>IF(OR(B902="",A902=""),"",IF(COUNTIFS('Relevés compteurs'!$B$5:$B$1504,B902,'Relevés compteurs'!$A$5:$A$1504,"&lt;"&amp;A902)=0,"",D902-_xlfn.MAXIFS('Relevés compteurs'!$D$5:$D$1504,'Relevés compteurs'!$B$5:$B$1504,B902,'Relevés compteurs'!$A$5:$A$1504,"&lt;"&amp;A902)))</f>
        <v/>
      </c>
    </row>
    <row r="903">
      <c r="A903" s="65" t="n"/>
      <c r="B903" s="7" t="n"/>
      <c r="C903" s="9">
        <f>IF(B903="","",IFERROR(INDEX('Équipements'!$B$5:$B$304,MATCH(B903,'Équipements'!$A$5:$A$304,0)),"Code inconnu"))</f>
        <v/>
      </c>
      <c r="D903" s="67" t="n"/>
      <c r="E903" s="7" t="n"/>
      <c r="F903" s="68">
        <f>IF(OR(B903="",A903=""),"",IF(COUNTIFS('Relevés compteurs'!$B$5:$B$1504,B903,'Relevés compteurs'!$A$5:$A$1504,"&lt;"&amp;A903)=0,"",D903-_xlfn.MAXIFS('Relevés compteurs'!$D$5:$D$1504,'Relevés compteurs'!$B$5:$B$1504,B903,'Relevés compteurs'!$A$5:$A$1504,"&lt;"&amp;A903)))</f>
        <v/>
      </c>
    </row>
    <row r="904">
      <c r="A904" s="65" t="n"/>
      <c r="B904" s="7" t="n"/>
      <c r="C904" s="9">
        <f>IF(B904="","",IFERROR(INDEX('Équipements'!$B$5:$B$304,MATCH(B904,'Équipements'!$A$5:$A$304,0)),"Code inconnu"))</f>
        <v/>
      </c>
      <c r="D904" s="67" t="n"/>
      <c r="E904" s="7" t="n"/>
      <c r="F904" s="68">
        <f>IF(OR(B904="",A904=""),"",IF(COUNTIFS('Relevés compteurs'!$B$5:$B$1504,B904,'Relevés compteurs'!$A$5:$A$1504,"&lt;"&amp;A904)=0,"",D904-_xlfn.MAXIFS('Relevés compteurs'!$D$5:$D$1504,'Relevés compteurs'!$B$5:$B$1504,B904,'Relevés compteurs'!$A$5:$A$1504,"&lt;"&amp;A904)))</f>
        <v/>
      </c>
    </row>
    <row r="905">
      <c r="A905" s="65" t="n"/>
      <c r="B905" s="7" t="n"/>
      <c r="C905" s="9">
        <f>IF(B905="","",IFERROR(INDEX('Équipements'!$B$5:$B$304,MATCH(B905,'Équipements'!$A$5:$A$304,0)),"Code inconnu"))</f>
        <v/>
      </c>
      <c r="D905" s="67" t="n"/>
      <c r="E905" s="7" t="n"/>
      <c r="F905" s="68">
        <f>IF(OR(B905="",A905=""),"",IF(COUNTIFS('Relevés compteurs'!$B$5:$B$1504,B905,'Relevés compteurs'!$A$5:$A$1504,"&lt;"&amp;A905)=0,"",D905-_xlfn.MAXIFS('Relevés compteurs'!$D$5:$D$1504,'Relevés compteurs'!$B$5:$B$1504,B905,'Relevés compteurs'!$A$5:$A$1504,"&lt;"&amp;A905)))</f>
        <v/>
      </c>
    </row>
    <row r="906">
      <c r="A906" s="65" t="n"/>
      <c r="B906" s="7" t="n"/>
      <c r="C906" s="9">
        <f>IF(B906="","",IFERROR(INDEX('Équipements'!$B$5:$B$304,MATCH(B906,'Équipements'!$A$5:$A$304,0)),"Code inconnu"))</f>
        <v/>
      </c>
      <c r="D906" s="67" t="n"/>
      <c r="E906" s="7" t="n"/>
      <c r="F906" s="68">
        <f>IF(OR(B906="",A906=""),"",IF(COUNTIFS('Relevés compteurs'!$B$5:$B$1504,B906,'Relevés compteurs'!$A$5:$A$1504,"&lt;"&amp;A906)=0,"",D906-_xlfn.MAXIFS('Relevés compteurs'!$D$5:$D$1504,'Relevés compteurs'!$B$5:$B$1504,B906,'Relevés compteurs'!$A$5:$A$1504,"&lt;"&amp;A906)))</f>
        <v/>
      </c>
    </row>
    <row r="907">
      <c r="A907" s="65" t="n"/>
      <c r="B907" s="7" t="n"/>
      <c r="C907" s="9">
        <f>IF(B907="","",IFERROR(INDEX('Équipements'!$B$5:$B$304,MATCH(B907,'Équipements'!$A$5:$A$304,0)),"Code inconnu"))</f>
        <v/>
      </c>
      <c r="D907" s="67" t="n"/>
      <c r="E907" s="7" t="n"/>
      <c r="F907" s="68">
        <f>IF(OR(B907="",A907=""),"",IF(COUNTIFS('Relevés compteurs'!$B$5:$B$1504,B907,'Relevés compteurs'!$A$5:$A$1504,"&lt;"&amp;A907)=0,"",D907-_xlfn.MAXIFS('Relevés compteurs'!$D$5:$D$1504,'Relevés compteurs'!$B$5:$B$1504,B907,'Relevés compteurs'!$A$5:$A$1504,"&lt;"&amp;A907)))</f>
        <v/>
      </c>
    </row>
    <row r="908">
      <c r="A908" s="65" t="n"/>
      <c r="B908" s="7" t="n"/>
      <c r="C908" s="9">
        <f>IF(B908="","",IFERROR(INDEX('Équipements'!$B$5:$B$304,MATCH(B908,'Équipements'!$A$5:$A$304,0)),"Code inconnu"))</f>
        <v/>
      </c>
      <c r="D908" s="67" t="n"/>
      <c r="E908" s="7" t="n"/>
      <c r="F908" s="68">
        <f>IF(OR(B908="",A908=""),"",IF(COUNTIFS('Relevés compteurs'!$B$5:$B$1504,B908,'Relevés compteurs'!$A$5:$A$1504,"&lt;"&amp;A908)=0,"",D908-_xlfn.MAXIFS('Relevés compteurs'!$D$5:$D$1504,'Relevés compteurs'!$B$5:$B$1504,B908,'Relevés compteurs'!$A$5:$A$1504,"&lt;"&amp;A908)))</f>
        <v/>
      </c>
    </row>
    <row r="909">
      <c r="A909" s="65" t="n"/>
      <c r="B909" s="7" t="n"/>
      <c r="C909" s="9">
        <f>IF(B909="","",IFERROR(INDEX('Équipements'!$B$5:$B$304,MATCH(B909,'Équipements'!$A$5:$A$304,0)),"Code inconnu"))</f>
        <v/>
      </c>
      <c r="D909" s="67" t="n"/>
      <c r="E909" s="7" t="n"/>
      <c r="F909" s="68">
        <f>IF(OR(B909="",A909=""),"",IF(COUNTIFS('Relevés compteurs'!$B$5:$B$1504,B909,'Relevés compteurs'!$A$5:$A$1504,"&lt;"&amp;A909)=0,"",D909-_xlfn.MAXIFS('Relevés compteurs'!$D$5:$D$1504,'Relevés compteurs'!$B$5:$B$1504,B909,'Relevés compteurs'!$A$5:$A$1504,"&lt;"&amp;A909)))</f>
        <v/>
      </c>
    </row>
    <row r="910">
      <c r="A910" s="65" t="n"/>
      <c r="B910" s="7" t="n"/>
      <c r="C910" s="9">
        <f>IF(B910="","",IFERROR(INDEX('Équipements'!$B$5:$B$304,MATCH(B910,'Équipements'!$A$5:$A$304,0)),"Code inconnu"))</f>
        <v/>
      </c>
      <c r="D910" s="67" t="n"/>
      <c r="E910" s="7" t="n"/>
      <c r="F910" s="68">
        <f>IF(OR(B910="",A910=""),"",IF(COUNTIFS('Relevés compteurs'!$B$5:$B$1504,B910,'Relevés compteurs'!$A$5:$A$1504,"&lt;"&amp;A910)=0,"",D910-_xlfn.MAXIFS('Relevés compteurs'!$D$5:$D$1504,'Relevés compteurs'!$B$5:$B$1504,B910,'Relevés compteurs'!$A$5:$A$1504,"&lt;"&amp;A910)))</f>
        <v/>
      </c>
    </row>
    <row r="911">
      <c r="A911" s="65" t="n"/>
      <c r="B911" s="7" t="n"/>
      <c r="C911" s="9">
        <f>IF(B911="","",IFERROR(INDEX('Équipements'!$B$5:$B$304,MATCH(B911,'Équipements'!$A$5:$A$304,0)),"Code inconnu"))</f>
        <v/>
      </c>
      <c r="D911" s="67" t="n"/>
      <c r="E911" s="7" t="n"/>
      <c r="F911" s="68">
        <f>IF(OR(B911="",A911=""),"",IF(COUNTIFS('Relevés compteurs'!$B$5:$B$1504,B911,'Relevés compteurs'!$A$5:$A$1504,"&lt;"&amp;A911)=0,"",D911-_xlfn.MAXIFS('Relevés compteurs'!$D$5:$D$1504,'Relevés compteurs'!$B$5:$B$1504,B911,'Relevés compteurs'!$A$5:$A$1504,"&lt;"&amp;A911)))</f>
        <v/>
      </c>
    </row>
    <row r="912">
      <c r="A912" s="65" t="n"/>
      <c r="B912" s="7" t="n"/>
      <c r="C912" s="9">
        <f>IF(B912="","",IFERROR(INDEX('Équipements'!$B$5:$B$304,MATCH(B912,'Équipements'!$A$5:$A$304,0)),"Code inconnu"))</f>
        <v/>
      </c>
      <c r="D912" s="67" t="n"/>
      <c r="E912" s="7" t="n"/>
      <c r="F912" s="68">
        <f>IF(OR(B912="",A912=""),"",IF(COUNTIFS('Relevés compteurs'!$B$5:$B$1504,B912,'Relevés compteurs'!$A$5:$A$1504,"&lt;"&amp;A912)=0,"",D912-_xlfn.MAXIFS('Relevés compteurs'!$D$5:$D$1504,'Relevés compteurs'!$B$5:$B$1504,B912,'Relevés compteurs'!$A$5:$A$1504,"&lt;"&amp;A912)))</f>
        <v/>
      </c>
    </row>
    <row r="913">
      <c r="A913" s="65" t="n"/>
      <c r="B913" s="7" t="n"/>
      <c r="C913" s="9">
        <f>IF(B913="","",IFERROR(INDEX('Équipements'!$B$5:$B$304,MATCH(B913,'Équipements'!$A$5:$A$304,0)),"Code inconnu"))</f>
        <v/>
      </c>
      <c r="D913" s="67" t="n"/>
      <c r="E913" s="7" t="n"/>
      <c r="F913" s="68">
        <f>IF(OR(B913="",A913=""),"",IF(COUNTIFS('Relevés compteurs'!$B$5:$B$1504,B913,'Relevés compteurs'!$A$5:$A$1504,"&lt;"&amp;A913)=0,"",D913-_xlfn.MAXIFS('Relevés compteurs'!$D$5:$D$1504,'Relevés compteurs'!$B$5:$B$1504,B913,'Relevés compteurs'!$A$5:$A$1504,"&lt;"&amp;A913)))</f>
        <v/>
      </c>
    </row>
    <row r="914">
      <c r="A914" s="65" t="n"/>
      <c r="B914" s="7" t="n"/>
      <c r="C914" s="9">
        <f>IF(B914="","",IFERROR(INDEX('Équipements'!$B$5:$B$304,MATCH(B914,'Équipements'!$A$5:$A$304,0)),"Code inconnu"))</f>
        <v/>
      </c>
      <c r="D914" s="67" t="n"/>
      <c r="E914" s="7" t="n"/>
      <c r="F914" s="68">
        <f>IF(OR(B914="",A914=""),"",IF(COUNTIFS('Relevés compteurs'!$B$5:$B$1504,B914,'Relevés compteurs'!$A$5:$A$1504,"&lt;"&amp;A914)=0,"",D914-_xlfn.MAXIFS('Relevés compteurs'!$D$5:$D$1504,'Relevés compteurs'!$B$5:$B$1504,B914,'Relevés compteurs'!$A$5:$A$1504,"&lt;"&amp;A914)))</f>
        <v/>
      </c>
    </row>
    <row r="915">
      <c r="A915" s="65" t="n"/>
      <c r="B915" s="7" t="n"/>
      <c r="C915" s="9">
        <f>IF(B915="","",IFERROR(INDEX('Équipements'!$B$5:$B$304,MATCH(B915,'Équipements'!$A$5:$A$304,0)),"Code inconnu"))</f>
        <v/>
      </c>
      <c r="D915" s="67" t="n"/>
      <c r="E915" s="7" t="n"/>
      <c r="F915" s="68">
        <f>IF(OR(B915="",A915=""),"",IF(COUNTIFS('Relevés compteurs'!$B$5:$B$1504,B915,'Relevés compteurs'!$A$5:$A$1504,"&lt;"&amp;A915)=0,"",D915-_xlfn.MAXIFS('Relevés compteurs'!$D$5:$D$1504,'Relevés compteurs'!$B$5:$B$1504,B915,'Relevés compteurs'!$A$5:$A$1504,"&lt;"&amp;A915)))</f>
        <v/>
      </c>
    </row>
    <row r="916">
      <c r="A916" s="65" t="n"/>
      <c r="B916" s="7" t="n"/>
      <c r="C916" s="9">
        <f>IF(B916="","",IFERROR(INDEX('Équipements'!$B$5:$B$304,MATCH(B916,'Équipements'!$A$5:$A$304,0)),"Code inconnu"))</f>
        <v/>
      </c>
      <c r="D916" s="67" t="n"/>
      <c r="E916" s="7" t="n"/>
      <c r="F916" s="68">
        <f>IF(OR(B916="",A916=""),"",IF(COUNTIFS('Relevés compteurs'!$B$5:$B$1504,B916,'Relevés compteurs'!$A$5:$A$1504,"&lt;"&amp;A916)=0,"",D916-_xlfn.MAXIFS('Relevés compteurs'!$D$5:$D$1504,'Relevés compteurs'!$B$5:$B$1504,B916,'Relevés compteurs'!$A$5:$A$1504,"&lt;"&amp;A916)))</f>
        <v/>
      </c>
    </row>
    <row r="917">
      <c r="A917" s="65" t="n"/>
      <c r="B917" s="7" t="n"/>
      <c r="C917" s="9">
        <f>IF(B917="","",IFERROR(INDEX('Équipements'!$B$5:$B$304,MATCH(B917,'Équipements'!$A$5:$A$304,0)),"Code inconnu"))</f>
        <v/>
      </c>
      <c r="D917" s="67" t="n"/>
      <c r="E917" s="7" t="n"/>
      <c r="F917" s="68">
        <f>IF(OR(B917="",A917=""),"",IF(COUNTIFS('Relevés compteurs'!$B$5:$B$1504,B917,'Relevés compteurs'!$A$5:$A$1504,"&lt;"&amp;A917)=0,"",D917-_xlfn.MAXIFS('Relevés compteurs'!$D$5:$D$1504,'Relevés compteurs'!$B$5:$B$1504,B917,'Relevés compteurs'!$A$5:$A$1504,"&lt;"&amp;A917)))</f>
        <v/>
      </c>
    </row>
    <row r="918">
      <c r="A918" s="65" t="n"/>
      <c r="B918" s="7" t="n"/>
      <c r="C918" s="9">
        <f>IF(B918="","",IFERROR(INDEX('Équipements'!$B$5:$B$304,MATCH(B918,'Équipements'!$A$5:$A$304,0)),"Code inconnu"))</f>
        <v/>
      </c>
      <c r="D918" s="67" t="n"/>
      <c r="E918" s="7" t="n"/>
      <c r="F918" s="68">
        <f>IF(OR(B918="",A918=""),"",IF(COUNTIFS('Relevés compteurs'!$B$5:$B$1504,B918,'Relevés compteurs'!$A$5:$A$1504,"&lt;"&amp;A918)=0,"",D918-_xlfn.MAXIFS('Relevés compteurs'!$D$5:$D$1504,'Relevés compteurs'!$B$5:$B$1504,B918,'Relevés compteurs'!$A$5:$A$1504,"&lt;"&amp;A918)))</f>
        <v/>
      </c>
    </row>
    <row r="919">
      <c r="A919" s="65" t="n"/>
      <c r="B919" s="7" t="n"/>
      <c r="C919" s="9">
        <f>IF(B919="","",IFERROR(INDEX('Équipements'!$B$5:$B$304,MATCH(B919,'Équipements'!$A$5:$A$304,0)),"Code inconnu"))</f>
        <v/>
      </c>
      <c r="D919" s="67" t="n"/>
      <c r="E919" s="7" t="n"/>
      <c r="F919" s="68">
        <f>IF(OR(B919="",A919=""),"",IF(COUNTIFS('Relevés compteurs'!$B$5:$B$1504,B919,'Relevés compteurs'!$A$5:$A$1504,"&lt;"&amp;A919)=0,"",D919-_xlfn.MAXIFS('Relevés compteurs'!$D$5:$D$1504,'Relevés compteurs'!$B$5:$B$1504,B919,'Relevés compteurs'!$A$5:$A$1504,"&lt;"&amp;A919)))</f>
        <v/>
      </c>
    </row>
    <row r="920">
      <c r="A920" s="65" t="n"/>
      <c r="B920" s="7" t="n"/>
      <c r="C920" s="9">
        <f>IF(B920="","",IFERROR(INDEX('Équipements'!$B$5:$B$304,MATCH(B920,'Équipements'!$A$5:$A$304,0)),"Code inconnu"))</f>
        <v/>
      </c>
      <c r="D920" s="67" t="n"/>
      <c r="E920" s="7" t="n"/>
      <c r="F920" s="68">
        <f>IF(OR(B920="",A920=""),"",IF(COUNTIFS('Relevés compteurs'!$B$5:$B$1504,B920,'Relevés compteurs'!$A$5:$A$1504,"&lt;"&amp;A920)=0,"",D920-_xlfn.MAXIFS('Relevés compteurs'!$D$5:$D$1504,'Relevés compteurs'!$B$5:$B$1504,B920,'Relevés compteurs'!$A$5:$A$1504,"&lt;"&amp;A920)))</f>
        <v/>
      </c>
    </row>
    <row r="921">
      <c r="A921" s="65" t="n"/>
      <c r="B921" s="7" t="n"/>
      <c r="C921" s="9">
        <f>IF(B921="","",IFERROR(INDEX('Équipements'!$B$5:$B$304,MATCH(B921,'Équipements'!$A$5:$A$304,0)),"Code inconnu"))</f>
        <v/>
      </c>
      <c r="D921" s="67" t="n"/>
      <c r="E921" s="7" t="n"/>
      <c r="F921" s="68">
        <f>IF(OR(B921="",A921=""),"",IF(COUNTIFS('Relevés compteurs'!$B$5:$B$1504,B921,'Relevés compteurs'!$A$5:$A$1504,"&lt;"&amp;A921)=0,"",D921-_xlfn.MAXIFS('Relevés compteurs'!$D$5:$D$1504,'Relevés compteurs'!$B$5:$B$1504,B921,'Relevés compteurs'!$A$5:$A$1504,"&lt;"&amp;A921)))</f>
        <v/>
      </c>
    </row>
    <row r="922">
      <c r="A922" s="65" t="n"/>
      <c r="B922" s="7" t="n"/>
      <c r="C922" s="9">
        <f>IF(B922="","",IFERROR(INDEX('Équipements'!$B$5:$B$304,MATCH(B922,'Équipements'!$A$5:$A$304,0)),"Code inconnu"))</f>
        <v/>
      </c>
      <c r="D922" s="67" t="n"/>
      <c r="E922" s="7" t="n"/>
      <c r="F922" s="68">
        <f>IF(OR(B922="",A922=""),"",IF(COUNTIFS('Relevés compteurs'!$B$5:$B$1504,B922,'Relevés compteurs'!$A$5:$A$1504,"&lt;"&amp;A922)=0,"",D922-_xlfn.MAXIFS('Relevés compteurs'!$D$5:$D$1504,'Relevés compteurs'!$B$5:$B$1504,B922,'Relevés compteurs'!$A$5:$A$1504,"&lt;"&amp;A922)))</f>
        <v/>
      </c>
    </row>
    <row r="923">
      <c r="A923" s="65" t="n"/>
      <c r="B923" s="7" t="n"/>
      <c r="C923" s="9">
        <f>IF(B923="","",IFERROR(INDEX('Équipements'!$B$5:$B$304,MATCH(B923,'Équipements'!$A$5:$A$304,0)),"Code inconnu"))</f>
        <v/>
      </c>
      <c r="D923" s="67" t="n"/>
      <c r="E923" s="7" t="n"/>
      <c r="F923" s="68">
        <f>IF(OR(B923="",A923=""),"",IF(COUNTIFS('Relevés compteurs'!$B$5:$B$1504,B923,'Relevés compteurs'!$A$5:$A$1504,"&lt;"&amp;A923)=0,"",D923-_xlfn.MAXIFS('Relevés compteurs'!$D$5:$D$1504,'Relevés compteurs'!$B$5:$B$1504,B923,'Relevés compteurs'!$A$5:$A$1504,"&lt;"&amp;A923)))</f>
        <v/>
      </c>
    </row>
    <row r="924">
      <c r="A924" s="65" t="n"/>
      <c r="B924" s="7" t="n"/>
      <c r="C924" s="9">
        <f>IF(B924="","",IFERROR(INDEX('Équipements'!$B$5:$B$304,MATCH(B924,'Équipements'!$A$5:$A$304,0)),"Code inconnu"))</f>
        <v/>
      </c>
      <c r="D924" s="67" t="n"/>
      <c r="E924" s="7" t="n"/>
      <c r="F924" s="68">
        <f>IF(OR(B924="",A924=""),"",IF(COUNTIFS('Relevés compteurs'!$B$5:$B$1504,B924,'Relevés compteurs'!$A$5:$A$1504,"&lt;"&amp;A924)=0,"",D924-_xlfn.MAXIFS('Relevés compteurs'!$D$5:$D$1504,'Relevés compteurs'!$B$5:$B$1504,B924,'Relevés compteurs'!$A$5:$A$1504,"&lt;"&amp;A924)))</f>
        <v/>
      </c>
    </row>
    <row r="925">
      <c r="A925" s="65" t="n"/>
      <c r="B925" s="7" t="n"/>
      <c r="C925" s="9">
        <f>IF(B925="","",IFERROR(INDEX('Équipements'!$B$5:$B$304,MATCH(B925,'Équipements'!$A$5:$A$304,0)),"Code inconnu"))</f>
        <v/>
      </c>
      <c r="D925" s="67" t="n"/>
      <c r="E925" s="7" t="n"/>
      <c r="F925" s="68">
        <f>IF(OR(B925="",A925=""),"",IF(COUNTIFS('Relevés compteurs'!$B$5:$B$1504,B925,'Relevés compteurs'!$A$5:$A$1504,"&lt;"&amp;A925)=0,"",D925-_xlfn.MAXIFS('Relevés compteurs'!$D$5:$D$1504,'Relevés compteurs'!$B$5:$B$1504,B925,'Relevés compteurs'!$A$5:$A$1504,"&lt;"&amp;A925)))</f>
        <v/>
      </c>
    </row>
    <row r="926">
      <c r="A926" s="65" t="n"/>
      <c r="B926" s="7" t="n"/>
      <c r="C926" s="9">
        <f>IF(B926="","",IFERROR(INDEX('Équipements'!$B$5:$B$304,MATCH(B926,'Équipements'!$A$5:$A$304,0)),"Code inconnu"))</f>
        <v/>
      </c>
      <c r="D926" s="67" t="n"/>
      <c r="E926" s="7" t="n"/>
      <c r="F926" s="68">
        <f>IF(OR(B926="",A926=""),"",IF(COUNTIFS('Relevés compteurs'!$B$5:$B$1504,B926,'Relevés compteurs'!$A$5:$A$1504,"&lt;"&amp;A926)=0,"",D926-_xlfn.MAXIFS('Relevés compteurs'!$D$5:$D$1504,'Relevés compteurs'!$B$5:$B$1504,B926,'Relevés compteurs'!$A$5:$A$1504,"&lt;"&amp;A926)))</f>
        <v/>
      </c>
    </row>
    <row r="927">
      <c r="A927" s="65" t="n"/>
      <c r="B927" s="7" t="n"/>
      <c r="C927" s="9">
        <f>IF(B927="","",IFERROR(INDEX('Équipements'!$B$5:$B$304,MATCH(B927,'Équipements'!$A$5:$A$304,0)),"Code inconnu"))</f>
        <v/>
      </c>
      <c r="D927" s="67" t="n"/>
      <c r="E927" s="7" t="n"/>
      <c r="F927" s="68">
        <f>IF(OR(B927="",A927=""),"",IF(COUNTIFS('Relevés compteurs'!$B$5:$B$1504,B927,'Relevés compteurs'!$A$5:$A$1504,"&lt;"&amp;A927)=0,"",D927-_xlfn.MAXIFS('Relevés compteurs'!$D$5:$D$1504,'Relevés compteurs'!$B$5:$B$1504,B927,'Relevés compteurs'!$A$5:$A$1504,"&lt;"&amp;A927)))</f>
        <v/>
      </c>
    </row>
    <row r="928">
      <c r="A928" s="65" t="n"/>
      <c r="B928" s="7" t="n"/>
      <c r="C928" s="9">
        <f>IF(B928="","",IFERROR(INDEX('Équipements'!$B$5:$B$304,MATCH(B928,'Équipements'!$A$5:$A$304,0)),"Code inconnu"))</f>
        <v/>
      </c>
      <c r="D928" s="67" t="n"/>
      <c r="E928" s="7" t="n"/>
      <c r="F928" s="68">
        <f>IF(OR(B928="",A928=""),"",IF(COUNTIFS('Relevés compteurs'!$B$5:$B$1504,B928,'Relevés compteurs'!$A$5:$A$1504,"&lt;"&amp;A928)=0,"",D928-_xlfn.MAXIFS('Relevés compteurs'!$D$5:$D$1504,'Relevés compteurs'!$B$5:$B$1504,B928,'Relevés compteurs'!$A$5:$A$1504,"&lt;"&amp;A928)))</f>
        <v/>
      </c>
    </row>
    <row r="929">
      <c r="A929" s="65" t="n"/>
      <c r="B929" s="7" t="n"/>
      <c r="C929" s="9">
        <f>IF(B929="","",IFERROR(INDEX('Équipements'!$B$5:$B$304,MATCH(B929,'Équipements'!$A$5:$A$304,0)),"Code inconnu"))</f>
        <v/>
      </c>
      <c r="D929" s="67" t="n"/>
      <c r="E929" s="7" t="n"/>
      <c r="F929" s="68">
        <f>IF(OR(B929="",A929=""),"",IF(COUNTIFS('Relevés compteurs'!$B$5:$B$1504,B929,'Relevés compteurs'!$A$5:$A$1504,"&lt;"&amp;A929)=0,"",D929-_xlfn.MAXIFS('Relevés compteurs'!$D$5:$D$1504,'Relevés compteurs'!$B$5:$B$1504,B929,'Relevés compteurs'!$A$5:$A$1504,"&lt;"&amp;A929)))</f>
        <v/>
      </c>
    </row>
    <row r="930">
      <c r="A930" s="65" t="n"/>
      <c r="B930" s="7" t="n"/>
      <c r="C930" s="9">
        <f>IF(B930="","",IFERROR(INDEX('Équipements'!$B$5:$B$304,MATCH(B930,'Équipements'!$A$5:$A$304,0)),"Code inconnu"))</f>
        <v/>
      </c>
      <c r="D930" s="67" t="n"/>
      <c r="E930" s="7" t="n"/>
      <c r="F930" s="68">
        <f>IF(OR(B930="",A930=""),"",IF(COUNTIFS('Relevés compteurs'!$B$5:$B$1504,B930,'Relevés compteurs'!$A$5:$A$1504,"&lt;"&amp;A930)=0,"",D930-_xlfn.MAXIFS('Relevés compteurs'!$D$5:$D$1504,'Relevés compteurs'!$B$5:$B$1504,B930,'Relevés compteurs'!$A$5:$A$1504,"&lt;"&amp;A930)))</f>
        <v/>
      </c>
    </row>
    <row r="931">
      <c r="A931" s="65" t="n"/>
      <c r="B931" s="7" t="n"/>
      <c r="C931" s="9">
        <f>IF(B931="","",IFERROR(INDEX('Équipements'!$B$5:$B$304,MATCH(B931,'Équipements'!$A$5:$A$304,0)),"Code inconnu"))</f>
        <v/>
      </c>
      <c r="D931" s="67" t="n"/>
      <c r="E931" s="7" t="n"/>
      <c r="F931" s="68">
        <f>IF(OR(B931="",A931=""),"",IF(COUNTIFS('Relevés compteurs'!$B$5:$B$1504,B931,'Relevés compteurs'!$A$5:$A$1504,"&lt;"&amp;A931)=0,"",D931-_xlfn.MAXIFS('Relevés compteurs'!$D$5:$D$1504,'Relevés compteurs'!$B$5:$B$1504,B931,'Relevés compteurs'!$A$5:$A$1504,"&lt;"&amp;A931)))</f>
        <v/>
      </c>
    </row>
    <row r="932">
      <c r="A932" s="65" t="n"/>
      <c r="B932" s="7" t="n"/>
      <c r="C932" s="9">
        <f>IF(B932="","",IFERROR(INDEX('Équipements'!$B$5:$B$304,MATCH(B932,'Équipements'!$A$5:$A$304,0)),"Code inconnu"))</f>
        <v/>
      </c>
      <c r="D932" s="67" t="n"/>
      <c r="E932" s="7" t="n"/>
      <c r="F932" s="68">
        <f>IF(OR(B932="",A932=""),"",IF(COUNTIFS('Relevés compteurs'!$B$5:$B$1504,B932,'Relevés compteurs'!$A$5:$A$1504,"&lt;"&amp;A932)=0,"",D932-_xlfn.MAXIFS('Relevés compteurs'!$D$5:$D$1504,'Relevés compteurs'!$B$5:$B$1504,B932,'Relevés compteurs'!$A$5:$A$1504,"&lt;"&amp;A932)))</f>
        <v/>
      </c>
    </row>
    <row r="933">
      <c r="A933" s="65" t="n"/>
      <c r="B933" s="7" t="n"/>
      <c r="C933" s="9">
        <f>IF(B933="","",IFERROR(INDEX('Équipements'!$B$5:$B$304,MATCH(B933,'Équipements'!$A$5:$A$304,0)),"Code inconnu"))</f>
        <v/>
      </c>
      <c r="D933" s="67" t="n"/>
      <c r="E933" s="7" t="n"/>
      <c r="F933" s="68">
        <f>IF(OR(B933="",A933=""),"",IF(COUNTIFS('Relevés compteurs'!$B$5:$B$1504,B933,'Relevés compteurs'!$A$5:$A$1504,"&lt;"&amp;A933)=0,"",D933-_xlfn.MAXIFS('Relevés compteurs'!$D$5:$D$1504,'Relevés compteurs'!$B$5:$B$1504,B933,'Relevés compteurs'!$A$5:$A$1504,"&lt;"&amp;A933)))</f>
        <v/>
      </c>
    </row>
    <row r="934">
      <c r="A934" s="65" t="n"/>
      <c r="B934" s="7" t="n"/>
      <c r="C934" s="9">
        <f>IF(B934="","",IFERROR(INDEX('Équipements'!$B$5:$B$304,MATCH(B934,'Équipements'!$A$5:$A$304,0)),"Code inconnu"))</f>
        <v/>
      </c>
      <c r="D934" s="67" t="n"/>
      <c r="E934" s="7" t="n"/>
      <c r="F934" s="68">
        <f>IF(OR(B934="",A934=""),"",IF(COUNTIFS('Relevés compteurs'!$B$5:$B$1504,B934,'Relevés compteurs'!$A$5:$A$1504,"&lt;"&amp;A934)=0,"",D934-_xlfn.MAXIFS('Relevés compteurs'!$D$5:$D$1504,'Relevés compteurs'!$B$5:$B$1504,B934,'Relevés compteurs'!$A$5:$A$1504,"&lt;"&amp;A934)))</f>
        <v/>
      </c>
    </row>
    <row r="935">
      <c r="A935" s="65" t="n"/>
      <c r="B935" s="7" t="n"/>
      <c r="C935" s="9">
        <f>IF(B935="","",IFERROR(INDEX('Équipements'!$B$5:$B$304,MATCH(B935,'Équipements'!$A$5:$A$304,0)),"Code inconnu"))</f>
        <v/>
      </c>
      <c r="D935" s="67" t="n"/>
      <c r="E935" s="7" t="n"/>
      <c r="F935" s="68">
        <f>IF(OR(B935="",A935=""),"",IF(COUNTIFS('Relevés compteurs'!$B$5:$B$1504,B935,'Relevés compteurs'!$A$5:$A$1504,"&lt;"&amp;A935)=0,"",D935-_xlfn.MAXIFS('Relevés compteurs'!$D$5:$D$1504,'Relevés compteurs'!$B$5:$B$1504,B935,'Relevés compteurs'!$A$5:$A$1504,"&lt;"&amp;A935)))</f>
        <v/>
      </c>
    </row>
    <row r="936">
      <c r="A936" s="65" t="n"/>
      <c r="B936" s="7" t="n"/>
      <c r="C936" s="9">
        <f>IF(B936="","",IFERROR(INDEX('Équipements'!$B$5:$B$304,MATCH(B936,'Équipements'!$A$5:$A$304,0)),"Code inconnu"))</f>
        <v/>
      </c>
      <c r="D936" s="67" t="n"/>
      <c r="E936" s="7" t="n"/>
      <c r="F936" s="68">
        <f>IF(OR(B936="",A936=""),"",IF(COUNTIFS('Relevés compteurs'!$B$5:$B$1504,B936,'Relevés compteurs'!$A$5:$A$1504,"&lt;"&amp;A936)=0,"",D936-_xlfn.MAXIFS('Relevés compteurs'!$D$5:$D$1504,'Relevés compteurs'!$B$5:$B$1504,B936,'Relevés compteurs'!$A$5:$A$1504,"&lt;"&amp;A936)))</f>
        <v/>
      </c>
    </row>
    <row r="937">
      <c r="A937" s="65" t="n"/>
      <c r="B937" s="7" t="n"/>
      <c r="C937" s="9">
        <f>IF(B937="","",IFERROR(INDEX('Équipements'!$B$5:$B$304,MATCH(B937,'Équipements'!$A$5:$A$304,0)),"Code inconnu"))</f>
        <v/>
      </c>
      <c r="D937" s="67" t="n"/>
      <c r="E937" s="7" t="n"/>
      <c r="F937" s="68">
        <f>IF(OR(B937="",A937=""),"",IF(COUNTIFS('Relevés compteurs'!$B$5:$B$1504,B937,'Relevés compteurs'!$A$5:$A$1504,"&lt;"&amp;A937)=0,"",D937-_xlfn.MAXIFS('Relevés compteurs'!$D$5:$D$1504,'Relevés compteurs'!$B$5:$B$1504,B937,'Relevés compteurs'!$A$5:$A$1504,"&lt;"&amp;A937)))</f>
        <v/>
      </c>
    </row>
    <row r="938">
      <c r="A938" s="65" t="n"/>
      <c r="B938" s="7" t="n"/>
      <c r="C938" s="9">
        <f>IF(B938="","",IFERROR(INDEX('Équipements'!$B$5:$B$304,MATCH(B938,'Équipements'!$A$5:$A$304,0)),"Code inconnu"))</f>
        <v/>
      </c>
      <c r="D938" s="67" t="n"/>
      <c r="E938" s="7" t="n"/>
      <c r="F938" s="68">
        <f>IF(OR(B938="",A938=""),"",IF(COUNTIFS('Relevés compteurs'!$B$5:$B$1504,B938,'Relevés compteurs'!$A$5:$A$1504,"&lt;"&amp;A938)=0,"",D938-_xlfn.MAXIFS('Relevés compteurs'!$D$5:$D$1504,'Relevés compteurs'!$B$5:$B$1504,B938,'Relevés compteurs'!$A$5:$A$1504,"&lt;"&amp;A938)))</f>
        <v/>
      </c>
    </row>
    <row r="939">
      <c r="A939" s="65" t="n"/>
      <c r="B939" s="7" t="n"/>
      <c r="C939" s="9">
        <f>IF(B939="","",IFERROR(INDEX('Équipements'!$B$5:$B$304,MATCH(B939,'Équipements'!$A$5:$A$304,0)),"Code inconnu"))</f>
        <v/>
      </c>
      <c r="D939" s="67" t="n"/>
      <c r="E939" s="7" t="n"/>
      <c r="F939" s="68">
        <f>IF(OR(B939="",A939=""),"",IF(COUNTIFS('Relevés compteurs'!$B$5:$B$1504,B939,'Relevés compteurs'!$A$5:$A$1504,"&lt;"&amp;A939)=0,"",D939-_xlfn.MAXIFS('Relevés compteurs'!$D$5:$D$1504,'Relevés compteurs'!$B$5:$B$1504,B939,'Relevés compteurs'!$A$5:$A$1504,"&lt;"&amp;A939)))</f>
        <v/>
      </c>
    </row>
    <row r="940">
      <c r="A940" s="65" t="n"/>
      <c r="B940" s="7" t="n"/>
      <c r="C940" s="9">
        <f>IF(B940="","",IFERROR(INDEX('Équipements'!$B$5:$B$304,MATCH(B940,'Équipements'!$A$5:$A$304,0)),"Code inconnu"))</f>
        <v/>
      </c>
      <c r="D940" s="67" t="n"/>
      <c r="E940" s="7" t="n"/>
      <c r="F940" s="68">
        <f>IF(OR(B940="",A940=""),"",IF(COUNTIFS('Relevés compteurs'!$B$5:$B$1504,B940,'Relevés compteurs'!$A$5:$A$1504,"&lt;"&amp;A940)=0,"",D940-_xlfn.MAXIFS('Relevés compteurs'!$D$5:$D$1504,'Relevés compteurs'!$B$5:$B$1504,B940,'Relevés compteurs'!$A$5:$A$1504,"&lt;"&amp;A940)))</f>
        <v/>
      </c>
    </row>
    <row r="941">
      <c r="A941" s="65" t="n"/>
      <c r="B941" s="7" t="n"/>
      <c r="C941" s="9">
        <f>IF(B941="","",IFERROR(INDEX('Équipements'!$B$5:$B$304,MATCH(B941,'Équipements'!$A$5:$A$304,0)),"Code inconnu"))</f>
        <v/>
      </c>
      <c r="D941" s="67" t="n"/>
      <c r="E941" s="7" t="n"/>
      <c r="F941" s="68">
        <f>IF(OR(B941="",A941=""),"",IF(COUNTIFS('Relevés compteurs'!$B$5:$B$1504,B941,'Relevés compteurs'!$A$5:$A$1504,"&lt;"&amp;A941)=0,"",D941-_xlfn.MAXIFS('Relevés compteurs'!$D$5:$D$1504,'Relevés compteurs'!$B$5:$B$1504,B941,'Relevés compteurs'!$A$5:$A$1504,"&lt;"&amp;A941)))</f>
        <v/>
      </c>
    </row>
    <row r="942">
      <c r="A942" s="65" t="n"/>
      <c r="B942" s="7" t="n"/>
      <c r="C942" s="9">
        <f>IF(B942="","",IFERROR(INDEX('Équipements'!$B$5:$B$304,MATCH(B942,'Équipements'!$A$5:$A$304,0)),"Code inconnu"))</f>
        <v/>
      </c>
      <c r="D942" s="67" t="n"/>
      <c r="E942" s="7" t="n"/>
      <c r="F942" s="68">
        <f>IF(OR(B942="",A942=""),"",IF(COUNTIFS('Relevés compteurs'!$B$5:$B$1504,B942,'Relevés compteurs'!$A$5:$A$1504,"&lt;"&amp;A942)=0,"",D942-_xlfn.MAXIFS('Relevés compteurs'!$D$5:$D$1504,'Relevés compteurs'!$B$5:$B$1504,B942,'Relevés compteurs'!$A$5:$A$1504,"&lt;"&amp;A942)))</f>
        <v/>
      </c>
    </row>
    <row r="943">
      <c r="A943" s="65" t="n"/>
      <c r="B943" s="7" t="n"/>
      <c r="C943" s="9">
        <f>IF(B943="","",IFERROR(INDEX('Équipements'!$B$5:$B$304,MATCH(B943,'Équipements'!$A$5:$A$304,0)),"Code inconnu"))</f>
        <v/>
      </c>
      <c r="D943" s="67" t="n"/>
      <c r="E943" s="7" t="n"/>
      <c r="F943" s="68">
        <f>IF(OR(B943="",A943=""),"",IF(COUNTIFS('Relevés compteurs'!$B$5:$B$1504,B943,'Relevés compteurs'!$A$5:$A$1504,"&lt;"&amp;A943)=0,"",D943-_xlfn.MAXIFS('Relevés compteurs'!$D$5:$D$1504,'Relevés compteurs'!$B$5:$B$1504,B943,'Relevés compteurs'!$A$5:$A$1504,"&lt;"&amp;A943)))</f>
        <v/>
      </c>
    </row>
    <row r="944">
      <c r="A944" s="65" t="n"/>
      <c r="B944" s="7" t="n"/>
      <c r="C944" s="9">
        <f>IF(B944="","",IFERROR(INDEX('Équipements'!$B$5:$B$304,MATCH(B944,'Équipements'!$A$5:$A$304,0)),"Code inconnu"))</f>
        <v/>
      </c>
      <c r="D944" s="67" t="n"/>
      <c r="E944" s="7" t="n"/>
      <c r="F944" s="68">
        <f>IF(OR(B944="",A944=""),"",IF(COUNTIFS('Relevés compteurs'!$B$5:$B$1504,B944,'Relevés compteurs'!$A$5:$A$1504,"&lt;"&amp;A944)=0,"",D944-_xlfn.MAXIFS('Relevés compteurs'!$D$5:$D$1504,'Relevés compteurs'!$B$5:$B$1504,B944,'Relevés compteurs'!$A$5:$A$1504,"&lt;"&amp;A944)))</f>
        <v/>
      </c>
    </row>
    <row r="945">
      <c r="A945" s="65" t="n"/>
      <c r="B945" s="7" t="n"/>
      <c r="C945" s="9">
        <f>IF(B945="","",IFERROR(INDEX('Équipements'!$B$5:$B$304,MATCH(B945,'Équipements'!$A$5:$A$304,0)),"Code inconnu"))</f>
        <v/>
      </c>
      <c r="D945" s="67" t="n"/>
      <c r="E945" s="7" t="n"/>
      <c r="F945" s="68">
        <f>IF(OR(B945="",A945=""),"",IF(COUNTIFS('Relevés compteurs'!$B$5:$B$1504,B945,'Relevés compteurs'!$A$5:$A$1504,"&lt;"&amp;A945)=0,"",D945-_xlfn.MAXIFS('Relevés compteurs'!$D$5:$D$1504,'Relevés compteurs'!$B$5:$B$1504,B945,'Relevés compteurs'!$A$5:$A$1504,"&lt;"&amp;A945)))</f>
        <v/>
      </c>
    </row>
    <row r="946">
      <c r="A946" s="65" t="n"/>
      <c r="B946" s="7" t="n"/>
      <c r="C946" s="9">
        <f>IF(B946="","",IFERROR(INDEX('Équipements'!$B$5:$B$304,MATCH(B946,'Équipements'!$A$5:$A$304,0)),"Code inconnu"))</f>
        <v/>
      </c>
      <c r="D946" s="67" t="n"/>
      <c r="E946" s="7" t="n"/>
      <c r="F946" s="68">
        <f>IF(OR(B946="",A946=""),"",IF(COUNTIFS('Relevés compteurs'!$B$5:$B$1504,B946,'Relevés compteurs'!$A$5:$A$1504,"&lt;"&amp;A946)=0,"",D946-_xlfn.MAXIFS('Relevés compteurs'!$D$5:$D$1504,'Relevés compteurs'!$B$5:$B$1504,B946,'Relevés compteurs'!$A$5:$A$1504,"&lt;"&amp;A946)))</f>
        <v/>
      </c>
    </row>
    <row r="947">
      <c r="A947" s="65" t="n"/>
      <c r="B947" s="7" t="n"/>
      <c r="C947" s="9">
        <f>IF(B947="","",IFERROR(INDEX('Équipements'!$B$5:$B$304,MATCH(B947,'Équipements'!$A$5:$A$304,0)),"Code inconnu"))</f>
        <v/>
      </c>
      <c r="D947" s="67" t="n"/>
      <c r="E947" s="7" t="n"/>
      <c r="F947" s="68">
        <f>IF(OR(B947="",A947=""),"",IF(COUNTIFS('Relevés compteurs'!$B$5:$B$1504,B947,'Relevés compteurs'!$A$5:$A$1504,"&lt;"&amp;A947)=0,"",D947-_xlfn.MAXIFS('Relevés compteurs'!$D$5:$D$1504,'Relevés compteurs'!$B$5:$B$1504,B947,'Relevés compteurs'!$A$5:$A$1504,"&lt;"&amp;A947)))</f>
        <v/>
      </c>
    </row>
    <row r="948">
      <c r="A948" s="65" t="n"/>
      <c r="B948" s="7" t="n"/>
      <c r="C948" s="9">
        <f>IF(B948="","",IFERROR(INDEX('Équipements'!$B$5:$B$304,MATCH(B948,'Équipements'!$A$5:$A$304,0)),"Code inconnu"))</f>
        <v/>
      </c>
      <c r="D948" s="67" t="n"/>
      <c r="E948" s="7" t="n"/>
      <c r="F948" s="68">
        <f>IF(OR(B948="",A948=""),"",IF(COUNTIFS('Relevés compteurs'!$B$5:$B$1504,B948,'Relevés compteurs'!$A$5:$A$1504,"&lt;"&amp;A948)=0,"",D948-_xlfn.MAXIFS('Relevés compteurs'!$D$5:$D$1504,'Relevés compteurs'!$B$5:$B$1504,B948,'Relevés compteurs'!$A$5:$A$1504,"&lt;"&amp;A948)))</f>
        <v/>
      </c>
    </row>
    <row r="949">
      <c r="A949" s="65" t="n"/>
      <c r="B949" s="7" t="n"/>
      <c r="C949" s="9">
        <f>IF(B949="","",IFERROR(INDEX('Équipements'!$B$5:$B$304,MATCH(B949,'Équipements'!$A$5:$A$304,0)),"Code inconnu"))</f>
        <v/>
      </c>
      <c r="D949" s="67" t="n"/>
      <c r="E949" s="7" t="n"/>
      <c r="F949" s="68">
        <f>IF(OR(B949="",A949=""),"",IF(COUNTIFS('Relevés compteurs'!$B$5:$B$1504,B949,'Relevés compteurs'!$A$5:$A$1504,"&lt;"&amp;A949)=0,"",D949-_xlfn.MAXIFS('Relevés compteurs'!$D$5:$D$1504,'Relevés compteurs'!$B$5:$B$1504,B949,'Relevés compteurs'!$A$5:$A$1504,"&lt;"&amp;A949)))</f>
        <v/>
      </c>
    </row>
    <row r="950">
      <c r="A950" s="65" t="n"/>
      <c r="B950" s="7" t="n"/>
      <c r="C950" s="9">
        <f>IF(B950="","",IFERROR(INDEX('Équipements'!$B$5:$B$304,MATCH(B950,'Équipements'!$A$5:$A$304,0)),"Code inconnu"))</f>
        <v/>
      </c>
      <c r="D950" s="67" t="n"/>
      <c r="E950" s="7" t="n"/>
      <c r="F950" s="68">
        <f>IF(OR(B950="",A950=""),"",IF(COUNTIFS('Relevés compteurs'!$B$5:$B$1504,B950,'Relevés compteurs'!$A$5:$A$1504,"&lt;"&amp;A950)=0,"",D950-_xlfn.MAXIFS('Relevés compteurs'!$D$5:$D$1504,'Relevés compteurs'!$B$5:$B$1504,B950,'Relevés compteurs'!$A$5:$A$1504,"&lt;"&amp;A950)))</f>
        <v/>
      </c>
    </row>
    <row r="951">
      <c r="A951" s="65" t="n"/>
      <c r="B951" s="7" t="n"/>
      <c r="C951" s="9">
        <f>IF(B951="","",IFERROR(INDEX('Équipements'!$B$5:$B$304,MATCH(B951,'Équipements'!$A$5:$A$304,0)),"Code inconnu"))</f>
        <v/>
      </c>
      <c r="D951" s="67" t="n"/>
      <c r="E951" s="7" t="n"/>
      <c r="F951" s="68">
        <f>IF(OR(B951="",A951=""),"",IF(COUNTIFS('Relevés compteurs'!$B$5:$B$1504,B951,'Relevés compteurs'!$A$5:$A$1504,"&lt;"&amp;A951)=0,"",D951-_xlfn.MAXIFS('Relevés compteurs'!$D$5:$D$1504,'Relevés compteurs'!$B$5:$B$1504,B951,'Relevés compteurs'!$A$5:$A$1504,"&lt;"&amp;A951)))</f>
        <v/>
      </c>
    </row>
    <row r="952">
      <c r="A952" s="65" t="n"/>
      <c r="B952" s="7" t="n"/>
      <c r="C952" s="9">
        <f>IF(B952="","",IFERROR(INDEX('Équipements'!$B$5:$B$304,MATCH(B952,'Équipements'!$A$5:$A$304,0)),"Code inconnu"))</f>
        <v/>
      </c>
      <c r="D952" s="67" t="n"/>
      <c r="E952" s="7" t="n"/>
      <c r="F952" s="68">
        <f>IF(OR(B952="",A952=""),"",IF(COUNTIFS('Relevés compteurs'!$B$5:$B$1504,B952,'Relevés compteurs'!$A$5:$A$1504,"&lt;"&amp;A952)=0,"",D952-_xlfn.MAXIFS('Relevés compteurs'!$D$5:$D$1504,'Relevés compteurs'!$B$5:$B$1504,B952,'Relevés compteurs'!$A$5:$A$1504,"&lt;"&amp;A952)))</f>
        <v/>
      </c>
    </row>
    <row r="953">
      <c r="A953" s="65" t="n"/>
      <c r="B953" s="7" t="n"/>
      <c r="C953" s="9">
        <f>IF(B953="","",IFERROR(INDEX('Équipements'!$B$5:$B$304,MATCH(B953,'Équipements'!$A$5:$A$304,0)),"Code inconnu"))</f>
        <v/>
      </c>
      <c r="D953" s="67" t="n"/>
      <c r="E953" s="7" t="n"/>
      <c r="F953" s="68">
        <f>IF(OR(B953="",A953=""),"",IF(COUNTIFS('Relevés compteurs'!$B$5:$B$1504,B953,'Relevés compteurs'!$A$5:$A$1504,"&lt;"&amp;A953)=0,"",D953-_xlfn.MAXIFS('Relevés compteurs'!$D$5:$D$1504,'Relevés compteurs'!$B$5:$B$1504,B953,'Relevés compteurs'!$A$5:$A$1504,"&lt;"&amp;A953)))</f>
        <v/>
      </c>
    </row>
    <row r="954">
      <c r="A954" s="65" t="n"/>
      <c r="B954" s="7" t="n"/>
      <c r="C954" s="9">
        <f>IF(B954="","",IFERROR(INDEX('Équipements'!$B$5:$B$304,MATCH(B954,'Équipements'!$A$5:$A$304,0)),"Code inconnu"))</f>
        <v/>
      </c>
      <c r="D954" s="67" t="n"/>
      <c r="E954" s="7" t="n"/>
      <c r="F954" s="68">
        <f>IF(OR(B954="",A954=""),"",IF(COUNTIFS('Relevés compteurs'!$B$5:$B$1504,B954,'Relevés compteurs'!$A$5:$A$1504,"&lt;"&amp;A954)=0,"",D954-_xlfn.MAXIFS('Relevés compteurs'!$D$5:$D$1504,'Relevés compteurs'!$B$5:$B$1504,B954,'Relevés compteurs'!$A$5:$A$1504,"&lt;"&amp;A954)))</f>
        <v/>
      </c>
    </row>
    <row r="955">
      <c r="A955" s="65" t="n"/>
      <c r="B955" s="7" t="n"/>
      <c r="C955" s="9">
        <f>IF(B955="","",IFERROR(INDEX('Équipements'!$B$5:$B$304,MATCH(B955,'Équipements'!$A$5:$A$304,0)),"Code inconnu"))</f>
        <v/>
      </c>
      <c r="D955" s="67" t="n"/>
      <c r="E955" s="7" t="n"/>
      <c r="F955" s="68">
        <f>IF(OR(B955="",A955=""),"",IF(COUNTIFS('Relevés compteurs'!$B$5:$B$1504,B955,'Relevés compteurs'!$A$5:$A$1504,"&lt;"&amp;A955)=0,"",D955-_xlfn.MAXIFS('Relevés compteurs'!$D$5:$D$1504,'Relevés compteurs'!$B$5:$B$1504,B955,'Relevés compteurs'!$A$5:$A$1504,"&lt;"&amp;A955)))</f>
        <v/>
      </c>
    </row>
    <row r="956">
      <c r="A956" s="65" t="n"/>
      <c r="B956" s="7" t="n"/>
      <c r="C956" s="9">
        <f>IF(B956="","",IFERROR(INDEX('Équipements'!$B$5:$B$304,MATCH(B956,'Équipements'!$A$5:$A$304,0)),"Code inconnu"))</f>
        <v/>
      </c>
      <c r="D956" s="67" t="n"/>
      <c r="E956" s="7" t="n"/>
      <c r="F956" s="68">
        <f>IF(OR(B956="",A956=""),"",IF(COUNTIFS('Relevés compteurs'!$B$5:$B$1504,B956,'Relevés compteurs'!$A$5:$A$1504,"&lt;"&amp;A956)=0,"",D956-_xlfn.MAXIFS('Relevés compteurs'!$D$5:$D$1504,'Relevés compteurs'!$B$5:$B$1504,B956,'Relevés compteurs'!$A$5:$A$1504,"&lt;"&amp;A956)))</f>
        <v/>
      </c>
    </row>
    <row r="957">
      <c r="A957" s="65" t="n"/>
      <c r="B957" s="7" t="n"/>
      <c r="C957" s="9">
        <f>IF(B957="","",IFERROR(INDEX('Équipements'!$B$5:$B$304,MATCH(B957,'Équipements'!$A$5:$A$304,0)),"Code inconnu"))</f>
        <v/>
      </c>
      <c r="D957" s="67" t="n"/>
      <c r="E957" s="7" t="n"/>
      <c r="F957" s="68">
        <f>IF(OR(B957="",A957=""),"",IF(COUNTIFS('Relevés compteurs'!$B$5:$B$1504,B957,'Relevés compteurs'!$A$5:$A$1504,"&lt;"&amp;A957)=0,"",D957-_xlfn.MAXIFS('Relevés compteurs'!$D$5:$D$1504,'Relevés compteurs'!$B$5:$B$1504,B957,'Relevés compteurs'!$A$5:$A$1504,"&lt;"&amp;A957)))</f>
        <v/>
      </c>
    </row>
    <row r="958">
      <c r="A958" s="65" t="n"/>
      <c r="B958" s="7" t="n"/>
      <c r="C958" s="9">
        <f>IF(B958="","",IFERROR(INDEX('Équipements'!$B$5:$B$304,MATCH(B958,'Équipements'!$A$5:$A$304,0)),"Code inconnu"))</f>
        <v/>
      </c>
      <c r="D958" s="67" t="n"/>
      <c r="E958" s="7" t="n"/>
      <c r="F958" s="68">
        <f>IF(OR(B958="",A958=""),"",IF(COUNTIFS('Relevés compteurs'!$B$5:$B$1504,B958,'Relevés compteurs'!$A$5:$A$1504,"&lt;"&amp;A958)=0,"",D958-_xlfn.MAXIFS('Relevés compteurs'!$D$5:$D$1504,'Relevés compteurs'!$B$5:$B$1504,B958,'Relevés compteurs'!$A$5:$A$1504,"&lt;"&amp;A958)))</f>
        <v/>
      </c>
    </row>
    <row r="959">
      <c r="A959" s="65" t="n"/>
      <c r="B959" s="7" t="n"/>
      <c r="C959" s="9">
        <f>IF(B959="","",IFERROR(INDEX('Équipements'!$B$5:$B$304,MATCH(B959,'Équipements'!$A$5:$A$304,0)),"Code inconnu"))</f>
        <v/>
      </c>
      <c r="D959" s="67" t="n"/>
      <c r="E959" s="7" t="n"/>
      <c r="F959" s="68">
        <f>IF(OR(B959="",A959=""),"",IF(COUNTIFS('Relevés compteurs'!$B$5:$B$1504,B959,'Relevés compteurs'!$A$5:$A$1504,"&lt;"&amp;A959)=0,"",D959-_xlfn.MAXIFS('Relevés compteurs'!$D$5:$D$1504,'Relevés compteurs'!$B$5:$B$1504,B959,'Relevés compteurs'!$A$5:$A$1504,"&lt;"&amp;A959)))</f>
        <v/>
      </c>
    </row>
    <row r="960">
      <c r="A960" s="65" t="n"/>
      <c r="B960" s="7" t="n"/>
      <c r="C960" s="9">
        <f>IF(B960="","",IFERROR(INDEX('Équipements'!$B$5:$B$304,MATCH(B960,'Équipements'!$A$5:$A$304,0)),"Code inconnu"))</f>
        <v/>
      </c>
      <c r="D960" s="67" t="n"/>
      <c r="E960" s="7" t="n"/>
      <c r="F960" s="68">
        <f>IF(OR(B960="",A960=""),"",IF(COUNTIFS('Relevés compteurs'!$B$5:$B$1504,B960,'Relevés compteurs'!$A$5:$A$1504,"&lt;"&amp;A960)=0,"",D960-_xlfn.MAXIFS('Relevés compteurs'!$D$5:$D$1504,'Relevés compteurs'!$B$5:$B$1504,B960,'Relevés compteurs'!$A$5:$A$1504,"&lt;"&amp;A960)))</f>
        <v/>
      </c>
    </row>
    <row r="961">
      <c r="A961" s="65" t="n"/>
      <c r="B961" s="7" t="n"/>
      <c r="C961" s="9">
        <f>IF(B961="","",IFERROR(INDEX('Équipements'!$B$5:$B$304,MATCH(B961,'Équipements'!$A$5:$A$304,0)),"Code inconnu"))</f>
        <v/>
      </c>
      <c r="D961" s="67" t="n"/>
      <c r="E961" s="7" t="n"/>
      <c r="F961" s="68">
        <f>IF(OR(B961="",A961=""),"",IF(COUNTIFS('Relevés compteurs'!$B$5:$B$1504,B961,'Relevés compteurs'!$A$5:$A$1504,"&lt;"&amp;A961)=0,"",D961-_xlfn.MAXIFS('Relevés compteurs'!$D$5:$D$1504,'Relevés compteurs'!$B$5:$B$1504,B961,'Relevés compteurs'!$A$5:$A$1504,"&lt;"&amp;A961)))</f>
        <v/>
      </c>
    </row>
    <row r="962">
      <c r="A962" s="65" t="n"/>
      <c r="B962" s="7" t="n"/>
      <c r="C962" s="9">
        <f>IF(B962="","",IFERROR(INDEX('Équipements'!$B$5:$B$304,MATCH(B962,'Équipements'!$A$5:$A$304,0)),"Code inconnu"))</f>
        <v/>
      </c>
      <c r="D962" s="67" t="n"/>
      <c r="E962" s="7" t="n"/>
      <c r="F962" s="68">
        <f>IF(OR(B962="",A962=""),"",IF(COUNTIFS('Relevés compteurs'!$B$5:$B$1504,B962,'Relevés compteurs'!$A$5:$A$1504,"&lt;"&amp;A962)=0,"",D962-_xlfn.MAXIFS('Relevés compteurs'!$D$5:$D$1504,'Relevés compteurs'!$B$5:$B$1504,B962,'Relevés compteurs'!$A$5:$A$1504,"&lt;"&amp;A962)))</f>
        <v/>
      </c>
    </row>
    <row r="963">
      <c r="A963" s="65" t="n"/>
      <c r="B963" s="7" t="n"/>
      <c r="C963" s="9">
        <f>IF(B963="","",IFERROR(INDEX('Équipements'!$B$5:$B$304,MATCH(B963,'Équipements'!$A$5:$A$304,0)),"Code inconnu"))</f>
        <v/>
      </c>
      <c r="D963" s="67" t="n"/>
      <c r="E963" s="7" t="n"/>
      <c r="F963" s="68">
        <f>IF(OR(B963="",A963=""),"",IF(COUNTIFS('Relevés compteurs'!$B$5:$B$1504,B963,'Relevés compteurs'!$A$5:$A$1504,"&lt;"&amp;A963)=0,"",D963-_xlfn.MAXIFS('Relevés compteurs'!$D$5:$D$1504,'Relevés compteurs'!$B$5:$B$1504,B963,'Relevés compteurs'!$A$5:$A$1504,"&lt;"&amp;A963)))</f>
        <v/>
      </c>
    </row>
    <row r="964">
      <c r="A964" s="65" t="n"/>
      <c r="B964" s="7" t="n"/>
      <c r="C964" s="9">
        <f>IF(B964="","",IFERROR(INDEX('Équipements'!$B$5:$B$304,MATCH(B964,'Équipements'!$A$5:$A$304,0)),"Code inconnu"))</f>
        <v/>
      </c>
      <c r="D964" s="67" t="n"/>
      <c r="E964" s="7" t="n"/>
      <c r="F964" s="68">
        <f>IF(OR(B964="",A964=""),"",IF(COUNTIFS('Relevés compteurs'!$B$5:$B$1504,B964,'Relevés compteurs'!$A$5:$A$1504,"&lt;"&amp;A964)=0,"",D964-_xlfn.MAXIFS('Relevés compteurs'!$D$5:$D$1504,'Relevés compteurs'!$B$5:$B$1504,B964,'Relevés compteurs'!$A$5:$A$1504,"&lt;"&amp;A964)))</f>
        <v/>
      </c>
    </row>
    <row r="965">
      <c r="A965" s="65" t="n"/>
      <c r="B965" s="7" t="n"/>
      <c r="C965" s="9">
        <f>IF(B965="","",IFERROR(INDEX('Équipements'!$B$5:$B$304,MATCH(B965,'Équipements'!$A$5:$A$304,0)),"Code inconnu"))</f>
        <v/>
      </c>
      <c r="D965" s="67" t="n"/>
      <c r="E965" s="7" t="n"/>
      <c r="F965" s="68">
        <f>IF(OR(B965="",A965=""),"",IF(COUNTIFS('Relevés compteurs'!$B$5:$B$1504,B965,'Relevés compteurs'!$A$5:$A$1504,"&lt;"&amp;A965)=0,"",D965-_xlfn.MAXIFS('Relevés compteurs'!$D$5:$D$1504,'Relevés compteurs'!$B$5:$B$1504,B965,'Relevés compteurs'!$A$5:$A$1504,"&lt;"&amp;A965)))</f>
        <v/>
      </c>
    </row>
    <row r="966">
      <c r="A966" s="65" t="n"/>
      <c r="B966" s="7" t="n"/>
      <c r="C966" s="9">
        <f>IF(B966="","",IFERROR(INDEX('Équipements'!$B$5:$B$304,MATCH(B966,'Équipements'!$A$5:$A$304,0)),"Code inconnu"))</f>
        <v/>
      </c>
      <c r="D966" s="67" t="n"/>
      <c r="E966" s="7" t="n"/>
      <c r="F966" s="68">
        <f>IF(OR(B966="",A966=""),"",IF(COUNTIFS('Relevés compteurs'!$B$5:$B$1504,B966,'Relevés compteurs'!$A$5:$A$1504,"&lt;"&amp;A966)=0,"",D966-_xlfn.MAXIFS('Relevés compteurs'!$D$5:$D$1504,'Relevés compteurs'!$B$5:$B$1504,B966,'Relevés compteurs'!$A$5:$A$1504,"&lt;"&amp;A966)))</f>
        <v/>
      </c>
    </row>
    <row r="967">
      <c r="A967" s="65" t="n"/>
      <c r="B967" s="7" t="n"/>
      <c r="C967" s="9">
        <f>IF(B967="","",IFERROR(INDEX('Équipements'!$B$5:$B$304,MATCH(B967,'Équipements'!$A$5:$A$304,0)),"Code inconnu"))</f>
        <v/>
      </c>
      <c r="D967" s="67" t="n"/>
      <c r="E967" s="7" t="n"/>
      <c r="F967" s="68">
        <f>IF(OR(B967="",A967=""),"",IF(COUNTIFS('Relevés compteurs'!$B$5:$B$1504,B967,'Relevés compteurs'!$A$5:$A$1504,"&lt;"&amp;A967)=0,"",D967-_xlfn.MAXIFS('Relevés compteurs'!$D$5:$D$1504,'Relevés compteurs'!$B$5:$B$1504,B967,'Relevés compteurs'!$A$5:$A$1504,"&lt;"&amp;A967)))</f>
        <v/>
      </c>
    </row>
    <row r="968">
      <c r="A968" s="65" t="n"/>
      <c r="B968" s="7" t="n"/>
      <c r="C968" s="9">
        <f>IF(B968="","",IFERROR(INDEX('Équipements'!$B$5:$B$304,MATCH(B968,'Équipements'!$A$5:$A$304,0)),"Code inconnu"))</f>
        <v/>
      </c>
      <c r="D968" s="67" t="n"/>
      <c r="E968" s="7" t="n"/>
      <c r="F968" s="68">
        <f>IF(OR(B968="",A968=""),"",IF(COUNTIFS('Relevés compteurs'!$B$5:$B$1504,B968,'Relevés compteurs'!$A$5:$A$1504,"&lt;"&amp;A968)=0,"",D968-_xlfn.MAXIFS('Relevés compteurs'!$D$5:$D$1504,'Relevés compteurs'!$B$5:$B$1504,B968,'Relevés compteurs'!$A$5:$A$1504,"&lt;"&amp;A968)))</f>
        <v/>
      </c>
    </row>
    <row r="969">
      <c r="A969" s="65" t="n"/>
      <c r="B969" s="7" t="n"/>
      <c r="C969" s="9">
        <f>IF(B969="","",IFERROR(INDEX('Équipements'!$B$5:$B$304,MATCH(B969,'Équipements'!$A$5:$A$304,0)),"Code inconnu"))</f>
        <v/>
      </c>
      <c r="D969" s="67" t="n"/>
      <c r="E969" s="7" t="n"/>
      <c r="F969" s="68">
        <f>IF(OR(B969="",A969=""),"",IF(COUNTIFS('Relevés compteurs'!$B$5:$B$1504,B969,'Relevés compteurs'!$A$5:$A$1504,"&lt;"&amp;A969)=0,"",D969-_xlfn.MAXIFS('Relevés compteurs'!$D$5:$D$1504,'Relevés compteurs'!$B$5:$B$1504,B969,'Relevés compteurs'!$A$5:$A$1504,"&lt;"&amp;A969)))</f>
        <v/>
      </c>
    </row>
    <row r="970">
      <c r="A970" s="65" t="n"/>
      <c r="B970" s="7" t="n"/>
      <c r="C970" s="9">
        <f>IF(B970="","",IFERROR(INDEX('Équipements'!$B$5:$B$304,MATCH(B970,'Équipements'!$A$5:$A$304,0)),"Code inconnu"))</f>
        <v/>
      </c>
      <c r="D970" s="67" t="n"/>
      <c r="E970" s="7" t="n"/>
      <c r="F970" s="68">
        <f>IF(OR(B970="",A970=""),"",IF(COUNTIFS('Relevés compteurs'!$B$5:$B$1504,B970,'Relevés compteurs'!$A$5:$A$1504,"&lt;"&amp;A970)=0,"",D970-_xlfn.MAXIFS('Relevés compteurs'!$D$5:$D$1504,'Relevés compteurs'!$B$5:$B$1504,B970,'Relevés compteurs'!$A$5:$A$1504,"&lt;"&amp;A970)))</f>
        <v/>
      </c>
    </row>
    <row r="971">
      <c r="A971" s="65" t="n"/>
      <c r="B971" s="7" t="n"/>
      <c r="C971" s="9">
        <f>IF(B971="","",IFERROR(INDEX('Équipements'!$B$5:$B$304,MATCH(B971,'Équipements'!$A$5:$A$304,0)),"Code inconnu"))</f>
        <v/>
      </c>
      <c r="D971" s="67" t="n"/>
      <c r="E971" s="7" t="n"/>
      <c r="F971" s="68">
        <f>IF(OR(B971="",A971=""),"",IF(COUNTIFS('Relevés compteurs'!$B$5:$B$1504,B971,'Relevés compteurs'!$A$5:$A$1504,"&lt;"&amp;A971)=0,"",D971-_xlfn.MAXIFS('Relevés compteurs'!$D$5:$D$1504,'Relevés compteurs'!$B$5:$B$1504,B971,'Relevés compteurs'!$A$5:$A$1504,"&lt;"&amp;A971)))</f>
        <v/>
      </c>
    </row>
    <row r="972">
      <c r="A972" s="65" t="n"/>
      <c r="B972" s="7" t="n"/>
      <c r="C972" s="9">
        <f>IF(B972="","",IFERROR(INDEX('Équipements'!$B$5:$B$304,MATCH(B972,'Équipements'!$A$5:$A$304,0)),"Code inconnu"))</f>
        <v/>
      </c>
      <c r="D972" s="67" t="n"/>
      <c r="E972" s="7" t="n"/>
      <c r="F972" s="68">
        <f>IF(OR(B972="",A972=""),"",IF(COUNTIFS('Relevés compteurs'!$B$5:$B$1504,B972,'Relevés compteurs'!$A$5:$A$1504,"&lt;"&amp;A972)=0,"",D972-_xlfn.MAXIFS('Relevés compteurs'!$D$5:$D$1504,'Relevés compteurs'!$B$5:$B$1504,B972,'Relevés compteurs'!$A$5:$A$1504,"&lt;"&amp;A972)))</f>
        <v/>
      </c>
    </row>
    <row r="973">
      <c r="A973" s="65" t="n"/>
      <c r="B973" s="7" t="n"/>
      <c r="C973" s="9">
        <f>IF(B973="","",IFERROR(INDEX('Équipements'!$B$5:$B$304,MATCH(B973,'Équipements'!$A$5:$A$304,0)),"Code inconnu"))</f>
        <v/>
      </c>
      <c r="D973" s="67" t="n"/>
      <c r="E973" s="7" t="n"/>
      <c r="F973" s="68">
        <f>IF(OR(B973="",A973=""),"",IF(COUNTIFS('Relevés compteurs'!$B$5:$B$1504,B973,'Relevés compteurs'!$A$5:$A$1504,"&lt;"&amp;A973)=0,"",D973-_xlfn.MAXIFS('Relevés compteurs'!$D$5:$D$1504,'Relevés compteurs'!$B$5:$B$1504,B973,'Relevés compteurs'!$A$5:$A$1504,"&lt;"&amp;A973)))</f>
        <v/>
      </c>
    </row>
    <row r="974">
      <c r="A974" s="65" t="n"/>
      <c r="B974" s="7" t="n"/>
      <c r="C974" s="9">
        <f>IF(B974="","",IFERROR(INDEX('Équipements'!$B$5:$B$304,MATCH(B974,'Équipements'!$A$5:$A$304,0)),"Code inconnu"))</f>
        <v/>
      </c>
      <c r="D974" s="67" t="n"/>
      <c r="E974" s="7" t="n"/>
      <c r="F974" s="68">
        <f>IF(OR(B974="",A974=""),"",IF(COUNTIFS('Relevés compteurs'!$B$5:$B$1504,B974,'Relevés compteurs'!$A$5:$A$1504,"&lt;"&amp;A974)=0,"",D974-_xlfn.MAXIFS('Relevés compteurs'!$D$5:$D$1504,'Relevés compteurs'!$B$5:$B$1504,B974,'Relevés compteurs'!$A$5:$A$1504,"&lt;"&amp;A974)))</f>
        <v/>
      </c>
    </row>
    <row r="975">
      <c r="A975" s="65" t="n"/>
      <c r="B975" s="7" t="n"/>
      <c r="C975" s="9">
        <f>IF(B975="","",IFERROR(INDEX('Équipements'!$B$5:$B$304,MATCH(B975,'Équipements'!$A$5:$A$304,0)),"Code inconnu"))</f>
        <v/>
      </c>
      <c r="D975" s="67" t="n"/>
      <c r="E975" s="7" t="n"/>
      <c r="F975" s="68">
        <f>IF(OR(B975="",A975=""),"",IF(COUNTIFS('Relevés compteurs'!$B$5:$B$1504,B975,'Relevés compteurs'!$A$5:$A$1504,"&lt;"&amp;A975)=0,"",D975-_xlfn.MAXIFS('Relevés compteurs'!$D$5:$D$1504,'Relevés compteurs'!$B$5:$B$1504,B975,'Relevés compteurs'!$A$5:$A$1504,"&lt;"&amp;A975)))</f>
        <v/>
      </c>
    </row>
    <row r="976">
      <c r="A976" s="65" t="n"/>
      <c r="B976" s="7" t="n"/>
      <c r="C976" s="9">
        <f>IF(B976="","",IFERROR(INDEX('Équipements'!$B$5:$B$304,MATCH(B976,'Équipements'!$A$5:$A$304,0)),"Code inconnu"))</f>
        <v/>
      </c>
      <c r="D976" s="67" t="n"/>
      <c r="E976" s="7" t="n"/>
      <c r="F976" s="68">
        <f>IF(OR(B976="",A976=""),"",IF(COUNTIFS('Relevés compteurs'!$B$5:$B$1504,B976,'Relevés compteurs'!$A$5:$A$1504,"&lt;"&amp;A976)=0,"",D976-_xlfn.MAXIFS('Relevés compteurs'!$D$5:$D$1504,'Relevés compteurs'!$B$5:$B$1504,B976,'Relevés compteurs'!$A$5:$A$1504,"&lt;"&amp;A976)))</f>
        <v/>
      </c>
    </row>
    <row r="977">
      <c r="A977" s="65" t="n"/>
      <c r="B977" s="7" t="n"/>
      <c r="C977" s="9">
        <f>IF(B977="","",IFERROR(INDEX('Équipements'!$B$5:$B$304,MATCH(B977,'Équipements'!$A$5:$A$304,0)),"Code inconnu"))</f>
        <v/>
      </c>
      <c r="D977" s="67" t="n"/>
      <c r="E977" s="7" t="n"/>
      <c r="F977" s="68">
        <f>IF(OR(B977="",A977=""),"",IF(COUNTIFS('Relevés compteurs'!$B$5:$B$1504,B977,'Relevés compteurs'!$A$5:$A$1504,"&lt;"&amp;A977)=0,"",D977-_xlfn.MAXIFS('Relevés compteurs'!$D$5:$D$1504,'Relevés compteurs'!$B$5:$B$1504,B977,'Relevés compteurs'!$A$5:$A$1504,"&lt;"&amp;A977)))</f>
        <v/>
      </c>
    </row>
    <row r="978">
      <c r="A978" s="65" t="n"/>
      <c r="B978" s="7" t="n"/>
      <c r="C978" s="9">
        <f>IF(B978="","",IFERROR(INDEX('Équipements'!$B$5:$B$304,MATCH(B978,'Équipements'!$A$5:$A$304,0)),"Code inconnu"))</f>
        <v/>
      </c>
      <c r="D978" s="67" t="n"/>
      <c r="E978" s="7" t="n"/>
      <c r="F978" s="68">
        <f>IF(OR(B978="",A978=""),"",IF(COUNTIFS('Relevés compteurs'!$B$5:$B$1504,B978,'Relevés compteurs'!$A$5:$A$1504,"&lt;"&amp;A978)=0,"",D978-_xlfn.MAXIFS('Relevés compteurs'!$D$5:$D$1504,'Relevés compteurs'!$B$5:$B$1504,B978,'Relevés compteurs'!$A$5:$A$1504,"&lt;"&amp;A978)))</f>
        <v/>
      </c>
    </row>
    <row r="979">
      <c r="A979" s="65" t="n"/>
      <c r="B979" s="7" t="n"/>
      <c r="C979" s="9">
        <f>IF(B979="","",IFERROR(INDEX('Équipements'!$B$5:$B$304,MATCH(B979,'Équipements'!$A$5:$A$304,0)),"Code inconnu"))</f>
        <v/>
      </c>
      <c r="D979" s="67" t="n"/>
      <c r="E979" s="7" t="n"/>
      <c r="F979" s="68">
        <f>IF(OR(B979="",A979=""),"",IF(COUNTIFS('Relevés compteurs'!$B$5:$B$1504,B979,'Relevés compteurs'!$A$5:$A$1504,"&lt;"&amp;A979)=0,"",D979-_xlfn.MAXIFS('Relevés compteurs'!$D$5:$D$1504,'Relevés compteurs'!$B$5:$B$1504,B979,'Relevés compteurs'!$A$5:$A$1504,"&lt;"&amp;A979)))</f>
        <v/>
      </c>
    </row>
    <row r="980">
      <c r="A980" s="65" t="n"/>
      <c r="B980" s="7" t="n"/>
      <c r="C980" s="9">
        <f>IF(B980="","",IFERROR(INDEX('Équipements'!$B$5:$B$304,MATCH(B980,'Équipements'!$A$5:$A$304,0)),"Code inconnu"))</f>
        <v/>
      </c>
      <c r="D980" s="67" t="n"/>
      <c r="E980" s="7" t="n"/>
      <c r="F980" s="68">
        <f>IF(OR(B980="",A980=""),"",IF(COUNTIFS('Relevés compteurs'!$B$5:$B$1504,B980,'Relevés compteurs'!$A$5:$A$1504,"&lt;"&amp;A980)=0,"",D980-_xlfn.MAXIFS('Relevés compteurs'!$D$5:$D$1504,'Relevés compteurs'!$B$5:$B$1504,B980,'Relevés compteurs'!$A$5:$A$1504,"&lt;"&amp;A980)))</f>
        <v/>
      </c>
    </row>
    <row r="981">
      <c r="A981" s="65" t="n"/>
      <c r="B981" s="7" t="n"/>
      <c r="C981" s="9">
        <f>IF(B981="","",IFERROR(INDEX('Équipements'!$B$5:$B$304,MATCH(B981,'Équipements'!$A$5:$A$304,0)),"Code inconnu"))</f>
        <v/>
      </c>
      <c r="D981" s="67" t="n"/>
      <c r="E981" s="7" t="n"/>
      <c r="F981" s="68">
        <f>IF(OR(B981="",A981=""),"",IF(COUNTIFS('Relevés compteurs'!$B$5:$B$1504,B981,'Relevés compteurs'!$A$5:$A$1504,"&lt;"&amp;A981)=0,"",D981-_xlfn.MAXIFS('Relevés compteurs'!$D$5:$D$1504,'Relevés compteurs'!$B$5:$B$1504,B981,'Relevés compteurs'!$A$5:$A$1504,"&lt;"&amp;A981)))</f>
        <v/>
      </c>
    </row>
    <row r="982">
      <c r="A982" s="65" t="n"/>
      <c r="B982" s="7" t="n"/>
      <c r="C982" s="9">
        <f>IF(B982="","",IFERROR(INDEX('Équipements'!$B$5:$B$304,MATCH(B982,'Équipements'!$A$5:$A$304,0)),"Code inconnu"))</f>
        <v/>
      </c>
      <c r="D982" s="67" t="n"/>
      <c r="E982" s="7" t="n"/>
      <c r="F982" s="68">
        <f>IF(OR(B982="",A982=""),"",IF(COUNTIFS('Relevés compteurs'!$B$5:$B$1504,B982,'Relevés compteurs'!$A$5:$A$1504,"&lt;"&amp;A982)=0,"",D982-_xlfn.MAXIFS('Relevés compteurs'!$D$5:$D$1504,'Relevés compteurs'!$B$5:$B$1504,B982,'Relevés compteurs'!$A$5:$A$1504,"&lt;"&amp;A982)))</f>
        <v/>
      </c>
    </row>
    <row r="983">
      <c r="A983" s="65" t="n"/>
      <c r="B983" s="7" t="n"/>
      <c r="C983" s="9">
        <f>IF(B983="","",IFERROR(INDEX('Équipements'!$B$5:$B$304,MATCH(B983,'Équipements'!$A$5:$A$304,0)),"Code inconnu"))</f>
        <v/>
      </c>
      <c r="D983" s="67" t="n"/>
      <c r="E983" s="7" t="n"/>
      <c r="F983" s="68">
        <f>IF(OR(B983="",A983=""),"",IF(COUNTIFS('Relevés compteurs'!$B$5:$B$1504,B983,'Relevés compteurs'!$A$5:$A$1504,"&lt;"&amp;A983)=0,"",D983-_xlfn.MAXIFS('Relevés compteurs'!$D$5:$D$1504,'Relevés compteurs'!$B$5:$B$1504,B983,'Relevés compteurs'!$A$5:$A$1504,"&lt;"&amp;A983)))</f>
        <v/>
      </c>
    </row>
    <row r="984">
      <c r="A984" s="65" t="n"/>
      <c r="B984" s="7" t="n"/>
      <c r="C984" s="9">
        <f>IF(B984="","",IFERROR(INDEX('Équipements'!$B$5:$B$304,MATCH(B984,'Équipements'!$A$5:$A$304,0)),"Code inconnu"))</f>
        <v/>
      </c>
      <c r="D984" s="67" t="n"/>
      <c r="E984" s="7" t="n"/>
      <c r="F984" s="68">
        <f>IF(OR(B984="",A984=""),"",IF(COUNTIFS('Relevés compteurs'!$B$5:$B$1504,B984,'Relevés compteurs'!$A$5:$A$1504,"&lt;"&amp;A984)=0,"",D984-_xlfn.MAXIFS('Relevés compteurs'!$D$5:$D$1504,'Relevés compteurs'!$B$5:$B$1504,B984,'Relevés compteurs'!$A$5:$A$1504,"&lt;"&amp;A984)))</f>
        <v/>
      </c>
    </row>
    <row r="985">
      <c r="A985" s="65" t="n"/>
      <c r="B985" s="7" t="n"/>
      <c r="C985" s="9">
        <f>IF(B985="","",IFERROR(INDEX('Équipements'!$B$5:$B$304,MATCH(B985,'Équipements'!$A$5:$A$304,0)),"Code inconnu"))</f>
        <v/>
      </c>
      <c r="D985" s="67" t="n"/>
      <c r="E985" s="7" t="n"/>
      <c r="F985" s="68">
        <f>IF(OR(B985="",A985=""),"",IF(COUNTIFS('Relevés compteurs'!$B$5:$B$1504,B985,'Relevés compteurs'!$A$5:$A$1504,"&lt;"&amp;A985)=0,"",D985-_xlfn.MAXIFS('Relevés compteurs'!$D$5:$D$1504,'Relevés compteurs'!$B$5:$B$1504,B985,'Relevés compteurs'!$A$5:$A$1504,"&lt;"&amp;A985)))</f>
        <v/>
      </c>
    </row>
    <row r="986">
      <c r="A986" s="65" t="n"/>
      <c r="B986" s="7" t="n"/>
      <c r="C986" s="9">
        <f>IF(B986="","",IFERROR(INDEX('Équipements'!$B$5:$B$304,MATCH(B986,'Équipements'!$A$5:$A$304,0)),"Code inconnu"))</f>
        <v/>
      </c>
      <c r="D986" s="67" t="n"/>
      <c r="E986" s="7" t="n"/>
      <c r="F986" s="68">
        <f>IF(OR(B986="",A986=""),"",IF(COUNTIFS('Relevés compteurs'!$B$5:$B$1504,B986,'Relevés compteurs'!$A$5:$A$1504,"&lt;"&amp;A986)=0,"",D986-_xlfn.MAXIFS('Relevés compteurs'!$D$5:$D$1504,'Relevés compteurs'!$B$5:$B$1504,B986,'Relevés compteurs'!$A$5:$A$1504,"&lt;"&amp;A986)))</f>
        <v/>
      </c>
    </row>
    <row r="987">
      <c r="A987" s="65" t="n"/>
      <c r="B987" s="7" t="n"/>
      <c r="C987" s="9">
        <f>IF(B987="","",IFERROR(INDEX('Équipements'!$B$5:$B$304,MATCH(B987,'Équipements'!$A$5:$A$304,0)),"Code inconnu"))</f>
        <v/>
      </c>
      <c r="D987" s="67" t="n"/>
      <c r="E987" s="7" t="n"/>
      <c r="F987" s="68">
        <f>IF(OR(B987="",A987=""),"",IF(COUNTIFS('Relevés compteurs'!$B$5:$B$1504,B987,'Relevés compteurs'!$A$5:$A$1504,"&lt;"&amp;A987)=0,"",D987-_xlfn.MAXIFS('Relevés compteurs'!$D$5:$D$1504,'Relevés compteurs'!$B$5:$B$1504,B987,'Relevés compteurs'!$A$5:$A$1504,"&lt;"&amp;A987)))</f>
        <v/>
      </c>
    </row>
    <row r="988">
      <c r="A988" s="65" t="n"/>
      <c r="B988" s="7" t="n"/>
      <c r="C988" s="9">
        <f>IF(B988="","",IFERROR(INDEX('Équipements'!$B$5:$B$304,MATCH(B988,'Équipements'!$A$5:$A$304,0)),"Code inconnu"))</f>
        <v/>
      </c>
      <c r="D988" s="67" t="n"/>
      <c r="E988" s="7" t="n"/>
      <c r="F988" s="68">
        <f>IF(OR(B988="",A988=""),"",IF(COUNTIFS('Relevés compteurs'!$B$5:$B$1504,B988,'Relevés compteurs'!$A$5:$A$1504,"&lt;"&amp;A988)=0,"",D988-_xlfn.MAXIFS('Relevés compteurs'!$D$5:$D$1504,'Relevés compteurs'!$B$5:$B$1504,B988,'Relevés compteurs'!$A$5:$A$1504,"&lt;"&amp;A988)))</f>
        <v/>
      </c>
    </row>
    <row r="989">
      <c r="A989" s="65" t="n"/>
      <c r="B989" s="7" t="n"/>
      <c r="C989" s="9">
        <f>IF(B989="","",IFERROR(INDEX('Équipements'!$B$5:$B$304,MATCH(B989,'Équipements'!$A$5:$A$304,0)),"Code inconnu"))</f>
        <v/>
      </c>
      <c r="D989" s="67" t="n"/>
      <c r="E989" s="7" t="n"/>
      <c r="F989" s="68">
        <f>IF(OR(B989="",A989=""),"",IF(COUNTIFS('Relevés compteurs'!$B$5:$B$1504,B989,'Relevés compteurs'!$A$5:$A$1504,"&lt;"&amp;A989)=0,"",D989-_xlfn.MAXIFS('Relevés compteurs'!$D$5:$D$1504,'Relevés compteurs'!$B$5:$B$1504,B989,'Relevés compteurs'!$A$5:$A$1504,"&lt;"&amp;A989)))</f>
        <v/>
      </c>
    </row>
    <row r="990">
      <c r="A990" s="65" t="n"/>
      <c r="B990" s="7" t="n"/>
      <c r="C990" s="9">
        <f>IF(B990="","",IFERROR(INDEX('Équipements'!$B$5:$B$304,MATCH(B990,'Équipements'!$A$5:$A$304,0)),"Code inconnu"))</f>
        <v/>
      </c>
      <c r="D990" s="67" t="n"/>
      <c r="E990" s="7" t="n"/>
      <c r="F990" s="68">
        <f>IF(OR(B990="",A990=""),"",IF(COUNTIFS('Relevés compteurs'!$B$5:$B$1504,B990,'Relevés compteurs'!$A$5:$A$1504,"&lt;"&amp;A990)=0,"",D990-_xlfn.MAXIFS('Relevés compteurs'!$D$5:$D$1504,'Relevés compteurs'!$B$5:$B$1504,B990,'Relevés compteurs'!$A$5:$A$1504,"&lt;"&amp;A990)))</f>
        <v/>
      </c>
    </row>
    <row r="991">
      <c r="A991" s="65" t="n"/>
      <c r="B991" s="7" t="n"/>
      <c r="C991" s="9">
        <f>IF(B991="","",IFERROR(INDEX('Équipements'!$B$5:$B$304,MATCH(B991,'Équipements'!$A$5:$A$304,0)),"Code inconnu"))</f>
        <v/>
      </c>
      <c r="D991" s="67" t="n"/>
      <c r="E991" s="7" t="n"/>
      <c r="F991" s="68">
        <f>IF(OR(B991="",A991=""),"",IF(COUNTIFS('Relevés compteurs'!$B$5:$B$1504,B991,'Relevés compteurs'!$A$5:$A$1504,"&lt;"&amp;A991)=0,"",D991-_xlfn.MAXIFS('Relevés compteurs'!$D$5:$D$1504,'Relevés compteurs'!$B$5:$B$1504,B991,'Relevés compteurs'!$A$5:$A$1504,"&lt;"&amp;A991)))</f>
        <v/>
      </c>
    </row>
    <row r="992">
      <c r="A992" s="65" t="n"/>
      <c r="B992" s="7" t="n"/>
      <c r="C992" s="9">
        <f>IF(B992="","",IFERROR(INDEX('Équipements'!$B$5:$B$304,MATCH(B992,'Équipements'!$A$5:$A$304,0)),"Code inconnu"))</f>
        <v/>
      </c>
      <c r="D992" s="67" t="n"/>
      <c r="E992" s="7" t="n"/>
      <c r="F992" s="68">
        <f>IF(OR(B992="",A992=""),"",IF(COUNTIFS('Relevés compteurs'!$B$5:$B$1504,B992,'Relevés compteurs'!$A$5:$A$1504,"&lt;"&amp;A992)=0,"",D992-_xlfn.MAXIFS('Relevés compteurs'!$D$5:$D$1504,'Relevés compteurs'!$B$5:$B$1504,B992,'Relevés compteurs'!$A$5:$A$1504,"&lt;"&amp;A992)))</f>
        <v/>
      </c>
    </row>
    <row r="993">
      <c r="A993" s="65" t="n"/>
      <c r="B993" s="7" t="n"/>
      <c r="C993" s="9">
        <f>IF(B993="","",IFERROR(INDEX('Équipements'!$B$5:$B$304,MATCH(B993,'Équipements'!$A$5:$A$304,0)),"Code inconnu"))</f>
        <v/>
      </c>
      <c r="D993" s="67" t="n"/>
      <c r="E993" s="7" t="n"/>
      <c r="F993" s="68">
        <f>IF(OR(B993="",A993=""),"",IF(COUNTIFS('Relevés compteurs'!$B$5:$B$1504,B993,'Relevés compteurs'!$A$5:$A$1504,"&lt;"&amp;A993)=0,"",D993-_xlfn.MAXIFS('Relevés compteurs'!$D$5:$D$1504,'Relevés compteurs'!$B$5:$B$1504,B993,'Relevés compteurs'!$A$5:$A$1504,"&lt;"&amp;A993)))</f>
        <v/>
      </c>
    </row>
    <row r="994">
      <c r="A994" s="65" t="n"/>
      <c r="B994" s="7" t="n"/>
      <c r="C994" s="9">
        <f>IF(B994="","",IFERROR(INDEX('Équipements'!$B$5:$B$304,MATCH(B994,'Équipements'!$A$5:$A$304,0)),"Code inconnu"))</f>
        <v/>
      </c>
      <c r="D994" s="67" t="n"/>
      <c r="E994" s="7" t="n"/>
      <c r="F994" s="68">
        <f>IF(OR(B994="",A994=""),"",IF(COUNTIFS('Relevés compteurs'!$B$5:$B$1504,B994,'Relevés compteurs'!$A$5:$A$1504,"&lt;"&amp;A994)=0,"",D994-_xlfn.MAXIFS('Relevés compteurs'!$D$5:$D$1504,'Relevés compteurs'!$B$5:$B$1504,B994,'Relevés compteurs'!$A$5:$A$1504,"&lt;"&amp;A994)))</f>
        <v/>
      </c>
    </row>
    <row r="995">
      <c r="A995" s="65" t="n"/>
      <c r="B995" s="7" t="n"/>
      <c r="C995" s="9">
        <f>IF(B995="","",IFERROR(INDEX('Équipements'!$B$5:$B$304,MATCH(B995,'Équipements'!$A$5:$A$304,0)),"Code inconnu"))</f>
        <v/>
      </c>
      <c r="D995" s="67" t="n"/>
      <c r="E995" s="7" t="n"/>
      <c r="F995" s="68">
        <f>IF(OR(B995="",A995=""),"",IF(COUNTIFS('Relevés compteurs'!$B$5:$B$1504,B995,'Relevés compteurs'!$A$5:$A$1504,"&lt;"&amp;A995)=0,"",D995-_xlfn.MAXIFS('Relevés compteurs'!$D$5:$D$1504,'Relevés compteurs'!$B$5:$B$1504,B995,'Relevés compteurs'!$A$5:$A$1504,"&lt;"&amp;A995)))</f>
        <v/>
      </c>
    </row>
    <row r="996">
      <c r="A996" s="65" t="n"/>
      <c r="B996" s="7" t="n"/>
      <c r="C996" s="9">
        <f>IF(B996="","",IFERROR(INDEX('Équipements'!$B$5:$B$304,MATCH(B996,'Équipements'!$A$5:$A$304,0)),"Code inconnu"))</f>
        <v/>
      </c>
      <c r="D996" s="67" t="n"/>
      <c r="E996" s="7" t="n"/>
      <c r="F996" s="68">
        <f>IF(OR(B996="",A996=""),"",IF(COUNTIFS('Relevés compteurs'!$B$5:$B$1504,B996,'Relevés compteurs'!$A$5:$A$1504,"&lt;"&amp;A996)=0,"",D996-_xlfn.MAXIFS('Relevés compteurs'!$D$5:$D$1504,'Relevés compteurs'!$B$5:$B$1504,B996,'Relevés compteurs'!$A$5:$A$1504,"&lt;"&amp;A996)))</f>
        <v/>
      </c>
    </row>
    <row r="997">
      <c r="A997" s="65" t="n"/>
      <c r="B997" s="7" t="n"/>
      <c r="C997" s="9">
        <f>IF(B997="","",IFERROR(INDEX('Équipements'!$B$5:$B$304,MATCH(B997,'Équipements'!$A$5:$A$304,0)),"Code inconnu"))</f>
        <v/>
      </c>
      <c r="D997" s="67" t="n"/>
      <c r="E997" s="7" t="n"/>
      <c r="F997" s="68">
        <f>IF(OR(B997="",A997=""),"",IF(COUNTIFS('Relevés compteurs'!$B$5:$B$1504,B997,'Relevés compteurs'!$A$5:$A$1504,"&lt;"&amp;A997)=0,"",D997-_xlfn.MAXIFS('Relevés compteurs'!$D$5:$D$1504,'Relevés compteurs'!$B$5:$B$1504,B997,'Relevés compteurs'!$A$5:$A$1504,"&lt;"&amp;A997)))</f>
        <v/>
      </c>
    </row>
    <row r="998">
      <c r="A998" s="65" t="n"/>
      <c r="B998" s="7" t="n"/>
      <c r="C998" s="9">
        <f>IF(B998="","",IFERROR(INDEX('Équipements'!$B$5:$B$304,MATCH(B998,'Équipements'!$A$5:$A$304,0)),"Code inconnu"))</f>
        <v/>
      </c>
      <c r="D998" s="67" t="n"/>
      <c r="E998" s="7" t="n"/>
      <c r="F998" s="68">
        <f>IF(OR(B998="",A998=""),"",IF(COUNTIFS('Relevés compteurs'!$B$5:$B$1504,B998,'Relevés compteurs'!$A$5:$A$1504,"&lt;"&amp;A998)=0,"",D998-_xlfn.MAXIFS('Relevés compteurs'!$D$5:$D$1504,'Relevés compteurs'!$B$5:$B$1504,B998,'Relevés compteurs'!$A$5:$A$1504,"&lt;"&amp;A998)))</f>
        <v/>
      </c>
    </row>
    <row r="999">
      <c r="A999" s="65" t="n"/>
      <c r="B999" s="7" t="n"/>
      <c r="C999" s="9">
        <f>IF(B999="","",IFERROR(INDEX('Équipements'!$B$5:$B$304,MATCH(B999,'Équipements'!$A$5:$A$304,0)),"Code inconnu"))</f>
        <v/>
      </c>
      <c r="D999" s="67" t="n"/>
      <c r="E999" s="7" t="n"/>
      <c r="F999" s="68">
        <f>IF(OR(B999="",A999=""),"",IF(COUNTIFS('Relevés compteurs'!$B$5:$B$1504,B999,'Relevés compteurs'!$A$5:$A$1504,"&lt;"&amp;A999)=0,"",D999-_xlfn.MAXIFS('Relevés compteurs'!$D$5:$D$1504,'Relevés compteurs'!$B$5:$B$1504,B999,'Relevés compteurs'!$A$5:$A$1504,"&lt;"&amp;A999)))</f>
        <v/>
      </c>
    </row>
    <row r="1000">
      <c r="A1000" s="65" t="n"/>
      <c r="B1000" s="7" t="n"/>
      <c r="C1000" s="9">
        <f>IF(B1000="","",IFERROR(INDEX('Équipements'!$B$5:$B$304,MATCH(B1000,'Équipements'!$A$5:$A$304,0)),"Code inconnu"))</f>
        <v/>
      </c>
      <c r="D1000" s="67" t="n"/>
      <c r="E1000" s="7" t="n"/>
      <c r="F1000" s="68">
        <f>IF(OR(B1000="",A1000=""),"",IF(COUNTIFS('Relevés compteurs'!$B$5:$B$1504,B1000,'Relevés compteurs'!$A$5:$A$1504,"&lt;"&amp;A1000)=0,"",D1000-_xlfn.MAXIFS('Relevés compteurs'!$D$5:$D$1504,'Relevés compteurs'!$B$5:$B$1504,B1000,'Relevés compteurs'!$A$5:$A$1504,"&lt;"&amp;A1000)))</f>
        <v/>
      </c>
    </row>
    <row r="1001">
      <c r="A1001" s="65" t="n"/>
      <c r="B1001" s="7" t="n"/>
      <c r="C1001" s="9">
        <f>IF(B1001="","",IFERROR(INDEX('Équipements'!$B$5:$B$304,MATCH(B1001,'Équipements'!$A$5:$A$304,0)),"Code inconnu"))</f>
        <v/>
      </c>
      <c r="D1001" s="67" t="n"/>
      <c r="E1001" s="7" t="n"/>
      <c r="F1001" s="68">
        <f>IF(OR(B1001="",A1001=""),"",IF(COUNTIFS('Relevés compteurs'!$B$5:$B$1504,B1001,'Relevés compteurs'!$A$5:$A$1504,"&lt;"&amp;A1001)=0,"",D1001-_xlfn.MAXIFS('Relevés compteurs'!$D$5:$D$1504,'Relevés compteurs'!$B$5:$B$1504,B1001,'Relevés compteurs'!$A$5:$A$1504,"&lt;"&amp;A1001)))</f>
        <v/>
      </c>
    </row>
    <row r="1002">
      <c r="A1002" s="65" t="n"/>
      <c r="B1002" s="7" t="n"/>
      <c r="C1002" s="9">
        <f>IF(B1002="","",IFERROR(INDEX('Équipements'!$B$5:$B$304,MATCH(B1002,'Équipements'!$A$5:$A$304,0)),"Code inconnu"))</f>
        <v/>
      </c>
      <c r="D1002" s="67" t="n"/>
      <c r="E1002" s="7" t="n"/>
      <c r="F1002" s="68">
        <f>IF(OR(B1002="",A1002=""),"",IF(COUNTIFS('Relevés compteurs'!$B$5:$B$1504,B1002,'Relevés compteurs'!$A$5:$A$1504,"&lt;"&amp;A1002)=0,"",D1002-_xlfn.MAXIFS('Relevés compteurs'!$D$5:$D$1504,'Relevés compteurs'!$B$5:$B$1504,B1002,'Relevés compteurs'!$A$5:$A$1504,"&lt;"&amp;A1002)))</f>
        <v/>
      </c>
    </row>
    <row r="1003">
      <c r="A1003" s="65" t="n"/>
      <c r="B1003" s="7" t="n"/>
      <c r="C1003" s="9">
        <f>IF(B1003="","",IFERROR(INDEX('Équipements'!$B$5:$B$304,MATCH(B1003,'Équipements'!$A$5:$A$304,0)),"Code inconnu"))</f>
        <v/>
      </c>
      <c r="D1003" s="67" t="n"/>
      <c r="E1003" s="7" t="n"/>
      <c r="F1003" s="68">
        <f>IF(OR(B1003="",A1003=""),"",IF(COUNTIFS('Relevés compteurs'!$B$5:$B$1504,B1003,'Relevés compteurs'!$A$5:$A$1504,"&lt;"&amp;A1003)=0,"",D1003-_xlfn.MAXIFS('Relevés compteurs'!$D$5:$D$1504,'Relevés compteurs'!$B$5:$B$1504,B1003,'Relevés compteurs'!$A$5:$A$1504,"&lt;"&amp;A1003)))</f>
        <v/>
      </c>
    </row>
    <row r="1004">
      <c r="A1004" s="65" t="n"/>
      <c r="B1004" s="7" t="n"/>
      <c r="C1004" s="9">
        <f>IF(B1004="","",IFERROR(INDEX('Équipements'!$B$5:$B$304,MATCH(B1004,'Équipements'!$A$5:$A$304,0)),"Code inconnu"))</f>
        <v/>
      </c>
      <c r="D1004" s="67" t="n"/>
      <c r="E1004" s="7" t="n"/>
      <c r="F1004" s="68">
        <f>IF(OR(B1004="",A1004=""),"",IF(COUNTIFS('Relevés compteurs'!$B$5:$B$1504,B1004,'Relevés compteurs'!$A$5:$A$1504,"&lt;"&amp;A1004)=0,"",D1004-_xlfn.MAXIFS('Relevés compteurs'!$D$5:$D$1504,'Relevés compteurs'!$B$5:$B$1504,B1004,'Relevés compteurs'!$A$5:$A$1504,"&lt;"&amp;A1004)))</f>
        <v/>
      </c>
    </row>
    <row r="1005">
      <c r="A1005" s="65" t="n"/>
      <c r="B1005" s="7" t="n"/>
      <c r="C1005" s="9">
        <f>IF(B1005="","",IFERROR(INDEX('Équipements'!$B$5:$B$304,MATCH(B1005,'Équipements'!$A$5:$A$304,0)),"Code inconnu"))</f>
        <v/>
      </c>
      <c r="D1005" s="67" t="n"/>
      <c r="E1005" s="7" t="n"/>
      <c r="F1005" s="68">
        <f>IF(OR(B1005="",A1005=""),"",IF(COUNTIFS('Relevés compteurs'!$B$5:$B$1504,B1005,'Relevés compteurs'!$A$5:$A$1504,"&lt;"&amp;A1005)=0,"",D1005-_xlfn.MAXIFS('Relevés compteurs'!$D$5:$D$1504,'Relevés compteurs'!$B$5:$B$1504,B1005,'Relevés compteurs'!$A$5:$A$1504,"&lt;"&amp;A1005)))</f>
        <v/>
      </c>
    </row>
    <row r="1006">
      <c r="A1006" s="65" t="n"/>
      <c r="B1006" s="7" t="n"/>
      <c r="C1006" s="9">
        <f>IF(B1006="","",IFERROR(INDEX('Équipements'!$B$5:$B$304,MATCH(B1006,'Équipements'!$A$5:$A$304,0)),"Code inconnu"))</f>
        <v/>
      </c>
      <c r="D1006" s="67" t="n"/>
      <c r="E1006" s="7" t="n"/>
      <c r="F1006" s="68">
        <f>IF(OR(B1006="",A1006=""),"",IF(COUNTIFS('Relevés compteurs'!$B$5:$B$1504,B1006,'Relevés compteurs'!$A$5:$A$1504,"&lt;"&amp;A1006)=0,"",D1006-_xlfn.MAXIFS('Relevés compteurs'!$D$5:$D$1504,'Relevés compteurs'!$B$5:$B$1504,B1006,'Relevés compteurs'!$A$5:$A$1504,"&lt;"&amp;A1006)))</f>
        <v/>
      </c>
    </row>
    <row r="1007">
      <c r="A1007" s="65" t="n"/>
      <c r="B1007" s="7" t="n"/>
      <c r="C1007" s="9">
        <f>IF(B1007="","",IFERROR(INDEX('Équipements'!$B$5:$B$304,MATCH(B1007,'Équipements'!$A$5:$A$304,0)),"Code inconnu"))</f>
        <v/>
      </c>
      <c r="D1007" s="67" t="n"/>
      <c r="E1007" s="7" t="n"/>
      <c r="F1007" s="68">
        <f>IF(OR(B1007="",A1007=""),"",IF(COUNTIFS('Relevés compteurs'!$B$5:$B$1504,B1007,'Relevés compteurs'!$A$5:$A$1504,"&lt;"&amp;A1007)=0,"",D1007-_xlfn.MAXIFS('Relevés compteurs'!$D$5:$D$1504,'Relevés compteurs'!$B$5:$B$1504,B1007,'Relevés compteurs'!$A$5:$A$1504,"&lt;"&amp;A1007)))</f>
        <v/>
      </c>
    </row>
    <row r="1008">
      <c r="A1008" s="65" t="n"/>
      <c r="B1008" s="7" t="n"/>
      <c r="C1008" s="9">
        <f>IF(B1008="","",IFERROR(INDEX('Équipements'!$B$5:$B$304,MATCH(B1008,'Équipements'!$A$5:$A$304,0)),"Code inconnu"))</f>
        <v/>
      </c>
      <c r="D1008" s="67" t="n"/>
      <c r="E1008" s="7" t="n"/>
      <c r="F1008" s="68">
        <f>IF(OR(B1008="",A1008=""),"",IF(COUNTIFS('Relevés compteurs'!$B$5:$B$1504,B1008,'Relevés compteurs'!$A$5:$A$1504,"&lt;"&amp;A1008)=0,"",D1008-_xlfn.MAXIFS('Relevés compteurs'!$D$5:$D$1504,'Relevés compteurs'!$B$5:$B$1504,B1008,'Relevés compteurs'!$A$5:$A$1504,"&lt;"&amp;A1008)))</f>
        <v/>
      </c>
    </row>
    <row r="1009">
      <c r="A1009" s="65" t="n"/>
      <c r="B1009" s="7" t="n"/>
      <c r="C1009" s="9">
        <f>IF(B1009="","",IFERROR(INDEX('Équipements'!$B$5:$B$304,MATCH(B1009,'Équipements'!$A$5:$A$304,0)),"Code inconnu"))</f>
        <v/>
      </c>
      <c r="D1009" s="67" t="n"/>
      <c r="E1009" s="7" t="n"/>
      <c r="F1009" s="68">
        <f>IF(OR(B1009="",A1009=""),"",IF(COUNTIFS('Relevés compteurs'!$B$5:$B$1504,B1009,'Relevés compteurs'!$A$5:$A$1504,"&lt;"&amp;A1009)=0,"",D1009-_xlfn.MAXIFS('Relevés compteurs'!$D$5:$D$1504,'Relevés compteurs'!$B$5:$B$1504,B1009,'Relevés compteurs'!$A$5:$A$1504,"&lt;"&amp;A1009)))</f>
        <v/>
      </c>
    </row>
    <row r="1010">
      <c r="A1010" s="65" t="n"/>
      <c r="B1010" s="7" t="n"/>
      <c r="C1010" s="9">
        <f>IF(B1010="","",IFERROR(INDEX('Équipements'!$B$5:$B$304,MATCH(B1010,'Équipements'!$A$5:$A$304,0)),"Code inconnu"))</f>
        <v/>
      </c>
      <c r="D1010" s="67" t="n"/>
      <c r="E1010" s="7" t="n"/>
      <c r="F1010" s="68">
        <f>IF(OR(B1010="",A1010=""),"",IF(COUNTIFS('Relevés compteurs'!$B$5:$B$1504,B1010,'Relevés compteurs'!$A$5:$A$1504,"&lt;"&amp;A1010)=0,"",D1010-_xlfn.MAXIFS('Relevés compteurs'!$D$5:$D$1504,'Relevés compteurs'!$B$5:$B$1504,B1010,'Relevés compteurs'!$A$5:$A$1504,"&lt;"&amp;A1010)))</f>
        <v/>
      </c>
    </row>
    <row r="1011">
      <c r="A1011" s="65" t="n"/>
      <c r="B1011" s="7" t="n"/>
      <c r="C1011" s="9">
        <f>IF(B1011="","",IFERROR(INDEX('Équipements'!$B$5:$B$304,MATCH(B1011,'Équipements'!$A$5:$A$304,0)),"Code inconnu"))</f>
        <v/>
      </c>
      <c r="D1011" s="67" t="n"/>
      <c r="E1011" s="7" t="n"/>
      <c r="F1011" s="68">
        <f>IF(OR(B1011="",A1011=""),"",IF(COUNTIFS('Relevés compteurs'!$B$5:$B$1504,B1011,'Relevés compteurs'!$A$5:$A$1504,"&lt;"&amp;A1011)=0,"",D1011-_xlfn.MAXIFS('Relevés compteurs'!$D$5:$D$1504,'Relevés compteurs'!$B$5:$B$1504,B1011,'Relevés compteurs'!$A$5:$A$1504,"&lt;"&amp;A1011)))</f>
        <v/>
      </c>
    </row>
    <row r="1012">
      <c r="A1012" s="65" t="n"/>
      <c r="B1012" s="7" t="n"/>
      <c r="C1012" s="9">
        <f>IF(B1012="","",IFERROR(INDEX('Équipements'!$B$5:$B$304,MATCH(B1012,'Équipements'!$A$5:$A$304,0)),"Code inconnu"))</f>
        <v/>
      </c>
      <c r="D1012" s="67" t="n"/>
      <c r="E1012" s="7" t="n"/>
      <c r="F1012" s="68">
        <f>IF(OR(B1012="",A1012=""),"",IF(COUNTIFS('Relevés compteurs'!$B$5:$B$1504,B1012,'Relevés compteurs'!$A$5:$A$1504,"&lt;"&amp;A1012)=0,"",D1012-_xlfn.MAXIFS('Relevés compteurs'!$D$5:$D$1504,'Relevés compteurs'!$B$5:$B$1504,B1012,'Relevés compteurs'!$A$5:$A$1504,"&lt;"&amp;A1012)))</f>
        <v/>
      </c>
    </row>
    <row r="1013">
      <c r="A1013" s="65" t="n"/>
      <c r="B1013" s="7" t="n"/>
      <c r="C1013" s="9">
        <f>IF(B1013="","",IFERROR(INDEX('Équipements'!$B$5:$B$304,MATCH(B1013,'Équipements'!$A$5:$A$304,0)),"Code inconnu"))</f>
        <v/>
      </c>
      <c r="D1013" s="67" t="n"/>
      <c r="E1013" s="7" t="n"/>
      <c r="F1013" s="68">
        <f>IF(OR(B1013="",A1013=""),"",IF(COUNTIFS('Relevés compteurs'!$B$5:$B$1504,B1013,'Relevés compteurs'!$A$5:$A$1504,"&lt;"&amp;A1013)=0,"",D1013-_xlfn.MAXIFS('Relevés compteurs'!$D$5:$D$1504,'Relevés compteurs'!$B$5:$B$1504,B1013,'Relevés compteurs'!$A$5:$A$1504,"&lt;"&amp;A1013)))</f>
        <v/>
      </c>
    </row>
    <row r="1014">
      <c r="A1014" s="65" t="n"/>
      <c r="B1014" s="7" t="n"/>
      <c r="C1014" s="9">
        <f>IF(B1014="","",IFERROR(INDEX('Équipements'!$B$5:$B$304,MATCH(B1014,'Équipements'!$A$5:$A$304,0)),"Code inconnu"))</f>
        <v/>
      </c>
      <c r="D1014" s="67" t="n"/>
      <c r="E1014" s="7" t="n"/>
      <c r="F1014" s="68">
        <f>IF(OR(B1014="",A1014=""),"",IF(COUNTIFS('Relevés compteurs'!$B$5:$B$1504,B1014,'Relevés compteurs'!$A$5:$A$1504,"&lt;"&amp;A1014)=0,"",D1014-_xlfn.MAXIFS('Relevés compteurs'!$D$5:$D$1504,'Relevés compteurs'!$B$5:$B$1504,B1014,'Relevés compteurs'!$A$5:$A$1504,"&lt;"&amp;A1014)))</f>
        <v/>
      </c>
    </row>
    <row r="1015">
      <c r="A1015" s="65" t="n"/>
      <c r="B1015" s="7" t="n"/>
      <c r="C1015" s="9">
        <f>IF(B1015="","",IFERROR(INDEX('Équipements'!$B$5:$B$304,MATCH(B1015,'Équipements'!$A$5:$A$304,0)),"Code inconnu"))</f>
        <v/>
      </c>
      <c r="D1015" s="67" t="n"/>
      <c r="E1015" s="7" t="n"/>
      <c r="F1015" s="68">
        <f>IF(OR(B1015="",A1015=""),"",IF(COUNTIFS('Relevés compteurs'!$B$5:$B$1504,B1015,'Relevés compteurs'!$A$5:$A$1504,"&lt;"&amp;A1015)=0,"",D1015-_xlfn.MAXIFS('Relevés compteurs'!$D$5:$D$1504,'Relevés compteurs'!$B$5:$B$1504,B1015,'Relevés compteurs'!$A$5:$A$1504,"&lt;"&amp;A1015)))</f>
        <v/>
      </c>
    </row>
    <row r="1016">
      <c r="A1016" s="65" t="n"/>
      <c r="B1016" s="7" t="n"/>
      <c r="C1016" s="9">
        <f>IF(B1016="","",IFERROR(INDEX('Équipements'!$B$5:$B$304,MATCH(B1016,'Équipements'!$A$5:$A$304,0)),"Code inconnu"))</f>
        <v/>
      </c>
      <c r="D1016" s="67" t="n"/>
      <c r="E1016" s="7" t="n"/>
      <c r="F1016" s="68">
        <f>IF(OR(B1016="",A1016=""),"",IF(COUNTIFS('Relevés compteurs'!$B$5:$B$1504,B1016,'Relevés compteurs'!$A$5:$A$1504,"&lt;"&amp;A1016)=0,"",D1016-_xlfn.MAXIFS('Relevés compteurs'!$D$5:$D$1504,'Relevés compteurs'!$B$5:$B$1504,B1016,'Relevés compteurs'!$A$5:$A$1504,"&lt;"&amp;A1016)))</f>
        <v/>
      </c>
    </row>
    <row r="1017">
      <c r="A1017" s="65" t="n"/>
      <c r="B1017" s="7" t="n"/>
      <c r="C1017" s="9">
        <f>IF(B1017="","",IFERROR(INDEX('Équipements'!$B$5:$B$304,MATCH(B1017,'Équipements'!$A$5:$A$304,0)),"Code inconnu"))</f>
        <v/>
      </c>
      <c r="D1017" s="67" t="n"/>
      <c r="E1017" s="7" t="n"/>
      <c r="F1017" s="68">
        <f>IF(OR(B1017="",A1017=""),"",IF(COUNTIFS('Relevés compteurs'!$B$5:$B$1504,B1017,'Relevés compteurs'!$A$5:$A$1504,"&lt;"&amp;A1017)=0,"",D1017-_xlfn.MAXIFS('Relevés compteurs'!$D$5:$D$1504,'Relevés compteurs'!$B$5:$B$1504,B1017,'Relevés compteurs'!$A$5:$A$1504,"&lt;"&amp;A1017)))</f>
        <v/>
      </c>
    </row>
    <row r="1018">
      <c r="A1018" s="65" t="n"/>
      <c r="B1018" s="7" t="n"/>
      <c r="C1018" s="9">
        <f>IF(B1018="","",IFERROR(INDEX('Équipements'!$B$5:$B$304,MATCH(B1018,'Équipements'!$A$5:$A$304,0)),"Code inconnu"))</f>
        <v/>
      </c>
      <c r="D1018" s="67" t="n"/>
      <c r="E1018" s="7" t="n"/>
      <c r="F1018" s="68">
        <f>IF(OR(B1018="",A1018=""),"",IF(COUNTIFS('Relevés compteurs'!$B$5:$B$1504,B1018,'Relevés compteurs'!$A$5:$A$1504,"&lt;"&amp;A1018)=0,"",D1018-_xlfn.MAXIFS('Relevés compteurs'!$D$5:$D$1504,'Relevés compteurs'!$B$5:$B$1504,B1018,'Relevés compteurs'!$A$5:$A$1504,"&lt;"&amp;A1018)))</f>
        <v/>
      </c>
    </row>
    <row r="1019">
      <c r="A1019" s="65" t="n"/>
      <c r="B1019" s="7" t="n"/>
      <c r="C1019" s="9">
        <f>IF(B1019="","",IFERROR(INDEX('Équipements'!$B$5:$B$304,MATCH(B1019,'Équipements'!$A$5:$A$304,0)),"Code inconnu"))</f>
        <v/>
      </c>
      <c r="D1019" s="67" t="n"/>
      <c r="E1019" s="7" t="n"/>
      <c r="F1019" s="68">
        <f>IF(OR(B1019="",A1019=""),"",IF(COUNTIFS('Relevés compteurs'!$B$5:$B$1504,B1019,'Relevés compteurs'!$A$5:$A$1504,"&lt;"&amp;A1019)=0,"",D1019-_xlfn.MAXIFS('Relevés compteurs'!$D$5:$D$1504,'Relevés compteurs'!$B$5:$B$1504,B1019,'Relevés compteurs'!$A$5:$A$1504,"&lt;"&amp;A1019)))</f>
        <v/>
      </c>
    </row>
    <row r="1020">
      <c r="A1020" s="65" t="n"/>
      <c r="B1020" s="7" t="n"/>
      <c r="C1020" s="9">
        <f>IF(B1020="","",IFERROR(INDEX('Équipements'!$B$5:$B$304,MATCH(B1020,'Équipements'!$A$5:$A$304,0)),"Code inconnu"))</f>
        <v/>
      </c>
      <c r="D1020" s="67" t="n"/>
      <c r="E1020" s="7" t="n"/>
      <c r="F1020" s="68">
        <f>IF(OR(B1020="",A1020=""),"",IF(COUNTIFS('Relevés compteurs'!$B$5:$B$1504,B1020,'Relevés compteurs'!$A$5:$A$1504,"&lt;"&amp;A1020)=0,"",D1020-_xlfn.MAXIFS('Relevés compteurs'!$D$5:$D$1504,'Relevés compteurs'!$B$5:$B$1504,B1020,'Relevés compteurs'!$A$5:$A$1504,"&lt;"&amp;A1020)))</f>
        <v/>
      </c>
    </row>
    <row r="1021">
      <c r="A1021" s="65" t="n"/>
      <c r="B1021" s="7" t="n"/>
      <c r="C1021" s="9">
        <f>IF(B1021="","",IFERROR(INDEX('Équipements'!$B$5:$B$304,MATCH(B1021,'Équipements'!$A$5:$A$304,0)),"Code inconnu"))</f>
        <v/>
      </c>
      <c r="D1021" s="67" t="n"/>
      <c r="E1021" s="7" t="n"/>
      <c r="F1021" s="68">
        <f>IF(OR(B1021="",A1021=""),"",IF(COUNTIFS('Relevés compteurs'!$B$5:$B$1504,B1021,'Relevés compteurs'!$A$5:$A$1504,"&lt;"&amp;A1021)=0,"",D1021-_xlfn.MAXIFS('Relevés compteurs'!$D$5:$D$1504,'Relevés compteurs'!$B$5:$B$1504,B1021,'Relevés compteurs'!$A$5:$A$1504,"&lt;"&amp;A1021)))</f>
        <v/>
      </c>
    </row>
    <row r="1022">
      <c r="A1022" s="65" t="n"/>
      <c r="B1022" s="7" t="n"/>
      <c r="C1022" s="9">
        <f>IF(B1022="","",IFERROR(INDEX('Équipements'!$B$5:$B$304,MATCH(B1022,'Équipements'!$A$5:$A$304,0)),"Code inconnu"))</f>
        <v/>
      </c>
      <c r="D1022" s="67" t="n"/>
      <c r="E1022" s="7" t="n"/>
      <c r="F1022" s="68">
        <f>IF(OR(B1022="",A1022=""),"",IF(COUNTIFS('Relevés compteurs'!$B$5:$B$1504,B1022,'Relevés compteurs'!$A$5:$A$1504,"&lt;"&amp;A1022)=0,"",D1022-_xlfn.MAXIFS('Relevés compteurs'!$D$5:$D$1504,'Relevés compteurs'!$B$5:$B$1504,B1022,'Relevés compteurs'!$A$5:$A$1504,"&lt;"&amp;A1022)))</f>
        <v/>
      </c>
    </row>
    <row r="1023">
      <c r="A1023" s="65" t="n"/>
      <c r="B1023" s="7" t="n"/>
      <c r="C1023" s="9">
        <f>IF(B1023="","",IFERROR(INDEX('Équipements'!$B$5:$B$304,MATCH(B1023,'Équipements'!$A$5:$A$304,0)),"Code inconnu"))</f>
        <v/>
      </c>
      <c r="D1023" s="67" t="n"/>
      <c r="E1023" s="7" t="n"/>
      <c r="F1023" s="68">
        <f>IF(OR(B1023="",A1023=""),"",IF(COUNTIFS('Relevés compteurs'!$B$5:$B$1504,B1023,'Relevés compteurs'!$A$5:$A$1504,"&lt;"&amp;A1023)=0,"",D1023-_xlfn.MAXIFS('Relevés compteurs'!$D$5:$D$1504,'Relevés compteurs'!$B$5:$B$1504,B1023,'Relevés compteurs'!$A$5:$A$1504,"&lt;"&amp;A1023)))</f>
        <v/>
      </c>
    </row>
    <row r="1024">
      <c r="A1024" s="65" t="n"/>
      <c r="B1024" s="7" t="n"/>
      <c r="C1024" s="9">
        <f>IF(B1024="","",IFERROR(INDEX('Équipements'!$B$5:$B$304,MATCH(B1024,'Équipements'!$A$5:$A$304,0)),"Code inconnu"))</f>
        <v/>
      </c>
      <c r="D1024" s="67" t="n"/>
      <c r="E1024" s="7" t="n"/>
      <c r="F1024" s="68">
        <f>IF(OR(B1024="",A1024=""),"",IF(COUNTIFS('Relevés compteurs'!$B$5:$B$1504,B1024,'Relevés compteurs'!$A$5:$A$1504,"&lt;"&amp;A1024)=0,"",D1024-_xlfn.MAXIFS('Relevés compteurs'!$D$5:$D$1504,'Relevés compteurs'!$B$5:$B$1504,B1024,'Relevés compteurs'!$A$5:$A$1504,"&lt;"&amp;A1024)))</f>
        <v/>
      </c>
    </row>
    <row r="1025">
      <c r="A1025" s="65" t="n"/>
      <c r="B1025" s="7" t="n"/>
      <c r="C1025" s="9">
        <f>IF(B1025="","",IFERROR(INDEX('Équipements'!$B$5:$B$304,MATCH(B1025,'Équipements'!$A$5:$A$304,0)),"Code inconnu"))</f>
        <v/>
      </c>
      <c r="D1025" s="67" t="n"/>
      <c r="E1025" s="7" t="n"/>
      <c r="F1025" s="68">
        <f>IF(OR(B1025="",A1025=""),"",IF(COUNTIFS('Relevés compteurs'!$B$5:$B$1504,B1025,'Relevés compteurs'!$A$5:$A$1504,"&lt;"&amp;A1025)=0,"",D1025-_xlfn.MAXIFS('Relevés compteurs'!$D$5:$D$1504,'Relevés compteurs'!$B$5:$B$1504,B1025,'Relevés compteurs'!$A$5:$A$1504,"&lt;"&amp;A1025)))</f>
        <v/>
      </c>
    </row>
    <row r="1026">
      <c r="A1026" s="65" t="n"/>
      <c r="B1026" s="7" t="n"/>
      <c r="C1026" s="9">
        <f>IF(B1026="","",IFERROR(INDEX('Équipements'!$B$5:$B$304,MATCH(B1026,'Équipements'!$A$5:$A$304,0)),"Code inconnu"))</f>
        <v/>
      </c>
      <c r="D1026" s="67" t="n"/>
      <c r="E1026" s="7" t="n"/>
      <c r="F1026" s="68">
        <f>IF(OR(B1026="",A1026=""),"",IF(COUNTIFS('Relevés compteurs'!$B$5:$B$1504,B1026,'Relevés compteurs'!$A$5:$A$1504,"&lt;"&amp;A1026)=0,"",D1026-_xlfn.MAXIFS('Relevés compteurs'!$D$5:$D$1504,'Relevés compteurs'!$B$5:$B$1504,B1026,'Relevés compteurs'!$A$5:$A$1504,"&lt;"&amp;A1026)))</f>
        <v/>
      </c>
    </row>
    <row r="1027">
      <c r="A1027" s="65" t="n"/>
      <c r="B1027" s="7" t="n"/>
      <c r="C1027" s="9">
        <f>IF(B1027="","",IFERROR(INDEX('Équipements'!$B$5:$B$304,MATCH(B1027,'Équipements'!$A$5:$A$304,0)),"Code inconnu"))</f>
        <v/>
      </c>
      <c r="D1027" s="67" t="n"/>
      <c r="E1027" s="7" t="n"/>
      <c r="F1027" s="68">
        <f>IF(OR(B1027="",A1027=""),"",IF(COUNTIFS('Relevés compteurs'!$B$5:$B$1504,B1027,'Relevés compteurs'!$A$5:$A$1504,"&lt;"&amp;A1027)=0,"",D1027-_xlfn.MAXIFS('Relevés compteurs'!$D$5:$D$1504,'Relevés compteurs'!$B$5:$B$1504,B1027,'Relevés compteurs'!$A$5:$A$1504,"&lt;"&amp;A1027)))</f>
        <v/>
      </c>
    </row>
    <row r="1028">
      <c r="A1028" s="65" t="n"/>
      <c r="B1028" s="7" t="n"/>
      <c r="C1028" s="9">
        <f>IF(B1028="","",IFERROR(INDEX('Équipements'!$B$5:$B$304,MATCH(B1028,'Équipements'!$A$5:$A$304,0)),"Code inconnu"))</f>
        <v/>
      </c>
      <c r="D1028" s="67" t="n"/>
      <c r="E1028" s="7" t="n"/>
      <c r="F1028" s="68">
        <f>IF(OR(B1028="",A1028=""),"",IF(COUNTIFS('Relevés compteurs'!$B$5:$B$1504,B1028,'Relevés compteurs'!$A$5:$A$1504,"&lt;"&amp;A1028)=0,"",D1028-_xlfn.MAXIFS('Relevés compteurs'!$D$5:$D$1504,'Relevés compteurs'!$B$5:$B$1504,B1028,'Relevés compteurs'!$A$5:$A$1504,"&lt;"&amp;A1028)))</f>
        <v/>
      </c>
    </row>
    <row r="1029">
      <c r="A1029" s="65" t="n"/>
      <c r="B1029" s="7" t="n"/>
      <c r="C1029" s="9">
        <f>IF(B1029="","",IFERROR(INDEX('Équipements'!$B$5:$B$304,MATCH(B1029,'Équipements'!$A$5:$A$304,0)),"Code inconnu"))</f>
        <v/>
      </c>
      <c r="D1029" s="67" t="n"/>
      <c r="E1029" s="7" t="n"/>
      <c r="F1029" s="68">
        <f>IF(OR(B1029="",A1029=""),"",IF(COUNTIFS('Relevés compteurs'!$B$5:$B$1504,B1029,'Relevés compteurs'!$A$5:$A$1504,"&lt;"&amp;A1029)=0,"",D1029-_xlfn.MAXIFS('Relevés compteurs'!$D$5:$D$1504,'Relevés compteurs'!$B$5:$B$1504,B1029,'Relevés compteurs'!$A$5:$A$1504,"&lt;"&amp;A1029)))</f>
        <v/>
      </c>
    </row>
    <row r="1030">
      <c r="A1030" s="65" t="n"/>
      <c r="B1030" s="7" t="n"/>
      <c r="C1030" s="9">
        <f>IF(B1030="","",IFERROR(INDEX('Équipements'!$B$5:$B$304,MATCH(B1030,'Équipements'!$A$5:$A$304,0)),"Code inconnu"))</f>
        <v/>
      </c>
      <c r="D1030" s="67" t="n"/>
      <c r="E1030" s="7" t="n"/>
      <c r="F1030" s="68">
        <f>IF(OR(B1030="",A1030=""),"",IF(COUNTIFS('Relevés compteurs'!$B$5:$B$1504,B1030,'Relevés compteurs'!$A$5:$A$1504,"&lt;"&amp;A1030)=0,"",D1030-_xlfn.MAXIFS('Relevés compteurs'!$D$5:$D$1504,'Relevés compteurs'!$B$5:$B$1504,B1030,'Relevés compteurs'!$A$5:$A$1504,"&lt;"&amp;A1030)))</f>
        <v/>
      </c>
    </row>
    <row r="1031">
      <c r="A1031" s="65" t="n"/>
      <c r="B1031" s="7" t="n"/>
      <c r="C1031" s="9">
        <f>IF(B1031="","",IFERROR(INDEX('Équipements'!$B$5:$B$304,MATCH(B1031,'Équipements'!$A$5:$A$304,0)),"Code inconnu"))</f>
        <v/>
      </c>
      <c r="D1031" s="67" t="n"/>
      <c r="E1031" s="7" t="n"/>
      <c r="F1031" s="68">
        <f>IF(OR(B1031="",A1031=""),"",IF(COUNTIFS('Relevés compteurs'!$B$5:$B$1504,B1031,'Relevés compteurs'!$A$5:$A$1504,"&lt;"&amp;A1031)=0,"",D1031-_xlfn.MAXIFS('Relevés compteurs'!$D$5:$D$1504,'Relevés compteurs'!$B$5:$B$1504,B1031,'Relevés compteurs'!$A$5:$A$1504,"&lt;"&amp;A1031)))</f>
        <v/>
      </c>
    </row>
    <row r="1032">
      <c r="A1032" s="65" t="n"/>
      <c r="B1032" s="7" t="n"/>
      <c r="C1032" s="9">
        <f>IF(B1032="","",IFERROR(INDEX('Équipements'!$B$5:$B$304,MATCH(B1032,'Équipements'!$A$5:$A$304,0)),"Code inconnu"))</f>
        <v/>
      </c>
      <c r="D1032" s="67" t="n"/>
      <c r="E1032" s="7" t="n"/>
      <c r="F1032" s="68">
        <f>IF(OR(B1032="",A1032=""),"",IF(COUNTIFS('Relevés compteurs'!$B$5:$B$1504,B1032,'Relevés compteurs'!$A$5:$A$1504,"&lt;"&amp;A1032)=0,"",D1032-_xlfn.MAXIFS('Relevés compteurs'!$D$5:$D$1504,'Relevés compteurs'!$B$5:$B$1504,B1032,'Relevés compteurs'!$A$5:$A$1504,"&lt;"&amp;A1032)))</f>
        <v/>
      </c>
    </row>
    <row r="1033">
      <c r="A1033" s="65" t="n"/>
      <c r="B1033" s="7" t="n"/>
      <c r="C1033" s="9">
        <f>IF(B1033="","",IFERROR(INDEX('Équipements'!$B$5:$B$304,MATCH(B1033,'Équipements'!$A$5:$A$304,0)),"Code inconnu"))</f>
        <v/>
      </c>
      <c r="D1033" s="67" t="n"/>
      <c r="E1033" s="7" t="n"/>
      <c r="F1033" s="68">
        <f>IF(OR(B1033="",A1033=""),"",IF(COUNTIFS('Relevés compteurs'!$B$5:$B$1504,B1033,'Relevés compteurs'!$A$5:$A$1504,"&lt;"&amp;A1033)=0,"",D1033-_xlfn.MAXIFS('Relevés compteurs'!$D$5:$D$1504,'Relevés compteurs'!$B$5:$B$1504,B1033,'Relevés compteurs'!$A$5:$A$1504,"&lt;"&amp;A1033)))</f>
        <v/>
      </c>
    </row>
    <row r="1034">
      <c r="A1034" s="65" t="n"/>
      <c r="B1034" s="7" t="n"/>
      <c r="C1034" s="9">
        <f>IF(B1034="","",IFERROR(INDEX('Équipements'!$B$5:$B$304,MATCH(B1034,'Équipements'!$A$5:$A$304,0)),"Code inconnu"))</f>
        <v/>
      </c>
      <c r="D1034" s="67" t="n"/>
      <c r="E1034" s="7" t="n"/>
      <c r="F1034" s="68">
        <f>IF(OR(B1034="",A1034=""),"",IF(COUNTIFS('Relevés compteurs'!$B$5:$B$1504,B1034,'Relevés compteurs'!$A$5:$A$1504,"&lt;"&amp;A1034)=0,"",D1034-_xlfn.MAXIFS('Relevés compteurs'!$D$5:$D$1504,'Relevés compteurs'!$B$5:$B$1504,B1034,'Relevés compteurs'!$A$5:$A$1504,"&lt;"&amp;A1034)))</f>
        <v/>
      </c>
    </row>
    <row r="1035">
      <c r="A1035" s="65" t="n"/>
      <c r="B1035" s="7" t="n"/>
      <c r="C1035" s="9">
        <f>IF(B1035="","",IFERROR(INDEX('Équipements'!$B$5:$B$304,MATCH(B1035,'Équipements'!$A$5:$A$304,0)),"Code inconnu"))</f>
        <v/>
      </c>
      <c r="D1035" s="67" t="n"/>
      <c r="E1035" s="7" t="n"/>
      <c r="F1035" s="68">
        <f>IF(OR(B1035="",A1035=""),"",IF(COUNTIFS('Relevés compteurs'!$B$5:$B$1504,B1035,'Relevés compteurs'!$A$5:$A$1504,"&lt;"&amp;A1035)=0,"",D1035-_xlfn.MAXIFS('Relevés compteurs'!$D$5:$D$1504,'Relevés compteurs'!$B$5:$B$1504,B1035,'Relevés compteurs'!$A$5:$A$1504,"&lt;"&amp;A1035)))</f>
        <v/>
      </c>
    </row>
    <row r="1036">
      <c r="A1036" s="65" t="n"/>
      <c r="B1036" s="7" t="n"/>
      <c r="C1036" s="9">
        <f>IF(B1036="","",IFERROR(INDEX('Équipements'!$B$5:$B$304,MATCH(B1036,'Équipements'!$A$5:$A$304,0)),"Code inconnu"))</f>
        <v/>
      </c>
      <c r="D1036" s="67" t="n"/>
      <c r="E1036" s="7" t="n"/>
      <c r="F1036" s="68">
        <f>IF(OR(B1036="",A1036=""),"",IF(COUNTIFS('Relevés compteurs'!$B$5:$B$1504,B1036,'Relevés compteurs'!$A$5:$A$1504,"&lt;"&amp;A1036)=0,"",D1036-_xlfn.MAXIFS('Relevés compteurs'!$D$5:$D$1504,'Relevés compteurs'!$B$5:$B$1504,B1036,'Relevés compteurs'!$A$5:$A$1504,"&lt;"&amp;A1036)))</f>
        <v/>
      </c>
    </row>
    <row r="1037">
      <c r="A1037" s="65" t="n"/>
      <c r="B1037" s="7" t="n"/>
      <c r="C1037" s="9">
        <f>IF(B1037="","",IFERROR(INDEX('Équipements'!$B$5:$B$304,MATCH(B1037,'Équipements'!$A$5:$A$304,0)),"Code inconnu"))</f>
        <v/>
      </c>
      <c r="D1037" s="67" t="n"/>
      <c r="E1037" s="7" t="n"/>
      <c r="F1037" s="68">
        <f>IF(OR(B1037="",A1037=""),"",IF(COUNTIFS('Relevés compteurs'!$B$5:$B$1504,B1037,'Relevés compteurs'!$A$5:$A$1504,"&lt;"&amp;A1037)=0,"",D1037-_xlfn.MAXIFS('Relevés compteurs'!$D$5:$D$1504,'Relevés compteurs'!$B$5:$B$1504,B1037,'Relevés compteurs'!$A$5:$A$1504,"&lt;"&amp;A1037)))</f>
        <v/>
      </c>
    </row>
    <row r="1038">
      <c r="A1038" s="65" t="n"/>
      <c r="B1038" s="7" t="n"/>
      <c r="C1038" s="9">
        <f>IF(B1038="","",IFERROR(INDEX('Équipements'!$B$5:$B$304,MATCH(B1038,'Équipements'!$A$5:$A$304,0)),"Code inconnu"))</f>
        <v/>
      </c>
      <c r="D1038" s="67" t="n"/>
      <c r="E1038" s="7" t="n"/>
      <c r="F1038" s="68">
        <f>IF(OR(B1038="",A1038=""),"",IF(COUNTIFS('Relevés compteurs'!$B$5:$B$1504,B1038,'Relevés compteurs'!$A$5:$A$1504,"&lt;"&amp;A1038)=0,"",D1038-_xlfn.MAXIFS('Relevés compteurs'!$D$5:$D$1504,'Relevés compteurs'!$B$5:$B$1504,B1038,'Relevés compteurs'!$A$5:$A$1504,"&lt;"&amp;A1038)))</f>
        <v/>
      </c>
    </row>
    <row r="1039">
      <c r="A1039" s="65" t="n"/>
      <c r="B1039" s="7" t="n"/>
      <c r="C1039" s="9">
        <f>IF(B1039="","",IFERROR(INDEX('Équipements'!$B$5:$B$304,MATCH(B1039,'Équipements'!$A$5:$A$304,0)),"Code inconnu"))</f>
        <v/>
      </c>
      <c r="D1039" s="67" t="n"/>
      <c r="E1039" s="7" t="n"/>
      <c r="F1039" s="68">
        <f>IF(OR(B1039="",A1039=""),"",IF(COUNTIFS('Relevés compteurs'!$B$5:$B$1504,B1039,'Relevés compteurs'!$A$5:$A$1504,"&lt;"&amp;A1039)=0,"",D1039-_xlfn.MAXIFS('Relevés compteurs'!$D$5:$D$1504,'Relevés compteurs'!$B$5:$B$1504,B1039,'Relevés compteurs'!$A$5:$A$1504,"&lt;"&amp;A1039)))</f>
        <v/>
      </c>
    </row>
    <row r="1040">
      <c r="A1040" s="65" t="n"/>
      <c r="B1040" s="7" t="n"/>
      <c r="C1040" s="9">
        <f>IF(B1040="","",IFERROR(INDEX('Équipements'!$B$5:$B$304,MATCH(B1040,'Équipements'!$A$5:$A$304,0)),"Code inconnu"))</f>
        <v/>
      </c>
      <c r="D1040" s="67" t="n"/>
      <c r="E1040" s="7" t="n"/>
      <c r="F1040" s="68">
        <f>IF(OR(B1040="",A1040=""),"",IF(COUNTIFS('Relevés compteurs'!$B$5:$B$1504,B1040,'Relevés compteurs'!$A$5:$A$1504,"&lt;"&amp;A1040)=0,"",D1040-_xlfn.MAXIFS('Relevés compteurs'!$D$5:$D$1504,'Relevés compteurs'!$B$5:$B$1504,B1040,'Relevés compteurs'!$A$5:$A$1504,"&lt;"&amp;A1040)))</f>
        <v/>
      </c>
    </row>
    <row r="1041">
      <c r="A1041" s="65" t="n"/>
      <c r="B1041" s="7" t="n"/>
      <c r="C1041" s="9">
        <f>IF(B1041="","",IFERROR(INDEX('Équipements'!$B$5:$B$304,MATCH(B1041,'Équipements'!$A$5:$A$304,0)),"Code inconnu"))</f>
        <v/>
      </c>
      <c r="D1041" s="67" t="n"/>
      <c r="E1041" s="7" t="n"/>
      <c r="F1041" s="68">
        <f>IF(OR(B1041="",A1041=""),"",IF(COUNTIFS('Relevés compteurs'!$B$5:$B$1504,B1041,'Relevés compteurs'!$A$5:$A$1504,"&lt;"&amp;A1041)=0,"",D1041-_xlfn.MAXIFS('Relevés compteurs'!$D$5:$D$1504,'Relevés compteurs'!$B$5:$B$1504,B1041,'Relevés compteurs'!$A$5:$A$1504,"&lt;"&amp;A1041)))</f>
        <v/>
      </c>
    </row>
    <row r="1042">
      <c r="A1042" s="65" t="n"/>
      <c r="B1042" s="7" t="n"/>
      <c r="C1042" s="9">
        <f>IF(B1042="","",IFERROR(INDEX('Équipements'!$B$5:$B$304,MATCH(B1042,'Équipements'!$A$5:$A$304,0)),"Code inconnu"))</f>
        <v/>
      </c>
      <c r="D1042" s="67" t="n"/>
      <c r="E1042" s="7" t="n"/>
      <c r="F1042" s="68">
        <f>IF(OR(B1042="",A1042=""),"",IF(COUNTIFS('Relevés compteurs'!$B$5:$B$1504,B1042,'Relevés compteurs'!$A$5:$A$1504,"&lt;"&amp;A1042)=0,"",D1042-_xlfn.MAXIFS('Relevés compteurs'!$D$5:$D$1504,'Relevés compteurs'!$B$5:$B$1504,B1042,'Relevés compteurs'!$A$5:$A$1504,"&lt;"&amp;A1042)))</f>
        <v/>
      </c>
    </row>
    <row r="1043">
      <c r="A1043" s="65" t="n"/>
      <c r="B1043" s="7" t="n"/>
      <c r="C1043" s="9">
        <f>IF(B1043="","",IFERROR(INDEX('Équipements'!$B$5:$B$304,MATCH(B1043,'Équipements'!$A$5:$A$304,0)),"Code inconnu"))</f>
        <v/>
      </c>
      <c r="D1043" s="67" t="n"/>
      <c r="E1043" s="7" t="n"/>
      <c r="F1043" s="68">
        <f>IF(OR(B1043="",A1043=""),"",IF(COUNTIFS('Relevés compteurs'!$B$5:$B$1504,B1043,'Relevés compteurs'!$A$5:$A$1504,"&lt;"&amp;A1043)=0,"",D1043-_xlfn.MAXIFS('Relevés compteurs'!$D$5:$D$1504,'Relevés compteurs'!$B$5:$B$1504,B1043,'Relevés compteurs'!$A$5:$A$1504,"&lt;"&amp;A1043)))</f>
        <v/>
      </c>
    </row>
    <row r="1044">
      <c r="A1044" s="65" t="n"/>
      <c r="B1044" s="7" t="n"/>
      <c r="C1044" s="9">
        <f>IF(B1044="","",IFERROR(INDEX('Équipements'!$B$5:$B$304,MATCH(B1044,'Équipements'!$A$5:$A$304,0)),"Code inconnu"))</f>
        <v/>
      </c>
      <c r="D1044" s="67" t="n"/>
      <c r="E1044" s="7" t="n"/>
      <c r="F1044" s="68">
        <f>IF(OR(B1044="",A1044=""),"",IF(COUNTIFS('Relevés compteurs'!$B$5:$B$1504,B1044,'Relevés compteurs'!$A$5:$A$1504,"&lt;"&amp;A1044)=0,"",D1044-_xlfn.MAXIFS('Relevés compteurs'!$D$5:$D$1504,'Relevés compteurs'!$B$5:$B$1504,B1044,'Relevés compteurs'!$A$5:$A$1504,"&lt;"&amp;A1044)))</f>
        <v/>
      </c>
    </row>
    <row r="1045">
      <c r="A1045" s="65" t="n"/>
      <c r="B1045" s="7" t="n"/>
      <c r="C1045" s="9">
        <f>IF(B1045="","",IFERROR(INDEX('Équipements'!$B$5:$B$304,MATCH(B1045,'Équipements'!$A$5:$A$304,0)),"Code inconnu"))</f>
        <v/>
      </c>
      <c r="D1045" s="67" t="n"/>
      <c r="E1045" s="7" t="n"/>
      <c r="F1045" s="68">
        <f>IF(OR(B1045="",A1045=""),"",IF(COUNTIFS('Relevés compteurs'!$B$5:$B$1504,B1045,'Relevés compteurs'!$A$5:$A$1504,"&lt;"&amp;A1045)=0,"",D1045-_xlfn.MAXIFS('Relevés compteurs'!$D$5:$D$1504,'Relevés compteurs'!$B$5:$B$1504,B1045,'Relevés compteurs'!$A$5:$A$1504,"&lt;"&amp;A1045)))</f>
        <v/>
      </c>
    </row>
    <row r="1046">
      <c r="A1046" s="65" t="n"/>
      <c r="B1046" s="7" t="n"/>
      <c r="C1046" s="9">
        <f>IF(B1046="","",IFERROR(INDEX('Équipements'!$B$5:$B$304,MATCH(B1046,'Équipements'!$A$5:$A$304,0)),"Code inconnu"))</f>
        <v/>
      </c>
      <c r="D1046" s="67" t="n"/>
      <c r="E1046" s="7" t="n"/>
      <c r="F1046" s="68">
        <f>IF(OR(B1046="",A1046=""),"",IF(COUNTIFS('Relevés compteurs'!$B$5:$B$1504,B1046,'Relevés compteurs'!$A$5:$A$1504,"&lt;"&amp;A1046)=0,"",D1046-_xlfn.MAXIFS('Relevés compteurs'!$D$5:$D$1504,'Relevés compteurs'!$B$5:$B$1504,B1046,'Relevés compteurs'!$A$5:$A$1504,"&lt;"&amp;A1046)))</f>
        <v/>
      </c>
    </row>
    <row r="1047">
      <c r="A1047" s="65" t="n"/>
      <c r="B1047" s="7" t="n"/>
      <c r="C1047" s="9">
        <f>IF(B1047="","",IFERROR(INDEX('Équipements'!$B$5:$B$304,MATCH(B1047,'Équipements'!$A$5:$A$304,0)),"Code inconnu"))</f>
        <v/>
      </c>
      <c r="D1047" s="67" t="n"/>
      <c r="E1047" s="7" t="n"/>
      <c r="F1047" s="68">
        <f>IF(OR(B1047="",A1047=""),"",IF(COUNTIFS('Relevés compteurs'!$B$5:$B$1504,B1047,'Relevés compteurs'!$A$5:$A$1504,"&lt;"&amp;A1047)=0,"",D1047-_xlfn.MAXIFS('Relevés compteurs'!$D$5:$D$1504,'Relevés compteurs'!$B$5:$B$1504,B1047,'Relevés compteurs'!$A$5:$A$1504,"&lt;"&amp;A1047)))</f>
        <v/>
      </c>
    </row>
    <row r="1048">
      <c r="A1048" s="65" t="n"/>
      <c r="B1048" s="7" t="n"/>
      <c r="C1048" s="9">
        <f>IF(B1048="","",IFERROR(INDEX('Équipements'!$B$5:$B$304,MATCH(B1048,'Équipements'!$A$5:$A$304,0)),"Code inconnu"))</f>
        <v/>
      </c>
      <c r="D1048" s="67" t="n"/>
      <c r="E1048" s="7" t="n"/>
      <c r="F1048" s="68">
        <f>IF(OR(B1048="",A1048=""),"",IF(COUNTIFS('Relevés compteurs'!$B$5:$B$1504,B1048,'Relevés compteurs'!$A$5:$A$1504,"&lt;"&amp;A1048)=0,"",D1048-_xlfn.MAXIFS('Relevés compteurs'!$D$5:$D$1504,'Relevés compteurs'!$B$5:$B$1504,B1048,'Relevés compteurs'!$A$5:$A$1504,"&lt;"&amp;A1048)))</f>
        <v/>
      </c>
    </row>
    <row r="1049">
      <c r="A1049" s="65" t="n"/>
      <c r="B1049" s="7" t="n"/>
      <c r="C1049" s="9">
        <f>IF(B1049="","",IFERROR(INDEX('Équipements'!$B$5:$B$304,MATCH(B1049,'Équipements'!$A$5:$A$304,0)),"Code inconnu"))</f>
        <v/>
      </c>
      <c r="D1049" s="67" t="n"/>
      <c r="E1049" s="7" t="n"/>
      <c r="F1049" s="68">
        <f>IF(OR(B1049="",A1049=""),"",IF(COUNTIFS('Relevés compteurs'!$B$5:$B$1504,B1049,'Relevés compteurs'!$A$5:$A$1504,"&lt;"&amp;A1049)=0,"",D1049-_xlfn.MAXIFS('Relevés compteurs'!$D$5:$D$1504,'Relevés compteurs'!$B$5:$B$1504,B1049,'Relevés compteurs'!$A$5:$A$1504,"&lt;"&amp;A1049)))</f>
        <v/>
      </c>
    </row>
    <row r="1050">
      <c r="A1050" s="65" t="n"/>
      <c r="B1050" s="7" t="n"/>
      <c r="C1050" s="9">
        <f>IF(B1050="","",IFERROR(INDEX('Équipements'!$B$5:$B$304,MATCH(B1050,'Équipements'!$A$5:$A$304,0)),"Code inconnu"))</f>
        <v/>
      </c>
      <c r="D1050" s="67" t="n"/>
      <c r="E1050" s="7" t="n"/>
      <c r="F1050" s="68">
        <f>IF(OR(B1050="",A1050=""),"",IF(COUNTIFS('Relevés compteurs'!$B$5:$B$1504,B1050,'Relevés compteurs'!$A$5:$A$1504,"&lt;"&amp;A1050)=0,"",D1050-_xlfn.MAXIFS('Relevés compteurs'!$D$5:$D$1504,'Relevés compteurs'!$B$5:$B$1504,B1050,'Relevés compteurs'!$A$5:$A$1504,"&lt;"&amp;A1050)))</f>
        <v/>
      </c>
    </row>
    <row r="1051">
      <c r="A1051" s="65" t="n"/>
      <c r="B1051" s="7" t="n"/>
      <c r="C1051" s="9">
        <f>IF(B1051="","",IFERROR(INDEX('Équipements'!$B$5:$B$304,MATCH(B1051,'Équipements'!$A$5:$A$304,0)),"Code inconnu"))</f>
        <v/>
      </c>
      <c r="D1051" s="67" t="n"/>
      <c r="E1051" s="7" t="n"/>
      <c r="F1051" s="68">
        <f>IF(OR(B1051="",A1051=""),"",IF(COUNTIFS('Relevés compteurs'!$B$5:$B$1504,B1051,'Relevés compteurs'!$A$5:$A$1504,"&lt;"&amp;A1051)=0,"",D1051-_xlfn.MAXIFS('Relevés compteurs'!$D$5:$D$1504,'Relevés compteurs'!$B$5:$B$1504,B1051,'Relevés compteurs'!$A$5:$A$1504,"&lt;"&amp;A1051)))</f>
        <v/>
      </c>
    </row>
    <row r="1052">
      <c r="A1052" s="65" t="n"/>
      <c r="B1052" s="7" t="n"/>
      <c r="C1052" s="9">
        <f>IF(B1052="","",IFERROR(INDEX('Équipements'!$B$5:$B$304,MATCH(B1052,'Équipements'!$A$5:$A$304,0)),"Code inconnu"))</f>
        <v/>
      </c>
      <c r="D1052" s="67" t="n"/>
      <c r="E1052" s="7" t="n"/>
      <c r="F1052" s="68">
        <f>IF(OR(B1052="",A1052=""),"",IF(COUNTIFS('Relevés compteurs'!$B$5:$B$1504,B1052,'Relevés compteurs'!$A$5:$A$1504,"&lt;"&amp;A1052)=0,"",D1052-_xlfn.MAXIFS('Relevés compteurs'!$D$5:$D$1504,'Relevés compteurs'!$B$5:$B$1504,B1052,'Relevés compteurs'!$A$5:$A$1504,"&lt;"&amp;A1052)))</f>
        <v/>
      </c>
    </row>
    <row r="1053">
      <c r="A1053" s="65" t="n"/>
      <c r="B1053" s="7" t="n"/>
      <c r="C1053" s="9">
        <f>IF(B1053="","",IFERROR(INDEX('Équipements'!$B$5:$B$304,MATCH(B1053,'Équipements'!$A$5:$A$304,0)),"Code inconnu"))</f>
        <v/>
      </c>
      <c r="D1053" s="67" t="n"/>
      <c r="E1053" s="7" t="n"/>
      <c r="F1053" s="68">
        <f>IF(OR(B1053="",A1053=""),"",IF(COUNTIFS('Relevés compteurs'!$B$5:$B$1504,B1053,'Relevés compteurs'!$A$5:$A$1504,"&lt;"&amp;A1053)=0,"",D1053-_xlfn.MAXIFS('Relevés compteurs'!$D$5:$D$1504,'Relevés compteurs'!$B$5:$B$1504,B1053,'Relevés compteurs'!$A$5:$A$1504,"&lt;"&amp;A1053)))</f>
        <v/>
      </c>
    </row>
    <row r="1054">
      <c r="A1054" s="65" t="n"/>
      <c r="B1054" s="7" t="n"/>
      <c r="C1054" s="9">
        <f>IF(B1054="","",IFERROR(INDEX('Équipements'!$B$5:$B$304,MATCH(B1054,'Équipements'!$A$5:$A$304,0)),"Code inconnu"))</f>
        <v/>
      </c>
      <c r="D1054" s="67" t="n"/>
      <c r="E1054" s="7" t="n"/>
      <c r="F1054" s="68">
        <f>IF(OR(B1054="",A1054=""),"",IF(COUNTIFS('Relevés compteurs'!$B$5:$B$1504,B1054,'Relevés compteurs'!$A$5:$A$1504,"&lt;"&amp;A1054)=0,"",D1054-_xlfn.MAXIFS('Relevés compteurs'!$D$5:$D$1504,'Relevés compteurs'!$B$5:$B$1504,B1054,'Relevés compteurs'!$A$5:$A$1504,"&lt;"&amp;A1054)))</f>
        <v/>
      </c>
    </row>
    <row r="1055">
      <c r="A1055" s="65" t="n"/>
      <c r="B1055" s="7" t="n"/>
      <c r="C1055" s="9">
        <f>IF(B1055="","",IFERROR(INDEX('Équipements'!$B$5:$B$304,MATCH(B1055,'Équipements'!$A$5:$A$304,0)),"Code inconnu"))</f>
        <v/>
      </c>
      <c r="D1055" s="67" t="n"/>
      <c r="E1055" s="7" t="n"/>
      <c r="F1055" s="68">
        <f>IF(OR(B1055="",A1055=""),"",IF(COUNTIFS('Relevés compteurs'!$B$5:$B$1504,B1055,'Relevés compteurs'!$A$5:$A$1504,"&lt;"&amp;A1055)=0,"",D1055-_xlfn.MAXIFS('Relevés compteurs'!$D$5:$D$1504,'Relevés compteurs'!$B$5:$B$1504,B1055,'Relevés compteurs'!$A$5:$A$1504,"&lt;"&amp;A1055)))</f>
        <v/>
      </c>
    </row>
    <row r="1056">
      <c r="A1056" s="65" t="n"/>
      <c r="B1056" s="7" t="n"/>
      <c r="C1056" s="9">
        <f>IF(B1056="","",IFERROR(INDEX('Équipements'!$B$5:$B$304,MATCH(B1056,'Équipements'!$A$5:$A$304,0)),"Code inconnu"))</f>
        <v/>
      </c>
      <c r="D1056" s="67" t="n"/>
      <c r="E1056" s="7" t="n"/>
      <c r="F1056" s="68">
        <f>IF(OR(B1056="",A1056=""),"",IF(COUNTIFS('Relevés compteurs'!$B$5:$B$1504,B1056,'Relevés compteurs'!$A$5:$A$1504,"&lt;"&amp;A1056)=0,"",D1056-_xlfn.MAXIFS('Relevés compteurs'!$D$5:$D$1504,'Relevés compteurs'!$B$5:$B$1504,B1056,'Relevés compteurs'!$A$5:$A$1504,"&lt;"&amp;A1056)))</f>
        <v/>
      </c>
    </row>
    <row r="1057">
      <c r="A1057" s="65" t="n"/>
      <c r="B1057" s="7" t="n"/>
      <c r="C1057" s="9">
        <f>IF(B1057="","",IFERROR(INDEX('Équipements'!$B$5:$B$304,MATCH(B1057,'Équipements'!$A$5:$A$304,0)),"Code inconnu"))</f>
        <v/>
      </c>
      <c r="D1057" s="67" t="n"/>
      <c r="E1057" s="7" t="n"/>
      <c r="F1057" s="68">
        <f>IF(OR(B1057="",A1057=""),"",IF(COUNTIFS('Relevés compteurs'!$B$5:$B$1504,B1057,'Relevés compteurs'!$A$5:$A$1504,"&lt;"&amp;A1057)=0,"",D1057-_xlfn.MAXIFS('Relevés compteurs'!$D$5:$D$1504,'Relevés compteurs'!$B$5:$B$1504,B1057,'Relevés compteurs'!$A$5:$A$1504,"&lt;"&amp;A1057)))</f>
        <v/>
      </c>
    </row>
    <row r="1058">
      <c r="A1058" s="65" t="n"/>
      <c r="B1058" s="7" t="n"/>
      <c r="C1058" s="9">
        <f>IF(B1058="","",IFERROR(INDEX('Équipements'!$B$5:$B$304,MATCH(B1058,'Équipements'!$A$5:$A$304,0)),"Code inconnu"))</f>
        <v/>
      </c>
      <c r="D1058" s="67" t="n"/>
      <c r="E1058" s="7" t="n"/>
      <c r="F1058" s="68">
        <f>IF(OR(B1058="",A1058=""),"",IF(COUNTIFS('Relevés compteurs'!$B$5:$B$1504,B1058,'Relevés compteurs'!$A$5:$A$1504,"&lt;"&amp;A1058)=0,"",D1058-_xlfn.MAXIFS('Relevés compteurs'!$D$5:$D$1504,'Relevés compteurs'!$B$5:$B$1504,B1058,'Relevés compteurs'!$A$5:$A$1504,"&lt;"&amp;A1058)))</f>
        <v/>
      </c>
    </row>
    <row r="1059">
      <c r="A1059" s="65" t="n"/>
      <c r="B1059" s="7" t="n"/>
      <c r="C1059" s="9">
        <f>IF(B1059="","",IFERROR(INDEX('Équipements'!$B$5:$B$304,MATCH(B1059,'Équipements'!$A$5:$A$304,0)),"Code inconnu"))</f>
        <v/>
      </c>
      <c r="D1059" s="67" t="n"/>
      <c r="E1059" s="7" t="n"/>
      <c r="F1059" s="68">
        <f>IF(OR(B1059="",A1059=""),"",IF(COUNTIFS('Relevés compteurs'!$B$5:$B$1504,B1059,'Relevés compteurs'!$A$5:$A$1504,"&lt;"&amp;A1059)=0,"",D1059-_xlfn.MAXIFS('Relevés compteurs'!$D$5:$D$1504,'Relevés compteurs'!$B$5:$B$1504,B1059,'Relevés compteurs'!$A$5:$A$1504,"&lt;"&amp;A1059)))</f>
        <v/>
      </c>
    </row>
    <row r="1060">
      <c r="A1060" s="65" t="n"/>
      <c r="B1060" s="7" t="n"/>
      <c r="C1060" s="9">
        <f>IF(B1060="","",IFERROR(INDEX('Équipements'!$B$5:$B$304,MATCH(B1060,'Équipements'!$A$5:$A$304,0)),"Code inconnu"))</f>
        <v/>
      </c>
      <c r="D1060" s="67" t="n"/>
      <c r="E1060" s="7" t="n"/>
      <c r="F1060" s="68">
        <f>IF(OR(B1060="",A1060=""),"",IF(COUNTIFS('Relevés compteurs'!$B$5:$B$1504,B1060,'Relevés compteurs'!$A$5:$A$1504,"&lt;"&amp;A1060)=0,"",D1060-_xlfn.MAXIFS('Relevés compteurs'!$D$5:$D$1504,'Relevés compteurs'!$B$5:$B$1504,B1060,'Relevés compteurs'!$A$5:$A$1504,"&lt;"&amp;A1060)))</f>
        <v/>
      </c>
    </row>
    <row r="1061">
      <c r="A1061" s="65" t="n"/>
      <c r="B1061" s="7" t="n"/>
      <c r="C1061" s="9">
        <f>IF(B1061="","",IFERROR(INDEX('Équipements'!$B$5:$B$304,MATCH(B1061,'Équipements'!$A$5:$A$304,0)),"Code inconnu"))</f>
        <v/>
      </c>
      <c r="D1061" s="67" t="n"/>
      <c r="E1061" s="7" t="n"/>
      <c r="F1061" s="68">
        <f>IF(OR(B1061="",A1061=""),"",IF(COUNTIFS('Relevés compteurs'!$B$5:$B$1504,B1061,'Relevés compteurs'!$A$5:$A$1504,"&lt;"&amp;A1061)=0,"",D1061-_xlfn.MAXIFS('Relevés compteurs'!$D$5:$D$1504,'Relevés compteurs'!$B$5:$B$1504,B1061,'Relevés compteurs'!$A$5:$A$1504,"&lt;"&amp;A1061)))</f>
        <v/>
      </c>
    </row>
    <row r="1062">
      <c r="A1062" s="65" t="n"/>
      <c r="B1062" s="7" t="n"/>
      <c r="C1062" s="9">
        <f>IF(B1062="","",IFERROR(INDEX('Équipements'!$B$5:$B$304,MATCH(B1062,'Équipements'!$A$5:$A$304,0)),"Code inconnu"))</f>
        <v/>
      </c>
      <c r="D1062" s="67" t="n"/>
      <c r="E1062" s="7" t="n"/>
      <c r="F1062" s="68">
        <f>IF(OR(B1062="",A1062=""),"",IF(COUNTIFS('Relevés compteurs'!$B$5:$B$1504,B1062,'Relevés compteurs'!$A$5:$A$1504,"&lt;"&amp;A1062)=0,"",D1062-_xlfn.MAXIFS('Relevés compteurs'!$D$5:$D$1504,'Relevés compteurs'!$B$5:$B$1504,B1062,'Relevés compteurs'!$A$5:$A$1504,"&lt;"&amp;A1062)))</f>
        <v/>
      </c>
    </row>
    <row r="1063">
      <c r="A1063" s="65" t="n"/>
      <c r="B1063" s="7" t="n"/>
      <c r="C1063" s="9">
        <f>IF(B1063="","",IFERROR(INDEX('Équipements'!$B$5:$B$304,MATCH(B1063,'Équipements'!$A$5:$A$304,0)),"Code inconnu"))</f>
        <v/>
      </c>
      <c r="D1063" s="67" t="n"/>
      <c r="E1063" s="7" t="n"/>
      <c r="F1063" s="68">
        <f>IF(OR(B1063="",A1063=""),"",IF(COUNTIFS('Relevés compteurs'!$B$5:$B$1504,B1063,'Relevés compteurs'!$A$5:$A$1504,"&lt;"&amp;A1063)=0,"",D1063-_xlfn.MAXIFS('Relevés compteurs'!$D$5:$D$1504,'Relevés compteurs'!$B$5:$B$1504,B1063,'Relevés compteurs'!$A$5:$A$1504,"&lt;"&amp;A1063)))</f>
        <v/>
      </c>
    </row>
    <row r="1064">
      <c r="A1064" s="65" t="n"/>
      <c r="B1064" s="7" t="n"/>
      <c r="C1064" s="9">
        <f>IF(B1064="","",IFERROR(INDEX('Équipements'!$B$5:$B$304,MATCH(B1064,'Équipements'!$A$5:$A$304,0)),"Code inconnu"))</f>
        <v/>
      </c>
      <c r="D1064" s="67" t="n"/>
      <c r="E1064" s="7" t="n"/>
      <c r="F1064" s="68">
        <f>IF(OR(B1064="",A1064=""),"",IF(COUNTIFS('Relevés compteurs'!$B$5:$B$1504,B1064,'Relevés compteurs'!$A$5:$A$1504,"&lt;"&amp;A1064)=0,"",D1064-_xlfn.MAXIFS('Relevés compteurs'!$D$5:$D$1504,'Relevés compteurs'!$B$5:$B$1504,B1064,'Relevés compteurs'!$A$5:$A$1504,"&lt;"&amp;A1064)))</f>
        <v/>
      </c>
    </row>
    <row r="1065">
      <c r="A1065" s="65" t="n"/>
      <c r="B1065" s="7" t="n"/>
      <c r="C1065" s="9">
        <f>IF(B1065="","",IFERROR(INDEX('Équipements'!$B$5:$B$304,MATCH(B1065,'Équipements'!$A$5:$A$304,0)),"Code inconnu"))</f>
        <v/>
      </c>
      <c r="D1065" s="67" t="n"/>
      <c r="E1065" s="7" t="n"/>
      <c r="F1065" s="68">
        <f>IF(OR(B1065="",A1065=""),"",IF(COUNTIFS('Relevés compteurs'!$B$5:$B$1504,B1065,'Relevés compteurs'!$A$5:$A$1504,"&lt;"&amp;A1065)=0,"",D1065-_xlfn.MAXIFS('Relevés compteurs'!$D$5:$D$1504,'Relevés compteurs'!$B$5:$B$1504,B1065,'Relevés compteurs'!$A$5:$A$1504,"&lt;"&amp;A1065)))</f>
        <v/>
      </c>
    </row>
    <row r="1066">
      <c r="A1066" s="65" t="n"/>
      <c r="B1066" s="7" t="n"/>
      <c r="C1066" s="9">
        <f>IF(B1066="","",IFERROR(INDEX('Équipements'!$B$5:$B$304,MATCH(B1066,'Équipements'!$A$5:$A$304,0)),"Code inconnu"))</f>
        <v/>
      </c>
      <c r="D1066" s="67" t="n"/>
      <c r="E1066" s="7" t="n"/>
      <c r="F1066" s="68">
        <f>IF(OR(B1066="",A1066=""),"",IF(COUNTIFS('Relevés compteurs'!$B$5:$B$1504,B1066,'Relevés compteurs'!$A$5:$A$1504,"&lt;"&amp;A1066)=0,"",D1066-_xlfn.MAXIFS('Relevés compteurs'!$D$5:$D$1504,'Relevés compteurs'!$B$5:$B$1504,B1066,'Relevés compteurs'!$A$5:$A$1504,"&lt;"&amp;A1066)))</f>
        <v/>
      </c>
    </row>
    <row r="1067">
      <c r="A1067" s="65" t="n"/>
      <c r="B1067" s="7" t="n"/>
      <c r="C1067" s="9">
        <f>IF(B1067="","",IFERROR(INDEX('Équipements'!$B$5:$B$304,MATCH(B1067,'Équipements'!$A$5:$A$304,0)),"Code inconnu"))</f>
        <v/>
      </c>
      <c r="D1067" s="67" t="n"/>
      <c r="E1067" s="7" t="n"/>
      <c r="F1067" s="68">
        <f>IF(OR(B1067="",A1067=""),"",IF(COUNTIFS('Relevés compteurs'!$B$5:$B$1504,B1067,'Relevés compteurs'!$A$5:$A$1504,"&lt;"&amp;A1067)=0,"",D1067-_xlfn.MAXIFS('Relevés compteurs'!$D$5:$D$1504,'Relevés compteurs'!$B$5:$B$1504,B1067,'Relevés compteurs'!$A$5:$A$1504,"&lt;"&amp;A1067)))</f>
        <v/>
      </c>
    </row>
    <row r="1068">
      <c r="A1068" s="65" t="n"/>
      <c r="B1068" s="7" t="n"/>
      <c r="C1068" s="9">
        <f>IF(B1068="","",IFERROR(INDEX('Équipements'!$B$5:$B$304,MATCH(B1068,'Équipements'!$A$5:$A$304,0)),"Code inconnu"))</f>
        <v/>
      </c>
      <c r="D1068" s="67" t="n"/>
      <c r="E1068" s="7" t="n"/>
      <c r="F1068" s="68">
        <f>IF(OR(B1068="",A1068=""),"",IF(COUNTIFS('Relevés compteurs'!$B$5:$B$1504,B1068,'Relevés compteurs'!$A$5:$A$1504,"&lt;"&amp;A1068)=0,"",D1068-_xlfn.MAXIFS('Relevés compteurs'!$D$5:$D$1504,'Relevés compteurs'!$B$5:$B$1504,B1068,'Relevés compteurs'!$A$5:$A$1504,"&lt;"&amp;A1068)))</f>
        <v/>
      </c>
    </row>
    <row r="1069">
      <c r="A1069" s="65" t="n"/>
      <c r="B1069" s="7" t="n"/>
      <c r="C1069" s="9">
        <f>IF(B1069="","",IFERROR(INDEX('Équipements'!$B$5:$B$304,MATCH(B1069,'Équipements'!$A$5:$A$304,0)),"Code inconnu"))</f>
        <v/>
      </c>
      <c r="D1069" s="67" t="n"/>
      <c r="E1069" s="7" t="n"/>
      <c r="F1069" s="68">
        <f>IF(OR(B1069="",A1069=""),"",IF(COUNTIFS('Relevés compteurs'!$B$5:$B$1504,B1069,'Relevés compteurs'!$A$5:$A$1504,"&lt;"&amp;A1069)=0,"",D1069-_xlfn.MAXIFS('Relevés compteurs'!$D$5:$D$1504,'Relevés compteurs'!$B$5:$B$1504,B1069,'Relevés compteurs'!$A$5:$A$1504,"&lt;"&amp;A1069)))</f>
        <v/>
      </c>
    </row>
    <row r="1070">
      <c r="A1070" s="65" t="n"/>
      <c r="B1070" s="7" t="n"/>
      <c r="C1070" s="9">
        <f>IF(B1070="","",IFERROR(INDEX('Équipements'!$B$5:$B$304,MATCH(B1070,'Équipements'!$A$5:$A$304,0)),"Code inconnu"))</f>
        <v/>
      </c>
      <c r="D1070" s="67" t="n"/>
      <c r="E1070" s="7" t="n"/>
      <c r="F1070" s="68">
        <f>IF(OR(B1070="",A1070=""),"",IF(COUNTIFS('Relevés compteurs'!$B$5:$B$1504,B1070,'Relevés compteurs'!$A$5:$A$1504,"&lt;"&amp;A1070)=0,"",D1070-_xlfn.MAXIFS('Relevés compteurs'!$D$5:$D$1504,'Relevés compteurs'!$B$5:$B$1504,B1070,'Relevés compteurs'!$A$5:$A$1504,"&lt;"&amp;A1070)))</f>
        <v/>
      </c>
    </row>
    <row r="1071">
      <c r="A1071" s="65" t="n"/>
      <c r="B1071" s="7" t="n"/>
      <c r="C1071" s="9">
        <f>IF(B1071="","",IFERROR(INDEX('Équipements'!$B$5:$B$304,MATCH(B1071,'Équipements'!$A$5:$A$304,0)),"Code inconnu"))</f>
        <v/>
      </c>
      <c r="D1071" s="67" t="n"/>
      <c r="E1071" s="7" t="n"/>
      <c r="F1071" s="68">
        <f>IF(OR(B1071="",A1071=""),"",IF(COUNTIFS('Relevés compteurs'!$B$5:$B$1504,B1071,'Relevés compteurs'!$A$5:$A$1504,"&lt;"&amp;A1071)=0,"",D1071-_xlfn.MAXIFS('Relevés compteurs'!$D$5:$D$1504,'Relevés compteurs'!$B$5:$B$1504,B1071,'Relevés compteurs'!$A$5:$A$1504,"&lt;"&amp;A1071)))</f>
        <v/>
      </c>
    </row>
    <row r="1072">
      <c r="A1072" s="65" t="n"/>
      <c r="B1072" s="7" t="n"/>
      <c r="C1072" s="9">
        <f>IF(B1072="","",IFERROR(INDEX('Équipements'!$B$5:$B$304,MATCH(B1072,'Équipements'!$A$5:$A$304,0)),"Code inconnu"))</f>
        <v/>
      </c>
      <c r="D1072" s="67" t="n"/>
      <c r="E1072" s="7" t="n"/>
      <c r="F1072" s="68">
        <f>IF(OR(B1072="",A1072=""),"",IF(COUNTIFS('Relevés compteurs'!$B$5:$B$1504,B1072,'Relevés compteurs'!$A$5:$A$1504,"&lt;"&amp;A1072)=0,"",D1072-_xlfn.MAXIFS('Relevés compteurs'!$D$5:$D$1504,'Relevés compteurs'!$B$5:$B$1504,B1072,'Relevés compteurs'!$A$5:$A$1504,"&lt;"&amp;A1072)))</f>
        <v/>
      </c>
    </row>
    <row r="1073">
      <c r="A1073" s="65" t="n"/>
      <c r="B1073" s="7" t="n"/>
      <c r="C1073" s="9">
        <f>IF(B1073="","",IFERROR(INDEX('Équipements'!$B$5:$B$304,MATCH(B1073,'Équipements'!$A$5:$A$304,0)),"Code inconnu"))</f>
        <v/>
      </c>
      <c r="D1073" s="67" t="n"/>
      <c r="E1073" s="7" t="n"/>
      <c r="F1073" s="68">
        <f>IF(OR(B1073="",A1073=""),"",IF(COUNTIFS('Relevés compteurs'!$B$5:$B$1504,B1073,'Relevés compteurs'!$A$5:$A$1504,"&lt;"&amp;A1073)=0,"",D1073-_xlfn.MAXIFS('Relevés compteurs'!$D$5:$D$1504,'Relevés compteurs'!$B$5:$B$1504,B1073,'Relevés compteurs'!$A$5:$A$1504,"&lt;"&amp;A1073)))</f>
        <v/>
      </c>
    </row>
    <row r="1074">
      <c r="A1074" s="65" t="n"/>
      <c r="B1074" s="7" t="n"/>
      <c r="C1074" s="9">
        <f>IF(B1074="","",IFERROR(INDEX('Équipements'!$B$5:$B$304,MATCH(B1074,'Équipements'!$A$5:$A$304,0)),"Code inconnu"))</f>
        <v/>
      </c>
      <c r="D1074" s="67" t="n"/>
      <c r="E1074" s="7" t="n"/>
      <c r="F1074" s="68">
        <f>IF(OR(B1074="",A1074=""),"",IF(COUNTIFS('Relevés compteurs'!$B$5:$B$1504,B1074,'Relevés compteurs'!$A$5:$A$1504,"&lt;"&amp;A1074)=0,"",D1074-_xlfn.MAXIFS('Relevés compteurs'!$D$5:$D$1504,'Relevés compteurs'!$B$5:$B$1504,B1074,'Relevés compteurs'!$A$5:$A$1504,"&lt;"&amp;A1074)))</f>
        <v/>
      </c>
    </row>
    <row r="1075">
      <c r="A1075" s="65" t="n"/>
      <c r="B1075" s="7" t="n"/>
      <c r="C1075" s="9">
        <f>IF(B1075="","",IFERROR(INDEX('Équipements'!$B$5:$B$304,MATCH(B1075,'Équipements'!$A$5:$A$304,0)),"Code inconnu"))</f>
        <v/>
      </c>
      <c r="D1075" s="67" t="n"/>
      <c r="E1075" s="7" t="n"/>
      <c r="F1075" s="68">
        <f>IF(OR(B1075="",A1075=""),"",IF(COUNTIFS('Relevés compteurs'!$B$5:$B$1504,B1075,'Relevés compteurs'!$A$5:$A$1504,"&lt;"&amp;A1075)=0,"",D1075-_xlfn.MAXIFS('Relevés compteurs'!$D$5:$D$1504,'Relevés compteurs'!$B$5:$B$1504,B1075,'Relevés compteurs'!$A$5:$A$1504,"&lt;"&amp;A1075)))</f>
        <v/>
      </c>
    </row>
    <row r="1076">
      <c r="A1076" s="65" t="n"/>
      <c r="B1076" s="7" t="n"/>
      <c r="C1076" s="9">
        <f>IF(B1076="","",IFERROR(INDEX('Équipements'!$B$5:$B$304,MATCH(B1076,'Équipements'!$A$5:$A$304,0)),"Code inconnu"))</f>
        <v/>
      </c>
      <c r="D1076" s="67" t="n"/>
      <c r="E1076" s="7" t="n"/>
      <c r="F1076" s="68">
        <f>IF(OR(B1076="",A1076=""),"",IF(COUNTIFS('Relevés compteurs'!$B$5:$B$1504,B1076,'Relevés compteurs'!$A$5:$A$1504,"&lt;"&amp;A1076)=0,"",D1076-_xlfn.MAXIFS('Relevés compteurs'!$D$5:$D$1504,'Relevés compteurs'!$B$5:$B$1504,B1076,'Relevés compteurs'!$A$5:$A$1504,"&lt;"&amp;A1076)))</f>
        <v/>
      </c>
    </row>
    <row r="1077">
      <c r="A1077" s="65" t="n"/>
      <c r="B1077" s="7" t="n"/>
      <c r="C1077" s="9">
        <f>IF(B1077="","",IFERROR(INDEX('Équipements'!$B$5:$B$304,MATCH(B1077,'Équipements'!$A$5:$A$304,0)),"Code inconnu"))</f>
        <v/>
      </c>
      <c r="D1077" s="67" t="n"/>
      <c r="E1077" s="7" t="n"/>
      <c r="F1077" s="68">
        <f>IF(OR(B1077="",A1077=""),"",IF(COUNTIFS('Relevés compteurs'!$B$5:$B$1504,B1077,'Relevés compteurs'!$A$5:$A$1504,"&lt;"&amp;A1077)=0,"",D1077-_xlfn.MAXIFS('Relevés compteurs'!$D$5:$D$1504,'Relevés compteurs'!$B$5:$B$1504,B1077,'Relevés compteurs'!$A$5:$A$1504,"&lt;"&amp;A1077)))</f>
        <v/>
      </c>
    </row>
    <row r="1078">
      <c r="A1078" s="65" t="n"/>
      <c r="B1078" s="7" t="n"/>
      <c r="C1078" s="9">
        <f>IF(B1078="","",IFERROR(INDEX('Équipements'!$B$5:$B$304,MATCH(B1078,'Équipements'!$A$5:$A$304,0)),"Code inconnu"))</f>
        <v/>
      </c>
      <c r="D1078" s="67" t="n"/>
      <c r="E1078" s="7" t="n"/>
      <c r="F1078" s="68">
        <f>IF(OR(B1078="",A1078=""),"",IF(COUNTIFS('Relevés compteurs'!$B$5:$B$1504,B1078,'Relevés compteurs'!$A$5:$A$1504,"&lt;"&amp;A1078)=0,"",D1078-_xlfn.MAXIFS('Relevés compteurs'!$D$5:$D$1504,'Relevés compteurs'!$B$5:$B$1504,B1078,'Relevés compteurs'!$A$5:$A$1504,"&lt;"&amp;A1078)))</f>
        <v/>
      </c>
    </row>
    <row r="1079">
      <c r="A1079" s="65" t="n"/>
      <c r="B1079" s="7" t="n"/>
      <c r="C1079" s="9">
        <f>IF(B1079="","",IFERROR(INDEX('Équipements'!$B$5:$B$304,MATCH(B1079,'Équipements'!$A$5:$A$304,0)),"Code inconnu"))</f>
        <v/>
      </c>
      <c r="D1079" s="67" t="n"/>
      <c r="E1079" s="7" t="n"/>
      <c r="F1079" s="68">
        <f>IF(OR(B1079="",A1079=""),"",IF(COUNTIFS('Relevés compteurs'!$B$5:$B$1504,B1079,'Relevés compteurs'!$A$5:$A$1504,"&lt;"&amp;A1079)=0,"",D1079-_xlfn.MAXIFS('Relevés compteurs'!$D$5:$D$1504,'Relevés compteurs'!$B$5:$B$1504,B1079,'Relevés compteurs'!$A$5:$A$1504,"&lt;"&amp;A1079)))</f>
        <v/>
      </c>
    </row>
    <row r="1080">
      <c r="A1080" s="65" t="n"/>
      <c r="B1080" s="7" t="n"/>
      <c r="C1080" s="9">
        <f>IF(B1080="","",IFERROR(INDEX('Équipements'!$B$5:$B$304,MATCH(B1080,'Équipements'!$A$5:$A$304,0)),"Code inconnu"))</f>
        <v/>
      </c>
      <c r="D1080" s="67" t="n"/>
      <c r="E1080" s="7" t="n"/>
      <c r="F1080" s="68">
        <f>IF(OR(B1080="",A1080=""),"",IF(COUNTIFS('Relevés compteurs'!$B$5:$B$1504,B1080,'Relevés compteurs'!$A$5:$A$1504,"&lt;"&amp;A1080)=0,"",D1080-_xlfn.MAXIFS('Relevés compteurs'!$D$5:$D$1504,'Relevés compteurs'!$B$5:$B$1504,B1080,'Relevés compteurs'!$A$5:$A$1504,"&lt;"&amp;A1080)))</f>
        <v/>
      </c>
    </row>
    <row r="1081">
      <c r="A1081" s="65" t="n"/>
      <c r="B1081" s="7" t="n"/>
      <c r="C1081" s="9">
        <f>IF(B1081="","",IFERROR(INDEX('Équipements'!$B$5:$B$304,MATCH(B1081,'Équipements'!$A$5:$A$304,0)),"Code inconnu"))</f>
        <v/>
      </c>
      <c r="D1081" s="67" t="n"/>
      <c r="E1081" s="7" t="n"/>
      <c r="F1081" s="68">
        <f>IF(OR(B1081="",A1081=""),"",IF(COUNTIFS('Relevés compteurs'!$B$5:$B$1504,B1081,'Relevés compteurs'!$A$5:$A$1504,"&lt;"&amp;A1081)=0,"",D1081-_xlfn.MAXIFS('Relevés compteurs'!$D$5:$D$1504,'Relevés compteurs'!$B$5:$B$1504,B1081,'Relevés compteurs'!$A$5:$A$1504,"&lt;"&amp;A1081)))</f>
        <v/>
      </c>
    </row>
    <row r="1082">
      <c r="A1082" s="65" t="n"/>
      <c r="B1082" s="7" t="n"/>
      <c r="C1082" s="9">
        <f>IF(B1082="","",IFERROR(INDEX('Équipements'!$B$5:$B$304,MATCH(B1082,'Équipements'!$A$5:$A$304,0)),"Code inconnu"))</f>
        <v/>
      </c>
      <c r="D1082" s="67" t="n"/>
      <c r="E1082" s="7" t="n"/>
      <c r="F1082" s="68">
        <f>IF(OR(B1082="",A1082=""),"",IF(COUNTIFS('Relevés compteurs'!$B$5:$B$1504,B1082,'Relevés compteurs'!$A$5:$A$1504,"&lt;"&amp;A1082)=0,"",D1082-_xlfn.MAXIFS('Relevés compteurs'!$D$5:$D$1504,'Relevés compteurs'!$B$5:$B$1504,B1082,'Relevés compteurs'!$A$5:$A$1504,"&lt;"&amp;A1082)))</f>
        <v/>
      </c>
    </row>
    <row r="1083">
      <c r="A1083" s="65" t="n"/>
      <c r="B1083" s="7" t="n"/>
      <c r="C1083" s="9">
        <f>IF(B1083="","",IFERROR(INDEX('Équipements'!$B$5:$B$304,MATCH(B1083,'Équipements'!$A$5:$A$304,0)),"Code inconnu"))</f>
        <v/>
      </c>
      <c r="D1083" s="67" t="n"/>
      <c r="E1083" s="7" t="n"/>
      <c r="F1083" s="68">
        <f>IF(OR(B1083="",A1083=""),"",IF(COUNTIFS('Relevés compteurs'!$B$5:$B$1504,B1083,'Relevés compteurs'!$A$5:$A$1504,"&lt;"&amp;A1083)=0,"",D1083-_xlfn.MAXIFS('Relevés compteurs'!$D$5:$D$1504,'Relevés compteurs'!$B$5:$B$1504,B1083,'Relevés compteurs'!$A$5:$A$1504,"&lt;"&amp;A1083)))</f>
        <v/>
      </c>
    </row>
    <row r="1084">
      <c r="A1084" s="65" t="n"/>
      <c r="B1084" s="7" t="n"/>
      <c r="C1084" s="9">
        <f>IF(B1084="","",IFERROR(INDEX('Équipements'!$B$5:$B$304,MATCH(B1084,'Équipements'!$A$5:$A$304,0)),"Code inconnu"))</f>
        <v/>
      </c>
      <c r="D1084" s="67" t="n"/>
      <c r="E1084" s="7" t="n"/>
      <c r="F1084" s="68">
        <f>IF(OR(B1084="",A1084=""),"",IF(COUNTIFS('Relevés compteurs'!$B$5:$B$1504,B1084,'Relevés compteurs'!$A$5:$A$1504,"&lt;"&amp;A1084)=0,"",D1084-_xlfn.MAXIFS('Relevés compteurs'!$D$5:$D$1504,'Relevés compteurs'!$B$5:$B$1504,B1084,'Relevés compteurs'!$A$5:$A$1504,"&lt;"&amp;A1084)))</f>
        <v/>
      </c>
    </row>
    <row r="1085">
      <c r="A1085" s="65" t="n"/>
      <c r="B1085" s="7" t="n"/>
      <c r="C1085" s="9">
        <f>IF(B1085="","",IFERROR(INDEX('Équipements'!$B$5:$B$304,MATCH(B1085,'Équipements'!$A$5:$A$304,0)),"Code inconnu"))</f>
        <v/>
      </c>
      <c r="D1085" s="67" t="n"/>
      <c r="E1085" s="7" t="n"/>
      <c r="F1085" s="68">
        <f>IF(OR(B1085="",A1085=""),"",IF(COUNTIFS('Relevés compteurs'!$B$5:$B$1504,B1085,'Relevés compteurs'!$A$5:$A$1504,"&lt;"&amp;A1085)=0,"",D1085-_xlfn.MAXIFS('Relevés compteurs'!$D$5:$D$1504,'Relevés compteurs'!$B$5:$B$1504,B1085,'Relevés compteurs'!$A$5:$A$1504,"&lt;"&amp;A1085)))</f>
        <v/>
      </c>
    </row>
    <row r="1086">
      <c r="A1086" s="65" t="n"/>
      <c r="B1086" s="7" t="n"/>
      <c r="C1086" s="9">
        <f>IF(B1086="","",IFERROR(INDEX('Équipements'!$B$5:$B$304,MATCH(B1086,'Équipements'!$A$5:$A$304,0)),"Code inconnu"))</f>
        <v/>
      </c>
      <c r="D1086" s="67" t="n"/>
      <c r="E1086" s="7" t="n"/>
      <c r="F1086" s="68">
        <f>IF(OR(B1086="",A1086=""),"",IF(COUNTIFS('Relevés compteurs'!$B$5:$B$1504,B1086,'Relevés compteurs'!$A$5:$A$1504,"&lt;"&amp;A1086)=0,"",D1086-_xlfn.MAXIFS('Relevés compteurs'!$D$5:$D$1504,'Relevés compteurs'!$B$5:$B$1504,B1086,'Relevés compteurs'!$A$5:$A$1504,"&lt;"&amp;A1086)))</f>
        <v/>
      </c>
    </row>
    <row r="1087">
      <c r="A1087" s="65" t="n"/>
      <c r="B1087" s="7" t="n"/>
      <c r="C1087" s="9">
        <f>IF(B1087="","",IFERROR(INDEX('Équipements'!$B$5:$B$304,MATCH(B1087,'Équipements'!$A$5:$A$304,0)),"Code inconnu"))</f>
        <v/>
      </c>
      <c r="D1087" s="67" t="n"/>
      <c r="E1087" s="7" t="n"/>
      <c r="F1087" s="68">
        <f>IF(OR(B1087="",A1087=""),"",IF(COUNTIFS('Relevés compteurs'!$B$5:$B$1504,B1087,'Relevés compteurs'!$A$5:$A$1504,"&lt;"&amp;A1087)=0,"",D1087-_xlfn.MAXIFS('Relevés compteurs'!$D$5:$D$1504,'Relevés compteurs'!$B$5:$B$1504,B1087,'Relevés compteurs'!$A$5:$A$1504,"&lt;"&amp;A1087)))</f>
        <v/>
      </c>
    </row>
    <row r="1088">
      <c r="A1088" s="65" t="n"/>
      <c r="B1088" s="7" t="n"/>
      <c r="C1088" s="9">
        <f>IF(B1088="","",IFERROR(INDEX('Équipements'!$B$5:$B$304,MATCH(B1088,'Équipements'!$A$5:$A$304,0)),"Code inconnu"))</f>
        <v/>
      </c>
      <c r="D1088" s="67" t="n"/>
      <c r="E1088" s="7" t="n"/>
      <c r="F1088" s="68">
        <f>IF(OR(B1088="",A1088=""),"",IF(COUNTIFS('Relevés compteurs'!$B$5:$B$1504,B1088,'Relevés compteurs'!$A$5:$A$1504,"&lt;"&amp;A1088)=0,"",D1088-_xlfn.MAXIFS('Relevés compteurs'!$D$5:$D$1504,'Relevés compteurs'!$B$5:$B$1504,B1088,'Relevés compteurs'!$A$5:$A$1504,"&lt;"&amp;A1088)))</f>
        <v/>
      </c>
    </row>
    <row r="1089">
      <c r="A1089" s="65" t="n"/>
      <c r="B1089" s="7" t="n"/>
      <c r="C1089" s="9">
        <f>IF(B1089="","",IFERROR(INDEX('Équipements'!$B$5:$B$304,MATCH(B1089,'Équipements'!$A$5:$A$304,0)),"Code inconnu"))</f>
        <v/>
      </c>
      <c r="D1089" s="67" t="n"/>
      <c r="E1089" s="7" t="n"/>
      <c r="F1089" s="68">
        <f>IF(OR(B1089="",A1089=""),"",IF(COUNTIFS('Relevés compteurs'!$B$5:$B$1504,B1089,'Relevés compteurs'!$A$5:$A$1504,"&lt;"&amp;A1089)=0,"",D1089-_xlfn.MAXIFS('Relevés compteurs'!$D$5:$D$1504,'Relevés compteurs'!$B$5:$B$1504,B1089,'Relevés compteurs'!$A$5:$A$1504,"&lt;"&amp;A1089)))</f>
        <v/>
      </c>
    </row>
    <row r="1090">
      <c r="A1090" s="65" t="n"/>
      <c r="B1090" s="7" t="n"/>
      <c r="C1090" s="9">
        <f>IF(B1090="","",IFERROR(INDEX('Équipements'!$B$5:$B$304,MATCH(B1090,'Équipements'!$A$5:$A$304,0)),"Code inconnu"))</f>
        <v/>
      </c>
      <c r="D1090" s="67" t="n"/>
      <c r="E1090" s="7" t="n"/>
      <c r="F1090" s="68">
        <f>IF(OR(B1090="",A1090=""),"",IF(COUNTIFS('Relevés compteurs'!$B$5:$B$1504,B1090,'Relevés compteurs'!$A$5:$A$1504,"&lt;"&amp;A1090)=0,"",D1090-_xlfn.MAXIFS('Relevés compteurs'!$D$5:$D$1504,'Relevés compteurs'!$B$5:$B$1504,B1090,'Relevés compteurs'!$A$5:$A$1504,"&lt;"&amp;A1090)))</f>
        <v/>
      </c>
    </row>
    <row r="1091">
      <c r="A1091" s="65" t="n"/>
      <c r="B1091" s="7" t="n"/>
      <c r="C1091" s="9">
        <f>IF(B1091="","",IFERROR(INDEX('Équipements'!$B$5:$B$304,MATCH(B1091,'Équipements'!$A$5:$A$304,0)),"Code inconnu"))</f>
        <v/>
      </c>
      <c r="D1091" s="67" t="n"/>
      <c r="E1091" s="7" t="n"/>
      <c r="F1091" s="68">
        <f>IF(OR(B1091="",A1091=""),"",IF(COUNTIFS('Relevés compteurs'!$B$5:$B$1504,B1091,'Relevés compteurs'!$A$5:$A$1504,"&lt;"&amp;A1091)=0,"",D1091-_xlfn.MAXIFS('Relevés compteurs'!$D$5:$D$1504,'Relevés compteurs'!$B$5:$B$1504,B1091,'Relevés compteurs'!$A$5:$A$1504,"&lt;"&amp;A1091)))</f>
        <v/>
      </c>
    </row>
    <row r="1092">
      <c r="A1092" s="65" t="n"/>
      <c r="B1092" s="7" t="n"/>
      <c r="C1092" s="9">
        <f>IF(B1092="","",IFERROR(INDEX('Équipements'!$B$5:$B$304,MATCH(B1092,'Équipements'!$A$5:$A$304,0)),"Code inconnu"))</f>
        <v/>
      </c>
      <c r="D1092" s="67" t="n"/>
      <c r="E1092" s="7" t="n"/>
      <c r="F1092" s="68">
        <f>IF(OR(B1092="",A1092=""),"",IF(COUNTIFS('Relevés compteurs'!$B$5:$B$1504,B1092,'Relevés compteurs'!$A$5:$A$1504,"&lt;"&amp;A1092)=0,"",D1092-_xlfn.MAXIFS('Relevés compteurs'!$D$5:$D$1504,'Relevés compteurs'!$B$5:$B$1504,B1092,'Relevés compteurs'!$A$5:$A$1504,"&lt;"&amp;A1092)))</f>
        <v/>
      </c>
    </row>
    <row r="1093">
      <c r="A1093" s="65" t="n"/>
      <c r="B1093" s="7" t="n"/>
      <c r="C1093" s="9">
        <f>IF(B1093="","",IFERROR(INDEX('Équipements'!$B$5:$B$304,MATCH(B1093,'Équipements'!$A$5:$A$304,0)),"Code inconnu"))</f>
        <v/>
      </c>
      <c r="D1093" s="67" t="n"/>
      <c r="E1093" s="7" t="n"/>
      <c r="F1093" s="68">
        <f>IF(OR(B1093="",A1093=""),"",IF(COUNTIFS('Relevés compteurs'!$B$5:$B$1504,B1093,'Relevés compteurs'!$A$5:$A$1504,"&lt;"&amp;A1093)=0,"",D1093-_xlfn.MAXIFS('Relevés compteurs'!$D$5:$D$1504,'Relevés compteurs'!$B$5:$B$1504,B1093,'Relevés compteurs'!$A$5:$A$1504,"&lt;"&amp;A1093)))</f>
        <v/>
      </c>
    </row>
    <row r="1094">
      <c r="A1094" s="65" t="n"/>
      <c r="B1094" s="7" t="n"/>
      <c r="C1094" s="9">
        <f>IF(B1094="","",IFERROR(INDEX('Équipements'!$B$5:$B$304,MATCH(B1094,'Équipements'!$A$5:$A$304,0)),"Code inconnu"))</f>
        <v/>
      </c>
      <c r="D1094" s="67" t="n"/>
      <c r="E1094" s="7" t="n"/>
      <c r="F1094" s="68">
        <f>IF(OR(B1094="",A1094=""),"",IF(COUNTIFS('Relevés compteurs'!$B$5:$B$1504,B1094,'Relevés compteurs'!$A$5:$A$1504,"&lt;"&amp;A1094)=0,"",D1094-_xlfn.MAXIFS('Relevés compteurs'!$D$5:$D$1504,'Relevés compteurs'!$B$5:$B$1504,B1094,'Relevés compteurs'!$A$5:$A$1504,"&lt;"&amp;A1094)))</f>
        <v/>
      </c>
    </row>
    <row r="1095">
      <c r="A1095" s="65" t="n"/>
      <c r="B1095" s="7" t="n"/>
      <c r="C1095" s="9">
        <f>IF(B1095="","",IFERROR(INDEX('Équipements'!$B$5:$B$304,MATCH(B1095,'Équipements'!$A$5:$A$304,0)),"Code inconnu"))</f>
        <v/>
      </c>
      <c r="D1095" s="67" t="n"/>
      <c r="E1095" s="7" t="n"/>
      <c r="F1095" s="68">
        <f>IF(OR(B1095="",A1095=""),"",IF(COUNTIFS('Relevés compteurs'!$B$5:$B$1504,B1095,'Relevés compteurs'!$A$5:$A$1504,"&lt;"&amp;A1095)=0,"",D1095-_xlfn.MAXIFS('Relevés compteurs'!$D$5:$D$1504,'Relevés compteurs'!$B$5:$B$1504,B1095,'Relevés compteurs'!$A$5:$A$1504,"&lt;"&amp;A1095)))</f>
        <v/>
      </c>
    </row>
    <row r="1096">
      <c r="A1096" s="65" t="n"/>
      <c r="B1096" s="7" t="n"/>
      <c r="C1096" s="9">
        <f>IF(B1096="","",IFERROR(INDEX('Équipements'!$B$5:$B$304,MATCH(B1096,'Équipements'!$A$5:$A$304,0)),"Code inconnu"))</f>
        <v/>
      </c>
      <c r="D1096" s="67" t="n"/>
      <c r="E1096" s="7" t="n"/>
      <c r="F1096" s="68">
        <f>IF(OR(B1096="",A1096=""),"",IF(COUNTIFS('Relevés compteurs'!$B$5:$B$1504,B1096,'Relevés compteurs'!$A$5:$A$1504,"&lt;"&amp;A1096)=0,"",D1096-_xlfn.MAXIFS('Relevés compteurs'!$D$5:$D$1504,'Relevés compteurs'!$B$5:$B$1504,B1096,'Relevés compteurs'!$A$5:$A$1504,"&lt;"&amp;A1096)))</f>
        <v/>
      </c>
    </row>
    <row r="1097">
      <c r="A1097" s="65" t="n"/>
      <c r="B1097" s="7" t="n"/>
      <c r="C1097" s="9">
        <f>IF(B1097="","",IFERROR(INDEX('Équipements'!$B$5:$B$304,MATCH(B1097,'Équipements'!$A$5:$A$304,0)),"Code inconnu"))</f>
        <v/>
      </c>
      <c r="D1097" s="67" t="n"/>
      <c r="E1097" s="7" t="n"/>
      <c r="F1097" s="68">
        <f>IF(OR(B1097="",A1097=""),"",IF(COUNTIFS('Relevés compteurs'!$B$5:$B$1504,B1097,'Relevés compteurs'!$A$5:$A$1504,"&lt;"&amp;A1097)=0,"",D1097-_xlfn.MAXIFS('Relevés compteurs'!$D$5:$D$1504,'Relevés compteurs'!$B$5:$B$1504,B1097,'Relevés compteurs'!$A$5:$A$1504,"&lt;"&amp;A1097)))</f>
        <v/>
      </c>
    </row>
    <row r="1098">
      <c r="A1098" s="65" t="n"/>
      <c r="B1098" s="7" t="n"/>
      <c r="C1098" s="9">
        <f>IF(B1098="","",IFERROR(INDEX('Équipements'!$B$5:$B$304,MATCH(B1098,'Équipements'!$A$5:$A$304,0)),"Code inconnu"))</f>
        <v/>
      </c>
      <c r="D1098" s="67" t="n"/>
      <c r="E1098" s="7" t="n"/>
      <c r="F1098" s="68">
        <f>IF(OR(B1098="",A1098=""),"",IF(COUNTIFS('Relevés compteurs'!$B$5:$B$1504,B1098,'Relevés compteurs'!$A$5:$A$1504,"&lt;"&amp;A1098)=0,"",D1098-_xlfn.MAXIFS('Relevés compteurs'!$D$5:$D$1504,'Relevés compteurs'!$B$5:$B$1504,B1098,'Relevés compteurs'!$A$5:$A$1504,"&lt;"&amp;A1098)))</f>
        <v/>
      </c>
    </row>
    <row r="1099">
      <c r="A1099" s="65" t="n"/>
      <c r="B1099" s="7" t="n"/>
      <c r="C1099" s="9">
        <f>IF(B1099="","",IFERROR(INDEX('Équipements'!$B$5:$B$304,MATCH(B1099,'Équipements'!$A$5:$A$304,0)),"Code inconnu"))</f>
        <v/>
      </c>
      <c r="D1099" s="67" t="n"/>
      <c r="E1099" s="7" t="n"/>
      <c r="F1099" s="68">
        <f>IF(OR(B1099="",A1099=""),"",IF(COUNTIFS('Relevés compteurs'!$B$5:$B$1504,B1099,'Relevés compteurs'!$A$5:$A$1504,"&lt;"&amp;A1099)=0,"",D1099-_xlfn.MAXIFS('Relevés compteurs'!$D$5:$D$1504,'Relevés compteurs'!$B$5:$B$1504,B1099,'Relevés compteurs'!$A$5:$A$1504,"&lt;"&amp;A1099)))</f>
        <v/>
      </c>
    </row>
    <row r="1100">
      <c r="A1100" s="65" t="n"/>
      <c r="B1100" s="7" t="n"/>
      <c r="C1100" s="9">
        <f>IF(B1100="","",IFERROR(INDEX('Équipements'!$B$5:$B$304,MATCH(B1100,'Équipements'!$A$5:$A$304,0)),"Code inconnu"))</f>
        <v/>
      </c>
      <c r="D1100" s="67" t="n"/>
      <c r="E1100" s="7" t="n"/>
      <c r="F1100" s="68">
        <f>IF(OR(B1100="",A1100=""),"",IF(COUNTIFS('Relevés compteurs'!$B$5:$B$1504,B1100,'Relevés compteurs'!$A$5:$A$1504,"&lt;"&amp;A1100)=0,"",D1100-_xlfn.MAXIFS('Relevés compteurs'!$D$5:$D$1504,'Relevés compteurs'!$B$5:$B$1504,B1100,'Relevés compteurs'!$A$5:$A$1504,"&lt;"&amp;A1100)))</f>
        <v/>
      </c>
    </row>
    <row r="1101">
      <c r="A1101" s="65" t="n"/>
      <c r="B1101" s="7" t="n"/>
      <c r="C1101" s="9">
        <f>IF(B1101="","",IFERROR(INDEX('Équipements'!$B$5:$B$304,MATCH(B1101,'Équipements'!$A$5:$A$304,0)),"Code inconnu"))</f>
        <v/>
      </c>
      <c r="D1101" s="67" t="n"/>
      <c r="E1101" s="7" t="n"/>
      <c r="F1101" s="68">
        <f>IF(OR(B1101="",A1101=""),"",IF(COUNTIFS('Relevés compteurs'!$B$5:$B$1504,B1101,'Relevés compteurs'!$A$5:$A$1504,"&lt;"&amp;A1101)=0,"",D1101-_xlfn.MAXIFS('Relevés compteurs'!$D$5:$D$1504,'Relevés compteurs'!$B$5:$B$1504,B1101,'Relevés compteurs'!$A$5:$A$1504,"&lt;"&amp;A1101)))</f>
        <v/>
      </c>
    </row>
    <row r="1102">
      <c r="A1102" s="65" t="n"/>
      <c r="B1102" s="7" t="n"/>
      <c r="C1102" s="9">
        <f>IF(B1102="","",IFERROR(INDEX('Équipements'!$B$5:$B$304,MATCH(B1102,'Équipements'!$A$5:$A$304,0)),"Code inconnu"))</f>
        <v/>
      </c>
      <c r="D1102" s="67" t="n"/>
      <c r="E1102" s="7" t="n"/>
      <c r="F1102" s="68">
        <f>IF(OR(B1102="",A1102=""),"",IF(COUNTIFS('Relevés compteurs'!$B$5:$B$1504,B1102,'Relevés compteurs'!$A$5:$A$1504,"&lt;"&amp;A1102)=0,"",D1102-_xlfn.MAXIFS('Relevés compteurs'!$D$5:$D$1504,'Relevés compteurs'!$B$5:$B$1504,B1102,'Relevés compteurs'!$A$5:$A$1504,"&lt;"&amp;A1102)))</f>
        <v/>
      </c>
    </row>
    <row r="1103">
      <c r="A1103" s="65" t="n"/>
      <c r="B1103" s="7" t="n"/>
      <c r="C1103" s="9">
        <f>IF(B1103="","",IFERROR(INDEX('Équipements'!$B$5:$B$304,MATCH(B1103,'Équipements'!$A$5:$A$304,0)),"Code inconnu"))</f>
        <v/>
      </c>
      <c r="D1103" s="67" t="n"/>
      <c r="E1103" s="7" t="n"/>
      <c r="F1103" s="68">
        <f>IF(OR(B1103="",A1103=""),"",IF(COUNTIFS('Relevés compteurs'!$B$5:$B$1504,B1103,'Relevés compteurs'!$A$5:$A$1504,"&lt;"&amp;A1103)=0,"",D1103-_xlfn.MAXIFS('Relevés compteurs'!$D$5:$D$1504,'Relevés compteurs'!$B$5:$B$1504,B1103,'Relevés compteurs'!$A$5:$A$1504,"&lt;"&amp;A1103)))</f>
        <v/>
      </c>
    </row>
    <row r="1104">
      <c r="A1104" s="65" t="n"/>
      <c r="B1104" s="7" t="n"/>
      <c r="C1104" s="9">
        <f>IF(B1104="","",IFERROR(INDEX('Équipements'!$B$5:$B$304,MATCH(B1104,'Équipements'!$A$5:$A$304,0)),"Code inconnu"))</f>
        <v/>
      </c>
      <c r="D1104" s="67" t="n"/>
      <c r="E1104" s="7" t="n"/>
      <c r="F1104" s="68">
        <f>IF(OR(B1104="",A1104=""),"",IF(COUNTIFS('Relevés compteurs'!$B$5:$B$1504,B1104,'Relevés compteurs'!$A$5:$A$1504,"&lt;"&amp;A1104)=0,"",D1104-_xlfn.MAXIFS('Relevés compteurs'!$D$5:$D$1504,'Relevés compteurs'!$B$5:$B$1504,B1104,'Relevés compteurs'!$A$5:$A$1504,"&lt;"&amp;A1104)))</f>
        <v/>
      </c>
    </row>
    <row r="1105">
      <c r="A1105" s="65" t="n"/>
      <c r="B1105" s="7" t="n"/>
      <c r="C1105" s="9">
        <f>IF(B1105="","",IFERROR(INDEX('Équipements'!$B$5:$B$304,MATCH(B1105,'Équipements'!$A$5:$A$304,0)),"Code inconnu"))</f>
        <v/>
      </c>
      <c r="D1105" s="67" t="n"/>
      <c r="E1105" s="7" t="n"/>
      <c r="F1105" s="68">
        <f>IF(OR(B1105="",A1105=""),"",IF(COUNTIFS('Relevés compteurs'!$B$5:$B$1504,B1105,'Relevés compteurs'!$A$5:$A$1504,"&lt;"&amp;A1105)=0,"",D1105-_xlfn.MAXIFS('Relevés compteurs'!$D$5:$D$1504,'Relevés compteurs'!$B$5:$B$1504,B1105,'Relevés compteurs'!$A$5:$A$1504,"&lt;"&amp;A1105)))</f>
        <v/>
      </c>
    </row>
    <row r="1106">
      <c r="A1106" s="65" t="n"/>
      <c r="B1106" s="7" t="n"/>
      <c r="C1106" s="9">
        <f>IF(B1106="","",IFERROR(INDEX('Équipements'!$B$5:$B$304,MATCH(B1106,'Équipements'!$A$5:$A$304,0)),"Code inconnu"))</f>
        <v/>
      </c>
      <c r="D1106" s="67" t="n"/>
      <c r="E1106" s="7" t="n"/>
      <c r="F1106" s="68">
        <f>IF(OR(B1106="",A1106=""),"",IF(COUNTIFS('Relevés compteurs'!$B$5:$B$1504,B1106,'Relevés compteurs'!$A$5:$A$1504,"&lt;"&amp;A1106)=0,"",D1106-_xlfn.MAXIFS('Relevés compteurs'!$D$5:$D$1504,'Relevés compteurs'!$B$5:$B$1504,B1106,'Relevés compteurs'!$A$5:$A$1504,"&lt;"&amp;A1106)))</f>
        <v/>
      </c>
    </row>
    <row r="1107">
      <c r="A1107" s="65" t="n"/>
      <c r="B1107" s="7" t="n"/>
      <c r="C1107" s="9">
        <f>IF(B1107="","",IFERROR(INDEX('Équipements'!$B$5:$B$304,MATCH(B1107,'Équipements'!$A$5:$A$304,0)),"Code inconnu"))</f>
        <v/>
      </c>
      <c r="D1107" s="67" t="n"/>
      <c r="E1107" s="7" t="n"/>
      <c r="F1107" s="68">
        <f>IF(OR(B1107="",A1107=""),"",IF(COUNTIFS('Relevés compteurs'!$B$5:$B$1504,B1107,'Relevés compteurs'!$A$5:$A$1504,"&lt;"&amp;A1107)=0,"",D1107-_xlfn.MAXIFS('Relevés compteurs'!$D$5:$D$1504,'Relevés compteurs'!$B$5:$B$1504,B1107,'Relevés compteurs'!$A$5:$A$1504,"&lt;"&amp;A1107)))</f>
        <v/>
      </c>
    </row>
    <row r="1108">
      <c r="A1108" s="65" t="n"/>
      <c r="B1108" s="7" t="n"/>
      <c r="C1108" s="9">
        <f>IF(B1108="","",IFERROR(INDEX('Équipements'!$B$5:$B$304,MATCH(B1108,'Équipements'!$A$5:$A$304,0)),"Code inconnu"))</f>
        <v/>
      </c>
      <c r="D1108" s="67" t="n"/>
      <c r="E1108" s="7" t="n"/>
      <c r="F1108" s="68">
        <f>IF(OR(B1108="",A1108=""),"",IF(COUNTIFS('Relevés compteurs'!$B$5:$B$1504,B1108,'Relevés compteurs'!$A$5:$A$1504,"&lt;"&amp;A1108)=0,"",D1108-_xlfn.MAXIFS('Relevés compteurs'!$D$5:$D$1504,'Relevés compteurs'!$B$5:$B$1504,B1108,'Relevés compteurs'!$A$5:$A$1504,"&lt;"&amp;A1108)))</f>
        <v/>
      </c>
    </row>
    <row r="1109">
      <c r="A1109" s="65" t="n"/>
      <c r="B1109" s="7" t="n"/>
      <c r="C1109" s="9">
        <f>IF(B1109="","",IFERROR(INDEX('Équipements'!$B$5:$B$304,MATCH(B1109,'Équipements'!$A$5:$A$304,0)),"Code inconnu"))</f>
        <v/>
      </c>
      <c r="D1109" s="67" t="n"/>
      <c r="E1109" s="7" t="n"/>
      <c r="F1109" s="68">
        <f>IF(OR(B1109="",A1109=""),"",IF(COUNTIFS('Relevés compteurs'!$B$5:$B$1504,B1109,'Relevés compteurs'!$A$5:$A$1504,"&lt;"&amp;A1109)=0,"",D1109-_xlfn.MAXIFS('Relevés compteurs'!$D$5:$D$1504,'Relevés compteurs'!$B$5:$B$1504,B1109,'Relevés compteurs'!$A$5:$A$1504,"&lt;"&amp;A1109)))</f>
        <v/>
      </c>
    </row>
    <row r="1110">
      <c r="A1110" s="65" t="n"/>
      <c r="B1110" s="7" t="n"/>
      <c r="C1110" s="9">
        <f>IF(B1110="","",IFERROR(INDEX('Équipements'!$B$5:$B$304,MATCH(B1110,'Équipements'!$A$5:$A$304,0)),"Code inconnu"))</f>
        <v/>
      </c>
      <c r="D1110" s="67" t="n"/>
      <c r="E1110" s="7" t="n"/>
      <c r="F1110" s="68">
        <f>IF(OR(B1110="",A1110=""),"",IF(COUNTIFS('Relevés compteurs'!$B$5:$B$1504,B1110,'Relevés compteurs'!$A$5:$A$1504,"&lt;"&amp;A1110)=0,"",D1110-_xlfn.MAXIFS('Relevés compteurs'!$D$5:$D$1504,'Relevés compteurs'!$B$5:$B$1504,B1110,'Relevés compteurs'!$A$5:$A$1504,"&lt;"&amp;A1110)))</f>
        <v/>
      </c>
    </row>
    <row r="1111">
      <c r="A1111" s="65" t="n"/>
      <c r="B1111" s="7" t="n"/>
      <c r="C1111" s="9">
        <f>IF(B1111="","",IFERROR(INDEX('Équipements'!$B$5:$B$304,MATCH(B1111,'Équipements'!$A$5:$A$304,0)),"Code inconnu"))</f>
        <v/>
      </c>
      <c r="D1111" s="67" t="n"/>
      <c r="E1111" s="7" t="n"/>
      <c r="F1111" s="68">
        <f>IF(OR(B1111="",A1111=""),"",IF(COUNTIFS('Relevés compteurs'!$B$5:$B$1504,B1111,'Relevés compteurs'!$A$5:$A$1504,"&lt;"&amp;A1111)=0,"",D1111-_xlfn.MAXIFS('Relevés compteurs'!$D$5:$D$1504,'Relevés compteurs'!$B$5:$B$1504,B1111,'Relevés compteurs'!$A$5:$A$1504,"&lt;"&amp;A1111)))</f>
        <v/>
      </c>
    </row>
    <row r="1112">
      <c r="A1112" s="65" t="n"/>
      <c r="B1112" s="7" t="n"/>
      <c r="C1112" s="9">
        <f>IF(B1112="","",IFERROR(INDEX('Équipements'!$B$5:$B$304,MATCH(B1112,'Équipements'!$A$5:$A$304,0)),"Code inconnu"))</f>
        <v/>
      </c>
      <c r="D1112" s="67" t="n"/>
      <c r="E1112" s="7" t="n"/>
      <c r="F1112" s="68">
        <f>IF(OR(B1112="",A1112=""),"",IF(COUNTIFS('Relevés compteurs'!$B$5:$B$1504,B1112,'Relevés compteurs'!$A$5:$A$1504,"&lt;"&amp;A1112)=0,"",D1112-_xlfn.MAXIFS('Relevés compteurs'!$D$5:$D$1504,'Relevés compteurs'!$B$5:$B$1504,B1112,'Relevés compteurs'!$A$5:$A$1504,"&lt;"&amp;A1112)))</f>
        <v/>
      </c>
    </row>
    <row r="1113">
      <c r="A1113" s="65" t="n"/>
      <c r="B1113" s="7" t="n"/>
      <c r="C1113" s="9">
        <f>IF(B1113="","",IFERROR(INDEX('Équipements'!$B$5:$B$304,MATCH(B1113,'Équipements'!$A$5:$A$304,0)),"Code inconnu"))</f>
        <v/>
      </c>
      <c r="D1113" s="67" t="n"/>
      <c r="E1113" s="7" t="n"/>
      <c r="F1113" s="68">
        <f>IF(OR(B1113="",A1113=""),"",IF(COUNTIFS('Relevés compteurs'!$B$5:$B$1504,B1113,'Relevés compteurs'!$A$5:$A$1504,"&lt;"&amp;A1113)=0,"",D1113-_xlfn.MAXIFS('Relevés compteurs'!$D$5:$D$1504,'Relevés compteurs'!$B$5:$B$1504,B1113,'Relevés compteurs'!$A$5:$A$1504,"&lt;"&amp;A1113)))</f>
        <v/>
      </c>
    </row>
    <row r="1114">
      <c r="A1114" s="65" t="n"/>
      <c r="B1114" s="7" t="n"/>
      <c r="C1114" s="9">
        <f>IF(B1114="","",IFERROR(INDEX('Équipements'!$B$5:$B$304,MATCH(B1114,'Équipements'!$A$5:$A$304,0)),"Code inconnu"))</f>
        <v/>
      </c>
      <c r="D1114" s="67" t="n"/>
      <c r="E1114" s="7" t="n"/>
      <c r="F1114" s="68">
        <f>IF(OR(B1114="",A1114=""),"",IF(COUNTIFS('Relevés compteurs'!$B$5:$B$1504,B1114,'Relevés compteurs'!$A$5:$A$1504,"&lt;"&amp;A1114)=0,"",D1114-_xlfn.MAXIFS('Relevés compteurs'!$D$5:$D$1504,'Relevés compteurs'!$B$5:$B$1504,B1114,'Relevés compteurs'!$A$5:$A$1504,"&lt;"&amp;A1114)))</f>
        <v/>
      </c>
    </row>
    <row r="1115">
      <c r="A1115" s="65" t="n"/>
      <c r="B1115" s="7" t="n"/>
      <c r="C1115" s="9">
        <f>IF(B1115="","",IFERROR(INDEX('Équipements'!$B$5:$B$304,MATCH(B1115,'Équipements'!$A$5:$A$304,0)),"Code inconnu"))</f>
        <v/>
      </c>
      <c r="D1115" s="67" t="n"/>
      <c r="E1115" s="7" t="n"/>
      <c r="F1115" s="68">
        <f>IF(OR(B1115="",A1115=""),"",IF(COUNTIFS('Relevés compteurs'!$B$5:$B$1504,B1115,'Relevés compteurs'!$A$5:$A$1504,"&lt;"&amp;A1115)=0,"",D1115-_xlfn.MAXIFS('Relevés compteurs'!$D$5:$D$1504,'Relevés compteurs'!$B$5:$B$1504,B1115,'Relevés compteurs'!$A$5:$A$1504,"&lt;"&amp;A1115)))</f>
        <v/>
      </c>
    </row>
    <row r="1116">
      <c r="A1116" s="65" t="n"/>
      <c r="B1116" s="7" t="n"/>
      <c r="C1116" s="9">
        <f>IF(B1116="","",IFERROR(INDEX('Équipements'!$B$5:$B$304,MATCH(B1116,'Équipements'!$A$5:$A$304,0)),"Code inconnu"))</f>
        <v/>
      </c>
      <c r="D1116" s="67" t="n"/>
      <c r="E1116" s="7" t="n"/>
      <c r="F1116" s="68">
        <f>IF(OR(B1116="",A1116=""),"",IF(COUNTIFS('Relevés compteurs'!$B$5:$B$1504,B1116,'Relevés compteurs'!$A$5:$A$1504,"&lt;"&amp;A1116)=0,"",D1116-_xlfn.MAXIFS('Relevés compteurs'!$D$5:$D$1504,'Relevés compteurs'!$B$5:$B$1504,B1116,'Relevés compteurs'!$A$5:$A$1504,"&lt;"&amp;A1116)))</f>
        <v/>
      </c>
    </row>
    <row r="1117">
      <c r="A1117" s="65" t="n"/>
      <c r="B1117" s="7" t="n"/>
      <c r="C1117" s="9">
        <f>IF(B1117="","",IFERROR(INDEX('Équipements'!$B$5:$B$304,MATCH(B1117,'Équipements'!$A$5:$A$304,0)),"Code inconnu"))</f>
        <v/>
      </c>
      <c r="D1117" s="67" t="n"/>
      <c r="E1117" s="7" t="n"/>
      <c r="F1117" s="68">
        <f>IF(OR(B1117="",A1117=""),"",IF(COUNTIFS('Relevés compteurs'!$B$5:$B$1504,B1117,'Relevés compteurs'!$A$5:$A$1504,"&lt;"&amp;A1117)=0,"",D1117-_xlfn.MAXIFS('Relevés compteurs'!$D$5:$D$1504,'Relevés compteurs'!$B$5:$B$1504,B1117,'Relevés compteurs'!$A$5:$A$1504,"&lt;"&amp;A1117)))</f>
        <v/>
      </c>
    </row>
    <row r="1118">
      <c r="A1118" s="65" t="n"/>
      <c r="B1118" s="7" t="n"/>
      <c r="C1118" s="9">
        <f>IF(B1118="","",IFERROR(INDEX('Équipements'!$B$5:$B$304,MATCH(B1118,'Équipements'!$A$5:$A$304,0)),"Code inconnu"))</f>
        <v/>
      </c>
      <c r="D1118" s="67" t="n"/>
      <c r="E1118" s="7" t="n"/>
      <c r="F1118" s="68">
        <f>IF(OR(B1118="",A1118=""),"",IF(COUNTIFS('Relevés compteurs'!$B$5:$B$1504,B1118,'Relevés compteurs'!$A$5:$A$1504,"&lt;"&amp;A1118)=0,"",D1118-_xlfn.MAXIFS('Relevés compteurs'!$D$5:$D$1504,'Relevés compteurs'!$B$5:$B$1504,B1118,'Relevés compteurs'!$A$5:$A$1504,"&lt;"&amp;A1118)))</f>
        <v/>
      </c>
    </row>
    <row r="1119">
      <c r="A1119" s="65" t="n"/>
      <c r="B1119" s="7" t="n"/>
      <c r="C1119" s="9">
        <f>IF(B1119="","",IFERROR(INDEX('Équipements'!$B$5:$B$304,MATCH(B1119,'Équipements'!$A$5:$A$304,0)),"Code inconnu"))</f>
        <v/>
      </c>
      <c r="D1119" s="67" t="n"/>
      <c r="E1119" s="7" t="n"/>
      <c r="F1119" s="68">
        <f>IF(OR(B1119="",A1119=""),"",IF(COUNTIFS('Relevés compteurs'!$B$5:$B$1504,B1119,'Relevés compteurs'!$A$5:$A$1504,"&lt;"&amp;A1119)=0,"",D1119-_xlfn.MAXIFS('Relevés compteurs'!$D$5:$D$1504,'Relevés compteurs'!$B$5:$B$1504,B1119,'Relevés compteurs'!$A$5:$A$1504,"&lt;"&amp;A1119)))</f>
        <v/>
      </c>
    </row>
    <row r="1120">
      <c r="A1120" s="65" t="n"/>
      <c r="B1120" s="7" t="n"/>
      <c r="C1120" s="9">
        <f>IF(B1120="","",IFERROR(INDEX('Équipements'!$B$5:$B$304,MATCH(B1120,'Équipements'!$A$5:$A$304,0)),"Code inconnu"))</f>
        <v/>
      </c>
      <c r="D1120" s="67" t="n"/>
      <c r="E1120" s="7" t="n"/>
      <c r="F1120" s="68">
        <f>IF(OR(B1120="",A1120=""),"",IF(COUNTIFS('Relevés compteurs'!$B$5:$B$1504,B1120,'Relevés compteurs'!$A$5:$A$1504,"&lt;"&amp;A1120)=0,"",D1120-_xlfn.MAXIFS('Relevés compteurs'!$D$5:$D$1504,'Relevés compteurs'!$B$5:$B$1504,B1120,'Relevés compteurs'!$A$5:$A$1504,"&lt;"&amp;A1120)))</f>
        <v/>
      </c>
    </row>
    <row r="1121">
      <c r="A1121" s="65" t="n"/>
      <c r="B1121" s="7" t="n"/>
      <c r="C1121" s="9">
        <f>IF(B1121="","",IFERROR(INDEX('Équipements'!$B$5:$B$304,MATCH(B1121,'Équipements'!$A$5:$A$304,0)),"Code inconnu"))</f>
        <v/>
      </c>
      <c r="D1121" s="67" t="n"/>
      <c r="E1121" s="7" t="n"/>
      <c r="F1121" s="68">
        <f>IF(OR(B1121="",A1121=""),"",IF(COUNTIFS('Relevés compteurs'!$B$5:$B$1504,B1121,'Relevés compteurs'!$A$5:$A$1504,"&lt;"&amp;A1121)=0,"",D1121-_xlfn.MAXIFS('Relevés compteurs'!$D$5:$D$1504,'Relevés compteurs'!$B$5:$B$1504,B1121,'Relevés compteurs'!$A$5:$A$1504,"&lt;"&amp;A1121)))</f>
        <v/>
      </c>
    </row>
    <row r="1122">
      <c r="A1122" s="65" t="n"/>
      <c r="B1122" s="7" t="n"/>
      <c r="C1122" s="9">
        <f>IF(B1122="","",IFERROR(INDEX('Équipements'!$B$5:$B$304,MATCH(B1122,'Équipements'!$A$5:$A$304,0)),"Code inconnu"))</f>
        <v/>
      </c>
      <c r="D1122" s="67" t="n"/>
      <c r="E1122" s="7" t="n"/>
      <c r="F1122" s="68">
        <f>IF(OR(B1122="",A1122=""),"",IF(COUNTIFS('Relevés compteurs'!$B$5:$B$1504,B1122,'Relevés compteurs'!$A$5:$A$1504,"&lt;"&amp;A1122)=0,"",D1122-_xlfn.MAXIFS('Relevés compteurs'!$D$5:$D$1504,'Relevés compteurs'!$B$5:$B$1504,B1122,'Relevés compteurs'!$A$5:$A$1504,"&lt;"&amp;A1122)))</f>
        <v/>
      </c>
    </row>
    <row r="1123">
      <c r="A1123" s="65" t="n"/>
      <c r="B1123" s="7" t="n"/>
      <c r="C1123" s="9">
        <f>IF(B1123="","",IFERROR(INDEX('Équipements'!$B$5:$B$304,MATCH(B1123,'Équipements'!$A$5:$A$304,0)),"Code inconnu"))</f>
        <v/>
      </c>
      <c r="D1123" s="67" t="n"/>
      <c r="E1123" s="7" t="n"/>
      <c r="F1123" s="68">
        <f>IF(OR(B1123="",A1123=""),"",IF(COUNTIFS('Relevés compteurs'!$B$5:$B$1504,B1123,'Relevés compteurs'!$A$5:$A$1504,"&lt;"&amp;A1123)=0,"",D1123-_xlfn.MAXIFS('Relevés compteurs'!$D$5:$D$1504,'Relevés compteurs'!$B$5:$B$1504,B1123,'Relevés compteurs'!$A$5:$A$1504,"&lt;"&amp;A1123)))</f>
        <v/>
      </c>
    </row>
    <row r="1124">
      <c r="A1124" s="65" t="n"/>
      <c r="B1124" s="7" t="n"/>
      <c r="C1124" s="9">
        <f>IF(B1124="","",IFERROR(INDEX('Équipements'!$B$5:$B$304,MATCH(B1124,'Équipements'!$A$5:$A$304,0)),"Code inconnu"))</f>
        <v/>
      </c>
      <c r="D1124" s="67" t="n"/>
      <c r="E1124" s="7" t="n"/>
      <c r="F1124" s="68">
        <f>IF(OR(B1124="",A1124=""),"",IF(COUNTIFS('Relevés compteurs'!$B$5:$B$1504,B1124,'Relevés compteurs'!$A$5:$A$1504,"&lt;"&amp;A1124)=0,"",D1124-_xlfn.MAXIFS('Relevés compteurs'!$D$5:$D$1504,'Relevés compteurs'!$B$5:$B$1504,B1124,'Relevés compteurs'!$A$5:$A$1504,"&lt;"&amp;A1124)))</f>
        <v/>
      </c>
    </row>
    <row r="1125">
      <c r="A1125" s="65" t="n"/>
      <c r="B1125" s="7" t="n"/>
      <c r="C1125" s="9">
        <f>IF(B1125="","",IFERROR(INDEX('Équipements'!$B$5:$B$304,MATCH(B1125,'Équipements'!$A$5:$A$304,0)),"Code inconnu"))</f>
        <v/>
      </c>
      <c r="D1125" s="67" t="n"/>
      <c r="E1125" s="7" t="n"/>
      <c r="F1125" s="68">
        <f>IF(OR(B1125="",A1125=""),"",IF(COUNTIFS('Relevés compteurs'!$B$5:$B$1504,B1125,'Relevés compteurs'!$A$5:$A$1504,"&lt;"&amp;A1125)=0,"",D1125-_xlfn.MAXIFS('Relevés compteurs'!$D$5:$D$1504,'Relevés compteurs'!$B$5:$B$1504,B1125,'Relevés compteurs'!$A$5:$A$1504,"&lt;"&amp;A1125)))</f>
        <v/>
      </c>
    </row>
    <row r="1126">
      <c r="A1126" s="65" t="n"/>
      <c r="B1126" s="7" t="n"/>
      <c r="C1126" s="9">
        <f>IF(B1126="","",IFERROR(INDEX('Équipements'!$B$5:$B$304,MATCH(B1126,'Équipements'!$A$5:$A$304,0)),"Code inconnu"))</f>
        <v/>
      </c>
      <c r="D1126" s="67" t="n"/>
      <c r="E1126" s="7" t="n"/>
      <c r="F1126" s="68">
        <f>IF(OR(B1126="",A1126=""),"",IF(COUNTIFS('Relevés compteurs'!$B$5:$B$1504,B1126,'Relevés compteurs'!$A$5:$A$1504,"&lt;"&amp;A1126)=0,"",D1126-_xlfn.MAXIFS('Relevés compteurs'!$D$5:$D$1504,'Relevés compteurs'!$B$5:$B$1504,B1126,'Relevés compteurs'!$A$5:$A$1504,"&lt;"&amp;A1126)))</f>
        <v/>
      </c>
    </row>
    <row r="1127">
      <c r="A1127" s="65" t="n"/>
      <c r="B1127" s="7" t="n"/>
      <c r="C1127" s="9">
        <f>IF(B1127="","",IFERROR(INDEX('Équipements'!$B$5:$B$304,MATCH(B1127,'Équipements'!$A$5:$A$304,0)),"Code inconnu"))</f>
        <v/>
      </c>
      <c r="D1127" s="67" t="n"/>
      <c r="E1127" s="7" t="n"/>
      <c r="F1127" s="68">
        <f>IF(OR(B1127="",A1127=""),"",IF(COUNTIFS('Relevés compteurs'!$B$5:$B$1504,B1127,'Relevés compteurs'!$A$5:$A$1504,"&lt;"&amp;A1127)=0,"",D1127-_xlfn.MAXIFS('Relevés compteurs'!$D$5:$D$1504,'Relevés compteurs'!$B$5:$B$1504,B1127,'Relevés compteurs'!$A$5:$A$1504,"&lt;"&amp;A1127)))</f>
        <v/>
      </c>
    </row>
    <row r="1128">
      <c r="A1128" s="65" t="n"/>
      <c r="B1128" s="7" t="n"/>
      <c r="C1128" s="9">
        <f>IF(B1128="","",IFERROR(INDEX('Équipements'!$B$5:$B$304,MATCH(B1128,'Équipements'!$A$5:$A$304,0)),"Code inconnu"))</f>
        <v/>
      </c>
      <c r="D1128" s="67" t="n"/>
      <c r="E1128" s="7" t="n"/>
      <c r="F1128" s="68">
        <f>IF(OR(B1128="",A1128=""),"",IF(COUNTIFS('Relevés compteurs'!$B$5:$B$1504,B1128,'Relevés compteurs'!$A$5:$A$1504,"&lt;"&amp;A1128)=0,"",D1128-_xlfn.MAXIFS('Relevés compteurs'!$D$5:$D$1504,'Relevés compteurs'!$B$5:$B$1504,B1128,'Relevés compteurs'!$A$5:$A$1504,"&lt;"&amp;A1128)))</f>
        <v/>
      </c>
    </row>
    <row r="1129">
      <c r="A1129" s="65" t="n"/>
      <c r="B1129" s="7" t="n"/>
      <c r="C1129" s="9">
        <f>IF(B1129="","",IFERROR(INDEX('Équipements'!$B$5:$B$304,MATCH(B1129,'Équipements'!$A$5:$A$304,0)),"Code inconnu"))</f>
        <v/>
      </c>
      <c r="D1129" s="67" t="n"/>
      <c r="E1129" s="7" t="n"/>
      <c r="F1129" s="68">
        <f>IF(OR(B1129="",A1129=""),"",IF(COUNTIFS('Relevés compteurs'!$B$5:$B$1504,B1129,'Relevés compteurs'!$A$5:$A$1504,"&lt;"&amp;A1129)=0,"",D1129-_xlfn.MAXIFS('Relevés compteurs'!$D$5:$D$1504,'Relevés compteurs'!$B$5:$B$1504,B1129,'Relevés compteurs'!$A$5:$A$1504,"&lt;"&amp;A1129)))</f>
        <v/>
      </c>
    </row>
    <row r="1130">
      <c r="A1130" s="65" t="n"/>
      <c r="B1130" s="7" t="n"/>
      <c r="C1130" s="9">
        <f>IF(B1130="","",IFERROR(INDEX('Équipements'!$B$5:$B$304,MATCH(B1130,'Équipements'!$A$5:$A$304,0)),"Code inconnu"))</f>
        <v/>
      </c>
      <c r="D1130" s="67" t="n"/>
      <c r="E1130" s="7" t="n"/>
      <c r="F1130" s="68">
        <f>IF(OR(B1130="",A1130=""),"",IF(COUNTIFS('Relevés compteurs'!$B$5:$B$1504,B1130,'Relevés compteurs'!$A$5:$A$1504,"&lt;"&amp;A1130)=0,"",D1130-_xlfn.MAXIFS('Relevés compteurs'!$D$5:$D$1504,'Relevés compteurs'!$B$5:$B$1504,B1130,'Relevés compteurs'!$A$5:$A$1504,"&lt;"&amp;A1130)))</f>
        <v/>
      </c>
    </row>
    <row r="1131">
      <c r="A1131" s="65" t="n"/>
      <c r="B1131" s="7" t="n"/>
      <c r="C1131" s="9">
        <f>IF(B1131="","",IFERROR(INDEX('Équipements'!$B$5:$B$304,MATCH(B1131,'Équipements'!$A$5:$A$304,0)),"Code inconnu"))</f>
        <v/>
      </c>
      <c r="D1131" s="67" t="n"/>
      <c r="E1131" s="7" t="n"/>
      <c r="F1131" s="68">
        <f>IF(OR(B1131="",A1131=""),"",IF(COUNTIFS('Relevés compteurs'!$B$5:$B$1504,B1131,'Relevés compteurs'!$A$5:$A$1504,"&lt;"&amp;A1131)=0,"",D1131-_xlfn.MAXIFS('Relevés compteurs'!$D$5:$D$1504,'Relevés compteurs'!$B$5:$B$1504,B1131,'Relevés compteurs'!$A$5:$A$1504,"&lt;"&amp;A1131)))</f>
        <v/>
      </c>
    </row>
    <row r="1132">
      <c r="A1132" s="65" t="n"/>
      <c r="B1132" s="7" t="n"/>
      <c r="C1132" s="9">
        <f>IF(B1132="","",IFERROR(INDEX('Équipements'!$B$5:$B$304,MATCH(B1132,'Équipements'!$A$5:$A$304,0)),"Code inconnu"))</f>
        <v/>
      </c>
      <c r="D1132" s="67" t="n"/>
      <c r="E1132" s="7" t="n"/>
      <c r="F1132" s="68">
        <f>IF(OR(B1132="",A1132=""),"",IF(COUNTIFS('Relevés compteurs'!$B$5:$B$1504,B1132,'Relevés compteurs'!$A$5:$A$1504,"&lt;"&amp;A1132)=0,"",D1132-_xlfn.MAXIFS('Relevés compteurs'!$D$5:$D$1504,'Relevés compteurs'!$B$5:$B$1504,B1132,'Relevés compteurs'!$A$5:$A$1504,"&lt;"&amp;A1132)))</f>
        <v/>
      </c>
    </row>
    <row r="1133">
      <c r="A1133" s="65" t="n"/>
      <c r="B1133" s="7" t="n"/>
      <c r="C1133" s="9">
        <f>IF(B1133="","",IFERROR(INDEX('Équipements'!$B$5:$B$304,MATCH(B1133,'Équipements'!$A$5:$A$304,0)),"Code inconnu"))</f>
        <v/>
      </c>
      <c r="D1133" s="67" t="n"/>
      <c r="E1133" s="7" t="n"/>
      <c r="F1133" s="68">
        <f>IF(OR(B1133="",A1133=""),"",IF(COUNTIFS('Relevés compteurs'!$B$5:$B$1504,B1133,'Relevés compteurs'!$A$5:$A$1504,"&lt;"&amp;A1133)=0,"",D1133-_xlfn.MAXIFS('Relevés compteurs'!$D$5:$D$1504,'Relevés compteurs'!$B$5:$B$1504,B1133,'Relevés compteurs'!$A$5:$A$1504,"&lt;"&amp;A1133)))</f>
        <v/>
      </c>
    </row>
    <row r="1134">
      <c r="A1134" s="65" t="n"/>
      <c r="B1134" s="7" t="n"/>
      <c r="C1134" s="9">
        <f>IF(B1134="","",IFERROR(INDEX('Équipements'!$B$5:$B$304,MATCH(B1134,'Équipements'!$A$5:$A$304,0)),"Code inconnu"))</f>
        <v/>
      </c>
      <c r="D1134" s="67" t="n"/>
      <c r="E1134" s="7" t="n"/>
      <c r="F1134" s="68">
        <f>IF(OR(B1134="",A1134=""),"",IF(COUNTIFS('Relevés compteurs'!$B$5:$B$1504,B1134,'Relevés compteurs'!$A$5:$A$1504,"&lt;"&amp;A1134)=0,"",D1134-_xlfn.MAXIFS('Relevés compteurs'!$D$5:$D$1504,'Relevés compteurs'!$B$5:$B$1504,B1134,'Relevés compteurs'!$A$5:$A$1504,"&lt;"&amp;A1134)))</f>
        <v/>
      </c>
    </row>
    <row r="1135">
      <c r="A1135" s="65" t="n"/>
      <c r="B1135" s="7" t="n"/>
      <c r="C1135" s="9">
        <f>IF(B1135="","",IFERROR(INDEX('Équipements'!$B$5:$B$304,MATCH(B1135,'Équipements'!$A$5:$A$304,0)),"Code inconnu"))</f>
        <v/>
      </c>
      <c r="D1135" s="67" t="n"/>
      <c r="E1135" s="7" t="n"/>
      <c r="F1135" s="68">
        <f>IF(OR(B1135="",A1135=""),"",IF(COUNTIFS('Relevés compteurs'!$B$5:$B$1504,B1135,'Relevés compteurs'!$A$5:$A$1504,"&lt;"&amp;A1135)=0,"",D1135-_xlfn.MAXIFS('Relevés compteurs'!$D$5:$D$1504,'Relevés compteurs'!$B$5:$B$1504,B1135,'Relevés compteurs'!$A$5:$A$1504,"&lt;"&amp;A1135)))</f>
        <v/>
      </c>
    </row>
    <row r="1136">
      <c r="A1136" s="65" t="n"/>
      <c r="B1136" s="7" t="n"/>
      <c r="C1136" s="9">
        <f>IF(B1136="","",IFERROR(INDEX('Équipements'!$B$5:$B$304,MATCH(B1136,'Équipements'!$A$5:$A$304,0)),"Code inconnu"))</f>
        <v/>
      </c>
      <c r="D1136" s="67" t="n"/>
      <c r="E1136" s="7" t="n"/>
      <c r="F1136" s="68">
        <f>IF(OR(B1136="",A1136=""),"",IF(COUNTIFS('Relevés compteurs'!$B$5:$B$1504,B1136,'Relevés compteurs'!$A$5:$A$1504,"&lt;"&amp;A1136)=0,"",D1136-_xlfn.MAXIFS('Relevés compteurs'!$D$5:$D$1504,'Relevés compteurs'!$B$5:$B$1504,B1136,'Relevés compteurs'!$A$5:$A$1504,"&lt;"&amp;A1136)))</f>
        <v/>
      </c>
    </row>
    <row r="1137">
      <c r="A1137" s="65" t="n"/>
      <c r="B1137" s="7" t="n"/>
      <c r="C1137" s="9">
        <f>IF(B1137="","",IFERROR(INDEX('Équipements'!$B$5:$B$304,MATCH(B1137,'Équipements'!$A$5:$A$304,0)),"Code inconnu"))</f>
        <v/>
      </c>
      <c r="D1137" s="67" t="n"/>
      <c r="E1137" s="7" t="n"/>
      <c r="F1137" s="68">
        <f>IF(OR(B1137="",A1137=""),"",IF(COUNTIFS('Relevés compteurs'!$B$5:$B$1504,B1137,'Relevés compteurs'!$A$5:$A$1504,"&lt;"&amp;A1137)=0,"",D1137-_xlfn.MAXIFS('Relevés compteurs'!$D$5:$D$1504,'Relevés compteurs'!$B$5:$B$1504,B1137,'Relevés compteurs'!$A$5:$A$1504,"&lt;"&amp;A1137)))</f>
        <v/>
      </c>
    </row>
    <row r="1138">
      <c r="A1138" s="65" t="n"/>
      <c r="B1138" s="7" t="n"/>
      <c r="C1138" s="9">
        <f>IF(B1138="","",IFERROR(INDEX('Équipements'!$B$5:$B$304,MATCH(B1138,'Équipements'!$A$5:$A$304,0)),"Code inconnu"))</f>
        <v/>
      </c>
      <c r="D1138" s="67" t="n"/>
      <c r="E1138" s="7" t="n"/>
      <c r="F1138" s="68">
        <f>IF(OR(B1138="",A1138=""),"",IF(COUNTIFS('Relevés compteurs'!$B$5:$B$1504,B1138,'Relevés compteurs'!$A$5:$A$1504,"&lt;"&amp;A1138)=0,"",D1138-_xlfn.MAXIFS('Relevés compteurs'!$D$5:$D$1504,'Relevés compteurs'!$B$5:$B$1504,B1138,'Relevés compteurs'!$A$5:$A$1504,"&lt;"&amp;A1138)))</f>
        <v/>
      </c>
    </row>
    <row r="1139">
      <c r="A1139" s="65" t="n"/>
      <c r="B1139" s="7" t="n"/>
      <c r="C1139" s="9">
        <f>IF(B1139="","",IFERROR(INDEX('Équipements'!$B$5:$B$304,MATCH(B1139,'Équipements'!$A$5:$A$304,0)),"Code inconnu"))</f>
        <v/>
      </c>
      <c r="D1139" s="67" t="n"/>
      <c r="E1139" s="7" t="n"/>
      <c r="F1139" s="68">
        <f>IF(OR(B1139="",A1139=""),"",IF(COUNTIFS('Relevés compteurs'!$B$5:$B$1504,B1139,'Relevés compteurs'!$A$5:$A$1504,"&lt;"&amp;A1139)=0,"",D1139-_xlfn.MAXIFS('Relevés compteurs'!$D$5:$D$1504,'Relevés compteurs'!$B$5:$B$1504,B1139,'Relevés compteurs'!$A$5:$A$1504,"&lt;"&amp;A1139)))</f>
        <v/>
      </c>
    </row>
    <row r="1140">
      <c r="A1140" s="65" t="n"/>
      <c r="B1140" s="7" t="n"/>
      <c r="C1140" s="9">
        <f>IF(B1140="","",IFERROR(INDEX('Équipements'!$B$5:$B$304,MATCH(B1140,'Équipements'!$A$5:$A$304,0)),"Code inconnu"))</f>
        <v/>
      </c>
      <c r="D1140" s="67" t="n"/>
      <c r="E1140" s="7" t="n"/>
      <c r="F1140" s="68">
        <f>IF(OR(B1140="",A1140=""),"",IF(COUNTIFS('Relevés compteurs'!$B$5:$B$1504,B1140,'Relevés compteurs'!$A$5:$A$1504,"&lt;"&amp;A1140)=0,"",D1140-_xlfn.MAXIFS('Relevés compteurs'!$D$5:$D$1504,'Relevés compteurs'!$B$5:$B$1504,B1140,'Relevés compteurs'!$A$5:$A$1504,"&lt;"&amp;A1140)))</f>
        <v/>
      </c>
    </row>
    <row r="1141">
      <c r="A1141" s="65" t="n"/>
      <c r="B1141" s="7" t="n"/>
      <c r="C1141" s="9">
        <f>IF(B1141="","",IFERROR(INDEX('Équipements'!$B$5:$B$304,MATCH(B1141,'Équipements'!$A$5:$A$304,0)),"Code inconnu"))</f>
        <v/>
      </c>
      <c r="D1141" s="67" t="n"/>
      <c r="E1141" s="7" t="n"/>
      <c r="F1141" s="68">
        <f>IF(OR(B1141="",A1141=""),"",IF(COUNTIFS('Relevés compteurs'!$B$5:$B$1504,B1141,'Relevés compteurs'!$A$5:$A$1504,"&lt;"&amp;A1141)=0,"",D1141-_xlfn.MAXIFS('Relevés compteurs'!$D$5:$D$1504,'Relevés compteurs'!$B$5:$B$1504,B1141,'Relevés compteurs'!$A$5:$A$1504,"&lt;"&amp;A1141)))</f>
        <v/>
      </c>
    </row>
    <row r="1142">
      <c r="A1142" s="65" t="n"/>
      <c r="B1142" s="7" t="n"/>
      <c r="C1142" s="9">
        <f>IF(B1142="","",IFERROR(INDEX('Équipements'!$B$5:$B$304,MATCH(B1142,'Équipements'!$A$5:$A$304,0)),"Code inconnu"))</f>
        <v/>
      </c>
      <c r="D1142" s="67" t="n"/>
      <c r="E1142" s="7" t="n"/>
      <c r="F1142" s="68">
        <f>IF(OR(B1142="",A1142=""),"",IF(COUNTIFS('Relevés compteurs'!$B$5:$B$1504,B1142,'Relevés compteurs'!$A$5:$A$1504,"&lt;"&amp;A1142)=0,"",D1142-_xlfn.MAXIFS('Relevés compteurs'!$D$5:$D$1504,'Relevés compteurs'!$B$5:$B$1504,B1142,'Relevés compteurs'!$A$5:$A$1504,"&lt;"&amp;A1142)))</f>
        <v/>
      </c>
    </row>
    <row r="1143">
      <c r="A1143" s="65" t="n"/>
      <c r="B1143" s="7" t="n"/>
      <c r="C1143" s="9">
        <f>IF(B1143="","",IFERROR(INDEX('Équipements'!$B$5:$B$304,MATCH(B1143,'Équipements'!$A$5:$A$304,0)),"Code inconnu"))</f>
        <v/>
      </c>
      <c r="D1143" s="67" t="n"/>
      <c r="E1143" s="7" t="n"/>
      <c r="F1143" s="68">
        <f>IF(OR(B1143="",A1143=""),"",IF(COUNTIFS('Relevés compteurs'!$B$5:$B$1504,B1143,'Relevés compteurs'!$A$5:$A$1504,"&lt;"&amp;A1143)=0,"",D1143-_xlfn.MAXIFS('Relevés compteurs'!$D$5:$D$1504,'Relevés compteurs'!$B$5:$B$1504,B1143,'Relevés compteurs'!$A$5:$A$1504,"&lt;"&amp;A1143)))</f>
        <v/>
      </c>
    </row>
    <row r="1144">
      <c r="A1144" s="65" t="n"/>
      <c r="B1144" s="7" t="n"/>
      <c r="C1144" s="9">
        <f>IF(B1144="","",IFERROR(INDEX('Équipements'!$B$5:$B$304,MATCH(B1144,'Équipements'!$A$5:$A$304,0)),"Code inconnu"))</f>
        <v/>
      </c>
      <c r="D1144" s="67" t="n"/>
      <c r="E1144" s="7" t="n"/>
      <c r="F1144" s="68">
        <f>IF(OR(B1144="",A1144=""),"",IF(COUNTIFS('Relevés compteurs'!$B$5:$B$1504,B1144,'Relevés compteurs'!$A$5:$A$1504,"&lt;"&amp;A1144)=0,"",D1144-_xlfn.MAXIFS('Relevés compteurs'!$D$5:$D$1504,'Relevés compteurs'!$B$5:$B$1504,B1144,'Relevés compteurs'!$A$5:$A$1504,"&lt;"&amp;A1144)))</f>
        <v/>
      </c>
    </row>
    <row r="1145">
      <c r="A1145" s="65" t="n"/>
      <c r="B1145" s="7" t="n"/>
      <c r="C1145" s="9">
        <f>IF(B1145="","",IFERROR(INDEX('Équipements'!$B$5:$B$304,MATCH(B1145,'Équipements'!$A$5:$A$304,0)),"Code inconnu"))</f>
        <v/>
      </c>
      <c r="D1145" s="67" t="n"/>
      <c r="E1145" s="7" t="n"/>
      <c r="F1145" s="68">
        <f>IF(OR(B1145="",A1145=""),"",IF(COUNTIFS('Relevés compteurs'!$B$5:$B$1504,B1145,'Relevés compteurs'!$A$5:$A$1504,"&lt;"&amp;A1145)=0,"",D1145-_xlfn.MAXIFS('Relevés compteurs'!$D$5:$D$1504,'Relevés compteurs'!$B$5:$B$1504,B1145,'Relevés compteurs'!$A$5:$A$1504,"&lt;"&amp;A1145)))</f>
        <v/>
      </c>
    </row>
    <row r="1146">
      <c r="A1146" s="65" t="n"/>
      <c r="B1146" s="7" t="n"/>
      <c r="C1146" s="9">
        <f>IF(B1146="","",IFERROR(INDEX('Équipements'!$B$5:$B$304,MATCH(B1146,'Équipements'!$A$5:$A$304,0)),"Code inconnu"))</f>
        <v/>
      </c>
      <c r="D1146" s="67" t="n"/>
      <c r="E1146" s="7" t="n"/>
      <c r="F1146" s="68">
        <f>IF(OR(B1146="",A1146=""),"",IF(COUNTIFS('Relevés compteurs'!$B$5:$B$1504,B1146,'Relevés compteurs'!$A$5:$A$1504,"&lt;"&amp;A1146)=0,"",D1146-_xlfn.MAXIFS('Relevés compteurs'!$D$5:$D$1504,'Relevés compteurs'!$B$5:$B$1504,B1146,'Relevés compteurs'!$A$5:$A$1504,"&lt;"&amp;A1146)))</f>
        <v/>
      </c>
    </row>
    <row r="1147">
      <c r="A1147" s="65" t="n"/>
      <c r="B1147" s="7" t="n"/>
      <c r="C1147" s="9">
        <f>IF(B1147="","",IFERROR(INDEX('Équipements'!$B$5:$B$304,MATCH(B1147,'Équipements'!$A$5:$A$304,0)),"Code inconnu"))</f>
        <v/>
      </c>
      <c r="D1147" s="67" t="n"/>
      <c r="E1147" s="7" t="n"/>
      <c r="F1147" s="68">
        <f>IF(OR(B1147="",A1147=""),"",IF(COUNTIFS('Relevés compteurs'!$B$5:$B$1504,B1147,'Relevés compteurs'!$A$5:$A$1504,"&lt;"&amp;A1147)=0,"",D1147-_xlfn.MAXIFS('Relevés compteurs'!$D$5:$D$1504,'Relevés compteurs'!$B$5:$B$1504,B1147,'Relevés compteurs'!$A$5:$A$1504,"&lt;"&amp;A1147)))</f>
        <v/>
      </c>
    </row>
    <row r="1148">
      <c r="A1148" s="65" t="n"/>
      <c r="B1148" s="7" t="n"/>
      <c r="C1148" s="9">
        <f>IF(B1148="","",IFERROR(INDEX('Équipements'!$B$5:$B$304,MATCH(B1148,'Équipements'!$A$5:$A$304,0)),"Code inconnu"))</f>
        <v/>
      </c>
      <c r="D1148" s="67" t="n"/>
      <c r="E1148" s="7" t="n"/>
      <c r="F1148" s="68">
        <f>IF(OR(B1148="",A1148=""),"",IF(COUNTIFS('Relevés compteurs'!$B$5:$B$1504,B1148,'Relevés compteurs'!$A$5:$A$1504,"&lt;"&amp;A1148)=0,"",D1148-_xlfn.MAXIFS('Relevés compteurs'!$D$5:$D$1504,'Relevés compteurs'!$B$5:$B$1504,B1148,'Relevés compteurs'!$A$5:$A$1504,"&lt;"&amp;A1148)))</f>
        <v/>
      </c>
    </row>
    <row r="1149">
      <c r="A1149" s="65" t="n"/>
      <c r="B1149" s="7" t="n"/>
      <c r="C1149" s="9">
        <f>IF(B1149="","",IFERROR(INDEX('Équipements'!$B$5:$B$304,MATCH(B1149,'Équipements'!$A$5:$A$304,0)),"Code inconnu"))</f>
        <v/>
      </c>
      <c r="D1149" s="67" t="n"/>
      <c r="E1149" s="7" t="n"/>
      <c r="F1149" s="68">
        <f>IF(OR(B1149="",A1149=""),"",IF(COUNTIFS('Relevés compteurs'!$B$5:$B$1504,B1149,'Relevés compteurs'!$A$5:$A$1504,"&lt;"&amp;A1149)=0,"",D1149-_xlfn.MAXIFS('Relevés compteurs'!$D$5:$D$1504,'Relevés compteurs'!$B$5:$B$1504,B1149,'Relevés compteurs'!$A$5:$A$1504,"&lt;"&amp;A1149)))</f>
        <v/>
      </c>
    </row>
    <row r="1150">
      <c r="A1150" s="65" t="n"/>
      <c r="B1150" s="7" t="n"/>
      <c r="C1150" s="9">
        <f>IF(B1150="","",IFERROR(INDEX('Équipements'!$B$5:$B$304,MATCH(B1150,'Équipements'!$A$5:$A$304,0)),"Code inconnu"))</f>
        <v/>
      </c>
      <c r="D1150" s="67" t="n"/>
      <c r="E1150" s="7" t="n"/>
      <c r="F1150" s="68">
        <f>IF(OR(B1150="",A1150=""),"",IF(COUNTIFS('Relevés compteurs'!$B$5:$B$1504,B1150,'Relevés compteurs'!$A$5:$A$1504,"&lt;"&amp;A1150)=0,"",D1150-_xlfn.MAXIFS('Relevés compteurs'!$D$5:$D$1504,'Relevés compteurs'!$B$5:$B$1504,B1150,'Relevés compteurs'!$A$5:$A$1504,"&lt;"&amp;A1150)))</f>
        <v/>
      </c>
    </row>
    <row r="1151">
      <c r="A1151" s="65" t="n"/>
      <c r="B1151" s="7" t="n"/>
      <c r="C1151" s="9">
        <f>IF(B1151="","",IFERROR(INDEX('Équipements'!$B$5:$B$304,MATCH(B1151,'Équipements'!$A$5:$A$304,0)),"Code inconnu"))</f>
        <v/>
      </c>
      <c r="D1151" s="67" t="n"/>
      <c r="E1151" s="7" t="n"/>
      <c r="F1151" s="68">
        <f>IF(OR(B1151="",A1151=""),"",IF(COUNTIFS('Relevés compteurs'!$B$5:$B$1504,B1151,'Relevés compteurs'!$A$5:$A$1504,"&lt;"&amp;A1151)=0,"",D1151-_xlfn.MAXIFS('Relevés compteurs'!$D$5:$D$1504,'Relevés compteurs'!$B$5:$B$1504,B1151,'Relevés compteurs'!$A$5:$A$1504,"&lt;"&amp;A1151)))</f>
        <v/>
      </c>
    </row>
    <row r="1152">
      <c r="A1152" s="65" t="n"/>
      <c r="B1152" s="7" t="n"/>
      <c r="C1152" s="9">
        <f>IF(B1152="","",IFERROR(INDEX('Équipements'!$B$5:$B$304,MATCH(B1152,'Équipements'!$A$5:$A$304,0)),"Code inconnu"))</f>
        <v/>
      </c>
      <c r="D1152" s="67" t="n"/>
      <c r="E1152" s="7" t="n"/>
      <c r="F1152" s="68">
        <f>IF(OR(B1152="",A1152=""),"",IF(COUNTIFS('Relevés compteurs'!$B$5:$B$1504,B1152,'Relevés compteurs'!$A$5:$A$1504,"&lt;"&amp;A1152)=0,"",D1152-_xlfn.MAXIFS('Relevés compteurs'!$D$5:$D$1504,'Relevés compteurs'!$B$5:$B$1504,B1152,'Relevés compteurs'!$A$5:$A$1504,"&lt;"&amp;A1152)))</f>
        <v/>
      </c>
    </row>
    <row r="1153">
      <c r="A1153" s="65" t="n"/>
      <c r="B1153" s="7" t="n"/>
      <c r="C1153" s="9">
        <f>IF(B1153="","",IFERROR(INDEX('Équipements'!$B$5:$B$304,MATCH(B1153,'Équipements'!$A$5:$A$304,0)),"Code inconnu"))</f>
        <v/>
      </c>
      <c r="D1153" s="67" t="n"/>
      <c r="E1153" s="7" t="n"/>
      <c r="F1153" s="68">
        <f>IF(OR(B1153="",A1153=""),"",IF(COUNTIFS('Relevés compteurs'!$B$5:$B$1504,B1153,'Relevés compteurs'!$A$5:$A$1504,"&lt;"&amp;A1153)=0,"",D1153-_xlfn.MAXIFS('Relevés compteurs'!$D$5:$D$1504,'Relevés compteurs'!$B$5:$B$1504,B1153,'Relevés compteurs'!$A$5:$A$1504,"&lt;"&amp;A1153)))</f>
        <v/>
      </c>
    </row>
    <row r="1154">
      <c r="A1154" s="65" t="n"/>
      <c r="B1154" s="7" t="n"/>
      <c r="C1154" s="9">
        <f>IF(B1154="","",IFERROR(INDEX('Équipements'!$B$5:$B$304,MATCH(B1154,'Équipements'!$A$5:$A$304,0)),"Code inconnu"))</f>
        <v/>
      </c>
      <c r="D1154" s="67" t="n"/>
      <c r="E1154" s="7" t="n"/>
      <c r="F1154" s="68">
        <f>IF(OR(B1154="",A1154=""),"",IF(COUNTIFS('Relevés compteurs'!$B$5:$B$1504,B1154,'Relevés compteurs'!$A$5:$A$1504,"&lt;"&amp;A1154)=0,"",D1154-_xlfn.MAXIFS('Relevés compteurs'!$D$5:$D$1504,'Relevés compteurs'!$B$5:$B$1504,B1154,'Relevés compteurs'!$A$5:$A$1504,"&lt;"&amp;A1154)))</f>
        <v/>
      </c>
    </row>
    <row r="1155">
      <c r="A1155" s="65" t="n"/>
      <c r="B1155" s="7" t="n"/>
      <c r="C1155" s="9">
        <f>IF(B1155="","",IFERROR(INDEX('Équipements'!$B$5:$B$304,MATCH(B1155,'Équipements'!$A$5:$A$304,0)),"Code inconnu"))</f>
        <v/>
      </c>
      <c r="D1155" s="67" t="n"/>
      <c r="E1155" s="7" t="n"/>
      <c r="F1155" s="68">
        <f>IF(OR(B1155="",A1155=""),"",IF(COUNTIFS('Relevés compteurs'!$B$5:$B$1504,B1155,'Relevés compteurs'!$A$5:$A$1504,"&lt;"&amp;A1155)=0,"",D1155-_xlfn.MAXIFS('Relevés compteurs'!$D$5:$D$1504,'Relevés compteurs'!$B$5:$B$1504,B1155,'Relevés compteurs'!$A$5:$A$1504,"&lt;"&amp;A1155)))</f>
        <v/>
      </c>
    </row>
    <row r="1156">
      <c r="A1156" s="65" t="n"/>
      <c r="B1156" s="7" t="n"/>
      <c r="C1156" s="9">
        <f>IF(B1156="","",IFERROR(INDEX('Équipements'!$B$5:$B$304,MATCH(B1156,'Équipements'!$A$5:$A$304,0)),"Code inconnu"))</f>
        <v/>
      </c>
      <c r="D1156" s="67" t="n"/>
      <c r="E1156" s="7" t="n"/>
      <c r="F1156" s="68">
        <f>IF(OR(B1156="",A1156=""),"",IF(COUNTIFS('Relevés compteurs'!$B$5:$B$1504,B1156,'Relevés compteurs'!$A$5:$A$1504,"&lt;"&amp;A1156)=0,"",D1156-_xlfn.MAXIFS('Relevés compteurs'!$D$5:$D$1504,'Relevés compteurs'!$B$5:$B$1504,B1156,'Relevés compteurs'!$A$5:$A$1504,"&lt;"&amp;A1156)))</f>
        <v/>
      </c>
    </row>
    <row r="1157">
      <c r="A1157" s="65" t="n"/>
      <c r="B1157" s="7" t="n"/>
      <c r="C1157" s="9">
        <f>IF(B1157="","",IFERROR(INDEX('Équipements'!$B$5:$B$304,MATCH(B1157,'Équipements'!$A$5:$A$304,0)),"Code inconnu"))</f>
        <v/>
      </c>
      <c r="D1157" s="67" t="n"/>
      <c r="E1157" s="7" t="n"/>
      <c r="F1157" s="68">
        <f>IF(OR(B1157="",A1157=""),"",IF(COUNTIFS('Relevés compteurs'!$B$5:$B$1504,B1157,'Relevés compteurs'!$A$5:$A$1504,"&lt;"&amp;A1157)=0,"",D1157-_xlfn.MAXIFS('Relevés compteurs'!$D$5:$D$1504,'Relevés compteurs'!$B$5:$B$1504,B1157,'Relevés compteurs'!$A$5:$A$1504,"&lt;"&amp;A1157)))</f>
        <v/>
      </c>
    </row>
    <row r="1158">
      <c r="A1158" s="65" t="n"/>
      <c r="B1158" s="7" t="n"/>
      <c r="C1158" s="9">
        <f>IF(B1158="","",IFERROR(INDEX('Équipements'!$B$5:$B$304,MATCH(B1158,'Équipements'!$A$5:$A$304,0)),"Code inconnu"))</f>
        <v/>
      </c>
      <c r="D1158" s="67" t="n"/>
      <c r="E1158" s="7" t="n"/>
      <c r="F1158" s="68">
        <f>IF(OR(B1158="",A1158=""),"",IF(COUNTIFS('Relevés compteurs'!$B$5:$B$1504,B1158,'Relevés compteurs'!$A$5:$A$1504,"&lt;"&amp;A1158)=0,"",D1158-_xlfn.MAXIFS('Relevés compteurs'!$D$5:$D$1504,'Relevés compteurs'!$B$5:$B$1504,B1158,'Relevés compteurs'!$A$5:$A$1504,"&lt;"&amp;A1158)))</f>
        <v/>
      </c>
    </row>
    <row r="1159">
      <c r="A1159" s="65" t="n"/>
      <c r="B1159" s="7" t="n"/>
      <c r="C1159" s="9">
        <f>IF(B1159="","",IFERROR(INDEX('Équipements'!$B$5:$B$304,MATCH(B1159,'Équipements'!$A$5:$A$304,0)),"Code inconnu"))</f>
        <v/>
      </c>
      <c r="D1159" s="67" t="n"/>
      <c r="E1159" s="7" t="n"/>
      <c r="F1159" s="68">
        <f>IF(OR(B1159="",A1159=""),"",IF(COUNTIFS('Relevés compteurs'!$B$5:$B$1504,B1159,'Relevés compteurs'!$A$5:$A$1504,"&lt;"&amp;A1159)=0,"",D1159-_xlfn.MAXIFS('Relevés compteurs'!$D$5:$D$1504,'Relevés compteurs'!$B$5:$B$1504,B1159,'Relevés compteurs'!$A$5:$A$1504,"&lt;"&amp;A1159)))</f>
        <v/>
      </c>
    </row>
    <row r="1160">
      <c r="A1160" s="65" t="n"/>
      <c r="B1160" s="7" t="n"/>
      <c r="C1160" s="9">
        <f>IF(B1160="","",IFERROR(INDEX('Équipements'!$B$5:$B$304,MATCH(B1160,'Équipements'!$A$5:$A$304,0)),"Code inconnu"))</f>
        <v/>
      </c>
      <c r="D1160" s="67" t="n"/>
      <c r="E1160" s="7" t="n"/>
      <c r="F1160" s="68">
        <f>IF(OR(B1160="",A1160=""),"",IF(COUNTIFS('Relevés compteurs'!$B$5:$B$1504,B1160,'Relevés compteurs'!$A$5:$A$1504,"&lt;"&amp;A1160)=0,"",D1160-_xlfn.MAXIFS('Relevés compteurs'!$D$5:$D$1504,'Relevés compteurs'!$B$5:$B$1504,B1160,'Relevés compteurs'!$A$5:$A$1504,"&lt;"&amp;A1160)))</f>
        <v/>
      </c>
    </row>
    <row r="1161">
      <c r="A1161" s="65" t="n"/>
      <c r="B1161" s="7" t="n"/>
      <c r="C1161" s="9">
        <f>IF(B1161="","",IFERROR(INDEX('Équipements'!$B$5:$B$304,MATCH(B1161,'Équipements'!$A$5:$A$304,0)),"Code inconnu"))</f>
        <v/>
      </c>
      <c r="D1161" s="67" t="n"/>
      <c r="E1161" s="7" t="n"/>
      <c r="F1161" s="68">
        <f>IF(OR(B1161="",A1161=""),"",IF(COUNTIFS('Relevés compteurs'!$B$5:$B$1504,B1161,'Relevés compteurs'!$A$5:$A$1504,"&lt;"&amp;A1161)=0,"",D1161-_xlfn.MAXIFS('Relevés compteurs'!$D$5:$D$1504,'Relevés compteurs'!$B$5:$B$1504,B1161,'Relevés compteurs'!$A$5:$A$1504,"&lt;"&amp;A1161)))</f>
        <v/>
      </c>
    </row>
    <row r="1162">
      <c r="A1162" s="65" t="n"/>
      <c r="B1162" s="7" t="n"/>
      <c r="C1162" s="9">
        <f>IF(B1162="","",IFERROR(INDEX('Équipements'!$B$5:$B$304,MATCH(B1162,'Équipements'!$A$5:$A$304,0)),"Code inconnu"))</f>
        <v/>
      </c>
      <c r="D1162" s="67" t="n"/>
      <c r="E1162" s="7" t="n"/>
      <c r="F1162" s="68">
        <f>IF(OR(B1162="",A1162=""),"",IF(COUNTIFS('Relevés compteurs'!$B$5:$B$1504,B1162,'Relevés compteurs'!$A$5:$A$1504,"&lt;"&amp;A1162)=0,"",D1162-_xlfn.MAXIFS('Relevés compteurs'!$D$5:$D$1504,'Relevés compteurs'!$B$5:$B$1504,B1162,'Relevés compteurs'!$A$5:$A$1504,"&lt;"&amp;A1162)))</f>
        <v/>
      </c>
    </row>
    <row r="1163">
      <c r="A1163" s="65" t="n"/>
      <c r="B1163" s="7" t="n"/>
      <c r="C1163" s="9">
        <f>IF(B1163="","",IFERROR(INDEX('Équipements'!$B$5:$B$304,MATCH(B1163,'Équipements'!$A$5:$A$304,0)),"Code inconnu"))</f>
        <v/>
      </c>
      <c r="D1163" s="67" t="n"/>
      <c r="E1163" s="7" t="n"/>
      <c r="F1163" s="68">
        <f>IF(OR(B1163="",A1163=""),"",IF(COUNTIFS('Relevés compteurs'!$B$5:$B$1504,B1163,'Relevés compteurs'!$A$5:$A$1504,"&lt;"&amp;A1163)=0,"",D1163-_xlfn.MAXIFS('Relevés compteurs'!$D$5:$D$1504,'Relevés compteurs'!$B$5:$B$1504,B1163,'Relevés compteurs'!$A$5:$A$1504,"&lt;"&amp;A1163)))</f>
        <v/>
      </c>
    </row>
    <row r="1164">
      <c r="A1164" s="65" t="n"/>
      <c r="B1164" s="7" t="n"/>
      <c r="C1164" s="9">
        <f>IF(B1164="","",IFERROR(INDEX('Équipements'!$B$5:$B$304,MATCH(B1164,'Équipements'!$A$5:$A$304,0)),"Code inconnu"))</f>
        <v/>
      </c>
      <c r="D1164" s="67" t="n"/>
      <c r="E1164" s="7" t="n"/>
      <c r="F1164" s="68">
        <f>IF(OR(B1164="",A1164=""),"",IF(COUNTIFS('Relevés compteurs'!$B$5:$B$1504,B1164,'Relevés compteurs'!$A$5:$A$1504,"&lt;"&amp;A1164)=0,"",D1164-_xlfn.MAXIFS('Relevés compteurs'!$D$5:$D$1504,'Relevés compteurs'!$B$5:$B$1504,B1164,'Relevés compteurs'!$A$5:$A$1504,"&lt;"&amp;A1164)))</f>
        <v/>
      </c>
    </row>
    <row r="1165">
      <c r="A1165" s="65" t="n"/>
      <c r="B1165" s="7" t="n"/>
      <c r="C1165" s="9">
        <f>IF(B1165="","",IFERROR(INDEX('Équipements'!$B$5:$B$304,MATCH(B1165,'Équipements'!$A$5:$A$304,0)),"Code inconnu"))</f>
        <v/>
      </c>
      <c r="D1165" s="67" t="n"/>
      <c r="E1165" s="7" t="n"/>
      <c r="F1165" s="68">
        <f>IF(OR(B1165="",A1165=""),"",IF(COUNTIFS('Relevés compteurs'!$B$5:$B$1504,B1165,'Relevés compteurs'!$A$5:$A$1504,"&lt;"&amp;A1165)=0,"",D1165-_xlfn.MAXIFS('Relevés compteurs'!$D$5:$D$1504,'Relevés compteurs'!$B$5:$B$1504,B1165,'Relevés compteurs'!$A$5:$A$1504,"&lt;"&amp;A1165)))</f>
        <v/>
      </c>
    </row>
    <row r="1166">
      <c r="A1166" s="65" t="n"/>
      <c r="B1166" s="7" t="n"/>
      <c r="C1166" s="9">
        <f>IF(B1166="","",IFERROR(INDEX('Équipements'!$B$5:$B$304,MATCH(B1166,'Équipements'!$A$5:$A$304,0)),"Code inconnu"))</f>
        <v/>
      </c>
      <c r="D1166" s="67" t="n"/>
      <c r="E1166" s="7" t="n"/>
      <c r="F1166" s="68">
        <f>IF(OR(B1166="",A1166=""),"",IF(COUNTIFS('Relevés compteurs'!$B$5:$B$1504,B1166,'Relevés compteurs'!$A$5:$A$1504,"&lt;"&amp;A1166)=0,"",D1166-_xlfn.MAXIFS('Relevés compteurs'!$D$5:$D$1504,'Relevés compteurs'!$B$5:$B$1504,B1166,'Relevés compteurs'!$A$5:$A$1504,"&lt;"&amp;A1166)))</f>
        <v/>
      </c>
    </row>
    <row r="1167">
      <c r="A1167" s="65" t="n"/>
      <c r="B1167" s="7" t="n"/>
      <c r="C1167" s="9">
        <f>IF(B1167="","",IFERROR(INDEX('Équipements'!$B$5:$B$304,MATCH(B1167,'Équipements'!$A$5:$A$304,0)),"Code inconnu"))</f>
        <v/>
      </c>
      <c r="D1167" s="67" t="n"/>
      <c r="E1167" s="7" t="n"/>
      <c r="F1167" s="68">
        <f>IF(OR(B1167="",A1167=""),"",IF(COUNTIFS('Relevés compteurs'!$B$5:$B$1504,B1167,'Relevés compteurs'!$A$5:$A$1504,"&lt;"&amp;A1167)=0,"",D1167-_xlfn.MAXIFS('Relevés compteurs'!$D$5:$D$1504,'Relevés compteurs'!$B$5:$B$1504,B1167,'Relevés compteurs'!$A$5:$A$1504,"&lt;"&amp;A1167)))</f>
        <v/>
      </c>
    </row>
    <row r="1168">
      <c r="A1168" s="65" t="n"/>
      <c r="B1168" s="7" t="n"/>
      <c r="C1168" s="9">
        <f>IF(B1168="","",IFERROR(INDEX('Équipements'!$B$5:$B$304,MATCH(B1168,'Équipements'!$A$5:$A$304,0)),"Code inconnu"))</f>
        <v/>
      </c>
      <c r="D1168" s="67" t="n"/>
      <c r="E1168" s="7" t="n"/>
      <c r="F1168" s="68">
        <f>IF(OR(B1168="",A1168=""),"",IF(COUNTIFS('Relevés compteurs'!$B$5:$B$1504,B1168,'Relevés compteurs'!$A$5:$A$1504,"&lt;"&amp;A1168)=0,"",D1168-_xlfn.MAXIFS('Relevés compteurs'!$D$5:$D$1504,'Relevés compteurs'!$B$5:$B$1504,B1168,'Relevés compteurs'!$A$5:$A$1504,"&lt;"&amp;A1168)))</f>
        <v/>
      </c>
    </row>
    <row r="1169">
      <c r="A1169" s="65" t="n"/>
      <c r="B1169" s="7" t="n"/>
      <c r="C1169" s="9">
        <f>IF(B1169="","",IFERROR(INDEX('Équipements'!$B$5:$B$304,MATCH(B1169,'Équipements'!$A$5:$A$304,0)),"Code inconnu"))</f>
        <v/>
      </c>
      <c r="D1169" s="67" t="n"/>
      <c r="E1169" s="7" t="n"/>
      <c r="F1169" s="68">
        <f>IF(OR(B1169="",A1169=""),"",IF(COUNTIFS('Relevés compteurs'!$B$5:$B$1504,B1169,'Relevés compteurs'!$A$5:$A$1504,"&lt;"&amp;A1169)=0,"",D1169-_xlfn.MAXIFS('Relevés compteurs'!$D$5:$D$1504,'Relevés compteurs'!$B$5:$B$1504,B1169,'Relevés compteurs'!$A$5:$A$1504,"&lt;"&amp;A1169)))</f>
        <v/>
      </c>
    </row>
    <row r="1170">
      <c r="A1170" s="65" t="n"/>
      <c r="B1170" s="7" t="n"/>
      <c r="C1170" s="9">
        <f>IF(B1170="","",IFERROR(INDEX('Équipements'!$B$5:$B$304,MATCH(B1170,'Équipements'!$A$5:$A$304,0)),"Code inconnu"))</f>
        <v/>
      </c>
      <c r="D1170" s="67" t="n"/>
      <c r="E1170" s="7" t="n"/>
      <c r="F1170" s="68">
        <f>IF(OR(B1170="",A1170=""),"",IF(COUNTIFS('Relevés compteurs'!$B$5:$B$1504,B1170,'Relevés compteurs'!$A$5:$A$1504,"&lt;"&amp;A1170)=0,"",D1170-_xlfn.MAXIFS('Relevés compteurs'!$D$5:$D$1504,'Relevés compteurs'!$B$5:$B$1504,B1170,'Relevés compteurs'!$A$5:$A$1504,"&lt;"&amp;A1170)))</f>
        <v/>
      </c>
    </row>
    <row r="1171">
      <c r="A1171" s="65" t="n"/>
      <c r="B1171" s="7" t="n"/>
      <c r="C1171" s="9">
        <f>IF(B1171="","",IFERROR(INDEX('Équipements'!$B$5:$B$304,MATCH(B1171,'Équipements'!$A$5:$A$304,0)),"Code inconnu"))</f>
        <v/>
      </c>
      <c r="D1171" s="67" t="n"/>
      <c r="E1171" s="7" t="n"/>
      <c r="F1171" s="68">
        <f>IF(OR(B1171="",A1171=""),"",IF(COUNTIFS('Relevés compteurs'!$B$5:$B$1504,B1171,'Relevés compteurs'!$A$5:$A$1504,"&lt;"&amp;A1171)=0,"",D1171-_xlfn.MAXIFS('Relevés compteurs'!$D$5:$D$1504,'Relevés compteurs'!$B$5:$B$1504,B1171,'Relevés compteurs'!$A$5:$A$1504,"&lt;"&amp;A1171)))</f>
        <v/>
      </c>
    </row>
    <row r="1172">
      <c r="A1172" s="65" t="n"/>
      <c r="B1172" s="7" t="n"/>
      <c r="C1172" s="9">
        <f>IF(B1172="","",IFERROR(INDEX('Équipements'!$B$5:$B$304,MATCH(B1172,'Équipements'!$A$5:$A$304,0)),"Code inconnu"))</f>
        <v/>
      </c>
      <c r="D1172" s="67" t="n"/>
      <c r="E1172" s="7" t="n"/>
      <c r="F1172" s="68">
        <f>IF(OR(B1172="",A1172=""),"",IF(COUNTIFS('Relevés compteurs'!$B$5:$B$1504,B1172,'Relevés compteurs'!$A$5:$A$1504,"&lt;"&amp;A1172)=0,"",D1172-_xlfn.MAXIFS('Relevés compteurs'!$D$5:$D$1504,'Relevés compteurs'!$B$5:$B$1504,B1172,'Relevés compteurs'!$A$5:$A$1504,"&lt;"&amp;A1172)))</f>
        <v/>
      </c>
    </row>
    <row r="1173">
      <c r="A1173" s="65" t="n"/>
      <c r="B1173" s="7" t="n"/>
      <c r="C1173" s="9">
        <f>IF(B1173="","",IFERROR(INDEX('Équipements'!$B$5:$B$304,MATCH(B1173,'Équipements'!$A$5:$A$304,0)),"Code inconnu"))</f>
        <v/>
      </c>
      <c r="D1173" s="67" t="n"/>
      <c r="E1173" s="7" t="n"/>
      <c r="F1173" s="68">
        <f>IF(OR(B1173="",A1173=""),"",IF(COUNTIFS('Relevés compteurs'!$B$5:$B$1504,B1173,'Relevés compteurs'!$A$5:$A$1504,"&lt;"&amp;A1173)=0,"",D1173-_xlfn.MAXIFS('Relevés compteurs'!$D$5:$D$1504,'Relevés compteurs'!$B$5:$B$1504,B1173,'Relevés compteurs'!$A$5:$A$1504,"&lt;"&amp;A1173)))</f>
        <v/>
      </c>
    </row>
    <row r="1174">
      <c r="A1174" s="65" t="n"/>
      <c r="B1174" s="7" t="n"/>
      <c r="C1174" s="9">
        <f>IF(B1174="","",IFERROR(INDEX('Équipements'!$B$5:$B$304,MATCH(B1174,'Équipements'!$A$5:$A$304,0)),"Code inconnu"))</f>
        <v/>
      </c>
      <c r="D1174" s="67" t="n"/>
      <c r="E1174" s="7" t="n"/>
      <c r="F1174" s="68">
        <f>IF(OR(B1174="",A1174=""),"",IF(COUNTIFS('Relevés compteurs'!$B$5:$B$1504,B1174,'Relevés compteurs'!$A$5:$A$1504,"&lt;"&amp;A1174)=0,"",D1174-_xlfn.MAXIFS('Relevés compteurs'!$D$5:$D$1504,'Relevés compteurs'!$B$5:$B$1504,B1174,'Relevés compteurs'!$A$5:$A$1504,"&lt;"&amp;A1174)))</f>
        <v/>
      </c>
    </row>
    <row r="1175">
      <c r="A1175" s="65" t="n"/>
      <c r="B1175" s="7" t="n"/>
      <c r="C1175" s="9">
        <f>IF(B1175="","",IFERROR(INDEX('Équipements'!$B$5:$B$304,MATCH(B1175,'Équipements'!$A$5:$A$304,0)),"Code inconnu"))</f>
        <v/>
      </c>
      <c r="D1175" s="67" t="n"/>
      <c r="E1175" s="7" t="n"/>
      <c r="F1175" s="68">
        <f>IF(OR(B1175="",A1175=""),"",IF(COUNTIFS('Relevés compteurs'!$B$5:$B$1504,B1175,'Relevés compteurs'!$A$5:$A$1504,"&lt;"&amp;A1175)=0,"",D1175-_xlfn.MAXIFS('Relevés compteurs'!$D$5:$D$1504,'Relevés compteurs'!$B$5:$B$1504,B1175,'Relevés compteurs'!$A$5:$A$1504,"&lt;"&amp;A1175)))</f>
        <v/>
      </c>
    </row>
    <row r="1176">
      <c r="A1176" s="65" t="n"/>
      <c r="B1176" s="7" t="n"/>
      <c r="C1176" s="9">
        <f>IF(B1176="","",IFERROR(INDEX('Équipements'!$B$5:$B$304,MATCH(B1176,'Équipements'!$A$5:$A$304,0)),"Code inconnu"))</f>
        <v/>
      </c>
      <c r="D1176" s="67" t="n"/>
      <c r="E1176" s="7" t="n"/>
      <c r="F1176" s="68">
        <f>IF(OR(B1176="",A1176=""),"",IF(COUNTIFS('Relevés compteurs'!$B$5:$B$1504,B1176,'Relevés compteurs'!$A$5:$A$1504,"&lt;"&amp;A1176)=0,"",D1176-_xlfn.MAXIFS('Relevés compteurs'!$D$5:$D$1504,'Relevés compteurs'!$B$5:$B$1504,B1176,'Relevés compteurs'!$A$5:$A$1504,"&lt;"&amp;A1176)))</f>
        <v/>
      </c>
    </row>
    <row r="1177">
      <c r="A1177" s="65" t="n"/>
      <c r="B1177" s="7" t="n"/>
      <c r="C1177" s="9">
        <f>IF(B1177="","",IFERROR(INDEX('Équipements'!$B$5:$B$304,MATCH(B1177,'Équipements'!$A$5:$A$304,0)),"Code inconnu"))</f>
        <v/>
      </c>
      <c r="D1177" s="67" t="n"/>
      <c r="E1177" s="7" t="n"/>
      <c r="F1177" s="68">
        <f>IF(OR(B1177="",A1177=""),"",IF(COUNTIFS('Relevés compteurs'!$B$5:$B$1504,B1177,'Relevés compteurs'!$A$5:$A$1504,"&lt;"&amp;A1177)=0,"",D1177-_xlfn.MAXIFS('Relevés compteurs'!$D$5:$D$1504,'Relevés compteurs'!$B$5:$B$1504,B1177,'Relevés compteurs'!$A$5:$A$1504,"&lt;"&amp;A1177)))</f>
        <v/>
      </c>
    </row>
    <row r="1178">
      <c r="A1178" s="65" t="n"/>
      <c r="B1178" s="7" t="n"/>
      <c r="C1178" s="9">
        <f>IF(B1178="","",IFERROR(INDEX('Équipements'!$B$5:$B$304,MATCH(B1178,'Équipements'!$A$5:$A$304,0)),"Code inconnu"))</f>
        <v/>
      </c>
      <c r="D1178" s="67" t="n"/>
      <c r="E1178" s="7" t="n"/>
      <c r="F1178" s="68">
        <f>IF(OR(B1178="",A1178=""),"",IF(COUNTIFS('Relevés compteurs'!$B$5:$B$1504,B1178,'Relevés compteurs'!$A$5:$A$1504,"&lt;"&amp;A1178)=0,"",D1178-_xlfn.MAXIFS('Relevés compteurs'!$D$5:$D$1504,'Relevés compteurs'!$B$5:$B$1504,B1178,'Relevés compteurs'!$A$5:$A$1504,"&lt;"&amp;A1178)))</f>
        <v/>
      </c>
    </row>
    <row r="1179">
      <c r="A1179" s="65" t="n"/>
      <c r="B1179" s="7" t="n"/>
      <c r="C1179" s="9">
        <f>IF(B1179="","",IFERROR(INDEX('Équipements'!$B$5:$B$304,MATCH(B1179,'Équipements'!$A$5:$A$304,0)),"Code inconnu"))</f>
        <v/>
      </c>
      <c r="D1179" s="67" t="n"/>
      <c r="E1179" s="7" t="n"/>
      <c r="F1179" s="68">
        <f>IF(OR(B1179="",A1179=""),"",IF(COUNTIFS('Relevés compteurs'!$B$5:$B$1504,B1179,'Relevés compteurs'!$A$5:$A$1504,"&lt;"&amp;A1179)=0,"",D1179-_xlfn.MAXIFS('Relevés compteurs'!$D$5:$D$1504,'Relevés compteurs'!$B$5:$B$1504,B1179,'Relevés compteurs'!$A$5:$A$1504,"&lt;"&amp;A1179)))</f>
        <v/>
      </c>
    </row>
    <row r="1180">
      <c r="A1180" s="65" t="n"/>
      <c r="B1180" s="7" t="n"/>
      <c r="C1180" s="9">
        <f>IF(B1180="","",IFERROR(INDEX('Équipements'!$B$5:$B$304,MATCH(B1180,'Équipements'!$A$5:$A$304,0)),"Code inconnu"))</f>
        <v/>
      </c>
      <c r="D1180" s="67" t="n"/>
      <c r="E1180" s="7" t="n"/>
      <c r="F1180" s="68">
        <f>IF(OR(B1180="",A1180=""),"",IF(COUNTIFS('Relevés compteurs'!$B$5:$B$1504,B1180,'Relevés compteurs'!$A$5:$A$1504,"&lt;"&amp;A1180)=0,"",D1180-_xlfn.MAXIFS('Relevés compteurs'!$D$5:$D$1504,'Relevés compteurs'!$B$5:$B$1504,B1180,'Relevés compteurs'!$A$5:$A$1504,"&lt;"&amp;A1180)))</f>
        <v/>
      </c>
    </row>
    <row r="1181">
      <c r="A1181" s="65" t="n"/>
      <c r="B1181" s="7" t="n"/>
      <c r="C1181" s="9">
        <f>IF(B1181="","",IFERROR(INDEX('Équipements'!$B$5:$B$304,MATCH(B1181,'Équipements'!$A$5:$A$304,0)),"Code inconnu"))</f>
        <v/>
      </c>
      <c r="D1181" s="67" t="n"/>
      <c r="E1181" s="7" t="n"/>
      <c r="F1181" s="68">
        <f>IF(OR(B1181="",A1181=""),"",IF(COUNTIFS('Relevés compteurs'!$B$5:$B$1504,B1181,'Relevés compteurs'!$A$5:$A$1504,"&lt;"&amp;A1181)=0,"",D1181-_xlfn.MAXIFS('Relevés compteurs'!$D$5:$D$1504,'Relevés compteurs'!$B$5:$B$1504,B1181,'Relevés compteurs'!$A$5:$A$1504,"&lt;"&amp;A1181)))</f>
        <v/>
      </c>
    </row>
    <row r="1182">
      <c r="A1182" s="65" t="n"/>
      <c r="B1182" s="7" t="n"/>
      <c r="C1182" s="9">
        <f>IF(B1182="","",IFERROR(INDEX('Équipements'!$B$5:$B$304,MATCH(B1182,'Équipements'!$A$5:$A$304,0)),"Code inconnu"))</f>
        <v/>
      </c>
      <c r="D1182" s="67" t="n"/>
      <c r="E1182" s="7" t="n"/>
      <c r="F1182" s="68">
        <f>IF(OR(B1182="",A1182=""),"",IF(COUNTIFS('Relevés compteurs'!$B$5:$B$1504,B1182,'Relevés compteurs'!$A$5:$A$1504,"&lt;"&amp;A1182)=0,"",D1182-_xlfn.MAXIFS('Relevés compteurs'!$D$5:$D$1504,'Relevés compteurs'!$B$5:$B$1504,B1182,'Relevés compteurs'!$A$5:$A$1504,"&lt;"&amp;A1182)))</f>
        <v/>
      </c>
    </row>
    <row r="1183">
      <c r="A1183" s="65" t="n"/>
      <c r="B1183" s="7" t="n"/>
      <c r="C1183" s="9">
        <f>IF(B1183="","",IFERROR(INDEX('Équipements'!$B$5:$B$304,MATCH(B1183,'Équipements'!$A$5:$A$304,0)),"Code inconnu"))</f>
        <v/>
      </c>
      <c r="D1183" s="67" t="n"/>
      <c r="E1183" s="7" t="n"/>
      <c r="F1183" s="68">
        <f>IF(OR(B1183="",A1183=""),"",IF(COUNTIFS('Relevés compteurs'!$B$5:$B$1504,B1183,'Relevés compteurs'!$A$5:$A$1504,"&lt;"&amp;A1183)=0,"",D1183-_xlfn.MAXIFS('Relevés compteurs'!$D$5:$D$1504,'Relevés compteurs'!$B$5:$B$1504,B1183,'Relevés compteurs'!$A$5:$A$1504,"&lt;"&amp;A1183)))</f>
        <v/>
      </c>
    </row>
    <row r="1184">
      <c r="A1184" s="65" t="n"/>
      <c r="B1184" s="7" t="n"/>
      <c r="C1184" s="9">
        <f>IF(B1184="","",IFERROR(INDEX('Équipements'!$B$5:$B$304,MATCH(B1184,'Équipements'!$A$5:$A$304,0)),"Code inconnu"))</f>
        <v/>
      </c>
      <c r="D1184" s="67" t="n"/>
      <c r="E1184" s="7" t="n"/>
      <c r="F1184" s="68">
        <f>IF(OR(B1184="",A1184=""),"",IF(COUNTIFS('Relevés compteurs'!$B$5:$B$1504,B1184,'Relevés compteurs'!$A$5:$A$1504,"&lt;"&amp;A1184)=0,"",D1184-_xlfn.MAXIFS('Relevés compteurs'!$D$5:$D$1504,'Relevés compteurs'!$B$5:$B$1504,B1184,'Relevés compteurs'!$A$5:$A$1504,"&lt;"&amp;A1184)))</f>
        <v/>
      </c>
    </row>
    <row r="1185">
      <c r="A1185" s="65" t="n"/>
      <c r="B1185" s="7" t="n"/>
      <c r="C1185" s="9">
        <f>IF(B1185="","",IFERROR(INDEX('Équipements'!$B$5:$B$304,MATCH(B1185,'Équipements'!$A$5:$A$304,0)),"Code inconnu"))</f>
        <v/>
      </c>
      <c r="D1185" s="67" t="n"/>
      <c r="E1185" s="7" t="n"/>
      <c r="F1185" s="68">
        <f>IF(OR(B1185="",A1185=""),"",IF(COUNTIFS('Relevés compteurs'!$B$5:$B$1504,B1185,'Relevés compteurs'!$A$5:$A$1504,"&lt;"&amp;A1185)=0,"",D1185-_xlfn.MAXIFS('Relevés compteurs'!$D$5:$D$1504,'Relevés compteurs'!$B$5:$B$1504,B1185,'Relevés compteurs'!$A$5:$A$1504,"&lt;"&amp;A1185)))</f>
        <v/>
      </c>
    </row>
    <row r="1186">
      <c r="A1186" s="65" t="n"/>
      <c r="B1186" s="7" t="n"/>
      <c r="C1186" s="9">
        <f>IF(B1186="","",IFERROR(INDEX('Équipements'!$B$5:$B$304,MATCH(B1186,'Équipements'!$A$5:$A$304,0)),"Code inconnu"))</f>
        <v/>
      </c>
      <c r="D1186" s="67" t="n"/>
      <c r="E1186" s="7" t="n"/>
      <c r="F1186" s="68">
        <f>IF(OR(B1186="",A1186=""),"",IF(COUNTIFS('Relevés compteurs'!$B$5:$B$1504,B1186,'Relevés compteurs'!$A$5:$A$1504,"&lt;"&amp;A1186)=0,"",D1186-_xlfn.MAXIFS('Relevés compteurs'!$D$5:$D$1504,'Relevés compteurs'!$B$5:$B$1504,B1186,'Relevés compteurs'!$A$5:$A$1504,"&lt;"&amp;A1186)))</f>
        <v/>
      </c>
    </row>
    <row r="1187">
      <c r="A1187" s="65" t="n"/>
      <c r="B1187" s="7" t="n"/>
      <c r="C1187" s="9">
        <f>IF(B1187="","",IFERROR(INDEX('Équipements'!$B$5:$B$304,MATCH(B1187,'Équipements'!$A$5:$A$304,0)),"Code inconnu"))</f>
        <v/>
      </c>
      <c r="D1187" s="67" t="n"/>
      <c r="E1187" s="7" t="n"/>
      <c r="F1187" s="68">
        <f>IF(OR(B1187="",A1187=""),"",IF(COUNTIFS('Relevés compteurs'!$B$5:$B$1504,B1187,'Relevés compteurs'!$A$5:$A$1504,"&lt;"&amp;A1187)=0,"",D1187-_xlfn.MAXIFS('Relevés compteurs'!$D$5:$D$1504,'Relevés compteurs'!$B$5:$B$1504,B1187,'Relevés compteurs'!$A$5:$A$1504,"&lt;"&amp;A1187)))</f>
        <v/>
      </c>
    </row>
    <row r="1188">
      <c r="A1188" s="65" t="n"/>
      <c r="B1188" s="7" t="n"/>
      <c r="C1188" s="9">
        <f>IF(B1188="","",IFERROR(INDEX('Équipements'!$B$5:$B$304,MATCH(B1188,'Équipements'!$A$5:$A$304,0)),"Code inconnu"))</f>
        <v/>
      </c>
      <c r="D1188" s="67" t="n"/>
      <c r="E1188" s="7" t="n"/>
      <c r="F1188" s="68">
        <f>IF(OR(B1188="",A1188=""),"",IF(COUNTIFS('Relevés compteurs'!$B$5:$B$1504,B1188,'Relevés compteurs'!$A$5:$A$1504,"&lt;"&amp;A1188)=0,"",D1188-_xlfn.MAXIFS('Relevés compteurs'!$D$5:$D$1504,'Relevés compteurs'!$B$5:$B$1504,B1188,'Relevés compteurs'!$A$5:$A$1504,"&lt;"&amp;A1188)))</f>
        <v/>
      </c>
    </row>
    <row r="1189">
      <c r="A1189" s="65" t="n"/>
      <c r="B1189" s="7" t="n"/>
      <c r="C1189" s="9">
        <f>IF(B1189="","",IFERROR(INDEX('Équipements'!$B$5:$B$304,MATCH(B1189,'Équipements'!$A$5:$A$304,0)),"Code inconnu"))</f>
        <v/>
      </c>
      <c r="D1189" s="67" t="n"/>
      <c r="E1189" s="7" t="n"/>
      <c r="F1189" s="68">
        <f>IF(OR(B1189="",A1189=""),"",IF(COUNTIFS('Relevés compteurs'!$B$5:$B$1504,B1189,'Relevés compteurs'!$A$5:$A$1504,"&lt;"&amp;A1189)=0,"",D1189-_xlfn.MAXIFS('Relevés compteurs'!$D$5:$D$1504,'Relevés compteurs'!$B$5:$B$1504,B1189,'Relevés compteurs'!$A$5:$A$1504,"&lt;"&amp;A1189)))</f>
        <v/>
      </c>
    </row>
    <row r="1190">
      <c r="A1190" s="65" t="n"/>
      <c r="B1190" s="7" t="n"/>
      <c r="C1190" s="9">
        <f>IF(B1190="","",IFERROR(INDEX('Équipements'!$B$5:$B$304,MATCH(B1190,'Équipements'!$A$5:$A$304,0)),"Code inconnu"))</f>
        <v/>
      </c>
      <c r="D1190" s="67" t="n"/>
      <c r="E1190" s="7" t="n"/>
      <c r="F1190" s="68">
        <f>IF(OR(B1190="",A1190=""),"",IF(COUNTIFS('Relevés compteurs'!$B$5:$B$1504,B1190,'Relevés compteurs'!$A$5:$A$1504,"&lt;"&amp;A1190)=0,"",D1190-_xlfn.MAXIFS('Relevés compteurs'!$D$5:$D$1504,'Relevés compteurs'!$B$5:$B$1504,B1190,'Relevés compteurs'!$A$5:$A$1504,"&lt;"&amp;A1190)))</f>
        <v/>
      </c>
    </row>
    <row r="1191">
      <c r="A1191" s="65" t="n"/>
      <c r="B1191" s="7" t="n"/>
      <c r="C1191" s="9">
        <f>IF(B1191="","",IFERROR(INDEX('Équipements'!$B$5:$B$304,MATCH(B1191,'Équipements'!$A$5:$A$304,0)),"Code inconnu"))</f>
        <v/>
      </c>
      <c r="D1191" s="67" t="n"/>
      <c r="E1191" s="7" t="n"/>
      <c r="F1191" s="68">
        <f>IF(OR(B1191="",A1191=""),"",IF(COUNTIFS('Relevés compteurs'!$B$5:$B$1504,B1191,'Relevés compteurs'!$A$5:$A$1504,"&lt;"&amp;A1191)=0,"",D1191-_xlfn.MAXIFS('Relevés compteurs'!$D$5:$D$1504,'Relevés compteurs'!$B$5:$B$1504,B1191,'Relevés compteurs'!$A$5:$A$1504,"&lt;"&amp;A1191)))</f>
        <v/>
      </c>
    </row>
    <row r="1192">
      <c r="A1192" s="65" t="n"/>
      <c r="B1192" s="7" t="n"/>
      <c r="C1192" s="9">
        <f>IF(B1192="","",IFERROR(INDEX('Équipements'!$B$5:$B$304,MATCH(B1192,'Équipements'!$A$5:$A$304,0)),"Code inconnu"))</f>
        <v/>
      </c>
      <c r="D1192" s="67" t="n"/>
      <c r="E1192" s="7" t="n"/>
      <c r="F1192" s="68">
        <f>IF(OR(B1192="",A1192=""),"",IF(COUNTIFS('Relevés compteurs'!$B$5:$B$1504,B1192,'Relevés compteurs'!$A$5:$A$1504,"&lt;"&amp;A1192)=0,"",D1192-_xlfn.MAXIFS('Relevés compteurs'!$D$5:$D$1504,'Relevés compteurs'!$B$5:$B$1504,B1192,'Relevés compteurs'!$A$5:$A$1504,"&lt;"&amp;A1192)))</f>
        <v/>
      </c>
    </row>
    <row r="1193">
      <c r="A1193" s="65" t="n"/>
      <c r="B1193" s="7" t="n"/>
      <c r="C1193" s="9">
        <f>IF(B1193="","",IFERROR(INDEX('Équipements'!$B$5:$B$304,MATCH(B1193,'Équipements'!$A$5:$A$304,0)),"Code inconnu"))</f>
        <v/>
      </c>
      <c r="D1193" s="67" t="n"/>
      <c r="E1193" s="7" t="n"/>
      <c r="F1193" s="68">
        <f>IF(OR(B1193="",A1193=""),"",IF(COUNTIFS('Relevés compteurs'!$B$5:$B$1504,B1193,'Relevés compteurs'!$A$5:$A$1504,"&lt;"&amp;A1193)=0,"",D1193-_xlfn.MAXIFS('Relevés compteurs'!$D$5:$D$1504,'Relevés compteurs'!$B$5:$B$1504,B1193,'Relevés compteurs'!$A$5:$A$1504,"&lt;"&amp;A1193)))</f>
        <v/>
      </c>
    </row>
    <row r="1194">
      <c r="A1194" s="65" t="n"/>
      <c r="B1194" s="7" t="n"/>
      <c r="C1194" s="9">
        <f>IF(B1194="","",IFERROR(INDEX('Équipements'!$B$5:$B$304,MATCH(B1194,'Équipements'!$A$5:$A$304,0)),"Code inconnu"))</f>
        <v/>
      </c>
      <c r="D1194" s="67" t="n"/>
      <c r="E1194" s="7" t="n"/>
      <c r="F1194" s="68">
        <f>IF(OR(B1194="",A1194=""),"",IF(COUNTIFS('Relevés compteurs'!$B$5:$B$1504,B1194,'Relevés compteurs'!$A$5:$A$1504,"&lt;"&amp;A1194)=0,"",D1194-_xlfn.MAXIFS('Relevés compteurs'!$D$5:$D$1504,'Relevés compteurs'!$B$5:$B$1504,B1194,'Relevés compteurs'!$A$5:$A$1504,"&lt;"&amp;A1194)))</f>
        <v/>
      </c>
    </row>
    <row r="1195">
      <c r="A1195" s="65" t="n"/>
      <c r="B1195" s="7" t="n"/>
      <c r="C1195" s="9">
        <f>IF(B1195="","",IFERROR(INDEX('Équipements'!$B$5:$B$304,MATCH(B1195,'Équipements'!$A$5:$A$304,0)),"Code inconnu"))</f>
        <v/>
      </c>
      <c r="D1195" s="67" t="n"/>
      <c r="E1195" s="7" t="n"/>
      <c r="F1195" s="68">
        <f>IF(OR(B1195="",A1195=""),"",IF(COUNTIFS('Relevés compteurs'!$B$5:$B$1504,B1195,'Relevés compteurs'!$A$5:$A$1504,"&lt;"&amp;A1195)=0,"",D1195-_xlfn.MAXIFS('Relevés compteurs'!$D$5:$D$1504,'Relevés compteurs'!$B$5:$B$1504,B1195,'Relevés compteurs'!$A$5:$A$1504,"&lt;"&amp;A1195)))</f>
        <v/>
      </c>
    </row>
    <row r="1196">
      <c r="A1196" s="65" t="n"/>
      <c r="B1196" s="7" t="n"/>
      <c r="C1196" s="9">
        <f>IF(B1196="","",IFERROR(INDEX('Équipements'!$B$5:$B$304,MATCH(B1196,'Équipements'!$A$5:$A$304,0)),"Code inconnu"))</f>
        <v/>
      </c>
      <c r="D1196" s="67" t="n"/>
      <c r="E1196" s="7" t="n"/>
      <c r="F1196" s="68">
        <f>IF(OR(B1196="",A1196=""),"",IF(COUNTIFS('Relevés compteurs'!$B$5:$B$1504,B1196,'Relevés compteurs'!$A$5:$A$1504,"&lt;"&amp;A1196)=0,"",D1196-_xlfn.MAXIFS('Relevés compteurs'!$D$5:$D$1504,'Relevés compteurs'!$B$5:$B$1504,B1196,'Relevés compteurs'!$A$5:$A$1504,"&lt;"&amp;A1196)))</f>
        <v/>
      </c>
    </row>
    <row r="1197">
      <c r="A1197" s="65" t="n"/>
      <c r="B1197" s="7" t="n"/>
      <c r="C1197" s="9">
        <f>IF(B1197="","",IFERROR(INDEX('Équipements'!$B$5:$B$304,MATCH(B1197,'Équipements'!$A$5:$A$304,0)),"Code inconnu"))</f>
        <v/>
      </c>
      <c r="D1197" s="67" t="n"/>
      <c r="E1197" s="7" t="n"/>
      <c r="F1197" s="68">
        <f>IF(OR(B1197="",A1197=""),"",IF(COUNTIFS('Relevés compteurs'!$B$5:$B$1504,B1197,'Relevés compteurs'!$A$5:$A$1504,"&lt;"&amp;A1197)=0,"",D1197-_xlfn.MAXIFS('Relevés compteurs'!$D$5:$D$1504,'Relevés compteurs'!$B$5:$B$1504,B1197,'Relevés compteurs'!$A$5:$A$1504,"&lt;"&amp;A1197)))</f>
        <v/>
      </c>
    </row>
    <row r="1198">
      <c r="A1198" s="65" t="n"/>
      <c r="B1198" s="7" t="n"/>
      <c r="C1198" s="9">
        <f>IF(B1198="","",IFERROR(INDEX('Équipements'!$B$5:$B$304,MATCH(B1198,'Équipements'!$A$5:$A$304,0)),"Code inconnu"))</f>
        <v/>
      </c>
      <c r="D1198" s="67" t="n"/>
      <c r="E1198" s="7" t="n"/>
      <c r="F1198" s="68">
        <f>IF(OR(B1198="",A1198=""),"",IF(COUNTIFS('Relevés compteurs'!$B$5:$B$1504,B1198,'Relevés compteurs'!$A$5:$A$1504,"&lt;"&amp;A1198)=0,"",D1198-_xlfn.MAXIFS('Relevés compteurs'!$D$5:$D$1504,'Relevés compteurs'!$B$5:$B$1504,B1198,'Relevés compteurs'!$A$5:$A$1504,"&lt;"&amp;A1198)))</f>
        <v/>
      </c>
    </row>
    <row r="1199">
      <c r="A1199" s="65" t="n"/>
      <c r="B1199" s="7" t="n"/>
      <c r="C1199" s="9">
        <f>IF(B1199="","",IFERROR(INDEX('Équipements'!$B$5:$B$304,MATCH(B1199,'Équipements'!$A$5:$A$304,0)),"Code inconnu"))</f>
        <v/>
      </c>
      <c r="D1199" s="67" t="n"/>
      <c r="E1199" s="7" t="n"/>
      <c r="F1199" s="68">
        <f>IF(OR(B1199="",A1199=""),"",IF(COUNTIFS('Relevés compteurs'!$B$5:$B$1504,B1199,'Relevés compteurs'!$A$5:$A$1504,"&lt;"&amp;A1199)=0,"",D1199-_xlfn.MAXIFS('Relevés compteurs'!$D$5:$D$1504,'Relevés compteurs'!$B$5:$B$1504,B1199,'Relevés compteurs'!$A$5:$A$1504,"&lt;"&amp;A1199)))</f>
        <v/>
      </c>
    </row>
    <row r="1200">
      <c r="A1200" s="65" t="n"/>
      <c r="B1200" s="7" t="n"/>
      <c r="C1200" s="9">
        <f>IF(B1200="","",IFERROR(INDEX('Équipements'!$B$5:$B$304,MATCH(B1200,'Équipements'!$A$5:$A$304,0)),"Code inconnu"))</f>
        <v/>
      </c>
      <c r="D1200" s="67" t="n"/>
      <c r="E1200" s="7" t="n"/>
      <c r="F1200" s="68">
        <f>IF(OR(B1200="",A1200=""),"",IF(COUNTIFS('Relevés compteurs'!$B$5:$B$1504,B1200,'Relevés compteurs'!$A$5:$A$1504,"&lt;"&amp;A1200)=0,"",D1200-_xlfn.MAXIFS('Relevés compteurs'!$D$5:$D$1504,'Relevés compteurs'!$B$5:$B$1504,B1200,'Relevés compteurs'!$A$5:$A$1504,"&lt;"&amp;A1200)))</f>
        <v/>
      </c>
    </row>
    <row r="1201">
      <c r="A1201" s="65" t="n"/>
      <c r="B1201" s="7" t="n"/>
      <c r="C1201" s="9">
        <f>IF(B1201="","",IFERROR(INDEX('Équipements'!$B$5:$B$304,MATCH(B1201,'Équipements'!$A$5:$A$304,0)),"Code inconnu"))</f>
        <v/>
      </c>
      <c r="D1201" s="67" t="n"/>
      <c r="E1201" s="7" t="n"/>
      <c r="F1201" s="68">
        <f>IF(OR(B1201="",A1201=""),"",IF(COUNTIFS('Relevés compteurs'!$B$5:$B$1504,B1201,'Relevés compteurs'!$A$5:$A$1504,"&lt;"&amp;A1201)=0,"",D1201-_xlfn.MAXIFS('Relevés compteurs'!$D$5:$D$1504,'Relevés compteurs'!$B$5:$B$1504,B1201,'Relevés compteurs'!$A$5:$A$1504,"&lt;"&amp;A1201)))</f>
        <v/>
      </c>
    </row>
    <row r="1202">
      <c r="A1202" s="65" t="n"/>
      <c r="B1202" s="7" t="n"/>
      <c r="C1202" s="9">
        <f>IF(B1202="","",IFERROR(INDEX('Équipements'!$B$5:$B$304,MATCH(B1202,'Équipements'!$A$5:$A$304,0)),"Code inconnu"))</f>
        <v/>
      </c>
      <c r="D1202" s="67" t="n"/>
      <c r="E1202" s="7" t="n"/>
      <c r="F1202" s="68">
        <f>IF(OR(B1202="",A1202=""),"",IF(COUNTIFS('Relevés compteurs'!$B$5:$B$1504,B1202,'Relevés compteurs'!$A$5:$A$1504,"&lt;"&amp;A1202)=0,"",D1202-_xlfn.MAXIFS('Relevés compteurs'!$D$5:$D$1504,'Relevés compteurs'!$B$5:$B$1504,B1202,'Relevés compteurs'!$A$5:$A$1504,"&lt;"&amp;A1202)))</f>
        <v/>
      </c>
    </row>
    <row r="1203">
      <c r="A1203" s="65" t="n"/>
      <c r="B1203" s="7" t="n"/>
      <c r="C1203" s="9">
        <f>IF(B1203="","",IFERROR(INDEX('Équipements'!$B$5:$B$304,MATCH(B1203,'Équipements'!$A$5:$A$304,0)),"Code inconnu"))</f>
        <v/>
      </c>
      <c r="D1203" s="67" t="n"/>
      <c r="E1203" s="7" t="n"/>
      <c r="F1203" s="68">
        <f>IF(OR(B1203="",A1203=""),"",IF(COUNTIFS('Relevés compteurs'!$B$5:$B$1504,B1203,'Relevés compteurs'!$A$5:$A$1504,"&lt;"&amp;A1203)=0,"",D1203-_xlfn.MAXIFS('Relevés compteurs'!$D$5:$D$1504,'Relevés compteurs'!$B$5:$B$1504,B1203,'Relevés compteurs'!$A$5:$A$1504,"&lt;"&amp;A1203)))</f>
        <v/>
      </c>
    </row>
    <row r="1204">
      <c r="A1204" s="65" t="n"/>
      <c r="B1204" s="7" t="n"/>
      <c r="C1204" s="9">
        <f>IF(B1204="","",IFERROR(INDEX('Équipements'!$B$5:$B$304,MATCH(B1204,'Équipements'!$A$5:$A$304,0)),"Code inconnu"))</f>
        <v/>
      </c>
      <c r="D1204" s="67" t="n"/>
      <c r="E1204" s="7" t="n"/>
      <c r="F1204" s="68">
        <f>IF(OR(B1204="",A1204=""),"",IF(COUNTIFS('Relevés compteurs'!$B$5:$B$1504,B1204,'Relevés compteurs'!$A$5:$A$1504,"&lt;"&amp;A1204)=0,"",D1204-_xlfn.MAXIFS('Relevés compteurs'!$D$5:$D$1504,'Relevés compteurs'!$B$5:$B$1504,B1204,'Relevés compteurs'!$A$5:$A$1504,"&lt;"&amp;A1204)))</f>
        <v/>
      </c>
    </row>
    <row r="1205">
      <c r="A1205" s="65" t="n"/>
      <c r="B1205" s="7" t="n"/>
      <c r="C1205" s="9">
        <f>IF(B1205="","",IFERROR(INDEX('Équipements'!$B$5:$B$304,MATCH(B1205,'Équipements'!$A$5:$A$304,0)),"Code inconnu"))</f>
        <v/>
      </c>
      <c r="D1205" s="67" t="n"/>
      <c r="E1205" s="7" t="n"/>
      <c r="F1205" s="68">
        <f>IF(OR(B1205="",A1205=""),"",IF(COUNTIFS('Relevés compteurs'!$B$5:$B$1504,B1205,'Relevés compteurs'!$A$5:$A$1504,"&lt;"&amp;A1205)=0,"",D1205-_xlfn.MAXIFS('Relevés compteurs'!$D$5:$D$1504,'Relevés compteurs'!$B$5:$B$1504,B1205,'Relevés compteurs'!$A$5:$A$1504,"&lt;"&amp;A1205)))</f>
        <v/>
      </c>
    </row>
    <row r="1206">
      <c r="A1206" s="65" t="n"/>
      <c r="B1206" s="7" t="n"/>
      <c r="C1206" s="9">
        <f>IF(B1206="","",IFERROR(INDEX('Équipements'!$B$5:$B$304,MATCH(B1206,'Équipements'!$A$5:$A$304,0)),"Code inconnu"))</f>
        <v/>
      </c>
      <c r="D1206" s="67" t="n"/>
      <c r="E1206" s="7" t="n"/>
      <c r="F1206" s="68">
        <f>IF(OR(B1206="",A1206=""),"",IF(COUNTIFS('Relevés compteurs'!$B$5:$B$1504,B1206,'Relevés compteurs'!$A$5:$A$1504,"&lt;"&amp;A1206)=0,"",D1206-_xlfn.MAXIFS('Relevés compteurs'!$D$5:$D$1504,'Relevés compteurs'!$B$5:$B$1504,B1206,'Relevés compteurs'!$A$5:$A$1504,"&lt;"&amp;A1206)))</f>
        <v/>
      </c>
    </row>
    <row r="1207">
      <c r="A1207" s="65" t="n"/>
      <c r="B1207" s="7" t="n"/>
      <c r="C1207" s="9">
        <f>IF(B1207="","",IFERROR(INDEX('Équipements'!$B$5:$B$304,MATCH(B1207,'Équipements'!$A$5:$A$304,0)),"Code inconnu"))</f>
        <v/>
      </c>
      <c r="D1207" s="67" t="n"/>
      <c r="E1207" s="7" t="n"/>
      <c r="F1207" s="68">
        <f>IF(OR(B1207="",A1207=""),"",IF(COUNTIFS('Relevés compteurs'!$B$5:$B$1504,B1207,'Relevés compteurs'!$A$5:$A$1504,"&lt;"&amp;A1207)=0,"",D1207-_xlfn.MAXIFS('Relevés compteurs'!$D$5:$D$1504,'Relevés compteurs'!$B$5:$B$1504,B1207,'Relevés compteurs'!$A$5:$A$1504,"&lt;"&amp;A1207)))</f>
        <v/>
      </c>
    </row>
    <row r="1208">
      <c r="A1208" s="65" t="n"/>
      <c r="B1208" s="7" t="n"/>
      <c r="C1208" s="9">
        <f>IF(B1208="","",IFERROR(INDEX('Équipements'!$B$5:$B$304,MATCH(B1208,'Équipements'!$A$5:$A$304,0)),"Code inconnu"))</f>
        <v/>
      </c>
      <c r="D1208" s="67" t="n"/>
      <c r="E1208" s="7" t="n"/>
      <c r="F1208" s="68">
        <f>IF(OR(B1208="",A1208=""),"",IF(COUNTIFS('Relevés compteurs'!$B$5:$B$1504,B1208,'Relevés compteurs'!$A$5:$A$1504,"&lt;"&amp;A1208)=0,"",D1208-_xlfn.MAXIFS('Relevés compteurs'!$D$5:$D$1504,'Relevés compteurs'!$B$5:$B$1504,B1208,'Relevés compteurs'!$A$5:$A$1504,"&lt;"&amp;A1208)))</f>
        <v/>
      </c>
    </row>
    <row r="1209">
      <c r="A1209" s="65" t="n"/>
      <c r="B1209" s="7" t="n"/>
      <c r="C1209" s="9">
        <f>IF(B1209="","",IFERROR(INDEX('Équipements'!$B$5:$B$304,MATCH(B1209,'Équipements'!$A$5:$A$304,0)),"Code inconnu"))</f>
        <v/>
      </c>
      <c r="D1209" s="67" t="n"/>
      <c r="E1209" s="7" t="n"/>
      <c r="F1209" s="68">
        <f>IF(OR(B1209="",A1209=""),"",IF(COUNTIFS('Relevés compteurs'!$B$5:$B$1504,B1209,'Relevés compteurs'!$A$5:$A$1504,"&lt;"&amp;A1209)=0,"",D1209-_xlfn.MAXIFS('Relevés compteurs'!$D$5:$D$1504,'Relevés compteurs'!$B$5:$B$1504,B1209,'Relevés compteurs'!$A$5:$A$1504,"&lt;"&amp;A1209)))</f>
        <v/>
      </c>
    </row>
    <row r="1210">
      <c r="A1210" s="65" t="n"/>
      <c r="B1210" s="7" t="n"/>
      <c r="C1210" s="9">
        <f>IF(B1210="","",IFERROR(INDEX('Équipements'!$B$5:$B$304,MATCH(B1210,'Équipements'!$A$5:$A$304,0)),"Code inconnu"))</f>
        <v/>
      </c>
      <c r="D1210" s="67" t="n"/>
      <c r="E1210" s="7" t="n"/>
      <c r="F1210" s="68">
        <f>IF(OR(B1210="",A1210=""),"",IF(COUNTIFS('Relevés compteurs'!$B$5:$B$1504,B1210,'Relevés compteurs'!$A$5:$A$1504,"&lt;"&amp;A1210)=0,"",D1210-_xlfn.MAXIFS('Relevés compteurs'!$D$5:$D$1504,'Relevés compteurs'!$B$5:$B$1504,B1210,'Relevés compteurs'!$A$5:$A$1504,"&lt;"&amp;A1210)))</f>
        <v/>
      </c>
    </row>
    <row r="1211">
      <c r="A1211" s="65" t="n"/>
      <c r="B1211" s="7" t="n"/>
      <c r="C1211" s="9">
        <f>IF(B1211="","",IFERROR(INDEX('Équipements'!$B$5:$B$304,MATCH(B1211,'Équipements'!$A$5:$A$304,0)),"Code inconnu"))</f>
        <v/>
      </c>
      <c r="D1211" s="67" t="n"/>
      <c r="E1211" s="7" t="n"/>
      <c r="F1211" s="68">
        <f>IF(OR(B1211="",A1211=""),"",IF(COUNTIFS('Relevés compteurs'!$B$5:$B$1504,B1211,'Relevés compteurs'!$A$5:$A$1504,"&lt;"&amp;A1211)=0,"",D1211-_xlfn.MAXIFS('Relevés compteurs'!$D$5:$D$1504,'Relevés compteurs'!$B$5:$B$1504,B1211,'Relevés compteurs'!$A$5:$A$1504,"&lt;"&amp;A1211)))</f>
        <v/>
      </c>
    </row>
    <row r="1212">
      <c r="A1212" s="65" t="n"/>
      <c r="B1212" s="7" t="n"/>
      <c r="C1212" s="9">
        <f>IF(B1212="","",IFERROR(INDEX('Équipements'!$B$5:$B$304,MATCH(B1212,'Équipements'!$A$5:$A$304,0)),"Code inconnu"))</f>
        <v/>
      </c>
      <c r="D1212" s="67" t="n"/>
      <c r="E1212" s="7" t="n"/>
      <c r="F1212" s="68">
        <f>IF(OR(B1212="",A1212=""),"",IF(COUNTIFS('Relevés compteurs'!$B$5:$B$1504,B1212,'Relevés compteurs'!$A$5:$A$1504,"&lt;"&amp;A1212)=0,"",D1212-_xlfn.MAXIFS('Relevés compteurs'!$D$5:$D$1504,'Relevés compteurs'!$B$5:$B$1504,B1212,'Relevés compteurs'!$A$5:$A$1504,"&lt;"&amp;A1212)))</f>
        <v/>
      </c>
    </row>
    <row r="1213">
      <c r="A1213" s="65" t="n"/>
      <c r="B1213" s="7" t="n"/>
      <c r="C1213" s="9">
        <f>IF(B1213="","",IFERROR(INDEX('Équipements'!$B$5:$B$304,MATCH(B1213,'Équipements'!$A$5:$A$304,0)),"Code inconnu"))</f>
        <v/>
      </c>
      <c r="D1213" s="67" t="n"/>
      <c r="E1213" s="7" t="n"/>
      <c r="F1213" s="68">
        <f>IF(OR(B1213="",A1213=""),"",IF(COUNTIFS('Relevés compteurs'!$B$5:$B$1504,B1213,'Relevés compteurs'!$A$5:$A$1504,"&lt;"&amp;A1213)=0,"",D1213-_xlfn.MAXIFS('Relevés compteurs'!$D$5:$D$1504,'Relevés compteurs'!$B$5:$B$1504,B1213,'Relevés compteurs'!$A$5:$A$1504,"&lt;"&amp;A1213)))</f>
        <v/>
      </c>
    </row>
    <row r="1214">
      <c r="A1214" s="65" t="n"/>
      <c r="B1214" s="7" t="n"/>
      <c r="C1214" s="9">
        <f>IF(B1214="","",IFERROR(INDEX('Équipements'!$B$5:$B$304,MATCH(B1214,'Équipements'!$A$5:$A$304,0)),"Code inconnu"))</f>
        <v/>
      </c>
      <c r="D1214" s="67" t="n"/>
      <c r="E1214" s="7" t="n"/>
      <c r="F1214" s="68">
        <f>IF(OR(B1214="",A1214=""),"",IF(COUNTIFS('Relevés compteurs'!$B$5:$B$1504,B1214,'Relevés compteurs'!$A$5:$A$1504,"&lt;"&amp;A1214)=0,"",D1214-_xlfn.MAXIFS('Relevés compteurs'!$D$5:$D$1504,'Relevés compteurs'!$B$5:$B$1504,B1214,'Relevés compteurs'!$A$5:$A$1504,"&lt;"&amp;A1214)))</f>
        <v/>
      </c>
    </row>
    <row r="1215">
      <c r="A1215" s="65" t="n"/>
      <c r="B1215" s="7" t="n"/>
      <c r="C1215" s="9">
        <f>IF(B1215="","",IFERROR(INDEX('Équipements'!$B$5:$B$304,MATCH(B1215,'Équipements'!$A$5:$A$304,0)),"Code inconnu"))</f>
        <v/>
      </c>
      <c r="D1215" s="67" t="n"/>
      <c r="E1215" s="7" t="n"/>
      <c r="F1215" s="68">
        <f>IF(OR(B1215="",A1215=""),"",IF(COUNTIFS('Relevés compteurs'!$B$5:$B$1504,B1215,'Relevés compteurs'!$A$5:$A$1504,"&lt;"&amp;A1215)=0,"",D1215-_xlfn.MAXIFS('Relevés compteurs'!$D$5:$D$1504,'Relevés compteurs'!$B$5:$B$1504,B1215,'Relevés compteurs'!$A$5:$A$1504,"&lt;"&amp;A1215)))</f>
        <v/>
      </c>
    </row>
    <row r="1216">
      <c r="A1216" s="65" t="n"/>
      <c r="B1216" s="7" t="n"/>
      <c r="C1216" s="9">
        <f>IF(B1216="","",IFERROR(INDEX('Équipements'!$B$5:$B$304,MATCH(B1216,'Équipements'!$A$5:$A$304,0)),"Code inconnu"))</f>
        <v/>
      </c>
      <c r="D1216" s="67" t="n"/>
      <c r="E1216" s="7" t="n"/>
      <c r="F1216" s="68">
        <f>IF(OR(B1216="",A1216=""),"",IF(COUNTIFS('Relevés compteurs'!$B$5:$B$1504,B1216,'Relevés compteurs'!$A$5:$A$1504,"&lt;"&amp;A1216)=0,"",D1216-_xlfn.MAXIFS('Relevés compteurs'!$D$5:$D$1504,'Relevés compteurs'!$B$5:$B$1504,B1216,'Relevés compteurs'!$A$5:$A$1504,"&lt;"&amp;A1216)))</f>
        <v/>
      </c>
    </row>
    <row r="1217">
      <c r="A1217" s="65" t="n"/>
      <c r="B1217" s="7" t="n"/>
      <c r="C1217" s="9">
        <f>IF(B1217="","",IFERROR(INDEX('Équipements'!$B$5:$B$304,MATCH(B1217,'Équipements'!$A$5:$A$304,0)),"Code inconnu"))</f>
        <v/>
      </c>
      <c r="D1217" s="67" t="n"/>
      <c r="E1217" s="7" t="n"/>
      <c r="F1217" s="68">
        <f>IF(OR(B1217="",A1217=""),"",IF(COUNTIFS('Relevés compteurs'!$B$5:$B$1504,B1217,'Relevés compteurs'!$A$5:$A$1504,"&lt;"&amp;A1217)=0,"",D1217-_xlfn.MAXIFS('Relevés compteurs'!$D$5:$D$1504,'Relevés compteurs'!$B$5:$B$1504,B1217,'Relevés compteurs'!$A$5:$A$1504,"&lt;"&amp;A1217)))</f>
        <v/>
      </c>
    </row>
    <row r="1218">
      <c r="A1218" s="65" t="n"/>
      <c r="B1218" s="7" t="n"/>
      <c r="C1218" s="9">
        <f>IF(B1218="","",IFERROR(INDEX('Équipements'!$B$5:$B$304,MATCH(B1218,'Équipements'!$A$5:$A$304,0)),"Code inconnu"))</f>
        <v/>
      </c>
      <c r="D1218" s="67" t="n"/>
      <c r="E1218" s="7" t="n"/>
      <c r="F1218" s="68">
        <f>IF(OR(B1218="",A1218=""),"",IF(COUNTIFS('Relevés compteurs'!$B$5:$B$1504,B1218,'Relevés compteurs'!$A$5:$A$1504,"&lt;"&amp;A1218)=0,"",D1218-_xlfn.MAXIFS('Relevés compteurs'!$D$5:$D$1504,'Relevés compteurs'!$B$5:$B$1504,B1218,'Relevés compteurs'!$A$5:$A$1504,"&lt;"&amp;A1218)))</f>
        <v/>
      </c>
    </row>
    <row r="1219">
      <c r="A1219" s="65" t="n"/>
      <c r="B1219" s="7" t="n"/>
      <c r="C1219" s="9">
        <f>IF(B1219="","",IFERROR(INDEX('Équipements'!$B$5:$B$304,MATCH(B1219,'Équipements'!$A$5:$A$304,0)),"Code inconnu"))</f>
        <v/>
      </c>
      <c r="D1219" s="67" t="n"/>
      <c r="E1219" s="7" t="n"/>
      <c r="F1219" s="68">
        <f>IF(OR(B1219="",A1219=""),"",IF(COUNTIFS('Relevés compteurs'!$B$5:$B$1504,B1219,'Relevés compteurs'!$A$5:$A$1504,"&lt;"&amp;A1219)=0,"",D1219-_xlfn.MAXIFS('Relevés compteurs'!$D$5:$D$1504,'Relevés compteurs'!$B$5:$B$1504,B1219,'Relevés compteurs'!$A$5:$A$1504,"&lt;"&amp;A1219)))</f>
        <v/>
      </c>
    </row>
    <row r="1220">
      <c r="A1220" s="65" t="n"/>
      <c r="B1220" s="7" t="n"/>
      <c r="C1220" s="9">
        <f>IF(B1220="","",IFERROR(INDEX('Équipements'!$B$5:$B$304,MATCH(B1220,'Équipements'!$A$5:$A$304,0)),"Code inconnu"))</f>
        <v/>
      </c>
      <c r="D1220" s="67" t="n"/>
      <c r="E1220" s="7" t="n"/>
      <c r="F1220" s="68">
        <f>IF(OR(B1220="",A1220=""),"",IF(COUNTIFS('Relevés compteurs'!$B$5:$B$1504,B1220,'Relevés compteurs'!$A$5:$A$1504,"&lt;"&amp;A1220)=0,"",D1220-_xlfn.MAXIFS('Relevés compteurs'!$D$5:$D$1504,'Relevés compteurs'!$B$5:$B$1504,B1220,'Relevés compteurs'!$A$5:$A$1504,"&lt;"&amp;A1220)))</f>
        <v/>
      </c>
    </row>
    <row r="1221">
      <c r="A1221" s="65" t="n"/>
      <c r="B1221" s="7" t="n"/>
      <c r="C1221" s="9">
        <f>IF(B1221="","",IFERROR(INDEX('Équipements'!$B$5:$B$304,MATCH(B1221,'Équipements'!$A$5:$A$304,0)),"Code inconnu"))</f>
        <v/>
      </c>
      <c r="D1221" s="67" t="n"/>
      <c r="E1221" s="7" t="n"/>
      <c r="F1221" s="68">
        <f>IF(OR(B1221="",A1221=""),"",IF(COUNTIFS('Relevés compteurs'!$B$5:$B$1504,B1221,'Relevés compteurs'!$A$5:$A$1504,"&lt;"&amp;A1221)=0,"",D1221-_xlfn.MAXIFS('Relevés compteurs'!$D$5:$D$1504,'Relevés compteurs'!$B$5:$B$1504,B1221,'Relevés compteurs'!$A$5:$A$1504,"&lt;"&amp;A1221)))</f>
        <v/>
      </c>
    </row>
    <row r="1222">
      <c r="A1222" s="65" t="n"/>
      <c r="B1222" s="7" t="n"/>
      <c r="C1222" s="9">
        <f>IF(B1222="","",IFERROR(INDEX('Équipements'!$B$5:$B$304,MATCH(B1222,'Équipements'!$A$5:$A$304,0)),"Code inconnu"))</f>
        <v/>
      </c>
      <c r="D1222" s="67" t="n"/>
      <c r="E1222" s="7" t="n"/>
      <c r="F1222" s="68">
        <f>IF(OR(B1222="",A1222=""),"",IF(COUNTIFS('Relevés compteurs'!$B$5:$B$1504,B1222,'Relevés compteurs'!$A$5:$A$1504,"&lt;"&amp;A1222)=0,"",D1222-_xlfn.MAXIFS('Relevés compteurs'!$D$5:$D$1504,'Relevés compteurs'!$B$5:$B$1504,B1222,'Relevés compteurs'!$A$5:$A$1504,"&lt;"&amp;A1222)))</f>
        <v/>
      </c>
    </row>
    <row r="1223">
      <c r="A1223" s="65" t="n"/>
      <c r="B1223" s="7" t="n"/>
      <c r="C1223" s="9">
        <f>IF(B1223="","",IFERROR(INDEX('Équipements'!$B$5:$B$304,MATCH(B1223,'Équipements'!$A$5:$A$304,0)),"Code inconnu"))</f>
        <v/>
      </c>
      <c r="D1223" s="67" t="n"/>
      <c r="E1223" s="7" t="n"/>
      <c r="F1223" s="68">
        <f>IF(OR(B1223="",A1223=""),"",IF(COUNTIFS('Relevés compteurs'!$B$5:$B$1504,B1223,'Relevés compteurs'!$A$5:$A$1504,"&lt;"&amp;A1223)=0,"",D1223-_xlfn.MAXIFS('Relevés compteurs'!$D$5:$D$1504,'Relevés compteurs'!$B$5:$B$1504,B1223,'Relevés compteurs'!$A$5:$A$1504,"&lt;"&amp;A1223)))</f>
        <v/>
      </c>
    </row>
    <row r="1224">
      <c r="A1224" s="65" t="n"/>
      <c r="B1224" s="7" t="n"/>
      <c r="C1224" s="9">
        <f>IF(B1224="","",IFERROR(INDEX('Équipements'!$B$5:$B$304,MATCH(B1224,'Équipements'!$A$5:$A$304,0)),"Code inconnu"))</f>
        <v/>
      </c>
      <c r="D1224" s="67" t="n"/>
      <c r="E1224" s="7" t="n"/>
      <c r="F1224" s="68">
        <f>IF(OR(B1224="",A1224=""),"",IF(COUNTIFS('Relevés compteurs'!$B$5:$B$1504,B1224,'Relevés compteurs'!$A$5:$A$1504,"&lt;"&amp;A1224)=0,"",D1224-_xlfn.MAXIFS('Relevés compteurs'!$D$5:$D$1504,'Relevés compteurs'!$B$5:$B$1504,B1224,'Relevés compteurs'!$A$5:$A$1504,"&lt;"&amp;A1224)))</f>
        <v/>
      </c>
    </row>
    <row r="1225">
      <c r="A1225" s="65" t="n"/>
      <c r="B1225" s="7" t="n"/>
      <c r="C1225" s="9">
        <f>IF(B1225="","",IFERROR(INDEX('Équipements'!$B$5:$B$304,MATCH(B1225,'Équipements'!$A$5:$A$304,0)),"Code inconnu"))</f>
        <v/>
      </c>
      <c r="D1225" s="67" t="n"/>
      <c r="E1225" s="7" t="n"/>
      <c r="F1225" s="68">
        <f>IF(OR(B1225="",A1225=""),"",IF(COUNTIFS('Relevés compteurs'!$B$5:$B$1504,B1225,'Relevés compteurs'!$A$5:$A$1504,"&lt;"&amp;A1225)=0,"",D1225-_xlfn.MAXIFS('Relevés compteurs'!$D$5:$D$1504,'Relevés compteurs'!$B$5:$B$1504,B1225,'Relevés compteurs'!$A$5:$A$1504,"&lt;"&amp;A1225)))</f>
        <v/>
      </c>
    </row>
    <row r="1226">
      <c r="A1226" s="65" t="n"/>
      <c r="B1226" s="7" t="n"/>
      <c r="C1226" s="9">
        <f>IF(B1226="","",IFERROR(INDEX('Équipements'!$B$5:$B$304,MATCH(B1226,'Équipements'!$A$5:$A$304,0)),"Code inconnu"))</f>
        <v/>
      </c>
      <c r="D1226" s="67" t="n"/>
      <c r="E1226" s="7" t="n"/>
      <c r="F1226" s="68">
        <f>IF(OR(B1226="",A1226=""),"",IF(COUNTIFS('Relevés compteurs'!$B$5:$B$1504,B1226,'Relevés compteurs'!$A$5:$A$1504,"&lt;"&amp;A1226)=0,"",D1226-_xlfn.MAXIFS('Relevés compteurs'!$D$5:$D$1504,'Relevés compteurs'!$B$5:$B$1504,B1226,'Relevés compteurs'!$A$5:$A$1504,"&lt;"&amp;A1226)))</f>
        <v/>
      </c>
    </row>
    <row r="1227">
      <c r="A1227" s="65" t="n"/>
      <c r="B1227" s="7" t="n"/>
      <c r="C1227" s="9">
        <f>IF(B1227="","",IFERROR(INDEX('Équipements'!$B$5:$B$304,MATCH(B1227,'Équipements'!$A$5:$A$304,0)),"Code inconnu"))</f>
        <v/>
      </c>
      <c r="D1227" s="67" t="n"/>
      <c r="E1227" s="7" t="n"/>
      <c r="F1227" s="68">
        <f>IF(OR(B1227="",A1227=""),"",IF(COUNTIFS('Relevés compteurs'!$B$5:$B$1504,B1227,'Relevés compteurs'!$A$5:$A$1504,"&lt;"&amp;A1227)=0,"",D1227-_xlfn.MAXIFS('Relevés compteurs'!$D$5:$D$1504,'Relevés compteurs'!$B$5:$B$1504,B1227,'Relevés compteurs'!$A$5:$A$1504,"&lt;"&amp;A1227)))</f>
        <v/>
      </c>
    </row>
    <row r="1228">
      <c r="A1228" s="65" t="n"/>
      <c r="B1228" s="7" t="n"/>
      <c r="C1228" s="9">
        <f>IF(B1228="","",IFERROR(INDEX('Équipements'!$B$5:$B$304,MATCH(B1228,'Équipements'!$A$5:$A$304,0)),"Code inconnu"))</f>
        <v/>
      </c>
      <c r="D1228" s="67" t="n"/>
      <c r="E1228" s="7" t="n"/>
      <c r="F1228" s="68">
        <f>IF(OR(B1228="",A1228=""),"",IF(COUNTIFS('Relevés compteurs'!$B$5:$B$1504,B1228,'Relevés compteurs'!$A$5:$A$1504,"&lt;"&amp;A1228)=0,"",D1228-_xlfn.MAXIFS('Relevés compteurs'!$D$5:$D$1504,'Relevés compteurs'!$B$5:$B$1504,B1228,'Relevés compteurs'!$A$5:$A$1504,"&lt;"&amp;A1228)))</f>
        <v/>
      </c>
    </row>
    <row r="1229">
      <c r="A1229" s="65" t="n"/>
      <c r="B1229" s="7" t="n"/>
      <c r="C1229" s="9">
        <f>IF(B1229="","",IFERROR(INDEX('Équipements'!$B$5:$B$304,MATCH(B1229,'Équipements'!$A$5:$A$304,0)),"Code inconnu"))</f>
        <v/>
      </c>
      <c r="D1229" s="67" t="n"/>
      <c r="E1229" s="7" t="n"/>
      <c r="F1229" s="68">
        <f>IF(OR(B1229="",A1229=""),"",IF(COUNTIFS('Relevés compteurs'!$B$5:$B$1504,B1229,'Relevés compteurs'!$A$5:$A$1504,"&lt;"&amp;A1229)=0,"",D1229-_xlfn.MAXIFS('Relevés compteurs'!$D$5:$D$1504,'Relevés compteurs'!$B$5:$B$1504,B1229,'Relevés compteurs'!$A$5:$A$1504,"&lt;"&amp;A1229)))</f>
        <v/>
      </c>
    </row>
    <row r="1230">
      <c r="A1230" s="65" t="n"/>
      <c r="B1230" s="7" t="n"/>
      <c r="C1230" s="9">
        <f>IF(B1230="","",IFERROR(INDEX('Équipements'!$B$5:$B$304,MATCH(B1230,'Équipements'!$A$5:$A$304,0)),"Code inconnu"))</f>
        <v/>
      </c>
      <c r="D1230" s="67" t="n"/>
      <c r="E1230" s="7" t="n"/>
      <c r="F1230" s="68">
        <f>IF(OR(B1230="",A1230=""),"",IF(COUNTIFS('Relevés compteurs'!$B$5:$B$1504,B1230,'Relevés compteurs'!$A$5:$A$1504,"&lt;"&amp;A1230)=0,"",D1230-_xlfn.MAXIFS('Relevés compteurs'!$D$5:$D$1504,'Relevés compteurs'!$B$5:$B$1504,B1230,'Relevés compteurs'!$A$5:$A$1504,"&lt;"&amp;A1230)))</f>
        <v/>
      </c>
    </row>
    <row r="1231">
      <c r="A1231" s="65" t="n"/>
      <c r="B1231" s="7" t="n"/>
      <c r="C1231" s="9">
        <f>IF(B1231="","",IFERROR(INDEX('Équipements'!$B$5:$B$304,MATCH(B1231,'Équipements'!$A$5:$A$304,0)),"Code inconnu"))</f>
        <v/>
      </c>
      <c r="D1231" s="67" t="n"/>
      <c r="E1231" s="7" t="n"/>
      <c r="F1231" s="68">
        <f>IF(OR(B1231="",A1231=""),"",IF(COUNTIFS('Relevés compteurs'!$B$5:$B$1504,B1231,'Relevés compteurs'!$A$5:$A$1504,"&lt;"&amp;A1231)=0,"",D1231-_xlfn.MAXIFS('Relevés compteurs'!$D$5:$D$1504,'Relevés compteurs'!$B$5:$B$1504,B1231,'Relevés compteurs'!$A$5:$A$1504,"&lt;"&amp;A1231)))</f>
        <v/>
      </c>
    </row>
    <row r="1232">
      <c r="A1232" s="65" t="n"/>
      <c r="B1232" s="7" t="n"/>
      <c r="C1232" s="9">
        <f>IF(B1232="","",IFERROR(INDEX('Équipements'!$B$5:$B$304,MATCH(B1232,'Équipements'!$A$5:$A$304,0)),"Code inconnu"))</f>
        <v/>
      </c>
      <c r="D1232" s="67" t="n"/>
      <c r="E1232" s="7" t="n"/>
      <c r="F1232" s="68">
        <f>IF(OR(B1232="",A1232=""),"",IF(COUNTIFS('Relevés compteurs'!$B$5:$B$1504,B1232,'Relevés compteurs'!$A$5:$A$1504,"&lt;"&amp;A1232)=0,"",D1232-_xlfn.MAXIFS('Relevés compteurs'!$D$5:$D$1504,'Relevés compteurs'!$B$5:$B$1504,B1232,'Relevés compteurs'!$A$5:$A$1504,"&lt;"&amp;A1232)))</f>
        <v/>
      </c>
    </row>
    <row r="1233">
      <c r="A1233" s="65" t="n"/>
      <c r="B1233" s="7" t="n"/>
      <c r="C1233" s="9">
        <f>IF(B1233="","",IFERROR(INDEX('Équipements'!$B$5:$B$304,MATCH(B1233,'Équipements'!$A$5:$A$304,0)),"Code inconnu"))</f>
        <v/>
      </c>
      <c r="D1233" s="67" t="n"/>
      <c r="E1233" s="7" t="n"/>
      <c r="F1233" s="68">
        <f>IF(OR(B1233="",A1233=""),"",IF(COUNTIFS('Relevés compteurs'!$B$5:$B$1504,B1233,'Relevés compteurs'!$A$5:$A$1504,"&lt;"&amp;A1233)=0,"",D1233-_xlfn.MAXIFS('Relevés compteurs'!$D$5:$D$1504,'Relevés compteurs'!$B$5:$B$1504,B1233,'Relevés compteurs'!$A$5:$A$1504,"&lt;"&amp;A1233)))</f>
        <v/>
      </c>
    </row>
    <row r="1234">
      <c r="A1234" s="65" t="n"/>
      <c r="B1234" s="7" t="n"/>
      <c r="C1234" s="9">
        <f>IF(B1234="","",IFERROR(INDEX('Équipements'!$B$5:$B$304,MATCH(B1234,'Équipements'!$A$5:$A$304,0)),"Code inconnu"))</f>
        <v/>
      </c>
      <c r="D1234" s="67" t="n"/>
      <c r="E1234" s="7" t="n"/>
      <c r="F1234" s="68">
        <f>IF(OR(B1234="",A1234=""),"",IF(COUNTIFS('Relevés compteurs'!$B$5:$B$1504,B1234,'Relevés compteurs'!$A$5:$A$1504,"&lt;"&amp;A1234)=0,"",D1234-_xlfn.MAXIFS('Relevés compteurs'!$D$5:$D$1504,'Relevés compteurs'!$B$5:$B$1504,B1234,'Relevés compteurs'!$A$5:$A$1504,"&lt;"&amp;A1234)))</f>
        <v/>
      </c>
    </row>
    <row r="1235">
      <c r="A1235" s="65" t="n"/>
      <c r="B1235" s="7" t="n"/>
      <c r="C1235" s="9">
        <f>IF(B1235="","",IFERROR(INDEX('Équipements'!$B$5:$B$304,MATCH(B1235,'Équipements'!$A$5:$A$304,0)),"Code inconnu"))</f>
        <v/>
      </c>
      <c r="D1235" s="67" t="n"/>
      <c r="E1235" s="7" t="n"/>
      <c r="F1235" s="68">
        <f>IF(OR(B1235="",A1235=""),"",IF(COUNTIFS('Relevés compteurs'!$B$5:$B$1504,B1235,'Relevés compteurs'!$A$5:$A$1504,"&lt;"&amp;A1235)=0,"",D1235-_xlfn.MAXIFS('Relevés compteurs'!$D$5:$D$1504,'Relevés compteurs'!$B$5:$B$1504,B1235,'Relevés compteurs'!$A$5:$A$1504,"&lt;"&amp;A1235)))</f>
        <v/>
      </c>
    </row>
    <row r="1236">
      <c r="A1236" s="65" t="n"/>
      <c r="B1236" s="7" t="n"/>
      <c r="C1236" s="9">
        <f>IF(B1236="","",IFERROR(INDEX('Équipements'!$B$5:$B$304,MATCH(B1236,'Équipements'!$A$5:$A$304,0)),"Code inconnu"))</f>
        <v/>
      </c>
      <c r="D1236" s="67" t="n"/>
      <c r="E1236" s="7" t="n"/>
      <c r="F1236" s="68">
        <f>IF(OR(B1236="",A1236=""),"",IF(COUNTIFS('Relevés compteurs'!$B$5:$B$1504,B1236,'Relevés compteurs'!$A$5:$A$1504,"&lt;"&amp;A1236)=0,"",D1236-_xlfn.MAXIFS('Relevés compteurs'!$D$5:$D$1504,'Relevés compteurs'!$B$5:$B$1504,B1236,'Relevés compteurs'!$A$5:$A$1504,"&lt;"&amp;A1236)))</f>
        <v/>
      </c>
    </row>
    <row r="1237">
      <c r="A1237" s="65" t="n"/>
      <c r="B1237" s="7" t="n"/>
      <c r="C1237" s="9">
        <f>IF(B1237="","",IFERROR(INDEX('Équipements'!$B$5:$B$304,MATCH(B1237,'Équipements'!$A$5:$A$304,0)),"Code inconnu"))</f>
        <v/>
      </c>
      <c r="D1237" s="67" t="n"/>
      <c r="E1237" s="7" t="n"/>
      <c r="F1237" s="68">
        <f>IF(OR(B1237="",A1237=""),"",IF(COUNTIFS('Relevés compteurs'!$B$5:$B$1504,B1237,'Relevés compteurs'!$A$5:$A$1504,"&lt;"&amp;A1237)=0,"",D1237-_xlfn.MAXIFS('Relevés compteurs'!$D$5:$D$1504,'Relevés compteurs'!$B$5:$B$1504,B1237,'Relevés compteurs'!$A$5:$A$1504,"&lt;"&amp;A1237)))</f>
        <v/>
      </c>
    </row>
    <row r="1238">
      <c r="A1238" s="65" t="n"/>
      <c r="B1238" s="7" t="n"/>
      <c r="C1238" s="9">
        <f>IF(B1238="","",IFERROR(INDEX('Équipements'!$B$5:$B$304,MATCH(B1238,'Équipements'!$A$5:$A$304,0)),"Code inconnu"))</f>
        <v/>
      </c>
      <c r="D1238" s="67" t="n"/>
      <c r="E1238" s="7" t="n"/>
      <c r="F1238" s="68">
        <f>IF(OR(B1238="",A1238=""),"",IF(COUNTIFS('Relevés compteurs'!$B$5:$B$1504,B1238,'Relevés compteurs'!$A$5:$A$1504,"&lt;"&amp;A1238)=0,"",D1238-_xlfn.MAXIFS('Relevés compteurs'!$D$5:$D$1504,'Relevés compteurs'!$B$5:$B$1504,B1238,'Relevés compteurs'!$A$5:$A$1504,"&lt;"&amp;A1238)))</f>
        <v/>
      </c>
    </row>
    <row r="1239">
      <c r="A1239" s="65" t="n"/>
      <c r="B1239" s="7" t="n"/>
      <c r="C1239" s="9">
        <f>IF(B1239="","",IFERROR(INDEX('Équipements'!$B$5:$B$304,MATCH(B1239,'Équipements'!$A$5:$A$304,0)),"Code inconnu"))</f>
        <v/>
      </c>
      <c r="D1239" s="67" t="n"/>
      <c r="E1239" s="7" t="n"/>
      <c r="F1239" s="68">
        <f>IF(OR(B1239="",A1239=""),"",IF(COUNTIFS('Relevés compteurs'!$B$5:$B$1504,B1239,'Relevés compteurs'!$A$5:$A$1504,"&lt;"&amp;A1239)=0,"",D1239-_xlfn.MAXIFS('Relevés compteurs'!$D$5:$D$1504,'Relevés compteurs'!$B$5:$B$1504,B1239,'Relevés compteurs'!$A$5:$A$1504,"&lt;"&amp;A1239)))</f>
        <v/>
      </c>
    </row>
    <row r="1240">
      <c r="A1240" s="65" t="n"/>
      <c r="B1240" s="7" t="n"/>
      <c r="C1240" s="9">
        <f>IF(B1240="","",IFERROR(INDEX('Équipements'!$B$5:$B$304,MATCH(B1240,'Équipements'!$A$5:$A$304,0)),"Code inconnu"))</f>
        <v/>
      </c>
      <c r="D1240" s="67" t="n"/>
      <c r="E1240" s="7" t="n"/>
      <c r="F1240" s="68">
        <f>IF(OR(B1240="",A1240=""),"",IF(COUNTIFS('Relevés compteurs'!$B$5:$B$1504,B1240,'Relevés compteurs'!$A$5:$A$1504,"&lt;"&amp;A1240)=0,"",D1240-_xlfn.MAXIFS('Relevés compteurs'!$D$5:$D$1504,'Relevés compteurs'!$B$5:$B$1504,B1240,'Relevés compteurs'!$A$5:$A$1504,"&lt;"&amp;A1240)))</f>
        <v/>
      </c>
    </row>
    <row r="1241">
      <c r="A1241" s="65" t="n"/>
      <c r="B1241" s="7" t="n"/>
      <c r="C1241" s="9">
        <f>IF(B1241="","",IFERROR(INDEX('Équipements'!$B$5:$B$304,MATCH(B1241,'Équipements'!$A$5:$A$304,0)),"Code inconnu"))</f>
        <v/>
      </c>
      <c r="D1241" s="67" t="n"/>
      <c r="E1241" s="7" t="n"/>
      <c r="F1241" s="68">
        <f>IF(OR(B1241="",A1241=""),"",IF(COUNTIFS('Relevés compteurs'!$B$5:$B$1504,B1241,'Relevés compteurs'!$A$5:$A$1504,"&lt;"&amp;A1241)=0,"",D1241-_xlfn.MAXIFS('Relevés compteurs'!$D$5:$D$1504,'Relevés compteurs'!$B$5:$B$1504,B1241,'Relevés compteurs'!$A$5:$A$1504,"&lt;"&amp;A1241)))</f>
        <v/>
      </c>
    </row>
    <row r="1242">
      <c r="A1242" s="65" t="n"/>
      <c r="B1242" s="7" t="n"/>
      <c r="C1242" s="9">
        <f>IF(B1242="","",IFERROR(INDEX('Équipements'!$B$5:$B$304,MATCH(B1242,'Équipements'!$A$5:$A$304,0)),"Code inconnu"))</f>
        <v/>
      </c>
      <c r="D1242" s="67" t="n"/>
      <c r="E1242" s="7" t="n"/>
      <c r="F1242" s="68">
        <f>IF(OR(B1242="",A1242=""),"",IF(COUNTIFS('Relevés compteurs'!$B$5:$B$1504,B1242,'Relevés compteurs'!$A$5:$A$1504,"&lt;"&amp;A1242)=0,"",D1242-_xlfn.MAXIFS('Relevés compteurs'!$D$5:$D$1504,'Relevés compteurs'!$B$5:$B$1504,B1242,'Relevés compteurs'!$A$5:$A$1504,"&lt;"&amp;A1242)))</f>
        <v/>
      </c>
    </row>
    <row r="1243">
      <c r="A1243" s="65" t="n"/>
      <c r="B1243" s="7" t="n"/>
      <c r="C1243" s="9">
        <f>IF(B1243="","",IFERROR(INDEX('Équipements'!$B$5:$B$304,MATCH(B1243,'Équipements'!$A$5:$A$304,0)),"Code inconnu"))</f>
        <v/>
      </c>
      <c r="D1243" s="67" t="n"/>
      <c r="E1243" s="7" t="n"/>
      <c r="F1243" s="68">
        <f>IF(OR(B1243="",A1243=""),"",IF(COUNTIFS('Relevés compteurs'!$B$5:$B$1504,B1243,'Relevés compteurs'!$A$5:$A$1504,"&lt;"&amp;A1243)=0,"",D1243-_xlfn.MAXIFS('Relevés compteurs'!$D$5:$D$1504,'Relevés compteurs'!$B$5:$B$1504,B1243,'Relevés compteurs'!$A$5:$A$1504,"&lt;"&amp;A1243)))</f>
        <v/>
      </c>
    </row>
    <row r="1244">
      <c r="A1244" s="65" t="n"/>
      <c r="B1244" s="7" t="n"/>
      <c r="C1244" s="9">
        <f>IF(B1244="","",IFERROR(INDEX('Équipements'!$B$5:$B$304,MATCH(B1244,'Équipements'!$A$5:$A$304,0)),"Code inconnu"))</f>
        <v/>
      </c>
      <c r="D1244" s="67" t="n"/>
      <c r="E1244" s="7" t="n"/>
      <c r="F1244" s="68">
        <f>IF(OR(B1244="",A1244=""),"",IF(COUNTIFS('Relevés compteurs'!$B$5:$B$1504,B1244,'Relevés compteurs'!$A$5:$A$1504,"&lt;"&amp;A1244)=0,"",D1244-_xlfn.MAXIFS('Relevés compteurs'!$D$5:$D$1504,'Relevés compteurs'!$B$5:$B$1504,B1244,'Relevés compteurs'!$A$5:$A$1504,"&lt;"&amp;A1244)))</f>
        <v/>
      </c>
    </row>
    <row r="1245">
      <c r="A1245" s="65" t="n"/>
      <c r="B1245" s="7" t="n"/>
      <c r="C1245" s="9">
        <f>IF(B1245="","",IFERROR(INDEX('Équipements'!$B$5:$B$304,MATCH(B1245,'Équipements'!$A$5:$A$304,0)),"Code inconnu"))</f>
        <v/>
      </c>
      <c r="D1245" s="67" t="n"/>
      <c r="E1245" s="7" t="n"/>
      <c r="F1245" s="68">
        <f>IF(OR(B1245="",A1245=""),"",IF(COUNTIFS('Relevés compteurs'!$B$5:$B$1504,B1245,'Relevés compteurs'!$A$5:$A$1504,"&lt;"&amp;A1245)=0,"",D1245-_xlfn.MAXIFS('Relevés compteurs'!$D$5:$D$1504,'Relevés compteurs'!$B$5:$B$1504,B1245,'Relevés compteurs'!$A$5:$A$1504,"&lt;"&amp;A1245)))</f>
        <v/>
      </c>
    </row>
    <row r="1246">
      <c r="A1246" s="65" t="n"/>
      <c r="B1246" s="7" t="n"/>
      <c r="C1246" s="9">
        <f>IF(B1246="","",IFERROR(INDEX('Équipements'!$B$5:$B$304,MATCH(B1246,'Équipements'!$A$5:$A$304,0)),"Code inconnu"))</f>
        <v/>
      </c>
      <c r="D1246" s="67" t="n"/>
      <c r="E1246" s="7" t="n"/>
      <c r="F1246" s="68">
        <f>IF(OR(B1246="",A1246=""),"",IF(COUNTIFS('Relevés compteurs'!$B$5:$B$1504,B1246,'Relevés compteurs'!$A$5:$A$1504,"&lt;"&amp;A1246)=0,"",D1246-_xlfn.MAXIFS('Relevés compteurs'!$D$5:$D$1504,'Relevés compteurs'!$B$5:$B$1504,B1246,'Relevés compteurs'!$A$5:$A$1504,"&lt;"&amp;A1246)))</f>
        <v/>
      </c>
    </row>
    <row r="1247">
      <c r="A1247" s="65" t="n"/>
      <c r="B1247" s="7" t="n"/>
      <c r="C1247" s="9">
        <f>IF(B1247="","",IFERROR(INDEX('Équipements'!$B$5:$B$304,MATCH(B1247,'Équipements'!$A$5:$A$304,0)),"Code inconnu"))</f>
        <v/>
      </c>
      <c r="D1247" s="67" t="n"/>
      <c r="E1247" s="7" t="n"/>
      <c r="F1247" s="68">
        <f>IF(OR(B1247="",A1247=""),"",IF(COUNTIFS('Relevés compteurs'!$B$5:$B$1504,B1247,'Relevés compteurs'!$A$5:$A$1504,"&lt;"&amp;A1247)=0,"",D1247-_xlfn.MAXIFS('Relevés compteurs'!$D$5:$D$1504,'Relevés compteurs'!$B$5:$B$1504,B1247,'Relevés compteurs'!$A$5:$A$1504,"&lt;"&amp;A1247)))</f>
        <v/>
      </c>
    </row>
    <row r="1248">
      <c r="A1248" s="65" t="n"/>
      <c r="B1248" s="7" t="n"/>
      <c r="C1248" s="9">
        <f>IF(B1248="","",IFERROR(INDEX('Équipements'!$B$5:$B$304,MATCH(B1248,'Équipements'!$A$5:$A$304,0)),"Code inconnu"))</f>
        <v/>
      </c>
      <c r="D1248" s="67" t="n"/>
      <c r="E1248" s="7" t="n"/>
      <c r="F1248" s="68">
        <f>IF(OR(B1248="",A1248=""),"",IF(COUNTIFS('Relevés compteurs'!$B$5:$B$1504,B1248,'Relevés compteurs'!$A$5:$A$1504,"&lt;"&amp;A1248)=0,"",D1248-_xlfn.MAXIFS('Relevés compteurs'!$D$5:$D$1504,'Relevés compteurs'!$B$5:$B$1504,B1248,'Relevés compteurs'!$A$5:$A$1504,"&lt;"&amp;A1248)))</f>
        <v/>
      </c>
    </row>
    <row r="1249">
      <c r="A1249" s="65" t="n"/>
      <c r="B1249" s="7" t="n"/>
      <c r="C1249" s="9">
        <f>IF(B1249="","",IFERROR(INDEX('Équipements'!$B$5:$B$304,MATCH(B1249,'Équipements'!$A$5:$A$304,0)),"Code inconnu"))</f>
        <v/>
      </c>
      <c r="D1249" s="67" t="n"/>
      <c r="E1249" s="7" t="n"/>
      <c r="F1249" s="68">
        <f>IF(OR(B1249="",A1249=""),"",IF(COUNTIFS('Relevés compteurs'!$B$5:$B$1504,B1249,'Relevés compteurs'!$A$5:$A$1504,"&lt;"&amp;A1249)=0,"",D1249-_xlfn.MAXIFS('Relevés compteurs'!$D$5:$D$1504,'Relevés compteurs'!$B$5:$B$1504,B1249,'Relevés compteurs'!$A$5:$A$1504,"&lt;"&amp;A1249)))</f>
        <v/>
      </c>
    </row>
    <row r="1250">
      <c r="A1250" s="65" t="n"/>
      <c r="B1250" s="7" t="n"/>
      <c r="C1250" s="9">
        <f>IF(B1250="","",IFERROR(INDEX('Équipements'!$B$5:$B$304,MATCH(B1250,'Équipements'!$A$5:$A$304,0)),"Code inconnu"))</f>
        <v/>
      </c>
      <c r="D1250" s="67" t="n"/>
      <c r="E1250" s="7" t="n"/>
      <c r="F1250" s="68">
        <f>IF(OR(B1250="",A1250=""),"",IF(COUNTIFS('Relevés compteurs'!$B$5:$B$1504,B1250,'Relevés compteurs'!$A$5:$A$1504,"&lt;"&amp;A1250)=0,"",D1250-_xlfn.MAXIFS('Relevés compteurs'!$D$5:$D$1504,'Relevés compteurs'!$B$5:$B$1504,B1250,'Relevés compteurs'!$A$5:$A$1504,"&lt;"&amp;A1250)))</f>
        <v/>
      </c>
    </row>
    <row r="1251">
      <c r="A1251" s="65" t="n"/>
      <c r="B1251" s="7" t="n"/>
      <c r="C1251" s="9">
        <f>IF(B1251="","",IFERROR(INDEX('Équipements'!$B$5:$B$304,MATCH(B1251,'Équipements'!$A$5:$A$304,0)),"Code inconnu"))</f>
        <v/>
      </c>
      <c r="D1251" s="67" t="n"/>
      <c r="E1251" s="7" t="n"/>
      <c r="F1251" s="68">
        <f>IF(OR(B1251="",A1251=""),"",IF(COUNTIFS('Relevés compteurs'!$B$5:$B$1504,B1251,'Relevés compteurs'!$A$5:$A$1504,"&lt;"&amp;A1251)=0,"",D1251-_xlfn.MAXIFS('Relevés compteurs'!$D$5:$D$1504,'Relevés compteurs'!$B$5:$B$1504,B1251,'Relevés compteurs'!$A$5:$A$1504,"&lt;"&amp;A1251)))</f>
        <v/>
      </c>
    </row>
    <row r="1252">
      <c r="A1252" s="65" t="n"/>
      <c r="B1252" s="7" t="n"/>
      <c r="C1252" s="9">
        <f>IF(B1252="","",IFERROR(INDEX('Équipements'!$B$5:$B$304,MATCH(B1252,'Équipements'!$A$5:$A$304,0)),"Code inconnu"))</f>
        <v/>
      </c>
      <c r="D1252" s="67" t="n"/>
      <c r="E1252" s="7" t="n"/>
      <c r="F1252" s="68">
        <f>IF(OR(B1252="",A1252=""),"",IF(COUNTIFS('Relevés compteurs'!$B$5:$B$1504,B1252,'Relevés compteurs'!$A$5:$A$1504,"&lt;"&amp;A1252)=0,"",D1252-_xlfn.MAXIFS('Relevés compteurs'!$D$5:$D$1504,'Relevés compteurs'!$B$5:$B$1504,B1252,'Relevés compteurs'!$A$5:$A$1504,"&lt;"&amp;A1252)))</f>
        <v/>
      </c>
    </row>
    <row r="1253">
      <c r="A1253" s="65" t="n"/>
      <c r="B1253" s="7" t="n"/>
      <c r="C1253" s="9">
        <f>IF(B1253="","",IFERROR(INDEX('Équipements'!$B$5:$B$304,MATCH(B1253,'Équipements'!$A$5:$A$304,0)),"Code inconnu"))</f>
        <v/>
      </c>
      <c r="D1253" s="67" t="n"/>
      <c r="E1253" s="7" t="n"/>
      <c r="F1253" s="68">
        <f>IF(OR(B1253="",A1253=""),"",IF(COUNTIFS('Relevés compteurs'!$B$5:$B$1504,B1253,'Relevés compteurs'!$A$5:$A$1504,"&lt;"&amp;A1253)=0,"",D1253-_xlfn.MAXIFS('Relevés compteurs'!$D$5:$D$1504,'Relevés compteurs'!$B$5:$B$1504,B1253,'Relevés compteurs'!$A$5:$A$1504,"&lt;"&amp;A1253)))</f>
        <v/>
      </c>
    </row>
    <row r="1254">
      <c r="A1254" s="65" t="n"/>
      <c r="B1254" s="7" t="n"/>
      <c r="C1254" s="9">
        <f>IF(B1254="","",IFERROR(INDEX('Équipements'!$B$5:$B$304,MATCH(B1254,'Équipements'!$A$5:$A$304,0)),"Code inconnu"))</f>
        <v/>
      </c>
      <c r="D1254" s="67" t="n"/>
      <c r="E1254" s="7" t="n"/>
      <c r="F1254" s="68">
        <f>IF(OR(B1254="",A1254=""),"",IF(COUNTIFS('Relevés compteurs'!$B$5:$B$1504,B1254,'Relevés compteurs'!$A$5:$A$1504,"&lt;"&amp;A1254)=0,"",D1254-_xlfn.MAXIFS('Relevés compteurs'!$D$5:$D$1504,'Relevés compteurs'!$B$5:$B$1504,B1254,'Relevés compteurs'!$A$5:$A$1504,"&lt;"&amp;A1254)))</f>
        <v/>
      </c>
    </row>
    <row r="1255">
      <c r="A1255" s="65" t="n"/>
      <c r="B1255" s="7" t="n"/>
      <c r="C1255" s="9">
        <f>IF(B1255="","",IFERROR(INDEX('Équipements'!$B$5:$B$304,MATCH(B1255,'Équipements'!$A$5:$A$304,0)),"Code inconnu"))</f>
        <v/>
      </c>
      <c r="D1255" s="67" t="n"/>
      <c r="E1255" s="7" t="n"/>
      <c r="F1255" s="68">
        <f>IF(OR(B1255="",A1255=""),"",IF(COUNTIFS('Relevés compteurs'!$B$5:$B$1504,B1255,'Relevés compteurs'!$A$5:$A$1504,"&lt;"&amp;A1255)=0,"",D1255-_xlfn.MAXIFS('Relevés compteurs'!$D$5:$D$1504,'Relevés compteurs'!$B$5:$B$1504,B1255,'Relevés compteurs'!$A$5:$A$1504,"&lt;"&amp;A1255)))</f>
        <v/>
      </c>
    </row>
    <row r="1256">
      <c r="A1256" s="65" t="n"/>
      <c r="B1256" s="7" t="n"/>
      <c r="C1256" s="9">
        <f>IF(B1256="","",IFERROR(INDEX('Équipements'!$B$5:$B$304,MATCH(B1256,'Équipements'!$A$5:$A$304,0)),"Code inconnu"))</f>
        <v/>
      </c>
      <c r="D1256" s="67" t="n"/>
      <c r="E1256" s="7" t="n"/>
      <c r="F1256" s="68">
        <f>IF(OR(B1256="",A1256=""),"",IF(COUNTIFS('Relevés compteurs'!$B$5:$B$1504,B1256,'Relevés compteurs'!$A$5:$A$1504,"&lt;"&amp;A1256)=0,"",D1256-_xlfn.MAXIFS('Relevés compteurs'!$D$5:$D$1504,'Relevés compteurs'!$B$5:$B$1504,B1256,'Relevés compteurs'!$A$5:$A$1504,"&lt;"&amp;A1256)))</f>
        <v/>
      </c>
    </row>
    <row r="1257">
      <c r="A1257" s="65" t="n"/>
      <c r="B1257" s="7" t="n"/>
      <c r="C1257" s="9">
        <f>IF(B1257="","",IFERROR(INDEX('Équipements'!$B$5:$B$304,MATCH(B1257,'Équipements'!$A$5:$A$304,0)),"Code inconnu"))</f>
        <v/>
      </c>
      <c r="D1257" s="67" t="n"/>
      <c r="E1257" s="7" t="n"/>
      <c r="F1257" s="68">
        <f>IF(OR(B1257="",A1257=""),"",IF(COUNTIFS('Relevés compteurs'!$B$5:$B$1504,B1257,'Relevés compteurs'!$A$5:$A$1504,"&lt;"&amp;A1257)=0,"",D1257-_xlfn.MAXIFS('Relevés compteurs'!$D$5:$D$1504,'Relevés compteurs'!$B$5:$B$1504,B1257,'Relevés compteurs'!$A$5:$A$1504,"&lt;"&amp;A1257)))</f>
        <v/>
      </c>
    </row>
    <row r="1258">
      <c r="A1258" s="65" t="n"/>
      <c r="B1258" s="7" t="n"/>
      <c r="C1258" s="9">
        <f>IF(B1258="","",IFERROR(INDEX('Équipements'!$B$5:$B$304,MATCH(B1258,'Équipements'!$A$5:$A$304,0)),"Code inconnu"))</f>
        <v/>
      </c>
      <c r="D1258" s="67" t="n"/>
      <c r="E1258" s="7" t="n"/>
      <c r="F1258" s="68">
        <f>IF(OR(B1258="",A1258=""),"",IF(COUNTIFS('Relevés compteurs'!$B$5:$B$1504,B1258,'Relevés compteurs'!$A$5:$A$1504,"&lt;"&amp;A1258)=0,"",D1258-_xlfn.MAXIFS('Relevés compteurs'!$D$5:$D$1504,'Relevés compteurs'!$B$5:$B$1504,B1258,'Relevés compteurs'!$A$5:$A$1504,"&lt;"&amp;A1258)))</f>
        <v/>
      </c>
    </row>
    <row r="1259">
      <c r="A1259" s="65" t="n"/>
      <c r="B1259" s="7" t="n"/>
      <c r="C1259" s="9">
        <f>IF(B1259="","",IFERROR(INDEX('Équipements'!$B$5:$B$304,MATCH(B1259,'Équipements'!$A$5:$A$304,0)),"Code inconnu"))</f>
        <v/>
      </c>
      <c r="D1259" s="67" t="n"/>
      <c r="E1259" s="7" t="n"/>
      <c r="F1259" s="68">
        <f>IF(OR(B1259="",A1259=""),"",IF(COUNTIFS('Relevés compteurs'!$B$5:$B$1504,B1259,'Relevés compteurs'!$A$5:$A$1504,"&lt;"&amp;A1259)=0,"",D1259-_xlfn.MAXIFS('Relevés compteurs'!$D$5:$D$1504,'Relevés compteurs'!$B$5:$B$1504,B1259,'Relevés compteurs'!$A$5:$A$1504,"&lt;"&amp;A1259)))</f>
        <v/>
      </c>
    </row>
    <row r="1260">
      <c r="A1260" s="65" t="n"/>
      <c r="B1260" s="7" t="n"/>
      <c r="C1260" s="9">
        <f>IF(B1260="","",IFERROR(INDEX('Équipements'!$B$5:$B$304,MATCH(B1260,'Équipements'!$A$5:$A$304,0)),"Code inconnu"))</f>
        <v/>
      </c>
      <c r="D1260" s="67" t="n"/>
      <c r="E1260" s="7" t="n"/>
      <c r="F1260" s="68">
        <f>IF(OR(B1260="",A1260=""),"",IF(COUNTIFS('Relevés compteurs'!$B$5:$B$1504,B1260,'Relevés compteurs'!$A$5:$A$1504,"&lt;"&amp;A1260)=0,"",D1260-_xlfn.MAXIFS('Relevés compteurs'!$D$5:$D$1504,'Relevés compteurs'!$B$5:$B$1504,B1260,'Relevés compteurs'!$A$5:$A$1504,"&lt;"&amp;A1260)))</f>
        <v/>
      </c>
    </row>
    <row r="1261">
      <c r="A1261" s="65" t="n"/>
      <c r="B1261" s="7" t="n"/>
      <c r="C1261" s="9">
        <f>IF(B1261="","",IFERROR(INDEX('Équipements'!$B$5:$B$304,MATCH(B1261,'Équipements'!$A$5:$A$304,0)),"Code inconnu"))</f>
        <v/>
      </c>
      <c r="D1261" s="67" t="n"/>
      <c r="E1261" s="7" t="n"/>
      <c r="F1261" s="68">
        <f>IF(OR(B1261="",A1261=""),"",IF(COUNTIFS('Relevés compteurs'!$B$5:$B$1504,B1261,'Relevés compteurs'!$A$5:$A$1504,"&lt;"&amp;A1261)=0,"",D1261-_xlfn.MAXIFS('Relevés compteurs'!$D$5:$D$1504,'Relevés compteurs'!$B$5:$B$1504,B1261,'Relevés compteurs'!$A$5:$A$1504,"&lt;"&amp;A1261)))</f>
        <v/>
      </c>
    </row>
    <row r="1262">
      <c r="A1262" s="65" t="n"/>
      <c r="B1262" s="7" t="n"/>
      <c r="C1262" s="9">
        <f>IF(B1262="","",IFERROR(INDEX('Équipements'!$B$5:$B$304,MATCH(B1262,'Équipements'!$A$5:$A$304,0)),"Code inconnu"))</f>
        <v/>
      </c>
      <c r="D1262" s="67" t="n"/>
      <c r="E1262" s="7" t="n"/>
      <c r="F1262" s="68">
        <f>IF(OR(B1262="",A1262=""),"",IF(COUNTIFS('Relevés compteurs'!$B$5:$B$1504,B1262,'Relevés compteurs'!$A$5:$A$1504,"&lt;"&amp;A1262)=0,"",D1262-_xlfn.MAXIFS('Relevés compteurs'!$D$5:$D$1504,'Relevés compteurs'!$B$5:$B$1504,B1262,'Relevés compteurs'!$A$5:$A$1504,"&lt;"&amp;A1262)))</f>
        <v/>
      </c>
    </row>
    <row r="1263">
      <c r="A1263" s="65" t="n"/>
      <c r="B1263" s="7" t="n"/>
      <c r="C1263" s="9">
        <f>IF(B1263="","",IFERROR(INDEX('Équipements'!$B$5:$B$304,MATCH(B1263,'Équipements'!$A$5:$A$304,0)),"Code inconnu"))</f>
        <v/>
      </c>
      <c r="D1263" s="67" t="n"/>
      <c r="E1263" s="7" t="n"/>
      <c r="F1263" s="68">
        <f>IF(OR(B1263="",A1263=""),"",IF(COUNTIFS('Relevés compteurs'!$B$5:$B$1504,B1263,'Relevés compteurs'!$A$5:$A$1504,"&lt;"&amp;A1263)=0,"",D1263-_xlfn.MAXIFS('Relevés compteurs'!$D$5:$D$1504,'Relevés compteurs'!$B$5:$B$1504,B1263,'Relevés compteurs'!$A$5:$A$1504,"&lt;"&amp;A1263)))</f>
        <v/>
      </c>
    </row>
    <row r="1264">
      <c r="A1264" s="65" t="n"/>
      <c r="B1264" s="7" t="n"/>
      <c r="C1264" s="9">
        <f>IF(B1264="","",IFERROR(INDEX('Équipements'!$B$5:$B$304,MATCH(B1264,'Équipements'!$A$5:$A$304,0)),"Code inconnu"))</f>
        <v/>
      </c>
      <c r="D1264" s="67" t="n"/>
      <c r="E1264" s="7" t="n"/>
      <c r="F1264" s="68">
        <f>IF(OR(B1264="",A1264=""),"",IF(COUNTIFS('Relevés compteurs'!$B$5:$B$1504,B1264,'Relevés compteurs'!$A$5:$A$1504,"&lt;"&amp;A1264)=0,"",D1264-_xlfn.MAXIFS('Relevés compteurs'!$D$5:$D$1504,'Relevés compteurs'!$B$5:$B$1504,B1264,'Relevés compteurs'!$A$5:$A$1504,"&lt;"&amp;A1264)))</f>
        <v/>
      </c>
    </row>
    <row r="1265">
      <c r="A1265" s="65" t="n"/>
      <c r="B1265" s="7" t="n"/>
      <c r="C1265" s="9">
        <f>IF(B1265="","",IFERROR(INDEX('Équipements'!$B$5:$B$304,MATCH(B1265,'Équipements'!$A$5:$A$304,0)),"Code inconnu"))</f>
        <v/>
      </c>
      <c r="D1265" s="67" t="n"/>
      <c r="E1265" s="7" t="n"/>
      <c r="F1265" s="68">
        <f>IF(OR(B1265="",A1265=""),"",IF(COUNTIFS('Relevés compteurs'!$B$5:$B$1504,B1265,'Relevés compteurs'!$A$5:$A$1504,"&lt;"&amp;A1265)=0,"",D1265-_xlfn.MAXIFS('Relevés compteurs'!$D$5:$D$1504,'Relevés compteurs'!$B$5:$B$1504,B1265,'Relevés compteurs'!$A$5:$A$1504,"&lt;"&amp;A1265)))</f>
        <v/>
      </c>
    </row>
    <row r="1266">
      <c r="A1266" s="65" t="n"/>
      <c r="B1266" s="7" t="n"/>
      <c r="C1266" s="9">
        <f>IF(B1266="","",IFERROR(INDEX('Équipements'!$B$5:$B$304,MATCH(B1266,'Équipements'!$A$5:$A$304,0)),"Code inconnu"))</f>
        <v/>
      </c>
      <c r="D1266" s="67" t="n"/>
      <c r="E1266" s="7" t="n"/>
      <c r="F1266" s="68">
        <f>IF(OR(B1266="",A1266=""),"",IF(COUNTIFS('Relevés compteurs'!$B$5:$B$1504,B1266,'Relevés compteurs'!$A$5:$A$1504,"&lt;"&amp;A1266)=0,"",D1266-_xlfn.MAXIFS('Relevés compteurs'!$D$5:$D$1504,'Relevés compteurs'!$B$5:$B$1504,B1266,'Relevés compteurs'!$A$5:$A$1504,"&lt;"&amp;A1266)))</f>
        <v/>
      </c>
    </row>
    <row r="1267">
      <c r="A1267" s="65" t="n"/>
      <c r="B1267" s="7" t="n"/>
      <c r="C1267" s="9">
        <f>IF(B1267="","",IFERROR(INDEX('Équipements'!$B$5:$B$304,MATCH(B1267,'Équipements'!$A$5:$A$304,0)),"Code inconnu"))</f>
        <v/>
      </c>
      <c r="D1267" s="67" t="n"/>
      <c r="E1267" s="7" t="n"/>
      <c r="F1267" s="68">
        <f>IF(OR(B1267="",A1267=""),"",IF(COUNTIFS('Relevés compteurs'!$B$5:$B$1504,B1267,'Relevés compteurs'!$A$5:$A$1504,"&lt;"&amp;A1267)=0,"",D1267-_xlfn.MAXIFS('Relevés compteurs'!$D$5:$D$1504,'Relevés compteurs'!$B$5:$B$1504,B1267,'Relevés compteurs'!$A$5:$A$1504,"&lt;"&amp;A1267)))</f>
        <v/>
      </c>
    </row>
    <row r="1268">
      <c r="A1268" s="65" t="n"/>
      <c r="B1268" s="7" t="n"/>
      <c r="C1268" s="9">
        <f>IF(B1268="","",IFERROR(INDEX('Équipements'!$B$5:$B$304,MATCH(B1268,'Équipements'!$A$5:$A$304,0)),"Code inconnu"))</f>
        <v/>
      </c>
      <c r="D1268" s="67" t="n"/>
      <c r="E1268" s="7" t="n"/>
      <c r="F1268" s="68">
        <f>IF(OR(B1268="",A1268=""),"",IF(COUNTIFS('Relevés compteurs'!$B$5:$B$1504,B1268,'Relevés compteurs'!$A$5:$A$1504,"&lt;"&amp;A1268)=0,"",D1268-_xlfn.MAXIFS('Relevés compteurs'!$D$5:$D$1504,'Relevés compteurs'!$B$5:$B$1504,B1268,'Relevés compteurs'!$A$5:$A$1504,"&lt;"&amp;A1268)))</f>
        <v/>
      </c>
    </row>
    <row r="1269">
      <c r="A1269" s="65" t="n"/>
      <c r="B1269" s="7" t="n"/>
      <c r="C1269" s="9">
        <f>IF(B1269="","",IFERROR(INDEX('Équipements'!$B$5:$B$304,MATCH(B1269,'Équipements'!$A$5:$A$304,0)),"Code inconnu"))</f>
        <v/>
      </c>
      <c r="D1269" s="67" t="n"/>
      <c r="E1269" s="7" t="n"/>
      <c r="F1269" s="68">
        <f>IF(OR(B1269="",A1269=""),"",IF(COUNTIFS('Relevés compteurs'!$B$5:$B$1504,B1269,'Relevés compteurs'!$A$5:$A$1504,"&lt;"&amp;A1269)=0,"",D1269-_xlfn.MAXIFS('Relevés compteurs'!$D$5:$D$1504,'Relevés compteurs'!$B$5:$B$1504,B1269,'Relevés compteurs'!$A$5:$A$1504,"&lt;"&amp;A1269)))</f>
        <v/>
      </c>
    </row>
    <row r="1270">
      <c r="A1270" s="65" t="n"/>
      <c r="B1270" s="7" t="n"/>
      <c r="C1270" s="9">
        <f>IF(B1270="","",IFERROR(INDEX('Équipements'!$B$5:$B$304,MATCH(B1270,'Équipements'!$A$5:$A$304,0)),"Code inconnu"))</f>
        <v/>
      </c>
      <c r="D1270" s="67" t="n"/>
      <c r="E1270" s="7" t="n"/>
      <c r="F1270" s="68">
        <f>IF(OR(B1270="",A1270=""),"",IF(COUNTIFS('Relevés compteurs'!$B$5:$B$1504,B1270,'Relevés compteurs'!$A$5:$A$1504,"&lt;"&amp;A1270)=0,"",D1270-_xlfn.MAXIFS('Relevés compteurs'!$D$5:$D$1504,'Relevés compteurs'!$B$5:$B$1504,B1270,'Relevés compteurs'!$A$5:$A$1504,"&lt;"&amp;A1270)))</f>
        <v/>
      </c>
    </row>
    <row r="1271">
      <c r="A1271" s="65" t="n"/>
      <c r="B1271" s="7" t="n"/>
      <c r="C1271" s="9">
        <f>IF(B1271="","",IFERROR(INDEX('Équipements'!$B$5:$B$304,MATCH(B1271,'Équipements'!$A$5:$A$304,0)),"Code inconnu"))</f>
        <v/>
      </c>
      <c r="D1271" s="67" t="n"/>
      <c r="E1271" s="7" t="n"/>
      <c r="F1271" s="68">
        <f>IF(OR(B1271="",A1271=""),"",IF(COUNTIFS('Relevés compteurs'!$B$5:$B$1504,B1271,'Relevés compteurs'!$A$5:$A$1504,"&lt;"&amp;A1271)=0,"",D1271-_xlfn.MAXIFS('Relevés compteurs'!$D$5:$D$1504,'Relevés compteurs'!$B$5:$B$1504,B1271,'Relevés compteurs'!$A$5:$A$1504,"&lt;"&amp;A1271)))</f>
        <v/>
      </c>
    </row>
    <row r="1272">
      <c r="A1272" s="65" t="n"/>
      <c r="B1272" s="7" t="n"/>
      <c r="C1272" s="9">
        <f>IF(B1272="","",IFERROR(INDEX('Équipements'!$B$5:$B$304,MATCH(B1272,'Équipements'!$A$5:$A$304,0)),"Code inconnu"))</f>
        <v/>
      </c>
      <c r="D1272" s="67" t="n"/>
      <c r="E1272" s="7" t="n"/>
      <c r="F1272" s="68">
        <f>IF(OR(B1272="",A1272=""),"",IF(COUNTIFS('Relevés compteurs'!$B$5:$B$1504,B1272,'Relevés compteurs'!$A$5:$A$1504,"&lt;"&amp;A1272)=0,"",D1272-_xlfn.MAXIFS('Relevés compteurs'!$D$5:$D$1504,'Relevés compteurs'!$B$5:$B$1504,B1272,'Relevés compteurs'!$A$5:$A$1504,"&lt;"&amp;A1272)))</f>
        <v/>
      </c>
    </row>
    <row r="1273">
      <c r="A1273" s="65" t="n"/>
      <c r="B1273" s="7" t="n"/>
      <c r="C1273" s="9">
        <f>IF(B1273="","",IFERROR(INDEX('Équipements'!$B$5:$B$304,MATCH(B1273,'Équipements'!$A$5:$A$304,0)),"Code inconnu"))</f>
        <v/>
      </c>
      <c r="D1273" s="67" t="n"/>
      <c r="E1273" s="7" t="n"/>
      <c r="F1273" s="68">
        <f>IF(OR(B1273="",A1273=""),"",IF(COUNTIFS('Relevés compteurs'!$B$5:$B$1504,B1273,'Relevés compteurs'!$A$5:$A$1504,"&lt;"&amp;A1273)=0,"",D1273-_xlfn.MAXIFS('Relevés compteurs'!$D$5:$D$1504,'Relevés compteurs'!$B$5:$B$1504,B1273,'Relevés compteurs'!$A$5:$A$1504,"&lt;"&amp;A1273)))</f>
        <v/>
      </c>
    </row>
    <row r="1274">
      <c r="A1274" s="65" t="n"/>
      <c r="B1274" s="7" t="n"/>
      <c r="C1274" s="9">
        <f>IF(B1274="","",IFERROR(INDEX('Équipements'!$B$5:$B$304,MATCH(B1274,'Équipements'!$A$5:$A$304,0)),"Code inconnu"))</f>
        <v/>
      </c>
      <c r="D1274" s="67" t="n"/>
      <c r="E1274" s="7" t="n"/>
      <c r="F1274" s="68">
        <f>IF(OR(B1274="",A1274=""),"",IF(COUNTIFS('Relevés compteurs'!$B$5:$B$1504,B1274,'Relevés compteurs'!$A$5:$A$1504,"&lt;"&amp;A1274)=0,"",D1274-_xlfn.MAXIFS('Relevés compteurs'!$D$5:$D$1504,'Relevés compteurs'!$B$5:$B$1504,B1274,'Relevés compteurs'!$A$5:$A$1504,"&lt;"&amp;A1274)))</f>
        <v/>
      </c>
    </row>
    <row r="1275">
      <c r="A1275" s="65" t="n"/>
      <c r="B1275" s="7" t="n"/>
      <c r="C1275" s="9">
        <f>IF(B1275="","",IFERROR(INDEX('Équipements'!$B$5:$B$304,MATCH(B1275,'Équipements'!$A$5:$A$304,0)),"Code inconnu"))</f>
        <v/>
      </c>
      <c r="D1275" s="67" t="n"/>
      <c r="E1275" s="7" t="n"/>
      <c r="F1275" s="68">
        <f>IF(OR(B1275="",A1275=""),"",IF(COUNTIFS('Relevés compteurs'!$B$5:$B$1504,B1275,'Relevés compteurs'!$A$5:$A$1504,"&lt;"&amp;A1275)=0,"",D1275-_xlfn.MAXIFS('Relevés compteurs'!$D$5:$D$1504,'Relevés compteurs'!$B$5:$B$1504,B1275,'Relevés compteurs'!$A$5:$A$1504,"&lt;"&amp;A1275)))</f>
        <v/>
      </c>
    </row>
    <row r="1276">
      <c r="A1276" s="65" t="n"/>
      <c r="B1276" s="7" t="n"/>
      <c r="C1276" s="9">
        <f>IF(B1276="","",IFERROR(INDEX('Équipements'!$B$5:$B$304,MATCH(B1276,'Équipements'!$A$5:$A$304,0)),"Code inconnu"))</f>
        <v/>
      </c>
      <c r="D1276" s="67" t="n"/>
      <c r="E1276" s="7" t="n"/>
      <c r="F1276" s="68">
        <f>IF(OR(B1276="",A1276=""),"",IF(COUNTIFS('Relevés compteurs'!$B$5:$B$1504,B1276,'Relevés compteurs'!$A$5:$A$1504,"&lt;"&amp;A1276)=0,"",D1276-_xlfn.MAXIFS('Relevés compteurs'!$D$5:$D$1504,'Relevés compteurs'!$B$5:$B$1504,B1276,'Relevés compteurs'!$A$5:$A$1504,"&lt;"&amp;A1276)))</f>
        <v/>
      </c>
    </row>
    <row r="1277">
      <c r="A1277" s="65" t="n"/>
      <c r="B1277" s="7" t="n"/>
      <c r="C1277" s="9">
        <f>IF(B1277="","",IFERROR(INDEX('Équipements'!$B$5:$B$304,MATCH(B1277,'Équipements'!$A$5:$A$304,0)),"Code inconnu"))</f>
        <v/>
      </c>
      <c r="D1277" s="67" t="n"/>
      <c r="E1277" s="7" t="n"/>
      <c r="F1277" s="68">
        <f>IF(OR(B1277="",A1277=""),"",IF(COUNTIFS('Relevés compteurs'!$B$5:$B$1504,B1277,'Relevés compteurs'!$A$5:$A$1504,"&lt;"&amp;A1277)=0,"",D1277-_xlfn.MAXIFS('Relevés compteurs'!$D$5:$D$1504,'Relevés compteurs'!$B$5:$B$1504,B1277,'Relevés compteurs'!$A$5:$A$1504,"&lt;"&amp;A1277)))</f>
        <v/>
      </c>
    </row>
    <row r="1278">
      <c r="A1278" s="65" t="n"/>
      <c r="B1278" s="7" t="n"/>
      <c r="C1278" s="9">
        <f>IF(B1278="","",IFERROR(INDEX('Équipements'!$B$5:$B$304,MATCH(B1278,'Équipements'!$A$5:$A$304,0)),"Code inconnu"))</f>
        <v/>
      </c>
      <c r="D1278" s="67" t="n"/>
      <c r="E1278" s="7" t="n"/>
      <c r="F1278" s="68">
        <f>IF(OR(B1278="",A1278=""),"",IF(COUNTIFS('Relevés compteurs'!$B$5:$B$1504,B1278,'Relevés compteurs'!$A$5:$A$1504,"&lt;"&amp;A1278)=0,"",D1278-_xlfn.MAXIFS('Relevés compteurs'!$D$5:$D$1504,'Relevés compteurs'!$B$5:$B$1504,B1278,'Relevés compteurs'!$A$5:$A$1504,"&lt;"&amp;A1278)))</f>
        <v/>
      </c>
    </row>
    <row r="1279">
      <c r="A1279" s="65" t="n"/>
      <c r="B1279" s="7" t="n"/>
      <c r="C1279" s="9">
        <f>IF(B1279="","",IFERROR(INDEX('Équipements'!$B$5:$B$304,MATCH(B1279,'Équipements'!$A$5:$A$304,0)),"Code inconnu"))</f>
        <v/>
      </c>
      <c r="D1279" s="67" t="n"/>
      <c r="E1279" s="7" t="n"/>
      <c r="F1279" s="68">
        <f>IF(OR(B1279="",A1279=""),"",IF(COUNTIFS('Relevés compteurs'!$B$5:$B$1504,B1279,'Relevés compteurs'!$A$5:$A$1504,"&lt;"&amp;A1279)=0,"",D1279-_xlfn.MAXIFS('Relevés compteurs'!$D$5:$D$1504,'Relevés compteurs'!$B$5:$B$1504,B1279,'Relevés compteurs'!$A$5:$A$1504,"&lt;"&amp;A1279)))</f>
        <v/>
      </c>
    </row>
    <row r="1280">
      <c r="A1280" s="65" t="n"/>
      <c r="B1280" s="7" t="n"/>
      <c r="C1280" s="9">
        <f>IF(B1280="","",IFERROR(INDEX('Équipements'!$B$5:$B$304,MATCH(B1280,'Équipements'!$A$5:$A$304,0)),"Code inconnu"))</f>
        <v/>
      </c>
      <c r="D1280" s="67" t="n"/>
      <c r="E1280" s="7" t="n"/>
      <c r="F1280" s="68">
        <f>IF(OR(B1280="",A1280=""),"",IF(COUNTIFS('Relevés compteurs'!$B$5:$B$1504,B1280,'Relevés compteurs'!$A$5:$A$1504,"&lt;"&amp;A1280)=0,"",D1280-_xlfn.MAXIFS('Relevés compteurs'!$D$5:$D$1504,'Relevés compteurs'!$B$5:$B$1504,B1280,'Relevés compteurs'!$A$5:$A$1504,"&lt;"&amp;A1280)))</f>
        <v/>
      </c>
    </row>
    <row r="1281">
      <c r="A1281" s="65" t="n"/>
      <c r="B1281" s="7" t="n"/>
      <c r="C1281" s="9">
        <f>IF(B1281="","",IFERROR(INDEX('Équipements'!$B$5:$B$304,MATCH(B1281,'Équipements'!$A$5:$A$304,0)),"Code inconnu"))</f>
        <v/>
      </c>
      <c r="D1281" s="67" t="n"/>
      <c r="E1281" s="7" t="n"/>
      <c r="F1281" s="68">
        <f>IF(OR(B1281="",A1281=""),"",IF(COUNTIFS('Relevés compteurs'!$B$5:$B$1504,B1281,'Relevés compteurs'!$A$5:$A$1504,"&lt;"&amp;A1281)=0,"",D1281-_xlfn.MAXIFS('Relevés compteurs'!$D$5:$D$1504,'Relevés compteurs'!$B$5:$B$1504,B1281,'Relevés compteurs'!$A$5:$A$1504,"&lt;"&amp;A1281)))</f>
        <v/>
      </c>
    </row>
    <row r="1282">
      <c r="A1282" s="65" t="n"/>
      <c r="B1282" s="7" t="n"/>
      <c r="C1282" s="9">
        <f>IF(B1282="","",IFERROR(INDEX('Équipements'!$B$5:$B$304,MATCH(B1282,'Équipements'!$A$5:$A$304,0)),"Code inconnu"))</f>
        <v/>
      </c>
      <c r="D1282" s="67" t="n"/>
      <c r="E1282" s="7" t="n"/>
      <c r="F1282" s="68">
        <f>IF(OR(B1282="",A1282=""),"",IF(COUNTIFS('Relevés compteurs'!$B$5:$B$1504,B1282,'Relevés compteurs'!$A$5:$A$1504,"&lt;"&amp;A1282)=0,"",D1282-_xlfn.MAXIFS('Relevés compteurs'!$D$5:$D$1504,'Relevés compteurs'!$B$5:$B$1504,B1282,'Relevés compteurs'!$A$5:$A$1504,"&lt;"&amp;A1282)))</f>
        <v/>
      </c>
    </row>
    <row r="1283">
      <c r="A1283" s="65" t="n"/>
      <c r="B1283" s="7" t="n"/>
      <c r="C1283" s="9">
        <f>IF(B1283="","",IFERROR(INDEX('Équipements'!$B$5:$B$304,MATCH(B1283,'Équipements'!$A$5:$A$304,0)),"Code inconnu"))</f>
        <v/>
      </c>
      <c r="D1283" s="67" t="n"/>
      <c r="E1283" s="7" t="n"/>
      <c r="F1283" s="68">
        <f>IF(OR(B1283="",A1283=""),"",IF(COUNTIFS('Relevés compteurs'!$B$5:$B$1504,B1283,'Relevés compteurs'!$A$5:$A$1504,"&lt;"&amp;A1283)=0,"",D1283-_xlfn.MAXIFS('Relevés compteurs'!$D$5:$D$1504,'Relevés compteurs'!$B$5:$B$1504,B1283,'Relevés compteurs'!$A$5:$A$1504,"&lt;"&amp;A1283)))</f>
        <v/>
      </c>
    </row>
    <row r="1284">
      <c r="A1284" s="65" t="n"/>
      <c r="B1284" s="7" t="n"/>
      <c r="C1284" s="9">
        <f>IF(B1284="","",IFERROR(INDEX('Équipements'!$B$5:$B$304,MATCH(B1284,'Équipements'!$A$5:$A$304,0)),"Code inconnu"))</f>
        <v/>
      </c>
      <c r="D1284" s="67" t="n"/>
      <c r="E1284" s="7" t="n"/>
      <c r="F1284" s="68">
        <f>IF(OR(B1284="",A1284=""),"",IF(COUNTIFS('Relevés compteurs'!$B$5:$B$1504,B1284,'Relevés compteurs'!$A$5:$A$1504,"&lt;"&amp;A1284)=0,"",D1284-_xlfn.MAXIFS('Relevés compteurs'!$D$5:$D$1504,'Relevés compteurs'!$B$5:$B$1504,B1284,'Relevés compteurs'!$A$5:$A$1504,"&lt;"&amp;A1284)))</f>
        <v/>
      </c>
    </row>
    <row r="1285">
      <c r="A1285" s="65" t="n"/>
      <c r="B1285" s="7" t="n"/>
      <c r="C1285" s="9">
        <f>IF(B1285="","",IFERROR(INDEX('Équipements'!$B$5:$B$304,MATCH(B1285,'Équipements'!$A$5:$A$304,0)),"Code inconnu"))</f>
        <v/>
      </c>
      <c r="D1285" s="67" t="n"/>
      <c r="E1285" s="7" t="n"/>
      <c r="F1285" s="68">
        <f>IF(OR(B1285="",A1285=""),"",IF(COUNTIFS('Relevés compteurs'!$B$5:$B$1504,B1285,'Relevés compteurs'!$A$5:$A$1504,"&lt;"&amp;A1285)=0,"",D1285-_xlfn.MAXIFS('Relevés compteurs'!$D$5:$D$1504,'Relevés compteurs'!$B$5:$B$1504,B1285,'Relevés compteurs'!$A$5:$A$1504,"&lt;"&amp;A1285)))</f>
        <v/>
      </c>
    </row>
    <row r="1286">
      <c r="A1286" s="65" t="n"/>
      <c r="B1286" s="7" t="n"/>
      <c r="C1286" s="9">
        <f>IF(B1286="","",IFERROR(INDEX('Équipements'!$B$5:$B$304,MATCH(B1286,'Équipements'!$A$5:$A$304,0)),"Code inconnu"))</f>
        <v/>
      </c>
      <c r="D1286" s="67" t="n"/>
      <c r="E1286" s="7" t="n"/>
      <c r="F1286" s="68">
        <f>IF(OR(B1286="",A1286=""),"",IF(COUNTIFS('Relevés compteurs'!$B$5:$B$1504,B1286,'Relevés compteurs'!$A$5:$A$1504,"&lt;"&amp;A1286)=0,"",D1286-_xlfn.MAXIFS('Relevés compteurs'!$D$5:$D$1504,'Relevés compteurs'!$B$5:$B$1504,B1286,'Relevés compteurs'!$A$5:$A$1504,"&lt;"&amp;A1286)))</f>
        <v/>
      </c>
    </row>
    <row r="1287">
      <c r="A1287" s="65" t="n"/>
      <c r="B1287" s="7" t="n"/>
      <c r="C1287" s="9">
        <f>IF(B1287="","",IFERROR(INDEX('Équipements'!$B$5:$B$304,MATCH(B1287,'Équipements'!$A$5:$A$304,0)),"Code inconnu"))</f>
        <v/>
      </c>
      <c r="D1287" s="67" t="n"/>
      <c r="E1287" s="7" t="n"/>
      <c r="F1287" s="68">
        <f>IF(OR(B1287="",A1287=""),"",IF(COUNTIFS('Relevés compteurs'!$B$5:$B$1504,B1287,'Relevés compteurs'!$A$5:$A$1504,"&lt;"&amp;A1287)=0,"",D1287-_xlfn.MAXIFS('Relevés compteurs'!$D$5:$D$1504,'Relevés compteurs'!$B$5:$B$1504,B1287,'Relevés compteurs'!$A$5:$A$1504,"&lt;"&amp;A1287)))</f>
        <v/>
      </c>
    </row>
    <row r="1288">
      <c r="A1288" s="65" t="n"/>
      <c r="B1288" s="7" t="n"/>
      <c r="C1288" s="9">
        <f>IF(B1288="","",IFERROR(INDEX('Équipements'!$B$5:$B$304,MATCH(B1288,'Équipements'!$A$5:$A$304,0)),"Code inconnu"))</f>
        <v/>
      </c>
      <c r="D1288" s="67" t="n"/>
      <c r="E1288" s="7" t="n"/>
      <c r="F1288" s="68">
        <f>IF(OR(B1288="",A1288=""),"",IF(COUNTIFS('Relevés compteurs'!$B$5:$B$1504,B1288,'Relevés compteurs'!$A$5:$A$1504,"&lt;"&amp;A1288)=0,"",D1288-_xlfn.MAXIFS('Relevés compteurs'!$D$5:$D$1504,'Relevés compteurs'!$B$5:$B$1504,B1288,'Relevés compteurs'!$A$5:$A$1504,"&lt;"&amp;A1288)))</f>
        <v/>
      </c>
    </row>
    <row r="1289">
      <c r="A1289" s="65" t="n"/>
      <c r="B1289" s="7" t="n"/>
      <c r="C1289" s="9">
        <f>IF(B1289="","",IFERROR(INDEX('Équipements'!$B$5:$B$304,MATCH(B1289,'Équipements'!$A$5:$A$304,0)),"Code inconnu"))</f>
        <v/>
      </c>
      <c r="D1289" s="67" t="n"/>
      <c r="E1289" s="7" t="n"/>
      <c r="F1289" s="68">
        <f>IF(OR(B1289="",A1289=""),"",IF(COUNTIFS('Relevés compteurs'!$B$5:$B$1504,B1289,'Relevés compteurs'!$A$5:$A$1504,"&lt;"&amp;A1289)=0,"",D1289-_xlfn.MAXIFS('Relevés compteurs'!$D$5:$D$1504,'Relevés compteurs'!$B$5:$B$1504,B1289,'Relevés compteurs'!$A$5:$A$1504,"&lt;"&amp;A1289)))</f>
        <v/>
      </c>
    </row>
    <row r="1290">
      <c r="A1290" s="65" t="n"/>
      <c r="B1290" s="7" t="n"/>
      <c r="C1290" s="9">
        <f>IF(B1290="","",IFERROR(INDEX('Équipements'!$B$5:$B$304,MATCH(B1290,'Équipements'!$A$5:$A$304,0)),"Code inconnu"))</f>
        <v/>
      </c>
      <c r="D1290" s="67" t="n"/>
      <c r="E1290" s="7" t="n"/>
      <c r="F1290" s="68">
        <f>IF(OR(B1290="",A1290=""),"",IF(COUNTIFS('Relevés compteurs'!$B$5:$B$1504,B1290,'Relevés compteurs'!$A$5:$A$1504,"&lt;"&amp;A1290)=0,"",D1290-_xlfn.MAXIFS('Relevés compteurs'!$D$5:$D$1504,'Relevés compteurs'!$B$5:$B$1504,B1290,'Relevés compteurs'!$A$5:$A$1504,"&lt;"&amp;A1290)))</f>
        <v/>
      </c>
    </row>
    <row r="1291">
      <c r="A1291" s="65" t="n"/>
      <c r="B1291" s="7" t="n"/>
      <c r="C1291" s="9">
        <f>IF(B1291="","",IFERROR(INDEX('Équipements'!$B$5:$B$304,MATCH(B1291,'Équipements'!$A$5:$A$304,0)),"Code inconnu"))</f>
        <v/>
      </c>
      <c r="D1291" s="67" t="n"/>
      <c r="E1291" s="7" t="n"/>
      <c r="F1291" s="68">
        <f>IF(OR(B1291="",A1291=""),"",IF(COUNTIFS('Relevés compteurs'!$B$5:$B$1504,B1291,'Relevés compteurs'!$A$5:$A$1504,"&lt;"&amp;A1291)=0,"",D1291-_xlfn.MAXIFS('Relevés compteurs'!$D$5:$D$1504,'Relevés compteurs'!$B$5:$B$1504,B1291,'Relevés compteurs'!$A$5:$A$1504,"&lt;"&amp;A1291)))</f>
        <v/>
      </c>
    </row>
    <row r="1292">
      <c r="A1292" s="65" t="n"/>
      <c r="B1292" s="7" t="n"/>
      <c r="C1292" s="9">
        <f>IF(B1292="","",IFERROR(INDEX('Équipements'!$B$5:$B$304,MATCH(B1292,'Équipements'!$A$5:$A$304,0)),"Code inconnu"))</f>
        <v/>
      </c>
      <c r="D1292" s="67" t="n"/>
      <c r="E1292" s="7" t="n"/>
      <c r="F1292" s="68">
        <f>IF(OR(B1292="",A1292=""),"",IF(COUNTIFS('Relevés compteurs'!$B$5:$B$1504,B1292,'Relevés compteurs'!$A$5:$A$1504,"&lt;"&amp;A1292)=0,"",D1292-_xlfn.MAXIFS('Relevés compteurs'!$D$5:$D$1504,'Relevés compteurs'!$B$5:$B$1504,B1292,'Relevés compteurs'!$A$5:$A$1504,"&lt;"&amp;A1292)))</f>
        <v/>
      </c>
    </row>
    <row r="1293">
      <c r="A1293" s="65" t="n"/>
      <c r="B1293" s="7" t="n"/>
      <c r="C1293" s="9">
        <f>IF(B1293="","",IFERROR(INDEX('Équipements'!$B$5:$B$304,MATCH(B1293,'Équipements'!$A$5:$A$304,0)),"Code inconnu"))</f>
        <v/>
      </c>
      <c r="D1293" s="67" t="n"/>
      <c r="E1293" s="7" t="n"/>
      <c r="F1293" s="68">
        <f>IF(OR(B1293="",A1293=""),"",IF(COUNTIFS('Relevés compteurs'!$B$5:$B$1504,B1293,'Relevés compteurs'!$A$5:$A$1504,"&lt;"&amp;A1293)=0,"",D1293-_xlfn.MAXIFS('Relevés compteurs'!$D$5:$D$1504,'Relevés compteurs'!$B$5:$B$1504,B1293,'Relevés compteurs'!$A$5:$A$1504,"&lt;"&amp;A1293)))</f>
        <v/>
      </c>
    </row>
    <row r="1294">
      <c r="A1294" s="65" t="n"/>
      <c r="B1294" s="7" t="n"/>
      <c r="C1294" s="9">
        <f>IF(B1294="","",IFERROR(INDEX('Équipements'!$B$5:$B$304,MATCH(B1294,'Équipements'!$A$5:$A$304,0)),"Code inconnu"))</f>
        <v/>
      </c>
      <c r="D1294" s="67" t="n"/>
      <c r="E1294" s="7" t="n"/>
      <c r="F1294" s="68">
        <f>IF(OR(B1294="",A1294=""),"",IF(COUNTIFS('Relevés compteurs'!$B$5:$B$1504,B1294,'Relevés compteurs'!$A$5:$A$1504,"&lt;"&amp;A1294)=0,"",D1294-_xlfn.MAXIFS('Relevés compteurs'!$D$5:$D$1504,'Relevés compteurs'!$B$5:$B$1504,B1294,'Relevés compteurs'!$A$5:$A$1504,"&lt;"&amp;A1294)))</f>
        <v/>
      </c>
    </row>
    <row r="1295">
      <c r="A1295" s="65" t="n"/>
      <c r="B1295" s="7" t="n"/>
      <c r="C1295" s="9">
        <f>IF(B1295="","",IFERROR(INDEX('Équipements'!$B$5:$B$304,MATCH(B1295,'Équipements'!$A$5:$A$304,0)),"Code inconnu"))</f>
        <v/>
      </c>
      <c r="D1295" s="67" t="n"/>
      <c r="E1295" s="7" t="n"/>
      <c r="F1295" s="68">
        <f>IF(OR(B1295="",A1295=""),"",IF(COUNTIFS('Relevés compteurs'!$B$5:$B$1504,B1295,'Relevés compteurs'!$A$5:$A$1504,"&lt;"&amp;A1295)=0,"",D1295-_xlfn.MAXIFS('Relevés compteurs'!$D$5:$D$1504,'Relevés compteurs'!$B$5:$B$1504,B1295,'Relevés compteurs'!$A$5:$A$1504,"&lt;"&amp;A1295)))</f>
        <v/>
      </c>
    </row>
    <row r="1296">
      <c r="A1296" s="65" t="n"/>
      <c r="B1296" s="7" t="n"/>
      <c r="C1296" s="9">
        <f>IF(B1296="","",IFERROR(INDEX('Équipements'!$B$5:$B$304,MATCH(B1296,'Équipements'!$A$5:$A$304,0)),"Code inconnu"))</f>
        <v/>
      </c>
      <c r="D1296" s="67" t="n"/>
      <c r="E1296" s="7" t="n"/>
      <c r="F1296" s="68">
        <f>IF(OR(B1296="",A1296=""),"",IF(COUNTIFS('Relevés compteurs'!$B$5:$B$1504,B1296,'Relevés compteurs'!$A$5:$A$1504,"&lt;"&amp;A1296)=0,"",D1296-_xlfn.MAXIFS('Relevés compteurs'!$D$5:$D$1504,'Relevés compteurs'!$B$5:$B$1504,B1296,'Relevés compteurs'!$A$5:$A$1504,"&lt;"&amp;A1296)))</f>
        <v/>
      </c>
    </row>
    <row r="1297">
      <c r="A1297" s="65" t="n"/>
      <c r="B1297" s="7" t="n"/>
      <c r="C1297" s="9">
        <f>IF(B1297="","",IFERROR(INDEX('Équipements'!$B$5:$B$304,MATCH(B1297,'Équipements'!$A$5:$A$304,0)),"Code inconnu"))</f>
        <v/>
      </c>
      <c r="D1297" s="67" t="n"/>
      <c r="E1297" s="7" t="n"/>
      <c r="F1297" s="68">
        <f>IF(OR(B1297="",A1297=""),"",IF(COUNTIFS('Relevés compteurs'!$B$5:$B$1504,B1297,'Relevés compteurs'!$A$5:$A$1504,"&lt;"&amp;A1297)=0,"",D1297-_xlfn.MAXIFS('Relevés compteurs'!$D$5:$D$1504,'Relevés compteurs'!$B$5:$B$1504,B1297,'Relevés compteurs'!$A$5:$A$1504,"&lt;"&amp;A1297)))</f>
        <v/>
      </c>
    </row>
    <row r="1298">
      <c r="A1298" s="65" t="n"/>
      <c r="B1298" s="7" t="n"/>
      <c r="C1298" s="9">
        <f>IF(B1298="","",IFERROR(INDEX('Équipements'!$B$5:$B$304,MATCH(B1298,'Équipements'!$A$5:$A$304,0)),"Code inconnu"))</f>
        <v/>
      </c>
      <c r="D1298" s="67" t="n"/>
      <c r="E1298" s="7" t="n"/>
      <c r="F1298" s="68">
        <f>IF(OR(B1298="",A1298=""),"",IF(COUNTIFS('Relevés compteurs'!$B$5:$B$1504,B1298,'Relevés compteurs'!$A$5:$A$1504,"&lt;"&amp;A1298)=0,"",D1298-_xlfn.MAXIFS('Relevés compteurs'!$D$5:$D$1504,'Relevés compteurs'!$B$5:$B$1504,B1298,'Relevés compteurs'!$A$5:$A$1504,"&lt;"&amp;A1298)))</f>
        <v/>
      </c>
    </row>
    <row r="1299">
      <c r="A1299" s="65" t="n"/>
      <c r="B1299" s="7" t="n"/>
      <c r="C1299" s="9">
        <f>IF(B1299="","",IFERROR(INDEX('Équipements'!$B$5:$B$304,MATCH(B1299,'Équipements'!$A$5:$A$304,0)),"Code inconnu"))</f>
        <v/>
      </c>
      <c r="D1299" s="67" t="n"/>
      <c r="E1299" s="7" t="n"/>
      <c r="F1299" s="68">
        <f>IF(OR(B1299="",A1299=""),"",IF(COUNTIFS('Relevés compteurs'!$B$5:$B$1504,B1299,'Relevés compteurs'!$A$5:$A$1504,"&lt;"&amp;A1299)=0,"",D1299-_xlfn.MAXIFS('Relevés compteurs'!$D$5:$D$1504,'Relevés compteurs'!$B$5:$B$1504,B1299,'Relevés compteurs'!$A$5:$A$1504,"&lt;"&amp;A1299)))</f>
        <v/>
      </c>
    </row>
    <row r="1300">
      <c r="A1300" s="65" t="n"/>
      <c r="B1300" s="7" t="n"/>
      <c r="C1300" s="9">
        <f>IF(B1300="","",IFERROR(INDEX('Équipements'!$B$5:$B$304,MATCH(B1300,'Équipements'!$A$5:$A$304,0)),"Code inconnu"))</f>
        <v/>
      </c>
      <c r="D1300" s="67" t="n"/>
      <c r="E1300" s="7" t="n"/>
      <c r="F1300" s="68">
        <f>IF(OR(B1300="",A1300=""),"",IF(COUNTIFS('Relevés compteurs'!$B$5:$B$1504,B1300,'Relevés compteurs'!$A$5:$A$1504,"&lt;"&amp;A1300)=0,"",D1300-_xlfn.MAXIFS('Relevés compteurs'!$D$5:$D$1504,'Relevés compteurs'!$B$5:$B$1504,B1300,'Relevés compteurs'!$A$5:$A$1504,"&lt;"&amp;A1300)))</f>
        <v/>
      </c>
    </row>
    <row r="1301">
      <c r="A1301" s="65" t="n"/>
      <c r="B1301" s="7" t="n"/>
      <c r="C1301" s="9">
        <f>IF(B1301="","",IFERROR(INDEX('Équipements'!$B$5:$B$304,MATCH(B1301,'Équipements'!$A$5:$A$304,0)),"Code inconnu"))</f>
        <v/>
      </c>
      <c r="D1301" s="67" t="n"/>
      <c r="E1301" s="7" t="n"/>
      <c r="F1301" s="68">
        <f>IF(OR(B1301="",A1301=""),"",IF(COUNTIFS('Relevés compteurs'!$B$5:$B$1504,B1301,'Relevés compteurs'!$A$5:$A$1504,"&lt;"&amp;A1301)=0,"",D1301-_xlfn.MAXIFS('Relevés compteurs'!$D$5:$D$1504,'Relevés compteurs'!$B$5:$B$1504,B1301,'Relevés compteurs'!$A$5:$A$1504,"&lt;"&amp;A1301)))</f>
        <v/>
      </c>
    </row>
    <row r="1302">
      <c r="A1302" s="65" t="n"/>
      <c r="B1302" s="7" t="n"/>
      <c r="C1302" s="9">
        <f>IF(B1302="","",IFERROR(INDEX('Équipements'!$B$5:$B$304,MATCH(B1302,'Équipements'!$A$5:$A$304,0)),"Code inconnu"))</f>
        <v/>
      </c>
      <c r="D1302" s="67" t="n"/>
      <c r="E1302" s="7" t="n"/>
      <c r="F1302" s="68">
        <f>IF(OR(B1302="",A1302=""),"",IF(COUNTIFS('Relevés compteurs'!$B$5:$B$1504,B1302,'Relevés compteurs'!$A$5:$A$1504,"&lt;"&amp;A1302)=0,"",D1302-_xlfn.MAXIFS('Relevés compteurs'!$D$5:$D$1504,'Relevés compteurs'!$B$5:$B$1504,B1302,'Relevés compteurs'!$A$5:$A$1504,"&lt;"&amp;A1302)))</f>
        <v/>
      </c>
    </row>
    <row r="1303">
      <c r="A1303" s="65" t="n"/>
      <c r="B1303" s="7" t="n"/>
      <c r="C1303" s="9">
        <f>IF(B1303="","",IFERROR(INDEX('Équipements'!$B$5:$B$304,MATCH(B1303,'Équipements'!$A$5:$A$304,0)),"Code inconnu"))</f>
        <v/>
      </c>
      <c r="D1303" s="67" t="n"/>
      <c r="E1303" s="7" t="n"/>
      <c r="F1303" s="68">
        <f>IF(OR(B1303="",A1303=""),"",IF(COUNTIFS('Relevés compteurs'!$B$5:$B$1504,B1303,'Relevés compteurs'!$A$5:$A$1504,"&lt;"&amp;A1303)=0,"",D1303-_xlfn.MAXIFS('Relevés compteurs'!$D$5:$D$1504,'Relevés compteurs'!$B$5:$B$1504,B1303,'Relevés compteurs'!$A$5:$A$1504,"&lt;"&amp;A1303)))</f>
        <v/>
      </c>
    </row>
    <row r="1304">
      <c r="A1304" s="65" t="n"/>
      <c r="B1304" s="7" t="n"/>
      <c r="C1304" s="9">
        <f>IF(B1304="","",IFERROR(INDEX('Équipements'!$B$5:$B$304,MATCH(B1304,'Équipements'!$A$5:$A$304,0)),"Code inconnu"))</f>
        <v/>
      </c>
      <c r="D1304" s="67" t="n"/>
      <c r="E1304" s="7" t="n"/>
      <c r="F1304" s="68">
        <f>IF(OR(B1304="",A1304=""),"",IF(COUNTIFS('Relevés compteurs'!$B$5:$B$1504,B1304,'Relevés compteurs'!$A$5:$A$1504,"&lt;"&amp;A1304)=0,"",D1304-_xlfn.MAXIFS('Relevés compteurs'!$D$5:$D$1504,'Relevés compteurs'!$B$5:$B$1504,B1304,'Relevés compteurs'!$A$5:$A$1504,"&lt;"&amp;A1304)))</f>
        <v/>
      </c>
    </row>
    <row r="1305">
      <c r="A1305" s="65" t="n"/>
      <c r="B1305" s="7" t="n"/>
      <c r="C1305" s="9">
        <f>IF(B1305="","",IFERROR(INDEX('Équipements'!$B$5:$B$304,MATCH(B1305,'Équipements'!$A$5:$A$304,0)),"Code inconnu"))</f>
        <v/>
      </c>
      <c r="D1305" s="67" t="n"/>
      <c r="E1305" s="7" t="n"/>
      <c r="F1305" s="68">
        <f>IF(OR(B1305="",A1305=""),"",IF(COUNTIFS('Relevés compteurs'!$B$5:$B$1504,B1305,'Relevés compteurs'!$A$5:$A$1504,"&lt;"&amp;A1305)=0,"",D1305-_xlfn.MAXIFS('Relevés compteurs'!$D$5:$D$1504,'Relevés compteurs'!$B$5:$B$1504,B1305,'Relevés compteurs'!$A$5:$A$1504,"&lt;"&amp;A1305)))</f>
        <v/>
      </c>
    </row>
    <row r="1306">
      <c r="A1306" s="65" t="n"/>
      <c r="B1306" s="7" t="n"/>
      <c r="C1306" s="9">
        <f>IF(B1306="","",IFERROR(INDEX('Équipements'!$B$5:$B$304,MATCH(B1306,'Équipements'!$A$5:$A$304,0)),"Code inconnu"))</f>
        <v/>
      </c>
      <c r="D1306" s="67" t="n"/>
      <c r="E1306" s="7" t="n"/>
      <c r="F1306" s="68">
        <f>IF(OR(B1306="",A1306=""),"",IF(COUNTIFS('Relevés compteurs'!$B$5:$B$1504,B1306,'Relevés compteurs'!$A$5:$A$1504,"&lt;"&amp;A1306)=0,"",D1306-_xlfn.MAXIFS('Relevés compteurs'!$D$5:$D$1504,'Relevés compteurs'!$B$5:$B$1504,B1306,'Relevés compteurs'!$A$5:$A$1504,"&lt;"&amp;A1306)))</f>
        <v/>
      </c>
    </row>
    <row r="1307">
      <c r="A1307" s="65" t="n"/>
      <c r="B1307" s="7" t="n"/>
      <c r="C1307" s="9">
        <f>IF(B1307="","",IFERROR(INDEX('Équipements'!$B$5:$B$304,MATCH(B1307,'Équipements'!$A$5:$A$304,0)),"Code inconnu"))</f>
        <v/>
      </c>
      <c r="D1307" s="67" t="n"/>
      <c r="E1307" s="7" t="n"/>
      <c r="F1307" s="68">
        <f>IF(OR(B1307="",A1307=""),"",IF(COUNTIFS('Relevés compteurs'!$B$5:$B$1504,B1307,'Relevés compteurs'!$A$5:$A$1504,"&lt;"&amp;A1307)=0,"",D1307-_xlfn.MAXIFS('Relevés compteurs'!$D$5:$D$1504,'Relevés compteurs'!$B$5:$B$1504,B1307,'Relevés compteurs'!$A$5:$A$1504,"&lt;"&amp;A1307)))</f>
        <v/>
      </c>
    </row>
    <row r="1308">
      <c r="A1308" s="65" t="n"/>
      <c r="B1308" s="7" t="n"/>
      <c r="C1308" s="9">
        <f>IF(B1308="","",IFERROR(INDEX('Équipements'!$B$5:$B$304,MATCH(B1308,'Équipements'!$A$5:$A$304,0)),"Code inconnu"))</f>
        <v/>
      </c>
      <c r="D1308" s="67" t="n"/>
      <c r="E1308" s="7" t="n"/>
      <c r="F1308" s="68">
        <f>IF(OR(B1308="",A1308=""),"",IF(COUNTIFS('Relevés compteurs'!$B$5:$B$1504,B1308,'Relevés compteurs'!$A$5:$A$1504,"&lt;"&amp;A1308)=0,"",D1308-_xlfn.MAXIFS('Relevés compteurs'!$D$5:$D$1504,'Relevés compteurs'!$B$5:$B$1504,B1308,'Relevés compteurs'!$A$5:$A$1504,"&lt;"&amp;A1308)))</f>
        <v/>
      </c>
    </row>
    <row r="1309">
      <c r="A1309" s="65" t="n"/>
      <c r="B1309" s="7" t="n"/>
      <c r="C1309" s="9">
        <f>IF(B1309="","",IFERROR(INDEX('Équipements'!$B$5:$B$304,MATCH(B1309,'Équipements'!$A$5:$A$304,0)),"Code inconnu"))</f>
        <v/>
      </c>
      <c r="D1309" s="67" t="n"/>
      <c r="E1309" s="7" t="n"/>
      <c r="F1309" s="68">
        <f>IF(OR(B1309="",A1309=""),"",IF(COUNTIFS('Relevés compteurs'!$B$5:$B$1504,B1309,'Relevés compteurs'!$A$5:$A$1504,"&lt;"&amp;A1309)=0,"",D1309-_xlfn.MAXIFS('Relevés compteurs'!$D$5:$D$1504,'Relevés compteurs'!$B$5:$B$1504,B1309,'Relevés compteurs'!$A$5:$A$1504,"&lt;"&amp;A1309)))</f>
        <v/>
      </c>
    </row>
    <row r="1310">
      <c r="A1310" s="65" t="n"/>
      <c r="B1310" s="7" t="n"/>
      <c r="C1310" s="9">
        <f>IF(B1310="","",IFERROR(INDEX('Équipements'!$B$5:$B$304,MATCH(B1310,'Équipements'!$A$5:$A$304,0)),"Code inconnu"))</f>
        <v/>
      </c>
      <c r="D1310" s="67" t="n"/>
      <c r="E1310" s="7" t="n"/>
      <c r="F1310" s="68">
        <f>IF(OR(B1310="",A1310=""),"",IF(COUNTIFS('Relevés compteurs'!$B$5:$B$1504,B1310,'Relevés compteurs'!$A$5:$A$1504,"&lt;"&amp;A1310)=0,"",D1310-_xlfn.MAXIFS('Relevés compteurs'!$D$5:$D$1504,'Relevés compteurs'!$B$5:$B$1504,B1310,'Relevés compteurs'!$A$5:$A$1504,"&lt;"&amp;A1310)))</f>
        <v/>
      </c>
    </row>
    <row r="1311">
      <c r="A1311" s="65" t="n"/>
      <c r="B1311" s="7" t="n"/>
      <c r="C1311" s="9">
        <f>IF(B1311="","",IFERROR(INDEX('Équipements'!$B$5:$B$304,MATCH(B1311,'Équipements'!$A$5:$A$304,0)),"Code inconnu"))</f>
        <v/>
      </c>
      <c r="D1311" s="67" t="n"/>
      <c r="E1311" s="7" t="n"/>
      <c r="F1311" s="68">
        <f>IF(OR(B1311="",A1311=""),"",IF(COUNTIFS('Relevés compteurs'!$B$5:$B$1504,B1311,'Relevés compteurs'!$A$5:$A$1504,"&lt;"&amp;A1311)=0,"",D1311-_xlfn.MAXIFS('Relevés compteurs'!$D$5:$D$1504,'Relevés compteurs'!$B$5:$B$1504,B1311,'Relevés compteurs'!$A$5:$A$1504,"&lt;"&amp;A1311)))</f>
        <v/>
      </c>
    </row>
    <row r="1312">
      <c r="A1312" s="65" t="n"/>
      <c r="B1312" s="7" t="n"/>
      <c r="C1312" s="9">
        <f>IF(B1312="","",IFERROR(INDEX('Équipements'!$B$5:$B$304,MATCH(B1312,'Équipements'!$A$5:$A$304,0)),"Code inconnu"))</f>
        <v/>
      </c>
      <c r="D1312" s="67" t="n"/>
      <c r="E1312" s="7" t="n"/>
      <c r="F1312" s="68">
        <f>IF(OR(B1312="",A1312=""),"",IF(COUNTIFS('Relevés compteurs'!$B$5:$B$1504,B1312,'Relevés compteurs'!$A$5:$A$1504,"&lt;"&amp;A1312)=0,"",D1312-_xlfn.MAXIFS('Relevés compteurs'!$D$5:$D$1504,'Relevés compteurs'!$B$5:$B$1504,B1312,'Relevés compteurs'!$A$5:$A$1504,"&lt;"&amp;A1312)))</f>
        <v/>
      </c>
    </row>
    <row r="1313">
      <c r="A1313" s="65" t="n"/>
      <c r="B1313" s="7" t="n"/>
      <c r="C1313" s="9">
        <f>IF(B1313="","",IFERROR(INDEX('Équipements'!$B$5:$B$304,MATCH(B1313,'Équipements'!$A$5:$A$304,0)),"Code inconnu"))</f>
        <v/>
      </c>
      <c r="D1313" s="67" t="n"/>
      <c r="E1313" s="7" t="n"/>
      <c r="F1313" s="68">
        <f>IF(OR(B1313="",A1313=""),"",IF(COUNTIFS('Relevés compteurs'!$B$5:$B$1504,B1313,'Relevés compteurs'!$A$5:$A$1504,"&lt;"&amp;A1313)=0,"",D1313-_xlfn.MAXIFS('Relevés compteurs'!$D$5:$D$1504,'Relevés compteurs'!$B$5:$B$1504,B1313,'Relevés compteurs'!$A$5:$A$1504,"&lt;"&amp;A1313)))</f>
        <v/>
      </c>
    </row>
    <row r="1314">
      <c r="A1314" s="65" t="n"/>
      <c r="B1314" s="7" t="n"/>
      <c r="C1314" s="9">
        <f>IF(B1314="","",IFERROR(INDEX('Équipements'!$B$5:$B$304,MATCH(B1314,'Équipements'!$A$5:$A$304,0)),"Code inconnu"))</f>
        <v/>
      </c>
      <c r="D1314" s="67" t="n"/>
      <c r="E1314" s="7" t="n"/>
      <c r="F1314" s="68">
        <f>IF(OR(B1314="",A1314=""),"",IF(COUNTIFS('Relevés compteurs'!$B$5:$B$1504,B1314,'Relevés compteurs'!$A$5:$A$1504,"&lt;"&amp;A1314)=0,"",D1314-_xlfn.MAXIFS('Relevés compteurs'!$D$5:$D$1504,'Relevés compteurs'!$B$5:$B$1504,B1314,'Relevés compteurs'!$A$5:$A$1504,"&lt;"&amp;A1314)))</f>
        <v/>
      </c>
    </row>
    <row r="1315">
      <c r="A1315" s="65" t="n"/>
      <c r="B1315" s="7" t="n"/>
      <c r="C1315" s="9">
        <f>IF(B1315="","",IFERROR(INDEX('Équipements'!$B$5:$B$304,MATCH(B1315,'Équipements'!$A$5:$A$304,0)),"Code inconnu"))</f>
        <v/>
      </c>
      <c r="D1315" s="67" t="n"/>
      <c r="E1315" s="7" t="n"/>
      <c r="F1315" s="68">
        <f>IF(OR(B1315="",A1315=""),"",IF(COUNTIFS('Relevés compteurs'!$B$5:$B$1504,B1315,'Relevés compteurs'!$A$5:$A$1504,"&lt;"&amp;A1315)=0,"",D1315-_xlfn.MAXIFS('Relevés compteurs'!$D$5:$D$1504,'Relevés compteurs'!$B$5:$B$1504,B1315,'Relevés compteurs'!$A$5:$A$1504,"&lt;"&amp;A1315)))</f>
        <v/>
      </c>
    </row>
    <row r="1316">
      <c r="A1316" s="65" t="n"/>
      <c r="B1316" s="7" t="n"/>
      <c r="C1316" s="9">
        <f>IF(B1316="","",IFERROR(INDEX('Équipements'!$B$5:$B$304,MATCH(B1316,'Équipements'!$A$5:$A$304,0)),"Code inconnu"))</f>
        <v/>
      </c>
      <c r="D1316" s="67" t="n"/>
      <c r="E1316" s="7" t="n"/>
      <c r="F1316" s="68">
        <f>IF(OR(B1316="",A1316=""),"",IF(COUNTIFS('Relevés compteurs'!$B$5:$B$1504,B1316,'Relevés compteurs'!$A$5:$A$1504,"&lt;"&amp;A1316)=0,"",D1316-_xlfn.MAXIFS('Relevés compteurs'!$D$5:$D$1504,'Relevés compteurs'!$B$5:$B$1504,B1316,'Relevés compteurs'!$A$5:$A$1504,"&lt;"&amp;A1316)))</f>
        <v/>
      </c>
    </row>
    <row r="1317">
      <c r="A1317" s="65" t="n"/>
      <c r="B1317" s="7" t="n"/>
      <c r="C1317" s="9">
        <f>IF(B1317="","",IFERROR(INDEX('Équipements'!$B$5:$B$304,MATCH(B1317,'Équipements'!$A$5:$A$304,0)),"Code inconnu"))</f>
        <v/>
      </c>
      <c r="D1317" s="67" t="n"/>
      <c r="E1317" s="7" t="n"/>
      <c r="F1317" s="68">
        <f>IF(OR(B1317="",A1317=""),"",IF(COUNTIFS('Relevés compteurs'!$B$5:$B$1504,B1317,'Relevés compteurs'!$A$5:$A$1504,"&lt;"&amp;A1317)=0,"",D1317-_xlfn.MAXIFS('Relevés compteurs'!$D$5:$D$1504,'Relevés compteurs'!$B$5:$B$1504,B1317,'Relevés compteurs'!$A$5:$A$1504,"&lt;"&amp;A1317)))</f>
        <v/>
      </c>
    </row>
    <row r="1318">
      <c r="A1318" s="65" t="n"/>
      <c r="B1318" s="7" t="n"/>
      <c r="C1318" s="9">
        <f>IF(B1318="","",IFERROR(INDEX('Équipements'!$B$5:$B$304,MATCH(B1318,'Équipements'!$A$5:$A$304,0)),"Code inconnu"))</f>
        <v/>
      </c>
      <c r="D1318" s="67" t="n"/>
      <c r="E1318" s="7" t="n"/>
      <c r="F1318" s="68">
        <f>IF(OR(B1318="",A1318=""),"",IF(COUNTIFS('Relevés compteurs'!$B$5:$B$1504,B1318,'Relevés compteurs'!$A$5:$A$1504,"&lt;"&amp;A1318)=0,"",D1318-_xlfn.MAXIFS('Relevés compteurs'!$D$5:$D$1504,'Relevés compteurs'!$B$5:$B$1504,B1318,'Relevés compteurs'!$A$5:$A$1504,"&lt;"&amp;A1318)))</f>
        <v/>
      </c>
    </row>
    <row r="1319">
      <c r="A1319" s="65" t="n"/>
      <c r="B1319" s="7" t="n"/>
      <c r="C1319" s="9">
        <f>IF(B1319="","",IFERROR(INDEX('Équipements'!$B$5:$B$304,MATCH(B1319,'Équipements'!$A$5:$A$304,0)),"Code inconnu"))</f>
        <v/>
      </c>
      <c r="D1319" s="67" t="n"/>
      <c r="E1319" s="7" t="n"/>
      <c r="F1319" s="68">
        <f>IF(OR(B1319="",A1319=""),"",IF(COUNTIFS('Relevés compteurs'!$B$5:$B$1504,B1319,'Relevés compteurs'!$A$5:$A$1504,"&lt;"&amp;A1319)=0,"",D1319-_xlfn.MAXIFS('Relevés compteurs'!$D$5:$D$1504,'Relevés compteurs'!$B$5:$B$1504,B1319,'Relevés compteurs'!$A$5:$A$1504,"&lt;"&amp;A1319)))</f>
        <v/>
      </c>
    </row>
    <row r="1320">
      <c r="A1320" s="65" t="n"/>
      <c r="B1320" s="7" t="n"/>
      <c r="C1320" s="9">
        <f>IF(B1320="","",IFERROR(INDEX('Équipements'!$B$5:$B$304,MATCH(B1320,'Équipements'!$A$5:$A$304,0)),"Code inconnu"))</f>
        <v/>
      </c>
      <c r="D1320" s="67" t="n"/>
      <c r="E1320" s="7" t="n"/>
      <c r="F1320" s="68">
        <f>IF(OR(B1320="",A1320=""),"",IF(COUNTIFS('Relevés compteurs'!$B$5:$B$1504,B1320,'Relevés compteurs'!$A$5:$A$1504,"&lt;"&amp;A1320)=0,"",D1320-_xlfn.MAXIFS('Relevés compteurs'!$D$5:$D$1504,'Relevés compteurs'!$B$5:$B$1504,B1320,'Relevés compteurs'!$A$5:$A$1504,"&lt;"&amp;A1320)))</f>
        <v/>
      </c>
    </row>
    <row r="1321">
      <c r="A1321" s="65" t="n"/>
      <c r="B1321" s="7" t="n"/>
      <c r="C1321" s="9">
        <f>IF(B1321="","",IFERROR(INDEX('Équipements'!$B$5:$B$304,MATCH(B1321,'Équipements'!$A$5:$A$304,0)),"Code inconnu"))</f>
        <v/>
      </c>
      <c r="D1321" s="67" t="n"/>
      <c r="E1321" s="7" t="n"/>
      <c r="F1321" s="68">
        <f>IF(OR(B1321="",A1321=""),"",IF(COUNTIFS('Relevés compteurs'!$B$5:$B$1504,B1321,'Relevés compteurs'!$A$5:$A$1504,"&lt;"&amp;A1321)=0,"",D1321-_xlfn.MAXIFS('Relevés compteurs'!$D$5:$D$1504,'Relevés compteurs'!$B$5:$B$1504,B1321,'Relevés compteurs'!$A$5:$A$1504,"&lt;"&amp;A1321)))</f>
        <v/>
      </c>
    </row>
    <row r="1322">
      <c r="A1322" s="65" t="n"/>
      <c r="B1322" s="7" t="n"/>
      <c r="C1322" s="9">
        <f>IF(B1322="","",IFERROR(INDEX('Équipements'!$B$5:$B$304,MATCH(B1322,'Équipements'!$A$5:$A$304,0)),"Code inconnu"))</f>
        <v/>
      </c>
      <c r="D1322" s="67" t="n"/>
      <c r="E1322" s="7" t="n"/>
      <c r="F1322" s="68">
        <f>IF(OR(B1322="",A1322=""),"",IF(COUNTIFS('Relevés compteurs'!$B$5:$B$1504,B1322,'Relevés compteurs'!$A$5:$A$1504,"&lt;"&amp;A1322)=0,"",D1322-_xlfn.MAXIFS('Relevés compteurs'!$D$5:$D$1504,'Relevés compteurs'!$B$5:$B$1504,B1322,'Relevés compteurs'!$A$5:$A$1504,"&lt;"&amp;A1322)))</f>
        <v/>
      </c>
    </row>
    <row r="1323">
      <c r="A1323" s="65" t="n"/>
      <c r="B1323" s="7" t="n"/>
      <c r="C1323" s="9">
        <f>IF(B1323="","",IFERROR(INDEX('Équipements'!$B$5:$B$304,MATCH(B1323,'Équipements'!$A$5:$A$304,0)),"Code inconnu"))</f>
        <v/>
      </c>
      <c r="D1323" s="67" t="n"/>
      <c r="E1323" s="7" t="n"/>
      <c r="F1323" s="68">
        <f>IF(OR(B1323="",A1323=""),"",IF(COUNTIFS('Relevés compteurs'!$B$5:$B$1504,B1323,'Relevés compteurs'!$A$5:$A$1504,"&lt;"&amp;A1323)=0,"",D1323-_xlfn.MAXIFS('Relevés compteurs'!$D$5:$D$1504,'Relevés compteurs'!$B$5:$B$1504,B1323,'Relevés compteurs'!$A$5:$A$1504,"&lt;"&amp;A1323)))</f>
        <v/>
      </c>
    </row>
    <row r="1324">
      <c r="A1324" s="65" t="n"/>
      <c r="B1324" s="7" t="n"/>
      <c r="C1324" s="9">
        <f>IF(B1324="","",IFERROR(INDEX('Équipements'!$B$5:$B$304,MATCH(B1324,'Équipements'!$A$5:$A$304,0)),"Code inconnu"))</f>
        <v/>
      </c>
      <c r="D1324" s="67" t="n"/>
      <c r="E1324" s="7" t="n"/>
      <c r="F1324" s="68">
        <f>IF(OR(B1324="",A1324=""),"",IF(COUNTIFS('Relevés compteurs'!$B$5:$B$1504,B1324,'Relevés compteurs'!$A$5:$A$1504,"&lt;"&amp;A1324)=0,"",D1324-_xlfn.MAXIFS('Relevés compteurs'!$D$5:$D$1504,'Relevés compteurs'!$B$5:$B$1504,B1324,'Relevés compteurs'!$A$5:$A$1504,"&lt;"&amp;A1324)))</f>
        <v/>
      </c>
    </row>
    <row r="1325">
      <c r="A1325" s="65" t="n"/>
      <c r="B1325" s="7" t="n"/>
      <c r="C1325" s="9">
        <f>IF(B1325="","",IFERROR(INDEX('Équipements'!$B$5:$B$304,MATCH(B1325,'Équipements'!$A$5:$A$304,0)),"Code inconnu"))</f>
        <v/>
      </c>
      <c r="D1325" s="67" t="n"/>
      <c r="E1325" s="7" t="n"/>
      <c r="F1325" s="68">
        <f>IF(OR(B1325="",A1325=""),"",IF(COUNTIFS('Relevés compteurs'!$B$5:$B$1504,B1325,'Relevés compteurs'!$A$5:$A$1504,"&lt;"&amp;A1325)=0,"",D1325-_xlfn.MAXIFS('Relevés compteurs'!$D$5:$D$1504,'Relevés compteurs'!$B$5:$B$1504,B1325,'Relevés compteurs'!$A$5:$A$1504,"&lt;"&amp;A1325)))</f>
        <v/>
      </c>
    </row>
    <row r="1326">
      <c r="A1326" s="65" t="n"/>
      <c r="B1326" s="7" t="n"/>
      <c r="C1326" s="9">
        <f>IF(B1326="","",IFERROR(INDEX('Équipements'!$B$5:$B$304,MATCH(B1326,'Équipements'!$A$5:$A$304,0)),"Code inconnu"))</f>
        <v/>
      </c>
      <c r="D1326" s="67" t="n"/>
      <c r="E1326" s="7" t="n"/>
      <c r="F1326" s="68">
        <f>IF(OR(B1326="",A1326=""),"",IF(COUNTIFS('Relevés compteurs'!$B$5:$B$1504,B1326,'Relevés compteurs'!$A$5:$A$1504,"&lt;"&amp;A1326)=0,"",D1326-_xlfn.MAXIFS('Relevés compteurs'!$D$5:$D$1504,'Relevés compteurs'!$B$5:$B$1504,B1326,'Relevés compteurs'!$A$5:$A$1504,"&lt;"&amp;A1326)))</f>
        <v/>
      </c>
    </row>
    <row r="1327">
      <c r="A1327" s="65" t="n"/>
      <c r="B1327" s="7" t="n"/>
      <c r="C1327" s="9">
        <f>IF(B1327="","",IFERROR(INDEX('Équipements'!$B$5:$B$304,MATCH(B1327,'Équipements'!$A$5:$A$304,0)),"Code inconnu"))</f>
        <v/>
      </c>
      <c r="D1327" s="67" t="n"/>
      <c r="E1327" s="7" t="n"/>
      <c r="F1327" s="68">
        <f>IF(OR(B1327="",A1327=""),"",IF(COUNTIFS('Relevés compteurs'!$B$5:$B$1504,B1327,'Relevés compteurs'!$A$5:$A$1504,"&lt;"&amp;A1327)=0,"",D1327-_xlfn.MAXIFS('Relevés compteurs'!$D$5:$D$1504,'Relevés compteurs'!$B$5:$B$1504,B1327,'Relevés compteurs'!$A$5:$A$1504,"&lt;"&amp;A1327)))</f>
        <v/>
      </c>
    </row>
    <row r="1328">
      <c r="A1328" s="65" t="n"/>
      <c r="B1328" s="7" t="n"/>
      <c r="C1328" s="9">
        <f>IF(B1328="","",IFERROR(INDEX('Équipements'!$B$5:$B$304,MATCH(B1328,'Équipements'!$A$5:$A$304,0)),"Code inconnu"))</f>
        <v/>
      </c>
      <c r="D1328" s="67" t="n"/>
      <c r="E1328" s="7" t="n"/>
      <c r="F1328" s="68">
        <f>IF(OR(B1328="",A1328=""),"",IF(COUNTIFS('Relevés compteurs'!$B$5:$B$1504,B1328,'Relevés compteurs'!$A$5:$A$1504,"&lt;"&amp;A1328)=0,"",D1328-_xlfn.MAXIFS('Relevés compteurs'!$D$5:$D$1504,'Relevés compteurs'!$B$5:$B$1504,B1328,'Relevés compteurs'!$A$5:$A$1504,"&lt;"&amp;A1328)))</f>
        <v/>
      </c>
    </row>
    <row r="1329">
      <c r="A1329" s="65" t="n"/>
      <c r="B1329" s="7" t="n"/>
      <c r="C1329" s="9">
        <f>IF(B1329="","",IFERROR(INDEX('Équipements'!$B$5:$B$304,MATCH(B1329,'Équipements'!$A$5:$A$304,0)),"Code inconnu"))</f>
        <v/>
      </c>
      <c r="D1329" s="67" t="n"/>
      <c r="E1329" s="7" t="n"/>
      <c r="F1329" s="68">
        <f>IF(OR(B1329="",A1329=""),"",IF(COUNTIFS('Relevés compteurs'!$B$5:$B$1504,B1329,'Relevés compteurs'!$A$5:$A$1504,"&lt;"&amp;A1329)=0,"",D1329-_xlfn.MAXIFS('Relevés compteurs'!$D$5:$D$1504,'Relevés compteurs'!$B$5:$B$1504,B1329,'Relevés compteurs'!$A$5:$A$1504,"&lt;"&amp;A1329)))</f>
        <v/>
      </c>
    </row>
    <row r="1330">
      <c r="A1330" s="65" t="n"/>
      <c r="B1330" s="7" t="n"/>
      <c r="C1330" s="9">
        <f>IF(B1330="","",IFERROR(INDEX('Équipements'!$B$5:$B$304,MATCH(B1330,'Équipements'!$A$5:$A$304,0)),"Code inconnu"))</f>
        <v/>
      </c>
      <c r="D1330" s="67" t="n"/>
      <c r="E1330" s="7" t="n"/>
      <c r="F1330" s="68">
        <f>IF(OR(B1330="",A1330=""),"",IF(COUNTIFS('Relevés compteurs'!$B$5:$B$1504,B1330,'Relevés compteurs'!$A$5:$A$1504,"&lt;"&amp;A1330)=0,"",D1330-_xlfn.MAXIFS('Relevés compteurs'!$D$5:$D$1504,'Relevés compteurs'!$B$5:$B$1504,B1330,'Relevés compteurs'!$A$5:$A$1504,"&lt;"&amp;A1330)))</f>
        <v/>
      </c>
    </row>
    <row r="1331">
      <c r="A1331" s="65" t="n"/>
      <c r="B1331" s="7" t="n"/>
      <c r="C1331" s="9">
        <f>IF(B1331="","",IFERROR(INDEX('Équipements'!$B$5:$B$304,MATCH(B1331,'Équipements'!$A$5:$A$304,0)),"Code inconnu"))</f>
        <v/>
      </c>
      <c r="D1331" s="67" t="n"/>
      <c r="E1331" s="7" t="n"/>
      <c r="F1331" s="68">
        <f>IF(OR(B1331="",A1331=""),"",IF(COUNTIFS('Relevés compteurs'!$B$5:$B$1504,B1331,'Relevés compteurs'!$A$5:$A$1504,"&lt;"&amp;A1331)=0,"",D1331-_xlfn.MAXIFS('Relevés compteurs'!$D$5:$D$1504,'Relevés compteurs'!$B$5:$B$1504,B1331,'Relevés compteurs'!$A$5:$A$1504,"&lt;"&amp;A1331)))</f>
        <v/>
      </c>
    </row>
    <row r="1332">
      <c r="A1332" s="65" t="n"/>
      <c r="B1332" s="7" t="n"/>
      <c r="C1332" s="9">
        <f>IF(B1332="","",IFERROR(INDEX('Équipements'!$B$5:$B$304,MATCH(B1332,'Équipements'!$A$5:$A$304,0)),"Code inconnu"))</f>
        <v/>
      </c>
      <c r="D1332" s="67" t="n"/>
      <c r="E1332" s="7" t="n"/>
      <c r="F1332" s="68">
        <f>IF(OR(B1332="",A1332=""),"",IF(COUNTIFS('Relevés compteurs'!$B$5:$B$1504,B1332,'Relevés compteurs'!$A$5:$A$1504,"&lt;"&amp;A1332)=0,"",D1332-_xlfn.MAXIFS('Relevés compteurs'!$D$5:$D$1504,'Relevés compteurs'!$B$5:$B$1504,B1332,'Relevés compteurs'!$A$5:$A$1504,"&lt;"&amp;A1332)))</f>
        <v/>
      </c>
    </row>
    <row r="1333">
      <c r="A1333" s="65" t="n"/>
      <c r="B1333" s="7" t="n"/>
      <c r="C1333" s="9">
        <f>IF(B1333="","",IFERROR(INDEX('Équipements'!$B$5:$B$304,MATCH(B1333,'Équipements'!$A$5:$A$304,0)),"Code inconnu"))</f>
        <v/>
      </c>
      <c r="D1333" s="67" t="n"/>
      <c r="E1333" s="7" t="n"/>
      <c r="F1333" s="68">
        <f>IF(OR(B1333="",A1333=""),"",IF(COUNTIFS('Relevés compteurs'!$B$5:$B$1504,B1333,'Relevés compteurs'!$A$5:$A$1504,"&lt;"&amp;A1333)=0,"",D1333-_xlfn.MAXIFS('Relevés compteurs'!$D$5:$D$1504,'Relevés compteurs'!$B$5:$B$1504,B1333,'Relevés compteurs'!$A$5:$A$1504,"&lt;"&amp;A1333)))</f>
        <v/>
      </c>
    </row>
    <row r="1334">
      <c r="A1334" s="65" t="n"/>
      <c r="B1334" s="7" t="n"/>
      <c r="C1334" s="9">
        <f>IF(B1334="","",IFERROR(INDEX('Équipements'!$B$5:$B$304,MATCH(B1334,'Équipements'!$A$5:$A$304,0)),"Code inconnu"))</f>
        <v/>
      </c>
      <c r="D1334" s="67" t="n"/>
      <c r="E1334" s="7" t="n"/>
      <c r="F1334" s="68">
        <f>IF(OR(B1334="",A1334=""),"",IF(COUNTIFS('Relevés compteurs'!$B$5:$B$1504,B1334,'Relevés compteurs'!$A$5:$A$1504,"&lt;"&amp;A1334)=0,"",D1334-_xlfn.MAXIFS('Relevés compteurs'!$D$5:$D$1504,'Relevés compteurs'!$B$5:$B$1504,B1334,'Relevés compteurs'!$A$5:$A$1504,"&lt;"&amp;A1334)))</f>
        <v/>
      </c>
    </row>
    <row r="1335">
      <c r="A1335" s="65" t="n"/>
      <c r="B1335" s="7" t="n"/>
      <c r="C1335" s="9">
        <f>IF(B1335="","",IFERROR(INDEX('Équipements'!$B$5:$B$304,MATCH(B1335,'Équipements'!$A$5:$A$304,0)),"Code inconnu"))</f>
        <v/>
      </c>
      <c r="D1335" s="67" t="n"/>
      <c r="E1335" s="7" t="n"/>
      <c r="F1335" s="68">
        <f>IF(OR(B1335="",A1335=""),"",IF(COUNTIFS('Relevés compteurs'!$B$5:$B$1504,B1335,'Relevés compteurs'!$A$5:$A$1504,"&lt;"&amp;A1335)=0,"",D1335-_xlfn.MAXIFS('Relevés compteurs'!$D$5:$D$1504,'Relevés compteurs'!$B$5:$B$1504,B1335,'Relevés compteurs'!$A$5:$A$1504,"&lt;"&amp;A1335)))</f>
        <v/>
      </c>
    </row>
    <row r="1336">
      <c r="A1336" s="65" t="n"/>
      <c r="B1336" s="7" t="n"/>
      <c r="C1336" s="9">
        <f>IF(B1336="","",IFERROR(INDEX('Équipements'!$B$5:$B$304,MATCH(B1336,'Équipements'!$A$5:$A$304,0)),"Code inconnu"))</f>
        <v/>
      </c>
      <c r="D1336" s="67" t="n"/>
      <c r="E1336" s="7" t="n"/>
      <c r="F1336" s="68">
        <f>IF(OR(B1336="",A1336=""),"",IF(COUNTIFS('Relevés compteurs'!$B$5:$B$1504,B1336,'Relevés compteurs'!$A$5:$A$1504,"&lt;"&amp;A1336)=0,"",D1336-_xlfn.MAXIFS('Relevés compteurs'!$D$5:$D$1504,'Relevés compteurs'!$B$5:$B$1504,B1336,'Relevés compteurs'!$A$5:$A$1504,"&lt;"&amp;A1336)))</f>
        <v/>
      </c>
    </row>
    <row r="1337">
      <c r="A1337" s="65" t="n"/>
      <c r="B1337" s="7" t="n"/>
      <c r="C1337" s="9">
        <f>IF(B1337="","",IFERROR(INDEX('Équipements'!$B$5:$B$304,MATCH(B1337,'Équipements'!$A$5:$A$304,0)),"Code inconnu"))</f>
        <v/>
      </c>
      <c r="D1337" s="67" t="n"/>
      <c r="E1337" s="7" t="n"/>
      <c r="F1337" s="68">
        <f>IF(OR(B1337="",A1337=""),"",IF(COUNTIFS('Relevés compteurs'!$B$5:$B$1504,B1337,'Relevés compteurs'!$A$5:$A$1504,"&lt;"&amp;A1337)=0,"",D1337-_xlfn.MAXIFS('Relevés compteurs'!$D$5:$D$1504,'Relevés compteurs'!$B$5:$B$1504,B1337,'Relevés compteurs'!$A$5:$A$1504,"&lt;"&amp;A1337)))</f>
        <v/>
      </c>
    </row>
    <row r="1338">
      <c r="A1338" s="65" t="n"/>
      <c r="B1338" s="7" t="n"/>
      <c r="C1338" s="9">
        <f>IF(B1338="","",IFERROR(INDEX('Équipements'!$B$5:$B$304,MATCH(B1338,'Équipements'!$A$5:$A$304,0)),"Code inconnu"))</f>
        <v/>
      </c>
      <c r="D1338" s="67" t="n"/>
      <c r="E1338" s="7" t="n"/>
      <c r="F1338" s="68">
        <f>IF(OR(B1338="",A1338=""),"",IF(COUNTIFS('Relevés compteurs'!$B$5:$B$1504,B1338,'Relevés compteurs'!$A$5:$A$1504,"&lt;"&amp;A1338)=0,"",D1338-_xlfn.MAXIFS('Relevés compteurs'!$D$5:$D$1504,'Relevés compteurs'!$B$5:$B$1504,B1338,'Relevés compteurs'!$A$5:$A$1504,"&lt;"&amp;A1338)))</f>
        <v/>
      </c>
    </row>
    <row r="1339">
      <c r="A1339" s="65" t="n"/>
      <c r="B1339" s="7" t="n"/>
      <c r="C1339" s="9">
        <f>IF(B1339="","",IFERROR(INDEX('Équipements'!$B$5:$B$304,MATCH(B1339,'Équipements'!$A$5:$A$304,0)),"Code inconnu"))</f>
        <v/>
      </c>
      <c r="D1339" s="67" t="n"/>
      <c r="E1339" s="7" t="n"/>
      <c r="F1339" s="68">
        <f>IF(OR(B1339="",A1339=""),"",IF(COUNTIFS('Relevés compteurs'!$B$5:$B$1504,B1339,'Relevés compteurs'!$A$5:$A$1504,"&lt;"&amp;A1339)=0,"",D1339-_xlfn.MAXIFS('Relevés compteurs'!$D$5:$D$1504,'Relevés compteurs'!$B$5:$B$1504,B1339,'Relevés compteurs'!$A$5:$A$1504,"&lt;"&amp;A1339)))</f>
        <v/>
      </c>
    </row>
    <row r="1340">
      <c r="A1340" s="65" t="n"/>
      <c r="B1340" s="7" t="n"/>
      <c r="C1340" s="9">
        <f>IF(B1340="","",IFERROR(INDEX('Équipements'!$B$5:$B$304,MATCH(B1340,'Équipements'!$A$5:$A$304,0)),"Code inconnu"))</f>
        <v/>
      </c>
      <c r="D1340" s="67" t="n"/>
      <c r="E1340" s="7" t="n"/>
      <c r="F1340" s="68">
        <f>IF(OR(B1340="",A1340=""),"",IF(COUNTIFS('Relevés compteurs'!$B$5:$B$1504,B1340,'Relevés compteurs'!$A$5:$A$1504,"&lt;"&amp;A1340)=0,"",D1340-_xlfn.MAXIFS('Relevés compteurs'!$D$5:$D$1504,'Relevés compteurs'!$B$5:$B$1504,B1340,'Relevés compteurs'!$A$5:$A$1504,"&lt;"&amp;A1340)))</f>
        <v/>
      </c>
    </row>
    <row r="1341">
      <c r="A1341" s="65" t="n"/>
      <c r="B1341" s="7" t="n"/>
      <c r="C1341" s="9">
        <f>IF(B1341="","",IFERROR(INDEX('Équipements'!$B$5:$B$304,MATCH(B1341,'Équipements'!$A$5:$A$304,0)),"Code inconnu"))</f>
        <v/>
      </c>
      <c r="D1341" s="67" t="n"/>
      <c r="E1341" s="7" t="n"/>
      <c r="F1341" s="68">
        <f>IF(OR(B1341="",A1341=""),"",IF(COUNTIFS('Relevés compteurs'!$B$5:$B$1504,B1341,'Relevés compteurs'!$A$5:$A$1504,"&lt;"&amp;A1341)=0,"",D1341-_xlfn.MAXIFS('Relevés compteurs'!$D$5:$D$1504,'Relevés compteurs'!$B$5:$B$1504,B1341,'Relevés compteurs'!$A$5:$A$1504,"&lt;"&amp;A1341)))</f>
        <v/>
      </c>
    </row>
    <row r="1342">
      <c r="A1342" s="65" t="n"/>
      <c r="B1342" s="7" t="n"/>
      <c r="C1342" s="9">
        <f>IF(B1342="","",IFERROR(INDEX('Équipements'!$B$5:$B$304,MATCH(B1342,'Équipements'!$A$5:$A$304,0)),"Code inconnu"))</f>
        <v/>
      </c>
      <c r="D1342" s="67" t="n"/>
      <c r="E1342" s="7" t="n"/>
      <c r="F1342" s="68">
        <f>IF(OR(B1342="",A1342=""),"",IF(COUNTIFS('Relevés compteurs'!$B$5:$B$1504,B1342,'Relevés compteurs'!$A$5:$A$1504,"&lt;"&amp;A1342)=0,"",D1342-_xlfn.MAXIFS('Relevés compteurs'!$D$5:$D$1504,'Relevés compteurs'!$B$5:$B$1504,B1342,'Relevés compteurs'!$A$5:$A$1504,"&lt;"&amp;A1342)))</f>
        <v/>
      </c>
    </row>
    <row r="1343">
      <c r="A1343" s="65" t="n"/>
      <c r="B1343" s="7" t="n"/>
      <c r="C1343" s="9">
        <f>IF(B1343="","",IFERROR(INDEX('Équipements'!$B$5:$B$304,MATCH(B1343,'Équipements'!$A$5:$A$304,0)),"Code inconnu"))</f>
        <v/>
      </c>
      <c r="D1343" s="67" t="n"/>
      <c r="E1343" s="7" t="n"/>
      <c r="F1343" s="68">
        <f>IF(OR(B1343="",A1343=""),"",IF(COUNTIFS('Relevés compteurs'!$B$5:$B$1504,B1343,'Relevés compteurs'!$A$5:$A$1504,"&lt;"&amp;A1343)=0,"",D1343-_xlfn.MAXIFS('Relevés compteurs'!$D$5:$D$1504,'Relevés compteurs'!$B$5:$B$1504,B1343,'Relevés compteurs'!$A$5:$A$1504,"&lt;"&amp;A1343)))</f>
        <v/>
      </c>
    </row>
    <row r="1344">
      <c r="A1344" s="65" t="n"/>
      <c r="B1344" s="7" t="n"/>
      <c r="C1344" s="9">
        <f>IF(B1344="","",IFERROR(INDEX('Équipements'!$B$5:$B$304,MATCH(B1344,'Équipements'!$A$5:$A$304,0)),"Code inconnu"))</f>
        <v/>
      </c>
      <c r="D1344" s="67" t="n"/>
      <c r="E1344" s="7" t="n"/>
      <c r="F1344" s="68">
        <f>IF(OR(B1344="",A1344=""),"",IF(COUNTIFS('Relevés compteurs'!$B$5:$B$1504,B1344,'Relevés compteurs'!$A$5:$A$1504,"&lt;"&amp;A1344)=0,"",D1344-_xlfn.MAXIFS('Relevés compteurs'!$D$5:$D$1504,'Relevés compteurs'!$B$5:$B$1504,B1344,'Relevés compteurs'!$A$5:$A$1504,"&lt;"&amp;A1344)))</f>
        <v/>
      </c>
    </row>
    <row r="1345">
      <c r="A1345" s="65" t="n"/>
      <c r="B1345" s="7" t="n"/>
      <c r="C1345" s="9">
        <f>IF(B1345="","",IFERROR(INDEX('Équipements'!$B$5:$B$304,MATCH(B1345,'Équipements'!$A$5:$A$304,0)),"Code inconnu"))</f>
        <v/>
      </c>
      <c r="D1345" s="67" t="n"/>
      <c r="E1345" s="7" t="n"/>
      <c r="F1345" s="68">
        <f>IF(OR(B1345="",A1345=""),"",IF(COUNTIFS('Relevés compteurs'!$B$5:$B$1504,B1345,'Relevés compteurs'!$A$5:$A$1504,"&lt;"&amp;A1345)=0,"",D1345-_xlfn.MAXIFS('Relevés compteurs'!$D$5:$D$1504,'Relevés compteurs'!$B$5:$B$1504,B1345,'Relevés compteurs'!$A$5:$A$1504,"&lt;"&amp;A1345)))</f>
        <v/>
      </c>
    </row>
    <row r="1346">
      <c r="A1346" s="65" t="n"/>
      <c r="B1346" s="7" t="n"/>
      <c r="C1346" s="9">
        <f>IF(B1346="","",IFERROR(INDEX('Équipements'!$B$5:$B$304,MATCH(B1346,'Équipements'!$A$5:$A$304,0)),"Code inconnu"))</f>
        <v/>
      </c>
      <c r="D1346" s="67" t="n"/>
      <c r="E1346" s="7" t="n"/>
      <c r="F1346" s="68">
        <f>IF(OR(B1346="",A1346=""),"",IF(COUNTIFS('Relevés compteurs'!$B$5:$B$1504,B1346,'Relevés compteurs'!$A$5:$A$1504,"&lt;"&amp;A1346)=0,"",D1346-_xlfn.MAXIFS('Relevés compteurs'!$D$5:$D$1504,'Relevés compteurs'!$B$5:$B$1504,B1346,'Relevés compteurs'!$A$5:$A$1504,"&lt;"&amp;A1346)))</f>
        <v/>
      </c>
    </row>
    <row r="1347">
      <c r="A1347" s="65" t="n"/>
      <c r="B1347" s="7" t="n"/>
      <c r="C1347" s="9">
        <f>IF(B1347="","",IFERROR(INDEX('Équipements'!$B$5:$B$304,MATCH(B1347,'Équipements'!$A$5:$A$304,0)),"Code inconnu"))</f>
        <v/>
      </c>
      <c r="D1347" s="67" t="n"/>
      <c r="E1347" s="7" t="n"/>
      <c r="F1347" s="68">
        <f>IF(OR(B1347="",A1347=""),"",IF(COUNTIFS('Relevés compteurs'!$B$5:$B$1504,B1347,'Relevés compteurs'!$A$5:$A$1504,"&lt;"&amp;A1347)=0,"",D1347-_xlfn.MAXIFS('Relevés compteurs'!$D$5:$D$1504,'Relevés compteurs'!$B$5:$B$1504,B1347,'Relevés compteurs'!$A$5:$A$1504,"&lt;"&amp;A1347)))</f>
        <v/>
      </c>
    </row>
    <row r="1348">
      <c r="A1348" s="65" t="n"/>
      <c r="B1348" s="7" t="n"/>
      <c r="C1348" s="9">
        <f>IF(B1348="","",IFERROR(INDEX('Équipements'!$B$5:$B$304,MATCH(B1348,'Équipements'!$A$5:$A$304,0)),"Code inconnu"))</f>
        <v/>
      </c>
      <c r="D1348" s="67" t="n"/>
      <c r="E1348" s="7" t="n"/>
      <c r="F1348" s="68">
        <f>IF(OR(B1348="",A1348=""),"",IF(COUNTIFS('Relevés compteurs'!$B$5:$B$1504,B1348,'Relevés compteurs'!$A$5:$A$1504,"&lt;"&amp;A1348)=0,"",D1348-_xlfn.MAXIFS('Relevés compteurs'!$D$5:$D$1504,'Relevés compteurs'!$B$5:$B$1504,B1348,'Relevés compteurs'!$A$5:$A$1504,"&lt;"&amp;A1348)))</f>
        <v/>
      </c>
    </row>
    <row r="1349">
      <c r="A1349" s="65" t="n"/>
      <c r="B1349" s="7" t="n"/>
      <c r="C1349" s="9">
        <f>IF(B1349="","",IFERROR(INDEX('Équipements'!$B$5:$B$304,MATCH(B1349,'Équipements'!$A$5:$A$304,0)),"Code inconnu"))</f>
        <v/>
      </c>
      <c r="D1349" s="67" t="n"/>
      <c r="E1349" s="7" t="n"/>
      <c r="F1349" s="68">
        <f>IF(OR(B1349="",A1349=""),"",IF(COUNTIFS('Relevés compteurs'!$B$5:$B$1504,B1349,'Relevés compteurs'!$A$5:$A$1504,"&lt;"&amp;A1349)=0,"",D1349-_xlfn.MAXIFS('Relevés compteurs'!$D$5:$D$1504,'Relevés compteurs'!$B$5:$B$1504,B1349,'Relevés compteurs'!$A$5:$A$1504,"&lt;"&amp;A1349)))</f>
        <v/>
      </c>
    </row>
    <row r="1350">
      <c r="A1350" s="65" t="n"/>
      <c r="B1350" s="7" t="n"/>
      <c r="C1350" s="9">
        <f>IF(B1350="","",IFERROR(INDEX('Équipements'!$B$5:$B$304,MATCH(B1350,'Équipements'!$A$5:$A$304,0)),"Code inconnu"))</f>
        <v/>
      </c>
      <c r="D1350" s="67" t="n"/>
      <c r="E1350" s="7" t="n"/>
      <c r="F1350" s="68">
        <f>IF(OR(B1350="",A1350=""),"",IF(COUNTIFS('Relevés compteurs'!$B$5:$B$1504,B1350,'Relevés compteurs'!$A$5:$A$1504,"&lt;"&amp;A1350)=0,"",D1350-_xlfn.MAXIFS('Relevés compteurs'!$D$5:$D$1504,'Relevés compteurs'!$B$5:$B$1504,B1350,'Relevés compteurs'!$A$5:$A$1504,"&lt;"&amp;A1350)))</f>
        <v/>
      </c>
    </row>
    <row r="1351">
      <c r="A1351" s="65" t="n"/>
      <c r="B1351" s="7" t="n"/>
      <c r="C1351" s="9">
        <f>IF(B1351="","",IFERROR(INDEX('Équipements'!$B$5:$B$304,MATCH(B1351,'Équipements'!$A$5:$A$304,0)),"Code inconnu"))</f>
        <v/>
      </c>
      <c r="D1351" s="67" t="n"/>
      <c r="E1351" s="7" t="n"/>
      <c r="F1351" s="68">
        <f>IF(OR(B1351="",A1351=""),"",IF(COUNTIFS('Relevés compteurs'!$B$5:$B$1504,B1351,'Relevés compteurs'!$A$5:$A$1504,"&lt;"&amp;A1351)=0,"",D1351-_xlfn.MAXIFS('Relevés compteurs'!$D$5:$D$1504,'Relevés compteurs'!$B$5:$B$1504,B1351,'Relevés compteurs'!$A$5:$A$1504,"&lt;"&amp;A1351)))</f>
        <v/>
      </c>
    </row>
    <row r="1352">
      <c r="A1352" s="65" t="n"/>
      <c r="B1352" s="7" t="n"/>
      <c r="C1352" s="9">
        <f>IF(B1352="","",IFERROR(INDEX('Équipements'!$B$5:$B$304,MATCH(B1352,'Équipements'!$A$5:$A$304,0)),"Code inconnu"))</f>
        <v/>
      </c>
      <c r="D1352" s="67" t="n"/>
      <c r="E1352" s="7" t="n"/>
      <c r="F1352" s="68">
        <f>IF(OR(B1352="",A1352=""),"",IF(COUNTIFS('Relevés compteurs'!$B$5:$B$1504,B1352,'Relevés compteurs'!$A$5:$A$1504,"&lt;"&amp;A1352)=0,"",D1352-_xlfn.MAXIFS('Relevés compteurs'!$D$5:$D$1504,'Relevés compteurs'!$B$5:$B$1504,B1352,'Relevés compteurs'!$A$5:$A$1504,"&lt;"&amp;A1352)))</f>
        <v/>
      </c>
    </row>
    <row r="1353">
      <c r="A1353" s="65" t="n"/>
      <c r="B1353" s="7" t="n"/>
      <c r="C1353" s="9">
        <f>IF(B1353="","",IFERROR(INDEX('Équipements'!$B$5:$B$304,MATCH(B1353,'Équipements'!$A$5:$A$304,0)),"Code inconnu"))</f>
        <v/>
      </c>
      <c r="D1353" s="67" t="n"/>
      <c r="E1353" s="7" t="n"/>
      <c r="F1353" s="68">
        <f>IF(OR(B1353="",A1353=""),"",IF(COUNTIFS('Relevés compteurs'!$B$5:$B$1504,B1353,'Relevés compteurs'!$A$5:$A$1504,"&lt;"&amp;A1353)=0,"",D1353-_xlfn.MAXIFS('Relevés compteurs'!$D$5:$D$1504,'Relevés compteurs'!$B$5:$B$1504,B1353,'Relevés compteurs'!$A$5:$A$1504,"&lt;"&amp;A1353)))</f>
        <v/>
      </c>
    </row>
    <row r="1354">
      <c r="A1354" s="65" t="n"/>
      <c r="B1354" s="7" t="n"/>
      <c r="C1354" s="9">
        <f>IF(B1354="","",IFERROR(INDEX('Équipements'!$B$5:$B$304,MATCH(B1354,'Équipements'!$A$5:$A$304,0)),"Code inconnu"))</f>
        <v/>
      </c>
      <c r="D1354" s="67" t="n"/>
      <c r="E1354" s="7" t="n"/>
      <c r="F1354" s="68">
        <f>IF(OR(B1354="",A1354=""),"",IF(COUNTIFS('Relevés compteurs'!$B$5:$B$1504,B1354,'Relevés compteurs'!$A$5:$A$1504,"&lt;"&amp;A1354)=0,"",D1354-_xlfn.MAXIFS('Relevés compteurs'!$D$5:$D$1504,'Relevés compteurs'!$B$5:$B$1504,B1354,'Relevés compteurs'!$A$5:$A$1504,"&lt;"&amp;A1354)))</f>
        <v/>
      </c>
    </row>
    <row r="1355">
      <c r="A1355" s="65" t="n"/>
      <c r="B1355" s="7" t="n"/>
      <c r="C1355" s="9">
        <f>IF(B1355="","",IFERROR(INDEX('Équipements'!$B$5:$B$304,MATCH(B1355,'Équipements'!$A$5:$A$304,0)),"Code inconnu"))</f>
        <v/>
      </c>
      <c r="D1355" s="67" t="n"/>
      <c r="E1355" s="7" t="n"/>
      <c r="F1355" s="68">
        <f>IF(OR(B1355="",A1355=""),"",IF(COUNTIFS('Relevés compteurs'!$B$5:$B$1504,B1355,'Relevés compteurs'!$A$5:$A$1504,"&lt;"&amp;A1355)=0,"",D1355-_xlfn.MAXIFS('Relevés compteurs'!$D$5:$D$1504,'Relevés compteurs'!$B$5:$B$1504,B1355,'Relevés compteurs'!$A$5:$A$1504,"&lt;"&amp;A1355)))</f>
        <v/>
      </c>
    </row>
    <row r="1356">
      <c r="A1356" s="65" t="n"/>
      <c r="B1356" s="7" t="n"/>
      <c r="C1356" s="9">
        <f>IF(B1356="","",IFERROR(INDEX('Équipements'!$B$5:$B$304,MATCH(B1356,'Équipements'!$A$5:$A$304,0)),"Code inconnu"))</f>
        <v/>
      </c>
      <c r="D1356" s="67" t="n"/>
      <c r="E1356" s="7" t="n"/>
      <c r="F1356" s="68">
        <f>IF(OR(B1356="",A1356=""),"",IF(COUNTIFS('Relevés compteurs'!$B$5:$B$1504,B1356,'Relevés compteurs'!$A$5:$A$1504,"&lt;"&amp;A1356)=0,"",D1356-_xlfn.MAXIFS('Relevés compteurs'!$D$5:$D$1504,'Relevés compteurs'!$B$5:$B$1504,B1356,'Relevés compteurs'!$A$5:$A$1504,"&lt;"&amp;A1356)))</f>
        <v/>
      </c>
    </row>
    <row r="1357">
      <c r="A1357" s="65" t="n"/>
      <c r="B1357" s="7" t="n"/>
      <c r="C1357" s="9">
        <f>IF(B1357="","",IFERROR(INDEX('Équipements'!$B$5:$B$304,MATCH(B1357,'Équipements'!$A$5:$A$304,0)),"Code inconnu"))</f>
        <v/>
      </c>
      <c r="D1357" s="67" t="n"/>
      <c r="E1357" s="7" t="n"/>
      <c r="F1357" s="68">
        <f>IF(OR(B1357="",A1357=""),"",IF(COUNTIFS('Relevés compteurs'!$B$5:$B$1504,B1357,'Relevés compteurs'!$A$5:$A$1504,"&lt;"&amp;A1357)=0,"",D1357-_xlfn.MAXIFS('Relevés compteurs'!$D$5:$D$1504,'Relevés compteurs'!$B$5:$B$1504,B1357,'Relevés compteurs'!$A$5:$A$1504,"&lt;"&amp;A1357)))</f>
        <v/>
      </c>
    </row>
    <row r="1358">
      <c r="A1358" s="65" t="n"/>
      <c r="B1358" s="7" t="n"/>
      <c r="C1358" s="9">
        <f>IF(B1358="","",IFERROR(INDEX('Équipements'!$B$5:$B$304,MATCH(B1358,'Équipements'!$A$5:$A$304,0)),"Code inconnu"))</f>
        <v/>
      </c>
      <c r="D1358" s="67" t="n"/>
      <c r="E1358" s="7" t="n"/>
      <c r="F1358" s="68">
        <f>IF(OR(B1358="",A1358=""),"",IF(COUNTIFS('Relevés compteurs'!$B$5:$B$1504,B1358,'Relevés compteurs'!$A$5:$A$1504,"&lt;"&amp;A1358)=0,"",D1358-_xlfn.MAXIFS('Relevés compteurs'!$D$5:$D$1504,'Relevés compteurs'!$B$5:$B$1504,B1358,'Relevés compteurs'!$A$5:$A$1504,"&lt;"&amp;A1358)))</f>
        <v/>
      </c>
    </row>
    <row r="1359">
      <c r="A1359" s="65" t="n"/>
      <c r="B1359" s="7" t="n"/>
      <c r="C1359" s="9">
        <f>IF(B1359="","",IFERROR(INDEX('Équipements'!$B$5:$B$304,MATCH(B1359,'Équipements'!$A$5:$A$304,0)),"Code inconnu"))</f>
        <v/>
      </c>
      <c r="D1359" s="67" t="n"/>
      <c r="E1359" s="7" t="n"/>
      <c r="F1359" s="68">
        <f>IF(OR(B1359="",A1359=""),"",IF(COUNTIFS('Relevés compteurs'!$B$5:$B$1504,B1359,'Relevés compteurs'!$A$5:$A$1504,"&lt;"&amp;A1359)=0,"",D1359-_xlfn.MAXIFS('Relevés compteurs'!$D$5:$D$1504,'Relevés compteurs'!$B$5:$B$1504,B1359,'Relevés compteurs'!$A$5:$A$1504,"&lt;"&amp;A1359)))</f>
        <v/>
      </c>
    </row>
    <row r="1360">
      <c r="A1360" s="65" t="n"/>
      <c r="B1360" s="7" t="n"/>
      <c r="C1360" s="9">
        <f>IF(B1360="","",IFERROR(INDEX('Équipements'!$B$5:$B$304,MATCH(B1360,'Équipements'!$A$5:$A$304,0)),"Code inconnu"))</f>
        <v/>
      </c>
      <c r="D1360" s="67" t="n"/>
      <c r="E1360" s="7" t="n"/>
      <c r="F1360" s="68">
        <f>IF(OR(B1360="",A1360=""),"",IF(COUNTIFS('Relevés compteurs'!$B$5:$B$1504,B1360,'Relevés compteurs'!$A$5:$A$1504,"&lt;"&amp;A1360)=0,"",D1360-_xlfn.MAXIFS('Relevés compteurs'!$D$5:$D$1504,'Relevés compteurs'!$B$5:$B$1504,B1360,'Relevés compteurs'!$A$5:$A$1504,"&lt;"&amp;A1360)))</f>
        <v/>
      </c>
    </row>
    <row r="1361">
      <c r="A1361" s="65" t="n"/>
      <c r="B1361" s="7" t="n"/>
      <c r="C1361" s="9">
        <f>IF(B1361="","",IFERROR(INDEX('Équipements'!$B$5:$B$304,MATCH(B1361,'Équipements'!$A$5:$A$304,0)),"Code inconnu"))</f>
        <v/>
      </c>
      <c r="D1361" s="67" t="n"/>
      <c r="E1361" s="7" t="n"/>
      <c r="F1361" s="68">
        <f>IF(OR(B1361="",A1361=""),"",IF(COUNTIFS('Relevés compteurs'!$B$5:$B$1504,B1361,'Relevés compteurs'!$A$5:$A$1504,"&lt;"&amp;A1361)=0,"",D1361-_xlfn.MAXIFS('Relevés compteurs'!$D$5:$D$1504,'Relevés compteurs'!$B$5:$B$1504,B1361,'Relevés compteurs'!$A$5:$A$1504,"&lt;"&amp;A1361)))</f>
        <v/>
      </c>
    </row>
    <row r="1362">
      <c r="A1362" s="65" t="n"/>
      <c r="B1362" s="7" t="n"/>
      <c r="C1362" s="9">
        <f>IF(B1362="","",IFERROR(INDEX('Équipements'!$B$5:$B$304,MATCH(B1362,'Équipements'!$A$5:$A$304,0)),"Code inconnu"))</f>
        <v/>
      </c>
      <c r="D1362" s="67" t="n"/>
      <c r="E1362" s="7" t="n"/>
      <c r="F1362" s="68">
        <f>IF(OR(B1362="",A1362=""),"",IF(COUNTIFS('Relevés compteurs'!$B$5:$B$1504,B1362,'Relevés compteurs'!$A$5:$A$1504,"&lt;"&amp;A1362)=0,"",D1362-_xlfn.MAXIFS('Relevés compteurs'!$D$5:$D$1504,'Relevés compteurs'!$B$5:$B$1504,B1362,'Relevés compteurs'!$A$5:$A$1504,"&lt;"&amp;A1362)))</f>
        <v/>
      </c>
    </row>
    <row r="1363">
      <c r="A1363" s="65" t="n"/>
      <c r="B1363" s="7" t="n"/>
      <c r="C1363" s="9">
        <f>IF(B1363="","",IFERROR(INDEX('Équipements'!$B$5:$B$304,MATCH(B1363,'Équipements'!$A$5:$A$304,0)),"Code inconnu"))</f>
        <v/>
      </c>
      <c r="D1363" s="67" t="n"/>
      <c r="E1363" s="7" t="n"/>
      <c r="F1363" s="68">
        <f>IF(OR(B1363="",A1363=""),"",IF(COUNTIFS('Relevés compteurs'!$B$5:$B$1504,B1363,'Relevés compteurs'!$A$5:$A$1504,"&lt;"&amp;A1363)=0,"",D1363-_xlfn.MAXIFS('Relevés compteurs'!$D$5:$D$1504,'Relevés compteurs'!$B$5:$B$1504,B1363,'Relevés compteurs'!$A$5:$A$1504,"&lt;"&amp;A1363)))</f>
        <v/>
      </c>
    </row>
    <row r="1364">
      <c r="A1364" s="65" t="n"/>
      <c r="B1364" s="7" t="n"/>
      <c r="C1364" s="9">
        <f>IF(B1364="","",IFERROR(INDEX('Équipements'!$B$5:$B$304,MATCH(B1364,'Équipements'!$A$5:$A$304,0)),"Code inconnu"))</f>
        <v/>
      </c>
      <c r="D1364" s="67" t="n"/>
      <c r="E1364" s="7" t="n"/>
      <c r="F1364" s="68">
        <f>IF(OR(B1364="",A1364=""),"",IF(COUNTIFS('Relevés compteurs'!$B$5:$B$1504,B1364,'Relevés compteurs'!$A$5:$A$1504,"&lt;"&amp;A1364)=0,"",D1364-_xlfn.MAXIFS('Relevés compteurs'!$D$5:$D$1504,'Relevés compteurs'!$B$5:$B$1504,B1364,'Relevés compteurs'!$A$5:$A$1504,"&lt;"&amp;A1364)))</f>
        <v/>
      </c>
    </row>
    <row r="1365">
      <c r="A1365" s="65" t="n"/>
      <c r="B1365" s="7" t="n"/>
      <c r="C1365" s="9">
        <f>IF(B1365="","",IFERROR(INDEX('Équipements'!$B$5:$B$304,MATCH(B1365,'Équipements'!$A$5:$A$304,0)),"Code inconnu"))</f>
        <v/>
      </c>
      <c r="D1365" s="67" t="n"/>
      <c r="E1365" s="7" t="n"/>
      <c r="F1365" s="68">
        <f>IF(OR(B1365="",A1365=""),"",IF(COUNTIFS('Relevés compteurs'!$B$5:$B$1504,B1365,'Relevés compteurs'!$A$5:$A$1504,"&lt;"&amp;A1365)=0,"",D1365-_xlfn.MAXIFS('Relevés compteurs'!$D$5:$D$1504,'Relevés compteurs'!$B$5:$B$1504,B1365,'Relevés compteurs'!$A$5:$A$1504,"&lt;"&amp;A1365)))</f>
        <v/>
      </c>
    </row>
    <row r="1366">
      <c r="A1366" s="65" t="n"/>
      <c r="B1366" s="7" t="n"/>
      <c r="C1366" s="9">
        <f>IF(B1366="","",IFERROR(INDEX('Équipements'!$B$5:$B$304,MATCH(B1366,'Équipements'!$A$5:$A$304,0)),"Code inconnu"))</f>
        <v/>
      </c>
      <c r="D1366" s="67" t="n"/>
      <c r="E1366" s="7" t="n"/>
      <c r="F1366" s="68">
        <f>IF(OR(B1366="",A1366=""),"",IF(COUNTIFS('Relevés compteurs'!$B$5:$B$1504,B1366,'Relevés compteurs'!$A$5:$A$1504,"&lt;"&amp;A1366)=0,"",D1366-_xlfn.MAXIFS('Relevés compteurs'!$D$5:$D$1504,'Relevés compteurs'!$B$5:$B$1504,B1366,'Relevés compteurs'!$A$5:$A$1504,"&lt;"&amp;A1366)))</f>
        <v/>
      </c>
    </row>
    <row r="1367">
      <c r="A1367" s="65" t="n"/>
      <c r="B1367" s="7" t="n"/>
      <c r="C1367" s="9">
        <f>IF(B1367="","",IFERROR(INDEX('Équipements'!$B$5:$B$304,MATCH(B1367,'Équipements'!$A$5:$A$304,0)),"Code inconnu"))</f>
        <v/>
      </c>
      <c r="D1367" s="67" t="n"/>
      <c r="E1367" s="7" t="n"/>
      <c r="F1367" s="68">
        <f>IF(OR(B1367="",A1367=""),"",IF(COUNTIFS('Relevés compteurs'!$B$5:$B$1504,B1367,'Relevés compteurs'!$A$5:$A$1504,"&lt;"&amp;A1367)=0,"",D1367-_xlfn.MAXIFS('Relevés compteurs'!$D$5:$D$1504,'Relevés compteurs'!$B$5:$B$1504,B1367,'Relevés compteurs'!$A$5:$A$1504,"&lt;"&amp;A1367)))</f>
        <v/>
      </c>
    </row>
    <row r="1368">
      <c r="A1368" s="65" t="n"/>
      <c r="B1368" s="7" t="n"/>
      <c r="C1368" s="9">
        <f>IF(B1368="","",IFERROR(INDEX('Équipements'!$B$5:$B$304,MATCH(B1368,'Équipements'!$A$5:$A$304,0)),"Code inconnu"))</f>
        <v/>
      </c>
      <c r="D1368" s="67" t="n"/>
      <c r="E1368" s="7" t="n"/>
      <c r="F1368" s="68">
        <f>IF(OR(B1368="",A1368=""),"",IF(COUNTIFS('Relevés compteurs'!$B$5:$B$1504,B1368,'Relevés compteurs'!$A$5:$A$1504,"&lt;"&amp;A1368)=0,"",D1368-_xlfn.MAXIFS('Relevés compteurs'!$D$5:$D$1504,'Relevés compteurs'!$B$5:$B$1504,B1368,'Relevés compteurs'!$A$5:$A$1504,"&lt;"&amp;A1368)))</f>
        <v/>
      </c>
    </row>
    <row r="1369">
      <c r="A1369" s="65" t="n"/>
      <c r="B1369" s="7" t="n"/>
      <c r="C1369" s="9">
        <f>IF(B1369="","",IFERROR(INDEX('Équipements'!$B$5:$B$304,MATCH(B1369,'Équipements'!$A$5:$A$304,0)),"Code inconnu"))</f>
        <v/>
      </c>
      <c r="D1369" s="67" t="n"/>
      <c r="E1369" s="7" t="n"/>
      <c r="F1369" s="68">
        <f>IF(OR(B1369="",A1369=""),"",IF(COUNTIFS('Relevés compteurs'!$B$5:$B$1504,B1369,'Relevés compteurs'!$A$5:$A$1504,"&lt;"&amp;A1369)=0,"",D1369-_xlfn.MAXIFS('Relevés compteurs'!$D$5:$D$1504,'Relevés compteurs'!$B$5:$B$1504,B1369,'Relevés compteurs'!$A$5:$A$1504,"&lt;"&amp;A1369)))</f>
        <v/>
      </c>
    </row>
    <row r="1370">
      <c r="A1370" s="65" t="n"/>
      <c r="B1370" s="7" t="n"/>
      <c r="C1370" s="9">
        <f>IF(B1370="","",IFERROR(INDEX('Équipements'!$B$5:$B$304,MATCH(B1370,'Équipements'!$A$5:$A$304,0)),"Code inconnu"))</f>
        <v/>
      </c>
      <c r="D1370" s="67" t="n"/>
      <c r="E1370" s="7" t="n"/>
      <c r="F1370" s="68">
        <f>IF(OR(B1370="",A1370=""),"",IF(COUNTIFS('Relevés compteurs'!$B$5:$B$1504,B1370,'Relevés compteurs'!$A$5:$A$1504,"&lt;"&amp;A1370)=0,"",D1370-_xlfn.MAXIFS('Relevés compteurs'!$D$5:$D$1504,'Relevés compteurs'!$B$5:$B$1504,B1370,'Relevés compteurs'!$A$5:$A$1504,"&lt;"&amp;A1370)))</f>
        <v/>
      </c>
    </row>
    <row r="1371">
      <c r="A1371" s="65" t="n"/>
      <c r="B1371" s="7" t="n"/>
      <c r="C1371" s="9">
        <f>IF(B1371="","",IFERROR(INDEX('Équipements'!$B$5:$B$304,MATCH(B1371,'Équipements'!$A$5:$A$304,0)),"Code inconnu"))</f>
        <v/>
      </c>
      <c r="D1371" s="67" t="n"/>
      <c r="E1371" s="7" t="n"/>
      <c r="F1371" s="68">
        <f>IF(OR(B1371="",A1371=""),"",IF(COUNTIFS('Relevés compteurs'!$B$5:$B$1504,B1371,'Relevés compteurs'!$A$5:$A$1504,"&lt;"&amp;A1371)=0,"",D1371-_xlfn.MAXIFS('Relevés compteurs'!$D$5:$D$1504,'Relevés compteurs'!$B$5:$B$1504,B1371,'Relevés compteurs'!$A$5:$A$1504,"&lt;"&amp;A1371)))</f>
        <v/>
      </c>
    </row>
    <row r="1372">
      <c r="A1372" s="65" t="n"/>
      <c r="B1372" s="7" t="n"/>
      <c r="C1372" s="9">
        <f>IF(B1372="","",IFERROR(INDEX('Équipements'!$B$5:$B$304,MATCH(B1372,'Équipements'!$A$5:$A$304,0)),"Code inconnu"))</f>
        <v/>
      </c>
      <c r="D1372" s="67" t="n"/>
      <c r="E1372" s="7" t="n"/>
      <c r="F1372" s="68">
        <f>IF(OR(B1372="",A1372=""),"",IF(COUNTIFS('Relevés compteurs'!$B$5:$B$1504,B1372,'Relevés compteurs'!$A$5:$A$1504,"&lt;"&amp;A1372)=0,"",D1372-_xlfn.MAXIFS('Relevés compteurs'!$D$5:$D$1504,'Relevés compteurs'!$B$5:$B$1504,B1372,'Relevés compteurs'!$A$5:$A$1504,"&lt;"&amp;A1372)))</f>
        <v/>
      </c>
    </row>
    <row r="1373">
      <c r="A1373" s="65" t="n"/>
      <c r="B1373" s="7" t="n"/>
      <c r="C1373" s="9">
        <f>IF(B1373="","",IFERROR(INDEX('Équipements'!$B$5:$B$304,MATCH(B1373,'Équipements'!$A$5:$A$304,0)),"Code inconnu"))</f>
        <v/>
      </c>
      <c r="D1373" s="67" t="n"/>
      <c r="E1373" s="7" t="n"/>
      <c r="F1373" s="68">
        <f>IF(OR(B1373="",A1373=""),"",IF(COUNTIFS('Relevés compteurs'!$B$5:$B$1504,B1373,'Relevés compteurs'!$A$5:$A$1504,"&lt;"&amp;A1373)=0,"",D1373-_xlfn.MAXIFS('Relevés compteurs'!$D$5:$D$1504,'Relevés compteurs'!$B$5:$B$1504,B1373,'Relevés compteurs'!$A$5:$A$1504,"&lt;"&amp;A1373)))</f>
        <v/>
      </c>
    </row>
    <row r="1374">
      <c r="A1374" s="65" t="n"/>
      <c r="B1374" s="7" t="n"/>
      <c r="C1374" s="9">
        <f>IF(B1374="","",IFERROR(INDEX('Équipements'!$B$5:$B$304,MATCH(B1374,'Équipements'!$A$5:$A$304,0)),"Code inconnu"))</f>
        <v/>
      </c>
      <c r="D1374" s="67" t="n"/>
      <c r="E1374" s="7" t="n"/>
      <c r="F1374" s="68">
        <f>IF(OR(B1374="",A1374=""),"",IF(COUNTIFS('Relevés compteurs'!$B$5:$B$1504,B1374,'Relevés compteurs'!$A$5:$A$1504,"&lt;"&amp;A1374)=0,"",D1374-_xlfn.MAXIFS('Relevés compteurs'!$D$5:$D$1504,'Relevés compteurs'!$B$5:$B$1504,B1374,'Relevés compteurs'!$A$5:$A$1504,"&lt;"&amp;A1374)))</f>
        <v/>
      </c>
    </row>
    <row r="1375">
      <c r="A1375" s="65" t="n"/>
      <c r="B1375" s="7" t="n"/>
      <c r="C1375" s="9">
        <f>IF(B1375="","",IFERROR(INDEX('Équipements'!$B$5:$B$304,MATCH(B1375,'Équipements'!$A$5:$A$304,0)),"Code inconnu"))</f>
        <v/>
      </c>
      <c r="D1375" s="67" t="n"/>
      <c r="E1375" s="7" t="n"/>
      <c r="F1375" s="68">
        <f>IF(OR(B1375="",A1375=""),"",IF(COUNTIFS('Relevés compteurs'!$B$5:$B$1504,B1375,'Relevés compteurs'!$A$5:$A$1504,"&lt;"&amp;A1375)=0,"",D1375-_xlfn.MAXIFS('Relevés compteurs'!$D$5:$D$1504,'Relevés compteurs'!$B$5:$B$1504,B1375,'Relevés compteurs'!$A$5:$A$1504,"&lt;"&amp;A1375)))</f>
        <v/>
      </c>
    </row>
    <row r="1376">
      <c r="A1376" s="65" t="n"/>
      <c r="B1376" s="7" t="n"/>
      <c r="C1376" s="9">
        <f>IF(B1376="","",IFERROR(INDEX('Équipements'!$B$5:$B$304,MATCH(B1376,'Équipements'!$A$5:$A$304,0)),"Code inconnu"))</f>
        <v/>
      </c>
      <c r="D1376" s="67" t="n"/>
      <c r="E1376" s="7" t="n"/>
      <c r="F1376" s="68">
        <f>IF(OR(B1376="",A1376=""),"",IF(COUNTIFS('Relevés compteurs'!$B$5:$B$1504,B1376,'Relevés compteurs'!$A$5:$A$1504,"&lt;"&amp;A1376)=0,"",D1376-_xlfn.MAXIFS('Relevés compteurs'!$D$5:$D$1504,'Relevés compteurs'!$B$5:$B$1504,B1376,'Relevés compteurs'!$A$5:$A$1504,"&lt;"&amp;A1376)))</f>
        <v/>
      </c>
    </row>
    <row r="1377">
      <c r="A1377" s="65" t="n"/>
      <c r="B1377" s="7" t="n"/>
      <c r="C1377" s="9">
        <f>IF(B1377="","",IFERROR(INDEX('Équipements'!$B$5:$B$304,MATCH(B1377,'Équipements'!$A$5:$A$304,0)),"Code inconnu"))</f>
        <v/>
      </c>
      <c r="D1377" s="67" t="n"/>
      <c r="E1377" s="7" t="n"/>
      <c r="F1377" s="68">
        <f>IF(OR(B1377="",A1377=""),"",IF(COUNTIFS('Relevés compteurs'!$B$5:$B$1504,B1377,'Relevés compteurs'!$A$5:$A$1504,"&lt;"&amp;A1377)=0,"",D1377-_xlfn.MAXIFS('Relevés compteurs'!$D$5:$D$1504,'Relevés compteurs'!$B$5:$B$1504,B1377,'Relevés compteurs'!$A$5:$A$1504,"&lt;"&amp;A1377)))</f>
        <v/>
      </c>
    </row>
    <row r="1378">
      <c r="A1378" s="65" t="n"/>
      <c r="B1378" s="7" t="n"/>
      <c r="C1378" s="9">
        <f>IF(B1378="","",IFERROR(INDEX('Équipements'!$B$5:$B$304,MATCH(B1378,'Équipements'!$A$5:$A$304,0)),"Code inconnu"))</f>
        <v/>
      </c>
      <c r="D1378" s="67" t="n"/>
      <c r="E1378" s="7" t="n"/>
      <c r="F1378" s="68">
        <f>IF(OR(B1378="",A1378=""),"",IF(COUNTIFS('Relevés compteurs'!$B$5:$B$1504,B1378,'Relevés compteurs'!$A$5:$A$1504,"&lt;"&amp;A1378)=0,"",D1378-_xlfn.MAXIFS('Relevés compteurs'!$D$5:$D$1504,'Relevés compteurs'!$B$5:$B$1504,B1378,'Relevés compteurs'!$A$5:$A$1504,"&lt;"&amp;A1378)))</f>
        <v/>
      </c>
    </row>
    <row r="1379">
      <c r="A1379" s="65" t="n"/>
      <c r="B1379" s="7" t="n"/>
      <c r="C1379" s="9">
        <f>IF(B1379="","",IFERROR(INDEX('Équipements'!$B$5:$B$304,MATCH(B1379,'Équipements'!$A$5:$A$304,0)),"Code inconnu"))</f>
        <v/>
      </c>
      <c r="D1379" s="67" t="n"/>
      <c r="E1379" s="7" t="n"/>
      <c r="F1379" s="68">
        <f>IF(OR(B1379="",A1379=""),"",IF(COUNTIFS('Relevés compteurs'!$B$5:$B$1504,B1379,'Relevés compteurs'!$A$5:$A$1504,"&lt;"&amp;A1379)=0,"",D1379-_xlfn.MAXIFS('Relevés compteurs'!$D$5:$D$1504,'Relevés compteurs'!$B$5:$B$1504,B1379,'Relevés compteurs'!$A$5:$A$1504,"&lt;"&amp;A1379)))</f>
        <v/>
      </c>
    </row>
    <row r="1380">
      <c r="A1380" s="65" t="n"/>
      <c r="B1380" s="7" t="n"/>
      <c r="C1380" s="9">
        <f>IF(B1380="","",IFERROR(INDEX('Équipements'!$B$5:$B$304,MATCH(B1380,'Équipements'!$A$5:$A$304,0)),"Code inconnu"))</f>
        <v/>
      </c>
      <c r="D1380" s="67" t="n"/>
      <c r="E1380" s="7" t="n"/>
      <c r="F1380" s="68">
        <f>IF(OR(B1380="",A1380=""),"",IF(COUNTIFS('Relevés compteurs'!$B$5:$B$1504,B1380,'Relevés compteurs'!$A$5:$A$1504,"&lt;"&amp;A1380)=0,"",D1380-_xlfn.MAXIFS('Relevés compteurs'!$D$5:$D$1504,'Relevés compteurs'!$B$5:$B$1504,B1380,'Relevés compteurs'!$A$5:$A$1504,"&lt;"&amp;A1380)))</f>
        <v/>
      </c>
    </row>
    <row r="1381">
      <c r="A1381" s="65" t="n"/>
      <c r="B1381" s="7" t="n"/>
      <c r="C1381" s="9">
        <f>IF(B1381="","",IFERROR(INDEX('Équipements'!$B$5:$B$304,MATCH(B1381,'Équipements'!$A$5:$A$304,0)),"Code inconnu"))</f>
        <v/>
      </c>
      <c r="D1381" s="67" t="n"/>
      <c r="E1381" s="7" t="n"/>
      <c r="F1381" s="68">
        <f>IF(OR(B1381="",A1381=""),"",IF(COUNTIFS('Relevés compteurs'!$B$5:$B$1504,B1381,'Relevés compteurs'!$A$5:$A$1504,"&lt;"&amp;A1381)=0,"",D1381-_xlfn.MAXIFS('Relevés compteurs'!$D$5:$D$1504,'Relevés compteurs'!$B$5:$B$1504,B1381,'Relevés compteurs'!$A$5:$A$1504,"&lt;"&amp;A1381)))</f>
        <v/>
      </c>
    </row>
    <row r="1382">
      <c r="A1382" s="65" t="n"/>
      <c r="B1382" s="7" t="n"/>
      <c r="C1382" s="9">
        <f>IF(B1382="","",IFERROR(INDEX('Équipements'!$B$5:$B$304,MATCH(B1382,'Équipements'!$A$5:$A$304,0)),"Code inconnu"))</f>
        <v/>
      </c>
      <c r="D1382" s="67" t="n"/>
      <c r="E1382" s="7" t="n"/>
      <c r="F1382" s="68">
        <f>IF(OR(B1382="",A1382=""),"",IF(COUNTIFS('Relevés compteurs'!$B$5:$B$1504,B1382,'Relevés compteurs'!$A$5:$A$1504,"&lt;"&amp;A1382)=0,"",D1382-_xlfn.MAXIFS('Relevés compteurs'!$D$5:$D$1504,'Relevés compteurs'!$B$5:$B$1504,B1382,'Relevés compteurs'!$A$5:$A$1504,"&lt;"&amp;A1382)))</f>
        <v/>
      </c>
    </row>
    <row r="1383">
      <c r="A1383" s="65" t="n"/>
      <c r="B1383" s="7" t="n"/>
      <c r="C1383" s="9">
        <f>IF(B1383="","",IFERROR(INDEX('Équipements'!$B$5:$B$304,MATCH(B1383,'Équipements'!$A$5:$A$304,0)),"Code inconnu"))</f>
        <v/>
      </c>
      <c r="D1383" s="67" t="n"/>
      <c r="E1383" s="7" t="n"/>
      <c r="F1383" s="68">
        <f>IF(OR(B1383="",A1383=""),"",IF(COUNTIFS('Relevés compteurs'!$B$5:$B$1504,B1383,'Relevés compteurs'!$A$5:$A$1504,"&lt;"&amp;A1383)=0,"",D1383-_xlfn.MAXIFS('Relevés compteurs'!$D$5:$D$1504,'Relevés compteurs'!$B$5:$B$1504,B1383,'Relevés compteurs'!$A$5:$A$1504,"&lt;"&amp;A1383)))</f>
        <v/>
      </c>
    </row>
    <row r="1384">
      <c r="A1384" s="65" t="n"/>
      <c r="B1384" s="7" t="n"/>
      <c r="C1384" s="9">
        <f>IF(B1384="","",IFERROR(INDEX('Équipements'!$B$5:$B$304,MATCH(B1384,'Équipements'!$A$5:$A$304,0)),"Code inconnu"))</f>
        <v/>
      </c>
      <c r="D1384" s="67" t="n"/>
      <c r="E1384" s="7" t="n"/>
      <c r="F1384" s="68">
        <f>IF(OR(B1384="",A1384=""),"",IF(COUNTIFS('Relevés compteurs'!$B$5:$B$1504,B1384,'Relevés compteurs'!$A$5:$A$1504,"&lt;"&amp;A1384)=0,"",D1384-_xlfn.MAXIFS('Relevés compteurs'!$D$5:$D$1504,'Relevés compteurs'!$B$5:$B$1504,B1384,'Relevés compteurs'!$A$5:$A$1504,"&lt;"&amp;A1384)))</f>
        <v/>
      </c>
    </row>
    <row r="1385">
      <c r="A1385" s="65" t="n"/>
      <c r="B1385" s="7" t="n"/>
      <c r="C1385" s="9">
        <f>IF(B1385="","",IFERROR(INDEX('Équipements'!$B$5:$B$304,MATCH(B1385,'Équipements'!$A$5:$A$304,0)),"Code inconnu"))</f>
        <v/>
      </c>
      <c r="D1385" s="67" t="n"/>
      <c r="E1385" s="7" t="n"/>
      <c r="F1385" s="68">
        <f>IF(OR(B1385="",A1385=""),"",IF(COUNTIFS('Relevés compteurs'!$B$5:$B$1504,B1385,'Relevés compteurs'!$A$5:$A$1504,"&lt;"&amp;A1385)=0,"",D1385-_xlfn.MAXIFS('Relevés compteurs'!$D$5:$D$1504,'Relevés compteurs'!$B$5:$B$1504,B1385,'Relevés compteurs'!$A$5:$A$1504,"&lt;"&amp;A1385)))</f>
        <v/>
      </c>
    </row>
    <row r="1386">
      <c r="A1386" s="65" t="n"/>
      <c r="B1386" s="7" t="n"/>
      <c r="C1386" s="9">
        <f>IF(B1386="","",IFERROR(INDEX('Équipements'!$B$5:$B$304,MATCH(B1386,'Équipements'!$A$5:$A$304,0)),"Code inconnu"))</f>
        <v/>
      </c>
      <c r="D1386" s="67" t="n"/>
      <c r="E1386" s="7" t="n"/>
      <c r="F1386" s="68">
        <f>IF(OR(B1386="",A1386=""),"",IF(COUNTIFS('Relevés compteurs'!$B$5:$B$1504,B1386,'Relevés compteurs'!$A$5:$A$1504,"&lt;"&amp;A1386)=0,"",D1386-_xlfn.MAXIFS('Relevés compteurs'!$D$5:$D$1504,'Relevés compteurs'!$B$5:$B$1504,B1386,'Relevés compteurs'!$A$5:$A$1504,"&lt;"&amp;A1386)))</f>
        <v/>
      </c>
    </row>
    <row r="1387">
      <c r="A1387" s="65" t="n"/>
      <c r="B1387" s="7" t="n"/>
      <c r="C1387" s="9">
        <f>IF(B1387="","",IFERROR(INDEX('Équipements'!$B$5:$B$304,MATCH(B1387,'Équipements'!$A$5:$A$304,0)),"Code inconnu"))</f>
        <v/>
      </c>
      <c r="D1387" s="67" t="n"/>
      <c r="E1387" s="7" t="n"/>
      <c r="F1387" s="68">
        <f>IF(OR(B1387="",A1387=""),"",IF(COUNTIFS('Relevés compteurs'!$B$5:$B$1504,B1387,'Relevés compteurs'!$A$5:$A$1504,"&lt;"&amp;A1387)=0,"",D1387-_xlfn.MAXIFS('Relevés compteurs'!$D$5:$D$1504,'Relevés compteurs'!$B$5:$B$1504,B1387,'Relevés compteurs'!$A$5:$A$1504,"&lt;"&amp;A1387)))</f>
        <v/>
      </c>
    </row>
    <row r="1388">
      <c r="A1388" s="65" t="n"/>
      <c r="B1388" s="7" t="n"/>
      <c r="C1388" s="9">
        <f>IF(B1388="","",IFERROR(INDEX('Équipements'!$B$5:$B$304,MATCH(B1388,'Équipements'!$A$5:$A$304,0)),"Code inconnu"))</f>
        <v/>
      </c>
      <c r="D1388" s="67" t="n"/>
      <c r="E1388" s="7" t="n"/>
      <c r="F1388" s="68">
        <f>IF(OR(B1388="",A1388=""),"",IF(COUNTIFS('Relevés compteurs'!$B$5:$B$1504,B1388,'Relevés compteurs'!$A$5:$A$1504,"&lt;"&amp;A1388)=0,"",D1388-_xlfn.MAXIFS('Relevés compteurs'!$D$5:$D$1504,'Relevés compteurs'!$B$5:$B$1504,B1388,'Relevés compteurs'!$A$5:$A$1504,"&lt;"&amp;A1388)))</f>
        <v/>
      </c>
    </row>
    <row r="1389">
      <c r="A1389" s="65" t="n"/>
      <c r="B1389" s="7" t="n"/>
      <c r="C1389" s="9">
        <f>IF(B1389="","",IFERROR(INDEX('Équipements'!$B$5:$B$304,MATCH(B1389,'Équipements'!$A$5:$A$304,0)),"Code inconnu"))</f>
        <v/>
      </c>
      <c r="D1389" s="67" t="n"/>
      <c r="E1389" s="7" t="n"/>
      <c r="F1389" s="68">
        <f>IF(OR(B1389="",A1389=""),"",IF(COUNTIFS('Relevés compteurs'!$B$5:$B$1504,B1389,'Relevés compteurs'!$A$5:$A$1504,"&lt;"&amp;A1389)=0,"",D1389-_xlfn.MAXIFS('Relevés compteurs'!$D$5:$D$1504,'Relevés compteurs'!$B$5:$B$1504,B1389,'Relevés compteurs'!$A$5:$A$1504,"&lt;"&amp;A1389)))</f>
        <v/>
      </c>
    </row>
    <row r="1390">
      <c r="A1390" s="65" t="n"/>
      <c r="B1390" s="7" t="n"/>
      <c r="C1390" s="9">
        <f>IF(B1390="","",IFERROR(INDEX('Équipements'!$B$5:$B$304,MATCH(B1390,'Équipements'!$A$5:$A$304,0)),"Code inconnu"))</f>
        <v/>
      </c>
      <c r="D1390" s="67" t="n"/>
      <c r="E1390" s="7" t="n"/>
      <c r="F1390" s="68">
        <f>IF(OR(B1390="",A1390=""),"",IF(COUNTIFS('Relevés compteurs'!$B$5:$B$1504,B1390,'Relevés compteurs'!$A$5:$A$1504,"&lt;"&amp;A1390)=0,"",D1390-_xlfn.MAXIFS('Relevés compteurs'!$D$5:$D$1504,'Relevés compteurs'!$B$5:$B$1504,B1390,'Relevés compteurs'!$A$5:$A$1504,"&lt;"&amp;A1390)))</f>
        <v/>
      </c>
    </row>
    <row r="1391">
      <c r="A1391" s="65" t="n"/>
      <c r="B1391" s="7" t="n"/>
      <c r="C1391" s="9">
        <f>IF(B1391="","",IFERROR(INDEX('Équipements'!$B$5:$B$304,MATCH(B1391,'Équipements'!$A$5:$A$304,0)),"Code inconnu"))</f>
        <v/>
      </c>
      <c r="D1391" s="67" t="n"/>
      <c r="E1391" s="7" t="n"/>
      <c r="F1391" s="68">
        <f>IF(OR(B1391="",A1391=""),"",IF(COUNTIFS('Relevés compteurs'!$B$5:$B$1504,B1391,'Relevés compteurs'!$A$5:$A$1504,"&lt;"&amp;A1391)=0,"",D1391-_xlfn.MAXIFS('Relevés compteurs'!$D$5:$D$1504,'Relevés compteurs'!$B$5:$B$1504,B1391,'Relevés compteurs'!$A$5:$A$1504,"&lt;"&amp;A1391)))</f>
        <v/>
      </c>
    </row>
    <row r="1392">
      <c r="A1392" s="65" t="n"/>
      <c r="B1392" s="7" t="n"/>
      <c r="C1392" s="9">
        <f>IF(B1392="","",IFERROR(INDEX('Équipements'!$B$5:$B$304,MATCH(B1392,'Équipements'!$A$5:$A$304,0)),"Code inconnu"))</f>
        <v/>
      </c>
      <c r="D1392" s="67" t="n"/>
      <c r="E1392" s="7" t="n"/>
      <c r="F1392" s="68">
        <f>IF(OR(B1392="",A1392=""),"",IF(COUNTIFS('Relevés compteurs'!$B$5:$B$1504,B1392,'Relevés compteurs'!$A$5:$A$1504,"&lt;"&amp;A1392)=0,"",D1392-_xlfn.MAXIFS('Relevés compteurs'!$D$5:$D$1504,'Relevés compteurs'!$B$5:$B$1504,B1392,'Relevés compteurs'!$A$5:$A$1504,"&lt;"&amp;A1392)))</f>
        <v/>
      </c>
    </row>
    <row r="1393">
      <c r="A1393" s="65" t="n"/>
      <c r="B1393" s="7" t="n"/>
      <c r="C1393" s="9">
        <f>IF(B1393="","",IFERROR(INDEX('Équipements'!$B$5:$B$304,MATCH(B1393,'Équipements'!$A$5:$A$304,0)),"Code inconnu"))</f>
        <v/>
      </c>
      <c r="D1393" s="67" t="n"/>
      <c r="E1393" s="7" t="n"/>
      <c r="F1393" s="68">
        <f>IF(OR(B1393="",A1393=""),"",IF(COUNTIFS('Relevés compteurs'!$B$5:$B$1504,B1393,'Relevés compteurs'!$A$5:$A$1504,"&lt;"&amp;A1393)=0,"",D1393-_xlfn.MAXIFS('Relevés compteurs'!$D$5:$D$1504,'Relevés compteurs'!$B$5:$B$1504,B1393,'Relevés compteurs'!$A$5:$A$1504,"&lt;"&amp;A1393)))</f>
        <v/>
      </c>
    </row>
    <row r="1394">
      <c r="A1394" s="65" t="n"/>
      <c r="B1394" s="7" t="n"/>
      <c r="C1394" s="9">
        <f>IF(B1394="","",IFERROR(INDEX('Équipements'!$B$5:$B$304,MATCH(B1394,'Équipements'!$A$5:$A$304,0)),"Code inconnu"))</f>
        <v/>
      </c>
      <c r="D1394" s="67" t="n"/>
      <c r="E1394" s="7" t="n"/>
      <c r="F1394" s="68">
        <f>IF(OR(B1394="",A1394=""),"",IF(COUNTIFS('Relevés compteurs'!$B$5:$B$1504,B1394,'Relevés compteurs'!$A$5:$A$1504,"&lt;"&amp;A1394)=0,"",D1394-_xlfn.MAXIFS('Relevés compteurs'!$D$5:$D$1504,'Relevés compteurs'!$B$5:$B$1504,B1394,'Relevés compteurs'!$A$5:$A$1504,"&lt;"&amp;A1394)))</f>
        <v/>
      </c>
    </row>
    <row r="1395">
      <c r="A1395" s="65" t="n"/>
      <c r="B1395" s="7" t="n"/>
      <c r="C1395" s="9">
        <f>IF(B1395="","",IFERROR(INDEX('Équipements'!$B$5:$B$304,MATCH(B1395,'Équipements'!$A$5:$A$304,0)),"Code inconnu"))</f>
        <v/>
      </c>
      <c r="D1395" s="67" t="n"/>
      <c r="E1395" s="7" t="n"/>
      <c r="F1395" s="68">
        <f>IF(OR(B1395="",A1395=""),"",IF(COUNTIFS('Relevés compteurs'!$B$5:$B$1504,B1395,'Relevés compteurs'!$A$5:$A$1504,"&lt;"&amp;A1395)=0,"",D1395-_xlfn.MAXIFS('Relevés compteurs'!$D$5:$D$1504,'Relevés compteurs'!$B$5:$B$1504,B1395,'Relevés compteurs'!$A$5:$A$1504,"&lt;"&amp;A1395)))</f>
        <v/>
      </c>
    </row>
    <row r="1396">
      <c r="A1396" s="65" t="n"/>
      <c r="B1396" s="7" t="n"/>
      <c r="C1396" s="9">
        <f>IF(B1396="","",IFERROR(INDEX('Équipements'!$B$5:$B$304,MATCH(B1396,'Équipements'!$A$5:$A$304,0)),"Code inconnu"))</f>
        <v/>
      </c>
      <c r="D1396" s="67" t="n"/>
      <c r="E1396" s="7" t="n"/>
      <c r="F1396" s="68">
        <f>IF(OR(B1396="",A1396=""),"",IF(COUNTIFS('Relevés compteurs'!$B$5:$B$1504,B1396,'Relevés compteurs'!$A$5:$A$1504,"&lt;"&amp;A1396)=0,"",D1396-_xlfn.MAXIFS('Relevés compteurs'!$D$5:$D$1504,'Relevés compteurs'!$B$5:$B$1504,B1396,'Relevés compteurs'!$A$5:$A$1504,"&lt;"&amp;A1396)))</f>
        <v/>
      </c>
    </row>
    <row r="1397">
      <c r="A1397" s="65" t="n"/>
      <c r="B1397" s="7" t="n"/>
      <c r="C1397" s="9">
        <f>IF(B1397="","",IFERROR(INDEX('Équipements'!$B$5:$B$304,MATCH(B1397,'Équipements'!$A$5:$A$304,0)),"Code inconnu"))</f>
        <v/>
      </c>
      <c r="D1397" s="67" t="n"/>
      <c r="E1397" s="7" t="n"/>
      <c r="F1397" s="68">
        <f>IF(OR(B1397="",A1397=""),"",IF(COUNTIFS('Relevés compteurs'!$B$5:$B$1504,B1397,'Relevés compteurs'!$A$5:$A$1504,"&lt;"&amp;A1397)=0,"",D1397-_xlfn.MAXIFS('Relevés compteurs'!$D$5:$D$1504,'Relevés compteurs'!$B$5:$B$1504,B1397,'Relevés compteurs'!$A$5:$A$1504,"&lt;"&amp;A1397)))</f>
        <v/>
      </c>
    </row>
    <row r="1398">
      <c r="A1398" s="65" t="n"/>
      <c r="B1398" s="7" t="n"/>
      <c r="C1398" s="9">
        <f>IF(B1398="","",IFERROR(INDEX('Équipements'!$B$5:$B$304,MATCH(B1398,'Équipements'!$A$5:$A$304,0)),"Code inconnu"))</f>
        <v/>
      </c>
      <c r="D1398" s="67" t="n"/>
      <c r="E1398" s="7" t="n"/>
      <c r="F1398" s="68">
        <f>IF(OR(B1398="",A1398=""),"",IF(COUNTIFS('Relevés compteurs'!$B$5:$B$1504,B1398,'Relevés compteurs'!$A$5:$A$1504,"&lt;"&amp;A1398)=0,"",D1398-_xlfn.MAXIFS('Relevés compteurs'!$D$5:$D$1504,'Relevés compteurs'!$B$5:$B$1504,B1398,'Relevés compteurs'!$A$5:$A$1504,"&lt;"&amp;A1398)))</f>
        <v/>
      </c>
    </row>
    <row r="1399">
      <c r="A1399" s="65" t="n"/>
      <c r="B1399" s="7" t="n"/>
      <c r="C1399" s="9">
        <f>IF(B1399="","",IFERROR(INDEX('Équipements'!$B$5:$B$304,MATCH(B1399,'Équipements'!$A$5:$A$304,0)),"Code inconnu"))</f>
        <v/>
      </c>
      <c r="D1399" s="67" t="n"/>
      <c r="E1399" s="7" t="n"/>
      <c r="F1399" s="68">
        <f>IF(OR(B1399="",A1399=""),"",IF(COUNTIFS('Relevés compteurs'!$B$5:$B$1504,B1399,'Relevés compteurs'!$A$5:$A$1504,"&lt;"&amp;A1399)=0,"",D1399-_xlfn.MAXIFS('Relevés compteurs'!$D$5:$D$1504,'Relevés compteurs'!$B$5:$B$1504,B1399,'Relevés compteurs'!$A$5:$A$1504,"&lt;"&amp;A1399)))</f>
        <v/>
      </c>
    </row>
    <row r="1400">
      <c r="A1400" s="65" t="n"/>
      <c r="B1400" s="7" t="n"/>
      <c r="C1400" s="9">
        <f>IF(B1400="","",IFERROR(INDEX('Équipements'!$B$5:$B$304,MATCH(B1400,'Équipements'!$A$5:$A$304,0)),"Code inconnu"))</f>
        <v/>
      </c>
      <c r="D1400" s="67" t="n"/>
      <c r="E1400" s="7" t="n"/>
      <c r="F1400" s="68">
        <f>IF(OR(B1400="",A1400=""),"",IF(COUNTIFS('Relevés compteurs'!$B$5:$B$1504,B1400,'Relevés compteurs'!$A$5:$A$1504,"&lt;"&amp;A1400)=0,"",D1400-_xlfn.MAXIFS('Relevés compteurs'!$D$5:$D$1504,'Relevés compteurs'!$B$5:$B$1504,B1400,'Relevés compteurs'!$A$5:$A$1504,"&lt;"&amp;A1400)))</f>
        <v/>
      </c>
    </row>
    <row r="1401">
      <c r="A1401" s="65" t="n"/>
      <c r="B1401" s="7" t="n"/>
      <c r="C1401" s="9">
        <f>IF(B1401="","",IFERROR(INDEX('Équipements'!$B$5:$B$304,MATCH(B1401,'Équipements'!$A$5:$A$304,0)),"Code inconnu"))</f>
        <v/>
      </c>
      <c r="D1401" s="67" t="n"/>
      <c r="E1401" s="7" t="n"/>
      <c r="F1401" s="68">
        <f>IF(OR(B1401="",A1401=""),"",IF(COUNTIFS('Relevés compteurs'!$B$5:$B$1504,B1401,'Relevés compteurs'!$A$5:$A$1504,"&lt;"&amp;A1401)=0,"",D1401-_xlfn.MAXIFS('Relevés compteurs'!$D$5:$D$1504,'Relevés compteurs'!$B$5:$B$1504,B1401,'Relevés compteurs'!$A$5:$A$1504,"&lt;"&amp;A1401)))</f>
        <v/>
      </c>
    </row>
    <row r="1402">
      <c r="A1402" s="65" t="n"/>
      <c r="B1402" s="7" t="n"/>
      <c r="C1402" s="9">
        <f>IF(B1402="","",IFERROR(INDEX('Équipements'!$B$5:$B$304,MATCH(B1402,'Équipements'!$A$5:$A$304,0)),"Code inconnu"))</f>
        <v/>
      </c>
      <c r="D1402" s="67" t="n"/>
      <c r="E1402" s="7" t="n"/>
      <c r="F1402" s="68">
        <f>IF(OR(B1402="",A1402=""),"",IF(COUNTIFS('Relevés compteurs'!$B$5:$B$1504,B1402,'Relevés compteurs'!$A$5:$A$1504,"&lt;"&amp;A1402)=0,"",D1402-_xlfn.MAXIFS('Relevés compteurs'!$D$5:$D$1504,'Relevés compteurs'!$B$5:$B$1504,B1402,'Relevés compteurs'!$A$5:$A$1504,"&lt;"&amp;A1402)))</f>
        <v/>
      </c>
    </row>
    <row r="1403">
      <c r="A1403" s="65" t="n"/>
      <c r="B1403" s="7" t="n"/>
      <c r="C1403" s="9">
        <f>IF(B1403="","",IFERROR(INDEX('Équipements'!$B$5:$B$304,MATCH(B1403,'Équipements'!$A$5:$A$304,0)),"Code inconnu"))</f>
        <v/>
      </c>
      <c r="D1403" s="67" t="n"/>
      <c r="E1403" s="7" t="n"/>
      <c r="F1403" s="68">
        <f>IF(OR(B1403="",A1403=""),"",IF(COUNTIFS('Relevés compteurs'!$B$5:$B$1504,B1403,'Relevés compteurs'!$A$5:$A$1504,"&lt;"&amp;A1403)=0,"",D1403-_xlfn.MAXIFS('Relevés compteurs'!$D$5:$D$1504,'Relevés compteurs'!$B$5:$B$1504,B1403,'Relevés compteurs'!$A$5:$A$1504,"&lt;"&amp;A1403)))</f>
        <v/>
      </c>
    </row>
    <row r="1404">
      <c r="A1404" s="65" t="n"/>
      <c r="B1404" s="7" t="n"/>
      <c r="C1404" s="9">
        <f>IF(B1404="","",IFERROR(INDEX('Équipements'!$B$5:$B$304,MATCH(B1404,'Équipements'!$A$5:$A$304,0)),"Code inconnu"))</f>
        <v/>
      </c>
      <c r="D1404" s="67" t="n"/>
      <c r="E1404" s="7" t="n"/>
      <c r="F1404" s="68">
        <f>IF(OR(B1404="",A1404=""),"",IF(COUNTIFS('Relevés compteurs'!$B$5:$B$1504,B1404,'Relevés compteurs'!$A$5:$A$1504,"&lt;"&amp;A1404)=0,"",D1404-_xlfn.MAXIFS('Relevés compteurs'!$D$5:$D$1504,'Relevés compteurs'!$B$5:$B$1504,B1404,'Relevés compteurs'!$A$5:$A$1504,"&lt;"&amp;A1404)))</f>
        <v/>
      </c>
    </row>
    <row r="1405">
      <c r="A1405" s="65" t="n"/>
      <c r="B1405" s="7" t="n"/>
      <c r="C1405" s="9">
        <f>IF(B1405="","",IFERROR(INDEX('Équipements'!$B$5:$B$304,MATCH(B1405,'Équipements'!$A$5:$A$304,0)),"Code inconnu"))</f>
        <v/>
      </c>
      <c r="D1405" s="67" t="n"/>
      <c r="E1405" s="7" t="n"/>
      <c r="F1405" s="68">
        <f>IF(OR(B1405="",A1405=""),"",IF(COUNTIFS('Relevés compteurs'!$B$5:$B$1504,B1405,'Relevés compteurs'!$A$5:$A$1504,"&lt;"&amp;A1405)=0,"",D1405-_xlfn.MAXIFS('Relevés compteurs'!$D$5:$D$1504,'Relevés compteurs'!$B$5:$B$1504,B1405,'Relevés compteurs'!$A$5:$A$1504,"&lt;"&amp;A1405)))</f>
        <v/>
      </c>
    </row>
    <row r="1406">
      <c r="A1406" s="65" t="n"/>
      <c r="B1406" s="7" t="n"/>
      <c r="C1406" s="9">
        <f>IF(B1406="","",IFERROR(INDEX('Équipements'!$B$5:$B$304,MATCH(B1406,'Équipements'!$A$5:$A$304,0)),"Code inconnu"))</f>
        <v/>
      </c>
      <c r="D1406" s="67" t="n"/>
      <c r="E1406" s="7" t="n"/>
      <c r="F1406" s="68">
        <f>IF(OR(B1406="",A1406=""),"",IF(COUNTIFS('Relevés compteurs'!$B$5:$B$1504,B1406,'Relevés compteurs'!$A$5:$A$1504,"&lt;"&amp;A1406)=0,"",D1406-_xlfn.MAXIFS('Relevés compteurs'!$D$5:$D$1504,'Relevés compteurs'!$B$5:$B$1504,B1406,'Relevés compteurs'!$A$5:$A$1504,"&lt;"&amp;A1406)))</f>
        <v/>
      </c>
    </row>
    <row r="1407">
      <c r="A1407" s="65" t="n"/>
      <c r="B1407" s="7" t="n"/>
      <c r="C1407" s="9">
        <f>IF(B1407="","",IFERROR(INDEX('Équipements'!$B$5:$B$304,MATCH(B1407,'Équipements'!$A$5:$A$304,0)),"Code inconnu"))</f>
        <v/>
      </c>
      <c r="D1407" s="67" t="n"/>
      <c r="E1407" s="7" t="n"/>
      <c r="F1407" s="68">
        <f>IF(OR(B1407="",A1407=""),"",IF(COUNTIFS('Relevés compteurs'!$B$5:$B$1504,B1407,'Relevés compteurs'!$A$5:$A$1504,"&lt;"&amp;A1407)=0,"",D1407-_xlfn.MAXIFS('Relevés compteurs'!$D$5:$D$1504,'Relevés compteurs'!$B$5:$B$1504,B1407,'Relevés compteurs'!$A$5:$A$1504,"&lt;"&amp;A1407)))</f>
        <v/>
      </c>
    </row>
    <row r="1408">
      <c r="A1408" s="65" t="n"/>
      <c r="B1408" s="7" t="n"/>
      <c r="C1408" s="9">
        <f>IF(B1408="","",IFERROR(INDEX('Équipements'!$B$5:$B$304,MATCH(B1408,'Équipements'!$A$5:$A$304,0)),"Code inconnu"))</f>
        <v/>
      </c>
      <c r="D1408" s="67" t="n"/>
      <c r="E1408" s="7" t="n"/>
      <c r="F1408" s="68">
        <f>IF(OR(B1408="",A1408=""),"",IF(COUNTIFS('Relevés compteurs'!$B$5:$B$1504,B1408,'Relevés compteurs'!$A$5:$A$1504,"&lt;"&amp;A1408)=0,"",D1408-_xlfn.MAXIFS('Relevés compteurs'!$D$5:$D$1504,'Relevés compteurs'!$B$5:$B$1504,B1408,'Relevés compteurs'!$A$5:$A$1504,"&lt;"&amp;A1408)))</f>
        <v/>
      </c>
    </row>
    <row r="1409">
      <c r="A1409" s="65" t="n"/>
      <c r="B1409" s="7" t="n"/>
      <c r="C1409" s="9">
        <f>IF(B1409="","",IFERROR(INDEX('Équipements'!$B$5:$B$304,MATCH(B1409,'Équipements'!$A$5:$A$304,0)),"Code inconnu"))</f>
        <v/>
      </c>
      <c r="D1409" s="67" t="n"/>
      <c r="E1409" s="7" t="n"/>
      <c r="F1409" s="68">
        <f>IF(OR(B1409="",A1409=""),"",IF(COUNTIFS('Relevés compteurs'!$B$5:$B$1504,B1409,'Relevés compteurs'!$A$5:$A$1504,"&lt;"&amp;A1409)=0,"",D1409-_xlfn.MAXIFS('Relevés compteurs'!$D$5:$D$1504,'Relevés compteurs'!$B$5:$B$1504,B1409,'Relevés compteurs'!$A$5:$A$1504,"&lt;"&amp;A1409)))</f>
        <v/>
      </c>
    </row>
    <row r="1410">
      <c r="A1410" s="65" t="n"/>
      <c r="B1410" s="7" t="n"/>
      <c r="C1410" s="9">
        <f>IF(B1410="","",IFERROR(INDEX('Équipements'!$B$5:$B$304,MATCH(B1410,'Équipements'!$A$5:$A$304,0)),"Code inconnu"))</f>
        <v/>
      </c>
      <c r="D1410" s="67" t="n"/>
      <c r="E1410" s="7" t="n"/>
      <c r="F1410" s="68">
        <f>IF(OR(B1410="",A1410=""),"",IF(COUNTIFS('Relevés compteurs'!$B$5:$B$1504,B1410,'Relevés compteurs'!$A$5:$A$1504,"&lt;"&amp;A1410)=0,"",D1410-_xlfn.MAXIFS('Relevés compteurs'!$D$5:$D$1504,'Relevés compteurs'!$B$5:$B$1504,B1410,'Relevés compteurs'!$A$5:$A$1504,"&lt;"&amp;A1410)))</f>
        <v/>
      </c>
    </row>
    <row r="1411">
      <c r="A1411" s="65" t="n"/>
      <c r="B1411" s="7" t="n"/>
      <c r="C1411" s="9">
        <f>IF(B1411="","",IFERROR(INDEX('Équipements'!$B$5:$B$304,MATCH(B1411,'Équipements'!$A$5:$A$304,0)),"Code inconnu"))</f>
        <v/>
      </c>
      <c r="D1411" s="67" t="n"/>
      <c r="E1411" s="7" t="n"/>
      <c r="F1411" s="68">
        <f>IF(OR(B1411="",A1411=""),"",IF(COUNTIFS('Relevés compteurs'!$B$5:$B$1504,B1411,'Relevés compteurs'!$A$5:$A$1504,"&lt;"&amp;A1411)=0,"",D1411-_xlfn.MAXIFS('Relevés compteurs'!$D$5:$D$1504,'Relevés compteurs'!$B$5:$B$1504,B1411,'Relevés compteurs'!$A$5:$A$1504,"&lt;"&amp;A1411)))</f>
        <v/>
      </c>
    </row>
    <row r="1412">
      <c r="A1412" s="65" t="n"/>
      <c r="B1412" s="7" t="n"/>
      <c r="C1412" s="9">
        <f>IF(B1412="","",IFERROR(INDEX('Équipements'!$B$5:$B$304,MATCH(B1412,'Équipements'!$A$5:$A$304,0)),"Code inconnu"))</f>
        <v/>
      </c>
      <c r="D1412" s="67" t="n"/>
      <c r="E1412" s="7" t="n"/>
      <c r="F1412" s="68">
        <f>IF(OR(B1412="",A1412=""),"",IF(COUNTIFS('Relevés compteurs'!$B$5:$B$1504,B1412,'Relevés compteurs'!$A$5:$A$1504,"&lt;"&amp;A1412)=0,"",D1412-_xlfn.MAXIFS('Relevés compteurs'!$D$5:$D$1504,'Relevés compteurs'!$B$5:$B$1504,B1412,'Relevés compteurs'!$A$5:$A$1504,"&lt;"&amp;A1412)))</f>
        <v/>
      </c>
    </row>
    <row r="1413">
      <c r="A1413" s="65" t="n"/>
      <c r="B1413" s="7" t="n"/>
      <c r="C1413" s="9">
        <f>IF(B1413="","",IFERROR(INDEX('Équipements'!$B$5:$B$304,MATCH(B1413,'Équipements'!$A$5:$A$304,0)),"Code inconnu"))</f>
        <v/>
      </c>
      <c r="D1413" s="67" t="n"/>
      <c r="E1413" s="7" t="n"/>
      <c r="F1413" s="68">
        <f>IF(OR(B1413="",A1413=""),"",IF(COUNTIFS('Relevés compteurs'!$B$5:$B$1504,B1413,'Relevés compteurs'!$A$5:$A$1504,"&lt;"&amp;A1413)=0,"",D1413-_xlfn.MAXIFS('Relevés compteurs'!$D$5:$D$1504,'Relevés compteurs'!$B$5:$B$1504,B1413,'Relevés compteurs'!$A$5:$A$1504,"&lt;"&amp;A1413)))</f>
        <v/>
      </c>
    </row>
    <row r="1414">
      <c r="A1414" s="65" t="n"/>
      <c r="B1414" s="7" t="n"/>
      <c r="C1414" s="9">
        <f>IF(B1414="","",IFERROR(INDEX('Équipements'!$B$5:$B$304,MATCH(B1414,'Équipements'!$A$5:$A$304,0)),"Code inconnu"))</f>
        <v/>
      </c>
      <c r="D1414" s="67" t="n"/>
      <c r="E1414" s="7" t="n"/>
      <c r="F1414" s="68">
        <f>IF(OR(B1414="",A1414=""),"",IF(COUNTIFS('Relevés compteurs'!$B$5:$B$1504,B1414,'Relevés compteurs'!$A$5:$A$1504,"&lt;"&amp;A1414)=0,"",D1414-_xlfn.MAXIFS('Relevés compteurs'!$D$5:$D$1504,'Relevés compteurs'!$B$5:$B$1504,B1414,'Relevés compteurs'!$A$5:$A$1504,"&lt;"&amp;A1414)))</f>
        <v/>
      </c>
    </row>
    <row r="1415">
      <c r="A1415" s="65" t="n"/>
      <c r="B1415" s="7" t="n"/>
      <c r="C1415" s="9">
        <f>IF(B1415="","",IFERROR(INDEX('Équipements'!$B$5:$B$304,MATCH(B1415,'Équipements'!$A$5:$A$304,0)),"Code inconnu"))</f>
        <v/>
      </c>
      <c r="D1415" s="67" t="n"/>
      <c r="E1415" s="7" t="n"/>
      <c r="F1415" s="68">
        <f>IF(OR(B1415="",A1415=""),"",IF(COUNTIFS('Relevés compteurs'!$B$5:$B$1504,B1415,'Relevés compteurs'!$A$5:$A$1504,"&lt;"&amp;A1415)=0,"",D1415-_xlfn.MAXIFS('Relevés compteurs'!$D$5:$D$1504,'Relevés compteurs'!$B$5:$B$1504,B1415,'Relevés compteurs'!$A$5:$A$1504,"&lt;"&amp;A1415)))</f>
        <v/>
      </c>
    </row>
    <row r="1416">
      <c r="A1416" s="65" t="n"/>
      <c r="B1416" s="7" t="n"/>
      <c r="C1416" s="9">
        <f>IF(B1416="","",IFERROR(INDEX('Équipements'!$B$5:$B$304,MATCH(B1416,'Équipements'!$A$5:$A$304,0)),"Code inconnu"))</f>
        <v/>
      </c>
      <c r="D1416" s="67" t="n"/>
      <c r="E1416" s="7" t="n"/>
      <c r="F1416" s="68">
        <f>IF(OR(B1416="",A1416=""),"",IF(COUNTIFS('Relevés compteurs'!$B$5:$B$1504,B1416,'Relevés compteurs'!$A$5:$A$1504,"&lt;"&amp;A1416)=0,"",D1416-_xlfn.MAXIFS('Relevés compteurs'!$D$5:$D$1504,'Relevés compteurs'!$B$5:$B$1504,B1416,'Relevés compteurs'!$A$5:$A$1504,"&lt;"&amp;A1416)))</f>
        <v/>
      </c>
    </row>
    <row r="1417">
      <c r="A1417" s="65" t="n"/>
      <c r="B1417" s="7" t="n"/>
      <c r="C1417" s="9">
        <f>IF(B1417="","",IFERROR(INDEX('Équipements'!$B$5:$B$304,MATCH(B1417,'Équipements'!$A$5:$A$304,0)),"Code inconnu"))</f>
        <v/>
      </c>
      <c r="D1417" s="67" t="n"/>
      <c r="E1417" s="7" t="n"/>
      <c r="F1417" s="68">
        <f>IF(OR(B1417="",A1417=""),"",IF(COUNTIFS('Relevés compteurs'!$B$5:$B$1504,B1417,'Relevés compteurs'!$A$5:$A$1504,"&lt;"&amp;A1417)=0,"",D1417-_xlfn.MAXIFS('Relevés compteurs'!$D$5:$D$1504,'Relevés compteurs'!$B$5:$B$1504,B1417,'Relevés compteurs'!$A$5:$A$1504,"&lt;"&amp;A1417)))</f>
        <v/>
      </c>
    </row>
    <row r="1418">
      <c r="A1418" s="65" t="n"/>
      <c r="B1418" s="7" t="n"/>
      <c r="C1418" s="9">
        <f>IF(B1418="","",IFERROR(INDEX('Équipements'!$B$5:$B$304,MATCH(B1418,'Équipements'!$A$5:$A$304,0)),"Code inconnu"))</f>
        <v/>
      </c>
      <c r="D1418" s="67" t="n"/>
      <c r="E1418" s="7" t="n"/>
      <c r="F1418" s="68">
        <f>IF(OR(B1418="",A1418=""),"",IF(COUNTIFS('Relevés compteurs'!$B$5:$B$1504,B1418,'Relevés compteurs'!$A$5:$A$1504,"&lt;"&amp;A1418)=0,"",D1418-_xlfn.MAXIFS('Relevés compteurs'!$D$5:$D$1504,'Relevés compteurs'!$B$5:$B$1504,B1418,'Relevés compteurs'!$A$5:$A$1504,"&lt;"&amp;A1418)))</f>
        <v/>
      </c>
    </row>
    <row r="1419">
      <c r="A1419" s="65" t="n"/>
      <c r="B1419" s="7" t="n"/>
      <c r="C1419" s="9">
        <f>IF(B1419="","",IFERROR(INDEX('Équipements'!$B$5:$B$304,MATCH(B1419,'Équipements'!$A$5:$A$304,0)),"Code inconnu"))</f>
        <v/>
      </c>
      <c r="D1419" s="67" t="n"/>
      <c r="E1419" s="7" t="n"/>
      <c r="F1419" s="68">
        <f>IF(OR(B1419="",A1419=""),"",IF(COUNTIFS('Relevés compteurs'!$B$5:$B$1504,B1419,'Relevés compteurs'!$A$5:$A$1504,"&lt;"&amp;A1419)=0,"",D1419-_xlfn.MAXIFS('Relevés compteurs'!$D$5:$D$1504,'Relevés compteurs'!$B$5:$B$1504,B1419,'Relevés compteurs'!$A$5:$A$1504,"&lt;"&amp;A1419)))</f>
        <v/>
      </c>
    </row>
    <row r="1420">
      <c r="A1420" s="65" t="n"/>
      <c r="B1420" s="7" t="n"/>
      <c r="C1420" s="9">
        <f>IF(B1420="","",IFERROR(INDEX('Équipements'!$B$5:$B$304,MATCH(B1420,'Équipements'!$A$5:$A$304,0)),"Code inconnu"))</f>
        <v/>
      </c>
      <c r="D1420" s="67" t="n"/>
      <c r="E1420" s="7" t="n"/>
      <c r="F1420" s="68">
        <f>IF(OR(B1420="",A1420=""),"",IF(COUNTIFS('Relevés compteurs'!$B$5:$B$1504,B1420,'Relevés compteurs'!$A$5:$A$1504,"&lt;"&amp;A1420)=0,"",D1420-_xlfn.MAXIFS('Relevés compteurs'!$D$5:$D$1504,'Relevés compteurs'!$B$5:$B$1504,B1420,'Relevés compteurs'!$A$5:$A$1504,"&lt;"&amp;A1420)))</f>
        <v/>
      </c>
    </row>
    <row r="1421">
      <c r="A1421" s="65" t="n"/>
      <c r="B1421" s="7" t="n"/>
      <c r="C1421" s="9">
        <f>IF(B1421="","",IFERROR(INDEX('Équipements'!$B$5:$B$304,MATCH(B1421,'Équipements'!$A$5:$A$304,0)),"Code inconnu"))</f>
        <v/>
      </c>
      <c r="D1421" s="67" t="n"/>
      <c r="E1421" s="7" t="n"/>
      <c r="F1421" s="68">
        <f>IF(OR(B1421="",A1421=""),"",IF(COUNTIFS('Relevés compteurs'!$B$5:$B$1504,B1421,'Relevés compteurs'!$A$5:$A$1504,"&lt;"&amp;A1421)=0,"",D1421-_xlfn.MAXIFS('Relevés compteurs'!$D$5:$D$1504,'Relevés compteurs'!$B$5:$B$1504,B1421,'Relevés compteurs'!$A$5:$A$1504,"&lt;"&amp;A1421)))</f>
        <v/>
      </c>
    </row>
    <row r="1422">
      <c r="A1422" s="65" t="n"/>
      <c r="B1422" s="7" t="n"/>
      <c r="C1422" s="9">
        <f>IF(B1422="","",IFERROR(INDEX('Équipements'!$B$5:$B$304,MATCH(B1422,'Équipements'!$A$5:$A$304,0)),"Code inconnu"))</f>
        <v/>
      </c>
      <c r="D1422" s="67" t="n"/>
      <c r="E1422" s="7" t="n"/>
      <c r="F1422" s="68">
        <f>IF(OR(B1422="",A1422=""),"",IF(COUNTIFS('Relevés compteurs'!$B$5:$B$1504,B1422,'Relevés compteurs'!$A$5:$A$1504,"&lt;"&amp;A1422)=0,"",D1422-_xlfn.MAXIFS('Relevés compteurs'!$D$5:$D$1504,'Relevés compteurs'!$B$5:$B$1504,B1422,'Relevés compteurs'!$A$5:$A$1504,"&lt;"&amp;A1422)))</f>
        <v/>
      </c>
    </row>
    <row r="1423">
      <c r="A1423" s="65" t="n"/>
      <c r="B1423" s="7" t="n"/>
      <c r="C1423" s="9">
        <f>IF(B1423="","",IFERROR(INDEX('Équipements'!$B$5:$B$304,MATCH(B1423,'Équipements'!$A$5:$A$304,0)),"Code inconnu"))</f>
        <v/>
      </c>
      <c r="D1423" s="67" t="n"/>
      <c r="E1423" s="7" t="n"/>
      <c r="F1423" s="68">
        <f>IF(OR(B1423="",A1423=""),"",IF(COUNTIFS('Relevés compteurs'!$B$5:$B$1504,B1423,'Relevés compteurs'!$A$5:$A$1504,"&lt;"&amp;A1423)=0,"",D1423-_xlfn.MAXIFS('Relevés compteurs'!$D$5:$D$1504,'Relevés compteurs'!$B$5:$B$1504,B1423,'Relevés compteurs'!$A$5:$A$1504,"&lt;"&amp;A1423)))</f>
        <v/>
      </c>
    </row>
    <row r="1424">
      <c r="A1424" s="65" t="n"/>
      <c r="B1424" s="7" t="n"/>
      <c r="C1424" s="9">
        <f>IF(B1424="","",IFERROR(INDEX('Équipements'!$B$5:$B$304,MATCH(B1424,'Équipements'!$A$5:$A$304,0)),"Code inconnu"))</f>
        <v/>
      </c>
      <c r="D1424" s="67" t="n"/>
      <c r="E1424" s="7" t="n"/>
      <c r="F1424" s="68">
        <f>IF(OR(B1424="",A1424=""),"",IF(COUNTIFS('Relevés compteurs'!$B$5:$B$1504,B1424,'Relevés compteurs'!$A$5:$A$1504,"&lt;"&amp;A1424)=0,"",D1424-_xlfn.MAXIFS('Relevés compteurs'!$D$5:$D$1504,'Relevés compteurs'!$B$5:$B$1504,B1424,'Relevés compteurs'!$A$5:$A$1504,"&lt;"&amp;A1424)))</f>
        <v/>
      </c>
    </row>
    <row r="1425">
      <c r="A1425" s="65" t="n"/>
      <c r="B1425" s="7" t="n"/>
      <c r="C1425" s="9">
        <f>IF(B1425="","",IFERROR(INDEX('Équipements'!$B$5:$B$304,MATCH(B1425,'Équipements'!$A$5:$A$304,0)),"Code inconnu"))</f>
        <v/>
      </c>
      <c r="D1425" s="67" t="n"/>
      <c r="E1425" s="7" t="n"/>
      <c r="F1425" s="68">
        <f>IF(OR(B1425="",A1425=""),"",IF(COUNTIFS('Relevés compteurs'!$B$5:$B$1504,B1425,'Relevés compteurs'!$A$5:$A$1504,"&lt;"&amp;A1425)=0,"",D1425-_xlfn.MAXIFS('Relevés compteurs'!$D$5:$D$1504,'Relevés compteurs'!$B$5:$B$1504,B1425,'Relevés compteurs'!$A$5:$A$1504,"&lt;"&amp;A1425)))</f>
        <v/>
      </c>
    </row>
    <row r="1426">
      <c r="A1426" s="65" t="n"/>
      <c r="B1426" s="7" t="n"/>
      <c r="C1426" s="9">
        <f>IF(B1426="","",IFERROR(INDEX('Équipements'!$B$5:$B$304,MATCH(B1426,'Équipements'!$A$5:$A$304,0)),"Code inconnu"))</f>
        <v/>
      </c>
      <c r="D1426" s="67" t="n"/>
      <c r="E1426" s="7" t="n"/>
      <c r="F1426" s="68">
        <f>IF(OR(B1426="",A1426=""),"",IF(COUNTIFS('Relevés compteurs'!$B$5:$B$1504,B1426,'Relevés compteurs'!$A$5:$A$1504,"&lt;"&amp;A1426)=0,"",D1426-_xlfn.MAXIFS('Relevés compteurs'!$D$5:$D$1504,'Relevés compteurs'!$B$5:$B$1504,B1426,'Relevés compteurs'!$A$5:$A$1504,"&lt;"&amp;A1426)))</f>
        <v/>
      </c>
    </row>
    <row r="1427">
      <c r="A1427" s="65" t="n"/>
      <c r="B1427" s="7" t="n"/>
      <c r="C1427" s="9">
        <f>IF(B1427="","",IFERROR(INDEX('Équipements'!$B$5:$B$304,MATCH(B1427,'Équipements'!$A$5:$A$304,0)),"Code inconnu"))</f>
        <v/>
      </c>
      <c r="D1427" s="67" t="n"/>
      <c r="E1427" s="7" t="n"/>
      <c r="F1427" s="68">
        <f>IF(OR(B1427="",A1427=""),"",IF(COUNTIFS('Relevés compteurs'!$B$5:$B$1504,B1427,'Relevés compteurs'!$A$5:$A$1504,"&lt;"&amp;A1427)=0,"",D1427-_xlfn.MAXIFS('Relevés compteurs'!$D$5:$D$1504,'Relevés compteurs'!$B$5:$B$1504,B1427,'Relevés compteurs'!$A$5:$A$1504,"&lt;"&amp;A1427)))</f>
        <v/>
      </c>
    </row>
    <row r="1428">
      <c r="A1428" s="65" t="n"/>
      <c r="B1428" s="7" t="n"/>
      <c r="C1428" s="9">
        <f>IF(B1428="","",IFERROR(INDEX('Équipements'!$B$5:$B$304,MATCH(B1428,'Équipements'!$A$5:$A$304,0)),"Code inconnu"))</f>
        <v/>
      </c>
      <c r="D1428" s="67" t="n"/>
      <c r="E1428" s="7" t="n"/>
      <c r="F1428" s="68">
        <f>IF(OR(B1428="",A1428=""),"",IF(COUNTIFS('Relevés compteurs'!$B$5:$B$1504,B1428,'Relevés compteurs'!$A$5:$A$1504,"&lt;"&amp;A1428)=0,"",D1428-_xlfn.MAXIFS('Relevés compteurs'!$D$5:$D$1504,'Relevés compteurs'!$B$5:$B$1504,B1428,'Relevés compteurs'!$A$5:$A$1504,"&lt;"&amp;A1428)))</f>
        <v/>
      </c>
    </row>
    <row r="1429">
      <c r="A1429" s="65" t="n"/>
      <c r="B1429" s="7" t="n"/>
      <c r="C1429" s="9">
        <f>IF(B1429="","",IFERROR(INDEX('Équipements'!$B$5:$B$304,MATCH(B1429,'Équipements'!$A$5:$A$304,0)),"Code inconnu"))</f>
        <v/>
      </c>
      <c r="D1429" s="67" t="n"/>
      <c r="E1429" s="7" t="n"/>
      <c r="F1429" s="68">
        <f>IF(OR(B1429="",A1429=""),"",IF(COUNTIFS('Relevés compteurs'!$B$5:$B$1504,B1429,'Relevés compteurs'!$A$5:$A$1504,"&lt;"&amp;A1429)=0,"",D1429-_xlfn.MAXIFS('Relevés compteurs'!$D$5:$D$1504,'Relevés compteurs'!$B$5:$B$1504,B1429,'Relevés compteurs'!$A$5:$A$1504,"&lt;"&amp;A1429)))</f>
        <v/>
      </c>
    </row>
    <row r="1430">
      <c r="A1430" s="65" t="n"/>
      <c r="B1430" s="7" t="n"/>
      <c r="C1430" s="9">
        <f>IF(B1430="","",IFERROR(INDEX('Équipements'!$B$5:$B$304,MATCH(B1430,'Équipements'!$A$5:$A$304,0)),"Code inconnu"))</f>
        <v/>
      </c>
      <c r="D1430" s="67" t="n"/>
      <c r="E1430" s="7" t="n"/>
      <c r="F1430" s="68">
        <f>IF(OR(B1430="",A1430=""),"",IF(COUNTIFS('Relevés compteurs'!$B$5:$B$1504,B1430,'Relevés compteurs'!$A$5:$A$1504,"&lt;"&amp;A1430)=0,"",D1430-_xlfn.MAXIFS('Relevés compteurs'!$D$5:$D$1504,'Relevés compteurs'!$B$5:$B$1504,B1430,'Relevés compteurs'!$A$5:$A$1504,"&lt;"&amp;A1430)))</f>
        <v/>
      </c>
    </row>
    <row r="1431">
      <c r="A1431" s="65" t="n"/>
      <c r="B1431" s="7" t="n"/>
      <c r="C1431" s="9">
        <f>IF(B1431="","",IFERROR(INDEX('Équipements'!$B$5:$B$304,MATCH(B1431,'Équipements'!$A$5:$A$304,0)),"Code inconnu"))</f>
        <v/>
      </c>
      <c r="D1431" s="67" t="n"/>
      <c r="E1431" s="7" t="n"/>
      <c r="F1431" s="68">
        <f>IF(OR(B1431="",A1431=""),"",IF(COUNTIFS('Relevés compteurs'!$B$5:$B$1504,B1431,'Relevés compteurs'!$A$5:$A$1504,"&lt;"&amp;A1431)=0,"",D1431-_xlfn.MAXIFS('Relevés compteurs'!$D$5:$D$1504,'Relevés compteurs'!$B$5:$B$1504,B1431,'Relevés compteurs'!$A$5:$A$1504,"&lt;"&amp;A1431)))</f>
        <v/>
      </c>
    </row>
    <row r="1432">
      <c r="A1432" s="65" t="n"/>
      <c r="B1432" s="7" t="n"/>
      <c r="C1432" s="9">
        <f>IF(B1432="","",IFERROR(INDEX('Équipements'!$B$5:$B$304,MATCH(B1432,'Équipements'!$A$5:$A$304,0)),"Code inconnu"))</f>
        <v/>
      </c>
      <c r="D1432" s="67" t="n"/>
      <c r="E1432" s="7" t="n"/>
      <c r="F1432" s="68">
        <f>IF(OR(B1432="",A1432=""),"",IF(COUNTIFS('Relevés compteurs'!$B$5:$B$1504,B1432,'Relevés compteurs'!$A$5:$A$1504,"&lt;"&amp;A1432)=0,"",D1432-_xlfn.MAXIFS('Relevés compteurs'!$D$5:$D$1504,'Relevés compteurs'!$B$5:$B$1504,B1432,'Relevés compteurs'!$A$5:$A$1504,"&lt;"&amp;A1432)))</f>
        <v/>
      </c>
    </row>
    <row r="1433">
      <c r="A1433" s="65" t="n"/>
      <c r="B1433" s="7" t="n"/>
      <c r="C1433" s="9">
        <f>IF(B1433="","",IFERROR(INDEX('Équipements'!$B$5:$B$304,MATCH(B1433,'Équipements'!$A$5:$A$304,0)),"Code inconnu"))</f>
        <v/>
      </c>
      <c r="D1433" s="67" t="n"/>
      <c r="E1433" s="7" t="n"/>
      <c r="F1433" s="68">
        <f>IF(OR(B1433="",A1433=""),"",IF(COUNTIFS('Relevés compteurs'!$B$5:$B$1504,B1433,'Relevés compteurs'!$A$5:$A$1504,"&lt;"&amp;A1433)=0,"",D1433-_xlfn.MAXIFS('Relevés compteurs'!$D$5:$D$1504,'Relevés compteurs'!$B$5:$B$1504,B1433,'Relevés compteurs'!$A$5:$A$1504,"&lt;"&amp;A1433)))</f>
        <v/>
      </c>
    </row>
    <row r="1434">
      <c r="A1434" s="65" t="n"/>
      <c r="B1434" s="7" t="n"/>
      <c r="C1434" s="9">
        <f>IF(B1434="","",IFERROR(INDEX('Équipements'!$B$5:$B$304,MATCH(B1434,'Équipements'!$A$5:$A$304,0)),"Code inconnu"))</f>
        <v/>
      </c>
      <c r="D1434" s="67" t="n"/>
      <c r="E1434" s="7" t="n"/>
      <c r="F1434" s="68">
        <f>IF(OR(B1434="",A1434=""),"",IF(COUNTIFS('Relevés compteurs'!$B$5:$B$1504,B1434,'Relevés compteurs'!$A$5:$A$1504,"&lt;"&amp;A1434)=0,"",D1434-_xlfn.MAXIFS('Relevés compteurs'!$D$5:$D$1504,'Relevés compteurs'!$B$5:$B$1504,B1434,'Relevés compteurs'!$A$5:$A$1504,"&lt;"&amp;A1434)))</f>
        <v/>
      </c>
    </row>
    <row r="1435">
      <c r="A1435" s="65" t="n"/>
      <c r="B1435" s="7" t="n"/>
      <c r="C1435" s="9">
        <f>IF(B1435="","",IFERROR(INDEX('Équipements'!$B$5:$B$304,MATCH(B1435,'Équipements'!$A$5:$A$304,0)),"Code inconnu"))</f>
        <v/>
      </c>
      <c r="D1435" s="67" t="n"/>
      <c r="E1435" s="7" t="n"/>
      <c r="F1435" s="68">
        <f>IF(OR(B1435="",A1435=""),"",IF(COUNTIFS('Relevés compteurs'!$B$5:$B$1504,B1435,'Relevés compteurs'!$A$5:$A$1504,"&lt;"&amp;A1435)=0,"",D1435-_xlfn.MAXIFS('Relevés compteurs'!$D$5:$D$1504,'Relevés compteurs'!$B$5:$B$1504,B1435,'Relevés compteurs'!$A$5:$A$1504,"&lt;"&amp;A1435)))</f>
        <v/>
      </c>
    </row>
    <row r="1436">
      <c r="A1436" s="65" t="n"/>
      <c r="B1436" s="7" t="n"/>
      <c r="C1436" s="9">
        <f>IF(B1436="","",IFERROR(INDEX('Équipements'!$B$5:$B$304,MATCH(B1436,'Équipements'!$A$5:$A$304,0)),"Code inconnu"))</f>
        <v/>
      </c>
      <c r="D1436" s="67" t="n"/>
      <c r="E1436" s="7" t="n"/>
      <c r="F1436" s="68">
        <f>IF(OR(B1436="",A1436=""),"",IF(COUNTIFS('Relevés compteurs'!$B$5:$B$1504,B1436,'Relevés compteurs'!$A$5:$A$1504,"&lt;"&amp;A1436)=0,"",D1436-_xlfn.MAXIFS('Relevés compteurs'!$D$5:$D$1504,'Relevés compteurs'!$B$5:$B$1504,B1436,'Relevés compteurs'!$A$5:$A$1504,"&lt;"&amp;A1436)))</f>
        <v/>
      </c>
    </row>
    <row r="1437">
      <c r="A1437" s="65" t="n"/>
      <c r="B1437" s="7" t="n"/>
      <c r="C1437" s="9">
        <f>IF(B1437="","",IFERROR(INDEX('Équipements'!$B$5:$B$304,MATCH(B1437,'Équipements'!$A$5:$A$304,0)),"Code inconnu"))</f>
        <v/>
      </c>
      <c r="D1437" s="67" t="n"/>
      <c r="E1437" s="7" t="n"/>
      <c r="F1437" s="68">
        <f>IF(OR(B1437="",A1437=""),"",IF(COUNTIFS('Relevés compteurs'!$B$5:$B$1504,B1437,'Relevés compteurs'!$A$5:$A$1504,"&lt;"&amp;A1437)=0,"",D1437-_xlfn.MAXIFS('Relevés compteurs'!$D$5:$D$1504,'Relevés compteurs'!$B$5:$B$1504,B1437,'Relevés compteurs'!$A$5:$A$1504,"&lt;"&amp;A1437)))</f>
        <v/>
      </c>
    </row>
    <row r="1438">
      <c r="A1438" s="65" t="n"/>
      <c r="B1438" s="7" t="n"/>
      <c r="C1438" s="9">
        <f>IF(B1438="","",IFERROR(INDEX('Équipements'!$B$5:$B$304,MATCH(B1438,'Équipements'!$A$5:$A$304,0)),"Code inconnu"))</f>
        <v/>
      </c>
      <c r="D1438" s="67" t="n"/>
      <c r="E1438" s="7" t="n"/>
      <c r="F1438" s="68">
        <f>IF(OR(B1438="",A1438=""),"",IF(COUNTIFS('Relevés compteurs'!$B$5:$B$1504,B1438,'Relevés compteurs'!$A$5:$A$1504,"&lt;"&amp;A1438)=0,"",D1438-_xlfn.MAXIFS('Relevés compteurs'!$D$5:$D$1504,'Relevés compteurs'!$B$5:$B$1504,B1438,'Relevés compteurs'!$A$5:$A$1504,"&lt;"&amp;A1438)))</f>
        <v/>
      </c>
    </row>
    <row r="1439">
      <c r="A1439" s="65" t="n"/>
      <c r="B1439" s="7" t="n"/>
      <c r="C1439" s="9">
        <f>IF(B1439="","",IFERROR(INDEX('Équipements'!$B$5:$B$304,MATCH(B1439,'Équipements'!$A$5:$A$304,0)),"Code inconnu"))</f>
        <v/>
      </c>
      <c r="D1439" s="67" t="n"/>
      <c r="E1439" s="7" t="n"/>
      <c r="F1439" s="68">
        <f>IF(OR(B1439="",A1439=""),"",IF(COUNTIFS('Relevés compteurs'!$B$5:$B$1504,B1439,'Relevés compteurs'!$A$5:$A$1504,"&lt;"&amp;A1439)=0,"",D1439-_xlfn.MAXIFS('Relevés compteurs'!$D$5:$D$1504,'Relevés compteurs'!$B$5:$B$1504,B1439,'Relevés compteurs'!$A$5:$A$1504,"&lt;"&amp;A1439)))</f>
        <v/>
      </c>
    </row>
    <row r="1440">
      <c r="A1440" s="65" t="n"/>
      <c r="B1440" s="7" t="n"/>
      <c r="C1440" s="9">
        <f>IF(B1440="","",IFERROR(INDEX('Équipements'!$B$5:$B$304,MATCH(B1440,'Équipements'!$A$5:$A$304,0)),"Code inconnu"))</f>
        <v/>
      </c>
      <c r="D1440" s="67" t="n"/>
      <c r="E1440" s="7" t="n"/>
      <c r="F1440" s="68">
        <f>IF(OR(B1440="",A1440=""),"",IF(COUNTIFS('Relevés compteurs'!$B$5:$B$1504,B1440,'Relevés compteurs'!$A$5:$A$1504,"&lt;"&amp;A1440)=0,"",D1440-_xlfn.MAXIFS('Relevés compteurs'!$D$5:$D$1504,'Relevés compteurs'!$B$5:$B$1504,B1440,'Relevés compteurs'!$A$5:$A$1504,"&lt;"&amp;A1440)))</f>
        <v/>
      </c>
    </row>
    <row r="1441">
      <c r="A1441" s="65" t="n"/>
      <c r="B1441" s="7" t="n"/>
      <c r="C1441" s="9">
        <f>IF(B1441="","",IFERROR(INDEX('Équipements'!$B$5:$B$304,MATCH(B1441,'Équipements'!$A$5:$A$304,0)),"Code inconnu"))</f>
        <v/>
      </c>
      <c r="D1441" s="67" t="n"/>
      <c r="E1441" s="7" t="n"/>
      <c r="F1441" s="68">
        <f>IF(OR(B1441="",A1441=""),"",IF(COUNTIFS('Relevés compteurs'!$B$5:$B$1504,B1441,'Relevés compteurs'!$A$5:$A$1504,"&lt;"&amp;A1441)=0,"",D1441-_xlfn.MAXIFS('Relevés compteurs'!$D$5:$D$1504,'Relevés compteurs'!$B$5:$B$1504,B1441,'Relevés compteurs'!$A$5:$A$1504,"&lt;"&amp;A1441)))</f>
        <v/>
      </c>
    </row>
    <row r="1442">
      <c r="A1442" s="65" t="n"/>
      <c r="B1442" s="7" t="n"/>
      <c r="C1442" s="9">
        <f>IF(B1442="","",IFERROR(INDEX('Équipements'!$B$5:$B$304,MATCH(B1442,'Équipements'!$A$5:$A$304,0)),"Code inconnu"))</f>
        <v/>
      </c>
      <c r="D1442" s="67" t="n"/>
      <c r="E1442" s="7" t="n"/>
      <c r="F1442" s="68">
        <f>IF(OR(B1442="",A1442=""),"",IF(COUNTIFS('Relevés compteurs'!$B$5:$B$1504,B1442,'Relevés compteurs'!$A$5:$A$1504,"&lt;"&amp;A1442)=0,"",D1442-_xlfn.MAXIFS('Relevés compteurs'!$D$5:$D$1504,'Relevés compteurs'!$B$5:$B$1504,B1442,'Relevés compteurs'!$A$5:$A$1504,"&lt;"&amp;A1442)))</f>
        <v/>
      </c>
    </row>
    <row r="1443">
      <c r="A1443" s="65" t="n"/>
      <c r="B1443" s="7" t="n"/>
      <c r="C1443" s="9">
        <f>IF(B1443="","",IFERROR(INDEX('Équipements'!$B$5:$B$304,MATCH(B1443,'Équipements'!$A$5:$A$304,0)),"Code inconnu"))</f>
        <v/>
      </c>
      <c r="D1443" s="67" t="n"/>
      <c r="E1443" s="7" t="n"/>
      <c r="F1443" s="68">
        <f>IF(OR(B1443="",A1443=""),"",IF(COUNTIFS('Relevés compteurs'!$B$5:$B$1504,B1443,'Relevés compteurs'!$A$5:$A$1504,"&lt;"&amp;A1443)=0,"",D1443-_xlfn.MAXIFS('Relevés compteurs'!$D$5:$D$1504,'Relevés compteurs'!$B$5:$B$1504,B1443,'Relevés compteurs'!$A$5:$A$1504,"&lt;"&amp;A1443)))</f>
        <v/>
      </c>
    </row>
    <row r="1444">
      <c r="A1444" s="65" t="n"/>
      <c r="B1444" s="7" t="n"/>
      <c r="C1444" s="9">
        <f>IF(B1444="","",IFERROR(INDEX('Équipements'!$B$5:$B$304,MATCH(B1444,'Équipements'!$A$5:$A$304,0)),"Code inconnu"))</f>
        <v/>
      </c>
      <c r="D1444" s="67" t="n"/>
      <c r="E1444" s="7" t="n"/>
      <c r="F1444" s="68">
        <f>IF(OR(B1444="",A1444=""),"",IF(COUNTIFS('Relevés compteurs'!$B$5:$B$1504,B1444,'Relevés compteurs'!$A$5:$A$1504,"&lt;"&amp;A1444)=0,"",D1444-_xlfn.MAXIFS('Relevés compteurs'!$D$5:$D$1504,'Relevés compteurs'!$B$5:$B$1504,B1444,'Relevés compteurs'!$A$5:$A$1504,"&lt;"&amp;A1444)))</f>
        <v/>
      </c>
    </row>
    <row r="1445">
      <c r="A1445" s="65" t="n"/>
      <c r="B1445" s="7" t="n"/>
      <c r="C1445" s="9">
        <f>IF(B1445="","",IFERROR(INDEX('Équipements'!$B$5:$B$304,MATCH(B1445,'Équipements'!$A$5:$A$304,0)),"Code inconnu"))</f>
        <v/>
      </c>
      <c r="D1445" s="67" t="n"/>
      <c r="E1445" s="7" t="n"/>
      <c r="F1445" s="68">
        <f>IF(OR(B1445="",A1445=""),"",IF(COUNTIFS('Relevés compteurs'!$B$5:$B$1504,B1445,'Relevés compteurs'!$A$5:$A$1504,"&lt;"&amp;A1445)=0,"",D1445-_xlfn.MAXIFS('Relevés compteurs'!$D$5:$D$1504,'Relevés compteurs'!$B$5:$B$1504,B1445,'Relevés compteurs'!$A$5:$A$1504,"&lt;"&amp;A1445)))</f>
        <v/>
      </c>
    </row>
    <row r="1446">
      <c r="A1446" s="65" t="n"/>
      <c r="B1446" s="7" t="n"/>
      <c r="C1446" s="9">
        <f>IF(B1446="","",IFERROR(INDEX('Équipements'!$B$5:$B$304,MATCH(B1446,'Équipements'!$A$5:$A$304,0)),"Code inconnu"))</f>
        <v/>
      </c>
      <c r="D1446" s="67" t="n"/>
      <c r="E1446" s="7" t="n"/>
      <c r="F1446" s="68">
        <f>IF(OR(B1446="",A1446=""),"",IF(COUNTIFS('Relevés compteurs'!$B$5:$B$1504,B1446,'Relevés compteurs'!$A$5:$A$1504,"&lt;"&amp;A1446)=0,"",D1446-_xlfn.MAXIFS('Relevés compteurs'!$D$5:$D$1504,'Relevés compteurs'!$B$5:$B$1504,B1446,'Relevés compteurs'!$A$5:$A$1504,"&lt;"&amp;A1446)))</f>
        <v/>
      </c>
    </row>
    <row r="1447">
      <c r="A1447" s="65" t="n"/>
      <c r="B1447" s="7" t="n"/>
      <c r="C1447" s="9">
        <f>IF(B1447="","",IFERROR(INDEX('Équipements'!$B$5:$B$304,MATCH(B1447,'Équipements'!$A$5:$A$304,0)),"Code inconnu"))</f>
        <v/>
      </c>
      <c r="D1447" s="67" t="n"/>
      <c r="E1447" s="7" t="n"/>
      <c r="F1447" s="68">
        <f>IF(OR(B1447="",A1447=""),"",IF(COUNTIFS('Relevés compteurs'!$B$5:$B$1504,B1447,'Relevés compteurs'!$A$5:$A$1504,"&lt;"&amp;A1447)=0,"",D1447-_xlfn.MAXIFS('Relevés compteurs'!$D$5:$D$1504,'Relevés compteurs'!$B$5:$B$1504,B1447,'Relevés compteurs'!$A$5:$A$1504,"&lt;"&amp;A1447)))</f>
        <v/>
      </c>
    </row>
    <row r="1448">
      <c r="A1448" s="65" t="n"/>
      <c r="B1448" s="7" t="n"/>
      <c r="C1448" s="9">
        <f>IF(B1448="","",IFERROR(INDEX('Équipements'!$B$5:$B$304,MATCH(B1448,'Équipements'!$A$5:$A$304,0)),"Code inconnu"))</f>
        <v/>
      </c>
      <c r="D1448" s="67" t="n"/>
      <c r="E1448" s="7" t="n"/>
      <c r="F1448" s="68">
        <f>IF(OR(B1448="",A1448=""),"",IF(COUNTIFS('Relevés compteurs'!$B$5:$B$1504,B1448,'Relevés compteurs'!$A$5:$A$1504,"&lt;"&amp;A1448)=0,"",D1448-_xlfn.MAXIFS('Relevés compteurs'!$D$5:$D$1504,'Relevés compteurs'!$B$5:$B$1504,B1448,'Relevés compteurs'!$A$5:$A$1504,"&lt;"&amp;A1448)))</f>
        <v/>
      </c>
    </row>
    <row r="1449">
      <c r="A1449" s="65" t="n"/>
      <c r="B1449" s="7" t="n"/>
      <c r="C1449" s="9">
        <f>IF(B1449="","",IFERROR(INDEX('Équipements'!$B$5:$B$304,MATCH(B1449,'Équipements'!$A$5:$A$304,0)),"Code inconnu"))</f>
        <v/>
      </c>
      <c r="D1449" s="67" t="n"/>
      <c r="E1449" s="7" t="n"/>
      <c r="F1449" s="68">
        <f>IF(OR(B1449="",A1449=""),"",IF(COUNTIFS('Relevés compteurs'!$B$5:$B$1504,B1449,'Relevés compteurs'!$A$5:$A$1504,"&lt;"&amp;A1449)=0,"",D1449-_xlfn.MAXIFS('Relevés compteurs'!$D$5:$D$1504,'Relevés compteurs'!$B$5:$B$1504,B1449,'Relevés compteurs'!$A$5:$A$1504,"&lt;"&amp;A1449)))</f>
        <v/>
      </c>
    </row>
    <row r="1450">
      <c r="A1450" s="65" t="n"/>
      <c r="B1450" s="7" t="n"/>
      <c r="C1450" s="9">
        <f>IF(B1450="","",IFERROR(INDEX('Équipements'!$B$5:$B$304,MATCH(B1450,'Équipements'!$A$5:$A$304,0)),"Code inconnu"))</f>
        <v/>
      </c>
      <c r="D1450" s="67" t="n"/>
      <c r="E1450" s="7" t="n"/>
      <c r="F1450" s="68">
        <f>IF(OR(B1450="",A1450=""),"",IF(COUNTIFS('Relevés compteurs'!$B$5:$B$1504,B1450,'Relevés compteurs'!$A$5:$A$1504,"&lt;"&amp;A1450)=0,"",D1450-_xlfn.MAXIFS('Relevés compteurs'!$D$5:$D$1504,'Relevés compteurs'!$B$5:$B$1504,B1450,'Relevés compteurs'!$A$5:$A$1504,"&lt;"&amp;A1450)))</f>
        <v/>
      </c>
    </row>
    <row r="1451">
      <c r="A1451" s="65" t="n"/>
      <c r="B1451" s="7" t="n"/>
      <c r="C1451" s="9">
        <f>IF(B1451="","",IFERROR(INDEX('Équipements'!$B$5:$B$304,MATCH(B1451,'Équipements'!$A$5:$A$304,0)),"Code inconnu"))</f>
        <v/>
      </c>
      <c r="D1451" s="67" t="n"/>
      <c r="E1451" s="7" t="n"/>
      <c r="F1451" s="68">
        <f>IF(OR(B1451="",A1451=""),"",IF(COUNTIFS('Relevés compteurs'!$B$5:$B$1504,B1451,'Relevés compteurs'!$A$5:$A$1504,"&lt;"&amp;A1451)=0,"",D1451-_xlfn.MAXIFS('Relevés compteurs'!$D$5:$D$1504,'Relevés compteurs'!$B$5:$B$1504,B1451,'Relevés compteurs'!$A$5:$A$1504,"&lt;"&amp;A1451)))</f>
        <v/>
      </c>
    </row>
    <row r="1452">
      <c r="A1452" s="65" t="n"/>
      <c r="B1452" s="7" t="n"/>
      <c r="C1452" s="9">
        <f>IF(B1452="","",IFERROR(INDEX('Équipements'!$B$5:$B$304,MATCH(B1452,'Équipements'!$A$5:$A$304,0)),"Code inconnu"))</f>
        <v/>
      </c>
      <c r="D1452" s="67" t="n"/>
      <c r="E1452" s="7" t="n"/>
      <c r="F1452" s="68">
        <f>IF(OR(B1452="",A1452=""),"",IF(COUNTIFS('Relevés compteurs'!$B$5:$B$1504,B1452,'Relevés compteurs'!$A$5:$A$1504,"&lt;"&amp;A1452)=0,"",D1452-_xlfn.MAXIFS('Relevés compteurs'!$D$5:$D$1504,'Relevés compteurs'!$B$5:$B$1504,B1452,'Relevés compteurs'!$A$5:$A$1504,"&lt;"&amp;A1452)))</f>
        <v/>
      </c>
    </row>
    <row r="1453">
      <c r="A1453" s="65" t="n"/>
      <c r="B1453" s="7" t="n"/>
      <c r="C1453" s="9">
        <f>IF(B1453="","",IFERROR(INDEX('Équipements'!$B$5:$B$304,MATCH(B1453,'Équipements'!$A$5:$A$304,0)),"Code inconnu"))</f>
        <v/>
      </c>
      <c r="D1453" s="67" t="n"/>
      <c r="E1453" s="7" t="n"/>
      <c r="F1453" s="68">
        <f>IF(OR(B1453="",A1453=""),"",IF(COUNTIFS('Relevés compteurs'!$B$5:$B$1504,B1453,'Relevés compteurs'!$A$5:$A$1504,"&lt;"&amp;A1453)=0,"",D1453-_xlfn.MAXIFS('Relevés compteurs'!$D$5:$D$1504,'Relevés compteurs'!$B$5:$B$1504,B1453,'Relevés compteurs'!$A$5:$A$1504,"&lt;"&amp;A1453)))</f>
        <v/>
      </c>
    </row>
    <row r="1454">
      <c r="A1454" s="65" t="n"/>
      <c r="B1454" s="7" t="n"/>
      <c r="C1454" s="9">
        <f>IF(B1454="","",IFERROR(INDEX('Équipements'!$B$5:$B$304,MATCH(B1454,'Équipements'!$A$5:$A$304,0)),"Code inconnu"))</f>
        <v/>
      </c>
      <c r="D1454" s="67" t="n"/>
      <c r="E1454" s="7" t="n"/>
      <c r="F1454" s="68">
        <f>IF(OR(B1454="",A1454=""),"",IF(COUNTIFS('Relevés compteurs'!$B$5:$B$1504,B1454,'Relevés compteurs'!$A$5:$A$1504,"&lt;"&amp;A1454)=0,"",D1454-_xlfn.MAXIFS('Relevés compteurs'!$D$5:$D$1504,'Relevés compteurs'!$B$5:$B$1504,B1454,'Relevés compteurs'!$A$5:$A$1504,"&lt;"&amp;A1454)))</f>
        <v/>
      </c>
    </row>
    <row r="1455">
      <c r="A1455" s="65" t="n"/>
      <c r="B1455" s="7" t="n"/>
      <c r="C1455" s="9">
        <f>IF(B1455="","",IFERROR(INDEX('Équipements'!$B$5:$B$304,MATCH(B1455,'Équipements'!$A$5:$A$304,0)),"Code inconnu"))</f>
        <v/>
      </c>
      <c r="D1455" s="67" t="n"/>
      <c r="E1455" s="7" t="n"/>
      <c r="F1455" s="68">
        <f>IF(OR(B1455="",A1455=""),"",IF(COUNTIFS('Relevés compteurs'!$B$5:$B$1504,B1455,'Relevés compteurs'!$A$5:$A$1504,"&lt;"&amp;A1455)=0,"",D1455-_xlfn.MAXIFS('Relevés compteurs'!$D$5:$D$1504,'Relevés compteurs'!$B$5:$B$1504,B1455,'Relevés compteurs'!$A$5:$A$1504,"&lt;"&amp;A1455)))</f>
        <v/>
      </c>
    </row>
    <row r="1456">
      <c r="A1456" s="65" t="n"/>
      <c r="B1456" s="7" t="n"/>
      <c r="C1456" s="9">
        <f>IF(B1456="","",IFERROR(INDEX('Équipements'!$B$5:$B$304,MATCH(B1456,'Équipements'!$A$5:$A$304,0)),"Code inconnu"))</f>
        <v/>
      </c>
      <c r="D1456" s="67" t="n"/>
      <c r="E1456" s="7" t="n"/>
      <c r="F1456" s="68">
        <f>IF(OR(B1456="",A1456=""),"",IF(COUNTIFS('Relevés compteurs'!$B$5:$B$1504,B1456,'Relevés compteurs'!$A$5:$A$1504,"&lt;"&amp;A1456)=0,"",D1456-_xlfn.MAXIFS('Relevés compteurs'!$D$5:$D$1504,'Relevés compteurs'!$B$5:$B$1504,B1456,'Relevés compteurs'!$A$5:$A$1504,"&lt;"&amp;A1456)))</f>
        <v/>
      </c>
    </row>
    <row r="1457">
      <c r="A1457" s="65" t="n"/>
      <c r="B1457" s="7" t="n"/>
      <c r="C1457" s="9">
        <f>IF(B1457="","",IFERROR(INDEX('Équipements'!$B$5:$B$304,MATCH(B1457,'Équipements'!$A$5:$A$304,0)),"Code inconnu"))</f>
        <v/>
      </c>
      <c r="D1457" s="67" t="n"/>
      <c r="E1457" s="7" t="n"/>
      <c r="F1457" s="68">
        <f>IF(OR(B1457="",A1457=""),"",IF(COUNTIFS('Relevés compteurs'!$B$5:$B$1504,B1457,'Relevés compteurs'!$A$5:$A$1504,"&lt;"&amp;A1457)=0,"",D1457-_xlfn.MAXIFS('Relevés compteurs'!$D$5:$D$1504,'Relevés compteurs'!$B$5:$B$1504,B1457,'Relevés compteurs'!$A$5:$A$1504,"&lt;"&amp;A1457)))</f>
        <v/>
      </c>
    </row>
    <row r="1458">
      <c r="A1458" s="65" t="n"/>
      <c r="B1458" s="7" t="n"/>
      <c r="C1458" s="9">
        <f>IF(B1458="","",IFERROR(INDEX('Équipements'!$B$5:$B$304,MATCH(B1458,'Équipements'!$A$5:$A$304,0)),"Code inconnu"))</f>
        <v/>
      </c>
      <c r="D1458" s="67" t="n"/>
      <c r="E1458" s="7" t="n"/>
      <c r="F1458" s="68">
        <f>IF(OR(B1458="",A1458=""),"",IF(COUNTIFS('Relevés compteurs'!$B$5:$B$1504,B1458,'Relevés compteurs'!$A$5:$A$1504,"&lt;"&amp;A1458)=0,"",D1458-_xlfn.MAXIFS('Relevés compteurs'!$D$5:$D$1504,'Relevés compteurs'!$B$5:$B$1504,B1458,'Relevés compteurs'!$A$5:$A$1504,"&lt;"&amp;A1458)))</f>
        <v/>
      </c>
    </row>
    <row r="1459">
      <c r="A1459" s="65" t="n"/>
      <c r="B1459" s="7" t="n"/>
      <c r="C1459" s="9">
        <f>IF(B1459="","",IFERROR(INDEX('Équipements'!$B$5:$B$304,MATCH(B1459,'Équipements'!$A$5:$A$304,0)),"Code inconnu"))</f>
        <v/>
      </c>
      <c r="D1459" s="67" t="n"/>
      <c r="E1459" s="7" t="n"/>
      <c r="F1459" s="68">
        <f>IF(OR(B1459="",A1459=""),"",IF(COUNTIFS('Relevés compteurs'!$B$5:$B$1504,B1459,'Relevés compteurs'!$A$5:$A$1504,"&lt;"&amp;A1459)=0,"",D1459-_xlfn.MAXIFS('Relevés compteurs'!$D$5:$D$1504,'Relevés compteurs'!$B$5:$B$1504,B1459,'Relevés compteurs'!$A$5:$A$1504,"&lt;"&amp;A1459)))</f>
        <v/>
      </c>
    </row>
    <row r="1460">
      <c r="A1460" s="65" t="n"/>
      <c r="B1460" s="7" t="n"/>
      <c r="C1460" s="9">
        <f>IF(B1460="","",IFERROR(INDEX('Équipements'!$B$5:$B$304,MATCH(B1460,'Équipements'!$A$5:$A$304,0)),"Code inconnu"))</f>
        <v/>
      </c>
      <c r="D1460" s="67" t="n"/>
      <c r="E1460" s="7" t="n"/>
      <c r="F1460" s="68">
        <f>IF(OR(B1460="",A1460=""),"",IF(COUNTIFS('Relevés compteurs'!$B$5:$B$1504,B1460,'Relevés compteurs'!$A$5:$A$1504,"&lt;"&amp;A1460)=0,"",D1460-_xlfn.MAXIFS('Relevés compteurs'!$D$5:$D$1504,'Relevés compteurs'!$B$5:$B$1504,B1460,'Relevés compteurs'!$A$5:$A$1504,"&lt;"&amp;A1460)))</f>
        <v/>
      </c>
    </row>
    <row r="1461">
      <c r="A1461" s="65" t="n"/>
      <c r="B1461" s="7" t="n"/>
      <c r="C1461" s="9">
        <f>IF(B1461="","",IFERROR(INDEX('Équipements'!$B$5:$B$304,MATCH(B1461,'Équipements'!$A$5:$A$304,0)),"Code inconnu"))</f>
        <v/>
      </c>
      <c r="D1461" s="67" t="n"/>
      <c r="E1461" s="7" t="n"/>
      <c r="F1461" s="68">
        <f>IF(OR(B1461="",A1461=""),"",IF(COUNTIFS('Relevés compteurs'!$B$5:$B$1504,B1461,'Relevés compteurs'!$A$5:$A$1504,"&lt;"&amp;A1461)=0,"",D1461-_xlfn.MAXIFS('Relevés compteurs'!$D$5:$D$1504,'Relevés compteurs'!$B$5:$B$1504,B1461,'Relevés compteurs'!$A$5:$A$1504,"&lt;"&amp;A1461)))</f>
        <v/>
      </c>
    </row>
    <row r="1462">
      <c r="A1462" s="65" t="n"/>
      <c r="B1462" s="7" t="n"/>
      <c r="C1462" s="9">
        <f>IF(B1462="","",IFERROR(INDEX('Équipements'!$B$5:$B$304,MATCH(B1462,'Équipements'!$A$5:$A$304,0)),"Code inconnu"))</f>
        <v/>
      </c>
      <c r="D1462" s="67" t="n"/>
      <c r="E1462" s="7" t="n"/>
      <c r="F1462" s="68">
        <f>IF(OR(B1462="",A1462=""),"",IF(COUNTIFS('Relevés compteurs'!$B$5:$B$1504,B1462,'Relevés compteurs'!$A$5:$A$1504,"&lt;"&amp;A1462)=0,"",D1462-_xlfn.MAXIFS('Relevés compteurs'!$D$5:$D$1504,'Relevés compteurs'!$B$5:$B$1504,B1462,'Relevés compteurs'!$A$5:$A$1504,"&lt;"&amp;A1462)))</f>
        <v/>
      </c>
    </row>
    <row r="1463">
      <c r="A1463" s="65" t="n"/>
      <c r="B1463" s="7" t="n"/>
      <c r="C1463" s="9">
        <f>IF(B1463="","",IFERROR(INDEX('Équipements'!$B$5:$B$304,MATCH(B1463,'Équipements'!$A$5:$A$304,0)),"Code inconnu"))</f>
        <v/>
      </c>
      <c r="D1463" s="67" t="n"/>
      <c r="E1463" s="7" t="n"/>
      <c r="F1463" s="68">
        <f>IF(OR(B1463="",A1463=""),"",IF(COUNTIFS('Relevés compteurs'!$B$5:$B$1504,B1463,'Relevés compteurs'!$A$5:$A$1504,"&lt;"&amp;A1463)=0,"",D1463-_xlfn.MAXIFS('Relevés compteurs'!$D$5:$D$1504,'Relevés compteurs'!$B$5:$B$1504,B1463,'Relevés compteurs'!$A$5:$A$1504,"&lt;"&amp;A1463)))</f>
        <v/>
      </c>
    </row>
    <row r="1464">
      <c r="A1464" s="65" t="n"/>
      <c r="B1464" s="7" t="n"/>
      <c r="C1464" s="9">
        <f>IF(B1464="","",IFERROR(INDEX('Équipements'!$B$5:$B$304,MATCH(B1464,'Équipements'!$A$5:$A$304,0)),"Code inconnu"))</f>
        <v/>
      </c>
      <c r="D1464" s="67" t="n"/>
      <c r="E1464" s="7" t="n"/>
      <c r="F1464" s="68">
        <f>IF(OR(B1464="",A1464=""),"",IF(COUNTIFS('Relevés compteurs'!$B$5:$B$1504,B1464,'Relevés compteurs'!$A$5:$A$1504,"&lt;"&amp;A1464)=0,"",D1464-_xlfn.MAXIFS('Relevés compteurs'!$D$5:$D$1504,'Relevés compteurs'!$B$5:$B$1504,B1464,'Relevés compteurs'!$A$5:$A$1504,"&lt;"&amp;A1464)))</f>
        <v/>
      </c>
    </row>
    <row r="1465">
      <c r="A1465" s="65" t="n"/>
      <c r="B1465" s="7" t="n"/>
      <c r="C1465" s="9">
        <f>IF(B1465="","",IFERROR(INDEX('Équipements'!$B$5:$B$304,MATCH(B1465,'Équipements'!$A$5:$A$304,0)),"Code inconnu"))</f>
        <v/>
      </c>
      <c r="D1465" s="67" t="n"/>
      <c r="E1465" s="7" t="n"/>
      <c r="F1465" s="68">
        <f>IF(OR(B1465="",A1465=""),"",IF(COUNTIFS('Relevés compteurs'!$B$5:$B$1504,B1465,'Relevés compteurs'!$A$5:$A$1504,"&lt;"&amp;A1465)=0,"",D1465-_xlfn.MAXIFS('Relevés compteurs'!$D$5:$D$1504,'Relevés compteurs'!$B$5:$B$1504,B1465,'Relevés compteurs'!$A$5:$A$1504,"&lt;"&amp;A1465)))</f>
        <v/>
      </c>
    </row>
    <row r="1466">
      <c r="A1466" s="65" t="n"/>
      <c r="B1466" s="7" t="n"/>
      <c r="C1466" s="9">
        <f>IF(B1466="","",IFERROR(INDEX('Équipements'!$B$5:$B$304,MATCH(B1466,'Équipements'!$A$5:$A$304,0)),"Code inconnu"))</f>
        <v/>
      </c>
      <c r="D1466" s="67" t="n"/>
      <c r="E1466" s="7" t="n"/>
      <c r="F1466" s="68">
        <f>IF(OR(B1466="",A1466=""),"",IF(COUNTIFS('Relevés compteurs'!$B$5:$B$1504,B1466,'Relevés compteurs'!$A$5:$A$1504,"&lt;"&amp;A1466)=0,"",D1466-_xlfn.MAXIFS('Relevés compteurs'!$D$5:$D$1504,'Relevés compteurs'!$B$5:$B$1504,B1466,'Relevés compteurs'!$A$5:$A$1504,"&lt;"&amp;A1466)))</f>
        <v/>
      </c>
    </row>
    <row r="1467">
      <c r="A1467" s="65" t="n"/>
      <c r="B1467" s="7" t="n"/>
      <c r="C1467" s="9">
        <f>IF(B1467="","",IFERROR(INDEX('Équipements'!$B$5:$B$304,MATCH(B1467,'Équipements'!$A$5:$A$304,0)),"Code inconnu"))</f>
        <v/>
      </c>
      <c r="D1467" s="67" t="n"/>
      <c r="E1467" s="7" t="n"/>
      <c r="F1467" s="68">
        <f>IF(OR(B1467="",A1467=""),"",IF(COUNTIFS('Relevés compteurs'!$B$5:$B$1504,B1467,'Relevés compteurs'!$A$5:$A$1504,"&lt;"&amp;A1467)=0,"",D1467-_xlfn.MAXIFS('Relevés compteurs'!$D$5:$D$1504,'Relevés compteurs'!$B$5:$B$1504,B1467,'Relevés compteurs'!$A$5:$A$1504,"&lt;"&amp;A1467)))</f>
        <v/>
      </c>
    </row>
    <row r="1468">
      <c r="A1468" s="65" t="n"/>
      <c r="B1468" s="7" t="n"/>
      <c r="C1468" s="9">
        <f>IF(B1468="","",IFERROR(INDEX('Équipements'!$B$5:$B$304,MATCH(B1468,'Équipements'!$A$5:$A$304,0)),"Code inconnu"))</f>
        <v/>
      </c>
      <c r="D1468" s="67" t="n"/>
      <c r="E1468" s="7" t="n"/>
      <c r="F1468" s="68">
        <f>IF(OR(B1468="",A1468=""),"",IF(COUNTIFS('Relevés compteurs'!$B$5:$B$1504,B1468,'Relevés compteurs'!$A$5:$A$1504,"&lt;"&amp;A1468)=0,"",D1468-_xlfn.MAXIFS('Relevés compteurs'!$D$5:$D$1504,'Relevés compteurs'!$B$5:$B$1504,B1468,'Relevés compteurs'!$A$5:$A$1504,"&lt;"&amp;A1468)))</f>
        <v/>
      </c>
    </row>
    <row r="1469">
      <c r="A1469" s="65" t="n"/>
      <c r="B1469" s="7" t="n"/>
      <c r="C1469" s="9">
        <f>IF(B1469="","",IFERROR(INDEX('Équipements'!$B$5:$B$304,MATCH(B1469,'Équipements'!$A$5:$A$304,0)),"Code inconnu"))</f>
        <v/>
      </c>
      <c r="D1469" s="67" t="n"/>
      <c r="E1469" s="7" t="n"/>
      <c r="F1469" s="68">
        <f>IF(OR(B1469="",A1469=""),"",IF(COUNTIFS('Relevés compteurs'!$B$5:$B$1504,B1469,'Relevés compteurs'!$A$5:$A$1504,"&lt;"&amp;A1469)=0,"",D1469-_xlfn.MAXIFS('Relevés compteurs'!$D$5:$D$1504,'Relevés compteurs'!$B$5:$B$1504,B1469,'Relevés compteurs'!$A$5:$A$1504,"&lt;"&amp;A1469)))</f>
        <v/>
      </c>
    </row>
    <row r="1470">
      <c r="A1470" s="65" t="n"/>
      <c r="B1470" s="7" t="n"/>
      <c r="C1470" s="9">
        <f>IF(B1470="","",IFERROR(INDEX('Équipements'!$B$5:$B$304,MATCH(B1470,'Équipements'!$A$5:$A$304,0)),"Code inconnu"))</f>
        <v/>
      </c>
      <c r="D1470" s="67" t="n"/>
      <c r="E1470" s="7" t="n"/>
      <c r="F1470" s="68">
        <f>IF(OR(B1470="",A1470=""),"",IF(COUNTIFS('Relevés compteurs'!$B$5:$B$1504,B1470,'Relevés compteurs'!$A$5:$A$1504,"&lt;"&amp;A1470)=0,"",D1470-_xlfn.MAXIFS('Relevés compteurs'!$D$5:$D$1504,'Relevés compteurs'!$B$5:$B$1504,B1470,'Relevés compteurs'!$A$5:$A$1504,"&lt;"&amp;A1470)))</f>
        <v/>
      </c>
    </row>
    <row r="1471">
      <c r="A1471" s="65" t="n"/>
      <c r="B1471" s="7" t="n"/>
      <c r="C1471" s="9">
        <f>IF(B1471="","",IFERROR(INDEX('Équipements'!$B$5:$B$304,MATCH(B1471,'Équipements'!$A$5:$A$304,0)),"Code inconnu"))</f>
        <v/>
      </c>
      <c r="D1471" s="67" t="n"/>
      <c r="E1471" s="7" t="n"/>
      <c r="F1471" s="68">
        <f>IF(OR(B1471="",A1471=""),"",IF(COUNTIFS('Relevés compteurs'!$B$5:$B$1504,B1471,'Relevés compteurs'!$A$5:$A$1504,"&lt;"&amp;A1471)=0,"",D1471-_xlfn.MAXIFS('Relevés compteurs'!$D$5:$D$1504,'Relevés compteurs'!$B$5:$B$1504,B1471,'Relevés compteurs'!$A$5:$A$1504,"&lt;"&amp;A1471)))</f>
        <v/>
      </c>
    </row>
    <row r="1472">
      <c r="A1472" s="65" t="n"/>
      <c r="B1472" s="7" t="n"/>
      <c r="C1472" s="9">
        <f>IF(B1472="","",IFERROR(INDEX('Équipements'!$B$5:$B$304,MATCH(B1472,'Équipements'!$A$5:$A$304,0)),"Code inconnu"))</f>
        <v/>
      </c>
      <c r="D1472" s="67" t="n"/>
      <c r="E1472" s="7" t="n"/>
      <c r="F1472" s="68">
        <f>IF(OR(B1472="",A1472=""),"",IF(COUNTIFS('Relevés compteurs'!$B$5:$B$1504,B1472,'Relevés compteurs'!$A$5:$A$1504,"&lt;"&amp;A1472)=0,"",D1472-_xlfn.MAXIFS('Relevés compteurs'!$D$5:$D$1504,'Relevés compteurs'!$B$5:$B$1504,B1472,'Relevés compteurs'!$A$5:$A$1504,"&lt;"&amp;A1472)))</f>
        <v/>
      </c>
    </row>
    <row r="1473">
      <c r="A1473" s="65" t="n"/>
      <c r="B1473" s="7" t="n"/>
      <c r="C1473" s="9">
        <f>IF(B1473="","",IFERROR(INDEX('Équipements'!$B$5:$B$304,MATCH(B1473,'Équipements'!$A$5:$A$304,0)),"Code inconnu"))</f>
        <v/>
      </c>
      <c r="D1473" s="67" t="n"/>
      <c r="E1473" s="7" t="n"/>
      <c r="F1473" s="68">
        <f>IF(OR(B1473="",A1473=""),"",IF(COUNTIFS('Relevés compteurs'!$B$5:$B$1504,B1473,'Relevés compteurs'!$A$5:$A$1504,"&lt;"&amp;A1473)=0,"",D1473-_xlfn.MAXIFS('Relevés compteurs'!$D$5:$D$1504,'Relevés compteurs'!$B$5:$B$1504,B1473,'Relevés compteurs'!$A$5:$A$1504,"&lt;"&amp;A1473)))</f>
        <v/>
      </c>
    </row>
    <row r="1474">
      <c r="A1474" s="65" t="n"/>
      <c r="B1474" s="7" t="n"/>
      <c r="C1474" s="9">
        <f>IF(B1474="","",IFERROR(INDEX('Équipements'!$B$5:$B$304,MATCH(B1474,'Équipements'!$A$5:$A$304,0)),"Code inconnu"))</f>
        <v/>
      </c>
      <c r="D1474" s="67" t="n"/>
      <c r="E1474" s="7" t="n"/>
      <c r="F1474" s="68">
        <f>IF(OR(B1474="",A1474=""),"",IF(COUNTIFS('Relevés compteurs'!$B$5:$B$1504,B1474,'Relevés compteurs'!$A$5:$A$1504,"&lt;"&amp;A1474)=0,"",D1474-_xlfn.MAXIFS('Relevés compteurs'!$D$5:$D$1504,'Relevés compteurs'!$B$5:$B$1504,B1474,'Relevés compteurs'!$A$5:$A$1504,"&lt;"&amp;A1474)))</f>
        <v/>
      </c>
    </row>
    <row r="1475">
      <c r="A1475" s="65" t="n"/>
      <c r="B1475" s="7" t="n"/>
      <c r="C1475" s="9">
        <f>IF(B1475="","",IFERROR(INDEX('Équipements'!$B$5:$B$304,MATCH(B1475,'Équipements'!$A$5:$A$304,0)),"Code inconnu"))</f>
        <v/>
      </c>
      <c r="D1475" s="67" t="n"/>
      <c r="E1475" s="7" t="n"/>
      <c r="F1475" s="68">
        <f>IF(OR(B1475="",A1475=""),"",IF(COUNTIFS('Relevés compteurs'!$B$5:$B$1504,B1475,'Relevés compteurs'!$A$5:$A$1504,"&lt;"&amp;A1475)=0,"",D1475-_xlfn.MAXIFS('Relevés compteurs'!$D$5:$D$1504,'Relevés compteurs'!$B$5:$B$1504,B1475,'Relevés compteurs'!$A$5:$A$1504,"&lt;"&amp;A1475)))</f>
        <v/>
      </c>
    </row>
    <row r="1476">
      <c r="A1476" s="65" t="n"/>
      <c r="B1476" s="7" t="n"/>
      <c r="C1476" s="9">
        <f>IF(B1476="","",IFERROR(INDEX('Équipements'!$B$5:$B$304,MATCH(B1476,'Équipements'!$A$5:$A$304,0)),"Code inconnu"))</f>
        <v/>
      </c>
      <c r="D1476" s="67" t="n"/>
      <c r="E1476" s="7" t="n"/>
      <c r="F1476" s="68">
        <f>IF(OR(B1476="",A1476=""),"",IF(COUNTIFS('Relevés compteurs'!$B$5:$B$1504,B1476,'Relevés compteurs'!$A$5:$A$1504,"&lt;"&amp;A1476)=0,"",D1476-_xlfn.MAXIFS('Relevés compteurs'!$D$5:$D$1504,'Relevés compteurs'!$B$5:$B$1504,B1476,'Relevés compteurs'!$A$5:$A$1504,"&lt;"&amp;A1476)))</f>
        <v/>
      </c>
    </row>
    <row r="1477">
      <c r="A1477" s="65" t="n"/>
      <c r="B1477" s="7" t="n"/>
      <c r="C1477" s="9">
        <f>IF(B1477="","",IFERROR(INDEX('Équipements'!$B$5:$B$304,MATCH(B1477,'Équipements'!$A$5:$A$304,0)),"Code inconnu"))</f>
        <v/>
      </c>
      <c r="D1477" s="67" t="n"/>
      <c r="E1477" s="7" t="n"/>
      <c r="F1477" s="68">
        <f>IF(OR(B1477="",A1477=""),"",IF(COUNTIFS('Relevés compteurs'!$B$5:$B$1504,B1477,'Relevés compteurs'!$A$5:$A$1504,"&lt;"&amp;A1477)=0,"",D1477-_xlfn.MAXIFS('Relevés compteurs'!$D$5:$D$1504,'Relevés compteurs'!$B$5:$B$1504,B1477,'Relevés compteurs'!$A$5:$A$1504,"&lt;"&amp;A1477)))</f>
        <v/>
      </c>
    </row>
    <row r="1478">
      <c r="A1478" s="65" t="n"/>
      <c r="B1478" s="7" t="n"/>
      <c r="C1478" s="9">
        <f>IF(B1478="","",IFERROR(INDEX('Équipements'!$B$5:$B$304,MATCH(B1478,'Équipements'!$A$5:$A$304,0)),"Code inconnu"))</f>
        <v/>
      </c>
      <c r="D1478" s="67" t="n"/>
      <c r="E1478" s="7" t="n"/>
      <c r="F1478" s="68">
        <f>IF(OR(B1478="",A1478=""),"",IF(COUNTIFS('Relevés compteurs'!$B$5:$B$1504,B1478,'Relevés compteurs'!$A$5:$A$1504,"&lt;"&amp;A1478)=0,"",D1478-_xlfn.MAXIFS('Relevés compteurs'!$D$5:$D$1504,'Relevés compteurs'!$B$5:$B$1504,B1478,'Relevés compteurs'!$A$5:$A$1504,"&lt;"&amp;A1478)))</f>
        <v/>
      </c>
    </row>
    <row r="1479">
      <c r="A1479" s="65" t="n"/>
      <c r="B1479" s="7" t="n"/>
      <c r="C1479" s="9">
        <f>IF(B1479="","",IFERROR(INDEX('Équipements'!$B$5:$B$304,MATCH(B1479,'Équipements'!$A$5:$A$304,0)),"Code inconnu"))</f>
        <v/>
      </c>
      <c r="D1479" s="67" t="n"/>
      <c r="E1479" s="7" t="n"/>
      <c r="F1479" s="68">
        <f>IF(OR(B1479="",A1479=""),"",IF(COUNTIFS('Relevés compteurs'!$B$5:$B$1504,B1479,'Relevés compteurs'!$A$5:$A$1504,"&lt;"&amp;A1479)=0,"",D1479-_xlfn.MAXIFS('Relevés compteurs'!$D$5:$D$1504,'Relevés compteurs'!$B$5:$B$1504,B1479,'Relevés compteurs'!$A$5:$A$1504,"&lt;"&amp;A1479)))</f>
        <v/>
      </c>
    </row>
    <row r="1480">
      <c r="A1480" s="65" t="n"/>
      <c r="B1480" s="7" t="n"/>
      <c r="C1480" s="9">
        <f>IF(B1480="","",IFERROR(INDEX('Équipements'!$B$5:$B$304,MATCH(B1480,'Équipements'!$A$5:$A$304,0)),"Code inconnu"))</f>
        <v/>
      </c>
      <c r="D1480" s="67" t="n"/>
      <c r="E1480" s="7" t="n"/>
      <c r="F1480" s="68">
        <f>IF(OR(B1480="",A1480=""),"",IF(COUNTIFS('Relevés compteurs'!$B$5:$B$1504,B1480,'Relevés compteurs'!$A$5:$A$1504,"&lt;"&amp;A1480)=0,"",D1480-_xlfn.MAXIFS('Relevés compteurs'!$D$5:$D$1504,'Relevés compteurs'!$B$5:$B$1504,B1480,'Relevés compteurs'!$A$5:$A$1504,"&lt;"&amp;A1480)))</f>
        <v/>
      </c>
    </row>
    <row r="1481">
      <c r="A1481" s="65" t="n"/>
      <c r="B1481" s="7" t="n"/>
      <c r="C1481" s="9">
        <f>IF(B1481="","",IFERROR(INDEX('Équipements'!$B$5:$B$304,MATCH(B1481,'Équipements'!$A$5:$A$304,0)),"Code inconnu"))</f>
        <v/>
      </c>
      <c r="D1481" s="67" t="n"/>
      <c r="E1481" s="7" t="n"/>
      <c r="F1481" s="68">
        <f>IF(OR(B1481="",A1481=""),"",IF(COUNTIFS('Relevés compteurs'!$B$5:$B$1504,B1481,'Relevés compteurs'!$A$5:$A$1504,"&lt;"&amp;A1481)=0,"",D1481-_xlfn.MAXIFS('Relevés compteurs'!$D$5:$D$1504,'Relevés compteurs'!$B$5:$B$1504,B1481,'Relevés compteurs'!$A$5:$A$1504,"&lt;"&amp;A1481)))</f>
        <v/>
      </c>
    </row>
    <row r="1482">
      <c r="A1482" s="65" t="n"/>
      <c r="B1482" s="7" t="n"/>
      <c r="C1482" s="9">
        <f>IF(B1482="","",IFERROR(INDEX('Équipements'!$B$5:$B$304,MATCH(B1482,'Équipements'!$A$5:$A$304,0)),"Code inconnu"))</f>
        <v/>
      </c>
      <c r="D1482" s="67" t="n"/>
      <c r="E1482" s="7" t="n"/>
      <c r="F1482" s="68">
        <f>IF(OR(B1482="",A1482=""),"",IF(COUNTIFS('Relevés compteurs'!$B$5:$B$1504,B1482,'Relevés compteurs'!$A$5:$A$1504,"&lt;"&amp;A1482)=0,"",D1482-_xlfn.MAXIFS('Relevés compteurs'!$D$5:$D$1504,'Relevés compteurs'!$B$5:$B$1504,B1482,'Relevés compteurs'!$A$5:$A$1504,"&lt;"&amp;A1482)))</f>
        <v/>
      </c>
    </row>
    <row r="1483">
      <c r="A1483" s="65" t="n"/>
      <c r="B1483" s="7" t="n"/>
      <c r="C1483" s="9">
        <f>IF(B1483="","",IFERROR(INDEX('Équipements'!$B$5:$B$304,MATCH(B1483,'Équipements'!$A$5:$A$304,0)),"Code inconnu"))</f>
        <v/>
      </c>
      <c r="D1483" s="67" t="n"/>
      <c r="E1483" s="7" t="n"/>
      <c r="F1483" s="68">
        <f>IF(OR(B1483="",A1483=""),"",IF(COUNTIFS('Relevés compteurs'!$B$5:$B$1504,B1483,'Relevés compteurs'!$A$5:$A$1504,"&lt;"&amp;A1483)=0,"",D1483-_xlfn.MAXIFS('Relevés compteurs'!$D$5:$D$1504,'Relevés compteurs'!$B$5:$B$1504,B1483,'Relevés compteurs'!$A$5:$A$1504,"&lt;"&amp;A1483)))</f>
        <v/>
      </c>
    </row>
    <row r="1484">
      <c r="A1484" s="65" t="n"/>
      <c r="B1484" s="7" t="n"/>
      <c r="C1484" s="9">
        <f>IF(B1484="","",IFERROR(INDEX('Équipements'!$B$5:$B$304,MATCH(B1484,'Équipements'!$A$5:$A$304,0)),"Code inconnu"))</f>
        <v/>
      </c>
      <c r="D1484" s="67" t="n"/>
      <c r="E1484" s="7" t="n"/>
      <c r="F1484" s="68">
        <f>IF(OR(B1484="",A1484=""),"",IF(COUNTIFS('Relevés compteurs'!$B$5:$B$1504,B1484,'Relevés compteurs'!$A$5:$A$1504,"&lt;"&amp;A1484)=0,"",D1484-_xlfn.MAXIFS('Relevés compteurs'!$D$5:$D$1504,'Relevés compteurs'!$B$5:$B$1504,B1484,'Relevés compteurs'!$A$5:$A$1504,"&lt;"&amp;A1484)))</f>
        <v/>
      </c>
    </row>
    <row r="1485">
      <c r="A1485" s="65" t="n"/>
      <c r="B1485" s="7" t="n"/>
      <c r="C1485" s="9">
        <f>IF(B1485="","",IFERROR(INDEX('Équipements'!$B$5:$B$304,MATCH(B1485,'Équipements'!$A$5:$A$304,0)),"Code inconnu"))</f>
        <v/>
      </c>
      <c r="D1485" s="67" t="n"/>
      <c r="E1485" s="7" t="n"/>
      <c r="F1485" s="68">
        <f>IF(OR(B1485="",A1485=""),"",IF(COUNTIFS('Relevés compteurs'!$B$5:$B$1504,B1485,'Relevés compteurs'!$A$5:$A$1504,"&lt;"&amp;A1485)=0,"",D1485-_xlfn.MAXIFS('Relevés compteurs'!$D$5:$D$1504,'Relevés compteurs'!$B$5:$B$1504,B1485,'Relevés compteurs'!$A$5:$A$1504,"&lt;"&amp;A1485)))</f>
        <v/>
      </c>
    </row>
    <row r="1486">
      <c r="A1486" s="65" t="n"/>
      <c r="B1486" s="7" t="n"/>
      <c r="C1486" s="9">
        <f>IF(B1486="","",IFERROR(INDEX('Équipements'!$B$5:$B$304,MATCH(B1486,'Équipements'!$A$5:$A$304,0)),"Code inconnu"))</f>
        <v/>
      </c>
      <c r="D1486" s="67" t="n"/>
      <c r="E1486" s="7" t="n"/>
      <c r="F1486" s="68">
        <f>IF(OR(B1486="",A1486=""),"",IF(COUNTIFS('Relevés compteurs'!$B$5:$B$1504,B1486,'Relevés compteurs'!$A$5:$A$1504,"&lt;"&amp;A1486)=0,"",D1486-_xlfn.MAXIFS('Relevés compteurs'!$D$5:$D$1504,'Relevés compteurs'!$B$5:$B$1504,B1486,'Relevés compteurs'!$A$5:$A$1504,"&lt;"&amp;A1486)))</f>
        <v/>
      </c>
    </row>
    <row r="1487">
      <c r="A1487" s="65" t="n"/>
      <c r="B1487" s="7" t="n"/>
      <c r="C1487" s="9">
        <f>IF(B1487="","",IFERROR(INDEX('Équipements'!$B$5:$B$304,MATCH(B1487,'Équipements'!$A$5:$A$304,0)),"Code inconnu"))</f>
        <v/>
      </c>
      <c r="D1487" s="67" t="n"/>
      <c r="E1487" s="7" t="n"/>
      <c r="F1487" s="68">
        <f>IF(OR(B1487="",A1487=""),"",IF(COUNTIFS('Relevés compteurs'!$B$5:$B$1504,B1487,'Relevés compteurs'!$A$5:$A$1504,"&lt;"&amp;A1487)=0,"",D1487-_xlfn.MAXIFS('Relevés compteurs'!$D$5:$D$1504,'Relevés compteurs'!$B$5:$B$1504,B1487,'Relevés compteurs'!$A$5:$A$1504,"&lt;"&amp;A1487)))</f>
        <v/>
      </c>
    </row>
    <row r="1488">
      <c r="A1488" s="65" t="n"/>
      <c r="B1488" s="7" t="n"/>
      <c r="C1488" s="9">
        <f>IF(B1488="","",IFERROR(INDEX('Équipements'!$B$5:$B$304,MATCH(B1488,'Équipements'!$A$5:$A$304,0)),"Code inconnu"))</f>
        <v/>
      </c>
      <c r="D1488" s="67" t="n"/>
      <c r="E1488" s="7" t="n"/>
      <c r="F1488" s="68">
        <f>IF(OR(B1488="",A1488=""),"",IF(COUNTIFS('Relevés compteurs'!$B$5:$B$1504,B1488,'Relevés compteurs'!$A$5:$A$1504,"&lt;"&amp;A1488)=0,"",D1488-_xlfn.MAXIFS('Relevés compteurs'!$D$5:$D$1504,'Relevés compteurs'!$B$5:$B$1504,B1488,'Relevés compteurs'!$A$5:$A$1504,"&lt;"&amp;A1488)))</f>
        <v/>
      </c>
    </row>
    <row r="1489">
      <c r="A1489" s="65" t="n"/>
      <c r="B1489" s="7" t="n"/>
      <c r="C1489" s="9">
        <f>IF(B1489="","",IFERROR(INDEX('Équipements'!$B$5:$B$304,MATCH(B1489,'Équipements'!$A$5:$A$304,0)),"Code inconnu"))</f>
        <v/>
      </c>
      <c r="D1489" s="67" t="n"/>
      <c r="E1489" s="7" t="n"/>
      <c r="F1489" s="68">
        <f>IF(OR(B1489="",A1489=""),"",IF(COUNTIFS('Relevés compteurs'!$B$5:$B$1504,B1489,'Relevés compteurs'!$A$5:$A$1504,"&lt;"&amp;A1489)=0,"",D1489-_xlfn.MAXIFS('Relevés compteurs'!$D$5:$D$1504,'Relevés compteurs'!$B$5:$B$1504,B1489,'Relevés compteurs'!$A$5:$A$1504,"&lt;"&amp;A1489)))</f>
        <v/>
      </c>
    </row>
    <row r="1490">
      <c r="A1490" s="65" t="n"/>
      <c r="B1490" s="7" t="n"/>
      <c r="C1490" s="9">
        <f>IF(B1490="","",IFERROR(INDEX('Équipements'!$B$5:$B$304,MATCH(B1490,'Équipements'!$A$5:$A$304,0)),"Code inconnu"))</f>
        <v/>
      </c>
      <c r="D1490" s="67" t="n"/>
      <c r="E1490" s="7" t="n"/>
      <c r="F1490" s="68">
        <f>IF(OR(B1490="",A1490=""),"",IF(COUNTIFS('Relevés compteurs'!$B$5:$B$1504,B1490,'Relevés compteurs'!$A$5:$A$1504,"&lt;"&amp;A1490)=0,"",D1490-_xlfn.MAXIFS('Relevés compteurs'!$D$5:$D$1504,'Relevés compteurs'!$B$5:$B$1504,B1490,'Relevés compteurs'!$A$5:$A$1504,"&lt;"&amp;A1490)))</f>
        <v/>
      </c>
    </row>
    <row r="1491">
      <c r="A1491" s="65" t="n"/>
      <c r="B1491" s="7" t="n"/>
      <c r="C1491" s="9">
        <f>IF(B1491="","",IFERROR(INDEX('Équipements'!$B$5:$B$304,MATCH(B1491,'Équipements'!$A$5:$A$304,0)),"Code inconnu"))</f>
        <v/>
      </c>
      <c r="D1491" s="67" t="n"/>
      <c r="E1491" s="7" t="n"/>
      <c r="F1491" s="68">
        <f>IF(OR(B1491="",A1491=""),"",IF(COUNTIFS('Relevés compteurs'!$B$5:$B$1504,B1491,'Relevés compteurs'!$A$5:$A$1504,"&lt;"&amp;A1491)=0,"",D1491-_xlfn.MAXIFS('Relevés compteurs'!$D$5:$D$1504,'Relevés compteurs'!$B$5:$B$1504,B1491,'Relevés compteurs'!$A$5:$A$1504,"&lt;"&amp;A1491)))</f>
        <v/>
      </c>
    </row>
    <row r="1492">
      <c r="A1492" s="65" t="n"/>
      <c r="B1492" s="7" t="n"/>
      <c r="C1492" s="9">
        <f>IF(B1492="","",IFERROR(INDEX('Équipements'!$B$5:$B$304,MATCH(B1492,'Équipements'!$A$5:$A$304,0)),"Code inconnu"))</f>
        <v/>
      </c>
      <c r="D1492" s="67" t="n"/>
      <c r="E1492" s="7" t="n"/>
      <c r="F1492" s="68">
        <f>IF(OR(B1492="",A1492=""),"",IF(COUNTIFS('Relevés compteurs'!$B$5:$B$1504,B1492,'Relevés compteurs'!$A$5:$A$1504,"&lt;"&amp;A1492)=0,"",D1492-_xlfn.MAXIFS('Relevés compteurs'!$D$5:$D$1504,'Relevés compteurs'!$B$5:$B$1504,B1492,'Relevés compteurs'!$A$5:$A$1504,"&lt;"&amp;A1492)))</f>
        <v/>
      </c>
    </row>
    <row r="1493">
      <c r="A1493" s="65" t="n"/>
      <c r="B1493" s="7" t="n"/>
      <c r="C1493" s="9">
        <f>IF(B1493="","",IFERROR(INDEX('Équipements'!$B$5:$B$304,MATCH(B1493,'Équipements'!$A$5:$A$304,0)),"Code inconnu"))</f>
        <v/>
      </c>
      <c r="D1493" s="67" t="n"/>
      <c r="E1493" s="7" t="n"/>
      <c r="F1493" s="68">
        <f>IF(OR(B1493="",A1493=""),"",IF(COUNTIFS('Relevés compteurs'!$B$5:$B$1504,B1493,'Relevés compteurs'!$A$5:$A$1504,"&lt;"&amp;A1493)=0,"",D1493-_xlfn.MAXIFS('Relevés compteurs'!$D$5:$D$1504,'Relevés compteurs'!$B$5:$B$1504,B1493,'Relevés compteurs'!$A$5:$A$1504,"&lt;"&amp;A1493)))</f>
        <v/>
      </c>
    </row>
    <row r="1494">
      <c r="A1494" s="65" t="n"/>
      <c r="B1494" s="7" t="n"/>
      <c r="C1494" s="9">
        <f>IF(B1494="","",IFERROR(INDEX('Équipements'!$B$5:$B$304,MATCH(B1494,'Équipements'!$A$5:$A$304,0)),"Code inconnu"))</f>
        <v/>
      </c>
      <c r="D1494" s="67" t="n"/>
      <c r="E1494" s="7" t="n"/>
      <c r="F1494" s="68">
        <f>IF(OR(B1494="",A1494=""),"",IF(COUNTIFS('Relevés compteurs'!$B$5:$B$1504,B1494,'Relevés compteurs'!$A$5:$A$1504,"&lt;"&amp;A1494)=0,"",D1494-_xlfn.MAXIFS('Relevés compteurs'!$D$5:$D$1504,'Relevés compteurs'!$B$5:$B$1504,B1494,'Relevés compteurs'!$A$5:$A$1504,"&lt;"&amp;A1494)))</f>
        <v/>
      </c>
    </row>
    <row r="1495">
      <c r="A1495" s="65" t="n"/>
      <c r="B1495" s="7" t="n"/>
      <c r="C1495" s="9">
        <f>IF(B1495="","",IFERROR(INDEX('Équipements'!$B$5:$B$304,MATCH(B1495,'Équipements'!$A$5:$A$304,0)),"Code inconnu"))</f>
        <v/>
      </c>
      <c r="D1495" s="67" t="n"/>
      <c r="E1495" s="7" t="n"/>
      <c r="F1495" s="68">
        <f>IF(OR(B1495="",A1495=""),"",IF(COUNTIFS('Relevés compteurs'!$B$5:$B$1504,B1495,'Relevés compteurs'!$A$5:$A$1504,"&lt;"&amp;A1495)=0,"",D1495-_xlfn.MAXIFS('Relevés compteurs'!$D$5:$D$1504,'Relevés compteurs'!$B$5:$B$1504,B1495,'Relevés compteurs'!$A$5:$A$1504,"&lt;"&amp;A1495)))</f>
        <v/>
      </c>
    </row>
    <row r="1496">
      <c r="A1496" s="65" t="n"/>
      <c r="B1496" s="7" t="n"/>
      <c r="C1496" s="9">
        <f>IF(B1496="","",IFERROR(INDEX('Équipements'!$B$5:$B$304,MATCH(B1496,'Équipements'!$A$5:$A$304,0)),"Code inconnu"))</f>
        <v/>
      </c>
      <c r="D1496" s="67" t="n"/>
      <c r="E1496" s="7" t="n"/>
      <c r="F1496" s="68">
        <f>IF(OR(B1496="",A1496=""),"",IF(COUNTIFS('Relevés compteurs'!$B$5:$B$1504,B1496,'Relevés compteurs'!$A$5:$A$1504,"&lt;"&amp;A1496)=0,"",D1496-_xlfn.MAXIFS('Relevés compteurs'!$D$5:$D$1504,'Relevés compteurs'!$B$5:$B$1504,B1496,'Relevés compteurs'!$A$5:$A$1504,"&lt;"&amp;A1496)))</f>
        <v/>
      </c>
    </row>
    <row r="1497">
      <c r="A1497" s="65" t="n"/>
      <c r="B1497" s="7" t="n"/>
      <c r="C1497" s="9">
        <f>IF(B1497="","",IFERROR(INDEX('Équipements'!$B$5:$B$304,MATCH(B1497,'Équipements'!$A$5:$A$304,0)),"Code inconnu"))</f>
        <v/>
      </c>
      <c r="D1497" s="67" t="n"/>
      <c r="E1497" s="7" t="n"/>
      <c r="F1497" s="68">
        <f>IF(OR(B1497="",A1497=""),"",IF(COUNTIFS('Relevés compteurs'!$B$5:$B$1504,B1497,'Relevés compteurs'!$A$5:$A$1504,"&lt;"&amp;A1497)=0,"",D1497-_xlfn.MAXIFS('Relevés compteurs'!$D$5:$D$1504,'Relevés compteurs'!$B$5:$B$1504,B1497,'Relevés compteurs'!$A$5:$A$1504,"&lt;"&amp;A1497)))</f>
        <v/>
      </c>
    </row>
    <row r="1498">
      <c r="A1498" s="65" t="n"/>
      <c r="B1498" s="7" t="n"/>
      <c r="C1498" s="9">
        <f>IF(B1498="","",IFERROR(INDEX('Équipements'!$B$5:$B$304,MATCH(B1498,'Équipements'!$A$5:$A$304,0)),"Code inconnu"))</f>
        <v/>
      </c>
      <c r="D1498" s="67" t="n"/>
      <c r="E1498" s="7" t="n"/>
      <c r="F1498" s="68">
        <f>IF(OR(B1498="",A1498=""),"",IF(COUNTIFS('Relevés compteurs'!$B$5:$B$1504,B1498,'Relevés compteurs'!$A$5:$A$1504,"&lt;"&amp;A1498)=0,"",D1498-_xlfn.MAXIFS('Relevés compteurs'!$D$5:$D$1504,'Relevés compteurs'!$B$5:$B$1504,B1498,'Relevés compteurs'!$A$5:$A$1504,"&lt;"&amp;A1498)))</f>
        <v/>
      </c>
    </row>
    <row r="1499">
      <c r="A1499" s="65" t="n"/>
      <c r="B1499" s="7" t="n"/>
      <c r="C1499" s="9">
        <f>IF(B1499="","",IFERROR(INDEX('Équipements'!$B$5:$B$304,MATCH(B1499,'Équipements'!$A$5:$A$304,0)),"Code inconnu"))</f>
        <v/>
      </c>
      <c r="D1499" s="67" t="n"/>
      <c r="E1499" s="7" t="n"/>
      <c r="F1499" s="68">
        <f>IF(OR(B1499="",A1499=""),"",IF(COUNTIFS('Relevés compteurs'!$B$5:$B$1504,B1499,'Relevés compteurs'!$A$5:$A$1504,"&lt;"&amp;A1499)=0,"",D1499-_xlfn.MAXIFS('Relevés compteurs'!$D$5:$D$1504,'Relevés compteurs'!$B$5:$B$1504,B1499,'Relevés compteurs'!$A$5:$A$1504,"&lt;"&amp;A1499)))</f>
        <v/>
      </c>
    </row>
    <row r="1500">
      <c r="A1500" s="65" t="n"/>
      <c r="B1500" s="7" t="n"/>
      <c r="C1500" s="9">
        <f>IF(B1500="","",IFERROR(INDEX('Équipements'!$B$5:$B$304,MATCH(B1500,'Équipements'!$A$5:$A$304,0)),"Code inconnu"))</f>
        <v/>
      </c>
      <c r="D1500" s="67" t="n"/>
      <c r="E1500" s="7" t="n"/>
      <c r="F1500" s="68">
        <f>IF(OR(B1500="",A1500=""),"",IF(COUNTIFS('Relevés compteurs'!$B$5:$B$1504,B1500,'Relevés compteurs'!$A$5:$A$1504,"&lt;"&amp;A1500)=0,"",D1500-_xlfn.MAXIFS('Relevés compteurs'!$D$5:$D$1504,'Relevés compteurs'!$B$5:$B$1504,B1500,'Relevés compteurs'!$A$5:$A$1504,"&lt;"&amp;A1500)))</f>
        <v/>
      </c>
    </row>
    <row r="1501">
      <c r="A1501" s="65" t="n"/>
      <c r="B1501" s="7" t="n"/>
      <c r="C1501" s="9">
        <f>IF(B1501="","",IFERROR(INDEX('Équipements'!$B$5:$B$304,MATCH(B1501,'Équipements'!$A$5:$A$304,0)),"Code inconnu"))</f>
        <v/>
      </c>
      <c r="D1501" s="67" t="n"/>
      <c r="E1501" s="7" t="n"/>
      <c r="F1501" s="68">
        <f>IF(OR(B1501="",A1501=""),"",IF(COUNTIFS('Relevés compteurs'!$B$5:$B$1504,B1501,'Relevés compteurs'!$A$5:$A$1504,"&lt;"&amp;A1501)=0,"",D1501-_xlfn.MAXIFS('Relevés compteurs'!$D$5:$D$1504,'Relevés compteurs'!$B$5:$B$1504,B1501,'Relevés compteurs'!$A$5:$A$1504,"&lt;"&amp;A1501)))</f>
        <v/>
      </c>
    </row>
    <row r="1502">
      <c r="A1502" s="65" t="n"/>
      <c r="B1502" s="7" t="n"/>
      <c r="C1502" s="9">
        <f>IF(B1502="","",IFERROR(INDEX('Équipements'!$B$5:$B$304,MATCH(B1502,'Équipements'!$A$5:$A$304,0)),"Code inconnu"))</f>
        <v/>
      </c>
      <c r="D1502" s="67" t="n"/>
      <c r="E1502" s="7" t="n"/>
      <c r="F1502" s="68">
        <f>IF(OR(B1502="",A1502=""),"",IF(COUNTIFS('Relevés compteurs'!$B$5:$B$1504,B1502,'Relevés compteurs'!$A$5:$A$1504,"&lt;"&amp;A1502)=0,"",D1502-_xlfn.MAXIFS('Relevés compteurs'!$D$5:$D$1504,'Relevés compteurs'!$B$5:$B$1504,B1502,'Relevés compteurs'!$A$5:$A$1504,"&lt;"&amp;A1502)))</f>
        <v/>
      </c>
    </row>
    <row r="1503">
      <c r="A1503" s="65" t="n"/>
      <c r="B1503" s="7" t="n"/>
      <c r="C1503" s="9">
        <f>IF(B1503="","",IFERROR(INDEX('Équipements'!$B$5:$B$304,MATCH(B1503,'Équipements'!$A$5:$A$304,0)),"Code inconnu"))</f>
        <v/>
      </c>
      <c r="D1503" s="67" t="n"/>
      <c r="E1503" s="7" t="n"/>
      <c r="F1503" s="68">
        <f>IF(OR(B1503="",A1503=""),"",IF(COUNTIFS('Relevés compteurs'!$B$5:$B$1504,B1503,'Relevés compteurs'!$A$5:$A$1504,"&lt;"&amp;A1503)=0,"",D1503-_xlfn.MAXIFS('Relevés compteurs'!$D$5:$D$1504,'Relevés compteurs'!$B$5:$B$1504,B1503,'Relevés compteurs'!$A$5:$A$1504,"&lt;"&amp;A1503)))</f>
        <v/>
      </c>
    </row>
    <row r="1504">
      <c r="A1504" s="65" t="n"/>
      <c r="B1504" s="7" t="n"/>
      <c r="C1504" s="9">
        <f>IF(B1504="","",IFERROR(INDEX('Équipements'!$B$5:$B$304,MATCH(B1504,'Équipements'!$A$5:$A$304,0)),"Code inconnu"))</f>
        <v/>
      </c>
      <c r="D1504" s="67" t="n"/>
      <c r="E1504" s="7" t="n"/>
      <c r="F1504" s="68">
        <f>IF(OR(B1504="",A1504=""),"",IF(COUNTIFS('Relevés compteurs'!$B$5:$B$1504,B1504,'Relevés compteurs'!$A$5:$A$1504,"&lt;"&amp;A1504)=0,"",D1504-_xlfn.MAXIFS('Relevés compteurs'!$D$5:$D$1504,'Relevés compteurs'!$B$5:$B$1504,B1504,'Relevés compteurs'!$A$5:$A$1504,"&lt;"&amp;A1504)))</f>
        <v/>
      </c>
    </row>
  </sheetData>
  <autoFilter ref="A4:F1504"/>
  <dataValidations count="2">
    <dataValidation sqref="B5:B1504" showDropDown="0" showInputMessage="0" showErrorMessage="0" allowBlank="1" type="list">
      <formula1>='Équipements'!$A$5:$A$304</formula1>
    </dataValidation>
    <dataValidation sqref="E5:E1504" showDropDown="0" showInputMessage="0" showErrorMessage="0" allowBlank="1" type="list">
      <formula1>='Techniciens'!$B$5:$B$44</formula1>
    </dataValidation>
  </dataValidations>
  <pageMargins left="0.75" right="0.75" top="1" bottom="1" header="0.5" footer="0.5"/>
  <pageSetup orientation="landscape" fitToHeight="0" fitToWidth="1"/>
</worksheet>
</file>

<file path=xl/worksheets/sheet13.xml><?xml version="1.0" encoding="utf-8"?>
<worksheet xmlns="http://schemas.openxmlformats.org/spreadsheetml/2006/main">
  <sheetPr>
    <tabColor rgb="00808080"/>
    <outlinePr summaryBelow="1" summaryRight="1"/>
    <pageSetUpPr/>
  </sheetPr>
  <dimension ref="A1:AD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2" max="2"/>
    <col width="2" customWidth="1" min="3" max="3"/>
    <col width="22" customWidth="1" min="4" max="4"/>
    <col width="2" customWidth="1" min="5" max="5"/>
    <col width="15" customWidth="1" min="6" max="6"/>
    <col width="2" customWidth="1" min="7" max="7"/>
    <col width="14" customWidth="1" min="8" max="8"/>
    <col width="28" customWidth="1" min="9" max="9"/>
    <col width="17" customWidth="1" min="10" max="10"/>
    <col width="2" customWidth="1" min="11" max="11"/>
    <col width="22" customWidth="1" min="12" max="12"/>
    <col width="2" customWidth="1" min="13" max="13"/>
    <col width="9" customWidth="1" min="14" max="14"/>
    <col width="10" customWidth="1" min="15" max="15"/>
    <col width="52" customWidth="1" min="16" max="16"/>
    <col width="2" customWidth="1" min="17" max="17"/>
    <col width="14" customWidth="1" min="18" max="18"/>
    <col width="2" customWidth="1" min="19" max="19"/>
    <col width="11" customWidth="1" min="20" max="20"/>
    <col width="2" customWidth="1" min="21" max="21"/>
    <col width="22" customWidth="1" min="22" max="22"/>
    <col width="2" customWidth="1" min="23" max="23"/>
    <col width="9" customWidth="1" min="24" max="24"/>
    <col width="2" customWidth="1" min="25" max="25"/>
    <col width="46" customWidth="1" min="26" max="26"/>
    <col width="34" customWidth="1" min="27" max="27"/>
    <col width="2" customWidth="1" min="28" max="28"/>
    <col width="2" customWidth="1" min="29" max="29"/>
    <col width="15" customWidth="1" min="30" max="30"/>
  </cols>
  <sheetData>
    <row r="1">
      <c r="A1" s="62" t="inlineStr">
        <is>
          <t>Paramètres et listes de référence</t>
        </is>
      </c>
    </row>
    <row r="2">
      <c r="A2" s="3" t="inlineStr">
        <is>
          <t>Les listes alimentent les menus déroulants. Ajoutez des valeurs dans les cases vides sous chaque liste. Les paramètres généraux (colonne AA) pilotent les calculs.</t>
        </is>
      </c>
    </row>
    <row r="4">
      <c r="B4" s="85" t="inlineStr">
        <is>
          <t>Ateliers</t>
        </is>
      </c>
      <c r="D4" s="85" t="inlineStr">
        <is>
          <t>Types d'intervention</t>
        </is>
      </c>
      <c r="F4" s="85" t="inlineStr">
        <is>
          <t>Natures</t>
        </is>
      </c>
      <c r="H4" s="85" t="inlineStr">
        <is>
          <t>Priorités</t>
        </is>
      </c>
      <c r="I4" s="85" t="inlineStr">
        <is>
          <t>Signification</t>
        </is>
      </c>
      <c r="J4" s="85" t="inlineStr">
        <is>
          <t>Statuts OT</t>
        </is>
      </c>
      <c r="L4" s="85" t="inlineStr">
        <is>
          <t>Causes de défaillance</t>
        </is>
      </c>
      <c r="N4" s="85" t="inlineStr">
        <is>
          <t>Criticité</t>
        </is>
      </c>
      <c r="O4" s="85" t="inlineStr">
        <is>
          <t>Facteur coût arrêt</t>
        </is>
      </c>
      <c r="P4" s="85" t="inlineStr">
        <is>
          <t>Définition</t>
        </is>
      </c>
      <c r="R4" s="85" t="inlineStr">
        <is>
          <t>États équipement</t>
        </is>
      </c>
      <c r="T4" s="85" t="inlineStr">
        <is>
          <t>Types mouvement</t>
        </is>
      </c>
      <c r="V4" s="85" t="inlineStr">
        <is>
          <t>Catégories pièces</t>
        </is>
      </c>
      <c r="X4" s="85" t="inlineStr">
        <is>
          <t>Oui / Non</t>
        </is>
      </c>
      <c r="Z4" s="85" t="inlineStr">
        <is>
          <t>Paramètre général</t>
        </is>
      </c>
      <c r="AA4" s="85" t="inlineStr">
        <is>
          <t>Valeur</t>
        </is>
      </c>
      <c r="AD4" s="85" t="inlineStr">
        <is>
          <t>Familles techniques</t>
        </is>
      </c>
    </row>
    <row r="5">
      <c r="B5" s="7" t="inlineStr">
        <is>
          <t>Usinage</t>
        </is>
      </c>
      <c r="D5" s="7" t="inlineStr">
        <is>
          <t>Correctif</t>
        </is>
      </c>
      <c r="F5" s="7" t="inlineStr">
        <is>
          <t>Mécanique</t>
        </is>
      </c>
      <c r="H5" s="7" t="inlineStr">
        <is>
          <t>P1 - Urgent</t>
        </is>
      </c>
      <c r="I5" s="7" t="inlineStr">
        <is>
          <t>Arrêt de production / sécurité</t>
        </is>
      </c>
      <c r="J5" s="7" t="inlineStr">
        <is>
          <t>Demandé</t>
        </is>
      </c>
      <c r="L5" s="7" t="inlineStr">
        <is>
          <t>Usure</t>
        </is>
      </c>
      <c r="N5" s="7" t="inlineStr">
        <is>
          <t>A</t>
        </is>
      </c>
      <c r="O5" s="7" t="n">
        <v>1</v>
      </c>
      <c r="P5" s="7" t="inlineStr">
        <is>
          <t>Équipement goulot / sans redondance : arrêt = perte de production</t>
        </is>
      </c>
      <c r="R5" s="7" t="inlineStr">
        <is>
          <t>En service</t>
        </is>
      </c>
      <c r="T5" s="7" t="inlineStr">
        <is>
          <t>Entrée</t>
        </is>
      </c>
      <c r="V5" s="7" t="inlineStr">
        <is>
          <t>Roulements &amp; paliers</t>
        </is>
      </c>
      <c r="X5" s="7" t="inlineStr">
        <is>
          <t>Oui</t>
        </is>
      </c>
      <c r="Z5" s="86" t="inlineStr">
        <is>
          <t>Année d'analyse (choisie dans le Tableau de bord)</t>
        </is>
      </c>
      <c r="AA5" s="87">
        <f>'Tableau de bord'!$D$4</f>
        <v/>
      </c>
      <c r="AD5" s="7" t="inlineStr">
        <is>
          <t>AUTO</t>
        </is>
      </c>
    </row>
    <row r="6">
      <c r="B6" s="7" t="inlineStr">
        <is>
          <t>Tôlerie</t>
        </is>
      </c>
      <c r="D6" s="7" t="inlineStr">
        <is>
          <t>Préventif systématique</t>
        </is>
      </c>
      <c r="F6" s="7" t="inlineStr">
        <is>
          <t>Électrique</t>
        </is>
      </c>
      <c r="H6" s="7" t="inlineStr">
        <is>
          <t>P2 - Haute</t>
        </is>
      </c>
      <c r="I6" s="7" t="inlineStr">
        <is>
          <t>Production dégradée</t>
        </is>
      </c>
      <c r="J6" s="7" t="inlineStr">
        <is>
          <t>Planifié</t>
        </is>
      </c>
      <c r="L6" s="7" t="inlineStr">
        <is>
          <t>Défaut lubrification</t>
        </is>
      </c>
      <c r="N6" s="7" t="inlineStr">
        <is>
          <t>B</t>
        </is>
      </c>
      <c r="O6" s="7" t="n">
        <v>0.5</v>
      </c>
      <c r="P6" s="7" t="inlineStr">
        <is>
          <t>Équipement important : production dégradée ou solution de secours</t>
        </is>
      </c>
      <c r="R6" s="7" t="inlineStr">
        <is>
          <t>En réserve</t>
        </is>
      </c>
      <c r="T6" s="7" t="inlineStr">
        <is>
          <t>Sortie</t>
        </is>
      </c>
      <c r="V6" s="7" t="inlineStr">
        <is>
          <t>Transmission</t>
        </is>
      </c>
      <c r="X6" s="7" t="inlineStr">
        <is>
          <t>Non</t>
        </is>
      </c>
      <c r="Z6" s="86" t="inlineStr">
        <is>
          <t>Début de période</t>
        </is>
      </c>
      <c r="AA6" s="88">
        <f>DATE(AA5,1,1)</f>
        <v/>
      </c>
      <c r="AD6" s="7" t="inlineStr">
        <is>
          <t>BATIMENT</t>
        </is>
      </c>
    </row>
    <row r="7">
      <c r="B7" s="7" t="inlineStr">
        <is>
          <t>Soudure</t>
        </is>
      </c>
      <c r="D7" s="7" t="inlineStr">
        <is>
          <t>Préventif conditionnel</t>
        </is>
      </c>
      <c r="F7" s="7" t="inlineStr">
        <is>
          <t>Automatisme</t>
        </is>
      </c>
      <c r="H7" s="7" t="inlineStr">
        <is>
          <t>P3 - Normale</t>
        </is>
      </c>
      <c r="I7" s="7" t="inlineStr">
        <is>
          <t>Sans impact immédiat</t>
        </is>
      </c>
      <c r="J7" s="7" t="inlineStr">
        <is>
          <t>En cours</t>
        </is>
      </c>
      <c r="L7" s="7" t="inlineStr">
        <is>
          <t>Encrassement</t>
        </is>
      </c>
      <c r="N7" s="7" t="inlineStr">
        <is>
          <t>C</t>
        </is>
      </c>
      <c r="O7" s="7" t="n">
        <v>0.2</v>
      </c>
      <c r="P7" s="7" t="inlineStr">
        <is>
          <t>Équipement secondaire / redondant</t>
        </is>
      </c>
      <c r="R7" s="7" t="inlineStr">
        <is>
          <t>À l'arrêt</t>
        </is>
      </c>
      <c r="T7" s="7" t="inlineStr">
        <is>
          <t>Retour</t>
        </is>
      </c>
      <c r="V7" s="7" t="inlineStr">
        <is>
          <t>Filtration</t>
        </is>
      </c>
      <c r="Z7" s="86" t="inlineStr">
        <is>
          <t>Fin de période</t>
        </is>
      </c>
      <c r="AA7" s="88">
        <f>DATE(AA5,12,31)</f>
        <v/>
      </c>
      <c r="AD7" s="7" t="inlineStr">
        <is>
          <t>CHARIOT</t>
        </is>
      </c>
    </row>
    <row r="8">
      <c r="B8" s="7" t="inlineStr">
        <is>
          <t>Peinture</t>
        </is>
      </c>
      <c r="D8" s="7" t="inlineStr">
        <is>
          <t>Réglementaire</t>
        </is>
      </c>
      <c r="F8" s="7" t="inlineStr">
        <is>
          <t>Hydraulique</t>
        </is>
      </c>
      <c r="H8" s="7" t="inlineStr">
        <is>
          <t>P4 - Basse</t>
        </is>
      </c>
      <c r="I8" s="7" t="inlineStr">
        <is>
          <t>Confort / à planifier</t>
        </is>
      </c>
      <c r="J8" s="7" t="inlineStr">
        <is>
          <t>En attente pièces</t>
        </is>
      </c>
      <c r="L8" s="7" t="inlineStr">
        <is>
          <t>Fuite</t>
        </is>
      </c>
      <c r="R8" s="7" t="inlineStr">
        <is>
          <t>Réformé</t>
        </is>
      </c>
      <c r="V8" s="7" t="inlineStr">
        <is>
          <t>Lubrifiants</t>
        </is>
      </c>
      <c r="Z8" s="86" t="inlineStr">
        <is>
          <t>Prorata de la période écoulée</t>
        </is>
      </c>
      <c r="AA8" s="89">
        <f>MAX(0,MIN(1,(MIN(TODAY(),AA7+1)-AA6)/(AA7+1-AA6)))</f>
        <v/>
      </c>
      <c r="AD8" s="7" t="inlineStr">
        <is>
          <t>CNC</t>
        </is>
      </c>
    </row>
    <row r="9">
      <c r="B9" s="7" t="inlineStr">
        <is>
          <t>Assemblage</t>
        </is>
      </c>
      <c r="D9" s="7" t="inlineStr">
        <is>
          <t>Amélioratif</t>
        </is>
      </c>
      <c r="F9" s="7" t="inlineStr">
        <is>
          <t>Pneumatique</t>
        </is>
      </c>
      <c r="J9" s="7" t="inlineStr">
        <is>
          <t>Clôturé</t>
        </is>
      </c>
      <c r="L9" s="7" t="inlineStr">
        <is>
          <t>Casse mécanique</t>
        </is>
      </c>
      <c r="V9" s="7" t="inlineStr">
        <is>
          <t>Électricité</t>
        </is>
      </c>
      <c r="Z9" s="86" t="inlineStr">
        <is>
          <t>Coût horaire d'arrêt de production (€/h, criticité A)</t>
        </is>
      </c>
      <c r="AA9" s="90" t="n">
        <v>450</v>
      </c>
      <c r="AD9" s="7" t="inlineStr">
        <is>
          <t>COMPRESSEUR</t>
        </is>
      </c>
    </row>
    <row r="10">
      <c r="B10" s="7" t="inlineStr">
        <is>
          <t>Utilités</t>
        </is>
      </c>
      <c r="F10" s="7" t="inlineStr">
        <is>
          <t>Bâtiment</t>
        </is>
      </c>
      <c r="J10" s="7" t="inlineStr">
        <is>
          <t>Annulé</t>
        </is>
      </c>
      <c r="L10" s="7" t="inlineStr">
        <is>
          <t>Défaut électrique</t>
        </is>
      </c>
      <c r="V10" s="7" t="inlineStr">
        <is>
          <t>Capteurs &amp; automatisme</t>
        </is>
      </c>
      <c r="Z10" s="86" t="inlineStr">
        <is>
          <t>Taux horaire MO par défaut (€/h)</t>
        </is>
      </c>
      <c r="AA10" s="90" t="n">
        <v>45</v>
      </c>
      <c r="AD10" s="7" t="inlineStr">
        <is>
          <t>CONV</t>
        </is>
      </c>
    </row>
    <row r="11">
      <c r="B11" s="7" t="inlineStr">
        <is>
          <t>Logistique</t>
        </is>
      </c>
      <c r="F11" s="7" t="inlineStr">
        <is>
          <t>Multi-technique</t>
        </is>
      </c>
      <c r="L11" s="7" t="inlineStr">
        <is>
          <t>Défaut capteur</t>
        </is>
      </c>
      <c r="V11" s="7" t="inlineStr">
        <is>
          <t>Pneumatique</t>
        </is>
      </c>
      <c r="Z11" s="86" t="inlineStr">
        <is>
          <t>Heures travaillées / technicien / an</t>
        </is>
      </c>
      <c r="AA11" s="91" t="n">
        <v>1607</v>
      </c>
      <c r="AD11" s="7" t="inlineStr">
        <is>
          <t>CONVOYEUR</t>
        </is>
      </c>
    </row>
    <row r="12">
      <c r="B12" s="7" t="inlineStr">
        <is>
          <t>Bâtiment</t>
        </is>
      </c>
      <c r="L12" s="7" t="inlineStr">
        <is>
          <t>Défaut logiciel/automate</t>
        </is>
      </c>
      <c r="V12" s="7" t="inlineStr">
        <is>
          <t>Hydraulique</t>
        </is>
      </c>
      <c r="Z12" s="86" t="inlineStr">
        <is>
          <t>Seuil alerte préventif (jours)</t>
        </is>
      </c>
      <c r="AA12" s="92" t="n">
        <v>15</v>
      </c>
      <c r="AD12" s="7" t="inlineStr">
        <is>
          <t>CVC</t>
        </is>
      </c>
    </row>
    <row r="13">
      <c r="L13" s="7" t="inlineStr">
        <is>
          <t>Défaut pneumatique</t>
        </is>
      </c>
      <c r="V13" s="7" t="inlineStr">
        <is>
          <t>Consommables laser</t>
        </is>
      </c>
      <c r="Z13" s="86" t="inlineStr">
        <is>
          <t>Seuil alerte contrôles réglementaires (jours)</t>
        </is>
      </c>
      <c r="AA13" s="92" t="n">
        <v>30</v>
      </c>
      <c r="AD13" s="7" t="inlineStr">
        <is>
          <t>EAU</t>
        </is>
      </c>
    </row>
    <row r="14">
      <c r="L14" s="7" t="inlineStr">
        <is>
          <t>Défaut hydraulique</t>
        </is>
      </c>
      <c r="V14" s="7" t="inlineStr">
        <is>
          <t>Consommables soudage</t>
        </is>
      </c>
      <c r="Z14" s="86" t="inlineStr">
        <is>
          <t>Seuil alerte habilitations / formations (jours)</t>
        </is>
      </c>
      <c r="AA14" s="92" t="n">
        <v>60</v>
      </c>
      <c r="AD14" s="7" t="inlineStr">
        <is>
          <t>ELEC</t>
        </is>
      </c>
    </row>
    <row r="15">
      <c r="L15" s="7" t="inlineStr">
        <is>
          <t>Erreur opérateur</t>
        </is>
      </c>
      <c r="V15" s="7" t="inlineStr">
        <is>
          <t>Manutention &amp; levage</t>
        </is>
      </c>
      <c r="Z15" s="86" t="inlineStr">
        <is>
          <t>Seuil alerte fin de garantie (jours)</t>
        </is>
      </c>
      <c r="AA15" s="92" t="n">
        <v>90</v>
      </c>
      <c r="AD15" s="7" t="inlineStr">
        <is>
          <t>LASER</t>
        </is>
      </c>
    </row>
    <row r="16">
      <c r="L16" s="7" t="inlineStr">
        <is>
          <t>Choc / accident</t>
        </is>
      </c>
      <c r="V16" s="7" t="inlineStr">
        <is>
          <t>Peinture &amp; traitement</t>
        </is>
      </c>
      <c r="Z16" s="86" t="inlineStr">
        <is>
          <t>Objectif de disponibilité du parc</t>
        </is>
      </c>
      <c r="AA16" s="93" t="n">
        <v>0.95</v>
      </c>
      <c r="AD16" s="7" t="inlineStr">
        <is>
          <t>LEVAGE</t>
        </is>
      </c>
    </row>
    <row r="17">
      <c r="L17" s="7" t="inlineStr">
        <is>
          <t>Cause inconnue</t>
        </is>
      </c>
      <c r="V17" s="7" t="inlineStr">
        <is>
          <t>Divers</t>
        </is>
      </c>
      <c r="Z17" s="86" t="inlineStr">
        <is>
          <t>Objectif taux de préventif (heures MO)</t>
        </is>
      </c>
      <c r="AA17" s="93" t="n">
        <v>0.6</v>
      </c>
      <c r="AD17" s="7" t="inlineStr">
        <is>
          <t>MESURE</t>
        </is>
      </c>
    </row>
    <row r="18">
      <c r="Z18" s="86" t="inlineStr">
        <is>
          <t>Entreprise</t>
        </is>
      </c>
      <c r="AA18" s="94" t="inlineStr">
        <is>
          <t>MÉCAPRO Industries (société fictive)</t>
        </is>
      </c>
      <c r="AD18" s="7" t="inlineStr">
        <is>
          <t>PEINTURE</t>
        </is>
      </c>
    </row>
    <row r="19">
      <c r="Z19" s="86" t="inlineStr">
        <is>
          <t>Site</t>
        </is>
      </c>
      <c r="AA19" s="94" t="inlineStr">
        <is>
          <t>Usine principale - 85 salariés - usinage, tôlerie, peinture, assemblage</t>
        </is>
      </c>
      <c r="AD19" s="7" t="inlineStr">
        <is>
          <t>PRESSE</t>
        </is>
      </c>
    </row>
    <row r="20">
      <c r="AD20" s="7" t="inlineStr">
        <is>
          <t>ROBOT</t>
        </is>
      </c>
    </row>
    <row r="21" ht="36" customHeight="1">
      <c r="Z21" s="95" t="inlineStr">
        <is>
          <t>Hypothèses (valeurs à ajuster) : coût d'arrêt estimé = marge perdue par heure d'arrêt d'un équipement goulot ; taux horaire = salaire chargé moyen.</t>
        </is>
      </c>
      <c r="AD21" s="7" t="inlineStr">
        <is>
          <t>SCIE</t>
        </is>
      </c>
    </row>
    <row r="22">
      <c r="AD22" s="7" t="inlineStr">
        <is>
          <t>SOUDURE</t>
        </is>
      </c>
    </row>
    <row r="23">
      <c r="AD23" s="7" t="inlineStr">
        <is>
          <t>STATIQUE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GMAO</dc:creator>
  <dc:title>GMAO PME industrielle</dc:title>
  <dcterms:created xsi:type="dcterms:W3CDTF">2026-10-02T20:20:48Z</dcterms:created>
  <dcterms:modified xsi:type="dcterms:W3CDTF">2026-10-02T20:20:51Z</dcterms:modified>
</cp:coreProperties>
</file>